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customXmlProperties+xml" PartName="/customXml/itemProps4.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nnections+xml" PartName="/xl/connections.xml"/>
  <Override ContentType="application/vnd.openxmlformats-officedocument.spreadsheetml.externalLink+xml" PartName="/xl/externalLinks/externalLink1.xml"/>
  <Override ContentType="application/vnd.openxmlformats-officedocument.spreadsheetml.sheetMetadata+xml" PartName="/xl/metadata.xml"/>
  <Override ContentType="application/vnd.openxmlformats-officedocument.spreadsheetml.pivotCacheDefinition+xml" PartName="/xl/pivotCache/pivotCacheDefinition1.xml"/>
  <Override ContentType="application/vnd.openxmlformats-officedocument.spreadsheetml.pivotCacheRecords+xml" PartName="/xl/pivotCache/pivotCacheRecords1.xml"/>
  <Override ContentType="application/vnd.openxmlformats-officedocument.spreadsheetml.pivotTable+xml" PartName="/xl/pivotTables/pivotTable1.xml"/>
  <Override ContentType="application/vnd.openxmlformats-officedocument.spreadsheetml.queryTable+xml" PartName="/xl/queryTables/queryTable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mc:Choice Requires="x15">
      <x15ac:absPath xmlns:x15ac="http://schemas.microsoft.com/office/spreadsheetml/2010/11/ac" url="C:\Users\ochoquet\Desktop\"/>
    </mc:Choice>
  </mc:AlternateContent>
  <xr:revisionPtr revIDLastSave="0" documentId="13_ncr:1_{F1255678-3D3F-46D5-9C94-10C9DB5130A4}" xr6:coauthVersionLast="46" xr6:coauthVersionMax="46" xr10:uidLastSave="{00000000-0000-0000-0000-000000000000}"/>
  <bookViews>
    <workbookView xWindow="1050" yWindow="-120" windowWidth="27870" windowHeight="18240" tabRatio="746" firstSheet="1" activeTab="2" xr2:uid="{00000000-000D-0000-FFFF-FFFF00000000}"/>
  </bookViews>
  <sheets>
    <sheet name="GLOSSARY" sheetId="17" r:id="rId1"/>
    <sheet name="New Projects" sheetId="21" r:id="rId2"/>
    <sheet name="Ongoing Projects" sheetId="30" r:id="rId3"/>
    <sheet name="Non-Projects (RUN-BAU)" sheetId="31" r:id="rId4"/>
    <sheet name="Capacity" sheetId="24" r:id="rId5"/>
    <sheet name="Consolidated" sheetId="37" r:id="rId6"/>
    <sheet name="LOV" sheetId="11" r:id="rId7"/>
    <sheet name="Cost Rates" sheetId="25" r:id="rId8"/>
    <sheet name="XLIPRB" sheetId="32" r:id="rId9"/>
    <sheet name="XLDEMAND" sheetId="33" r:id="rId10"/>
    <sheet name="XLEURO" sheetId="34" r:id="rId11"/>
    <sheet name="Check by Platform" sheetId="35" r:id="rId12"/>
    <sheet name="Check by IPRB" sheetId="36" r:id="rId13"/>
  </sheets>
  <externalReferences>
    <externalReference r:id="rId14"/>
  </externalReferences>
  <definedNames>
    <definedName name="_xlnm._FilterDatabase" localSheetId="7" hidden="1">'Cost Rates'!$A$1:$D$128</definedName>
    <definedName name="_xlnm._FilterDatabase" localSheetId="1" hidden="1">'New Projects'!$A$6:$A$7</definedName>
    <definedName name="_xlnm._FilterDatabase" localSheetId="9" hidden="1">XLDEMAND!$A$1:$AF$1566</definedName>
    <definedName name="_xlnm._FilterDatabase" localSheetId="10" hidden="1">XLEURO!$A$1:$H$48</definedName>
    <definedName name="_xlnm._FilterDatabase" localSheetId="8" hidden="1">XLIPRB!$A$1:$AA$404</definedName>
    <definedName name="acti_type">[1]Data!$AE$2:$AE$10</definedName>
    <definedName name="capi">[1]Data!$AI$2:$AI$12</definedName>
    <definedName name="dd_AT">INDEX(LOV!$A:$A,MATCH("Activity Types",LOV!$A:$A,0)+1):INDEX(LOV!$A:$A,MATCH(5,LOV!$C:$C,0))</definedName>
    <definedName name="dd_CAPA">INDEX(LOV!$A:$A,MATCH("Capacity Type",LOV!$A:$A,0)+1):INDEX(LOV!$A:$A,MATCH(10,LOV!$C:$C,0))</definedName>
    <definedName name="dd_Capi">INDEX(LOV!$A:$A,MATCH("Capi%",LOV!$A:$A,0)+1):INDEX(LOV!$A:$A,MATCH(6,LOV!$C:$C,0))</definedName>
    <definedName name="dd_GBD">INDEX(LOV!$A:$A,MATCH("GBD",LOV!$A:$A,0)+1):INDEX(LOV!$A:$A,MATCH(8,LOV!$C:$C,0))</definedName>
    <definedName name="dd_GroupOffer">INDEX(rOfferings,MATCH(vGBDshort,rOfferingGBDs,0)):INDEX(rOfferings,MATCH(vGBDshort,rOfferingGBDs,0)+COUNTIF(rOfferingGBDs,vGBDshort)-1)</definedName>
    <definedName name="dd_LE">INDEX(LOV!$A:$A,MATCH("Legal Entity",LOV!$A:$A,0)+1):INDEX(LOV!$A:$A,MATCH(2,LOV!$C:$C,0))</definedName>
    <definedName name="dd_NPI">INDEX(LOV!$A:$A,MATCH("New Product Indicator",LOV!$A:$A,0)+1):INDEX(LOV!$A:$A,MATCH(4,LOV!$C:$C,0))</definedName>
    <definedName name="dd_OOI">INDEX(LOV!$A:$A,MATCH("OOI%",LOV!$A:$A,0)+1):INDEX(LOV!$A:$A,MATCH(7,LOV!$C:$C,0))</definedName>
    <definedName name="dd_PortClass">INDEX(LOV!$A:$A,MATCH("Portfolio Classification",LOV!$A:$A,0)+1):INDEX(LOV!$A:$A,MATCH(1,LOV!$C:$C,0))</definedName>
    <definedName name="dd_Prg">INDEX(LOV!$A:$A,MATCH("Strategic Program",LOV!$A:$A,0)+1):INDEX(LOV!$A:$A,MATCH(3,LOV!$C:$C,0))</definedName>
    <definedName name="ExternalData_1" localSheetId="5" hidden="1">'Consolidated'!$B$6:$FI$649</definedName>
    <definedName name="leg_entity">[1]Data!$AG$2:$AG$44</definedName>
    <definedName name="NPI">[1]Data!$AM$2:$AM$5</definedName>
    <definedName name="ooi">[1]Data!$AK$2:$AK$12</definedName>
    <definedName name="Pcts">INDEX(LOV!$A:$A,MATCH("% default list",LOV!$A:$A,0)+1):INDEX(LOV!$A:$A,MATCH(11,LOV!$C:$C,0))</definedName>
    <definedName name="portfolio_classification">[1]Data!$AA$2:$AA$8</definedName>
    <definedName name="programs">[1]Data!$AC$2:$AC$6</definedName>
    <definedName name="rOfferingGBDs">INDEX(LOV!$D:$D,MATCH("Group Offering",LOV!$A:$A,0)+1):INDEX(LOV!$D:$D,MATCH(9,LOV!$C:$C,0))</definedName>
    <definedName name="rOfferings">INDEX(LOV!$A:$A,MATCH("Group Offering",LOV!$A:$A,0)+1):INDEX(LOV!$A:$A,MATCH(9,LOV!$C:$C,0))</definedName>
    <definedName name="rPrefix">INDEX(LOV!$B:$B,MATCH("GBD",LOV!$A:$A,0)+1):INDEX(LOV!$B:$B,MATCH(8,LOV!$C:$C,0))</definedName>
    <definedName name="vGBD">'New Projects'!$B$2</definedName>
    <definedName name="vGBDshort">INDEX(rPrefix,MATCH(vGBD,dd_GBD,0))</definedName>
  </definedNames>
  <calcPr calcId="191028"/>
  <pivotCaches>
    <pivotCache cacheId="0" r:id="rId15"/>
  </pivotCaches>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I201" i="31" l="1" a="1"/>
  <c r="EI201" i="31"/>
  <c r="EI202" i="31" a="1"/>
  <c r="EI202" i="31" s="1"/>
  <c r="EI203" i="31" a="1"/>
  <c r="EI203" i="31" s="1"/>
  <c r="EI204" i="31" a="1"/>
  <c r="EI204" i="31" s="1"/>
  <c r="EI205" i="31" a="1"/>
  <c r="EI205" i="31"/>
  <c r="EI206" i="31" a="1"/>
  <c r="EI206" i="31" s="1"/>
  <c r="EI207" i="31" a="1"/>
  <c r="EI207" i="31"/>
  <c r="EI208" i="31" a="1"/>
  <c r="EI208" i="31" s="1"/>
  <c r="EI209" i="31" a="1"/>
  <c r="EI209" i="31"/>
  <c r="EI210" i="31" a="1"/>
  <c r="EI210" i="31" s="1"/>
  <c r="EI211" i="31" a="1"/>
  <c r="EI211" i="31"/>
  <c r="EI212" i="31" a="1"/>
  <c r="EI212" i="31"/>
  <c r="EI213" i="31" a="1"/>
  <c r="EI213" i="31"/>
  <c r="EI214" i="31" a="1"/>
  <c r="EI214" i="31" s="1"/>
  <c r="EI215" i="31" a="1"/>
  <c r="EI215" i="31"/>
  <c r="EI216" i="31" a="1"/>
  <c r="EI216" i="31" s="1"/>
  <c r="EI217" i="31" a="1"/>
  <c r="EI217" i="31"/>
  <c r="EI218" i="31" a="1"/>
  <c r="EI218" i="31"/>
  <c r="EI219" i="31" a="1"/>
  <c r="EI219" i="31"/>
  <c r="EI220" i="31" a="1"/>
  <c r="EI220" i="31" s="1"/>
  <c r="EI221" i="31" a="1"/>
  <c r="EI221" i="31"/>
  <c r="EI222" i="31" a="1"/>
  <c r="EI222" i="31" s="1"/>
  <c r="EI223" i="31" a="1"/>
  <c r="EI223" i="31"/>
  <c r="EI224" i="31" a="1"/>
  <c r="EI224" i="31"/>
  <c r="EI225" i="31" a="1"/>
  <c r="EI225" i="31"/>
  <c r="EI226" i="31" a="1"/>
  <c r="EI226" i="31" s="1"/>
  <c r="EI227" i="31" a="1"/>
  <c r="EI227" i="31"/>
  <c r="EI228" i="31" a="1"/>
  <c r="EI228" i="31" s="1"/>
  <c r="EI229" i="31" a="1"/>
  <c r="EI229" i="31"/>
  <c r="EI230" i="31" a="1"/>
  <c r="EI230" i="31"/>
  <c r="EI231" i="31" a="1"/>
  <c r="EI231" i="31" s="1"/>
  <c r="EI232" i="31" a="1"/>
  <c r="EI232" i="31" s="1"/>
  <c r="EI233" i="31" a="1"/>
  <c r="EI233" i="31"/>
  <c r="EI234" i="31" a="1"/>
  <c r="EI234" i="31" s="1"/>
  <c r="EI235" i="31" a="1"/>
  <c r="EI235" i="31"/>
  <c r="EI236" i="31" a="1"/>
  <c r="EI236" i="31"/>
  <c r="EI237" i="31" a="1"/>
  <c r="EI237" i="31"/>
  <c r="EI238" i="31" a="1"/>
  <c r="EI238" i="31" s="1"/>
  <c r="EI239" i="31" a="1"/>
  <c r="EI239" i="31"/>
  <c r="EI240" i="31" a="1"/>
  <c r="EI240" i="31" s="1"/>
  <c r="EI241" i="31" a="1"/>
  <c r="EI241" i="31"/>
  <c r="EI242" i="31" a="1"/>
  <c r="EI242" i="31"/>
  <c r="EI243" i="31" a="1"/>
  <c r="EI243" i="31"/>
  <c r="EI244" i="31" a="1"/>
  <c r="EI244" i="31" s="1"/>
  <c r="EI245" i="31" a="1"/>
  <c r="EI245" i="31"/>
  <c r="EI246" i="31" a="1"/>
  <c r="EI246" i="31" s="1"/>
  <c r="EI247" i="31" a="1"/>
  <c r="EI247" i="31"/>
  <c r="EI248" i="31" a="1"/>
  <c r="EI248" i="31"/>
  <c r="EI249" i="31" a="1"/>
  <c r="EI249" i="31"/>
  <c r="EI250" i="31" a="1"/>
  <c r="EI250" i="31" s="1"/>
  <c r="EI251" i="31" a="1"/>
  <c r="EI251" i="31"/>
  <c r="EI252" i="31" a="1"/>
  <c r="EI252" i="31" s="1"/>
  <c r="EI253" i="31" a="1"/>
  <c r="EI253" i="31"/>
  <c r="EI254" i="31" a="1"/>
  <c r="EI254" i="31"/>
  <c r="EI255" i="31" a="1"/>
  <c r="EI255" i="31"/>
  <c r="EI256" i="31" a="1"/>
  <c r="EI256" i="31" s="1"/>
  <c r="EI257" i="31" a="1"/>
  <c r="EI257" i="31"/>
  <c r="EI258" i="31" a="1"/>
  <c r="EI258" i="31" s="1"/>
  <c r="EI259" i="31" a="1"/>
  <c r="EI259" i="31"/>
  <c r="EI260" i="31" a="1"/>
  <c r="EI260" i="31"/>
  <c r="EI261" i="31" a="1"/>
  <c r="EI261" i="31" s="1"/>
  <c r="EI262" i="31" a="1"/>
  <c r="EI262" i="31" s="1"/>
  <c r="EI263" i="31" a="1"/>
  <c r="EI263" i="31"/>
  <c r="EI264" i="31" a="1"/>
  <c r="EI264" i="31" s="1"/>
  <c r="EI265" i="31" a="1"/>
  <c r="EI265" i="31"/>
  <c r="EI266" i="31" a="1"/>
  <c r="EI266" i="31"/>
  <c r="EI267" i="31" a="1"/>
  <c r="EI267" i="31" s="1"/>
  <c r="EI268" i="31" a="1"/>
  <c r="EI268" i="31" s="1"/>
  <c r="EI269" i="31" a="1"/>
  <c r="EI269" i="31"/>
  <c r="EI270" i="31" a="1"/>
  <c r="EI270" i="31" s="1"/>
  <c r="EI271" i="31" a="1"/>
  <c r="EI271" i="31"/>
  <c r="EI272" i="31" a="1"/>
  <c r="EI272" i="31" s="1"/>
  <c r="EI273" i="31" a="1"/>
  <c r="EI273" i="31" s="1"/>
  <c r="EI274" i="31" a="1"/>
  <c r="EI274" i="31" s="1"/>
  <c r="EI275" i="31" a="1"/>
  <c r="EI275" i="31"/>
  <c r="EI276" i="31" a="1"/>
  <c r="EI276" i="31" s="1"/>
  <c r="EI277" i="31" a="1"/>
  <c r="EI277" i="31"/>
  <c r="EI278" i="31" a="1"/>
  <c r="EI278" i="31" s="1"/>
  <c r="EI279" i="31" a="1"/>
  <c r="EI279" i="31" s="1"/>
  <c r="EI280" i="31" a="1"/>
  <c r="EI280" i="31" s="1"/>
  <c r="EI281" i="31" a="1"/>
  <c r="EI281" i="31"/>
  <c r="EI282" i="31" a="1"/>
  <c r="EI282" i="31" s="1"/>
  <c r="EI283" i="31" a="1"/>
  <c r="EI283" i="31"/>
  <c r="EI284" i="31" a="1"/>
  <c r="EI284" i="31" s="1"/>
  <c r="EI285" i="31" a="1"/>
  <c r="EI285" i="31" s="1"/>
  <c r="EI286" i="31" a="1"/>
  <c r="EI286" i="31" s="1"/>
  <c r="EI287" i="31" a="1"/>
  <c r="EI287" i="31"/>
  <c r="EI288" i="31" a="1"/>
  <c r="EI288" i="31" s="1"/>
  <c r="EI289" i="31" a="1"/>
  <c r="EI289" i="31"/>
  <c r="EI290" i="31" a="1"/>
  <c r="EI290" i="31" s="1"/>
  <c r="EI291" i="31" a="1"/>
  <c r="EI291" i="31" s="1"/>
  <c r="EI292" i="31" a="1"/>
  <c r="EI292" i="31" s="1"/>
  <c r="EI293" i="31" a="1"/>
  <c r="EI293" i="31"/>
  <c r="EI294" i="31" a="1"/>
  <c r="EI294" i="31" s="1"/>
  <c r="EI295" i="31" a="1"/>
  <c r="EI295" i="31"/>
  <c r="EI296" i="31" a="1"/>
  <c r="EI296" i="31" s="1"/>
  <c r="EI297" i="31" a="1"/>
  <c r="EI297" i="31" s="1"/>
  <c r="EI298" i="31" a="1"/>
  <c r="EI298" i="31" s="1"/>
  <c r="EI299" i="31" a="1"/>
  <c r="EI299" i="31"/>
  <c r="EI300" i="31" a="1"/>
  <c r="EI300" i="31" s="1"/>
  <c r="EI301" i="31" a="1"/>
  <c r="EI301" i="31"/>
  <c r="EI302" i="31" a="1"/>
  <c r="EI302" i="31" s="1"/>
  <c r="EI303" i="31" a="1"/>
  <c r="EI303" i="31" s="1"/>
  <c r="EI304" i="31" a="1"/>
  <c r="EI304" i="31" s="1"/>
  <c r="EI305" i="31" a="1"/>
  <c r="EI305" i="31"/>
  <c r="EI306" i="31" a="1"/>
  <c r="EI306" i="31" s="1"/>
  <c r="EI307" i="31" a="1"/>
  <c r="EI307" i="31"/>
  <c r="EI308" i="31" a="1"/>
  <c r="EI308" i="31" s="1"/>
  <c r="EI309" i="31" a="1"/>
  <c r="EI309" i="31" s="1"/>
  <c r="EI310" i="31" a="1"/>
  <c r="EI310" i="31" s="1"/>
  <c r="EI311" i="31" a="1"/>
  <c r="EI311" i="31"/>
  <c r="EI312" i="31" a="1"/>
  <c r="EI312" i="31" s="1"/>
  <c r="EI313" i="31" a="1"/>
  <c r="EI313" i="31"/>
  <c r="EI314" i="31" a="1"/>
  <c r="EI314" i="31" s="1"/>
  <c r="EI315" i="31" a="1"/>
  <c r="EI315" i="31" s="1"/>
  <c r="EI316" i="31" a="1"/>
  <c r="EI316" i="31" s="1"/>
  <c r="EI317" i="31" a="1"/>
  <c r="EI317" i="31"/>
  <c r="EI318" i="31" a="1"/>
  <c r="EI318" i="31" s="1"/>
  <c r="EI319" i="31" a="1"/>
  <c r="EI319" i="31" s="1"/>
  <c r="EI320" i="31" a="1"/>
  <c r="EI320" i="31" s="1"/>
  <c r="EI321" i="31" a="1"/>
  <c r="EI321" i="31" s="1"/>
  <c r="EI322" i="31" a="1"/>
  <c r="EI322" i="31" s="1"/>
  <c r="EI323" i="31" a="1"/>
  <c r="EI323" i="31"/>
  <c r="EI324" i="31" a="1"/>
  <c r="EI324" i="31" s="1"/>
  <c r="EI325" i="31" a="1"/>
  <c r="EI325" i="31"/>
  <c r="EI326" i="31" a="1"/>
  <c r="EI326" i="31" s="1"/>
  <c r="EI327" i="31" a="1"/>
  <c r="EI327" i="31" s="1"/>
  <c r="EI328" i="31" a="1"/>
  <c r="EI328" i="31" s="1"/>
  <c r="EI329" i="31" a="1"/>
  <c r="EI329" i="31"/>
  <c r="EI330" i="31" a="1"/>
  <c r="EI330" i="31" s="1"/>
  <c r="EI331" i="31" a="1"/>
  <c r="EI331" i="31" s="1"/>
  <c r="EI332" i="31" a="1"/>
  <c r="EI332" i="31" s="1"/>
  <c r="EI333" i="31" a="1"/>
  <c r="EI333" i="31" s="1"/>
  <c r="EI334" i="31" a="1"/>
  <c r="EI334" i="31" s="1"/>
  <c r="EI335" i="31" a="1"/>
  <c r="EI335" i="31"/>
  <c r="EI336" i="31" a="1"/>
  <c r="EI336" i="31" s="1"/>
  <c r="EI337" i="31" a="1"/>
  <c r="EI337" i="31" s="1"/>
  <c r="EI338" i="31" a="1"/>
  <c r="EI338" i="31" s="1"/>
  <c r="EI339" i="31" a="1"/>
  <c r="EI339" i="31" s="1"/>
  <c r="EI340" i="31" a="1"/>
  <c r="EI340" i="31" s="1"/>
  <c r="EI341" i="31" a="1"/>
  <c r="EI341" i="31"/>
  <c r="EI342" i="31" a="1"/>
  <c r="EI342" i="31" s="1"/>
  <c r="EI343" i="31" a="1"/>
  <c r="EI343" i="31" s="1"/>
  <c r="EI344" i="31" a="1"/>
  <c r="EI344" i="31" s="1"/>
  <c r="EI345" i="31" a="1"/>
  <c r="EI345" i="31" s="1"/>
  <c r="EI346" i="31" a="1"/>
  <c r="EI346" i="31" s="1"/>
  <c r="EI347" i="31" a="1"/>
  <c r="EI347" i="31"/>
  <c r="EI348" i="31" a="1"/>
  <c r="EI348" i="31" s="1"/>
  <c r="EI349" i="31" a="1"/>
  <c r="EI349" i="31" s="1"/>
  <c r="EI350" i="31" a="1"/>
  <c r="EI350" i="31" s="1"/>
  <c r="EI351" i="31" a="1"/>
  <c r="EI351" i="31" s="1"/>
  <c r="EI352" i="31" a="1"/>
  <c r="EI352" i="31" s="1"/>
  <c r="EI353" i="31" a="1"/>
  <c r="EI353" i="31"/>
  <c r="EI354" i="31" a="1"/>
  <c r="EI354" i="31" s="1"/>
  <c r="EI355" i="31" a="1"/>
  <c r="EI355" i="31" s="1"/>
  <c r="EI356" i="31" a="1"/>
  <c r="EI356" i="31" s="1"/>
  <c r="EI357" i="31" a="1"/>
  <c r="EI357" i="31" s="1"/>
  <c r="EI358" i="31" a="1"/>
  <c r="EI358" i="31" s="1"/>
  <c r="EI359" i="31" a="1"/>
  <c r="EI359" i="31"/>
  <c r="EI360" i="31" a="1"/>
  <c r="EI360" i="31" s="1"/>
  <c r="EI361" i="31" a="1"/>
  <c r="EI361" i="31" s="1"/>
  <c r="EI362" i="31" a="1"/>
  <c r="EI362" i="31" s="1"/>
  <c r="EI363" i="31" a="1"/>
  <c r="EI363" i="31" s="1"/>
  <c r="EI364" i="31" a="1"/>
  <c r="EI364" i="31" s="1"/>
  <c r="EI365" i="31" a="1"/>
  <c r="EI365" i="31"/>
  <c r="EI366" i="31" a="1"/>
  <c r="EI366" i="31" s="1"/>
  <c r="EI367" i="31" a="1"/>
  <c r="EI367" i="31" s="1"/>
  <c r="EI368" i="31" a="1"/>
  <c r="EI368" i="31" s="1"/>
  <c r="EI369" i="31" a="1"/>
  <c r="EI369" i="31" s="1"/>
  <c r="EI370" i="31" a="1"/>
  <c r="EI370" i="31" s="1"/>
  <c r="EI371" i="31" a="1"/>
  <c r="EI371" i="31"/>
  <c r="EI372" i="31" a="1"/>
  <c r="EI372" i="31" s="1"/>
  <c r="EI373" i="31" a="1"/>
  <c r="EI373" i="31" s="1"/>
  <c r="EI374" i="31" a="1"/>
  <c r="EI374" i="31" s="1"/>
  <c r="EI375" i="31" a="1"/>
  <c r="EI375" i="31" s="1"/>
  <c r="EI376" i="31" a="1"/>
  <c r="EI376" i="31" s="1"/>
  <c r="EI377" i="31" a="1"/>
  <c r="EI377" i="31"/>
  <c r="EI378" i="31" a="1"/>
  <c r="EI378" i="31" s="1"/>
  <c r="EI379" i="31" a="1"/>
  <c r="EI379" i="31" s="1"/>
  <c r="EI380" i="31" a="1"/>
  <c r="EI380" i="31" s="1"/>
  <c r="EI381" i="31" a="1"/>
  <c r="EI381" i="31" s="1"/>
  <c r="EI382" i="31" a="1"/>
  <c r="EI382" i="31" s="1"/>
  <c r="EI383" i="31" a="1"/>
  <c r="EI383" i="31"/>
  <c r="EI384" i="31" a="1"/>
  <c r="EI384" i="31" s="1"/>
  <c r="EI385" i="31" a="1"/>
  <c r="EI385" i="31" s="1"/>
  <c r="EI386" i="31" a="1"/>
  <c r="EI386" i="31" s="1"/>
  <c r="EI387" i="31" a="1"/>
  <c r="EI387" i="31" s="1"/>
  <c r="EI388" i="31" a="1"/>
  <c r="EI388" i="31" s="1"/>
  <c r="EI389" i="31" a="1"/>
  <c r="EI389" i="31"/>
  <c r="EI390" i="31" a="1"/>
  <c r="EI390" i="31" s="1"/>
  <c r="EI391" i="31" a="1"/>
  <c r="EI391" i="31" s="1"/>
  <c r="EI392" i="31" a="1"/>
  <c r="EI392" i="31" s="1"/>
  <c r="EI393" i="31" a="1"/>
  <c r="EI393" i="31" s="1"/>
  <c r="EI394" i="31" a="1"/>
  <c r="EI394" i="31" s="1"/>
  <c r="EI395" i="31" a="1"/>
  <c r="EI395" i="31"/>
  <c r="EI396" i="31" a="1"/>
  <c r="EI396" i="31" s="1"/>
  <c r="EI397" i="31" a="1"/>
  <c r="EI397" i="31" s="1"/>
  <c r="EI398" i="31" a="1"/>
  <c r="EI398" i="31" s="1"/>
  <c r="EI399" i="31" a="1"/>
  <c r="EI399" i="31" s="1"/>
  <c r="EI400" i="31" a="1"/>
  <c r="EI400" i="31" s="1"/>
  <c r="EI78" i="31" l="1" a="1"/>
  <c r="EI78" i="31" s="1"/>
  <c r="EI79" i="31" a="1"/>
  <c r="EI79" i="31" s="1"/>
  <c r="EI80" i="31" a="1"/>
  <c r="EI80" i="31" s="1"/>
  <c r="EI81" i="31" a="1"/>
  <c r="EI81" i="31" s="1"/>
  <c r="EI82" i="31" a="1"/>
  <c r="EI82" i="31" s="1"/>
  <c r="EI83" i="31" a="1"/>
  <c r="EI83" i="31" s="1"/>
  <c r="EI84" i="31" a="1"/>
  <c r="EI84" i="31" s="1"/>
  <c r="EI85" i="31" a="1"/>
  <c r="EI85" i="31" s="1"/>
  <c r="EI86" i="31" a="1"/>
  <c r="EI86" i="31" s="1"/>
  <c r="EI87" i="31" a="1"/>
  <c r="EI87" i="31" s="1"/>
  <c r="EI88" i="31" a="1"/>
  <c r="EI88" i="31" s="1"/>
  <c r="EI89" i="31" a="1"/>
  <c r="EI89" i="31" s="1"/>
  <c r="EI90" i="31" a="1"/>
  <c r="EI90" i="31" s="1"/>
  <c r="EI91" i="31" a="1"/>
  <c r="EI91" i="31" s="1"/>
  <c r="EI92" i="31" a="1"/>
  <c r="EI92" i="31" s="1"/>
  <c r="EI93" i="31" a="1"/>
  <c r="EI93" i="31" s="1"/>
  <c r="EI94" i="31" a="1"/>
  <c r="EI94" i="31" s="1"/>
  <c r="EI95" i="31" a="1"/>
  <c r="EI95" i="31" s="1"/>
  <c r="EI96" i="31" a="1"/>
  <c r="EI96" i="31" s="1"/>
  <c r="EI97" i="31" a="1"/>
  <c r="EI97" i="31" s="1"/>
  <c r="EI98" i="31" a="1"/>
  <c r="EI98" i="31" s="1"/>
  <c r="EI99" i="31" a="1"/>
  <c r="EI99" i="31" s="1"/>
  <c r="EI100" i="31" a="1"/>
  <c r="EI100" i="31" s="1"/>
  <c r="EI101" i="31" a="1"/>
  <c r="EI101" i="31" s="1"/>
  <c r="EI102" i="31" a="1"/>
  <c r="EI102" i="31" s="1"/>
  <c r="EI103" i="31" a="1"/>
  <c r="EI103" i="31" s="1"/>
  <c r="EI104" i="31" a="1"/>
  <c r="EI104" i="31" s="1"/>
  <c r="EI105" i="31" a="1"/>
  <c r="EI105" i="31" s="1"/>
  <c r="EI106" i="31" a="1"/>
  <c r="EI106" i="31" s="1"/>
  <c r="EI107" i="31" a="1"/>
  <c r="EI107" i="31" s="1"/>
  <c r="EI108" i="31" a="1"/>
  <c r="EI108" i="31" s="1"/>
  <c r="EI109" i="31" a="1"/>
  <c r="EI109" i="31" s="1"/>
  <c r="EI110" i="31" a="1"/>
  <c r="EI110" i="31" s="1"/>
  <c r="EI111" i="31" a="1"/>
  <c r="EI111" i="31" s="1"/>
  <c r="EI112" i="31" a="1"/>
  <c r="EI112" i="31" s="1"/>
  <c r="EI113" i="31" a="1"/>
  <c r="EI113" i="31" s="1"/>
  <c r="EI114" i="31" a="1"/>
  <c r="EI114" i="31" s="1"/>
  <c r="EI115" i="31" a="1"/>
  <c r="EI115" i="31" s="1"/>
  <c r="EI116" i="31" a="1"/>
  <c r="EI116" i="31" s="1"/>
  <c r="EI117" i="31" a="1"/>
  <c r="EI117" i="31" s="1"/>
  <c r="EI118" i="31" a="1"/>
  <c r="EI118" i="31" s="1"/>
  <c r="EI119" i="31" a="1"/>
  <c r="EI119" i="31" s="1"/>
  <c r="EI120" i="31" a="1"/>
  <c r="EI120" i="31" s="1"/>
  <c r="EI121" i="31" a="1"/>
  <c r="EI121" i="31" s="1"/>
  <c r="EI122" i="31" a="1"/>
  <c r="EI122" i="31" s="1"/>
  <c r="EI123" i="31" a="1"/>
  <c r="EI123" i="31" s="1"/>
  <c r="EI124" i="31" a="1"/>
  <c r="EI124" i="31" s="1"/>
  <c r="EI125" i="31" a="1"/>
  <c r="EI125" i="31" s="1"/>
  <c r="EI126" i="31" a="1"/>
  <c r="EI126" i="31" s="1"/>
  <c r="EI127" i="31" a="1"/>
  <c r="EI127" i="31" s="1"/>
  <c r="EI128" i="31" a="1"/>
  <c r="EI128" i="31" s="1"/>
  <c r="EI129" i="31" a="1"/>
  <c r="EI129" i="31" s="1"/>
  <c r="EI130" i="31" a="1"/>
  <c r="EI130" i="31" s="1"/>
  <c r="EI131" i="31" a="1"/>
  <c r="EI131" i="31" s="1"/>
  <c r="EI132" i="31" a="1"/>
  <c r="EI132" i="31" s="1"/>
  <c r="EI133" i="31" a="1"/>
  <c r="EI133" i="31" s="1"/>
  <c r="EI134" i="31" a="1"/>
  <c r="EI134" i="31" s="1"/>
  <c r="EI135" i="31" a="1"/>
  <c r="EI135" i="31" s="1"/>
  <c r="EI136" i="31" a="1"/>
  <c r="EI136" i="31" s="1"/>
  <c r="EI137" i="31" a="1"/>
  <c r="EI137" i="31" s="1"/>
  <c r="EI138" i="31" a="1"/>
  <c r="EI138" i="31" s="1"/>
  <c r="EI139" i="31" a="1"/>
  <c r="EI139" i="31" s="1"/>
  <c r="EI140" i="31" a="1"/>
  <c r="EI140" i="31" s="1"/>
  <c r="EI141" i="31" a="1"/>
  <c r="EI141" i="31" s="1"/>
  <c r="EI142" i="31" a="1"/>
  <c r="EI142" i="31" s="1"/>
  <c r="EI143" i="31" a="1"/>
  <c r="EI143" i="31" s="1"/>
  <c r="EI144" i="31" a="1"/>
  <c r="EI144" i="31" s="1"/>
  <c r="EI145" i="31" a="1"/>
  <c r="EI145" i="31" s="1"/>
  <c r="EI146" i="31" a="1"/>
  <c r="EI146" i="31" s="1"/>
  <c r="EI147" i="31" a="1"/>
  <c r="EI147" i="31" s="1"/>
  <c r="EI148" i="31" a="1"/>
  <c r="EI148" i="31" s="1"/>
  <c r="EI149" i="31" a="1"/>
  <c r="EI149" i="31" s="1"/>
  <c r="EI150" i="31" a="1"/>
  <c r="EI150" i="31" s="1"/>
  <c r="EI151" i="31" a="1"/>
  <c r="EI151" i="31" s="1"/>
  <c r="EI152" i="31" a="1"/>
  <c r="EI152" i="31" s="1"/>
  <c r="EI153" i="31" a="1"/>
  <c r="EI153" i="31" s="1"/>
  <c r="EI154" i="31" a="1"/>
  <c r="EI154" i="31" s="1"/>
  <c r="EI155" i="31" a="1"/>
  <c r="EI155" i="31" s="1"/>
  <c r="EI156" i="31" a="1"/>
  <c r="EI156" i="31" s="1"/>
  <c r="EI157" i="31" a="1"/>
  <c r="EI157" i="31" s="1"/>
  <c r="EI158" i="31" a="1"/>
  <c r="EI158" i="31" s="1"/>
  <c r="EI159" i="31" a="1"/>
  <c r="EI159" i="31" s="1"/>
  <c r="EI160" i="31" a="1"/>
  <c r="EI160" i="31" s="1"/>
  <c r="EI161" i="31" a="1"/>
  <c r="EI161" i="31" s="1"/>
  <c r="EI162" i="31" a="1"/>
  <c r="EI162" i="31" s="1"/>
  <c r="EI163" i="31" a="1"/>
  <c r="EI163" i="31" s="1"/>
  <c r="EI164" i="31" a="1"/>
  <c r="EI164" i="31" s="1"/>
  <c r="EI165" i="31" a="1"/>
  <c r="EI165" i="31" s="1"/>
  <c r="EI166" i="31" a="1"/>
  <c r="EI166" i="31" s="1"/>
  <c r="EI167" i="31" a="1"/>
  <c r="EI167" i="31" s="1"/>
  <c r="EI168" i="31" a="1"/>
  <c r="EI168" i="31" s="1"/>
  <c r="EI169" i="31" a="1"/>
  <c r="EI169" i="31" s="1"/>
  <c r="EI170" i="31" a="1"/>
  <c r="EI170" i="31" s="1"/>
  <c r="EI171" i="31" a="1"/>
  <c r="EI171" i="31" s="1"/>
  <c r="EI172" i="31" a="1"/>
  <c r="EI172" i="31" s="1"/>
  <c r="EI173" i="31" a="1"/>
  <c r="EI173" i="31" s="1"/>
  <c r="EI174" i="31" a="1"/>
  <c r="EI174" i="31" s="1"/>
  <c r="EI175" i="31" a="1"/>
  <c r="EI175" i="31" s="1"/>
  <c r="EI176" i="31" a="1"/>
  <c r="EI176" i="31" s="1"/>
  <c r="EI177" i="31" a="1"/>
  <c r="EI177" i="31" s="1"/>
  <c r="EI178" i="31" a="1"/>
  <c r="EI178" i="31" s="1"/>
  <c r="EI179" i="31" a="1"/>
  <c r="EI179" i="31" s="1"/>
  <c r="EI180" i="31" a="1"/>
  <c r="EI180" i="31" s="1"/>
  <c r="EI181" i="31" a="1"/>
  <c r="EI181" i="31" s="1"/>
  <c r="EI182" i="31" a="1"/>
  <c r="EI182" i="31" s="1"/>
  <c r="EI183" i="31" a="1"/>
  <c r="EI183" i="31" s="1"/>
  <c r="EI184" i="31" a="1"/>
  <c r="EI184" i="31" s="1"/>
  <c r="EI185" i="31" a="1"/>
  <c r="EI185" i="31" s="1"/>
  <c r="EI186" i="31" a="1"/>
  <c r="EI186" i="31" s="1"/>
  <c r="EI187" i="31" a="1"/>
  <c r="EI187" i="31" s="1"/>
  <c r="EI188" i="31" a="1"/>
  <c r="EI188" i="31" s="1"/>
  <c r="EI189" i="31" a="1"/>
  <c r="EI189" i="31" s="1"/>
  <c r="EI190" i="31" a="1"/>
  <c r="EI190" i="31" s="1"/>
  <c r="EI191" i="31" a="1"/>
  <c r="EI191" i="31" s="1"/>
  <c r="EI192" i="31" a="1"/>
  <c r="EI192" i="31" s="1"/>
  <c r="EI193" i="31" a="1"/>
  <c r="EI193" i="31" s="1"/>
  <c r="EI194" i="31" a="1"/>
  <c r="EI194" i="31" s="1"/>
  <c r="EI195" i="31" a="1"/>
  <c r="EI195" i="31" s="1"/>
  <c r="EI196" i="31" a="1"/>
  <c r="EI196" i="31" s="1"/>
  <c r="EI197" i="31" a="1"/>
  <c r="EI197" i="31" s="1"/>
  <c r="EI198" i="31" a="1"/>
  <c r="EI198" i="31" s="1"/>
  <c r="EI199" i="31" a="1"/>
  <c r="EI199" i="31" s="1"/>
  <c r="EI200" i="31" a="1"/>
  <c r="EI200" i="31" s="1"/>
  <c r="FH342" i="30" a="1"/>
  <c r="FH342" i="30" s="1"/>
  <c r="FH343" i="30" a="1"/>
  <c r="FH343" i="30" s="1"/>
  <c r="FH344" i="30" a="1"/>
  <c r="FH344" i="30" s="1"/>
  <c r="FH345" i="30" a="1"/>
  <c r="FH345" i="30" s="1"/>
  <c r="FH346" i="30" a="1"/>
  <c r="FH346" i="30" s="1"/>
  <c r="FH347" i="30" a="1"/>
  <c r="FH347" i="30" s="1"/>
  <c r="FH348" i="30" a="1"/>
  <c r="FH348" i="30" s="1"/>
  <c r="FH349" i="30" a="1"/>
  <c r="FH349" i="30" s="1"/>
  <c r="FH350" i="30" a="1"/>
  <c r="FH350" i="30" s="1"/>
  <c r="FH351" i="30" a="1"/>
  <c r="FH351" i="30" s="1"/>
  <c r="FH352" i="30" a="1"/>
  <c r="FH352" i="30" s="1"/>
  <c r="FH353" i="30" a="1"/>
  <c r="FH353" i="30" s="1"/>
  <c r="FH354" i="30" a="1"/>
  <c r="FH354" i="30" s="1"/>
  <c r="FH355" i="30" a="1"/>
  <c r="FH355" i="30" s="1"/>
  <c r="FH356" i="30" a="1"/>
  <c r="FH356" i="30" s="1"/>
  <c r="FH357" i="30" a="1"/>
  <c r="FH357" i="30" s="1"/>
  <c r="FH358" i="30" a="1"/>
  <c r="FH358" i="30" s="1"/>
  <c r="FH359" i="30" a="1"/>
  <c r="FH359" i="30" s="1"/>
  <c r="FH360" i="30" a="1"/>
  <c r="FH360" i="30" s="1"/>
  <c r="FH361" i="30" a="1"/>
  <c r="FH361" i="30" s="1"/>
  <c r="FH362" i="30" a="1"/>
  <c r="FH362" i="30" s="1"/>
  <c r="FH363" i="30" a="1"/>
  <c r="FH363" i="30" s="1"/>
  <c r="FH364" i="30" a="1"/>
  <c r="FH364" i="30" s="1"/>
  <c r="FH365" i="30" a="1"/>
  <c r="FH365" i="30" s="1"/>
  <c r="FH366" i="30" a="1"/>
  <c r="FH366" i="30" s="1"/>
  <c r="FH367" i="30" a="1"/>
  <c r="FH367" i="30" s="1"/>
  <c r="FH368" i="30" a="1"/>
  <c r="FH368" i="30" s="1"/>
  <c r="FH369" i="30" a="1"/>
  <c r="FH369" i="30" s="1"/>
  <c r="FH370" i="30" a="1"/>
  <c r="FH370" i="30" s="1"/>
  <c r="FH371" i="30" a="1"/>
  <c r="FH371" i="30" s="1"/>
  <c r="FH372" i="30" a="1"/>
  <c r="FH372" i="30" s="1"/>
  <c r="FH373" i="30" a="1"/>
  <c r="FH373" i="30" s="1"/>
  <c r="FH374" i="30" a="1"/>
  <c r="FH374" i="30" s="1"/>
  <c r="FH375" i="30" a="1"/>
  <c r="FH375" i="30" s="1"/>
  <c r="FH376" i="30" a="1"/>
  <c r="FH376" i="30" s="1"/>
  <c r="FH377" i="30" a="1"/>
  <c r="FH377" i="30" s="1"/>
  <c r="FH378" i="30" a="1"/>
  <c r="FH378" i="30" s="1"/>
  <c r="FH379" i="30" a="1"/>
  <c r="FH379" i="30" s="1"/>
  <c r="FH380" i="30" a="1"/>
  <c r="FH380" i="30" s="1"/>
  <c r="FH381" i="30" a="1"/>
  <c r="FH381" i="30" s="1"/>
  <c r="FH382" i="30" a="1"/>
  <c r="FH382" i="30" s="1"/>
  <c r="FH383" i="30" a="1"/>
  <c r="FH383" i="30" s="1"/>
  <c r="FH384" i="30" a="1"/>
  <c r="FH384" i="30" s="1"/>
  <c r="FH385" i="30" a="1"/>
  <c r="FH385" i="30" s="1"/>
  <c r="FH386" i="30" a="1"/>
  <c r="FH386" i="30" s="1"/>
  <c r="FH387" i="30" a="1"/>
  <c r="FH387" i="30" s="1"/>
  <c r="FH388" i="30" a="1"/>
  <c r="FH388" i="30" s="1"/>
  <c r="FH389" i="30" a="1"/>
  <c r="FH389" i="30" s="1"/>
  <c r="FH390" i="30" a="1"/>
  <c r="FH390" i="30" s="1"/>
  <c r="FH391" i="30" a="1"/>
  <c r="FH391" i="30" s="1"/>
  <c r="FH392" i="30" a="1"/>
  <c r="FH392" i="30" s="1"/>
  <c r="FH393" i="30" a="1"/>
  <c r="FH393" i="30" s="1"/>
  <c r="FH394" i="30" a="1"/>
  <c r="FH394" i="30" s="1"/>
  <c r="FH395" i="30" a="1"/>
  <c r="FH395" i="30" s="1"/>
  <c r="FH396" i="30" a="1"/>
  <c r="FH396" i="30" s="1"/>
  <c r="FH397" i="30" a="1"/>
  <c r="FH397" i="30" s="1"/>
  <c r="FH398" i="30" a="1"/>
  <c r="FH398" i="30" s="1"/>
  <c r="FH399" i="30" a="1"/>
  <c r="FH399" i="30" s="1"/>
  <c r="FH400" i="30" a="1"/>
  <c r="FH400" i="30" s="1"/>
  <c r="FC8" i="21" a="1"/>
  <c r="FC8" i="21" s="1"/>
  <c r="FC9" i="21" a="1"/>
  <c r="FC9" i="21" s="1"/>
  <c r="FC10" i="21" a="1"/>
  <c r="FC10" i="21" s="1"/>
  <c r="FC11" i="21" a="1"/>
  <c r="FC11" i="21" s="1"/>
  <c r="FC12" i="21" a="1"/>
  <c r="FC12" i="21" s="1"/>
  <c r="FC13" i="21" a="1"/>
  <c r="FC13" i="21" s="1"/>
  <c r="FC14" i="21" a="1"/>
  <c r="FC14" i="21" s="1"/>
  <c r="FC15" i="21" a="1"/>
  <c r="FC15" i="21" s="1"/>
  <c r="FC16" i="21" a="1"/>
  <c r="FC16" i="21" s="1"/>
  <c r="FC17" i="21" a="1"/>
  <c r="FC17" i="21" s="1"/>
  <c r="FC18" i="21" a="1"/>
  <c r="FC18" i="21" s="1"/>
  <c r="FC19" i="21" a="1"/>
  <c r="FC19" i="21" s="1"/>
  <c r="FC20" i="21" a="1"/>
  <c r="FC20" i="21" s="1"/>
  <c r="FC21" i="21" a="1"/>
  <c r="FC21" i="21" s="1"/>
  <c r="FC22" i="21" a="1"/>
  <c r="FC22" i="21" s="1"/>
  <c r="FC23" i="21" a="1"/>
  <c r="FC23" i="21" s="1"/>
  <c r="FC24" i="21" a="1"/>
  <c r="FC24" i="21" s="1"/>
  <c r="FC25" i="21" a="1"/>
  <c r="FC25" i="21" s="1"/>
  <c r="FC26" i="21" a="1"/>
  <c r="FC26" i="21" s="1"/>
  <c r="FC27" i="21" a="1"/>
  <c r="FC27" i="21" s="1"/>
  <c r="FC28" i="21" a="1"/>
  <c r="FC28" i="21" s="1"/>
  <c r="FC29" i="21" a="1"/>
  <c r="FC29" i="21" s="1"/>
  <c r="FC30" i="21" a="1"/>
  <c r="FC30" i="21" s="1"/>
  <c r="FC31" i="21" a="1"/>
  <c r="FC31" i="21" s="1"/>
  <c r="FC32" i="21" a="1"/>
  <c r="FC32" i="21" s="1"/>
  <c r="FC33" i="21" a="1"/>
  <c r="FC33" i="21" s="1"/>
  <c r="FC34" i="21" a="1"/>
  <c r="FC34" i="21" s="1"/>
  <c r="FC35" i="21" a="1"/>
  <c r="FC35" i="21" s="1"/>
  <c r="FC36" i="21" a="1"/>
  <c r="FC36" i="21" s="1"/>
  <c r="FC37" i="21" a="1"/>
  <c r="FC37" i="21" s="1"/>
  <c r="FC38" i="21" a="1"/>
  <c r="FC38" i="21" s="1"/>
  <c r="FC39" i="21" a="1"/>
  <c r="FC39" i="21" s="1"/>
  <c r="FC40" i="21" a="1"/>
  <c r="FC40" i="21" s="1"/>
  <c r="FC41" i="21" a="1"/>
  <c r="FC41" i="21" s="1"/>
  <c r="FC42" i="21" a="1"/>
  <c r="FC42" i="21" s="1"/>
  <c r="FC43" i="21" a="1"/>
  <c r="FC43" i="21" s="1"/>
  <c r="FC44" i="21" a="1"/>
  <c r="FC44" i="21" s="1"/>
  <c r="FC45" i="21" a="1"/>
  <c r="FC45" i="21" s="1"/>
  <c r="FC46" i="21" a="1"/>
  <c r="FC46" i="21" s="1"/>
  <c r="FC47" i="21" a="1"/>
  <c r="FC47" i="21" s="1"/>
  <c r="FC48" i="21" a="1"/>
  <c r="FC48" i="21" s="1"/>
  <c r="FC49" i="21" a="1"/>
  <c r="FC49" i="21" s="1"/>
  <c r="FC50" i="21" a="1"/>
  <c r="FC50" i="21" s="1"/>
  <c r="FC51" i="21" a="1"/>
  <c r="FC51" i="21" s="1"/>
  <c r="FC52" i="21" a="1"/>
  <c r="FC52" i="21" s="1"/>
  <c r="FC53" i="21" a="1"/>
  <c r="FC53" i="21" s="1"/>
  <c r="FC54" i="21" a="1"/>
  <c r="FC54" i="21" s="1"/>
  <c r="FC55" i="21" a="1"/>
  <c r="FC55" i="21" s="1"/>
  <c r="FC56" i="21" a="1"/>
  <c r="FC56" i="21" s="1"/>
  <c r="FC57" i="21" a="1"/>
  <c r="FC57" i="21" s="1"/>
  <c r="FC58" i="21" a="1"/>
  <c r="FC58" i="21" s="1"/>
  <c r="FC59" i="21" a="1"/>
  <c r="FC59" i="21" s="1"/>
  <c r="FC60" i="21" a="1"/>
  <c r="FC60" i="21" s="1"/>
  <c r="FC61" i="21" a="1"/>
  <c r="FC61" i="21" s="1"/>
  <c r="FC62" i="21" a="1"/>
  <c r="FC62" i="21" s="1"/>
  <c r="FC63" i="21" a="1"/>
  <c r="FC63" i="21" s="1"/>
  <c r="FC64" i="21" a="1"/>
  <c r="FC64" i="21" s="1"/>
  <c r="FC65" i="21" a="1"/>
  <c r="FC65" i="21" s="1"/>
  <c r="FC66" i="21" a="1"/>
  <c r="FC66" i="21" s="1"/>
  <c r="FC67" i="21" a="1"/>
  <c r="FC67" i="21" s="1"/>
  <c r="FC68" i="21" a="1"/>
  <c r="FC68" i="21" s="1"/>
  <c r="FC69" i="21" a="1"/>
  <c r="FC69" i="21" s="1"/>
  <c r="FC70" i="21" a="1"/>
  <c r="FC70" i="21" s="1"/>
  <c r="FC71" i="21" a="1"/>
  <c r="FC71" i="21" s="1"/>
  <c r="FC72" i="21" a="1"/>
  <c r="FC72" i="21" s="1"/>
  <c r="FC73" i="21" a="1"/>
  <c r="FC73" i="21" s="1"/>
  <c r="FC74" i="21" a="1"/>
  <c r="FC74" i="21" s="1"/>
  <c r="FC75" i="21" a="1"/>
  <c r="FC75" i="21" s="1"/>
  <c r="FC76" i="21" a="1"/>
  <c r="FC76" i="21" s="1"/>
  <c r="FC77" i="21" a="1"/>
  <c r="FC77" i="21" s="1"/>
  <c r="FC78" i="21" a="1"/>
  <c r="FC78" i="21" s="1"/>
  <c r="FC79" i="21" a="1"/>
  <c r="FC79" i="21" s="1"/>
  <c r="FC80" i="21" a="1"/>
  <c r="FC80" i="21" s="1"/>
  <c r="FC81" i="21" a="1"/>
  <c r="FC81" i="21" s="1"/>
  <c r="FC82" i="21" a="1"/>
  <c r="FC82" i="21" s="1"/>
  <c r="FC83" i="21" a="1"/>
  <c r="FC83" i="21" s="1"/>
  <c r="FC84" i="21" a="1"/>
  <c r="FC84" i="21" s="1"/>
  <c r="FC85" i="21" a="1"/>
  <c r="FC85" i="21" s="1"/>
  <c r="FC86" i="21" a="1"/>
  <c r="FC86" i="21" s="1"/>
  <c r="FC87" i="21" a="1"/>
  <c r="FC87" i="21" s="1"/>
  <c r="FC88" i="21" a="1"/>
  <c r="FC88" i="21" s="1"/>
  <c r="FC89" i="21" a="1"/>
  <c r="FC89" i="21" s="1"/>
  <c r="FC90" i="21" a="1"/>
  <c r="FC90" i="21" s="1"/>
  <c r="FC91" i="21" a="1"/>
  <c r="FC91" i="21" s="1"/>
  <c r="FC92" i="21" a="1"/>
  <c r="FC92" i="21" s="1"/>
  <c r="FC93" i="21" a="1"/>
  <c r="FC93" i="21" s="1"/>
  <c r="FC94" i="21" a="1"/>
  <c r="FC94" i="21" s="1"/>
  <c r="FC95" i="21" a="1"/>
  <c r="FC95" i="21" s="1"/>
  <c r="FC96" i="21" a="1"/>
  <c r="FC96" i="21" s="1"/>
  <c r="FC97" i="21" a="1"/>
  <c r="FC97" i="21" s="1"/>
  <c r="FC98" i="21" a="1"/>
  <c r="FC98" i="21" s="1"/>
  <c r="FC99" i="21" a="1"/>
  <c r="FC99" i="21" s="1"/>
  <c r="FC100" i="21" a="1"/>
  <c r="FC100" i="21" s="1"/>
  <c r="FC101" i="21" a="1"/>
  <c r="FC101" i="21" s="1"/>
  <c r="FC102" i="21" a="1"/>
  <c r="FC102" i="21" s="1"/>
  <c r="FC103" i="21" a="1"/>
  <c r="FC103" i="21" s="1"/>
  <c r="FC104" i="21" a="1"/>
  <c r="FC104" i="21" s="1"/>
  <c r="FC105" i="21" a="1"/>
  <c r="FC105" i="21" s="1"/>
  <c r="FC106" i="21" a="1"/>
  <c r="FC106" i="21" s="1"/>
  <c r="FC107" i="21" a="1"/>
  <c r="FC107" i="21" s="1"/>
  <c r="FC108" i="21" a="1"/>
  <c r="FC108" i="21" s="1"/>
  <c r="FC109" i="21" a="1"/>
  <c r="FC109" i="21" s="1"/>
  <c r="FC110" i="21" a="1"/>
  <c r="FC110" i="21" s="1"/>
  <c r="FC111" i="21" a="1"/>
  <c r="FC111" i="21" s="1"/>
  <c r="FC112" i="21" a="1"/>
  <c r="FC112" i="21" s="1"/>
  <c r="FC113" i="21" a="1"/>
  <c r="FC113" i="21" s="1"/>
  <c r="FC114" i="21" a="1"/>
  <c r="FC114" i="21" s="1"/>
  <c r="FC115" i="21" a="1"/>
  <c r="FC115" i="21" s="1"/>
  <c r="FC116" i="21" a="1"/>
  <c r="FC116" i="21" s="1"/>
  <c r="FC117" i="21" a="1"/>
  <c r="FC117" i="21" s="1"/>
  <c r="FC118" i="21" a="1"/>
  <c r="FC118" i="21" s="1"/>
  <c r="FC119" i="21" a="1"/>
  <c r="FC119" i="21" s="1"/>
  <c r="FC120" i="21" a="1"/>
  <c r="FC120" i="21" s="1"/>
  <c r="FC121" i="21" a="1"/>
  <c r="FC121" i="21" s="1"/>
  <c r="FC122" i="21" a="1"/>
  <c r="FC122" i="21" s="1"/>
  <c r="FC123" i="21" a="1"/>
  <c r="FC123" i="21" s="1"/>
  <c r="FC124" i="21" a="1"/>
  <c r="FC124" i="21" s="1"/>
  <c r="FC125" i="21" a="1"/>
  <c r="FC125" i="21" s="1"/>
  <c r="FC126" i="21" a="1"/>
  <c r="FC126" i="21" s="1"/>
  <c r="FC127" i="21" a="1"/>
  <c r="FC127" i="21" s="1"/>
  <c r="FC128" i="21" a="1"/>
  <c r="FC128" i="21" s="1"/>
  <c r="FC129" i="21" a="1"/>
  <c r="FC129" i="21" s="1"/>
  <c r="FC130" i="21" a="1"/>
  <c r="FC130" i="21" s="1"/>
  <c r="FC131" i="21" a="1"/>
  <c r="FC131" i="21" s="1"/>
  <c r="FC132" i="21" a="1"/>
  <c r="FC132" i="21" s="1"/>
  <c r="FC133" i="21" a="1"/>
  <c r="FC133" i="21" s="1"/>
  <c r="FC134" i="21" a="1"/>
  <c r="FC134" i="21" s="1"/>
  <c r="FC135" i="21" a="1"/>
  <c r="FC135" i="21" s="1"/>
  <c r="FC136" i="21" a="1"/>
  <c r="FC136" i="21" s="1"/>
  <c r="FC137" i="21" a="1"/>
  <c r="FC137" i="21" s="1"/>
  <c r="FC138" i="21" a="1"/>
  <c r="FC138" i="21" s="1"/>
  <c r="FC139" i="21" a="1"/>
  <c r="FC139" i="21" s="1"/>
  <c r="FC140" i="21" a="1"/>
  <c r="FC140" i="21" s="1"/>
  <c r="FC141" i="21" a="1"/>
  <c r="FC141" i="21" s="1"/>
  <c r="FC142" i="21" a="1"/>
  <c r="FC142" i="21" s="1"/>
  <c r="FC143" i="21" a="1"/>
  <c r="FC143" i="21" s="1"/>
  <c r="FC144" i="21" a="1"/>
  <c r="FC144" i="21" s="1"/>
  <c r="FC145" i="21" a="1"/>
  <c r="FC145" i="21" s="1"/>
  <c r="FC146" i="21" a="1"/>
  <c r="FC146" i="21" s="1"/>
  <c r="FC147" i="21" a="1"/>
  <c r="FC147" i="21" s="1"/>
  <c r="FC148" i="21" a="1"/>
  <c r="FC148" i="21" s="1"/>
  <c r="FC149" i="21" a="1"/>
  <c r="FC149" i="21" s="1"/>
  <c r="FC150" i="21" a="1"/>
  <c r="FC150" i="21" s="1"/>
  <c r="FC151" i="21" a="1"/>
  <c r="FC151" i="21" s="1"/>
  <c r="FC152" i="21" a="1"/>
  <c r="FC152" i="21" s="1"/>
  <c r="FC153" i="21" a="1"/>
  <c r="FC153" i="21" s="1"/>
  <c r="FC154" i="21" a="1"/>
  <c r="FC154" i="21" s="1"/>
  <c r="FC155" i="21" a="1"/>
  <c r="FC155" i="21" s="1"/>
  <c r="FC156" i="21" a="1"/>
  <c r="FC156" i="21" s="1"/>
  <c r="FC157" i="21" a="1"/>
  <c r="FC157" i="21" s="1"/>
  <c r="FC158" i="21" a="1"/>
  <c r="FC158" i="21" s="1"/>
  <c r="FC159" i="21" a="1"/>
  <c r="FC159" i="21" s="1"/>
  <c r="FC160" i="21" a="1"/>
  <c r="FC160" i="21" s="1"/>
  <c r="FC161" i="21" a="1"/>
  <c r="FC161" i="21" s="1"/>
  <c r="FC162" i="21" a="1"/>
  <c r="FC162" i="21" s="1"/>
  <c r="FC163" i="21" a="1"/>
  <c r="FC163" i="21" s="1"/>
  <c r="FC164" i="21" a="1"/>
  <c r="FC164" i="21" s="1"/>
  <c r="FC165" i="21" a="1"/>
  <c r="FC165" i="21" s="1"/>
  <c r="FC166" i="21" a="1"/>
  <c r="FC166" i="21" s="1"/>
  <c r="FC167" i="21" a="1"/>
  <c r="FC167" i="21" s="1"/>
  <c r="FC168" i="21" a="1"/>
  <c r="FC168" i="21" s="1"/>
  <c r="FC169" i="21" a="1"/>
  <c r="FC169" i="21" s="1"/>
  <c r="FC170" i="21" a="1"/>
  <c r="FC170" i="21" s="1"/>
  <c r="FC171" i="21" a="1"/>
  <c r="FC171" i="21" s="1"/>
  <c r="FC172" i="21" a="1"/>
  <c r="FC172" i="21" s="1"/>
  <c r="FC173" i="21" a="1"/>
  <c r="FC173" i="21" s="1"/>
  <c r="FC174" i="21" a="1"/>
  <c r="FC174" i="21" s="1"/>
  <c r="FC175" i="21" a="1"/>
  <c r="FC175" i="21" s="1"/>
  <c r="FC176" i="21" a="1"/>
  <c r="FC176" i="21" s="1"/>
  <c r="FC177" i="21" a="1"/>
  <c r="FC177" i="21" s="1"/>
  <c r="FC178" i="21" a="1"/>
  <c r="FC178" i="21" s="1"/>
  <c r="FC179" i="21" a="1"/>
  <c r="FC179" i="21" s="1"/>
  <c r="FC180" i="21" a="1"/>
  <c r="FC180" i="21" s="1"/>
  <c r="FC181" i="21" a="1"/>
  <c r="FC181" i="21" s="1"/>
  <c r="FC182" i="21" a="1"/>
  <c r="FC182" i="21" s="1"/>
  <c r="FC183" i="21" a="1"/>
  <c r="FC183" i="21" s="1"/>
  <c r="FC184" i="21" a="1"/>
  <c r="FC184" i="21" s="1"/>
  <c r="FC185" i="21" a="1"/>
  <c r="FC185" i="21" s="1"/>
  <c r="FC186" i="21" a="1"/>
  <c r="FC186" i="21" s="1"/>
  <c r="FC187" i="21" a="1"/>
  <c r="FC187" i="21" s="1"/>
  <c r="FC188" i="21" a="1"/>
  <c r="FC188" i="21" s="1"/>
  <c r="FC189" i="21" a="1"/>
  <c r="FC189" i="21" s="1"/>
  <c r="FC190" i="21" a="1"/>
  <c r="FC190" i="21" s="1"/>
  <c r="FC191" i="21" a="1"/>
  <c r="FC191" i="21" s="1"/>
  <c r="FC192" i="21" a="1"/>
  <c r="FC192" i="21" s="1"/>
  <c r="FC193" i="21" a="1"/>
  <c r="FC193" i="21" s="1"/>
  <c r="FC194" i="21" a="1"/>
  <c r="FC194" i="21" s="1"/>
  <c r="FC195" i="21" a="1"/>
  <c r="FC195" i="21" s="1"/>
  <c r="FC196" i="21" a="1"/>
  <c r="FC196" i="21" s="1"/>
  <c r="FC197" i="21" a="1"/>
  <c r="FC197" i="21" s="1"/>
  <c r="FC198" i="21" a="1"/>
  <c r="FC198" i="21" s="1"/>
  <c r="FC199" i="21" a="1"/>
  <c r="FC199" i="21" s="1"/>
  <c r="FC200" i="21" a="1"/>
  <c r="FC200" i="21" s="1"/>
  <c r="FC201" i="21" a="1"/>
  <c r="FC201" i="21" s="1"/>
  <c r="FC202" i="21" a="1"/>
  <c r="FC202" i="21" s="1"/>
  <c r="FC203" i="21" a="1"/>
  <c r="FC203" i="21" s="1"/>
  <c r="FC204" i="21" a="1"/>
  <c r="FC204" i="21"/>
  <c r="FC205" i="21" a="1"/>
  <c r="FC205" i="21" s="1"/>
  <c r="FC206" i="21" a="1"/>
  <c r="FC206" i="21" s="1"/>
  <c r="FC207" i="21" a="1"/>
  <c r="FC207" i="21" s="1"/>
  <c r="FC208" i="21" a="1"/>
  <c r="FC208" i="21" s="1"/>
  <c r="FC209" i="21" a="1"/>
  <c r="FC209" i="21" s="1"/>
  <c r="FC210" i="21" a="1"/>
  <c r="FC210" i="21" s="1"/>
  <c r="FC211" i="21" a="1"/>
  <c r="FC211" i="21" s="1"/>
  <c r="FC212" i="21" a="1"/>
  <c r="FC212" i="21" s="1"/>
  <c r="FC213" i="21" a="1"/>
  <c r="FC213" i="21" s="1"/>
  <c r="FC214" i="21" a="1"/>
  <c r="FC214" i="21" s="1"/>
  <c r="FC215" i="21" a="1"/>
  <c r="FC215" i="21" s="1"/>
  <c r="FC216" i="21" a="1"/>
  <c r="FC216" i="21" s="1"/>
  <c r="FC217" i="21" a="1"/>
  <c r="FC217" i="21" s="1"/>
  <c r="FC218" i="21" a="1"/>
  <c r="FC218" i="21" s="1"/>
  <c r="FC219" i="21" a="1"/>
  <c r="FC219" i="21" s="1"/>
  <c r="FC220" i="21" a="1"/>
  <c r="FC220" i="21" s="1"/>
  <c r="FC221" i="21" a="1"/>
  <c r="FC221" i="21" s="1"/>
  <c r="FC222" i="21" a="1"/>
  <c r="FC222" i="21" s="1"/>
  <c r="FC223" i="21" a="1"/>
  <c r="FC223" i="21" s="1"/>
  <c r="FC224" i="21" a="1"/>
  <c r="FC224" i="21" s="1"/>
  <c r="FC225" i="21" a="1"/>
  <c r="FC225" i="21" s="1"/>
  <c r="FC226" i="21" a="1"/>
  <c r="FC226" i="21" s="1"/>
  <c r="FC227" i="21" a="1"/>
  <c r="FC227" i="21" s="1"/>
  <c r="FC228" i="21" a="1"/>
  <c r="FC228" i="21" s="1"/>
  <c r="FC229" i="21" a="1"/>
  <c r="FC229" i="21" s="1"/>
  <c r="FC230" i="21" a="1"/>
  <c r="FC230" i="21" s="1"/>
  <c r="FC231" i="21" a="1"/>
  <c r="FC231" i="21" s="1"/>
  <c r="FC232" i="21" a="1"/>
  <c r="FC232" i="21" s="1"/>
  <c r="FC233" i="21" a="1"/>
  <c r="FC233" i="21" s="1"/>
  <c r="FC234" i="21" a="1"/>
  <c r="FC234" i="21" s="1"/>
  <c r="FC235" i="21" a="1"/>
  <c r="FC235" i="21" s="1"/>
  <c r="FC236" i="21" a="1"/>
  <c r="FC236" i="21" s="1"/>
  <c r="FC237" i="21" a="1"/>
  <c r="FC237" i="21" s="1"/>
  <c r="FC238" i="21" a="1"/>
  <c r="FC238" i="21" s="1"/>
  <c r="FC239" i="21" a="1"/>
  <c r="FC239" i="21" s="1"/>
  <c r="FC240" i="21" a="1"/>
  <c r="FC240" i="21" s="1"/>
  <c r="FC241" i="21" a="1"/>
  <c r="FC241" i="21" s="1"/>
  <c r="FC242" i="21" a="1"/>
  <c r="FC242" i="21" s="1"/>
  <c r="FC243" i="21" a="1"/>
  <c r="FC243" i="21" s="1"/>
  <c r="FC244" i="21" a="1"/>
  <c r="FC244" i="21" s="1"/>
  <c r="FC245" i="21" a="1"/>
  <c r="FC245" i="21" s="1"/>
  <c r="FC246" i="21" a="1"/>
  <c r="FC246" i="21" s="1"/>
  <c r="FC247" i="21" a="1"/>
  <c r="FC247" i="21" s="1"/>
  <c r="FC248" i="21" a="1"/>
  <c r="FC248" i="21" s="1"/>
  <c r="FC249" i="21" a="1"/>
  <c r="FC249" i="21" s="1"/>
  <c r="FC250" i="21" a="1"/>
  <c r="FC250" i="21" s="1"/>
  <c r="FC251" i="21" a="1"/>
  <c r="FC251" i="21" s="1"/>
  <c r="FC252" i="21" a="1"/>
  <c r="FC252" i="21" s="1"/>
  <c r="FC253" i="21" a="1"/>
  <c r="FC253" i="21" s="1"/>
  <c r="FC254" i="21" a="1"/>
  <c r="FC254" i="21" s="1"/>
  <c r="FC255" i="21" a="1"/>
  <c r="FC255" i="21" s="1"/>
  <c r="FC256" i="21" a="1"/>
  <c r="FC256" i="21" s="1"/>
  <c r="FC257" i="21" a="1"/>
  <c r="FC257" i="21" s="1"/>
  <c r="FC258" i="21" a="1"/>
  <c r="FC258" i="21" s="1"/>
  <c r="FC259" i="21" a="1"/>
  <c r="FC259" i="21" s="1"/>
  <c r="FC260" i="21" a="1"/>
  <c r="FC260" i="21" s="1"/>
  <c r="FC261" i="21" a="1"/>
  <c r="FC261" i="21" s="1"/>
  <c r="FC262" i="21" a="1"/>
  <c r="FC262" i="21" s="1"/>
  <c r="FC263" i="21" a="1"/>
  <c r="FC263" i="21" s="1"/>
  <c r="FC264" i="21" a="1"/>
  <c r="FC264" i="21" s="1"/>
  <c r="FC265" i="21" a="1"/>
  <c r="FC265" i="21" s="1"/>
  <c r="FC266" i="21" a="1"/>
  <c r="FC266" i="21" s="1"/>
  <c r="FC267" i="21" a="1"/>
  <c r="FC267" i="21" s="1"/>
  <c r="FC268" i="21" a="1"/>
  <c r="FC268" i="21" s="1"/>
  <c r="FC269" i="21" a="1"/>
  <c r="FC269" i="21" s="1"/>
  <c r="FC270" i="21" a="1"/>
  <c r="FC270" i="21" s="1"/>
  <c r="FC271" i="21" a="1"/>
  <c r="FC271" i="21" s="1"/>
  <c r="FC272" i="21" a="1"/>
  <c r="FC272" i="21" s="1"/>
  <c r="FC273" i="21" a="1"/>
  <c r="FC273" i="21" s="1"/>
  <c r="FC274" i="21" a="1"/>
  <c r="FC274" i="21" s="1"/>
  <c r="FC275" i="21" a="1"/>
  <c r="FC275" i="21" s="1"/>
  <c r="FC276" i="21" a="1"/>
  <c r="FC276" i="21" s="1"/>
  <c r="FC277" i="21" a="1"/>
  <c r="FC277" i="21" s="1"/>
  <c r="FC278" i="21" a="1"/>
  <c r="FC278" i="21" s="1"/>
  <c r="FC279" i="21" a="1"/>
  <c r="FC279" i="21" s="1"/>
  <c r="FC280" i="21" a="1"/>
  <c r="FC280" i="21" s="1"/>
  <c r="FC281" i="21" a="1"/>
  <c r="FC281" i="21" s="1"/>
  <c r="FC282" i="21" a="1"/>
  <c r="FC282" i="21" s="1"/>
  <c r="FC283" i="21" a="1"/>
  <c r="FC283" i="21" s="1"/>
  <c r="FC284" i="21" a="1"/>
  <c r="FC284" i="21" s="1"/>
  <c r="FC285" i="21" a="1"/>
  <c r="FC285" i="21" s="1"/>
  <c r="FC286" i="21" a="1"/>
  <c r="FC286" i="21" s="1"/>
  <c r="FC287" i="21" a="1"/>
  <c r="FC287" i="21" s="1"/>
  <c r="FC288" i="21" a="1"/>
  <c r="FC288" i="21" s="1"/>
  <c r="FC289" i="21" a="1"/>
  <c r="FC289" i="21" s="1"/>
  <c r="FC290" i="21" a="1"/>
  <c r="FC290" i="21" s="1"/>
  <c r="FC291" i="21" a="1"/>
  <c r="FC291" i="21" s="1"/>
  <c r="FC292" i="21" a="1"/>
  <c r="FC292" i="21" s="1"/>
  <c r="FC293" i="21" a="1"/>
  <c r="FC293" i="21" s="1"/>
  <c r="FC294" i="21" a="1"/>
  <c r="FC294" i="21"/>
  <c r="FC295" i="21" a="1"/>
  <c r="FC295" i="21" s="1"/>
  <c r="FC296" i="21" a="1"/>
  <c r="FC296" i="21" s="1"/>
  <c r="FC297" i="21" a="1"/>
  <c r="FC297" i="21" s="1"/>
  <c r="FC298" i="21" a="1"/>
  <c r="FC298" i="21" s="1"/>
  <c r="FC299" i="21" a="1"/>
  <c r="FC299" i="21" s="1"/>
  <c r="FC300" i="21" a="1"/>
  <c r="FC300" i="21" s="1"/>
  <c r="FC301" i="21" a="1"/>
  <c r="FC301" i="21" s="1"/>
  <c r="FC302" i="21" a="1"/>
  <c r="FC302" i="21" s="1"/>
  <c r="FC303" i="21" a="1"/>
  <c r="FC303" i="21" s="1"/>
  <c r="FC304" i="21" a="1"/>
  <c r="FC304" i="21" s="1"/>
  <c r="FC305" i="21" a="1"/>
  <c r="FC305" i="21" s="1"/>
  <c r="FC306" i="21" a="1"/>
  <c r="FC306" i="21" s="1"/>
  <c r="FC307" i="21" a="1"/>
  <c r="FC307" i="21" s="1"/>
  <c r="FC308" i="21" a="1"/>
  <c r="FC308" i="21" s="1"/>
  <c r="FC309" i="21" a="1"/>
  <c r="FC309" i="21" s="1"/>
  <c r="FC310" i="21" a="1"/>
  <c r="FC310" i="21" s="1"/>
  <c r="FC311" i="21" a="1"/>
  <c r="FC311" i="21" s="1"/>
  <c r="FC312" i="21" a="1"/>
  <c r="FC312" i="21" s="1"/>
  <c r="FC313" i="21" a="1"/>
  <c r="FC313" i="21" s="1"/>
  <c r="FC314" i="21" a="1"/>
  <c r="FC314" i="21" s="1"/>
  <c r="FC315" i="21" a="1"/>
  <c r="FC315" i="21" s="1"/>
  <c r="FC316" i="21" a="1"/>
  <c r="FC316" i="21" s="1"/>
  <c r="FC317" i="21" a="1"/>
  <c r="FC317" i="21" s="1"/>
  <c r="FC318" i="21" a="1"/>
  <c r="FC318" i="21" s="1"/>
  <c r="FC319" i="21" a="1"/>
  <c r="FC319" i="21" s="1"/>
  <c r="FC320" i="21" a="1"/>
  <c r="FC320" i="21" s="1"/>
  <c r="FC321" i="21" a="1"/>
  <c r="FC321" i="21" s="1"/>
  <c r="FC322" i="21" a="1"/>
  <c r="FC322" i="21" s="1"/>
  <c r="FC323" i="21" a="1"/>
  <c r="FC323" i="21" s="1"/>
  <c r="FC324" i="21" a="1"/>
  <c r="FC324" i="21" s="1"/>
  <c r="FC325" i="21" a="1"/>
  <c r="FC325" i="21" s="1"/>
  <c r="FC326" i="21" a="1"/>
  <c r="FC326" i="21" s="1"/>
  <c r="FC327" i="21" a="1"/>
  <c r="FC327" i="21" s="1"/>
  <c r="FC328" i="21" a="1"/>
  <c r="FC328" i="21" s="1"/>
  <c r="FC329" i="21" a="1"/>
  <c r="FC329" i="21" s="1"/>
  <c r="FC330" i="21" a="1"/>
  <c r="FC330" i="21" s="1"/>
  <c r="FC331" i="21" a="1"/>
  <c r="FC331" i="21" s="1"/>
  <c r="FC332" i="21" a="1"/>
  <c r="FC332" i="21" s="1"/>
  <c r="FC333" i="21" a="1"/>
  <c r="FC333" i="21" s="1"/>
  <c r="FC334" i="21" a="1"/>
  <c r="FC334" i="21" s="1"/>
  <c r="FC335" i="21" a="1"/>
  <c r="FC335" i="21" s="1"/>
  <c r="FC336" i="21" a="1"/>
  <c r="FC336" i="21" s="1"/>
  <c r="FC337" i="21" a="1"/>
  <c r="FC337" i="21" s="1"/>
  <c r="FC338" i="21" a="1"/>
  <c r="FC338" i="21" s="1"/>
  <c r="FC339" i="21" a="1"/>
  <c r="FC339" i="21" s="1"/>
  <c r="FC340" i="21" a="1"/>
  <c r="FC340" i="21" s="1"/>
  <c r="FC341" i="21" a="1"/>
  <c r="FC341" i="21" s="1"/>
  <c r="FC342" i="21" a="1"/>
  <c r="FC342" i="21" s="1"/>
  <c r="FC343" i="21" a="1"/>
  <c r="FC343" i="21" s="1"/>
  <c r="FC344" i="21" a="1"/>
  <c r="FC344" i="21" s="1"/>
  <c r="FC345" i="21" a="1"/>
  <c r="FC345" i="21" s="1"/>
  <c r="FC346" i="21" a="1"/>
  <c r="FC346" i="21" s="1"/>
  <c r="FC347" i="21" a="1"/>
  <c r="FC347" i="21" s="1"/>
  <c r="FC348" i="21" a="1"/>
  <c r="FC348" i="21" s="1"/>
  <c r="FC349" i="21" a="1"/>
  <c r="FC349" i="21" s="1"/>
  <c r="FC350" i="21" a="1"/>
  <c r="FC350" i="21" s="1"/>
  <c r="FC351" i="21" a="1"/>
  <c r="FC351" i="21" s="1"/>
  <c r="FC352" i="21" a="1"/>
  <c r="FC352" i="21" s="1"/>
  <c r="FC353" i="21" a="1"/>
  <c r="FC353" i="21" s="1"/>
  <c r="FC354" i="21" a="1"/>
  <c r="FC354" i="21" s="1"/>
  <c r="FC355" i="21" a="1"/>
  <c r="FC355" i="21" s="1"/>
  <c r="FC356" i="21" a="1"/>
  <c r="FC356" i="21" s="1"/>
  <c r="FC357" i="21" a="1"/>
  <c r="FC357" i="21" s="1"/>
  <c r="FC358" i="21" a="1"/>
  <c r="FC358" i="21" s="1"/>
  <c r="FC359" i="21" a="1"/>
  <c r="FC359" i="21" s="1"/>
  <c r="FC360" i="21" a="1"/>
  <c r="FC360" i="21" s="1"/>
  <c r="FC361" i="21" a="1"/>
  <c r="FC361" i="21" s="1"/>
  <c r="FC362" i="21" a="1"/>
  <c r="FC362" i="21" s="1"/>
  <c r="FC363" i="21" a="1"/>
  <c r="FC363" i="21" s="1"/>
  <c r="FC364" i="21" a="1"/>
  <c r="FC364" i="21" s="1"/>
  <c r="FC365" i="21" a="1"/>
  <c r="FC365" i="21" s="1"/>
  <c r="FC366" i="21" a="1"/>
  <c r="FC366" i="21" s="1"/>
  <c r="FC367" i="21" a="1"/>
  <c r="FC367" i="21" s="1"/>
  <c r="FC368" i="21" a="1"/>
  <c r="FC368" i="21" s="1"/>
  <c r="FC369" i="21" a="1"/>
  <c r="FC369" i="21" s="1"/>
  <c r="FC370" i="21" a="1"/>
  <c r="FC370" i="21" s="1"/>
  <c r="FC371" i="21" a="1"/>
  <c r="FC371" i="21" s="1"/>
  <c r="FC372" i="21" a="1"/>
  <c r="FC372" i="21" s="1"/>
  <c r="FC373" i="21" a="1"/>
  <c r="FC373" i="21" s="1"/>
  <c r="FC374" i="21" a="1"/>
  <c r="FC374" i="21" s="1"/>
  <c r="FC375" i="21" a="1"/>
  <c r="FC375" i="21" s="1"/>
  <c r="FC376" i="21" a="1"/>
  <c r="FC376" i="21" s="1"/>
  <c r="FC377" i="21" a="1"/>
  <c r="FC377" i="21" s="1"/>
  <c r="FC378" i="21" a="1"/>
  <c r="FC378" i="21" s="1"/>
  <c r="FC379" i="21" a="1"/>
  <c r="FC379" i="21" s="1"/>
  <c r="FC380" i="21" a="1"/>
  <c r="FC380" i="21" s="1"/>
  <c r="FC381" i="21" a="1"/>
  <c r="FC381" i="21" s="1"/>
  <c r="FC382" i="21" a="1"/>
  <c r="FC382" i="21" s="1"/>
  <c r="FC383" i="21" a="1"/>
  <c r="FC383" i="21" s="1"/>
  <c r="FC384" i="21" a="1"/>
  <c r="FC384" i="21" s="1"/>
  <c r="FC385" i="21" a="1"/>
  <c r="FC385" i="21" s="1"/>
  <c r="FC386" i="21" a="1"/>
  <c r="FC386" i="21" s="1"/>
  <c r="FC387" i="21" a="1"/>
  <c r="FC387" i="21" s="1"/>
  <c r="FC388" i="21" a="1"/>
  <c r="FC388" i="21" s="1"/>
  <c r="FC389" i="21" a="1"/>
  <c r="FC389" i="21" s="1"/>
  <c r="FC390" i="21" a="1"/>
  <c r="FC390" i="21"/>
  <c r="FC391" i="21" a="1"/>
  <c r="FC391" i="21" s="1"/>
  <c r="FC392" i="21" a="1"/>
  <c r="FC392" i="21" s="1"/>
  <c r="FC393" i="21" a="1"/>
  <c r="FC393" i="21" s="1"/>
  <c r="FC394" i="21" a="1"/>
  <c r="FC394" i="21" s="1"/>
  <c r="FC395" i="21" a="1"/>
  <c r="FC395" i="21" s="1"/>
  <c r="FC396" i="21" a="1"/>
  <c r="FC396" i="21" s="1"/>
  <c r="FC397" i="21" a="1"/>
  <c r="FC397" i="21" s="1"/>
  <c r="FC398" i="21" a="1"/>
  <c r="FC398" i="21" s="1"/>
  <c r="FC399" i="21" a="1"/>
  <c r="FC399" i="21" s="1"/>
  <c r="FC400" i="21" a="1"/>
  <c r="FC400" i="21" s="1"/>
  <c r="EI7" i="31" l="1" a="1"/>
  <c r="EI7" i="31" s="1"/>
  <c r="EI8" i="31" a="1"/>
  <c r="EI8" i="31" s="1"/>
  <c r="EI9" i="31" a="1"/>
  <c r="EI9" i="31" s="1"/>
  <c r="EI10" i="31" a="1"/>
  <c r="EI10" i="31" s="1"/>
  <c r="EI11" i="31" a="1"/>
  <c r="EI11" i="31" s="1"/>
  <c r="EI12" i="31" a="1"/>
  <c r="EI12" i="31" s="1"/>
  <c r="EI13" i="31" a="1"/>
  <c r="EI13" i="31" s="1"/>
  <c r="EI14" i="31" a="1"/>
  <c r="EI14" i="31" s="1"/>
  <c r="EI15" i="31" a="1"/>
  <c r="EI15" i="31" s="1"/>
  <c r="EI16" i="31" a="1"/>
  <c r="EI16" i="31" s="1"/>
  <c r="EI17" i="31" a="1"/>
  <c r="EI17" i="31" s="1"/>
  <c r="EI18" i="31" a="1"/>
  <c r="EI18" i="31" s="1"/>
  <c r="EI19" i="31" a="1"/>
  <c r="EI19" i="31" s="1"/>
  <c r="EI20" i="31" a="1"/>
  <c r="EI20" i="31" s="1"/>
  <c r="EI21" i="31" a="1"/>
  <c r="EI21" i="31" s="1"/>
  <c r="EI22" i="31" a="1"/>
  <c r="EI22" i="31" s="1"/>
  <c r="EI23" i="31" a="1"/>
  <c r="EI23" i="31" s="1"/>
  <c r="EI24" i="31" a="1"/>
  <c r="EI24" i="31" s="1"/>
  <c r="EI25" i="31" a="1"/>
  <c r="EI25" i="31" s="1"/>
  <c r="EI26" i="31" a="1"/>
  <c r="EI26" i="31" s="1"/>
  <c r="EI27" i="31" a="1"/>
  <c r="EI27" i="31" s="1"/>
  <c r="EI28" i="31" a="1"/>
  <c r="EI28" i="31" s="1"/>
  <c r="EI29" i="31" a="1"/>
  <c r="EI29" i="31" s="1"/>
  <c r="EI30" i="31" a="1"/>
  <c r="EI30" i="31" s="1"/>
  <c r="EI31" i="31" a="1"/>
  <c r="EI31" i="31" s="1"/>
  <c r="EI32" i="31" a="1"/>
  <c r="EI32" i="31" s="1"/>
  <c r="EI33" i="31" a="1"/>
  <c r="EI33" i="31" s="1"/>
  <c r="EI34" i="31" a="1"/>
  <c r="EI34" i="31" s="1"/>
  <c r="EI35" i="31" a="1"/>
  <c r="EI35" i="31" s="1"/>
  <c r="EI36" i="31" a="1"/>
  <c r="EI36" i="31" s="1"/>
  <c r="EI37" i="31" a="1"/>
  <c r="EI37" i="31" s="1"/>
  <c r="EI38" i="31" a="1"/>
  <c r="EI38" i="31" s="1"/>
  <c r="EI39" i="31" a="1"/>
  <c r="EI39" i="31" s="1"/>
  <c r="EI40" i="31" a="1"/>
  <c r="EI40" i="31" s="1"/>
  <c r="EI41" i="31" a="1"/>
  <c r="EI41" i="31" s="1"/>
  <c r="EI42" i="31" a="1"/>
  <c r="EI42" i="31" s="1"/>
  <c r="EI43" i="31" a="1"/>
  <c r="EI43" i="31" s="1"/>
  <c r="EI44" i="31" a="1"/>
  <c r="EI44" i="31" s="1"/>
  <c r="EI45" i="31" a="1"/>
  <c r="EI45" i="31" s="1"/>
  <c r="EI46" i="31" a="1"/>
  <c r="EI46" i="31" s="1"/>
  <c r="EI47" i="31" a="1"/>
  <c r="EI47" i="31" s="1"/>
  <c r="EI48" i="31" a="1"/>
  <c r="EI48" i="31" s="1"/>
  <c r="EI49" i="31" a="1"/>
  <c r="EI49" i="31" s="1"/>
  <c r="EI50" i="31" a="1"/>
  <c r="EI50" i="31" s="1"/>
  <c r="EI51" i="31" a="1"/>
  <c r="EI51" i="31" s="1"/>
  <c r="EI52" i="31" a="1"/>
  <c r="EI52" i="31" s="1"/>
  <c r="EI53" i="31" a="1"/>
  <c r="EI53" i="31" s="1"/>
  <c r="EI54" i="31" a="1"/>
  <c r="EI54" i="31" s="1"/>
  <c r="EI55" i="31" a="1"/>
  <c r="EI55" i="31" s="1"/>
  <c r="EI56" i="31" a="1"/>
  <c r="EI56" i="31" s="1"/>
  <c r="EI57" i="31" a="1"/>
  <c r="EI57" i="31" s="1"/>
  <c r="EI58" i="31" a="1"/>
  <c r="EI58" i="31" s="1"/>
  <c r="EI59" i="31" a="1"/>
  <c r="EI59" i="31" s="1"/>
  <c r="EI60" i="31" a="1"/>
  <c r="EI60" i="31" s="1"/>
  <c r="EI61" i="31" a="1"/>
  <c r="EI61" i="31" s="1"/>
  <c r="EI62" i="31" a="1"/>
  <c r="EI62" i="31" s="1"/>
  <c r="EI63" i="31" a="1"/>
  <c r="EI63" i="31" s="1"/>
  <c r="EI64" i="31" a="1"/>
  <c r="EI64" i="31" s="1"/>
  <c r="EI65" i="31" a="1"/>
  <c r="EI65" i="31" s="1"/>
  <c r="EI66" i="31" a="1"/>
  <c r="EI66" i="31" s="1"/>
  <c r="EI67" i="31" a="1"/>
  <c r="EI67" i="31" s="1"/>
  <c r="EI68" i="31" a="1"/>
  <c r="EI68" i="31" s="1"/>
  <c r="EI69" i="31" a="1"/>
  <c r="EI69" i="31" s="1"/>
  <c r="EI70" i="31" a="1"/>
  <c r="EI70" i="31" s="1"/>
  <c r="EI71" i="31" a="1"/>
  <c r="EI71" i="31" s="1"/>
  <c r="EI72" i="31" a="1"/>
  <c r="EI72" i="31" s="1"/>
  <c r="EI73" i="31" a="1"/>
  <c r="EI73" i="31" s="1"/>
  <c r="EI74" i="31" a="1"/>
  <c r="EI74" i="31" s="1"/>
  <c r="EI75" i="31" a="1"/>
  <c r="EI75" i="31" s="1"/>
  <c r="EI76" i="31" a="1"/>
  <c r="EI76" i="31" s="1"/>
  <c r="EI77" i="31" a="1"/>
  <c r="EI77" i="31" s="1"/>
  <c r="FH7" i="30" a="1"/>
  <c r="FH7" i="30" s="1"/>
  <c r="FH8" i="30" a="1"/>
  <c r="FH8" i="30" s="1"/>
  <c r="FH9" i="30" a="1"/>
  <c r="FH9" i="30" s="1"/>
  <c r="FH10" i="30" a="1"/>
  <c r="FH10" i="30" s="1"/>
  <c r="FH11" i="30" a="1"/>
  <c r="FH11" i="30" s="1"/>
  <c r="FH12" i="30" a="1"/>
  <c r="FH12" i="30" s="1"/>
  <c r="FH13" i="30" a="1"/>
  <c r="FH13" i="30" s="1"/>
  <c r="FH14" i="30" a="1"/>
  <c r="FH14" i="30" s="1"/>
  <c r="FH15" i="30" a="1"/>
  <c r="FH15" i="30" s="1"/>
  <c r="FH16" i="30" a="1"/>
  <c r="FH16" i="30" s="1"/>
  <c r="FH17" i="30" a="1"/>
  <c r="FH17" i="30" s="1"/>
  <c r="FH18" i="30" a="1"/>
  <c r="FH18" i="30" s="1"/>
  <c r="FH19" i="30" a="1"/>
  <c r="FH19" i="30" s="1"/>
  <c r="FH20" i="30" a="1"/>
  <c r="FH20" i="30" s="1"/>
  <c r="FH21" i="30" a="1"/>
  <c r="FH21" i="30" s="1"/>
  <c r="FH22" i="30" a="1"/>
  <c r="FH22" i="30" s="1"/>
  <c r="FH23" i="30" a="1"/>
  <c r="FH23" i="30" s="1"/>
  <c r="FH24" i="30" a="1"/>
  <c r="FH24" i="30" s="1"/>
  <c r="FH25" i="30" a="1"/>
  <c r="FH25" i="30" s="1"/>
  <c r="FH26" i="30" a="1"/>
  <c r="FH26" i="30" s="1"/>
  <c r="FH27" i="30" a="1"/>
  <c r="FH27" i="30" s="1"/>
  <c r="FH28" i="30" a="1"/>
  <c r="FH28" i="30" s="1"/>
  <c r="FH29" i="30" a="1"/>
  <c r="FH29" i="30" s="1"/>
  <c r="FH30" i="30" a="1"/>
  <c r="FH30" i="30" s="1"/>
  <c r="FH31" i="30" a="1"/>
  <c r="FH31" i="30" s="1"/>
  <c r="FH32" i="30" a="1"/>
  <c r="FH32" i="30" s="1"/>
  <c r="FH33" i="30" a="1"/>
  <c r="FH33" i="30" s="1"/>
  <c r="FH34" i="30" a="1"/>
  <c r="FH34" i="30" s="1"/>
  <c r="FH35" i="30" a="1"/>
  <c r="FH35" i="30" s="1"/>
  <c r="FH36" i="30" a="1"/>
  <c r="FH36" i="30" s="1"/>
  <c r="FH37" i="30" a="1"/>
  <c r="FH37" i="30" s="1"/>
  <c r="FH38" i="30" a="1"/>
  <c r="FH38" i="30" s="1"/>
  <c r="FH39" i="30" a="1"/>
  <c r="FH39" i="30" s="1"/>
  <c r="FH40" i="30" a="1"/>
  <c r="FH40" i="30" s="1"/>
  <c r="FH41" i="30" a="1"/>
  <c r="FH41" i="30" s="1"/>
  <c r="FH42" i="30" a="1"/>
  <c r="FH42" i="30" s="1"/>
  <c r="FH43" i="30" a="1"/>
  <c r="FH43" i="30" s="1"/>
  <c r="FH44" i="30" a="1"/>
  <c r="FH44" i="30" s="1"/>
  <c r="FH45" i="30" a="1"/>
  <c r="FH45" i="30" s="1"/>
  <c r="FH46" i="30" a="1"/>
  <c r="FH46" i="30" s="1"/>
  <c r="FH47" i="30" a="1"/>
  <c r="FH47" i="30" s="1"/>
  <c r="FH48" i="30" a="1"/>
  <c r="FH48" i="30" s="1"/>
  <c r="FH49" i="30" a="1"/>
  <c r="FH49" i="30" s="1"/>
  <c r="FH50" i="30" a="1"/>
  <c r="FH50" i="30" s="1"/>
  <c r="FH51" i="30" a="1"/>
  <c r="FH51" i="30" s="1"/>
  <c r="FH52" i="30" a="1"/>
  <c r="FH52" i="30" s="1"/>
  <c r="FH53" i="30" a="1"/>
  <c r="FH53" i="30" s="1"/>
  <c r="FH54" i="30" a="1"/>
  <c r="FH54" i="30" s="1"/>
  <c r="FH55" i="30" a="1"/>
  <c r="FH55" i="30" s="1"/>
  <c r="FH56" i="30" a="1"/>
  <c r="FH56" i="30" s="1"/>
  <c r="FH57" i="30" a="1"/>
  <c r="FH57" i="30" s="1"/>
  <c r="FH58" i="30" a="1"/>
  <c r="FH58" i="30" s="1"/>
  <c r="FH59" i="30" a="1"/>
  <c r="FH59" i="30" s="1"/>
  <c r="FH60" i="30" a="1"/>
  <c r="FH60" i="30" s="1"/>
  <c r="FH61" i="30" a="1"/>
  <c r="FH61" i="30" s="1"/>
  <c r="FH62" i="30" a="1"/>
  <c r="FH62" i="30" s="1"/>
  <c r="FH63" i="30" a="1"/>
  <c r="FH63" i="30" s="1"/>
  <c r="FH64" i="30" a="1"/>
  <c r="FH64" i="30" s="1"/>
  <c r="FH65" i="30" a="1"/>
  <c r="FH65" i="30" s="1"/>
  <c r="FH66" i="30" a="1"/>
  <c r="FH66" i="30" s="1"/>
  <c r="FH67" i="30" a="1"/>
  <c r="FH67" i="30" s="1"/>
  <c r="FH68" i="30" a="1"/>
  <c r="FH68" i="30" s="1"/>
  <c r="FH69" i="30" a="1"/>
  <c r="FH69" i="30" s="1"/>
  <c r="FH70" i="30" a="1"/>
  <c r="FH70" i="30" s="1"/>
  <c r="FH71" i="30" a="1"/>
  <c r="FH71" i="30" s="1"/>
  <c r="FH72" i="30" a="1"/>
  <c r="FH72" i="30" s="1"/>
  <c r="FH73" i="30" a="1"/>
  <c r="FH73" i="30" s="1"/>
  <c r="FH74" i="30" a="1"/>
  <c r="FH74" i="30" s="1"/>
  <c r="FH75" i="30" a="1"/>
  <c r="FH75" i="30" s="1"/>
  <c r="FH76" i="30" a="1"/>
  <c r="FH76" i="30" s="1"/>
  <c r="FH77" i="30" a="1"/>
  <c r="FH77" i="30" s="1"/>
  <c r="FH78" i="30" a="1"/>
  <c r="FH78" i="30" s="1"/>
  <c r="FH79" i="30" a="1"/>
  <c r="FH79" i="30" s="1"/>
  <c r="FH80" i="30" a="1"/>
  <c r="FH80" i="30" s="1"/>
  <c r="FH81" i="30" a="1"/>
  <c r="FH81" i="30" s="1"/>
  <c r="FH82" i="30" a="1"/>
  <c r="FH82" i="30" s="1"/>
  <c r="FH83" i="30" a="1"/>
  <c r="FH83" i="30" s="1"/>
  <c r="FH84" i="30" a="1"/>
  <c r="FH84" i="30" s="1"/>
  <c r="FH85" i="30" a="1"/>
  <c r="FH85" i="30" s="1"/>
  <c r="FH86" i="30" a="1"/>
  <c r="FH86" i="30" s="1"/>
  <c r="FH87" i="30" a="1"/>
  <c r="FH87" i="30" s="1"/>
  <c r="FH88" i="30" a="1"/>
  <c r="FH88" i="30" s="1"/>
  <c r="FH89" i="30" a="1"/>
  <c r="FH89" i="30" s="1"/>
  <c r="FH90" i="30" a="1"/>
  <c r="FH90" i="30" s="1"/>
  <c r="FH91" i="30" a="1"/>
  <c r="FH91" i="30" s="1"/>
  <c r="FH92" i="30" a="1"/>
  <c r="FH92" i="30" s="1"/>
  <c r="FH93" i="30" a="1"/>
  <c r="FH93" i="30" s="1"/>
  <c r="FH94" i="30" a="1"/>
  <c r="FH94" i="30" s="1"/>
  <c r="FH95" i="30" a="1"/>
  <c r="FH95" i="30" s="1"/>
  <c r="FH96" i="30" a="1"/>
  <c r="FH96" i="30" s="1"/>
  <c r="FH97" i="30" a="1"/>
  <c r="FH97" i="30" s="1"/>
  <c r="FH98" i="30" a="1"/>
  <c r="FH98" i="30" s="1"/>
  <c r="FH99" i="30" a="1"/>
  <c r="FH99" i="30" s="1"/>
  <c r="FH100" i="30" a="1"/>
  <c r="FH100" i="30" s="1"/>
  <c r="FH101" i="30" a="1"/>
  <c r="FH101" i="30" s="1"/>
  <c r="FH102" i="30" a="1"/>
  <c r="FH102" i="30" s="1"/>
  <c r="FH103" i="30" a="1"/>
  <c r="FH103" i="30" s="1"/>
  <c r="FH104" i="30" a="1"/>
  <c r="FH104" i="30" s="1"/>
  <c r="FH105" i="30" a="1"/>
  <c r="FH105" i="30" s="1"/>
  <c r="FH106" i="30" a="1"/>
  <c r="FH106" i="30" s="1"/>
  <c r="FH107" i="30" a="1"/>
  <c r="FH107" i="30" s="1"/>
  <c r="FH108" i="30" a="1"/>
  <c r="FH108" i="30" s="1"/>
  <c r="FH109" i="30" a="1"/>
  <c r="FH109" i="30" s="1"/>
  <c r="FH110" i="30" a="1"/>
  <c r="FH110" i="30" s="1"/>
  <c r="FH111" i="30" a="1"/>
  <c r="FH111" i="30" s="1"/>
  <c r="FH112" i="30" a="1"/>
  <c r="FH112" i="30" s="1"/>
  <c r="FH113" i="30" a="1"/>
  <c r="FH113" i="30" s="1"/>
  <c r="FH114" i="30" a="1"/>
  <c r="FH114" i="30" s="1"/>
  <c r="FH115" i="30" a="1"/>
  <c r="FH115" i="30" s="1"/>
  <c r="FH116" i="30" a="1"/>
  <c r="FH116" i="30" s="1"/>
  <c r="FH117" i="30" a="1"/>
  <c r="FH117" i="30" s="1"/>
  <c r="FH118" i="30" a="1"/>
  <c r="FH118" i="30" s="1"/>
  <c r="FH119" i="30" a="1"/>
  <c r="FH119" i="30" s="1"/>
  <c r="FH120" i="30" a="1"/>
  <c r="FH120" i="30" s="1"/>
  <c r="FH121" i="30" a="1"/>
  <c r="FH121" i="30" s="1"/>
  <c r="FH122" i="30" a="1"/>
  <c r="FH122" i="30" s="1"/>
  <c r="FH123" i="30" a="1"/>
  <c r="FH123" i="30" s="1"/>
  <c r="FH124" i="30" a="1"/>
  <c r="FH124" i="30" s="1"/>
  <c r="FH125" i="30" a="1"/>
  <c r="FH125" i="30" s="1"/>
  <c r="FH126" i="30" a="1"/>
  <c r="FH126" i="30" s="1"/>
  <c r="FH127" i="30" a="1"/>
  <c r="FH127" i="30" s="1"/>
  <c r="FH128" i="30" a="1"/>
  <c r="FH128" i="30" s="1"/>
  <c r="FH129" i="30" a="1"/>
  <c r="FH129" i="30" s="1"/>
  <c r="FH130" i="30" a="1"/>
  <c r="FH130" i="30" s="1"/>
  <c r="FH131" i="30" a="1"/>
  <c r="FH131" i="30" s="1"/>
  <c r="FH132" i="30" a="1"/>
  <c r="FH132" i="30" s="1"/>
  <c r="FH133" i="30" a="1"/>
  <c r="FH133" i="30" s="1"/>
  <c r="FH134" i="30" a="1"/>
  <c r="FH134" i="30" s="1"/>
  <c r="FH135" i="30" a="1"/>
  <c r="FH135" i="30" s="1"/>
  <c r="FH136" i="30" a="1"/>
  <c r="FH136" i="30" s="1"/>
  <c r="FH137" i="30" a="1"/>
  <c r="FH137" i="30" s="1"/>
  <c r="FH138" i="30" a="1"/>
  <c r="FH138" i="30" s="1"/>
  <c r="FH139" i="30" a="1"/>
  <c r="FH139" i="30" s="1"/>
  <c r="FH140" i="30" a="1"/>
  <c r="FH140" i="30" s="1"/>
  <c r="FH141" i="30" a="1"/>
  <c r="FH141" i="30" s="1"/>
  <c r="FH142" i="30" a="1"/>
  <c r="FH142" i="30" s="1"/>
  <c r="FH143" i="30" a="1"/>
  <c r="FH143" i="30" s="1"/>
  <c r="FH144" i="30" a="1"/>
  <c r="FH144" i="30" s="1"/>
  <c r="FH145" i="30" a="1"/>
  <c r="FH145" i="30" s="1"/>
  <c r="FH146" i="30" a="1"/>
  <c r="FH146" i="30" s="1"/>
  <c r="FH147" i="30" a="1"/>
  <c r="FH147" i="30" s="1"/>
  <c r="FH148" i="30" a="1"/>
  <c r="FH148" i="30" s="1"/>
  <c r="FH149" i="30" a="1"/>
  <c r="FH149" i="30" s="1"/>
  <c r="FH150" i="30" a="1"/>
  <c r="FH150" i="30" s="1"/>
  <c r="FH151" i="30" a="1"/>
  <c r="FH151" i="30" s="1"/>
  <c r="FH152" i="30" a="1"/>
  <c r="FH152" i="30" s="1"/>
  <c r="FH153" i="30" a="1"/>
  <c r="FH153" i="30" s="1"/>
  <c r="FH154" i="30" a="1"/>
  <c r="FH154" i="30" s="1"/>
  <c r="FH155" i="30" a="1"/>
  <c r="FH155" i="30" s="1"/>
  <c r="FH156" i="30" a="1"/>
  <c r="FH156" i="30" s="1"/>
  <c r="FH157" i="30" a="1"/>
  <c r="FH157" i="30" s="1"/>
  <c r="FH158" i="30" a="1"/>
  <c r="FH158" i="30" s="1"/>
  <c r="FH159" i="30" a="1"/>
  <c r="FH159" i="30" s="1"/>
  <c r="FH160" i="30" a="1"/>
  <c r="FH160" i="30" s="1"/>
  <c r="FH161" i="30" a="1"/>
  <c r="FH161" i="30" s="1"/>
  <c r="FH162" i="30" a="1"/>
  <c r="FH162" i="30" s="1"/>
  <c r="FH163" i="30" a="1"/>
  <c r="FH163" i="30" s="1"/>
  <c r="FH164" i="30" a="1"/>
  <c r="FH164" i="30" s="1"/>
  <c r="FH165" i="30" a="1"/>
  <c r="FH165" i="30" s="1"/>
  <c r="FH166" i="30" a="1"/>
  <c r="FH166" i="30" s="1"/>
  <c r="FH167" i="30" a="1"/>
  <c r="FH167" i="30" s="1"/>
  <c r="FH168" i="30" a="1"/>
  <c r="FH168" i="30" s="1"/>
  <c r="FH169" i="30" a="1"/>
  <c r="FH169" i="30" s="1"/>
  <c r="FH170" i="30" a="1"/>
  <c r="FH170" i="30" s="1"/>
  <c r="FH171" i="30" a="1"/>
  <c r="FH171" i="30" s="1"/>
  <c r="FH172" i="30" a="1"/>
  <c r="FH172" i="30" s="1"/>
  <c r="FH173" i="30" a="1"/>
  <c r="FH173" i="30" s="1"/>
  <c r="FH174" i="30" a="1"/>
  <c r="FH174" i="30" s="1"/>
  <c r="FH175" i="30" a="1"/>
  <c r="FH175" i="30" s="1"/>
  <c r="FH176" i="30" a="1"/>
  <c r="FH176" i="30" s="1"/>
  <c r="FH177" i="30" a="1"/>
  <c r="FH177" i="30" s="1"/>
  <c r="FH178" i="30" a="1"/>
  <c r="FH178" i="30" s="1"/>
  <c r="FH179" i="30" a="1"/>
  <c r="FH179" i="30" s="1"/>
  <c r="FH180" i="30" a="1"/>
  <c r="FH180" i="30" s="1"/>
  <c r="FH181" i="30" a="1"/>
  <c r="FH181" i="30" s="1"/>
  <c r="FH182" i="30" a="1"/>
  <c r="FH182" i="30" s="1"/>
  <c r="FH183" i="30" a="1"/>
  <c r="FH183" i="30" s="1"/>
  <c r="FH184" i="30" a="1"/>
  <c r="FH184" i="30" s="1"/>
  <c r="FH185" i="30" a="1"/>
  <c r="FH185" i="30" s="1"/>
  <c r="FH186" i="30" a="1"/>
  <c r="FH186" i="30" s="1"/>
  <c r="FH187" i="30" a="1"/>
  <c r="FH187" i="30" s="1"/>
  <c r="FH188" i="30" a="1"/>
  <c r="FH188" i="30" s="1"/>
  <c r="FH189" i="30" a="1"/>
  <c r="FH189" i="30" s="1"/>
  <c r="FH190" i="30" a="1"/>
  <c r="FH190" i="30" s="1"/>
  <c r="FH191" i="30" a="1"/>
  <c r="FH191" i="30" s="1"/>
  <c r="FH192" i="30" a="1"/>
  <c r="FH192" i="30" s="1"/>
  <c r="FH193" i="30" a="1"/>
  <c r="FH193" i="30" s="1"/>
  <c r="FH194" i="30" a="1"/>
  <c r="FH194" i="30" s="1"/>
  <c r="FH195" i="30" a="1"/>
  <c r="FH195" i="30" s="1"/>
  <c r="FH196" i="30" a="1"/>
  <c r="FH196" i="30" s="1"/>
  <c r="FH197" i="30" a="1"/>
  <c r="FH197" i="30" s="1"/>
  <c r="FH198" i="30" a="1"/>
  <c r="FH198" i="30" s="1"/>
  <c r="FH199" i="30" a="1"/>
  <c r="FH199" i="30" s="1"/>
  <c r="FH200" i="30" a="1"/>
  <c r="FH200" i="30" s="1"/>
  <c r="FH201" i="30" a="1"/>
  <c r="FH201" i="30" s="1"/>
  <c r="FH202" i="30" a="1"/>
  <c r="FH202" i="30" s="1"/>
  <c r="FH203" i="30" a="1"/>
  <c r="FH203" i="30" s="1"/>
  <c r="FH204" i="30" a="1"/>
  <c r="FH204" i="30" s="1"/>
  <c r="FH205" i="30" a="1"/>
  <c r="FH205" i="30" s="1"/>
  <c r="FH206" i="30" a="1"/>
  <c r="FH206" i="30" s="1"/>
  <c r="FH207" i="30" a="1"/>
  <c r="FH207" i="30" s="1"/>
  <c r="FH208" i="30" a="1"/>
  <c r="FH208" i="30" s="1"/>
  <c r="FH209" i="30" a="1"/>
  <c r="FH209" i="30" s="1"/>
  <c r="FH210" i="30" a="1"/>
  <c r="FH210" i="30" s="1"/>
  <c r="FH211" i="30" a="1"/>
  <c r="FH211" i="30" s="1"/>
  <c r="FH212" i="30" a="1"/>
  <c r="FH212" i="30" s="1"/>
  <c r="FH213" i="30" a="1"/>
  <c r="FH213" i="30" s="1"/>
  <c r="FH214" i="30" a="1"/>
  <c r="FH214" i="30" s="1"/>
  <c r="FH215" i="30" a="1"/>
  <c r="FH215" i="30" s="1"/>
  <c r="FH216" i="30" a="1"/>
  <c r="FH216" i="30" s="1"/>
  <c r="FH217" i="30" a="1"/>
  <c r="FH217" i="30" s="1"/>
  <c r="FH218" i="30" a="1"/>
  <c r="FH218" i="30" s="1"/>
  <c r="FH219" i="30" a="1"/>
  <c r="FH219" i="30" s="1"/>
  <c r="FH220" i="30" a="1"/>
  <c r="FH220" i="30" s="1"/>
  <c r="FH221" i="30" a="1"/>
  <c r="FH221" i="30" s="1"/>
  <c r="FH222" i="30" a="1"/>
  <c r="FH222" i="30" s="1"/>
  <c r="FH223" i="30" a="1"/>
  <c r="FH223" i="30" s="1"/>
  <c r="FH224" i="30" a="1"/>
  <c r="FH224" i="30" s="1"/>
  <c r="FH225" i="30" a="1"/>
  <c r="FH225" i="30" s="1"/>
  <c r="FH226" i="30" a="1"/>
  <c r="FH226" i="30" s="1"/>
  <c r="FH227" i="30" a="1"/>
  <c r="FH227" i="30" s="1"/>
  <c r="FH228" i="30" a="1"/>
  <c r="FH228" i="30" s="1"/>
  <c r="FH229" i="30" a="1"/>
  <c r="FH229" i="30" s="1"/>
  <c r="FH230" i="30" a="1"/>
  <c r="FH230" i="30" s="1"/>
  <c r="FH231" i="30" a="1"/>
  <c r="FH231" i="30" s="1"/>
  <c r="FH232" i="30" a="1"/>
  <c r="FH232" i="30" s="1"/>
  <c r="FH233" i="30" a="1"/>
  <c r="FH233" i="30" s="1"/>
  <c r="FH234" i="30" a="1"/>
  <c r="FH234" i="30" s="1"/>
  <c r="FH235" i="30" a="1"/>
  <c r="FH235" i="30" s="1"/>
  <c r="FH236" i="30" a="1"/>
  <c r="FH236" i="30" s="1"/>
  <c r="FH237" i="30" a="1"/>
  <c r="FH237" i="30" s="1"/>
  <c r="FH238" i="30" a="1"/>
  <c r="FH238" i="30" s="1"/>
  <c r="FH239" i="30" a="1"/>
  <c r="FH239" i="30" s="1"/>
  <c r="FH240" i="30" a="1"/>
  <c r="FH240" i="30" s="1"/>
  <c r="FH241" i="30" a="1"/>
  <c r="FH241" i="30" s="1"/>
  <c r="FH242" i="30" a="1"/>
  <c r="FH242" i="30" s="1"/>
  <c r="FH243" i="30" a="1"/>
  <c r="FH243" i="30" s="1"/>
  <c r="FH244" i="30" a="1"/>
  <c r="FH244" i="30" s="1"/>
  <c r="FH245" i="30" a="1"/>
  <c r="FH245" i="30" s="1"/>
  <c r="FH246" i="30" a="1"/>
  <c r="FH246" i="30" s="1"/>
  <c r="FH247" i="30" a="1"/>
  <c r="FH247" i="30" s="1"/>
  <c r="FH248" i="30" a="1"/>
  <c r="FH248" i="30" s="1"/>
  <c r="FH249" i="30" a="1"/>
  <c r="FH249" i="30" s="1"/>
  <c r="FH250" i="30" a="1"/>
  <c r="FH250" i="30" s="1"/>
  <c r="FH251" i="30" a="1"/>
  <c r="FH251" i="30" s="1"/>
  <c r="FH252" i="30" a="1"/>
  <c r="FH252" i="30" s="1"/>
  <c r="FH253" i="30" a="1"/>
  <c r="FH253" i="30" s="1"/>
  <c r="FH254" i="30" a="1"/>
  <c r="FH254" i="30" s="1"/>
  <c r="FH255" i="30" a="1"/>
  <c r="FH255" i="30" s="1"/>
  <c r="FH256" i="30" a="1"/>
  <c r="FH256" i="30" s="1"/>
  <c r="FH257" i="30" a="1"/>
  <c r="FH257" i="30" s="1"/>
  <c r="FH258" i="30" a="1"/>
  <c r="FH258" i="30" s="1"/>
  <c r="FH259" i="30" a="1"/>
  <c r="FH259" i="30" s="1"/>
  <c r="FH260" i="30" a="1"/>
  <c r="FH260" i="30" s="1"/>
  <c r="FH261" i="30" a="1"/>
  <c r="FH261" i="30" s="1"/>
  <c r="FH262" i="30" a="1"/>
  <c r="FH262" i="30" s="1"/>
  <c r="FH263" i="30" a="1"/>
  <c r="FH263" i="30" s="1"/>
  <c r="FH264" i="30" a="1"/>
  <c r="FH264" i="30" s="1"/>
  <c r="FH265" i="30" a="1"/>
  <c r="FH265" i="30" s="1"/>
  <c r="FH266" i="30" a="1"/>
  <c r="FH266" i="30" s="1"/>
  <c r="FH267" i="30" a="1"/>
  <c r="FH267" i="30" s="1"/>
  <c r="FH268" i="30" a="1"/>
  <c r="FH268" i="30" s="1"/>
  <c r="FH269" i="30" a="1"/>
  <c r="FH269" i="30" s="1"/>
  <c r="FH270" i="30" a="1"/>
  <c r="FH270" i="30" s="1"/>
  <c r="FH271" i="30" a="1"/>
  <c r="FH271" i="30" s="1"/>
  <c r="FH272" i="30" a="1"/>
  <c r="FH272" i="30" s="1"/>
  <c r="FH273" i="30" a="1"/>
  <c r="FH273" i="30" s="1"/>
  <c r="FH274" i="30" a="1"/>
  <c r="FH274" i="30" s="1"/>
  <c r="FH275" i="30" a="1"/>
  <c r="FH275" i="30" s="1"/>
  <c r="FH276" i="30" a="1"/>
  <c r="FH276" i="30" s="1"/>
  <c r="FH277" i="30" a="1"/>
  <c r="FH277" i="30" s="1"/>
  <c r="FH278" i="30" a="1"/>
  <c r="FH278" i="30" s="1"/>
  <c r="FH279" i="30" a="1"/>
  <c r="FH279" i="30" s="1"/>
  <c r="FH280" i="30" a="1"/>
  <c r="FH280" i="30" s="1"/>
  <c r="FH281" i="30" a="1"/>
  <c r="FH281" i="30" s="1"/>
  <c r="FH282" i="30" a="1"/>
  <c r="FH282" i="30" s="1"/>
  <c r="FH283" i="30" a="1"/>
  <c r="FH283" i="30" s="1"/>
  <c r="FH284" i="30" a="1"/>
  <c r="FH284" i="30" s="1"/>
  <c r="FH285" i="30" a="1"/>
  <c r="FH285" i="30" s="1"/>
  <c r="FH286" i="30" a="1"/>
  <c r="FH286" i="30" s="1"/>
  <c r="FH287" i="30" a="1"/>
  <c r="FH287" i="30" s="1"/>
  <c r="FH288" i="30" a="1"/>
  <c r="FH288" i="30" s="1"/>
  <c r="FH289" i="30" a="1"/>
  <c r="FH289" i="30" s="1"/>
  <c r="FH290" i="30" a="1"/>
  <c r="FH290" i="30" s="1"/>
  <c r="FH291" i="30" a="1"/>
  <c r="FH291" i="30" s="1"/>
  <c r="FH292" i="30" a="1"/>
  <c r="FH292" i="30" s="1"/>
  <c r="FH293" i="30" a="1"/>
  <c r="FH293" i="30" s="1"/>
  <c r="FH294" i="30" a="1"/>
  <c r="FH294" i="30" s="1"/>
  <c r="FH295" i="30" a="1"/>
  <c r="FH295" i="30" s="1"/>
  <c r="FH296" i="30" a="1"/>
  <c r="FH296" i="30" s="1"/>
  <c r="FH297" i="30" a="1"/>
  <c r="FH297" i="30" s="1"/>
  <c r="FH298" i="30" a="1"/>
  <c r="FH298" i="30" s="1"/>
  <c r="FH299" i="30" a="1"/>
  <c r="FH299" i="30" s="1"/>
  <c r="FH300" i="30" a="1"/>
  <c r="FH300" i="30" s="1"/>
  <c r="FH301" i="30" a="1"/>
  <c r="FH301" i="30" s="1"/>
  <c r="FH302" i="30" a="1"/>
  <c r="FH302" i="30" s="1"/>
  <c r="FH303" i="30" a="1"/>
  <c r="FH303" i="30" s="1"/>
  <c r="FH304" i="30" a="1"/>
  <c r="FH304" i="30" s="1"/>
  <c r="FH305" i="30" a="1"/>
  <c r="FH305" i="30" s="1"/>
  <c r="FH306" i="30" a="1"/>
  <c r="FH306" i="30" s="1"/>
  <c r="FH307" i="30" a="1"/>
  <c r="FH307" i="30" s="1"/>
  <c r="FH308" i="30" a="1"/>
  <c r="FH308" i="30" s="1"/>
  <c r="FH309" i="30" a="1"/>
  <c r="FH309" i="30" s="1"/>
  <c r="FH310" i="30" a="1"/>
  <c r="FH310" i="30" s="1"/>
  <c r="FH311" i="30" a="1"/>
  <c r="FH311" i="30" s="1"/>
  <c r="FH312" i="30" a="1"/>
  <c r="FH312" i="30" s="1"/>
  <c r="FH313" i="30" a="1"/>
  <c r="FH313" i="30" s="1"/>
  <c r="FH314" i="30" a="1"/>
  <c r="FH314" i="30" s="1"/>
  <c r="FH315" i="30" a="1"/>
  <c r="FH315" i="30" s="1"/>
  <c r="FH316" i="30" a="1"/>
  <c r="FH316" i="30" s="1"/>
  <c r="FH317" i="30" a="1"/>
  <c r="FH317" i="30" s="1"/>
  <c r="FH318" i="30" a="1"/>
  <c r="FH318" i="30" s="1"/>
  <c r="FH319" i="30" a="1"/>
  <c r="FH319" i="30" s="1"/>
  <c r="FH320" i="30" a="1"/>
  <c r="FH320" i="30" s="1"/>
  <c r="FH321" i="30" a="1"/>
  <c r="FH321" i="30" s="1"/>
  <c r="FH322" i="30" a="1"/>
  <c r="FH322" i="30" s="1"/>
  <c r="FH323" i="30" a="1"/>
  <c r="FH323" i="30" s="1"/>
  <c r="FH324" i="30" a="1"/>
  <c r="FH324" i="30" s="1"/>
  <c r="FH325" i="30" a="1"/>
  <c r="FH325" i="30" s="1"/>
  <c r="FH326" i="30" a="1"/>
  <c r="FH326" i="30" s="1"/>
  <c r="FH327" i="30" a="1"/>
  <c r="FH327" i="30" s="1"/>
  <c r="FH328" i="30" a="1"/>
  <c r="FH328" i="30" s="1"/>
  <c r="FH329" i="30" a="1"/>
  <c r="FH329" i="30" s="1"/>
  <c r="FH330" i="30" a="1"/>
  <c r="FH330" i="30" s="1"/>
  <c r="FH331" i="30" a="1"/>
  <c r="FH331" i="30" s="1"/>
  <c r="FH332" i="30" a="1"/>
  <c r="FH332" i="30" s="1"/>
  <c r="FH333" i="30" a="1"/>
  <c r="FH333" i="30" s="1"/>
  <c r="FH334" i="30" a="1"/>
  <c r="FH334" i="30" s="1"/>
  <c r="FH335" i="30" a="1"/>
  <c r="FH335" i="30" s="1"/>
  <c r="FH336" i="30" a="1"/>
  <c r="FH336" i="30" s="1"/>
  <c r="FH337" i="30" a="1"/>
  <c r="FH337" i="30" s="1"/>
  <c r="FH338" i="30" a="1"/>
  <c r="FH338" i="30" s="1"/>
  <c r="FH339" i="30" a="1"/>
  <c r="FH339" i="30" s="1"/>
  <c r="FH340" i="30" a="1"/>
  <c r="FH340" i="30" s="1"/>
  <c r="FH341" i="30" a="1"/>
  <c r="FH341" i="30" s="1"/>
  <c r="FC7" i="21" a="1"/>
  <c r="FC7" i="21" s="1"/>
  <c r="W2" i="32"/>
  <c r="W3" i="32"/>
  <c r="W4" i="32"/>
  <c r="W5" i="32"/>
  <c r="W6" i="32"/>
  <c r="W7" i="32"/>
  <c r="W8" i="32"/>
  <c r="W9" i="32"/>
  <c r="W10" i="32"/>
  <c r="W11" i="32"/>
  <c r="W12" i="32"/>
  <c r="W13" i="32"/>
  <c r="W14" i="32"/>
  <c r="W15" i="32"/>
  <c r="W16" i="32"/>
  <c r="W17" i="32"/>
  <c r="W18" i="32"/>
  <c r="W19" i="32"/>
  <c r="W20" i="32"/>
  <c r="W21" i="32"/>
  <c r="W22" i="32"/>
  <c r="W23" i="32"/>
  <c r="W24" i="32"/>
  <c r="W25" i="32"/>
  <c r="W26" i="32"/>
  <c r="W27" i="32"/>
  <c r="W28" i="32"/>
  <c r="W29" i="32"/>
  <c r="W30" i="32"/>
  <c r="W31" i="32"/>
  <c r="W32" i="32"/>
  <c r="W33" i="32"/>
  <c r="W34" i="32"/>
  <c r="W35" i="32"/>
  <c r="W36" i="32"/>
  <c r="W37" i="32"/>
  <c r="W38" i="32"/>
  <c r="W39" i="32"/>
  <c r="W40" i="32"/>
  <c r="W41" i="32"/>
  <c r="W42" i="32"/>
  <c r="W43" i="32"/>
  <c r="W44" i="32"/>
  <c r="W45" i="32"/>
  <c r="W46" i="32"/>
  <c r="W47" i="32"/>
  <c r="W48" i="32"/>
  <c r="W49" i="32"/>
  <c r="W50" i="32"/>
  <c r="W51" i="32"/>
  <c r="W52" i="32"/>
  <c r="W53" i="32"/>
  <c r="W54" i="32"/>
  <c r="W55" i="32"/>
  <c r="W56" i="32"/>
  <c r="W57" i="32"/>
  <c r="W58" i="32"/>
  <c r="W59" i="32"/>
  <c r="W60" i="32"/>
  <c r="W61" i="32"/>
  <c r="W62" i="32"/>
  <c r="W63" i="32"/>
  <c r="W64" i="32"/>
  <c r="W65" i="32"/>
  <c r="W66" i="32"/>
  <c r="W67" i="32"/>
  <c r="W68" i="32"/>
  <c r="W69" i="32"/>
  <c r="W70" i="32"/>
  <c r="W71" i="32"/>
  <c r="W72" i="32"/>
  <c r="W73" i="32"/>
  <c r="W74" i="32"/>
  <c r="W75" i="32"/>
  <c r="W76" i="32"/>
  <c r="W77" i="32"/>
  <c r="W78" i="32"/>
  <c r="W79" i="32"/>
  <c r="W80" i="32"/>
  <c r="W81" i="32"/>
  <c r="W82" i="32"/>
  <c r="W83" i="32"/>
  <c r="W84" i="32"/>
  <c r="W85" i="32"/>
  <c r="W86" i="32"/>
  <c r="W87" i="32"/>
  <c r="W88" i="32"/>
  <c r="W89" i="32"/>
  <c r="W90" i="32"/>
  <c r="W91" i="32"/>
  <c r="W92" i="32"/>
  <c r="W93" i="32"/>
  <c r="W94" i="32"/>
  <c r="W95" i="32"/>
  <c r="W96" i="32"/>
  <c r="W97" i="32"/>
  <c r="W98" i="32"/>
  <c r="W99" i="32"/>
  <c r="W100" i="32"/>
  <c r="W101" i="32"/>
  <c r="W102" i="32"/>
  <c r="W103" i="32"/>
  <c r="W104" i="32"/>
  <c r="W105" i="32"/>
  <c r="W106" i="32"/>
  <c r="W107" i="32"/>
  <c r="W108" i="32"/>
  <c r="W109" i="32"/>
  <c r="W110" i="32"/>
  <c r="W111" i="32"/>
  <c r="W112" i="32"/>
  <c r="W113" i="32"/>
  <c r="W114" i="32"/>
  <c r="W115" i="32"/>
  <c r="W116" i="32"/>
  <c r="W117" i="32"/>
  <c r="W118" i="32"/>
  <c r="W119" i="32"/>
  <c r="W120" i="32"/>
  <c r="W121" i="32"/>
  <c r="W122" i="32"/>
  <c r="W123" i="32"/>
  <c r="W124" i="32"/>
  <c r="W125" i="32"/>
  <c r="W126" i="32"/>
  <c r="W127" i="32"/>
  <c r="W128" i="32"/>
  <c r="W129" i="32"/>
  <c r="W130" i="32"/>
  <c r="W131" i="32"/>
  <c r="W132" i="32"/>
  <c r="W133" i="32"/>
  <c r="W134" i="32"/>
  <c r="W135" i="32"/>
  <c r="W136" i="32"/>
  <c r="W137" i="32"/>
  <c r="W138" i="32"/>
  <c r="W139" i="32"/>
  <c r="W140" i="32"/>
  <c r="W141" i="32"/>
  <c r="W142" i="32"/>
  <c r="W143" i="32"/>
  <c r="W144" i="32"/>
  <c r="W145" i="32"/>
  <c r="W146" i="32"/>
  <c r="W147" i="32"/>
  <c r="W148" i="32"/>
  <c r="W149" i="32"/>
  <c r="W150" i="32"/>
  <c r="W151" i="32"/>
  <c r="W152" i="32"/>
  <c r="W153" i="32"/>
  <c r="W154" i="32"/>
  <c r="W155" i="32"/>
  <c r="W156" i="32"/>
  <c r="W157" i="32"/>
  <c r="W158" i="32"/>
  <c r="W159" i="32"/>
  <c r="W160" i="32"/>
  <c r="W161" i="32"/>
  <c r="W162" i="32"/>
  <c r="W163" i="32"/>
  <c r="W164" i="32"/>
  <c r="W165" i="32"/>
  <c r="W166" i="32"/>
  <c r="W167" i="32"/>
  <c r="W168" i="32"/>
  <c r="W169" i="32"/>
  <c r="W170" i="32"/>
  <c r="W171" i="32"/>
  <c r="W172" i="32"/>
  <c r="W173" i="32"/>
  <c r="W174" i="32"/>
  <c r="W175" i="32"/>
  <c r="W176" i="32"/>
  <c r="W177" i="32"/>
  <c r="W178" i="32"/>
  <c r="W179" i="32"/>
  <c r="W180" i="32"/>
  <c r="W181" i="32"/>
  <c r="W182" i="32"/>
  <c r="W183" i="32"/>
  <c r="W184" i="32"/>
  <c r="W185" i="32"/>
  <c r="W186" i="32"/>
  <c r="W187" i="32"/>
  <c r="W188" i="32"/>
  <c r="W189" i="32"/>
  <c r="W190" i="32"/>
  <c r="W191" i="32"/>
  <c r="W192" i="32"/>
  <c r="W193" i="32"/>
  <c r="W194" i="32"/>
  <c r="W195" i="32"/>
  <c r="W196" i="32"/>
  <c r="W197" i="32"/>
  <c r="W198" i="32"/>
  <c r="W199" i="32"/>
  <c r="W200" i="32"/>
  <c r="W201" i="32"/>
  <c r="W202" i="32"/>
  <c r="W203" i="32"/>
  <c r="W204" i="32"/>
  <c r="W205" i="32"/>
  <c r="W206" i="32"/>
  <c r="W207" i="32"/>
  <c r="W208" i="32"/>
  <c r="W209" i="32"/>
  <c r="W210" i="32"/>
  <c r="W211" i="32"/>
  <c r="W212" i="32"/>
  <c r="W213" i="32"/>
  <c r="W214" i="32"/>
  <c r="W215" i="32"/>
  <c r="W216" i="32"/>
  <c r="W217" i="32"/>
  <c r="W218" i="32"/>
  <c r="W219" i="32"/>
  <c r="W220" i="32"/>
  <c r="W221" i="32"/>
  <c r="W222" i="32"/>
  <c r="W223" i="32"/>
  <c r="W224" i="32"/>
  <c r="W225" i="32"/>
  <c r="W226" i="32"/>
  <c r="W227" i="32"/>
  <c r="W228" i="32"/>
  <c r="W229" i="32"/>
  <c r="W230" i="32"/>
  <c r="W231" i="32"/>
  <c r="W232" i="32"/>
  <c r="W233" i="32"/>
  <c r="W234" i="32"/>
  <c r="W235" i="32"/>
  <c r="W236" i="32"/>
  <c r="W237" i="32"/>
  <c r="W238" i="32"/>
  <c r="W239" i="32"/>
  <c r="W240" i="32"/>
  <c r="W241" i="32"/>
  <c r="W242" i="32"/>
  <c r="W243" i="32"/>
  <c r="W244" i="32"/>
  <c r="W245" i="32"/>
  <c r="W246" i="32"/>
  <c r="W247" i="32"/>
  <c r="W248" i="32"/>
  <c r="W249" i="32"/>
  <c r="W250" i="32"/>
  <c r="W251" i="32"/>
  <c r="W252" i="32"/>
  <c r="W253" i="32"/>
  <c r="W254" i="32"/>
  <c r="W255" i="32"/>
  <c r="W256" i="32"/>
  <c r="W257" i="32"/>
  <c r="W258" i="32"/>
  <c r="W259" i="32"/>
  <c r="W260" i="32"/>
  <c r="W261" i="32"/>
  <c r="W262" i="32"/>
  <c r="W263" i="32"/>
  <c r="W264" i="32"/>
  <c r="W265" i="32"/>
  <c r="W266" i="32"/>
  <c r="W267" i="32"/>
  <c r="W268" i="32"/>
  <c r="W269" i="32"/>
  <c r="W270" i="32"/>
  <c r="W271" i="32"/>
  <c r="W272" i="32"/>
  <c r="W273" i="32"/>
  <c r="W274" i="32"/>
  <c r="W275" i="32"/>
  <c r="W276" i="32"/>
  <c r="W277" i="32"/>
  <c r="W278" i="32"/>
  <c r="W279" i="32"/>
  <c r="W280" i="32"/>
  <c r="W281" i="32"/>
  <c r="W282" i="32"/>
  <c r="W283" i="32"/>
  <c r="W284" i="32"/>
  <c r="W285" i="32"/>
  <c r="W286" i="32"/>
  <c r="W287" i="32"/>
  <c r="W288" i="32"/>
  <c r="W289" i="32"/>
  <c r="W290" i="32"/>
  <c r="W291" i="32"/>
  <c r="W292" i="32"/>
  <c r="W293" i="32"/>
  <c r="W294" i="32"/>
  <c r="W295" i="32"/>
  <c r="W296" i="32"/>
  <c r="W297" i="32"/>
  <c r="W298" i="32"/>
  <c r="W299" i="32"/>
  <c r="W300" i="32"/>
  <c r="W301" i="32"/>
  <c r="W302" i="32"/>
  <c r="W303" i="32"/>
  <c r="W304" i="32"/>
  <c r="W305" i="32"/>
  <c r="W306" i="32"/>
  <c r="W307" i="32"/>
  <c r="W308" i="32"/>
  <c r="W309" i="32"/>
  <c r="W310" i="32"/>
  <c r="W311" i="32"/>
  <c r="W312" i="32"/>
  <c r="W313" i="32"/>
  <c r="W314" i="32"/>
  <c r="W315" i="32"/>
  <c r="W316" i="32"/>
  <c r="W317" i="32"/>
  <c r="W318" i="32"/>
  <c r="W319" i="32"/>
  <c r="W320" i="32"/>
  <c r="W321" i="32"/>
  <c r="W322" i="32"/>
  <c r="W323" i="32"/>
  <c r="W324" i="32"/>
  <c r="W325" i="32"/>
  <c r="W326" i="32"/>
  <c r="W327" i="32"/>
  <c r="W328" i="32"/>
  <c r="W329" i="32"/>
  <c r="W330" i="32"/>
  <c r="W331" i="32"/>
  <c r="W332" i="32"/>
  <c r="W333" i="32"/>
  <c r="W334" i="32"/>
  <c r="W335" i="32"/>
  <c r="W336" i="32"/>
  <c r="W337" i="32"/>
  <c r="W338" i="32"/>
  <c r="W339" i="32"/>
  <c r="W340" i="32"/>
  <c r="W341" i="32"/>
  <c r="W342" i="32"/>
  <c r="W343" i="32"/>
  <c r="W344" i="32"/>
  <c r="W345" i="32"/>
  <c r="W346" i="32"/>
  <c r="W347" i="32"/>
  <c r="W348" i="32"/>
  <c r="W349" i="32"/>
  <c r="W350" i="32"/>
  <c r="W351" i="32"/>
  <c r="W352" i="32"/>
  <c r="W353" i="32"/>
  <c r="W354" i="32"/>
  <c r="W355" i="32"/>
  <c r="W356" i="32"/>
  <c r="W357" i="32"/>
  <c r="W358" i="32"/>
  <c r="W359" i="32"/>
  <c r="W360" i="32"/>
  <c r="W361" i="32"/>
  <c r="W362" i="32"/>
  <c r="W363" i="32"/>
  <c r="W364" i="32"/>
  <c r="W365" i="32"/>
  <c r="W366" i="32"/>
  <c r="W367" i="32"/>
  <c r="W368" i="32"/>
  <c r="W369" i="32"/>
  <c r="W370" i="32"/>
  <c r="W371" i="32"/>
  <c r="W372" i="32"/>
  <c r="W373" i="32"/>
  <c r="W374" i="32"/>
  <c r="W375" i="32"/>
  <c r="W376" i="32"/>
  <c r="W377" i="32"/>
  <c r="W378" i="32"/>
  <c r="W379" i="32"/>
  <c r="W380" i="32"/>
  <c r="W381" i="32"/>
  <c r="W382" i="32"/>
  <c r="W383" i="32"/>
  <c r="W384" i="32"/>
  <c r="W385" i="32"/>
  <c r="W386" i="32"/>
  <c r="W387" i="32"/>
  <c r="W388" i="32"/>
  <c r="W389" i="32"/>
  <c r="W390" i="32"/>
  <c r="W391" i="32"/>
  <c r="W392" i="32"/>
  <c r="W393" i="32"/>
  <c r="W394" i="32"/>
  <c r="W395" i="32"/>
  <c r="W396" i="32"/>
  <c r="W397" i="32"/>
  <c r="W398" i="32"/>
  <c r="W399" i="32"/>
  <c r="W400" i="32"/>
  <c r="W401" i="32"/>
  <c r="W402" i="32"/>
  <c r="W403" i="32"/>
  <c r="W404" i="32"/>
  <c r="H49" i="34" l="1"/>
  <c r="H2" i="34"/>
  <c r="H3" i="34"/>
  <c r="H4" i="34"/>
  <c r="H5" i="34"/>
  <c r="H6" i="34"/>
  <c r="H7" i="34"/>
  <c r="H8" i="34"/>
  <c r="H9" i="34"/>
  <c r="H10" i="34"/>
  <c r="H11" i="34"/>
  <c r="H12" i="34"/>
  <c r="H13" i="34"/>
  <c r="H14" i="34"/>
  <c r="H15" i="34"/>
  <c r="H16" i="34"/>
  <c r="H17" i="34"/>
  <c r="H18" i="34"/>
  <c r="H19" i="34"/>
  <c r="H20" i="34"/>
  <c r="H21" i="34"/>
  <c r="H22" i="34"/>
  <c r="H23" i="34"/>
  <c r="H24" i="34"/>
  <c r="H25" i="34"/>
  <c r="H26" i="34"/>
  <c r="H27" i="34"/>
  <c r="H28" i="34"/>
  <c r="H29" i="34"/>
  <c r="H30" i="34"/>
  <c r="H31" i="34"/>
  <c r="H32" i="34"/>
  <c r="H33" i="34"/>
  <c r="H34" i="34"/>
  <c r="H35" i="34"/>
  <c r="H36" i="34"/>
  <c r="H37" i="34"/>
  <c r="H38" i="34"/>
  <c r="H39" i="34"/>
  <c r="H40" i="34"/>
  <c r="H41" i="34"/>
  <c r="H42" i="34"/>
  <c r="H43" i="34"/>
  <c r="H44" i="34"/>
  <c r="H45" i="34"/>
  <c r="H46" i="34"/>
  <c r="H47" i="34"/>
  <c r="H48" i="34"/>
  <c r="CE2" i="21"/>
  <c r="CK2" i="21"/>
  <c r="CO2" i="21"/>
  <c r="CU2" i="21"/>
  <c r="CY2" i="21"/>
  <c r="DG2" i="21"/>
  <c r="DI2" i="21"/>
  <c r="DJ2" i="21"/>
  <c r="DK2" i="21"/>
  <c r="EW2" i="37"/>
  <c r="EV2" i="37" s="1"/>
  <c r="ES2" i="37"/>
  <c r="ES3" i="37" s="1" a="1"/>
  <c r="ES3" i="37" s="1"/>
  <c r="ER2" i="37"/>
  <c r="EQ2" i="37"/>
  <c r="EG2" i="37"/>
  <c r="EF2" i="37"/>
  <c r="EE2" i="37"/>
  <c r="ED2" i="37"/>
  <c r="EB2" i="37"/>
  <c r="DZ2" i="37"/>
  <c r="DX2" i="37"/>
  <c r="DW2" i="37"/>
  <c r="DV2" i="37"/>
  <c r="DU2" i="37"/>
  <c r="DT2" i="37"/>
  <c r="DS2" i="37"/>
  <c r="DR2" i="37"/>
  <c r="DK2" i="37"/>
  <c r="DJ2" i="37"/>
  <c r="DI2" i="37"/>
  <c r="DG2" i="37"/>
  <c r="DF2" i="37"/>
  <c r="DE2" i="37"/>
  <c r="DD2" i="37"/>
  <c r="CY2" i="37"/>
  <c r="CU2" i="37"/>
  <c r="CO2" i="37"/>
  <c r="CK2" i="37"/>
  <c r="CE2" i="37"/>
  <c r="BX2" i="37"/>
  <c r="BT2" i="37"/>
  <c r="BQ2" i="37"/>
  <c r="BO2" i="37"/>
  <c r="BN2" i="37"/>
  <c r="BM2" i="37"/>
  <c r="BJ2" i="37"/>
  <c r="AW2" i="37"/>
  <c r="AR2" i="37"/>
  <c r="AE2" i="37"/>
  <c r="AC2" i="37"/>
  <c r="EW3" i="37"/>
  <c r="EV3" i="37"/>
  <c r="EU3" i="37"/>
  <c r="EW5" i="37"/>
  <c r="EV5" i="37"/>
  <c r="EU5" i="37"/>
  <c r="ET5" i="37"/>
  <c r="ER5" i="37"/>
  <c r="EQ5" i="37"/>
  <c r="EP5" i="37"/>
  <c r="EO5" i="37"/>
  <c r="EN5" i="37"/>
  <c r="EM5" i="37"/>
  <c r="EL5" i="37"/>
  <c r="EK5" i="37"/>
  <c r="EJ5" i="37"/>
  <c r="EI5" i="37"/>
  <c r="EG5" i="37"/>
  <c r="EF5" i="37"/>
  <c r="EE5" i="37"/>
  <c r="ED5" i="37"/>
  <c r="EC5" i="37"/>
  <c r="EB5" i="37"/>
  <c r="EA5" i="37"/>
  <c r="DZ5" i="37"/>
  <c r="DY5" i="37"/>
  <c r="DX5" i="37"/>
  <c r="DW5" i="37"/>
  <c r="DV5" i="37"/>
  <c r="DU5" i="37"/>
  <c r="DT5" i="37"/>
  <c r="DS5" i="37"/>
  <c r="DR5" i="37"/>
  <c r="DQ5" i="37"/>
  <c r="DP5" i="37"/>
  <c r="DO5" i="37"/>
  <c r="DN5" i="37"/>
  <c r="DM5" i="37"/>
  <c r="DL5" i="37"/>
  <c r="DK5" i="37"/>
  <c r="DJ5" i="37"/>
  <c r="DI5" i="37"/>
  <c r="DH5" i="37"/>
  <c r="DG5" i="37"/>
  <c r="DF5" i="37"/>
  <c r="DE5" i="37"/>
  <c r="DD5" i="37"/>
  <c r="DC5" i="37"/>
  <c r="DB5" i="37"/>
  <c r="DA5" i="37"/>
  <c r="CZ5" i="37"/>
  <c r="CY5" i="37"/>
  <c r="CX5" i="37"/>
  <c r="CW5" i="37"/>
  <c r="CV5" i="37"/>
  <c r="CU5" i="37"/>
  <c r="CT5" i="37"/>
  <c r="CS5" i="37"/>
  <c r="CR5" i="37"/>
  <c r="CQ5" i="37"/>
  <c r="CP5" i="37"/>
  <c r="CO5" i="37"/>
  <c r="CN5" i="37"/>
  <c r="CM5" i="37"/>
  <c r="CL5" i="37"/>
  <c r="CK5" i="37"/>
  <c r="CJ5" i="37"/>
  <c r="CI5" i="37"/>
  <c r="CH5" i="37"/>
  <c r="CG5" i="37"/>
  <c r="CF5" i="37"/>
  <c r="CE5" i="37"/>
  <c r="CD5" i="37"/>
  <c r="CC5" i="37"/>
  <c r="CB5" i="37"/>
  <c r="CA5" i="37"/>
  <c r="BZ5" i="37"/>
  <c r="BY5" i="37"/>
  <c r="BX5" i="37"/>
  <c r="BW5" i="37"/>
  <c r="BV5" i="37"/>
  <c r="BU5" i="37"/>
  <c r="BT5" i="37"/>
  <c r="BS5" i="37"/>
  <c r="BR5" i="37"/>
  <c r="BQ5" i="37"/>
  <c r="BP5" i="37"/>
  <c r="BO5" i="37"/>
  <c r="BN5" i="37"/>
  <c r="BM5" i="37"/>
  <c r="BL5" i="37"/>
  <c r="BK5" i="37"/>
  <c r="BJ5" i="37"/>
  <c r="BI5" i="37"/>
  <c r="BH5" i="37"/>
  <c r="BG5" i="37"/>
  <c r="BF5" i="37"/>
  <c r="BE5" i="37"/>
  <c r="BD5" i="37"/>
  <c r="BC5" i="37"/>
  <c r="BB5" i="37"/>
  <c r="BA5" i="37"/>
  <c r="AZ5" i="37"/>
  <c r="AY5" i="37"/>
  <c r="AX5" i="37"/>
  <c r="AW5" i="37"/>
  <c r="AV5" i="37"/>
  <c r="AU5" i="37"/>
  <c r="AT5" i="37"/>
  <c r="AS5" i="37"/>
  <c r="AR5" i="37"/>
  <c r="AQ5" i="37"/>
  <c r="AP5" i="37"/>
  <c r="AO5" i="37"/>
  <c r="AN5" i="37"/>
  <c r="AM5" i="37"/>
  <c r="AL5" i="37"/>
  <c r="AK5" i="37"/>
  <c r="AJ5" i="37"/>
  <c r="AI5" i="37"/>
  <c r="AH5" i="37"/>
  <c r="AG5" i="37"/>
  <c r="AF5" i="37"/>
  <c r="AE5" i="37"/>
  <c r="AD5" i="37"/>
  <c r="AC5" i="37"/>
  <c r="AB5" i="37"/>
  <c r="AA5" i="37"/>
  <c r="Z5" i="37"/>
  <c r="Y5" i="37"/>
  <c r="X5" i="37"/>
  <c r="W5" i="37"/>
  <c r="V5" i="37"/>
  <c r="U5" i="37"/>
  <c r="T5" i="37"/>
  <c r="S5" i="37"/>
  <c r="R5" i="37"/>
  <c r="Q5" i="37"/>
  <c r="ER4" i="37" a="1"/>
  <c r="ER4" i="37" s="1"/>
  <c r="F19" i="36"/>
  <c r="F20" i="36"/>
  <c r="F21" i="36"/>
  <c r="F22" i="36"/>
  <c r="F7" i="36"/>
  <c r="F8" i="36"/>
  <c r="F9" i="36"/>
  <c r="F10" i="36"/>
  <c r="F11" i="36"/>
  <c r="F12" i="36"/>
  <c r="F13" i="36"/>
  <c r="F14" i="36"/>
  <c r="F15" i="36"/>
  <c r="F16" i="36"/>
  <c r="F17" i="36"/>
  <c r="F49" i="36"/>
  <c r="F39" i="36"/>
  <c r="F47" i="36"/>
  <c r="F48" i="36"/>
  <c r="F50" i="36"/>
  <c r="F18" i="36"/>
  <c r="F6" i="36"/>
  <c r="F40" i="36"/>
  <c r="F46" i="36"/>
  <c r="F36" i="36"/>
  <c r="F37" i="36"/>
  <c r="F42" i="36"/>
  <c r="F45" i="36"/>
  <c r="F43" i="36"/>
  <c r="F44" i="36"/>
  <c r="F38" i="36"/>
  <c r="F41" i="36"/>
  <c r="A88" i="11"/>
  <c r="C88" i="11"/>
  <c r="C81" i="11"/>
  <c r="C82" i="11"/>
  <c r="C83" i="11"/>
  <c r="C84" i="11"/>
  <c r="C85" i="11"/>
  <c r="C86" i="11"/>
  <c r="C80" i="11"/>
  <c r="C65" i="11"/>
  <c r="C66" i="11"/>
  <c r="C64" i="11"/>
  <c r="C87" i="11"/>
  <c r="EV5" i="21"/>
  <c r="EV4" i="21" s="1"/>
  <c r="EW5" i="21"/>
  <c r="EW4" i="21" s="1"/>
  <c r="EX5" i="21"/>
  <c r="EX4" i="21" s="1"/>
  <c r="FA5" i="30"/>
  <c r="FA4" i="30" s="1"/>
  <c r="FB5" i="30"/>
  <c r="FB4" i="30" s="1"/>
  <c r="FC5" i="30"/>
  <c r="FC4" i="30" s="1"/>
  <c r="DZ5" i="30"/>
  <c r="EA5" i="30"/>
  <c r="BL2" i="30"/>
  <c r="BM2" i="30"/>
  <c r="BN2" i="30"/>
  <c r="BL5" i="30"/>
  <c r="BM5" i="30"/>
  <c r="BN5" i="30"/>
  <c r="BO5" i="30"/>
  <c r="BE5" i="30"/>
  <c r="BF5" i="30"/>
  <c r="BG5" i="30"/>
  <c r="EA5" i="21"/>
  <c r="EB5" i="21"/>
  <c r="D110" i="25"/>
  <c r="DZ2" i="30"/>
  <c r="D109" i="25"/>
  <c r="B110" i="25"/>
  <c r="C110" i="25"/>
  <c r="AZ2" i="24"/>
  <c r="BA2" i="24"/>
  <c r="BB2" i="24"/>
  <c r="BC2" i="24"/>
  <c r="BE2" i="24"/>
  <c r="BF2" i="24"/>
  <c r="BH2" i="24"/>
  <c r="BI2" i="24"/>
  <c r="BJ2" i="24"/>
  <c r="BL2" i="24"/>
  <c r="BM2" i="24"/>
  <c r="BN2" i="24"/>
  <c r="BO2" i="24"/>
  <c r="BP2" i="24"/>
  <c r="BQ2" i="24"/>
  <c r="BS2" i="24"/>
  <c r="BT2" i="24"/>
  <c r="BU2" i="24"/>
  <c r="BV2" i="24"/>
  <c r="BW2" i="24"/>
  <c r="BY2" i="24"/>
  <c r="BZ2" i="24"/>
  <c r="CA2" i="24"/>
  <c r="CC2" i="24"/>
  <c r="CD2" i="24"/>
  <c r="CE2" i="24"/>
  <c r="CF2" i="24"/>
  <c r="CG2" i="24"/>
  <c r="CI2" i="24"/>
  <c r="CJ2" i="24"/>
  <c r="CK2" i="24"/>
  <c r="CM2" i="24"/>
  <c r="CN2" i="24"/>
  <c r="CO2" i="24"/>
  <c r="CP2" i="24"/>
  <c r="CQ2" i="24"/>
  <c r="CR2" i="24"/>
  <c r="CS2" i="24"/>
  <c r="CU2" i="24"/>
  <c r="CW2" i="24"/>
  <c r="CY2" i="24"/>
  <c r="CZ2" i="24"/>
  <c r="DA2" i="24"/>
  <c r="DB2" i="24"/>
  <c r="DC2" i="24"/>
  <c r="DD2" i="24"/>
  <c r="DF2" i="24"/>
  <c r="DG2" i="24"/>
  <c r="DL2" i="24"/>
  <c r="DO2" i="24"/>
  <c r="DQ2" i="24"/>
  <c r="DS2" i="24"/>
  <c r="DU2" i="24"/>
  <c r="DV2" i="24"/>
  <c r="DW2" i="24"/>
  <c r="DX2" i="24"/>
  <c r="DY2" i="24"/>
  <c r="DZ2" i="24"/>
  <c r="EA2" i="24"/>
  <c r="EB2" i="24"/>
  <c r="EC2" i="24"/>
  <c r="ED2" i="24"/>
  <c r="BM2" i="21"/>
  <c r="BN2" i="21"/>
  <c r="BO2" i="21"/>
  <c r="BM5" i="21"/>
  <c r="BN5" i="21"/>
  <c r="BO5" i="21"/>
  <c r="BP5" i="21"/>
  <c r="C128" i="25"/>
  <c r="B128" i="25"/>
  <c r="C127" i="25"/>
  <c r="B127" i="25"/>
  <c r="C126" i="25"/>
  <c r="B126" i="25"/>
  <c r="C125" i="25"/>
  <c r="D124" i="25"/>
  <c r="C124" i="25"/>
  <c r="B124" i="25"/>
  <c r="D123" i="25"/>
  <c r="EO2" i="37"/>
  <c r="C123" i="25"/>
  <c r="B123" i="25"/>
  <c r="D122" i="25"/>
  <c r="EN2" i="37" s="1"/>
  <c r="C122" i="25"/>
  <c r="B122" i="25"/>
  <c r="D121" i="25"/>
  <c r="EM2" i="37" s="1"/>
  <c r="C121" i="25"/>
  <c r="B121" i="25"/>
  <c r="D120" i="25"/>
  <c r="DV2" i="31"/>
  <c r="EL2" i="37"/>
  <c r="C120" i="25"/>
  <c r="B120" i="25"/>
  <c r="D119" i="25"/>
  <c r="EK2" i="37"/>
  <c r="C119" i="25"/>
  <c r="B119" i="25"/>
  <c r="D118" i="25"/>
  <c r="EJ2" i="37"/>
  <c r="C118" i="25"/>
  <c r="B118" i="25"/>
  <c r="D117" i="25"/>
  <c r="EI2" i="37" s="1"/>
  <c r="C117" i="25"/>
  <c r="B117" i="25"/>
  <c r="D116" i="25"/>
  <c r="EH2" i="37"/>
  <c r="C116" i="25"/>
  <c r="B116" i="25"/>
  <c r="C115" i="25"/>
  <c r="C114" i="25"/>
  <c r="B114" i="25"/>
  <c r="C113" i="25"/>
  <c r="D112" i="25"/>
  <c r="EC2" i="37" s="1"/>
  <c r="C112" i="25"/>
  <c r="B112" i="25"/>
  <c r="C111" i="25"/>
  <c r="C109" i="25"/>
  <c r="B109" i="25"/>
  <c r="C108" i="25"/>
  <c r="D107" i="25"/>
  <c r="DY2" i="37"/>
  <c r="C107" i="25"/>
  <c r="B107" i="25"/>
  <c r="C106" i="25"/>
  <c r="D105" i="25"/>
  <c r="DQ2" i="37" s="1"/>
  <c r="C105" i="25"/>
  <c r="B105" i="25"/>
  <c r="D104" i="25"/>
  <c r="DP2" i="37"/>
  <c r="C104" i="25"/>
  <c r="B104" i="25"/>
  <c r="D103" i="25"/>
  <c r="DO2" i="37"/>
  <c r="C103" i="25"/>
  <c r="B103" i="25"/>
  <c r="D102" i="25"/>
  <c r="DN2" i="37" s="1"/>
  <c r="C102" i="25"/>
  <c r="B102" i="25"/>
  <c r="D101" i="25"/>
  <c r="DM2" i="37"/>
  <c r="C101" i="25"/>
  <c r="B101" i="25"/>
  <c r="C100" i="25"/>
  <c r="C99" i="25"/>
  <c r="B99" i="25"/>
  <c r="C98" i="25"/>
  <c r="B98" i="25"/>
  <c r="D97" i="25"/>
  <c r="C97" i="25"/>
  <c r="B97" i="25"/>
  <c r="C96" i="25"/>
  <c r="D95" i="25"/>
  <c r="DF2" i="21" s="1"/>
  <c r="C95" i="25"/>
  <c r="B95" i="25"/>
  <c r="D94" i="25"/>
  <c r="DE2" i="21" s="1"/>
  <c r="C94" i="25"/>
  <c r="B94" i="25"/>
  <c r="D93" i="25"/>
  <c r="DD2" i="21"/>
  <c r="C93" i="25"/>
  <c r="B93" i="25"/>
  <c r="D92" i="25"/>
  <c r="C92" i="25"/>
  <c r="B92" i="25"/>
  <c r="D91" i="25"/>
  <c r="C91" i="25"/>
  <c r="B91" i="25"/>
  <c r="D90" i="25"/>
  <c r="C90" i="25"/>
  <c r="B90" i="25"/>
  <c r="D89" i="25"/>
  <c r="C89" i="25"/>
  <c r="B89" i="25"/>
  <c r="C88" i="25"/>
  <c r="D87" i="25"/>
  <c r="C87" i="25"/>
  <c r="B87" i="25"/>
  <c r="D86" i="25"/>
  <c r="C86" i="25"/>
  <c r="B86" i="25"/>
  <c r="D85" i="25"/>
  <c r="C85" i="25"/>
  <c r="B85" i="25"/>
  <c r="C84" i="25"/>
  <c r="D83" i="25"/>
  <c r="C83" i="25"/>
  <c r="B83" i="25"/>
  <c r="D82" i="25"/>
  <c r="C82" i="25"/>
  <c r="B82" i="25"/>
  <c r="D81" i="25"/>
  <c r="C81" i="25"/>
  <c r="B81" i="25"/>
  <c r="D80" i="25"/>
  <c r="C80" i="25"/>
  <c r="B80" i="25"/>
  <c r="D79" i="25"/>
  <c r="C79" i="25"/>
  <c r="B79" i="25"/>
  <c r="C78" i="25"/>
  <c r="D77" i="25"/>
  <c r="C77" i="25"/>
  <c r="B77" i="25"/>
  <c r="D76" i="25"/>
  <c r="C76" i="25"/>
  <c r="B76" i="25"/>
  <c r="D75" i="25"/>
  <c r="C75" i="25"/>
  <c r="B75" i="25"/>
  <c r="C74" i="25"/>
  <c r="D73" i="25"/>
  <c r="CI2" i="30" s="1"/>
  <c r="C73" i="25"/>
  <c r="B73" i="25"/>
  <c r="D72" i="25"/>
  <c r="C72" i="25"/>
  <c r="B72" i="25"/>
  <c r="D71" i="25"/>
  <c r="C71" i="25"/>
  <c r="B71" i="25"/>
  <c r="D70" i="25"/>
  <c r="C70" i="25"/>
  <c r="B70" i="25"/>
  <c r="D69" i="25"/>
  <c r="C69" i="25"/>
  <c r="B69" i="25"/>
  <c r="C68" i="25"/>
  <c r="D67" i="25"/>
  <c r="C67" i="25"/>
  <c r="B67" i="25"/>
  <c r="D66" i="25"/>
  <c r="C66" i="25"/>
  <c r="B66" i="25"/>
  <c r="D65" i="25"/>
  <c r="C65" i="25"/>
  <c r="B65" i="25"/>
  <c r="D64" i="25"/>
  <c r="C64" i="25"/>
  <c r="B64" i="25"/>
  <c r="D63" i="25"/>
  <c r="C63" i="25"/>
  <c r="B63" i="25"/>
  <c r="D62" i="25"/>
  <c r="C62" i="25"/>
  <c r="B62" i="25"/>
  <c r="C61" i="25"/>
  <c r="D60" i="25"/>
  <c r="BW2" i="37" s="1"/>
  <c r="C60" i="25"/>
  <c r="B60" i="25"/>
  <c r="D59" i="25"/>
  <c r="BV2" i="37"/>
  <c r="C59" i="25"/>
  <c r="B59" i="25"/>
  <c r="D58" i="25"/>
  <c r="BU2" i="37" s="1"/>
  <c r="C58" i="25"/>
  <c r="B58" i="25"/>
  <c r="C57" i="25"/>
  <c r="D56" i="25"/>
  <c r="BR2" i="30"/>
  <c r="BS2" i="37"/>
  <c r="C56" i="25"/>
  <c r="B56" i="25"/>
  <c r="D55" i="25"/>
  <c r="BR2" i="37" s="1"/>
  <c r="C55" i="25"/>
  <c r="B55" i="25"/>
  <c r="C54" i="25"/>
  <c r="D53" i="25"/>
  <c r="C53" i="25"/>
  <c r="B53" i="25"/>
  <c r="C52" i="25"/>
  <c r="B52" i="25"/>
  <c r="C51" i="25"/>
  <c r="B51" i="25"/>
  <c r="C50" i="25"/>
  <c r="B50" i="25"/>
  <c r="D49" i="25"/>
  <c r="BL2" i="37"/>
  <c r="C49" i="25"/>
  <c r="B49" i="25"/>
  <c r="D48" i="25"/>
  <c r="BK2" i="37"/>
  <c r="C48" i="25"/>
  <c r="B48" i="25"/>
  <c r="C47" i="25"/>
  <c r="D46" i="25"/>
  <c r="BI2" i="37" s="1"/>
  <c r="C46" i="25"/>
  <c r="B46" i="25"/>
  <c r="D45" i="25"/>
  <c r="BH2" i="37" s="1"/>
  <c r="C45" i="25"/>
  <c r="B45" i="25"/>
  <c r="D44" i="25"/>
  <c r="BG2" i="37" s="1"/>
  <c r="C44" i="25"/>
  <c r="B44" i="25"/>
  <c r="D43" i="25"/>
  <c r="C43" i="25"/>
  <c r="B43" i="25"/>
  <c r="D42" i="25"/>
  <c r="BE2" i="37"/>
  <c r="C42" i="25"/>
  <c r="B42" i="25"/>
  <c r="D41" i="25"/>
  <c r="BD2" i="37"/>
  <c r="C41" i="25"/>
  <c r="B41" i="25"/>
  <c r="D40" i="25"/>
  <c r="BC2" i="37" s="1"/>
  <c r="C40" i="25"/>
  <c r="B40" i="25"/>
  <c r="D39" i="25"/>
  <c r="BB2" i="37"/>
  <c r="C39" i="25"/>
  <c r="B39" i="25"/>
  <c r="D38" i="25"/>
  <c r="C38" i="25"/>
  <c r="B38" i="25"/>
  <c r="D37" i="25"/>
  <c r="AZ2" i="37" s="1"/>
  <c r="C37" i="25"/>
  <c r="B37" i="25"/>
  <c r="D36" i="25"/>
  <c r="AY2" i="37"/>
  <c r="C36" i="25"/>
  <c r="B36" i="25"/>
  <c r="D35" i="25"/>
  <c r="AX2" i="37"/>
  <c r="C35" i="25"/>
  <c r="B35" i="25"/>
  <c r="C34" i="25"/>
  <c r="D33" i="25"/>
  <c r="AV2" i="37" s="1"/>
  <c r="C33" i="25"/>
  <c r="B33" i="25"/>
  <c r="D32" i="25"/>
  <c r="AI2" i="31" s="1"/>
  <c r="AU2" i="37"/>
  <c r="C32" i="25"/>
  <c r="B32" i="25"/>
  <c r="D31" i="25"/>
  <c r="AT2" i="37" s="1"/>
  <c r="C31" i="25"/>
  <c r="B31" i="25"/>
  <c r="D30" i="25"/>
  <c r="AS2" i="37"/>
  <c r="C30" i="25"/>
  <c r="B30" i="25"/>
  <c r="C29" i="25"/>
  <c r="D28" i="25"/>
  <c r="AQ2" i="37" s="1"/>
  <c r="C28" i="25"/>
  <c r="B28" i="25"/>
  <c r="D27" i="25"/>
  <c r="AP2" i="37"/>
  <c r="C27" i="25"/>
  <c r="B27" i="25"/>
  <c r="D26" i="25"/>
  <c r="AO2" i="37" s="1"/>
  <c r="C26" i="25"/>
  <c r="B26" i="25"/>
  <c r="D25" i="25"/>
  <c r="AN2" i="21" s="1"/>
  <c r="AN2" i="37"/>
  <c r="C25" i="25"/>
  <c r="B25" i="25"/>
  <c r="D24" i="25"/>
  <c r="AM2" i="37" s="1"/>
  <c r="C24" i="25"/>
  <c r="B24" i="25"/>
  <c r="D23" i="25"/>
  <c r="AL2" i="37"/>
  <c r="C23" i="25"/>
  <c r="B23" i="25"/>
  <c r="D22" i="25"/>
  <c r="AK2" i="37"/>
  <c r="C22" i="25"/>
  <c r="B22" i="25"/>
  <c r="D21" i="25"/>
  <c r="C21" i="25"/>
  <c r="B21" i="25"/>
  <c r="D20" i="25"/>
  <c r="AI2" i="37" s="1"/>
  <c r="C20" i="25"/>
  <c r="B20" i="25"/>
  <c r="D19" i="25"/>
  <c r="AH2" i="37" s="1"/>
  <c r="C19" i="25"/>
  <c r="B19" i="25"/>
  <c r="D18" i="25"/>
  <c r="AG2" i="37"/>
  <c r="C18" i="25"/>
  <c r="B18" i="25"/>
  <c r="D17" i="25"/>
  <c r="AF2" i="37" s="1"/>
  <c r="T2" i="31"/>
  <c r="C17" i="25"/>
  <c r="B17" i="25"/>
  <c r="C16" i="25"/>
  <c r="B16" i="25"/>
  <c r="D15" i="25"/>
  <c r="AD2" i="37" s="1"/>
  <c r="C15" i="25"/>
  <c r="B15" i="25"/>
  <c r="C14" i="25"/>
  <c r="B14" i="25"/>
  <c r="D13" i="25"/>
  <c r="AB2" i="37"/>
  <c r="C13" i="25"/>
  <c r="B13" i="25"/>
  <c r="D12" i="25"/>
  <c r="C12" i="25"/>
  <c r="B12" i="25"/>
  <c r="D11" i="25"/>
  <c r="Z2" i="37" s="1"/>
  <c r="C11" i="25"/>
  <c r="B11" i="25"/>
  <c r="D10" i="25"/>
  <c r="Y2" i="37"/>
  <c r="C10" i="25"/>
  <c r="B10" i="25"/>
  <c r="D9" i="25"/>
  <c r="X2" i="37"/>
  <c r="C9" i="25"/>
  <c r="B9" i="25"/>
  <c r="D8" i="25"/>
  <c r="W2" i="37" s="1"/>
  <c r="C8" i="25"/>
  <c r="B8" i="25"/>
  <c r="D7" i="25"/>
  <c r="V2" i="37"/>
  <c r="C7" i="25"/>
  <c r="B7" i="25"/>
  <c r="D6" i="25"/>
  <c r="U2" i="37"/>
  <c r="C6" i="25"/>
  <c r="B6" i="25"/>
  <c r="D5" i="25"/>
  <c r="T2" i="37" s="1"/>
  <c r="C5" i="25"/>
  <c r="B5" i="25"/>
  <c r="D4" i="25"/>
  <c r="C4" i="25"/>
  <c r="B4" i="25"/>
  <c r="D3" i="25"/>
  <c r="R2" i="37"/>
  <c r="C3" i="25"/>
  <c r="B3" i="25"/>
  <c r="C2" i="25"/>
  <c r="BF5" i="21"/>
  <c r="BG5" i="21"/>
  <c r="EA2" i="31"/>
  <c r="EA3" i="31" s="1" a="1"/>
  <c r="EA3" i="31" s="1"/>
  <c r="DQ2" i="31"/>
  <c r="DP2" i="31"/>
  <c r="DO2" i="31"/>
  <c r="DN2" i="31"/>
  <c r="DL2" i="31"/>
  <c r="DJ2" i="31"/>
  <c r="DH2" i="31"/>
  <c r="DG2" i="31"/>
  <c r="DF2" i="31"/>
  <c r="DE2" i="31"/>
  <c r="DD2" i="31"/>
  <c r="DC2" i="31"/>
  <c r="DB2" i="31"/>
  <c r="CU2" i="31"/>
  <c r="CT2" i="31"/>
  <c r="CS2" i="31"/>
  <c r="CQ2" i="31"/>
  <c r="CI2" i="31"/>
  <c r="CE2" i="31"/>
  <c r="BY2" i="31"/>
  <c r="BU2" i="31"/>
  <c r="BO2" i="31"/>
  <c r="BH2" i="31"/>
  <c r="BD2" i="31"/>
  <c r="BA2" i="31"/>
  <c r="AW2" i="31"/>
  <c r="AK2" i="31"/>
  <c r="AF2" i="31"/>
  <c r="S2" i="31"/>
  <c r="Q2" i="31"/>
  <c r="ES2" i="21"/>
  <c r="ET2" i="21"/>
  <c r="ET3" i="21" s="1" a="1"/>
  <c r="ET3" i="21" s="1"/>
  <c r="ER2" i="21"/>
  <c r="EH2" i="21"/>
  <c r="EG2" i="21"/>
  <c r="EF2" i="21"/>
  <c r="EE2" i="21"/>
  <c r="EC2" i="21"/>
  <c r="DZ2" i="21"/>
  <c r="DX2" i="21"/>
  <c r="DW2" i="21"/>
  <c r="DV2" i="21"/>
  <c r="DU2" i="21"/>
  <c r="DT2" i="21"/>
  <c r="DS2" i="21"/>
  <c r="DR2" i="21"/>
  <c r="BX2" i="21"/>
  <c r="BT2" i="21"/>
  <c r="BQ2" i="21"/>
  <c r="BJ2" i="21"/>
  <c r="AW2" i="21"/>
  <c r="AR2" i="21"/>
  <c r="AE2" i="21"/>
  <c r="AC2" i="21"/>
  <c r="AB2" i="30"/>
  <c r="AD2" i="30"/>
  <c r="AQ2" i="30"/>
  <c r="AV2" i="30"/>
  <c r="BI2" i="30"/>
  <c r="BP2" i="30"/>
  <c r="BS2" i="30"/>
  <c r="BW2" i="30"/>
  <c r="CD2" i="30"/>
  <c r="CJ2" i="30"/>
  <c r="CN2" i="30"/>
  <c r="CT2" i="30"/>
  <c r="CX2" i="30"/>
  <c r="DF2" i="30"/>
  <c r="DH2" i="30"/>
  <c r="DI2" i="30"/>
  <c r="DJ2" i="30"/>
  <c r="DQ2" i="30"/>
  <c r="DR2" i="30"/>
  <c r="DS2" i="30"/>
  <c r="DT2" i="30"/>
  <c r="DU2" i="30"/>
  <c r="DV2" i="30"/>
  <c r="DW2" i="30"/>
  <c r="DY2" i="30"/>
  <c r="EB2" i="30"/>
  <c r="ED2" i="30"/>
  <c r="EE2" i="30"/>
  <c r="EF2" i="30"/>
  <c r="EG2" i="30"/>
  <c r="EQ2" i="30"/>
  <c r="EQ3" i="30" s="1" a="1"/>
  <c r="EQ3" i="30" s="1"/>
  <c r="AH5" i="31"/>
  <c r="AI5" i="31"/>
  <c r="AJ5" i="31"/>
  <c r="AM5" i="31"/>
  <c r="AN5" i="31"/>
  <c r="AO5" i="31"/>
  <c r="AP5" i="31"/>
  <c r="AQ5" i="31"/>
  <c r="AR5" i="31"/>
  <c r="AS5" i="31"/>
  <c r="AT5" i="31"/>
  <c r="AU5" i="31"/>
  <c r="AV5" i="31"/>
  <c r="AX5" i="31"/>
  <c r="AY5" i="31"/>
  <c r="AZ5" i="31"/>
  <c r="BB5" i="31"/>
  <c r="BC5" i="31"/>
  <c r="BF5" i="31"/>
  <c r="BG5" i="31"/>
  <c r="BI5" i="31"/>
  <c r="BJ5" i="31"/>
  <c r="BL5" i="31"/>
  <c r="BM5" i="31"/>
  <c r="BN5" i="31"/>
  <c r="BP5" i="31"/>
  <c r="BQ5" i="31"/>
  <c r="BR5" i="31"/>
  <c r="BS5" i="31"/>
  <c r="BT5" i="31"/>
  <c r="BW5" i="31"/>
  <c r="BX5" i="31"/>
  <c r="CA5" i="31"/>
  <c r="CB5" i="31"/>
  <c r="CC5" i="31"/>
  <c r="CD5" i="31"/>
  <c r="CF5" i="31"/>
  <c r="CG5" i="31"/>
  <c r="CH5" i="31"/>
  <c r="CJ5" i="31"/>
  <c r="CK5" i="31"/>
  <c r="CL5" i="31"/>
  <c r="CM5" i="31"/>
  <c r="CN5" i="31"/>
  <c r="CO5" i="31"/>
  <c r="CP5" i="31"/>
  <c r="CT5" i="31"/>
  <c r="CW5" i="31"/>
  <c r="CX5" i="31"/>
  <c r="CY5" i="31"/>
  <c r="CZ5" i="31"/>
  <c r="DC5" i="31"/>
  <c r="DD5" i="31"/>
  <c r="DI5" i="31"/>
  <c r="DK5" i="31"/>
  <c r="DM5" i="31"/>
  <c r="DO5" i="31"/>
  <c r="DQ5" i="31"/>
  <c r="DS5" i="31"/>
  <c r="DT5" i="31"/>
  <c r="DU5" i="31"/>
  <c r="DV5" i="31"/>
  <c r="DW5" i="31"/>
  <c r="DX5" i="31"/>
  <c r="DY5" i="31"/>
  <c r="AS5" i="30"/>
  <c r="AT5" i="30"/>
  <c r="AU5" i="30"/>
  <c r="AX5" i="30"/>
  <c r="AY5" i="30"/>
  <c r="AZ5" i="30"/>
  <c r="BA5" i="30"/>
  <c r="BB5" i="30"/>
  <c r="BC5" i="30"/>
  <c r="BD5" i="30"/>
  <c r="BH5" i="30"/>
  <c r="BJ5" i="30"/>
  <c r="BK5" i="30"/>
  <c r="BQ5" i="30"/>
  <c r="BR5" i="30"/>
  <c r="BU5" i="30"/>
  <c r="BZ5" i="30"/>
  <c r="CB5" i="30"/>
  <c r="CC5" i="30"/>
  <c r="CE5" i="30"/>
  <c r="CF5" i="30"/>
  <c r="CG5" i="30"/>
  <c r="CH5" i="30"/>
  <c r="CI5" i="30"/>
  <c r="CK5" i="30"/>
  <c r="CL5" i="30"/>
  <c r="CM5" i="30"/>
  <c r="CO5" i="30"/>
  <c r="CP5" i="30"/>
  <c r="CQ5" i="30"/>
  <c r="CR5" i="30"/>
  <c r="CS5" i="30"/>
  <c r="CU5" i="30"/>
  <c r="CV5" i="30"/>
  <c r="CW5" i="30"/>
  <c r="CY5" i="30"/>
  <c r="CZ5" i="30"/>
  <c r="DA5" i="30"/>
  <c r="DB5" i="30"/>
  <c r="DC5" i="30"/>
  <c r="DD5" i="30"/>
  <c r="DE5" i="30"/>
  <c r="DI5" i="30"/>
  <c r="DM5" i="30"/>
  <c r="DN5" i="30"/>
  <c r="DO5" i="30"/>
  <c r="DR5" i="30"/>
  <c r="DS5" i="30"/>
  <c r="DX5" i="30"/>
  <c r="EC5" i="30"/>
  <c r="EE5" i="30"/>
  <c r="EG5" i="30"/>
  <c r="EI5" i="30"/>
  <c r="EJ5" i="30"/>
  <c r="EK5" i="30"/>
  <c r="EL5" i="30"/>
  <c r="EM5" i="30"/>
  <c r="EN5" i="30"/>
  <c r="EO5" i="30"/>
  <c r="CV4" i="24"/>
  <c r="CV2" i="24"/>
  <c r="AT5" i="21"/>
  <c r="AU5" i="21"/>
  <c r="AV5" i="21"/>
  <c r="AY5" i="21"/>
  <c r="AZ5" i="21"/>
  <c r="BA5" i="21"/>
  <c r="BB5" i="21"/>
  <c r="BC5" i="21"/>
  <c r="BD5" i="21"/>
  <c r="BE5" i="21"/>
  <c r="BH5" i="21"/>
  <c r="BI5" i="21"/>
  <c r="BK5" i="21"/>
  <c r="BL5" i="21"/>
  <c r="BR5" i="21"/>
  <c r="BS5" i="21"/>
  <c r="BU5" i="21"/>
  <c r="BV5" i="21"/>
  <c r="CA5" i="21"/>
  <c r="CC5" i="21"/>
  <c r="CD5" i="21"/>
  <c r="CG5" i="21"/>
  <c r="CH5" i="21"/>
  <c r="CI5" i="21"/>
  <c r="CJ5" i="21"/>
  <c r="CM5" i="21"/>
  <c r="CN5" i="21"/>
  <c r="CQ5" i="21"/>
  <c r="CR5" i="21"/>
  <c r="CS5" i="21"/>
  <c r="CT5" i="21"/>
  <c r="CV5" i="21"/>
  <c r="CW5" i="21"/>
  <c r="CX5" i="21"/>
  <c r="CZ5" i="21"/>
  <c r="DA5" i="21"/>
  <c r="DB5" i="21"/>
  <c r="DC5" i="21"/>
  <c r="DD5" i="21"/>
  <c r="DE5" i="21"/>
  <c r="DF5" i="21"/>
  <c r="DJ5" i="21"/>
  <c r="DN5" i="21"/>
  <c r="DO5" i="21"/>
  <c r="DP5" i="21"/>
  <c r="DS5" i="21"/>
  <c r="DT5" i="21"/>
  <c r="DY5" i="21"/>
  <c r="ED5" i="21"/>
  <c r="EF5" i="21"/>
  <c r="EH5" i="21"/>
  <c r="EJ5" i="21"/>
  <c r="EK5" i="21"/>
  <c r="EL5" i="21"/>
  <c r="EM5" i="21"/>
  <c r="EN5" i="21"/>
  <c r="EO5" i="21"/>
  <c r="EP5" i="21"/>
  <c r="AP2" i="24"/>
  <c r="AQ2" i="24"/>
  <c r="AR2" i="24"/>
  <c r="AT2" i="24"/>
  <c r="AU2" i="24"/>
  <c r="AV2" i="24"/>
  <c r="EF5" i="31"/>
  <c r="FE5" i="30"/>
  <c r="BK4" i="24"/>
  <c r="BK2" i="24"/>
  <c r="CX4" i="24"/>
  <c r="CX2" i="24" s="1"/>
  <c r="DT4" i="24"/>
  <c r="DT2" i="24"/>
  <c r="Y2" i="24"/>
  <c r="M2" i="24"/>
  <c r="BD4" i="24"/>
  <c r="BD2" i="24" s="1"/>
  <c r="BG4" i="24"/>
  <c r="BG2" i="24" s="1"/>
  <c r="BR4" i="24"/>
  <c r="BR2" i="24"/>
  <c r="D4" i="24"/>
  <c r="D2" i="24" s="1"/>
  <c r="EZ5" i="21"/>
  <c r="DR4" i="24"/>
  <c r="DR2" i="24" s="1"/>
  <c r="DP4" i="24"/>
  <c r="DP2" i="24" s="1"/>
  <c r="DM4" i="24"/>
  <c r="DM2" i="24"/>
  <c r="DK4" i="24"/>
  <c r="DK2" i="24" s="1"/>
  <c r="DE4" i="24"/>
  <c r="DH4" i="24" s="1"/>
  <c r="DI4" i="24"/>
  <c r="DI2" i="24" s="1"/>
  <c r="CT4" i="24"/>
  <c r="CT2" i="24"/>
  <c r="CL4" i="24"/>
  <c r="CL2" i="24" s="1"/>
  <c r="CH4" i="24"/>
  <c r="CH2" i="24"/>
  <c r="CB4" i="24"/>
  <c r="CB2" i="24"/>
  <c r="BX4" i="24"/>
  <c r="BX2" i="24"/>
  <c r="AW4" i="24"/>
  <c r="AW2" i="24"/>
  <c r="AJ4" i="24"/>
  <c r="AJ2" i="24"/>
  <c r="AE4" i="24"/>
  <c r="AE2" i="24" s="1"/>
  <c r="AY2" i="24"/>
  <c r="AX2" i="24"/>
  <c r="AO2" i="24"/>
  <c r="AN2" i="24"/>
  <c r="AM2" i="24"/>
  <c r="AL2" i="24"/>
  <c r="AK2" i="24"/>
  <c r="AI2" i="24"/>
  <c r="AH2" i="24"/>
  <c r="AG2" i="24"/>
  <c r="AF2" i="24"/>
  <c r="AD2" i="24"/>
  <c r="AC2" i="24"/>
  <c r="AB2" i="24"/>
  <c r="AA2" i="24"/>
  <c r="Z2" i="24"/>
  <c r="X2" i="24"/>
  <c r="W2" i="24"/>
  <c r="V2" i="24"/>
  <c r="U2" i="24"/>
  <c r="T2" i="24"/>
  <c r="S2" i="24"/>
  <c r="R2" i="24"/>
  <c r="Q2" i="24"/>
  <c r="P2" i="24"/>
  <c r="O2" i="24"/>
  <c r="N2" i="24"/>
  <c r="L2" i="24"/>
  <c r="K2" i="24"/>
  <c r="J2" i="24"/>
  <c r="I2" i="24"/>
  <c r="H2" i="24"/>
  <c r="G2" i="24"/>
  <c r="F2" i="24"/>
  <c r="E2" i="24"/>
  <c r="C188" i="11"/>
  <c r="C189" i="11"/>
  <c r="C190" i="11"/>
  <c r="C191" i="11"/>
  <c r="C192" i="11"/>
  <c r="C193" i="11"/>
  <c r="C194" i="11"/>
  <c r="C195" i="11"/>
  <c r="C196" i="11"/>
  <c r="C180" i="11"/>
  <c r="C181" i="11"/>
  <c r="C182" i="11"/>
  <c r="C183" i="11"/>
  <c r="C184" i="11"/>
  <c r="C185" i="11"/>
  <c r="C186" i="11"/>
  <c r="C187" i="11"/>
  <c r="C179" i="11"/>
  <c r="C177" i="11"/>
  <c r="C144" i="11"/>
  <c r="C145" i="11"/>
  <c r="C146" i="11"/>
  <c r="C147" i="11"/>
  <c r="C148" i="11"/>
  <c r="C149" i="11"/>
  <c r="C150" i="11"/>
  <c r="C151" i="11"/>
  <c r="C152" i="11"/>
  <c r="C153" i="11"/>
  <c r="C154" i="11"/>
  <c r="C155" i="11"/>
  <c r="C156" i="11"/>
  <c r="C157" i="11"/>
  <c r="C158" i="11"/>
  <c r="C159" i="11"/>
  <c r="C168" i="11"/>
  <c r="C167" i="11"/>
  <c r="C34" i="17"/>
  <c r="C32" i="17"/>
  <c r="C31" i="17"/>
  <c r="C30" i="17"/>
  <c r="C44" i="11"/>
  <c r="C45" i="11"/>
  <c r="C46" i="11"/>
  <c r="C47" i="11"/>
  <c r="C48" i="11"/>
  <c r="C49" i="11"/>
  <c r="C50" i="11"/>
  <c r="C51" i="11"/>
  <c r="C52" i="11"/>
  <c r="C53" i="11"/>
  <c r="C54" i="11"/>
  <c r="C55" i="11"/>
  <c r="C56" i="11"/>
  <c r="C41" i="11"/>
  <c r="C42" i="11"/>
  <c r="C43" i="11"/>
  <c r="C18" i="11"/>
  <c r="C19" i="11"/>
  <c r="C20" i="11"/>
  <c r="C21" i="11"/>
  <c r="C22" i="11"/>
  <c r="C23" i="11"/>
  <c r="C24" i="11"/>
  <c r="C25" i="11"/>
  <c r="C26" i="11"/>
  <c r="C27" i="11"/>
  <c r="C28" i="11"/>
  <c r="C29" i="11"/>
  <c r="C30" i="11"/>
  <c r="C31" i="11"/>
  <c r="C32" i="11"/>
  <c r="C33" i="11"/>
  <c r="C34" i="11"/>
  <c r="C35" i="11"/>
  <c r="C36" i="11"/>
  <c r="C37" i="11"/>
  <c r="C38" i="11"/>
  <c r="C39" i="11"/>
  <c r="C40" i="11"/>
  <c r="C143" i="11"/>
  <c r="C125" i="11"/>
  <c r="C126" i="11"/>
  <c r="C127" i="11"/>
  <c r="C128" i="11"/>
  <c r="C129" i="11"/>
  <c r="C124" i="11"/>
  <c r="C123" i="11"/>
  <c r="C95" i="11"/>
  <c r="C96" i="11"/>
  <c r="C97" i="11"/>
  <c r="C98" i="11"/>
  <c r="C99" i="11"/>
  <c r="C100" i="11"/>
  <c r="C101" i="11"/>
  <c r="C102" i="11"/>
  <c r="C103" i="11"/>
  <c r="C110" i="11"/>
  <c r="C111" i="11"/>
  <c r="C112" i="11"/>
  <c r="C113" i="11"/>
  <c r="C114" i="11"/>
  <c r="C115" i="11"/>
  <c r="C116" i="11"/>
  <c r="C117" i="11"/>
  <c r="C108" i="11"/>
  <c r="C94" i="11"/>
  <c r="C17" i="11"/>
  <c r="C72" i="11"/>
  <c r="C71" i="11"/>
  <c r="C3" i="11"/>
  <c r="C4" i="11"/>
  <c r="C5" i="11"/>
  <c r="C6" i="11"/>
  <c r="C8" i="11"/>
  <c r="C2" i="11"/>
  <c r="C57" i="11"/>
  <c r="C73" i="11"/>
  <c r="C58" i="11"/>
  <c r="C130" i="11"/>
  <c r="BF2" i="21"/>
  <c r="BP2" i="21"/>
  <c r="BG2" i="21"/>
  <c r="BF2" i="30"/>
  <c r="V2" i="30"/>
  <c r="Z2" i="30"/>
  <c r="BD2" i="30"/>
  <c r="BE2" i="21"/>
  <c r="BG2" i="31"/>
  <c r="BV2" i="30"/>
  <c r="BW2" i="21"/>
  <c r="CM2" i="31"/>
  <c r="DB2" i="30"/>
  <c r="CX2" i="31"/>
  <c r="DN2" i="21"/>
  <c r="DM2" i="30"/>
  <c r="DU2" i="31"/>
  <c r="EL2" i="21"/>
  <c r="EK2" i="30"/>
  <c r="DY2" i="31"/>
  <c r="EP2" i="21"/>
  <c r="EO2" i="30"/>
  <c r="BK2" i="21"/>
  <c r="AX2" i="31"/>
  <c r="BJ2" i="30"/>
  <c r="BZ2" i="31"/>
  <c r="CO2" i="30"/>
  <c r="CD2" i="31"/>
  <c r="CS2" i="30"/>
  <c r="CR2" i="31"/>
  <c r="DG2" i="30"/>
  <c r="DI2" i="31"/>
  <c r="DY2" i="21"/>
  <c r="DX2" i="30"/>
  <c r="AG2" i="31"/>
  <c r="AS2" i="21"/>
  <c r="AR2" i="30"/>
  <c r="H2" i="31"/>
  <c r="T2" i="21"/>
  <c r="S2" i="30"/>
  <c r="L2" i="31"/>
  <c r="W2" i="30"/>
  <c r="X2" i="21"/>
  <c r="P2" i="31"/>
  <c r="AB2" i="21"/>
  <c r="AA2" i="30"/>
  <c r="AL2" i="31"/>
  <c r="AW2" i="30"/>
  <c r="AX2" i="21"/>
  <c r="AP2" i="31"/>
  <c r="BB2" i="21"/>
  <c r="BA2" i="30"/>
  <c r="AT2" i="31"/>
  <c r="CJ2" i="31"/>
  <c r="DC2" i="30"/>
  <c r="CY2" i="31"/>
  <c r="DR2" i="31"/>
  <c r="DR5" i="31" s="1"/>
  <c r="EI2" i="21"/>
  <c r="EI5" i="21" s="1"/>
  <c r="EL2" i="30"/>
  <c r="DZ2" i="31"/>
  <c r="AF2" i="30"/>
  <c r="AG2" i="21"/>
  <c r="U2" i="31"/>
  <c r="Y2" i="31"/>
  <c r="AK2" i="21"/>
  <c r="AJ2" i="30"/>
  <c r="AC2" i="31"/>
  <c r="AO2" i="21"/>
  <c r="AN2" i="30"/>
  <c r="AY2" i="31"/>
  <c r="BK2" i="30"/>
  <c r="BL2" i="21"/>
  <c r="AT2" i="21"/>
  <c r="AS2" i="30"/>
  <c r="AH2" i="31"/>
  <c r="BR2" i="31"/>
  <c r="CG2" i="30"/>
  <c r="CF2" i="31"/>
  <c r="CU2" i="30"/>
  <c r="I2" i="31"/>
  <c r="T2" i="30"/>
  <c r="U2" i="21"/>
  <c r="M2" i="31"/>
  <c r="X2" i="30"/>
  <c r="Y2" i="21"/>
  <c r="AH2" i="21"/>
  <c r="V2" i="31"/>
  <c r="AG2" i="30"/>
  <c r="AK2" i="30"/>
  <c r="AL2" i="21"/>
  <c r="Z2" i="31"/>
  <c r="AD2" i="31"/>
  <c r="AP2" i="21"/>
  <c r="AO2" i="30"/>
  <c r="BJ2" i="31"/>
  <c r="BY2" i="30"/>
  <c r="BN2" i="31"/>
  <c r="CC2" i="30"/>
  <c r="CB2" i="31"/>
  <c r="CQ2" i="30"/>
  <c r="BS2" i="31"/>
  <c r="CH2" i="30"/>
  <c r="CG2" i="31"/>
  <c r="CV2" i="30"/>
  <c r="DM2" i="31"/>
  <c r="ED2" i="21"/>
  <c r="EC2" i="30"/>
  <c r="F2" i="31"/>
  <c r="Q2" i="30"/>
  <c r="R2" i="21"/>
  <c r="V2" i="21"/>
  <c r="U2" i="30"/>
  <c r="J2" i="31"/>
  <c r="N2" i="31"/>
  <c r="Z2" i="21"/>
  <c r="Y2" i="30"/>
  <c r="AN2" i="31"/>
  <c r="AZ2" i="21"/>
  <c r="AY2" i="30"/>
  <c r="AR2" i="31"/>
  <c r="BD2" i="21"/>
  <c r="BC2" i="30"/>
  <c r="BH2" i="30"/>
  <c r="BF2" i="31"/>
  <c r="BV2" i="21"/>
  <c r="BU2" i="30"/>
  <c r="BX2" i="31"/>
  <c r="CM2" i="30"/>
  <c r="CL2" i="31"/>
  <c r="DA2" i="30"/>
  <c r="DE2" i="30"/>
  <c r="CP2" i="31"/>
  <c r="CW2" i="31"/>
  <c r="DM2" i="21"/>
  <c r="DL2" i="30"/>
  <c r="DA2" i="31"/>
  <c r="DQ2" i="21"/>
  <c r="DP2" i="30"/>
  <c r="DT2" i="31"/>
  <c r="EK2" i="21"/>
  <c r="EJ2" i="30"/>
  <c r="DX2" i="31"/>
  <c r="EO2" i="21"/>
  <c r="EN2" i="30"/>
  <c r="W2" i="31"/>
  <c r="AH2" i="30"/>
  <c r="AI2" i="21"/>
  <c r="AA2" i="31"/>
  <c r="AM2" i="21"/>
  <c r="AL2" i="30"/>
  <c r="AE2" i="31"/>
  <c r="AQ2" i="21"/>
  <c r="AP2" i="30"/>
  <c r="AJ2" i="31"/>
  <c r="AU2" i="30"/>
  <c r="AV2" i="21"/>
  <c r="AM2" i="31"/>
  <c r="AX2" i="30"/>
  <c r="AY2" i="21"/>
  <c r="AQ2" i="31"/>
  <c r="BC2" i="21"/>
  <c r="AU2" i="31"/>
  <c r="BH2" i="21"/>
  <c r="BT2" i="30"/>
  <c r="BU2" i="21"/>
  <c r="BE2" i="31"/>
  <c r="BW2" i="31"/>
  <c r="CL2" i="30"/>
  <c r="CK2" i="31"/>
  <c r="CO2" i="31"/>
  <c r="DD2" i="30"/>
  <c r="CZ2" i="31"/>
  <c r="DP2" i="21"/>
  <c r="DS2" i="31"/>
  <c r="EJ2" i="21"/>
  <c r="EN2" i="21"/>
  <c r="DW2" i="31"/>
  <c r="CZ2" i="30"/>
  <c r="BK2" i="31"/>
  <c r="BZ2" i="30"/>
  <c r="CC2" i="31"/>
  <c r="CR2" i="30"/>
  <c r="DO2" i="30"/>
  <c r="BC2" i="31"/>
  <c r="BS2" i="21"/>
  <c r="BQ2" i="31"/>
  <c r="CF2" i="30"/>
  <c r="EM2" i="30"/>
  <c r="BB2" i="30"/>
  <c r="EM2" i="21"/>
  <c r="CN2" i="31"/>
  <c r="AS2" i="31"/>
  <c r="K2" i="31"/>
  <c r="AZ2" i="30"/>
  <c r="R2" i="30"/>
  <c r="BA2" i="21"/>
  <c r="EH2" i="30"/>
  <c r="EH5" i="30" s="1"/>
  <c r="CY2" i="30"/>
  <c r="S2" i="21"/>
  <c r="BI2" i="21"/>
  <c r="DN2" i="30"/>
  <c r="CK2" i="30"/>
  <c r="AA2" i="21"/>
  <c r="EP2" i="30"/>
  <c r="DO2" i="21"/>
  <c r="AE2" i="30"/>
  <c r="AJ2" i="21"/>
  <c r="BM2" i="31"/>
  <c r="AF2" i="21"/>
  <c r="BX2" i="30"/>
  <c r="AB2" i="31"/>
  <c r="AM2" i="30"/>
  <c r="CP2" i="30"/>
  <c r="AI2" i="30"/>
  <c r="CB2" i="30"/>
  <c r="CW2" i="30"/>
  <c r="BB2" i="31"/>
  <c r="CH2" i="31"/>
  <c r="BQ2" i="30"/>
  <c r="BR2" i="21"/>
  <c r="AU2" i="21"/>
  <c r="AT2" i="30"/>
  <c r="BT2" i="31"/>
  <c r="CE2" i="30"/>
  <c r="AC2" i="30"/>
  <c r="AD2" i="21"/>
  <c r="EA2" i="21"/>
  <c r="DH2" i="24"/>
  <c r="EA2" i="30"/>
  <c r="DK2" i="31"/>
  <c r="DJ5" i="31"/>
  <c r="DJ4" i="24"/>
  <c r="DJ2" i="24" s="1"/>
  <c r="G38" i="36"/>
  <c r="G42" i="36"/>
  <c r="G46" i="36"/>
  <c r="G50" i="36"/>
  <c r="G39" i="36"/>
  <c r="G43" i="36"/>
  <c r="G47" i="36"/>
  <c r="G36" i="36"/>
  <c r="G40" i="36"/>
  <c r="G44" i="36"/>
  <c r="G48" i="36"/>
  <c r="G37" i="36"/>
  <c r="G41" i="36"/>
  <c r="G45" i="36"/>
  <c r="G49" i="36"/>
  <c r="E49" i="36"/>
  <c r="E46" i="36"/>
  <c r="E45" i="36"/>
  <c r="E38" i="36"/>
  <c r="E37" i="36"/>
  <c r="E36" i="36"/>
  <c r="E42" i="36"/>
  <c r="E47" i="36"/>
  <c r="E39" i="36"/>
  <c r="E44" i="36"/>
  <c r="E40" i="36"/>
  <c r="E48" i="36"/>
  <c r="E50" i="36"/>
  <c r="E41" i="36"/>
  <c r="E43" i="36"/>
  <c r="DC2" i="21"/>
  <c r="DC2" i="37"/>
  <c r="EA2" i="37"/>
  <c r="EB2" i="21"/>
  <c r="CP2" i="21"/>
  <c r="CP2" i="37"/>
  <c r="BF2" i="37"/>
  <c r="BE2" i="30"/>
  <c r="BY2" i="21"/>
  <c r="BY2" i="37"/>
  <c r="BI2" i="31"/>
  <c r="CC2" i="21"/>
  <c r="CC2" i="37"/>
  <c r="CL2" i="21"/>
  <c r="CL2" i="37"/>
  <c r="BV2" i="31"/>
  <c r="CH2" i="21"/>
  <c r="CH2" i="37"/>
  <c r="CQ2" i="21"/>
  <c r="CQ2" i="37"/>
  <c r="CA2" i="31"/>
  <c r="EP2" i="37"/>
  <c r="EQ2" i="21"/>
  <c r="S2" i="37"/>
  <c r="G2" i="31"/>
  <c r="DA2" i="21"/>
  <c r="DA2" i="37"/>
  <c r="AA2" i="37"/>
  <c r="O2" i="31"/>
  <c r="CW2" i="21"/>
  <c r="CW2" i="37"/>
  <c r="CA2" i="21"/>
  <c r="CA2" i="37"/>
  <c r="CN2" i="21"/>
  <c r="CN2" i="37"/>
  <c r="AJ2" i="37"/>
  <c r="X2" i="31"/>
  <c r="CF2" i="21"/>
  <c r="CF2" i="37"/>
  <c r="BP2" i="31"/>
  <c r="CS2" i="21"/>
  <c r="CS2" i="37"/>
  <c r="BA2" i="37"/>
  <c r="AO2" i="31"/>
  <c r="BZ2" i="21"/>
  <c r="BZ2" i="37"/>
  <c r="CD2" i="21"/>
  <c r="CD2" i="37"/>
  <c r="CZ2" i="21"/>
  <c r="CZ2" i="37"/>
  <c r="EH5" i="37"/>
  <c r="CI2" i="21"/>
  <c r="CI2" i="37"/>
  <c r="CM2" i="21"/>
  <c r="CM2" i="37"/>
  <c r="CV2" i="21"/>
  <c r="CV2" i="37"/>
  <c r="CR2" i="21"/>
  <c r="CR2" i="37"/>
  <c r="CB2" i="37"/>
  <c r="CJ2" i="21"/>
  <c r="CJ2" i="37"/>
  <c r="DB2" i="21"/>
  <c r="DB2" i="37"/>
  <c r="CG2" i="21"/>
  <c r="CG2" i="37"/>
  <c r="CX2" i="21"/>
  <c r="CX2" i="37"/>
  <c r="CT2" i="21"/>
  <c r="CT2" i="37"/>
  <c r="DH2" i="21"/>
  <c r="DH2" i="37"/>
  <c r="DE2" i="24"/>
  <c r="EI2" i="30"/>
  <c r="BG2" i="30"/>
  <c r="ER5" i="30"/>
  <c r="AF3" i="35" l="1"/>
  <c r="DL5" i="31"/>
  <c r="CS5" i="31"/>
  <c r="EU2" i="37"/>
  <c r="ET2" i="37" s="1"/>
  <c r="EV4" i="37"/>
  <c r="EU4" i="21"/>
  <c r="EW4" i="37"/>
  <c r="D5" i="37" a="1"/>
  <c r="D5" i="37" s="1"/>
  <c r="DZ5" i="21"/>
  <c r="DX5" i="21"/>
  <c r="I38" i="36"/>
  <c r="EZ4" i="30"/>
  <c r="EE5" i="21"/>
  <c r="EC5" i="21"/>
  <c r="DH5" i="30"/>
  <c r="I45" i="36"/>
  <c r="I46" i="36"/>
  <c r="I43" i="36"/>
  <c r="EQ4" i="37" a="1"/>
  <c r="EQ4" i="37" s="1"/>
  <c r="EP4" i="37" s="1" a="1"/>
  <c r="EP4" i="37" s="1"/>
  <c r="EO4" i="37" s="1" a="1"/>
  <c r="EO4" i="37" s="1"/>
  <c r="EN4" i="37" s="1" a="1"/>
  <c r="EN4" i="37" s="1"/>
  <c r="EM4" i="37" s="1" a="1"/>
  <c r="EM4" i="37" s="1"/>
  <c r="EL4" i="37" s="1" a="1"/>
  <c r="EL4" i="37" s="1"/>
  <c r="EK4" i="37" s="1" a="1"/>
  <c r="EK4" i="37" s="1"/>
  <c r="EJ4" i="37" s="1" a="1"/>
  <c r="EJ4" i="37" s="1"/>
  <c r="EI4" i="37" s="1" a="1"/>
  <c r="EI4" i="37" s="1"/>
  <c r="EH4" i="37" s="1" a="1"/>
  <c r="EH4" i="37" s="1"/>
  <c r="EG4" i="37" s="1" a="1"/>
  <c r="EG4" i="37" s="1"/>
  <c r="EF4" i="37" s="1" a="1"/>
  <c r="EF4" i="37" s="1"/>
  <c r="EE4" i="37" s="1" a="1"/>
  <c r="EE4" i="37" s="1"/>
  <c r="ED4" i="37" s="1" a="1"/>
  <c r="ED4" i="37" s="1"/>
  <c r="EC4" i="37" s="1" a="1"/>
  <c r="EC4" i="37" s="1"/>
  <c r="EB4" i="37" s="1" a="1"/>
  <c r="EB4" i="37" s="1"/>
  <c r="EA4" i="37" s="1" a="1"/>
  <c r="EA4" i="37" s="1"/>
  <c r="DZ4" i="37" s="1" a="1"/>
  <c r="DZ4" i="37" s="1"/>
  <c r="DY4" i="37" s="1" a="1"/>
  <c r="DY4" i="37" s="1"/>
  <c r="DX4" i="37" s="1" a="1"/>
  <c r="DX4" i="37" s="1"/>
  <c r="DW4" i="37" s="1" a="1"/>
  <c r="DW4" i="37" s="1"/>
  <c r="DV4" i="37" s="1" a="1"/>
  <c r="DV4" i="37" s="1"/>
  <c r="DU4" i="37" s="1" a="1"/>
  <c r="DU4" i="37" s="1"/>
  <c r="DT4" i="37" s="1" a="1"/>
  <c r="DT4" i="37" s="1"/>
  <c r="DS4" i="37" s="1" a="1"/>
  <c r="DS4" i="37" s="1"/>
  <c r="DR4" i="37" s="1" a="1"/>
  <c r="DR4" i="37" s="1"/>
  <c r="DQ4" i="37" s="1" a="1"/>
  <c r="DQ4" i="37" s="1"/>
  <c r="DP4" i="37" s="1" a="1"/>
  <c r="DP4" i="37" s="1"/>
  <c r="DO4" i="37" s="1" a="1"/>
  <c r="DO4" i="37" s="1"/>
  <c r="DN4" i="37" s="1" a="1"/>
  <c r="DN4" i="37" s="1"/>
  <c r="DM4" i="37" s="1" a="1"/>
  <c r="DM4" i="37" s="1"/>
  <c r="ER3" i="37" a="1"/>
  <c r="ER3" i="37" s="1"/>
  <c r="EQ3" i="37" s="1" a="1"/>
  <c r="EQ3" i="37" s="1"/>
  <c r="EP3" i="37" s="1" a="1"/>
  <c r="EP3" i="37" s="1"/>
  <c r="EO3" i="37" s="1" a="1"/>
  <c r="EO3" i="37" s="1"/>
  <c r="EN3" i="37" s="1" a="1"/>
  <c r="EN3" i="37" s="1"/>
  <c r="EM3" i="37" s="1" a="1"/>
  <c r="EM3" i="37" s="1"/>
  <c r="EL3" i="37" s="1" a="1"/>
  <c r="EL3" i="37" s="1"/>
  <c r="EK3" i="37" s="1" a="1"/>
  <c r="EK3" i="37" s="1"/>
  <c r="EJ3" i="37" s="1" a="1"/>
  <c r="EJ3" i="37" s="1"/>
  <c r="EI3" i="37" s="1" a="1"/>
  <c r="EI3" i="37" s="1"/>
  <c r="EH3" i="37" s="1" a="1"/>
  <c r="EH3" i="37" s="1"/>
  <c r="EG3" i="37" s="1" a="1"/>
  <c r="EG3" i="37" s="1"/>
  <c r="EF3" i="37" s="1" a="1"/>
  <c r="EF3" i="37" s="1"/>
  <c r="EE3" i="37" s="1" a="1"/>
  <c r="EE3" i="37" s="1"/>
  <c r="ED3" i="37" s="1" a="1"/>
  <c r="ED3" i="37" s="1"/>
  <c r="EC3" i="37" s="1" a="1"/>
  <c r="EC3" i="37" s="1"/>
  <c r="EB3" i="37" s="1" a="1"/>
  <c r="EB3" i="37" s="1"/>
  <c r="EA3" i="37" s="1" a="1"/>
  <c r="EA3" i="37" s="1"/>
  <c r="DZ3" i="37" s="1" a="1"/>
  <c r="DZ3" i="37" s="1"/>
  <c r="DY3" i="37" s="1" a="1"/>
  <c r="DY3" i="37" s="1"/>
  <c r="DX3" i="37" s="1" a="1"/>
  <c r="DX3" i="37" s="1"/>
  <c r="DW3" i="37" s="1" a="1"/>
  <c r="DW3" i="37" s="1"/>
  <c r="DV3" i="37" s="1" a="1"/>
  <c r="DV3" i="37" s="1"/>
  <c r="DU3" i="37" s="1" a="1"/>
  <c r="DU3" i="37" s="1"/>
  <c r="DT3" i="37" s="1" a="1"/>
  <c r="DT3" i="37" s="1"/>
  <c r="DS3" i="37" s="1" a="1"/>
  <c r="DS3" i="37" s="1"/>
  <c r="DR3" i="37" s="1" a="1"/>
  <c r="DR3" i="37" s="1"/>
  <c r="DQ3" i="37" s="1" a="1"/>
  <c r="DQ3" i="37" s="1"/>
  <c r="DP3" i="37" s="1" a="1"/>
  <c r="DP3" i="37" s="1"/>
  <c r="DO3" i="37" s="1" a="1"/>
  <c r="DO3" i="37" s="1"/>
  <c r="DN3" i="37" s="1" a="1"/>
  <c r="DN3" i="37" s="1"/>
  <c r="DM3" i="37" s="1" a="1"/>
  <c r="DM3" i="37" s="1"/>
  <c r="BO5" i="31"/>
  <c r="AC3" i="35" s="1"/>
  <c r="J3" i="35" s="1"/>
  <c r="AB3" i="35" s="1"/>
  <c r="AV5" i="30"/>
  <c r="AW5" i="30"/>
  <c r="AD3" i="35" s="1"/>
  <c r="BS5" i="30"/>
  <c r="BT5" i="30"/>
  <c r="I3" i="35" s="1"/>
  <c r="H3" i="35" s="1"/>
  <c r="DF5" i="30"/>
  <c r="AG3" i="35" s="1"/>
  <c r="K3" i="35" s="1"/>
  <c r="CI5" i="31"/>
  <c r="AJ5" i="30"/>
  <c r="N3" i="35" s="1"/>
  <c r="DZ3" i="31" a="1"/>
  <c r="DZ3" i="31" s="1"/>
  <c r="DY3" i="31" s="1" a="1"/>
  <c r="DY3" i="31" s="1"/>
  <c r="DX3" i="31" s="1" a="1"/>
  <c r="DX3" i="31" s="1"/>
  <c r="DW3" i="31" s="1" a="1"/>
  <c r="DW3" i="31" s="1"/>
  <c r="DV3" i="31" s="1" a="1"/>
  <c r="DV3" i="31" s="1"/>
  <c r="DU3" i="31" s="1" a="1"/>
  <c r="DU3" i="31" s="1"/>
  <c r="DT3" i="31" s="1" a="1"/>
  <c r="DT3" i="31" s="1"/>
  <c r="DS3" i="31" s="1" a="1"/>
  <c r="DS3" i="31" s="1"/>
  <c r="DR3" i="31" s="1" a="1"/>
  <c r="DR3" i="31" s="1"/>
  <c r="DQ3" i="31" s="1" a="1"/>
  <c r="DQ3" i="31" s="1"/>
  <c r="DP3" i="31" s="1" a="1"/>
  <c r="DP3" i="31" s="1"/>
  <c r="DO3" i="31" s="1" a="1"/>
  <c r="DO3" i="31" s="1"/>
  <c r="DN3" i="31" s="1" a="1"/>
  <c r="DN3" i="31" s="1"/>
  <c r="DM3" i="31" s="1" a="1"/>
  <c r="DM3" i="31" s="1"/>
  <c r="DL3" i="31" s="1" a="1"/>
  <c r="DL3" i="31" s="1"/>
  <c r="DK3" i="31" s="1" a="1"/>
  <c r="DK3" i="31" s="1"/>
  <c r="DJ3" i="31" s="1" a="1"/>
  <c r="DJ3" i="31" s="1"/>
  <c r="DI3" i="31" s="1" a="1"/>
  <c r="DI3" i="31" s="1"/>
  <c r="DH3" i="31" s="1" a="1"/>
  <c r="DH3" i="31" s="1"/>
  <c r="DG3" i="31" s="1" a="1"/>
  <c r="DG3" i="31" s="1"/>
  <c r="DF3" i="31" s="1" a="1"/>
  <c r="DF3" i="31" s="1"/>
  <c r="DE3" i="31" s="1" a="1"/>
  <c r="DE3" i="31" s="1"/>
  <c r="DD3" i="31" s="1" a="1"/>
  <c r="DD3" i="31" s="1"/>
  <c r="DC3" i="31" s="1" a="1"/>
  <c r="DC3" i="31" s="1"/>
  <c r="DB3" i="31" s="1" a="1"/>
  <c r="DB3" i="31" s="1"/>
  <c r="DA3" i="31" s="1" a="1"/>
  <c r="DA3" i="31" s="1"/>
  <c r="CZ3" i="31" s="1" a="1"/>
  <c r="CZ3" i="31" s="1"/>
  <c r="CY3" i="31" s="1" a="1"/>
  <c r="CY3" i="31" s="1"/>
  <c r="CX3" i="31" s="1" a="1"/>
  <c r="CX3" i="31" s="1"/>
  <c r="CW3" i="31" s="1" a="1"/>
  <c r="CW3" i="31" s="1"/>
  <c r="BH5" i="31"/>
  <c r="AW5" i="31"/>
  <c r="I41" i="36"/>
  <c r="BA5" i="31"/>
  <c r="L3" i="35" s="1"/>
  <c r="I47" i="36"/>
  <c r="Z5" i="30"/>
  <c r="U3" i="35" s="1"/>
  <c r="EZ5" i="30"/>
  <c r="AL5" i="30"/>
  <c r="W3" i="35" s="1"/>
  <c r="I50" i="36"/>
  <c r="I49" i="36"/>
  <c r="AC5" i="30"/>
  <c r="Y3" i="35" s="1"/>
  <c r="S3" i="35" s="1"/>
  <c r="T3" i="35" s="1"/>
  <c r="F3" i="35" s="1"/>
  <c r="I39" i="36"/>
  <c r="C3" i="35" s="1"/>
  <c r="E3" i="35" s="1"/>
  <c r="X3" i="35" s="1"/>
  <c r="W5" i="30"/>
  <c r="Q3" i="35" s="1"/>
  <c r="I42" i="36"/>
  <c r="AD5" i="30"/>
  <c r="I44" i="36"/>
  <c r="EP3" i="30" a="1"/>
  <c r="EP3" i="30" s="1"/>
  <c r="EO3" i="30" s="1" a="1"/>
  <c r="EO3" i="30" s="1"/>
  <c r="EN3" i="30" s="1" a="1"/>
  <c r="EN3" i="30" s="1"/>
  <c r="EM3" i="30" s="1" a="1"/>
  <c r="EM3" i="30" s="1"/>
  <c r="EL3" i="30" s="1" a="1"/>
  <c r="EL3" i="30" s="1"/>
  <c r="EK3" i="30" s="1" a="1"/>
  <c r="EK3" i="30" s="1"/>
  <c r="EJ3" i="30" s="1" a="1"/>
  <c r="EJ3" i="30" s="1"/>
  <c r="EI3" i="30" s="1" a="1"/>
  <c r="EI3" i="30" s="1"/>
  <c r="EH3" i="30" s="1" a="1"/>
  <c r="EH3" i="30" s="1"/>
  <c r="EG3" i="30" s="1" a="1"/>
  <c r="EG3" i="30" s="1"/>
  <c r="EF3" i="30" s="1" a="1"/>
  <c r="EF3" i="30" s="1"/>
  <c r="EE3" i="30" s="1" a="1"/>
  <c r="EE3" i="30" s="1"/>
  <c r="ED3" i="30" s="1" a="1"/>
  <c r="ED3" i="30" s="1"/>
  <c r="EC3" i="30" s="1" a="1"/>
  <c r="EC3" i="30" s="1"/>
  <c r="AB5" i="30"/>
  <c r="AO5" i="30"/>
  <c r="G3" i="35" s="1"/>
  <c r="AE5" i="30"/>
  <c r="P3" i="35" s="1"/>
  <c r="V3" i="35" s="1"/>
  <c r="AQ5" i="30"/>
  <c r="CJ5" i="30"/>
  <c r="CD5" i="30"/>
  <c r="Z3" i="35" s="1"/>
  <c r="AA5" i="30"/>
  <c r="CT5" i="30"/>
  <c r="U5" i="30"/>
  <c r="I40" i="36"/>
  <c r="CX5" i="30"/>
  <c r="ES3" i="21" a="1"/>
  <c r="ES3" i="21" s="1"/>
  <c r="ER3" i="21" s="1" a="1"/>
  <c r="ER3" i="21" s="1"/>
  <c r="EQ3" i="21" s="1" a="1"/>
  <c r="EQ3" i="21" s="1"/>
  <c r="EP3" i="21" s="1" a="1"/>
  <c r="EP3" i="21" s="1"/>
  <c r="EO3" i="21" s="1" a="1"/>
  <c r="EO3" i="21" s="1"/>
  <c r="EN3" i="21" s="1" a="1"/>
  <c r="EN3" i="21" s="1"/>
  <c r="EM3" i="21" s="1" a="1"/>
  <c r="EM3" i="21" s="1"/>
  <c r="EL3" i="21" s="1" a="1"/>
  <c r="EL3" i="21" s="1"/>
  <c r="EK3" i="21" s="1" a="1"/>
  <c r="EK3" i="21" s="1"/>
  <c r="EJ3" i="21" s="1" a="1"/>
  <c r="EJ3" i="21" s="1"/>
  <c r="EI3" i="21" s="1" a="1"/>
  <c r="EI3" i="21" s="1"/>
  <c r="EH3" i="21" s="1" a="1"/>
  <c r="EH3" i="21" s="1"/>
  <c r="EG3" i="21" s="1" a="1"/>
  <c r="EG3" i="21" s="1"/>
  <c r="EF3" i="21" s="1" a="1"/>
  <c r="EF3" i="21" s="1"/>
  <c r="EE3" i="21" s="1" a="1"/>
  <c r="EE3" i="21" s="1"/>
  <c r="ED3" i="21" s="1" a="1"/>
  <c r="ED3" i="21" s="1"/>
  <c r="CY5" i="21"/>
  <c r="BJ5" i="21"/>
  <c r="EU5" i="21"/>
  <c r="I36" i="36"/>
  <c r="I48" i="36"/>
  <c r="EQ5" i="30"/>
  <c r="EQ4" i="30" s="1" a="1"/>
  <c r="EQ4" i="30" s="1"/>
  <c r="M3" i="35" s="1"/>
  <c r="AR5" i="30"/>
  <c r="AE3" i="35" s="1"/>
  <c r="AP5" i="30"/>
  <c r="AA3" i="35" s="1"/>
  <c r="DK5" i="30"/>
  <c r="DY5" i="30"/>
  <c r="BP5" i="30"/>
  <c r="AK5" i="30"/>
  <c r="O3" i="35" s="1"/>
  <c r="DW5" i="30"/>
  <c r="EB5" i="30"/>
  <c r="D3" i="35" s="1"/>
  <c r="R3" i="35" s="1"/>
  <c r="I37" i="36"/>
  <c r="EF5" i="30"/>
  <c r="DI5" i="21"/>
  <c r="ED5" i="30"/>
  <c r="CN5" i="30"/>
  <c r="DN5" i="31"/>
  <c r="CE5" i="31"/>
  <c r="CU5" i="21"/>
  <c r="BI5" i="30"/>
  <c r="EU4" i="37"/>
  <c r="ET4" i="37" s="1"/>
  <c r="BQ5" i="21"/>
  <c r="DL2" i="37"/>
  <c r="BL2" i="31"/>
  <c r="CA2" i="30"/>
  <c r="CB2" i="21"/>
  <c r="BP2" i="37"/>
  <c r="BO2" i="30"/>
  <c r="AZ2" i="31"/>
  <c r="C9" i="11"/>
  <c r="DH5" i="31"/>
  <c r="AV2" i="31"/>
  <c r="W2" i="21"/>
  <c r="R2" i="31"/>
  <c r="DQ5" i="30" l="1"/>
  <c r="DK2" i="30"/>
  <c r="EP4" i="30" s="1"/>
  <c r="DJ5" i="30"/>
  <c r="P5" i="30"/>
  <c r="EB3" i="30" a="1"/>
  <c r="EB3" i="30" s="1"/>
  <c r="DZ3" i="30" s="1" a="1"/>
  <c r="DZ3" i="30" s="1"/>
  <c r="EA3" i="30" a="1"/>
  <c r="EA3" i="30" s="1"/>
  <c r="DL4" i="37" a="1"/>
  <c r="DL4" i="37" s="1"/>
  <c r="DK4" i="37" s="1" a="1"/>
  <c r="DK4" i="37" s="1"/>
  <c r="DJ4" i="37" s="1" a="1"/>
  <c r="DJ4" i="37" s="1"/>
  <c r="DI4" i="37" s="1" a="1"/>
  <c r="DI4" i="37" s="1"/>
  <c r="DH4" i="37" s="1" a="1"/>
  <c r="DH4" i="37" s="1"/>
  <c r="DG4" i="37" s="1" a="1"/>
  <c r="DG4" i="37" s="1"/>
  <c r="DF4" i="37" s="1" a="1"/>
  <c r="DF4" i="37" s="1"/>
  <c r="DE4" i="37" s="1" a="1"/>
  <c r="DE4" i="37" s="1"/>
  <c r="DD4" i="37" s="1" a="1"/>
  <c r="DD4" i="37" s="1"/>
  <c r="DC4" i="37" s="1" a="1"/>
  <c r="DC4" i="37" s="1"/>
  <c r="DB4" i="37" s="1" a="1"/>
  <c r="DB4" i="37" s="1"/>
  <c r="DA4" i="37" s="1" a="1"/>
  <c r="DA4" i="37" s="1"/>
  <c r="CZ4" i="37" s="1" a="1"/>
  <c r="CZ4" i="37" s="1"/>
  <c r="CY4" i="37" s="1" a="1"/>
  <c r="CY4" i="37" s="1"/>
  <c r="CX4" i="37" s="1" a="1"/>
  <c r="CX4" i="37" s="1"/>
  <c r="CW4" i="37" s="1" a="1"/>
  <c r="CW4" i="37" s="1"/>
  <c r="CV4" i="37" s="1" a="1"/>
  <c r="CV4" i="37" s="1"/>
  <c r="CU4" i="37" s="1" a="1"/>
  <c r="CU4" i="37" s="1"/>
  <c r="CT4" i="37" s="1" a="1"/>
  <c r="CT4" i="37" s="1"/>
  <c r="CS4" i="37" s="1" a="1"/>
  <c r="CS4" i="37" s="1"/>
  <c r="CR4" i="37" s="1" a="1"/>
  <c r="CR4" i="37" s="1"/>
  <c r="CQ4" i="37" s="1" a="1"/>
  <c r="CQ4" i="37" s="1"/>
  <c r="CP4" i="37" s="1" a="1"/>
  <c r="CP4" i="37" s="1"/>
  <c r="CO4" i="37" s="1" a="1"/>
  <c r="CO4" i="37" s="1"/>
  <c r="CN4" i="37" s="1" a="1"/>
  <c r="CN4" i="37" s="1"/>
  <c r="CM4" i="37" s="1" a="1"/>
  <c r="CM4" i="37" s="1"/>
  <c r="CL4" i="37" s="1" a="1"/>
  <c r="CL4" i="37" s="1"/>
  <c r="CK4" i="37" s="1" a="1"/>
  <c r="CK4" i="37" s="1"/>
  <c r="CJ4" i="37" s="1" a="1"/>
  <c r="CJ4" i="37" s="1"/>
  <c r="CI4" i="37" s="1" a="1"/>
  <c r="CI4" i="37" s="1"/>
  <c r="CH4" i="37" s="1" a="1"/>
  <c r="CH4" i="37" s="1"/>
  <c r="CG4" i="37" s="1" a="1"/>
  <c r="CG4" i="37" s="1"/>
  <c r="CF4" i="37" s="1" a="1"/>
  <c r="CF4" i="37" s="1"/>
  <c r="CE4" i="37" s="1" a="1"/>
  <c r="CE4" i="37" s="1"/>
  <c r="CD4" i="37" s="1" a="1"/>
  <c r="CD4" i="37" s="1"/>
  <c r="CC4" i="37" s="1" a="1"/>
  <c r="CC4" i="37" s="1"/>
  <c r="CB4" i="37" s="1" a="1"/>
  <c r="CB4" i="37" s="1"/>
  <c r="CA4" i="37" s="1" a="1"/>
  <c r="CA4" i="37" s="1"/>
  <c r="BZ4" i="37" s="1" a="1"/>
  <c r="BZ4" i="37" s="1"/>
  <c r="BY4" i="37" s="1" a="1"/>
  <c r="BY4" i="37" s="1"/>
  <c r="BX4" i="37" s="1" a="1"/>
  <c r="BX4" i="37" s="1"/>
  <c r="BW4" i="37" s="1" a="1"/>
  <c r="BW4" i="37" s="1"/>
  <c r="BV4" i="37" s="1" a="1"/>
  <c r="BV4" i="37" s="1"/>
  <c r="BU4" i="37" s="1" a="1"/>
  <c r="BU4" i="37" s="1"/>
  <c r="BT4" i="37" s="1" a="1"/>
  <c r="BT4" i="37" s="1"/>
  <c r="BS4" i="37" s="1" a="1"/>
  <c r="BS4" i="37" s="1"/>
  <c r="DL3" i="37" a="1"/>
  <c r="DL3" i="37" s="1"/>
  <c r="DK3" i="37" s="1" a="1"/>
  <c r="DK3" i="37" s="1"/>
  <c r="DJ3" i="37" s="1" a="1"/>
  <c r="DJ3" i="37" s="1"/>
  <c r="DI3" i="37" s="1" a="1"/>
  <c r="DI3" i="37" s="1"/>
  <c r="DH3" i="37" s="1" a="1"/>
  <c r="DH3" i="37" s="1"/>
  <c r="DG3" i="37" s="1" a="1"/>
  <c r="DG3" i="37" s="1"/>
  <c r="DF3" i="37" s="1" a="1"/>
  <c r="DF3" i="37" s="1"/>
  <c r="DE3" i="37" s="1" a="1"/>
  <c r="DE3" i="37" s="1"/>
  <c r="DD3" i="37" s="1" a="1"/>
  <c r="DD3" i="37" s="1"/>
  <c r="DC3" i="37" s="1" a="1"/>
  <c r="DC3" i="37" s="1"/>
  <c r="DB3" i="37" s="1" a="1"/>
  <c r="DB3" i="37" s="1"/>
  <c r="DA3" i="37" s="1" a="1"/>
  <c r="DA3" i="37" s="1"/>
  <c r="CZ3" i="37" s="1" a="1"/>
  <c r="CZ3" i="37" s="1"/>
  <c r="CY3" i="37" s="1" a="1"/>
  <c r="CY3" i="37" s="1"/>
  <c r="CX3" i="37" s="1" a="1"/>
  <c r="CX3" i="37" s="1"/>
  <c r="CW3" i="37" s="1" a="1"/>
  <c r="CW3" i="37" s="1"/>
  <c r="CV3" i="37" s="1" a="1"/>
  <c r="CV3" i="37" s="1"/>
  <c r="CU3" i="37" s="1" a="1"/>
  <c r="CU3" i="37" s="1"/>
  <c r="CT3" i="37" s="1" a="1"/>
  <c r="CT3" i="37" s="1"/>
  <c r="CS3" i="37" s="1" a="1"/>
  <c r="CS3" i="37" s="1"/>
  <c r="CR3" i="37" s="1" a="1"/>
  <c r="CR3" i="37" s="1"/>
  <c r="CQ3" i="37" s="1" a="1"/>
  <c r="CQ3" i="37" s="1"/>
  <c r="CP3" i="37" s="1" a="1"/>
  <c r="CP3" i="37" s="1"/>
  <c r="CO3" i="37" s="1" a="1"/>
  <c r="CO3" i="37" s="1"/>
  <c r="CN3" i="37" s="1" a="1"/>
  <c r="CN3" i="37" s="1"/>
  <c r="CM3" i="37" s="1" a="1"/>
  <c r="CM3" i="37" s="1"/>
  <c r="CL3" i="37" s="1" a="1"/>
  <c r="CL3" i="37" s="1"/>
  <c r="CK3" i="37" s="1" a="1"/>
  <c r="CK3" i="37" s="1"/>
  <c r="CJ3" i="37" s="1" a="1"/>
  <c r="CJ3" i="37" s="1"/>
  <c r="CI3" i="37" s="1" a="1"/>
  <c r="CI3" i="37" s="1"/>
  <c r="CH3" i="37" s="1" a="1"/>
  <c r="CH3" i="37" s="1"/>
  <c r="CG3" i="37" s="1" a="1"/>
  <c r="CG3" i="37" s="1"/>
  <c r="CF3" i="37" s="1" a="1"/>
  <c r="CF3" i="37" s="1"/>
  <c r="CE3" i="37" s="1" a="1"/>
  <c r="CE3" i="37" s="1"/>
  <c r="CD3" i="37" s="1" a="1"/>
  <c r="CD3" i="37" s="1"/>
  <c r="CC3" i="37" s="1" a="1"/>
  <c r="CC3" i="37" s="1"/>
  <c r="CB3" i="37" s="1" a="1"/>
  <c r="CB3" i="37" s="1"/>
  <c r="CA3" i="37" s="1" a="1"/>
  <c r="CA3" i="37" s="1"/>
  <c r="BZ3" i="37" s="1" a="1"/>
  <c r="BZ3" i="37" s="1"/>
  <c r="BY3" i="37" s="1" a="1"/>
  <c r="BY3" i="37" s="1"/>
  <c r="BX3" i="37" s="1" a="1"/>
  <c r="BX3" i="37" s="1"/>
  <c r="BW3" i="37" s="1" a="1"/>
  <c r="BW3" i="37" s="1"/>
  <c r="BV3" i="37" s="1" a="1"/>
  <c r="BV3" i="37" s="1"/>
  <c r="BU3" i="37" s="1" a="1"/>
  <c r="BU3" i="37" s="1"/>
  <c r="BT3" i="37" s="1" a="1"/>
  <c r="BT3" i="37" s="1"/>
  <c r="BS3" i="37" s="1" a="1"/>
  <c r="BS3" i="37" s="1"/>
  <c r="BR3" i="37" s="1" a="1"/>
  <c r="BR3" i="37" s="1"/>
  <c r="BQ3" i="37" s="1" a="1"/>
  <c r="BQ3" i="37" s="1"/>
  <c r="BP3" i="37" s="1" a="1"/>
  <c r="BP3" i="37" s="1"/>
  <c r="BO3" i="37" s="1" a="1"/>
  <c r="BO3" i="37" s="1"/>
  <c r="BN3" i="37" s="1" a="1"/>
  <c r="BN3" i="37" s="1"/>
  <c r="BM3" i="37" s="1" a="1"/>
  <c r="BM3" i="37" s="1"/>
  <c r="BL3" i="37" s="1" a="1"/>
  <c r="BL3" i="37" s="1"/>
  <c r="BK3" i="37" s="1" a="1"/>
  <c r="BK3" i="37" s="1"/>
  <c r="BJ3" i="37" s="1" a="1"/>
  <c r="BJ3" i="37" s="1"/>
  <c r="BI3" i="37" s="1" a="1"/>
  <c r="BI3" i="37" s="1"/>
  <c r="BH3" i="37" s="1" a="1"/>
  <c r="BH3" i="37" s="1"/>
  <c r="BG3" i="37" s="1" a="1"/>
  <c r="BG3" i="37" s="1"/>
  <c r="BF3" i="37" s="1" a="1"/>
  <c r="BF3" i="37" s="1"/>
  <c r="BE3" i="37" s="1" a="1"/>
  <c r="BE3" i="37" s="1"/>
  <c r="BD3" i="37" s="1" a="1"/>
  <c r="BD3" i="37" s="1"/>
  <c r="BC3" i="37" s="1" a="1"/>
  <c r="BC3" i="37" s="1"/>
  <c r="BB3" i="37" s="1" a="1"/>
  <c r="BB3" i="37" s="1"/>
  <c r="BA3" i="37" s="1" a="1"/>
  <c r="BA3" i="37" s="1"/>
  <c r="AZ3" i="37" s="1" a="1"/>
  <c r="AZ3" i="37" s="1"/>
  <c r="AY3" i="37" s="1" a="1"/>
  <c r="AY3" i="37" s="1"/>
  <c r="AX3" i="37" s="1" a="1"/>
  <c r="AX3" i="37" s="1"/>
  <c r="AW3" i="37" s="1" a="1"/>
  <c r="AW3" i="37" s="1"/>
  <c r="AV3" i="37" s="1" a="1"/>
  <c r="AV3" i="37" s="1"/>
  <c r="AU3" i="37" s="1" a="1"/>
  <c r="AU3" i="37" s="1"/>
  <c r="AT3" i="37" s="1" a="1"/>
  <c r="AT3" i="37" s="1"/>
  <c r="AS3" i="37" s="1" a="1"/>
  <c r="AS3" i="37" s="1"/>
  <c r="AR3" i="37" s="1" a="1"/>
  <c r="AR3" i="37" s="1"/>
  <c r="AQ3" i="37" s="1" a="1"/>
  <c r="AQ3" i="37" s="1"/>
  <c r="AP3" i="37" s="1" a="1"/>
  <c r="AP3" i="37" s="1"/>
  <c r="AO3" i="37" s="1" a="1"/>
  <c r="AO3" i="37" s="1"/>
  <c r="AN3" i="37" s="1" a="1"/>
  <c r="AN3" i="37" s="1"/>
  <c r="AM3" i="37" s="1" a="1"/>
  <c r="AM3" i="37" s="1"/>
  <c r="AL3" i="37" s="1" a="1"/>
  <c r="AL3" i="37" s="1"/>
  <c r="AK3" i="37" s="1" a="1"/>
  <c r="AK3" i="37" s="1"/>
  <c r="AJ3" i="37" s="1" a="1"/>
  <c r="AJ3" i="37" s="1"/>
  <c r="AI3" i="37" s="1" a="1"/>
  <c r="AI3" i="37" s="1"/>
  <c r="AH3" i="37" s="1" a="1"/>
  <c r="AH3" i="37" s="1"/>
  <c r="AG3" i="37" s="1" a="1"/>
  <c r="AG3" i="37" s="1"/>
  <c r="AF3" i="37" s="1" a="1"/>
  <c r="AF3" i="37" s="1"/>
  <c r="AE3" i="37" s="1" a="1"/>
  <c r="AE3" i="37" s="1"/>
  <c r="AD3" i="37" s="1" a="1"/>
  <c r="AD3" i="37" s="1"/>
  <c r="AC3" i="37" s="1" a="1"/>
  <c r="AC3" i="37" s="1"/>
  <c r="AB3" i="37" s="1" a="1"/>
  <c r="AB3" i="37" s="1"/>
  <c r="AA3" i="37" s="1" a="1"/>
  <c r="AA3" i="37" s="1"/>
  <c r="Z3" i="37" s="1" a="1"/>
  <c r="Z3" i="37" s="1"/>
  <c r="Y3" i="37" s="1" a="1"/>
  <c r="Y3" i="37" s="1"/>
  <c r="X3" i="37" s="1" a="1"/>
  <c r="X3" i="37" s="1"/>
  <c r="W3" i="37" s="1" a="1"/>
  <c r="W3" i="37" s="1"/>
  <c r="V3" i="37" s="1" a="1"/>
  <c r="V3" i="37" s="1"/>
  <c r="U3" i="37" s="1" a="1"/>
  <c r="U3" i="37" s="1"/>
  <c r="T3" i="37" s="1" a="1"/>
  <c r="T3" i="37" s="1"/>
  <c r="S3" i="37" s="1" a="1"/>
  <c r="S3" i="37" s="1"/>
  <c r="R3" i="37" s="1" a="1"/>
  <c r="R3" i="37" s="1"/>
  <c r="Q3" i="37" s="1" a="1"/>
  <c r="Q3" i="37" s="1"/>
  <c r="D3" i="37" s="1" a="1"/>
  <c r="D3" i="37" s="1"/>
  <c r="DU5" i="30"/>
  <c r="DT5" i="30"/>
  <c r="EC3" i="21" a="1"/>
  <c r="EC3" i="21" s="1"/>
  <c r="EA3" i="21" s="1" a="1"/>
  <c r="EA3" i="21" s="1"/>
  <c r="EB3" i="21" a="1"/>
  <c r="EB3" i="21" s="1"/>
  <c r="BW5" i="30"/>
  <c r="C59" i="11"/>
  <c r="DY3" i="30" l="1" a="1"/>
  <c r="DY3" i="30" s="1"/>
  <c r="DX3" i="30" s="1" a="1"/>
  <c r="DX3" i="30" s="1"/>
  <c r="DW3" i="30" s="1" a="1"/>
  <c r="DW3" i="30" s="1"/>
  <c r="DV3" i="30" s="1" a="1"/>
  <c r="DV3" i="30" s="1"/>
  <c r="DU3" i="30" s="1" a="1"/>
  <c r="DU3" i="30" s="1"/>
  <c r="DT3" i="30" s="1" a="1"/>
  <c r="DT3" i="30" s="1"/>
  <c r="DS3" i="30" s="1" a="1"/>
  <c r="DS3" i="30" s="1"/>
  <c r="DR3" i="30" s="1" a="1"/>
  <c r="DR3" i="30" s="1"/>
  <c r="DQ3" i="30" s="1" a="1"/>
  <c r="DQ3" i="30" s="1"/>
  <c r="DP3" i="30" s="1" a="1"/>
  <c r="DP3" i="30" s="1"/>
  <c r="DO3" i="30" s="1" a="1"/>
  <c r="DO3" i="30" s="1"/>
  <c r="DN3" i="30" s="1" a="1"/>
  <c r="DN3" i="30" s="1"/>
  <c r="DM3" i="30" s="1" a="1"/>
  <c r="DM3" i="30" s="1"/>
  <c r="DL3" i="30" s="1" a="1"/>
  <c r="DL3" i="30" s="1"/>
  <c r="DK3" i="30" s="1" a="1"/>
  <c r="DK3" i="30" s="1"/>
  <c r="DJ3" i="30" s="1" a="1"/>
  <c r="DJ3" i="30" s="1"/>
  <c r="DI3" i="30" s="1" a="1"/>
  <c r="DI3" i="30" s="1"/>
  <c r="DH3" i="30" s="1" a="1"/>
  <c r="DH3" i="30" s="1"/>
  <c r="DG3" i="30" s="1" a="1"/>
  <c r="DG3" i="30" s="1"/>
  <c r="DF3" i="30" s="1" a="1"/>
  <c r="DF3" i="30" s="1"/>
  <c r="DE3" i="30" s="1" a="1"/>
  <c r="DE3" i="30" s="1"/>
  <c r="DD3" i="30" s="1" a="1"/>
  <c r="DD3" i="30" s="1"/>
  <c r="DC3" i="30" s="1" a="1"/>
  <c r="DC3" i="30" s="1"/>
  <c r="DB3" i="30" s="1" a="1"/>
  <c r="DB3" i="30" s="1"/>
  <c r="DA3" i="30" s="1" a="1"/>
  <c r="DA3" i="30" s="1"/>
  <c r="CZ3" i="30" s="1" a="1"/>
  <c r="CZ3" i="30" s="1"/>
  <c r="CY3" i="30" s="1" a="1"/>
  <c r="CY3" i="30" s="1"/>
  <c r="CX3" i="30" s="1" a="1"/>
  <c r="CX3" i="30" s="1"/>
  <c r="CW3" i="30" s="1" a="1"/>
  <c r="CW3" i="30" s="1"/>
  <c r="CV3" i="30" s="1" a="1"/>
  <c r="CV3" i="30" s="1"/>
  <c r="CU3" i="30" s="1" a="1"/>
  <c r="CU3" i="30" s="1"/>
  <c r="CT3" i="30" s="1" a="1"/>
  <c r="CT3" i="30" s="1"/>
  <c r="CS3" i="30" s="1" a="1"/>
  <c r="CS3" i="30" s="1"/>
  <c r="CR3" i="30" s="1" a="1"/>
  <c r="CR3" i="30" s="1"/>
  <c r="CQ3" i="30" s="1" a="1"/>
  <c r="CQ3" i="30" s="1"/>
  <c r="CP3" i="30" s="1" a="1"/>
  <c r="CP3" i="30" s="1"/>
  <c r="CO3" i="30" s="1" a="1"/>
  <c r="CO3" i="30" s="1"/>
  <c r="CN3" i="30" s="1" a="1"/>
  <c r="CN3" i="30" s="1"/>
  <c r="CM3" i="30" s="1" a="1"/>
  <c r="CM3" i="30" s="1"/>
  <c r="CL3" i="30" s="1" a="1"/>
  <c r="CL3" i="30" s="1"/>
  <c r="CK3" i="30" s="1" a="1"/>
  <c r="CK3" i="30" s="1"/>
  <c r="CJ3" i="30" s="1" a="1"/>
  <c r="CJ3" i="30" s="1"/>
  <c r="CI3" i="30" s="1" a="1"/>
  <c r="CI3" i="30" s="1"/>
  <c r="CH3" i="30" s="1" a="1"/>
  <c r="CH3" i="30" s="1"/>
  <c r="CG3" i="30" s="1" a="1"/>
  <c r="CG3" i="30" s="1"/>
  <c r="CF3" i="30" s="1" a="1"/>
  <c r="CF3" i="30" s="1"/>
  <c r="CE3" i="30" s="1" a="1"/>
  <c r="CE3" i="30" s="1"/>
  <c r="CD3" i="30" s="1" a="1"/>
  <c r="CD3" i="30" s="1"/>
  <c r="CC3" i="30" s="1" a="1"/>
  <c r="CC3" i="30" s="1"/>
  <c r="CB3" i="30" s="1" a="1"/>
  <c r="CB3" i="30" s="1"/>
  <c r="CA3" i="30" s="1" a="1"/>
  <c r="CA3" i="30" s="1"/>
  <c r="BZ3" i="30" s="1" a="1"/>
  <c r="BZ3" i="30" s="1"/>
  <c r="BY3" i="30" s="1" a="1"/>
  <c r="BY3" i="30" s="1"/>
  <c r="BX3" i="30" s="1" a="1"/>
  <c r="BX3" i="30" s="1"/>
  <c r="BW3" i="30" s="1" a="1"/>
  <c r="BW3" i="30" s="1"/>
  <c r="BV3" i="30" s="1" a="1"/>
  <c r="BV3" i="30" s="1"/>
  <c r="BU3" i="30" s="1" a="1"/>
  <c r="BU3" i="30" s="1"/>
  <c r="BT3" i="30" s="1" a="1"/>
  <c r="BT3" i="30" s="1"/>
  <c r="BS3" i="30" s="1" a="1"/>
  <c r="BS3" i="30" s="1"/>
  <c r="DZ3" i="21" a="1"/>
  <c r="DZ3" i="21" s="1"/>
  <c r="DY3" i="21" s="1" a="1"/>
  <c r="DY3" i="21" s="1"/>
  <c r="DX3" i="21" s="1" a="1"/>
  <c r="DX3" i="21" s="1"/>
  <c r="DW3" i="21" s="1" a="1"/>
  <c r="DW3" i="21" s="1"/>
  <c r="DV3" i="21" s="1" a="1"/>
  <c r="DV3" i="21" s="1"/>
  <c r="DU3" i="21" s="1" a="1"/>
  <c r="DU3" i="21" s="1"/>
  <c r="DT3" i="21" s="1" a="1"/>
  <c r="DT3" i="21" s="1"/>
  <c r="DS3" i="21" s="1" a="1"/>
  <c r="DS3" i="21" s="1"/>
  <c r="DR3" i="21" s="1" a="1"/>
  <c r="DR3" i="21" s="1"/>
  <c r="DQ3" i="21" s="1" a="1"/>
  <c r="DQ3" i="21" s="1"/>
  <c r="DP3" i="21" s="1" a="1"/>
  <c r="DP3" i="21" s="1"/>
  <c r="DO3" i="21" s="1" a="1"/>
  <c r="DO3" i="21" s="1"/>
  <c r="DN3" i="21" s="1" a="1"/>
  <c r="DN3" i="21" s="1"/>
  <c r="DM3" i="21" s="1" a="1"/>
  <c r="DM3" i="21" s="1"/>
  <c r="FG5" i="30"/>
  <c r="H10" i="35"/>
  <c r="EO4" i="30" a="1"/>
  <c r="EO4" i="30" s="1"/>
  <c r="EN4" i="30" s="1" a="1"/>
  <c r="EN4" i="30" s="1"/>
  <c r="EM4" i="30" s="1" a="1"/>
  <c r="EM4" i="30" s="1"/>
  <c r="EL4" i="30" s="1" a="1"/>
  <c r="EL4" i="30" s="1"/>
  <c r="EK4" i="30" s="1" a="1"/>
  <c r="EK4" i="30" s="1"/>
  <c r="EJ4" i="30" s="1" a="1"/>
  <c r="EJ4" i="30" s="1"/>
  <c r="EI4" i="30" s="1" a="1"/>
  <c r="EI4" i="30" s="1"/>
  <c r="EH4" i="30" s="1" a="1"/>
  <c r="EH4" i="30" s="1"/>
  <c r="EG4" i="30" s="1" a="1"/>
  <c r="EG4" i="30" s="1"/>
  <c r="EF4" i="30" s="1" a="1"/>
  <c r="EF4" i="30" s="1"/>
  <c r="EE4" i="30" s="1" a="1"/>
  <c r="EE4" i="30" s="1"/>
  <c r="ED4" i="30" s="1" a="1"/>
  <c r="ED4" i="30" s="1"/>
  <c r="EC4" i="30" s="1" a="1"/>
  <c r="EC4" i="30" s="1"/>
  <c r="EA4" i="30" s="1" a="1"/>
  <c r="EA4" i="30" s="1"/>
  <c r="DV5" i="30"/>
  <c r="C5" i="30" s="1" a="1"/>
  <c r="C5" i="30" s="1"/>
  <c r="BP4" i="37" a="1"/>
  <c r="BP4" i="37" s="1"/>
  <c r="BO4" i="37" a="1"/>
  <c r="BO4" i="37" s="1"/>
  <c r="BR4" i="37" a="1"/>
  <c r="BR4" i="37" s="1"/>
  <c r="C67" i="11"/>
  <c r="EB4" i="30" l="1" a="1"/>
  <c r="EB4" i="30" s="1"/>
  <c r="DZ4" i="30" s="1" a="1"/>
  <c r="DZ4" i="30" s="1"/>
  <c r="BN4" i="37" a="1"/>
  <c r="BN4" i="37" s="1"/>
  <c r="BQ4" i="37" a="1"/>
  <c r="BQ4" i="37" s="1"/>
  <c r="BM4" i="37" s="1" a="1"/>
  <c r="BM4" i="37" s="1"/>
  <c r="BR3" i="30" a="1"/>
  <c r="BR3" i="30" s="1"/>
  <c r="BO3" i="30" a="1"/>
  <c r="BO3" i="30" s="1"/>
  <c r="C74" i="11"/>
  <c r="DY4" i="30" l="1" a="1"/>
  <c r="DY4" i="30" s="1"/>
  <c r="DX4" i="30" s="1" a="1"/>
  <c r="DX4" i="30" s="1"/>
  <c r="DW4" i="30" s="1" a="1"/>
  <c r="DW4" i="30" s="1"/>
  <c r="DV4" i="30" s="1" a="1"/>
  <c r="DV4" i="30" s="1"/>
  <c r="DU4" i="30" s="1" a="1"/>
  <c r="DU4" i="30" s="1"/>
  <c r="DT4" i="30" s="1" a="1"/>
  <c r="DT4" i="30" s="1"/>
  <c r="DS4" i="30" s="1" a="1"/>
  <c r="DS4" i="30" s="1"/>
  <c r="DR4" i="30" s="1" a="1"/>
  <c r="DR4" i="30" s="1"/>
  <c r="DQ4" i="30" s="1" a="1"/>
  <c r="DQ4" i="30" s="1"/>
  <c r="DP4" i="30" s="1"/>
  <c r="DO4" i="30" s="1" a="1"/>
  <c r="DO4" i="30" s="1"/>
  <c r="DN4" i="30" s="1" a="1"/>
  <c r="DN4" i="30" s="1"/>
  <c r="DM4" i="30" s="1" a="1"/>
  <c r="DM4" i="30" s="1"/>
  <c r="DL4" i="30" s="1"/>
  <c r="AB10" i="35" s="1"/>
  <c r="C89" i="11"/>
  <c r="BL4" i="37" a="1"/>
  <c r="BL4" i="37" s="1"/>
  <c r="BK4" i="37" s="1" a="1"/>
  <c r="BK4" i="37" s="1"/>
  <c r="BQ3" i="30" a="1"/>
  <c r="BQ3" i="30" s="1"/>
  <c r="BN3" i="30" a="1"/>
  <c r="BN3" i="30" s="1"/>
  <c r="DK4" i="30" l="1" a="1"/>
  <c r="DK4" i="30" s="1"/>
  <c r="DJ4" i="30" s="1" a="1"/>
  <c r="DJ4" i="30" s="1"/>
  <c r="DI4" i="30" s="1" a="1"/>
  <c r="DI4" i="30" s="1"/>
  <c r="DH4" i="30" s="1" a="1"/>
  <c r="DH4" i="30" s="1"/>
  <c r="DG4" i="30" s="1"/>
  <c r="AG10" i="35" s="1"/>
  <c r="AC10" i="35"/>
  <c r="BP3" i="30" a="1"/>
  <c r="BP3" i="30" s="1"/>
  <c r="BM3" i="30" a="1"/>
  <c r="BM3" i="30" s="1"/>
  <c r="BJ4" i="37" a="1"/>
  <c r="BJ4" i="37" s="1"/>
  <c r="BH4" i="37" s="1" a="1"/>
  <c r="BH4" i="37" s="1"/>
  <c r="BF4" i="37" s="1" a="1"/>
  <c r="BF4" i="37" s="1"/>
  <c r="BI4" i="37" a="1"/>
  <c r="BI4" i="37" s="1"/>
  <c r="BG4" i="37" s="1" a="1"/>
  <c r="BG4" i="37" s="1"/>
  <c r="C104" i="11"/>
  <c r="BE4" i="37" l="1" a="1"/>
  <c r="BE4" i="37" s="1"/>
  <c r="BD4" i="37" s="1" a="1"/>
  <c r="BD4" i="37" s="1"/>
  <c r="BC4" i="37" s="1" a="1"/>
  <c r="BC4" i="37" s="1"/>
  <c r="BB4" i="37" s="1" a="1"/>
  <c r="BB4" i="37" s="1"/>
  <c r="BA4" i="37" s="1" a="1"/>
  <c r="BA4" i="37" s="1"/>
  <c r="AZ4" i="37" s="1" a="1"/>
  <c r="AZ4" i="37" s="1"/>
  <c r="AY4" i="37" s="1" a="1"/>
  <c r="AY4" i="37" s="1"/>
  <c r="AX4" i="37" s="1" a="1"/>
  <c r="AX4" i="37" s="1"/>
  <c r="AW4" i="37" s="1" a="1"/>
  <c r="AW4" i="37" s="1"/>
  <c r="AV4" i="37" s="1" a="1"/>
  <c r="AV4" i="37" s="1"/>
  <c r="AU4" i="37" s="1" a="1"/>
  <c r="AU4" i="37" s="1"/>
  <c r="AT4" i="37" s="1" a="1"/>
  <c r="AT4" i="37" s="1"/>
  <c r="AS4" i="37" s="1" a="1"/>
  <c r="AS4" i="37" s="1"/>
  <c r="AR4" i="37" s="1" a="1"/>
  <c r="AR4" i="37" s="1"/>
  <c r="AQ4" i="37" s="1" a="1"/>
  <c r="AQ4" i="37" s="1"/>
  <c r="AP4" i="37" s="1" a="1"/>
  <c r="AP4" i="37" s="1"/>
  <c r="AO4" i="37" s="1" a="1"/>
  <c r="AO4" i="37" s="1"/>
  <c r="AN4" i="37" s="1" a="1"/>
  <c r="AN4" i="37" s="1"/>
  <c r="AM4" i="37" s="1" a="1"/>
  <c r="AM4" i="37" s="1"/>
  <c r="AL4" i="37" s="1" a="1"/>
  <c r="AL4" i="37" s="1"/>
  <c r="AK4" i="37" s="1" a="1"/>
  <c r="AK4" i="37" s="1"/>
  <c r="AJ4" i="37" s="1" a="1"/>
  <c r="AJ4" i="37" s="1"/>
  <c r="AI4" i="37" s="1" a="1"/>
  <c r="AI4" i="37" s="1"/>
  <c r="AH4" i="37" s="1" a="1"/>
  <c r="AH4" i="37" s="1"/>
  <c r="AG4" i="37" s="1" a="1"/>
  <c r="AG4" i="37" s="1"/>
  <c r="AF4" i="37" s="1" a="1"/>
  <c r="AF4" i="37" s="1"/>
  <c r="AE4" i="37" s="1" a="1"/>
  <c r="AE4" i="37" s="1"/>
  <c r="AD4" i="37" s="1" a="1"/>
  <c r="AD4" i="37" s="1"/>
  <c r="AC4" i="37" s="1" a="1"/>
  <c r="AC4" i="37" s="1"/>
  <c r="AB4" i="37" s="1" a="1"/>
  <c r="AB4" i="37" s="1"/>
  <c r="AA4" i="37" s="1" a="1"/>
  <c r="AA4" i="37" s="1"/>
  <c r="Z4" i="37" s="1" a="1"/>
  <c r="Z4" i="37" s="1"/>
  <c r="Y4" i="37" s="1" a="1"/>
  <c r="Y4" i="37" s="1"/>
  <c r="X4" i="37" s="1" a="1"/>
  <c r="X4" i="37" s="1"/>
  <c r="W4" i="37" s="1" a="1"/>
  <c r="W4" i="37" s="1"/>
  <c r="V4" i="37" s="1" a="1"/>
  <c r="V4" i="37" s="1"/>
  <c r="U4" i="37" s="1" a="1"/>
  <c r="U4" i="37" s="1"/>
  <c r="T4" i="37" s="1" a="1"/>
  <c r="T4" i="37" s="1"/>
  <c r="S4" i="37" s="1" a="1"/>
  <c r="S4" i="37" s="1"/>
  <c r="R4" i="37" s="1" a="1"/>
  <c r="R4" i="37" s="1"/>
  <c r="Q4" i="37" s="1" a="1"/>
  <c r="Q4" i="37" s="1"/>
  <c r="D4" i="37" s="1" a="1"/>
  <c r="D4" i="37" s="1"/>
  <c r="DF4" i="30" a="1"/>
  <c r="DF4" i="30" s="1"/>
  <c r="DE4" i="30" s="1" a="1"/>
  <c r="DE4" i="30" s="1"/>
  <c r="DD4" i="30" s="1" a="1"/>
  <c r="DD4" i="30" s="1"/>
  <c r="DC4" i="30" s="1" a="1"/>
  <c r="DC4" i="30" s="1"/>
  <c r="DB4" i="30" s="1" a="1"/>
  <c r="DB4" i="30" s="1"/>
  <c r="DA4" i="30" s="1" a="1"/>
  <c r="DA4" i="30" s="1"/>
  <c r="CZ4" i="30" s="1" a="1"/>
  <c r="CZ4" i="30" s="1"/>
  <c r="CY4" i="30" s="1" a="1"/>
  <c r="CY4" i="30" s="1"/>
  <c r="CX4" i="30" s="1" a="1"/>
  <c r="CX4" i="30" s="1"/>
  <c r="CW4" i="30" s="1" a="1"/>
  <c r="CW4" i="30" s="1"/>
  <c r="CV4" i="30" s="1" a="1"/>
  <c r="CV4" i="30" s="1"/>
  <c r="CU4" i="30" s="1" a="1"/>
  <c r="CU4" i="30" s="1"/>
  <c r="CT4" i="30" s="1" a="1"/>
  <c r="CT4" i="30" s="1"/>
  <c r="CS4" i="30" s="1" a="1"/>
  <c r="CS4" i="30" s="1"/>
  <c r="CR4" i="30" s="1" a="1"/>
  <c r="CR4" i="30" s="1"/>
  <c r="CQ4" i="30" s="1" a="1"/>
  <c r="CQ4" i="30" s="1"/>
  <c r="CP4" i="30" s="1" a="1"/>
  <c r="CP4" i="30" s="1"/>
  <c r="CO4" i="30" s="1" a="1"/>
  <c r="CO4" i="30" s="1"/>
  <c r="CN4" i="30" s="1" a="1"/>
  <c r="CN4" i="30" s="1"/>
  <c r="CM4" i="30" s="1" a="1"/>
  <c r="CM4" i="30" s="1"/>
  <c r="CL4" i="30" s="1" a="1"/>
  <c r="CL4" i="30" s="1"/>
  <c r="CK4" i="30" s="1" a="1"/>
  <c r="CK4" i="30" s="1"/>
  <c r="BL3" i="30" a="1"/>
  <c r="BL3" i="30" s="1"/>
  <c r="BK3" i="30" a="1"/>
  <c r="BK3" i="30" s="1"/>
  <c r="C118" i="11"/>
  <c r="C136" i="11"/>
  <c r="CJ4" i="30" l="1" a="1"/>
  <c r="CJ4" i="30" s="1"/>
  <c r="CI4" i="30" s="1" a="1"/>
  <c r="CI4" i="30" s="1"/>
  <c r="CH4" i="30" s="1" a="1"/>
  <c r="CH4" i="30" s="1"/>
  <c r="CG4" i="30" s="1" a="1"/>
  <c r="CG4" i="30" s="1"/>
  <c r="CF4" i="30" s="1" a="1"/>
  <c r="CF4" i="30" s="1"/>
  <c r="CE4" i="30" s="1" a="1"/>
  <c r="CE4" i="30" s="1"/>
  <c r="CD4" i="30" s="1" a="1"/>
  <c r="CD4" i="30" s="1"/>
  <c r="CC4" i="30" s="1" a="1"/>
  <c r="CC4" i="30" s="1"/>
  <c r="CB4" i="30" s="1" a="1"/>
  <c r="CB4" i="30" s="1"/>
  <c r="CA4" i="30" s="1"/>
  <c r="L10" i="35" s="1"/>
  <c r="L13" i="35" s="1"/>
  <c r="AF10" i="35"/>
  <c r="BJ3" i="30" a="1"/>
  <c r="BJ3" i="30" s="1"/>
  <c r="BI3" i="30" s="1" a="1"/>
  <c r="BI3" i="30" s="1"/>
  <c r="BH3" i="30" s="1" a="1"/>
  <c r="BH3" i="30" s="1"/>
  <c r="BF3" i="30" s="1" a="1"/>
  <c r="BF3" i="30" s="1"/>
  <c r="C160" i="11"/>
  <c r="C169" i="11" s="1"/>
  <c r="C197" i="11" s="1"/>
  <c r="BZ4" i="30" l="1" a="1"/>
  <c r="BZ4" i="30" s="1"/>
  <c r="BY4" i="30" s="1"/>
  <c r="BX4" i="30" s="1"/>
  <c r="BW4" i="30" s="1" a="1"/>
  <c r="BW4" i="30" s="1"/>
  <c r="BV4" i="30" s="1"/>
  <c r="BU4" i="30" s="1" a="1"/>
  <c r="BU4" i="30" s="1"/>
  <c r="BT4" i="30" s="1" a="1"/>
  <c r="BT4" i="30" s="1"/>
  <c r="BG3" i="30" a="1"/>
  <c r="BG3" i="30" s="1"/>
  <c r="BE3" i="30" s="1" a="1"/>
  <c r="BE3" i="30" s="1"/>
  <c r="J10" i="35" l="1"/>
  <c r="K10" i="35"/>
  <c r="K13" i="35" s="1"/>
  <c r="BD3" i="30" a="1"/>
  <c r="BD3" i="30" s="1"/>
  <c r="BC3" i="30" s="1" a="1"/>
  <c r="BC3" i="30" s="1"/>
  <c r="BB3" i="30" s="1" a="1"/>
  <c r="BB3" i="30" s="1"/>
  <c r="BA3" i="30" s="1" a="1"/>
  <c r="BA3" i="30" s="1"/>
  <c r="AZ3" i="30" s="1" a="1"/>
  <c r="AZ3" i="30" s="1"/>
  <c r="AY3" i="30" s="1" a="1"/>
  <c r="AY3" i="30" s="1"/>
  <c r="AX3" i="30" s="1" a="1"/>
  <c r="AX3" i="30" s="1"/>
  <c r="AW3" i="30" s="1" a="1"/>
  <c r="AW3" i="30" s="1"/>
  <c r="AV3" i="30" s="1" a="1"/>
  <c r="AV3" i="30" s="1"/>
  <c r="AU3" i="30" s="1" a="1"/>
  <c r="AU3" i="30" s="1"/>
  <c r="AT3" i="30" s="1" a="1"/>
  <c r="AT3" i="30" s="1"/>
  <c r="AS3" i="30" s="1" a="1"/>
  <c r="AS3" i="30" s="1"/>
  <c r="AR3" i="30" s="1" a="1"/>
  <c r="AR3" i="30" s="1"/>
  <c r="AQ3" i="30" s="1" a="1"/>
  <c r="AQ3" i="30" s="1"/>
  <c r="AP3" i="30" s="1" a="1"/>
  <c r="AP3" i="30" s="1"/>
  <c r="AO3" i="30" s="1" a="1"/>
  <c r="AO3" i="30" s="1"/>
  <c r="AN3" i="30" s="1" a="1"/>
  <c r="AN3" i="30" s="1"/>
  <c r="AM3" i="30" s="1" a="1"/>
  <c r="AM3" i="30" s="1"/>
  <c r="AL3" i="30" s="1" a="1"/>
  <c r="AL3" i="30" s="1"/>
  <c r="AK3" i="30" s="1" a="1"/>
  <c r="AK3" i="30" s="1"/>
  <c r="AJ3" i="30" s="1" a="1"/>
  <c r="AJ3" i="30" s="1"/>
  <c r="AI3" i="30" s="1" a="1"/>
  <c r="AI3" i="30" s="1"/>
  <c r="AH3" i="30" s="1" a="1"/>
  <c r="AH3" i="30" s="1"/>
  <c r="AG3" i="30" s="1" a="1"/>
  <c r="AG3" i="30" s="1"/>
  <c r="AF3" i="30" s="1" a="1"/>
  <c r="AF3" i="30" s="1"/>
  <c r="AE3" i="30" s="1" a="1"/>
  <c r="AE3" i="30" s="1"/>
  <c r="AD3" i="30" s="1" a="1"/>
  <c r="AD3" i="30" s="1"/>
  <c r="AC3" i="30" s="1" a="1"/>
  <c r="AC3" i="30" s="1"/>
  <c r="AB3" i="30" s="1" a="1"/>
  <c r="AB3" i="30" s="1"/>
  <c r="AA3" i="30" s="1" a="1"/>
  <c r="AA3" i="30" s="1"/>
  <c r="Z3" i="30" s="1" a="1"/>
  <c r="Z3" i="30" s="1"/>
  <c r="Y3" i="30" s="1" a="1"/>
  <c r="Y3" i="30" s="1"/>
  <c r="X3" i="30" s="1" a="1"/>
  <c r="X3" i="30" s="1"/>
  <c r="W3" i="30" s="1" a="1"/>
  <c r="W3" i="30" s="1"/>
  <c r="V3" i="30" s="1" a="1"/>
  <c r="V3" i="30" s="1"/>
  <c r="U3" i="30" s="1" a="1"/>
  <c r="U3" i="30" s="1"/>
  <c r="T3" i="30" s="1" a="1"/>
  <c r="T3" i="30" s="1"/>
  <c r="S3" i="30" s="1" a="1"/>
  <c r="S3" i="30" s="1"/>
  <c r="R3" i="30" s="1" a="1"/>
  <c r="R3" i="30" s="1"/>
  <c r="Q3" i="30" s="1" a="1"/>
  <c r="Q3" i="30" s="1"/>
  <c r="P3" i="30" s="1" a="1"/>
  <c r="P3" i="30" s="1"/>
  <c r="C3" i="30" s="1" a="1"/>
  <c r="C3" i="30" s="1"/>
  <c r="G13" i="36"/>
  <c r="G10" i="36"/>
  <c r="G21" i="36"/>
  <c r="G18" i="36"/>
  <c r="G7" i="36"/>
  <c r="G8" i="36"/>
  <c r="BS4" i="30" a="1"/>
  <c r="BS4" i="30" s="1"/>
  <c r="I10" i="35"/>
  <c r="G19" i="36"/>
  <c r="E10" i="36"/>
  <c r="E19" i="36"/>
  <c r="E8" i="36"/>
  <c r="E11" i="36"/>
  <c r="E15" i="36"/>
  <c r="E16" i="36"/>
  <c r="E22" i="36"/>
  <c r="E12" i="36"/>
  <c r="E6" i="36"/>
  <c r="E21" i="36"/>
  <c r="E18" i="36"/>
  <c r="E20" i="36"/>
  <c r="E9" i="36"/>
  <c r="G15" i="36"/>
  <c r="G14" i="36"/>
  <c r="E17" i="36"/>
  <c r="G20" i="36"/>
  <c r="G22" i="36"/>
  <c r="G16" i="36"/>
  <c r="G6" i="36"/>
  <c r="E14" i="36"/>
  <c r="E13" i="36"/>
  <c r="E7" i="36"/>
  <c r="G12" i="36"/>
  <c r="G11" i="36"/>
  <c r="G9" i="36"/>
  <c r="G17" i="36"/>
  <c r="BZ5" i="31" l="1"/>
  <c r="BY5" i="31"/>
  <c r="BU5" i="31"/>
  <c r="BV5" i="31"/>
  <c r="I8" i="36"/>
  <c r="I21" i="36"/>
  <c r="I10" i="36"/>
  <c r="I7" i="36"/>
  <c r="I18" i="36"/>
  <c r="I13" i="36"/>
  <c r="CO5" i="21"/>
  <c r="CK5" i="21"/>
  <c r="M4" i="35" s="1"/>
  <c r="I9" i="36"/>
  <c r="T4" i="35" s="1"/>
  <c r="D4" i="35" s="1"/>
  <c r="P5" i="31"/>
  <c r="O5" i="31"/>
  <c r="U4" i="35" s="1"/>
  <c r="AD5" i="31"/>
  <c r="G4" i="35" s="1"/>
  <c r="J5" i="31"/>
  <c r="T5" i="31"/>
  <c r="P4" i="35" s="1"/>
  <c r="Z4" i="35" s="1"/>
  <c r="AA4" i="35" s="1"/>
  <c r="N4" i="35" s="1"/>
  <c r="I12" i="36"/>
  <c r="I14" i="36"/>
  <c r="Q5" i="31"/>
  <c r="X4" i="35" s="1"/>
  <c r="O4" i="35" s="1"/>
  <c r="S4" i="35" s="1"/>
  <c r="F4" i="35" s="1"/>
  <c r="S5" i="31"/>
  <c r="CQ5" i="31"/>
  <c r="C4" i="35" s="1"/>
  <c r="Y4" i="35" s="1"/>
  <c r="E4" i="35" s="1"/>
  <c r="W4" i="35" s="1"/>
  <c r="AE5" i="31"/>
  <c r="R4" i="35" s="1"/>
  <c r="CV5" i="31"/>
  <c r="AB4" i="35" s="1"/>
  <c r="Q4" i="35" s="1"/>
  <c r="I15" i="36"/>
  <c r="I22" i="36"/>
  <c r="L5" i="31"/>
  <c r="DL5" i="21"/>
  <c r="DZ5" i="31"/>
  <c r="H4" i="35" s="1"/>
  <c r="G2" i="35" s="1"/>
  <c r="M2" i="35" s="1"/>
  <c r="X5" i="21"/>
  <c r="AQ5" i="21"/>
  <c r="P2" i="35" s="1"/>
  <c r="BD5" i="31"/>
  <c r="AC2" i="35" s="1"/>
  <c r="AE5" i="21"/>
  <c r="AR5" i="21"/>
  <c r="AE2" i="35" s="1"/>
  <c r="CR5" i="31"/>
  <c r="AG4" i="35" s="1"/>
  <c r="C2" i="35" s="1"/>
  <c r="V5" i="21"/>
  <c r="AH5" i="21"/>
  <c r="F2" i="35" s="1"/>
  <c r="CB5" i="21"/>
  <c r="L2" i="35" s="1"/>
  <c r="L6" i="35" s="1"/>
  <c r="EB5" i="31"/>
  <c r="EA5" i="31"/>
  <c r="EA4" i="31" s="1" a="1"/>
  <c r="EA4" i="31" s="1"/>
  <c r="S2" i="35" s="1"/>
  <c r="T2" i="35" s="1"/>
  <c r="O2" i="35" s="1"/>
  <c r="BZ5" i="21"/>
  <c r="K2" i="35" s="1"/>
  <c r="K6" i="35" s="1"/>
  <c r="AG5" i="31"/>
  <c r="AE4" i="35" s="1"/>
  <c r="I20" i="36"/>
  <c r="AC5" i="21"/>
  <c r="I17" i="36"/>
  <c r="AL5" i="31"/>
  <c r="AD4" i="35" s="1"/>
  <c r="V2" i="35" s="1"/>
  <c r="AF5" i="31"/>
  <c r="DA5" i="31"/>
  <c r="D2" i="35" s="1"/>
  <c r="DG5" i="21"/>
  <c r="AG2" i="35" s="1"/>
  <c r="AA2" i="35" s="1"/>
  <c r="I16" i="36"/>
  <c r="AK5" i="31"/>
  <c r="AB5" i="21"/>
  <c r="BY5" i="21"/>
  <c r="J2" i="35" s="1"/>
  <c r="J6" i="35" s="1"/>
  <c r="AW5" i="21"/>
  <c r="AD2" i="35" s="1"/>
  <c r="R2" i="35" s="1"/>
  <c r="V4" i="35" s="1"/>
  <c r="N2" i="35" s="1"/>
  <c r="N6" i="35" s="1"/>
  <c r="Y2" i="35" s="1"/>
  <c r="BT5" i="21"/>
  <c r="BW5" i="21"/>
  <c r="I2" i="35" s="1"/>
  <c r="I11" i="36"/>
  <c r="ES5" i="21"/>
  <c r="ER5" i="21"/>
  <c r="ER4" i="21" s="1" a="1"/>
  <c r="ER4" i="21" s="1"/>
  <c r="X2" i="35" s="1"/>
  <c r="EG5" i="21"/>
  <c r="EQ5" i="21"/>
  <c r="H2" i="35" s="1"/>
  <c r="I6" i="36"/>
  <c r="CE5" i="21"/>
  <c r="CF5" i="21"/>
  <c r="E2" i="35" s="1"/>
  <c r="I19" i="36"/>
  <c r="BR4" i="30" a="1"/>
  <c r="BR4" i="30" s="1"/>
  <c r="BO4" i="30" a="1"/>
  <c r="BO4" i="30" s="1"/>
  <c r="DP5" i="31"/>
  <c r="Z2" i="35" s="1"/>
  <c r="U2" i="35" s="1"/>
  <c r="Q2" i="35" s="1"/>
  <c r="Q6" i="35" s="1"/>
  <c r="W2" i="35" s="1"/>
  <c r="BE5" i="31"/>
  <c r="I4" i="35" s="1"/>
  <c r="M6" i="35" l="1"/>
  <c r="S6" i="35"/>
  <c r="P6" i="35"/>
  <c r="F6" i="35"/>
  <c r="AF4" i="35"/>
  <c r="X6" i="35"/>
  <c r="C6" i="35"/>
  <c r="T6" i="35"/>
  <c r="DZ4" i="31" a="1"/>
  <c r="DZ4" i="31" s="1"/>
  <c r="DY4" i="31" s="1" a="1"/>
  <c r="DY4" i="31" s="1"/>
  <c r="DX4" i="31" s="1" a="1"/>
  <c r="DX4" i="31" s="1"/>
  <c r="DW4" i="31" s="1" a="1"/>
  <c r="DW4" i="31" s="1"/>
  <c r="DV4" i="31" s="1" a="1"/>
  <c r="DV4" i="31" s="1"/>
  <c r="DU4" i="31" s="1" a="1"/>
  <c r="DU4" i="31" s="1"/>
  <c r="DT4" i="31" s="1" a="1"/>
  <c r="DT4" i="31" s="1"/>
  <c r="DS4" i="31" s="1" a="1"/>
  <c r="DS4" i="31" s="1"/>
  <c r="DR4" i="31" s="1" a="1"/>
  <c r="DR4" i="31" s="1"/>
  <c r="DQ4" i="31" s="1" a="1"/>
  <c r="DQ4" i="31" s="1"/>
  <c r="DP4" i="31" s="1" a="1"/>
  <c r="DP4" i="31" s="1"/>
  <c r="DO4" i="31" s="1" a="1"/>
  <c r="DO4" i="31" s="1"/>
  <c r="DN4" i="31" s="1" a="1"/>
  <c r="DN4" i="31" s="1"/>
  <c r="DM4" i="31" s="1" a="1"/>
  <c r="DM4" i="31" s="1"/>
  <c r="DL4" i="31" s="1" a="1"/>
  <c r="DL4" i="31" s="1"/>
  <c r="DK4" i="31" s="1" a="1"/>
  <c r="DK4" i="31" s="1"/>
  <c r="DJ4" i="31" s="1" a="1"/>
  <c r="DJ4" i="31" s="1"/>
  <c r="DI4" i="31" s="1" a="1"/>
  <c r="DI4" i="31" s="1"/>
  <c r="DH4" i="31" s="1" a="1"/>
  <c r="DH4" i="31" s="1"/>
  <c r="Y6" i="35"/>
  <c r="D6" i="35"/>
  <c r="H6" i="35"/>
  <c r="R6" i="35"/>
  <c r="Z6" i="35"/>
  <c r="O6" i="35"/>
  <c r="AF2" i="35"/>
  <c r="U6" i="35"/>
  <c r="AA6" i="35"/>
  <c r="E6" i="35"/>
  <c r="G6" i="35"/>
  <c r="W6" i="35"/>
  <c r="CU5" i="31"/>
  <c r="AD6" i="35"/>
  <c r="DB5" i="31"/>
  <c r="DK5" i="21"/>
  <c r="EQ4" i="21" a="1"/>
  <c r="EQ4" i="21" s="1"/>
  <c r="EP4" i="21" s="1" a="1"/>
  <c r="EP4" i="21" s="1"/>
  <c r="EO4" i="21" s="1" a="1"/>
  <c r="EO4" i="21" s="1"/>
  <c r="EN4" i="21" s="1" a="1"/>
  <c r="EN4" i="21" s="1"/>
  <c r="EM4" i="21" s="1" a="1"/>
  <c r="EM4" i="21" s="1"/>
  <c r="EL4" i="21" s="1" a="1"/>
  <c r="EL4" i="21" s="1"/>
  <c r="EK4" i="21" s="1" a="1"/>
  <c r="EK4" i="21" s="1"/>
  <c r="EJ4" i="21" s="1" a="1"/>
  <c r="EJ4" i="21" s="1"/>
  <c r="EI4" i="21" s="1" a="1"/>
  <c r="EI4" i="21" s="1"/>
  <c r="EH4" i="21" s="1" a="1"/>
  <c r="EH4" i="21" s="1"/>
  <c r="EG4" i="21" s="1" a="1"/>
  <c r="EG4" i="21" s="1"/>
  <c r="EF4" i="21" s="1" a="1"/>
  <c r="EF4" i="21" s="1"/>
  <c r="EE4" i="21" s="1" a="1"/>
  <c r="EE4" i="21" s="1"/>
  <c r="ED4" i="21" s="1" a="1"/>
  <c r="ED4" i="21" s="1"/>
  <c r="Q5" i="21"/>
  <c r="CV2" i="31"/>
  <c r="AC4" i="35"/>
  <c r="AC6" i="35" s="1"/>
  <c r="E5" i="31"/>
  <c r="DR5" i="21"/>
  <c r="AG6" i="35"/>
  <c r="AE6" i="35"/>
  <c r="I6" i="35"/>
  <c r="DF5" i="31"/>
  <c r="BQ4" i="30" a="1"/>
  <c r="BQ4" i="30" s="1"/>
  <c r="BN4" i="30" a="1"/>
  <c r="BN4" i="30" s="1"/>
  <c r="DE5" i="31"/>
  <c r="DL2" i="21"/>
  <c r="AB2" i="35"/>
  <c r="AB6" i="35" s="1"/>
  <c r="BX5" i="21"/>
  <c r="V6" i="35"/>
  <c r="AF6" i="35" l="1"/>
  <c r="H11" i="35"/>
  <c r="EH5" i="31"/>
  <c r="H9" i="35"/>
  <c r="CV3" i="31" a="1"/>
  <c r="CV3" i="31" s="1"/>
  <c r="CU3" i="31" s="1" a="1"/>
  <c r="CU3" i="31" s="1"/>
  <c r="CT3" i="31" s="1" a="1"/>
  <c r="CT3" i="31" s="1"/>
  <c r="CS3" i="31" s="1" a="1"/>
  <c r="CS3" i="31" s="1"/>
  <c r="CR3" i="31" s="1" a="1"/>
  <c r="CR3" i="31" s="1"/>
  <c r="CQ3" i="31" s="1" a="1"/>
  <c r="CQ3" i="31" s="1"/>
  <c r="CP3" i="31" s="1" a="1"/>
  <c r="CP3" i="31" s="1"/>
  <c r="CO3" i="31" s="1" a="1"/>
  <c r="CO3" i="31" s="1"/>
  <c r="CN3" i="31" s="1" a="1"/>
  <c r="CN3" i="31" s="1"/>
  <c r="CM3" i="31" s="1" a="1"/>
  <c r="CM3" i="31" s="1"/>
  <c r="CL3" i="31" s="1" a="1"/>
  <c r="CL3" i="31" s="1"/>
  <c r="CK3" i="31" s="1" a="1"/>
  <c r="CK3" i="31" s="1"/>
  <c r="CJ3" i="31" s="1" a="1"/>
  <c r="CJ3" i="31" s="1"/>
  <c r="CI3" i="31" s="1" a="1"/>
  <c r="CI3" i="31" s="1"/>
  <c r="CH3" i="31" s="1" a="1"/>
  <c r="CH3" i="31" s="1"/>
  <c r="CG3" i="31" s="1" a="1"/>
  <c r="CG3" i="31" s="1"/>
  <c r="CF3" i="31" s="1" a="1"/>
  <c r="CF3" i="31" s="1"/>
  <c r="CE3" i="31" s="1" a="1"/>
  <c r="CE3" i="31" s="1"/>
  <c r="CD3" i="31" s="1" a="1"/>
  <c r="CD3" i="31" s="1"/>
  <c r="CC3" i="31" s="1" a="1"/>
  <c r="CC3" i="31" s="1"/>
  <c r="CB3" i="31" s="1" a="1"/>
  <c r="CB3" i="31" s="1"/>
  <c r="CA3" i="31" s="1" a="1"/>
  <c r="CA3" i="31" s="1"/>
  <c r="BZ3" i="31" s="1" a="1"/>
  <c r="BZ3" i="31" s="1"/>
  <c r="BY3" i="31" s="1" a="1"/>
  <c r="BY3" i="31" s="1"/>
  <c r="BX3" i="31" s="1" a="1"/>
  <c r="BX3" i="31" s="1"/>
  <c r="BW3" i="31" s="1" a="1"/>
  <c r="BW3" i="31" s="1"/>
  <c r="BV3" i="31" s="1" a="1"/>
  <c r="BV3" i="31" s="1"/>
  <c r="BU3" i="31" s="1" a="1"/>
  <c r="BU3" i="31" s="1"/>
  <c r="BT3" i="31" s="1" a="1"/>
  <c r="BT3" i="31" s="1"/>
  <c r="BS3" i="31" s="1" a="1"/>
  <c r="BS3" i="31" s="1"/>
  <c r="BR3" i="31" s="1" a="1"/>
  <c r="BR3" i="31" s="1"/>
  <c r="BQ3" i="31" s="1" a="1"/>
  <c r="BQ3" i="31" s="1"/>
  <c r="BP3" i="31" s="1" a="1"/>
  <c r="BP3" i="31" s="1"/>
  <c r="BO3" i="31" s="1" a="1"/>
  <c r="BO3" i="31" s="1"/>
  <c r="BN3" i="31" s="1" a="1"/>
  <c r="BN3" i="31" s="1"/>
  <c r="BM3" i="31" s="1" a="1"/>
  <c r="BM3" i="31" s="1"/>
  <c r="BL3" i="31" s="1" a="1"/>
  <c r="BL3" i="31" s="1"/>
  <c r="BK3" i="31" s="1" a="1"/>
  <c r="BK3" i="31" s="1"/>
  <c r="BJ3" i="31" s="1" a="1"/>
  <c r="BJ3" i="31" s="1"/>
  <c r="BI3" i="31" s="1" a="1"/>
  <c r="BI3" i="31" s="1"/>
  <c r="BH3" i="31" s="1" a="1"/>
  <c r="BH3" i="31" s="1"/>
  <c r="BG3" i="31" s="1" a="1"/>
  <c r="BG3" i="31" s="1"/>
  <c r="BF3" i="31" s="1" a="1"/>
  <c r="BF3" i="31" s="1"/>
  <c r="BE3" i="31" s="1" a="1"/>
  <c r="BE3" i="31" s="1"/>
  <c r="BD3" i="31" s="1" a="1"/>
  <c r="BD3" i="31" s="1"/>
  <c r="BC3" i="31" s="1" a="1"/>
  <c r="BC3" i="31" s="1"/>
  <c r="BB3" i="31" s="1" a="1"/>
  <c r="BB3" i="31" s="1"/>
  <c r="BA3" i="31" s="1" a="1"/>
  <c r="BA3" i="31" s="1"/>
  <c r="AZ3" i="31" s="1" a="1"/>
  <c r="AZ3" i="31" s="1"/>
  <c r="AY3" i="31" s="1" a="1"/>
  <c r="AY3" i="31" s="1"/>
  <c r="AX3" i="31" s="1" a="1"/>
  <c r="AX3" i="31" s="1"/>
  <c r="AW3" i="31" s="1" a="1"/>
  <c r="AW3" i="31" s="1"/>
  <c r="AV3" i="31" s="1" a="1"/>
  <c r="AV3" i="31" s="1"/>
  <c r="AU3" i="31" s="1" a="1"/>
  <c r="AU3" i="31" s="1"/>
  <c r="AT3" i="31" s="1" a="1"/>
  <c r="AT3" i="31" s="1"/>
  <c r="AS3" i="31" s="1" a="1"/>
  <c r="AS3" i="31" s="1"/>
  <c r="AR3" i="31" s="1" a="1"/>
  <c r="AR3" i="31" s="1"/>
  <c r="AQ3" i="31" s="1" a="1"/>
  <c r="AQ3" i="31" s="1"/>
  <c r="AP3" i="31" s="1" a="1"/>
  <c r="AP3" i="31" s="1"/>
  <c r="AO3" i="31" s="1" a="1"/>
  <c r="AO3" i="31" s="1"/>
  <c r="AN3" i="31" s="1" a="1"/>
  <c r="AN3" i="31" s="1"/>
  <c r="AM3" i="31" s="1" a="1"/>
  <c r="AM3" i="31" s="1"/>
  <c r="AL3" i="31" s="1" a="1"/>
  <c r="AL3" i="31" s="1"/>
  <c r="AK3" i="31" s="1" a="1"/>
  <c r="AK3" i="31" s="1"/>
  <c r="AJ3" i="31" s="1" a="1"/>
  <c r="AJ3" i="31" s="1"/>
  <c r="AI3" i="31" s="1" a="1"/>
  <c r="AI3" i="31" s="1"/>
  <c r="AH3" i="31" s="1" a="1"/>
  <c r="AH3" i="31" s="1"/>
  <c r="AG3" i="31" s="1" a="1"/>
  <c r="AG3" i="31" s="1"/>
  <c r="AF3" i="31" s="1" a="1"/>
  <c r="AF3" i="31" s="1"/>
  <c r="AE3" i="31" s="1" a="1"/>
  <c r="AE3" i="31" s="1"/>
  <c r="AD3" i="31" s="1" a="1"/>
  <c r="AD3" i="31" s="1"/>
  <c r="AC3" i="31" s="1" a="1"/>
  <c r="AC3" i="31" s="1"/>
  <c r="AB3" i="31" s="1" a="1"/>
  <c r="AB3" i="31" s="1"/>
  <c r="AA3" i="31" s="1" a="1"/>
  <c r="AA3" i="31" s="1"/>
  <c r="Z3" i="31" s="1" a="1"/>
  <c r="Z3" i="31" s="1"/>
  <c r="Y3" i="31" s="1" a="1"/>
  <c r="Y3" i="31" s="1"/>
  <c r="X3" i="31" s="1" a="1"/>
  <c r="X3" i="31" s="1"/>
  <c r="W3" i="31" s="1" a="1"/>
  <c r="W3" i="31" s="1"/>
  <c r="V3" i="31" s="1" a="1"/>
  <c r="V3" i="31" s="1"/>
  <c r="U3" i="31" s="1" a="1"/>
  <c r="U3" i="31" s="1"/>
  <c r="T3" i="31" s="1" a="1"/>
  <c r="T3" i="31" s="1"/>
  <c r="S3" i="31" s="1" a="1"/>
  <c r="S3" i="31" s="1"/>
  <c r="R3" i="31" s="1" a="1"/>
  <c r="R3" i="31" s="1"/>
  <c r="Q3" i="31" s="1" a="1"/>
  <c r="Q3" i="31" s="1"/>
  <c r="P3" i="31" s="1" a="1"/>
  <c r="P3" i="31" s="1"/>
  <c r="O3" i="31" s="1" a="1"/>
  <c r="O3" i="31" s="1"/>
  <c r="N3" i="31" s="1" a="1"/>
  <c r="N3" i="31" s="1"/>
  <c r="M3" i="31" s="1" a="1"/>
  <c r="M3" i="31" s="1"/>
  <c r="L3" i="31" s="1" a="1"/>
  <c r="L3" i="31" s="1"/>
  <c r="K3" i="31" s="1" a="1"/>
  <c r="K3" i="31" s="1"/>
  <c r="J3" i="31" s="1" a="1"/>
  <c r="J3" i="31" s="1"/>
  <c r="I3" i="31" s="1" a="1"/>
  <c r="I3" i="31" s="1"/>
  <c r="H3" i="31" s="1" a="1"/>
  <c r="H3" i="31" s="1"/>
  <c r="G3" i="31" s="1" a="1"/>
  <c r="G3" i="31" s="1"/>
  <c r="F3" i="31" s="1" a="1"/>
  <c r="F3" i="31" s="1"/>
  <c r="E3" i="31" s="1" a="1"/>
  <c r="E3" i="31" s="1"/>
  <c r="C3" i="31" s="1" a="1"/>
  <c r="C3" i="31" s="1"/>
  <c r="DV5" i="21"/>
  <c r="DU5" i="21"/>
  <c r="BP4" i="30" a="1"/>
  <c r="BP4" i="30" s="1"/>
  <c r="BM4" i="30" a="1"/>
  <c r="BM4" i="30" s="1"/>
  <c r="DG5" i="31"/>
  <c r="DG4" i="31" s="1" a="1"/>
  <c r="DG4" i="31" s="1"/>
  <c r="DF4" i="31" s="1" a="1"/>
  <c r="DF4" i="31" s="1"/>
  <c r="DE4" i="31" s="1" a="1"/>
  <c r="DE4" i="31" s="1"/>
  <c r="DD4" i="31" s="1" a="1"/>
  <c r="DD4" i="31" s="1"/>
  <c r="DC4" i="31" s="1" a="1"/>
  <c r="DC4" i="31" s="1"/>
  <c r="DB4" i="31" s="1" a="1"/>
  <c r="DB4" i="31" s="1"/>
  <c r="DA4" i="31" s="1" a="1"/>
  <c r="DA4" i="31" s="1"/>
  <c r="DL3" i="21" a="1"/>
  <c r="DL3" i="21" s="1"/>
  <c r="DK3" i="21" s="1" a="1"/>
  <c r="DK3" i="21" s="1"/>
  <c r="DJ3" i="21" s="1" a="1"/>
  <c r="DJ3" i="21" s="1"/>
  <c r="DI3" i="21" s="1" a="1"/>
  <c r="DI3" i="21" s="1"/>
  <c r="DH3" i="21" s="1" a="1"/>
  <c r="DH3" i="21" s="1"/>
  <c r="DG3" i="21" s="1" a="1"/>
  <c r="DG3" i="21" s="1"/>
  <c r="DF3" i="21" s="1" a="1"/>
  <c r="DF3" i="21" s="1"/>
  <c r="DE3" i="21" s="1" a="1"/>
  <c r="DE3" i="21" s="1"/>
  <c r="DD3" i="21" s="1" a="1"/>
  <c r="DD3" i="21" s="1"/>
  <c r="DC3" i="21" s="1" a="1"/>
  <c r="DC3" i="21" s="1"/>
  <c r="DB3" i="21" s="1" a="1"/>
  <c r="DB3" i="21" s="1"/>
  <c r="DA3" i="21" s="1" a="1"/>
  <c r="DA3" i="21" s="1"/>
  <c r="CZ3" i="21" s="1" a="1"/>
  <c r="CZ3" i="21" s="1"/>
  <c r="CY3" i="21" s="1" a="1"/>
  <c r="CY3" i="21" s="1"/>
  <c r="CX3" i="21" s="1" a="1"/>
  <c r="CX3" i="21" s="1"/>
  <c r="CW3" i="21" s="1" a="1"/>
  <c r="CW3" i="21" s="1"/>
  <c r="CV3" i="21" s="1" a="1"/>
  <c r="CV3" i="21" s="1"/>
  <c r="CU3" i="21" s="1" a="1"/>
  <c r="CU3" i="21" s="1"/>
  <c r="CT3" i="21" s="1" a="1"/>
  <c r="CT3" i="21" s="1"/>
  <c r="CS3" i="21" s="1" a="1"/>
  <c r="CS3" i="21" s="1"/>
  <c r="CR3" i="21" s="1" a="1"/>
  <c r="CR3" i="21" s="1"/>
  <c r="CQ3" i="21" s="1" a="1"/>
  <c r="CQ3" i="21" s="1"/>
  <c r="CP3" i="21" s="1" a="1"/>
  <c r="CP3" i="21" s="1"/>
  <c r="CO3" i="21" s="1" a="1"/>
  <c r="CO3" i="21" s="1"/>
  <c r="CN3" i="21" s="1" a="1"/>
  <c r="CN3" i="21" s="1"/>
  <c r="CM3" i="21" s="1" a="1"/>
  <c r="CM3" i="21" s="1"/>
  <c r="CL3" i="21" s="1" a="1"/>
  <c r="CL3" i="21" s="1"/>
  <c r="CK3" i="21" s="1" a="1"/>
  <c r="CK3" i="21" s="1"/>
  <c r="CJ3" i="21" s="1" a="1"/>
  <c r="CJ3" i="21" s="1"/>
  <c r="CI3" i="21" s="1" a="1"/>
  <c r="CI3" i="21" s="1"/>
  <c r="CH3" i="21" s="1" a="1"/>
  <c r="CH3" i="21" s="1"/>
  <c r="CG3" i="21" s="1" a="1"/>
  <c r="CG3" i="21" s="1"/>
  <c r="CF3" i="21" s="1" a="1"/>
  <c r="CF3" i="21" s="1"/>
  <c r="CE3" i="21" s="1" a="1"/>
  <c r="CE3" i="21" s="1"/>
  <c r="CD3" i="21" s="1" a="1"/>
  <c r="CD3" i="21" s="1"/>
  <c r="CC3" i="21" s="1" a="1"/>
  <c r="CC3" i="21" s="1"/>
  <c r="CB3" i="21" s="1" a="1"/>
  <c r="CB3" i="21" s="1"/>
  <c r="CA3" i="21" s="1" a="1"/>
  <c r="CA3" i="21" s="1"/>
  <c r="BZ3" i="21" s="1" a="1"/>
  <c r="BZ3" i="21" s="1"/>
  <c r="BY3" i="21" s="1" a="1"/>
  <c r="BY3" i="21" s="1"/>
  <c r="BX3" i="21" s="1" a="1"/>
  <c r="BX3" i="21" s="1"/>
  <c r="BW3" i="21" s="1" a="1"/>
  <c r="BW3" i="21" s="1"/>
  <c r="BV3" i="21" s="1" a="1"/>
  <c r="BV3" i="21" s="1"/>
  <c r="BU3" i="21" s="1" a="1"/>
  <c r="BU3" i="21" s="1"/>
  <c r="BT3" i="21" s="1" a="1"/>
  <c r="BT3" i="21" s="1"/>
  <c r="EC4" i="21" a="1"/>
  <c r="EC4" i="21" s="1"/>
  <c r="EA4" i="21" s="1" a="1"/>
  <c r="EA4" i="21" s="1"/>
  <c r="EB4" i="21" a="1"/>
  <c r="EB4" i="21" s="1"/>
  <c r="FB5" i="21"/>
  <c r="H13" i="35" l="1"/>
  <c r="DZ4" i="21" a="1"/>
  <c r="DZ4" i="21" s="1"/>
  <c r="DY4" i="21" s="1" a="1"/>
  <c r="DY4" i="21" s="1"/>
  <c r="DX4" i="21" s="1" a="1"/>
  <c r="DX4" i="21" s="1"/>
  <c r="DW5" i="21"/>
  <c r="D5" i="21" s="1" a="1"/>
  <c r="D5" i="21" s="1"/>
  <c r="AC11" i="35"/>
  <c r="CZ4" i="31" a="1"/>
  <c r="CZ4" i="31" s="1"/>
  <c r="CY4" i="31" s="1" a="1"/>
  <c r="CY4" i="31" s="1"/>
  <c r="CX4" i="31" s="1" a="1"/>
  <c r="CX4" i="31" s="1"/>
  <c r="CW4" i="31" s="1" a="1"/>
  <c r="CW4" i="31" s="1"/>
  <c r="CV4" i="31" s="1" a="1"/>
  <c r="CV4" i="31" s="1"/>
  <c r="BP3" i="21" a="1"/>
  <c r="BP3" i="21" s="1"/>
  <c r="BS3" i="21" a="1"/>
  <c r="BS3" i="21" s="1"/>
  <c r="BL4" i="30" a="1"/>
  <c r="BL4" i="30" s="1"/>
  <c r="BK4" i="30" a="1"/>
  <c r="BK4" i="30" s="1"/>
  <c r="BJ4" i="30" s="1" a="1"/>
  <c r="BJ4" i="30" s="1"/>
  <c r="BI4" i="30" s="1" a="1"/>
  <c r="BI4" i="30" s="1"/>
  <c r="C5" i="31" a="1"/>
  <c r="C5" i="31" s="1"/>
  <c r="DW4" i="21" l="1" a="1"/>
  <c r="DW4" i="21" s="1"/>
  <c r="DV4" i="21" s="1" a="1"/>
  <c r="DV4" i="21" s="1"/>
  <c r="DU4" i="21" s="1" a="1"/>
  <c r="DU4" i="21" s="1"/>
  <c r="DT4" i="21" s="1" a="1"/>
  <c r="DT4" i="21" s="1"/>
  <c r="DS4" i="21" s="1" a="1"/>
  <c r="DS4" i="21" s="1"/>
  <c r="DR4" i="21" s="1" a="1"/>
  <c r="DR4" i="21" s="1"/>
  <c r="DQ4" i="21" s="1"/>
  <c r="DP4" i="21" s="1" a="1"/>
  <c r="DP4" i="21" s="1"/>
  <c r="DO4" i="21" s="1" a="1"/>
  <c r="DO4" i="21" s="1"/>
  <c r="DN4" i="21" s="1" a="1"/>
  <c r="DN4" i="21" s="1"/>
  <c r="DM4" i="21" s="1"/>
  <c r="BG4" i="30" a="1"/>
  <c r="BG4" i="30" s="1"/>
  <c r="BE4" i="30" s="1" a="1"/>
  <c r="BE4" i="30" s="1"/>
  <c r="BH4" i="30" a="1"/>
  <c r="BH4" i="30" s="1"/>
  <c r="BF4" i="30" s="1" a="1"/>
  <c r="BF4" i="30" s="1"/>
  <c r="BD4" i="30" s="1" a="1"/>
  <c r="BD4" i="30" s="1"/>
  <c r="BC4" i="30" s="1" a="1"/>
  <c r="BC4" i="30" s="1"/>
  <c r="BB4" i="30" s="1" a="1"/>
  <c r="BB4" i="30" s="1"/>
  <c r="BA4" i="30" s="1" a="1"/>
  <c r="BA4" i="30" s="1"/>
  <c r="AZ4" i="30" s="1" a="1"/>
  <c r="AZ4" i="30" s="1"/>
  <c r="AY4" i="30" s="1" a="1"/>
  <c r="AY4" i="30" s="1"/>
  <c r="AX4" i="30" s="1" a="1"/>
  <c r="AX4" i="30" s="1"/>
  <c r="AW4" i="30" s="1" a="1"/>
  <c r="AW4" i="30" s="1"/>
  <c r="BR3" i="21" a="1"/>
  <c r="BR3" i="21" s="1"/>
  <c r="BO3" i="21" a="1"/>
  <c r="BO3" i="21" s="1"/>
  <c r="CU4" i="31" a="1"/>
  <c r="CU4" i="31" s="1"/>
  <c r="CT4" i="31" s="1" a="1"/>
  <c r="CT4" i="31" s="1"/>
  <c r="CS4" i="31" s="1" a="1"/>
  <c r="CS4" i="31" s="1"/>
  <c r="CR4" i="31" s="1" a="1"/>
  <c r="CR4" i="31" s="1"/>
  <c r="AB11" i="35"/>
  <c r="AC9" i="35" l="1"/>
  <c r="AC13" i="35" s="1"/>
  <c r="CQ4" i="31" a="1"/>
  <c r="CQ4" i="31" s="1"/>
  <c r="CP4" i="31" s="1" a="1"/>
  <c r="CP4" i="31" s="1"/>
  <c r="CO4" i="31" s="1" a="1"/>
  <c r="CO4" i="31" s="1"/>
  <c r="CN4" i="31" s="1" a="1"/>
  <c r="CN4" i="31" s="1"/>
  <c r="CM4" i="31" s="1" a="1"/>
  <c r="CM4" i="31" s="1"/>
  <c r="CL4" i="31" s="1" a="1"/>
  <c r="CL4" i="31" s="1"/>
  <c r="CK4" i="31" s="1" a="1"/>
  <c r="CK4" i="31" s="1"/>
  <c r="CJ4" i="31" s="1" a="1"/>
  <c r="CJ4" i="31" s="1"/>
  <c r="CI4" i="31" s="1" a="1"/>
  <c r="CI4" i="31" s="1"/>
  <c r="CH4" i="31" s="1" a="1"/>
  <c r="CH4" i="31" s="1"/>
  <c r="CG4" i="31" s="1" a="1"/>
  <c r="CG4" i="31" s="1"/>
  <c r="CF4" i="31" s="1" a="1"/>
  <c r="CF4" i="31" s="1"/>
  <c r="CE4" i="31" s="1" a="1"/>
  <c r="CE4" i="31" s="1"/>
  <c r="CD4" i="31" s="1" a="1"/>
  <c r="CD4" i="31" s="1"/>
  <c r="CC4" i="31" s="1" a="1"/>
  <c r="CC4" i="31" s="1"/>
  <c r="CB4" i="31" s="1" a="1"/>
  <c r="CB4" i="31" s="1"/>
  <c r="CA4" i="31" s="1" a="1"/>
  <c r="CA4" i="31" s="1"/>
  <c r="BZ4" i="31" s="1" a="1"/>
  <c r="BZ4" i="31" s="1"/>
  <c r="BY4" i="31" s="1" a="1"/>
  <c r="BY4" i="31" s="1"/>
  <c r="BX4" i="31" s="1" a="1"/>
  <c r="BX4" i="31" s="1"/>
  <c r="BW4" i="31" s="1" a="1"/>
  <c r="BW4" i="31" s="1"/>
  <c r="BV4" i="31" s="1" a="1"/>
  <c r="BV4" i="31" s="1"/>
  <c r="AG11" i="35"/>
  <c r="BQ3" i="21" a="1"/>
  <c r="BQ3" i="21" s="1"/>
  <c r="BN3" i="21" a="1"/>
  <c r="BN3" i="21" s="1"/>
  <c r="AB9" i="35"/>
  <c r="AB13" i="35" s="1"/>
  <c r="DL4" i="21" a="1"/>
  <c r="DL4" i="21" s="1"/>
  <c r="DK4" i="21" s="1" a="1"/>
  <c r="DK4" i="21" s="1"/>
  <c r="DJ4" i="21" s="1" a="1"/>
  <c r="DJ4" i="21" s="1"/>
  <c r="DI4" i="21" s="1" a="1"/>
  <c r="DI4" i="21" s="1"/>
  <c r="DH4" i="21" s="1"/>
  <c r="AV4" i="30" a="1"/>
  <c r="AV4" i="30" s="1"/>
  <c r="AU4" i="30" s="1" a="1"/>
  <c r="AU4" i="30" s="1"/>
  <c r="AT4" i="30" s="1" a="1"/>
  <c r="AT4" i="30" s="1"/>
  <c r="AS4" i="30" s="1" a="1"/>
  <c r="AS4" i="30" s="1"/>
  <c r="AR4" i="30" s="1" a="1"/>
  <c r="AR4" i="30" s="1"/>
  <c r="AD10" i="35"/>
  <c r="BU4" i="31" l="1" a="1"/>
  <c r="BU4" i="31" s="1"/>
  <c r="BT4" i="31" s="1" a="1"/>
  <c r="BT4" i="31" s="1"/>
  <c r="BS4" i="31" s="1" a="1"/>
  <c r="BS4" i="31" s="1"/>
  <c r="BR4" i="31" s="1" a="1"/>
  <c r="BR4" i="31" s="1"/>
  <c r="BQ4" i="31" s="1" a="1"/>
  <c r="BQ4" i="31" s="1"/>
  <c r="BP4" i="31" s="1" a="1"/>
  <c r="BP4" i="31" s="1"/>
  <c r="BO4" i="31" s="1" a="1"/>
  <c r="BO4" i="31" s="1"/>
  <c r="BN4" i="31" s="1" a="1"/>
  <c r="BN4" i="31" s="1"/>
  <c r="BM4" i="31" s="1" a="1"/>
  <c r="BM4" i="31" s="1"/>
  <c r="BL4" i="31" s="1" a="1"/>
  <c r="BL4" i="31" s="1"/>
  <c r="BK4" i="31" s="1"/>
  <c r="BJ4" i="31" s="1" a="1"/>
  <c r="BJ4" i="31" s="1"/>
  <c r="BI4" i="31" s="1" a="1"/>
  <c r="BI4" i="31" s="1"/>
  <c r="BH4" i="31" s="1" a="1"/>
  <c r="BH4" i="31" s="1"/>
  <c r="BG4" i="31" s="1" a="1"/>
  <c r="BG4" i="31" s="1"/>
  <c r="BF4" i="31" s="1" a="1"/>
  <c r="BF4" i="31" s="1"/>
  <c r="BE4" i="31" s="1" a="1"/>
  <c r="BE4" i="31" s="1"/>
  <c r="I11" i="35" s="1"/>
  <c r="AF11" i="35"/>
  <c r="AQ4" i="30" a="1"/>
  <c r="AQ4" i="30" s="1"/>
  <c r="AP4" i="30" s="1" a="1"/>
  <c r="AP4" i="30" s="1"/>
  <c r="AO4" i="30" s="1" a="1"/>
  <c r="AO4" i="30" s="1"/>
  <c r="AE10" i="35"/>
  <c r="AG9" i="35"/>
  <c r="AG13" i="35" s="1"/>
  <c r="DG4" i="21" a="1"/>
  <c r="DG4" i="21" s="1"/>
  <c r="DF4" i="21" s="1" a="1"/>
  <c r="DF4" i="21" s="1"/>
  <c r="DE4" i="21" s="1" a="1"/>
  <c r="DE4" i="21" s="1"/>
  <c r="DD4" i="21" s="1" a="1"/>
  <c r="DD4" i="21" s="1"/>
  <c r="DC4" i="21" s="1" a="1"/>
  <c r="DC4" i="21" s="1"/>
  <c r="DB4" i="21" s="1" a="1"/>
  <c r="DB4" i="21" s="1"/>
  <c r="DA4" i="21" s="1" a="1"/>
  <c r="DA4" i="21" s="1"/>
  <c r="CZ4" i="21" s="1" a="1"/>
  <c r="CZ4" i="21" s="1"/>
  <c r="CY4" i="21" s="1" a="1"/>
  <c r="CY4" i="21" s="1"/>
  <c r="CX4" i="21" s="1" a="1"/>
  <c r="CX4" i="21" s="1"/>
  <c r="CW4" i="21" s="1" a="1"/>
  <c r="CW4" i="21" s="1"/>
  <c r="CV4" i="21" s="1" a="1"/>
  <c r="CV4" i="21" s="1"/>
  <c r="CU4" i="21" s="1" a="1"/>
  <c r="CU4" i="21" s="1"/>
  <c r="CT4" i="21" s="1" a="1"/>
  <c r="CT4" i="21" s="1"/>
  <c r="CS4" i="21" s="1" a="1"/>
  <c r="CS4" i="21" s="1"/>
  <c r="CR4" i="21" s="1" a="1"/>
  <c r="CR4" i="21" s="1"/>
  <c r="CQ4" i="21" s="1" a="1"/>
  <c r="CQ4" i="21" s="1"/>
  <c r="CP4" i="21" s="1"/>
  <c r="CO4" i="21" s="1" a="1"/>
  <c r="CO4" i="21" s="1"/>
  <c r="CN4" i="21" s="1" a="1"/>
  <c r="CN4" i="21" s="1"/>
  <c r="CM4" i="21" s="1" a="1"/>
  <c r="CM4" i="21" s="1"/>
  <c r="CL4" i="21" s="1"/>
  <c r="BM3" i="21" a="1"/>
  <c r="BM3" i="21" s="1"/>
  <c r="BL3" i="21" a="1"/>
  <c r="BL3" i="21" s="1"/>
  <c r="BD4" i="31" l="1" a="1"/>
  <c r="BD4" i="31" s="1"/>
  <c r="BC4" i="31" s="1" a="1"/>
  <c r="BC4" i="31" s="1"/>
  <c r="BB4" i="31" s="1" a="1"/>
  <c r="BB4" i="31" s="1"/>
  <c r="BA4" i="31" s="1" a="1"/>
  <c r="BA4" i="31" s="1"/>
  <c r="AZ4" i="31" s="1" a="1"/>
  <c r="AZ4" i="31" s="1"/>
  <c r="AY4" i="31" s="1" a="1"/>
  <c r="AY4" i="31" s="1"/>
  <c r="AX4" i="31" s="1" a="1"/>
  <c r="AX4" i="31" s="1"/>
  <c r="AW4" i="31" s="1" a="1"/>
  <c r="AW4" i="31" s="1"/>
  <c r="AV4" i="31" s="1" a="1"/>
  <c r="AV4" i="31" s="1"/>
  <c r="AU4" i="31" s="1" a="1"/>
  <c r="AU4" i="31" s="1"/>
  <c r="AT4" i="31" s="1" a="1"/>
  <c r="AT4" i="31" s="1"/>
  <c r="AS4" i="31" s="1" a="1"/>
  <c r="AS4" i="31" s="1"/>
  <c r="AR4" i="31" s="1" a="1"/>
  <c r="AR4" i="31" s="1"/>
  <c r="AQ4" i="31" s="1" a="1"/>
  <c r="AQ4" i="31" s="1"/>
  <c r="AP4" i="31" s="1" a="1"/>
  <c r="AP4" i="31" s="1"/>
  <c r="AO4" i="31" s="1" a="1"/>
  <c r="AO4" i="31" s="1"/>
  <c r="AN4" i="31" s="1" a="1"/>
  <c r="AN4" i="31" s="1"/>
  <c r="AM4" i="31" s="1" a="1"/>
  <c r="AM4" i="31" s="1"/>
  <c r="AL4" i="31" s="1" a="1"/>
  <c r="AL4" i="31" s="1"/>
  <c r="AD11" i="35" s="1"/>
  <c r="BK3" i="21" a="1"/>
  <c r="BK3" i="21" s="1"/>
  <c r="BJ3" i="21" s="1" a="1"/>
  <c r="BJ3" i="21" s="1"/>
  <c r="BI3" i="21" s="1" a="1"/>
  <c r="BI3" i="21" s="1"/>
  <c r="BG3" i="21" s="1" a="1"/>
  <c r="BG3" i="21" s="1"/>
  <c r="CK4" i="21" a="1"/>
  <c r="CK4" i="21" s="1"/>
  <c r="CJ4" i="21" s="1" a="1"/>
  <c r="CJ4" i="21" s="1"/>
  <c r="CI4" i="21" s="1" a="1"/>
  <c r="CI4" i="21" s="1"/>
  <c r="CH4" i="21" s="1" a="1"/>
  <c r="CH4" i="21" s="1"/>
  <c r="CG4" i="21" s="1" a="1"/>
  <c r="CG4" i="21" s="1"/>
  <c r="CF4" i="21" s="1" a="1"/>
  <c r="CF4" i="21" s="1"/>
  <c r="CE4" i="21" s="1" a="1"/>
  <c r="CE4" i="21" s="1"/>
  <c r="CD4" i="21" s="1" a="1"/>
  <c r="CD4" i="21" s="1"/>
  <c r="CC4" i="21" s="1" a="1"/>
  <c r="CC4" i="21" s="1"/>
  <c r="CB4" i="21" s="1" a="1"/>
  <c r="CB4" i="21" s="1"/>
  <c r="CA4" i="21" s="1" a="1"/>
  <c r="CA4" i="21" s="1"/>
  <c r="BZ4" i="21" s="1" a="1"/>
  <c r="BZ4" i="21" s="1"/>
  <c r="BY4" i="21" s="1" a="1"/>
  <c r="BY4" i="21" s="1"/>
  <c r="J9" i="35" s="1"/>
  <c r="J13" i="35" s="1"/>
  <c r="AF9" i="35"/>
  <c r="AF13" i="35" s="1"/>
  <c r="AN4" i="30" s="1"/>
  <c r="G10" i="35"/>
  <c r="AK4" i="31" l="1" a="1"/>
  <c r="AK4" i="31" s="1"/>
  <c r="AJ4" i="31" s="1" a="1"/>
  <c r="AJ4" i="31" s="1"/>
  <c r="AI4" i="31" s="1" a="1"/>
  <c r="AI4" i="31" s="1"/>
  <c r="AH4" i="31" s="1" a="1"/>
  <c r="AH4" i="31" s="1"/>
  <c r="AG4" i="31" s="1" a="1"/>
  <c r="AG4" i="31" s="1"/>
  <c r="AE11" i="35" s="1"/>
  <c r="BH3" i="21" a="1"/>
  <c r="BH3" i="21" s="1"/>
  <c r="BF3" i="21" s="1" a="1"/>
  <c r="BF3" i="21" s="1"/>
  <c r="BX4" i="21" a="1"/>
  <c r="BX4" i="21" s="1"/>
  <c r="BW4" i="21" s="1" a="1"/>
  <c r="BW4" i="21" s="1"/>
  <c r="I9" i="35" s="1"/>
  <c r="I13" i="35" s="1"/>
  <c r="L15" i="35" s="1"/>
  <c r="AM4" i="30" s="1"/>
  <c r="Z10" i="35"/>
  <c r="AF4" i="31" l="1" a="1"/>
  <c r="AF4" i="31" s="1"/>
  <c r="AE4" i="31" s="1" a="1"/>
  <c r="AE4" i="31" s="1"/>
  <c r="AD4" i="31" s="1" a="1"/>
  <c r="AD4" i="31" s="1"/>
  <c r="AC4" i="31" s="1"/>
  <c r="BE3" i="21" a="1"/>
  <c r="BE3" i="21" s="1"/>
  <c r="BD3" i="21" s="1" a="1"/>
  <c r="BD3" i="21" s="1"/>
  <c r="BC3" i="21" s="1" a="1"/>
  <c r="BC3" i="21" s="1"/>
  <c r="BB3" i="21" s="1" a="1"/>
  <c r="BB3" i="21" s="1"/>
  <c r="BA3" i="21" s="1" a="1"/>
  <c r="BA3" i="21" s="1"/>
  <c r="AZ3" i="21" s="1" a="1"/>
  <c r="AZ3" i="21" s="1"/>
  <c r="AY3" i="21" s="1" a="1"/>
  <c r="AY3" i="21" s="1"/>
  <c r="AX3" i="21" s="1" a="1"/>
  <c r="AX3" i="21" s="1"/>
  <c r="AW3" i="21" s="1" a="1"/>
  <c r="AW3" i="21" s="1"/>
  <c r="AV3" i="21" s="1" a="1"/>
  <c r="AV3" i="21" s="1"/>
  <c r="AU3" i="21" s="1" a="1"/>
  <c r="AU3" i="21" s="1"/>
  <c r="AT3" i="21" s="1" a="1"/>
  <c r="AT3" i="21" s="1"/>
  <c r="AS3" i="21" s="1" a="1"/>
  <c r="AS3" i="21" s="1"/>
  <c r="AR3" i="21" s="1" a="1"/>
  <c r="AR3" i="21" s="1"/>
  <c r="AQ3" i="21" s="1" a="1"/>
  <c r="AQ3" i="21" s="1"/>
  <c r="AP3" i="21" s="1" a="1"/>
  <c r="AP3" i="21" s="1"/>
  <c r="AO3" i="21" s="1" a="1"/>
  <c r="AO3" i="21" s="1"/>
  <c r="AN3" i="21" s="1" a="1"/>
  <c r="AN3" i="21" s="1"/>
  <c r="AM3" i="21" s="1" a="1"/>
  <c r="AM3" i="21" s="1"/>
  <c r="AL3" i="21" s="1" a="1"/>
  <c r="AL3" i="21" s="1"/>
  <c r="AK3" i="21" s="1" a="1"/>
  <c r="AK3" i="21" s="1"/>
  <c r="AJ3" i="21" s="1" a="1"/>
  <c r="AJ3" i="21" s="1"/>
  <c r="AI3" i="21" s="1" a="1"/>
  <c r="AI3" i="21" s="1"/>
  <c r="AH3" i="21" s="1" a="1"/>
  <c r="AH3" i="21" s="1"/>
  <c r="AG3" i="21" s="1" a="1"/>
  <c r="AG3" i="21" s="1"/>
  <c r="AF3" i="21" s="1" a="1"/>
  <c r="AF3" i="21" s="1"/>
  <c r="AE3" i="21" s="1" a="1"/>
  <c r="AE3" i="21" s="1"/>
  <c r="AD3" i="21" s="1" a="1"/>
  <c r="AD3" i="21" s="1"/>
  <c r="AC3" i="21" s="1" a="1"/>
  <c r="AC3" i="21" s="1"/>
  <c r="AB3" i="21" s="1" a="1"/>
  <c r="AB3" i="21" s="1"/>
  <c r="AA3" i="21" s="1" a="1"/>
  <c r="AA3" i="21" s="1"/>
  <c r="Z3" i="21" s="1" a="1"/>
  <c r="Z3" i="21" s="1"/>
  <c r="Y3" i="21" s="1" a="1"/>
  <c r="Y3" i="21" s="1"/>
  <c r="X3" i="21" s="1" a="1"/>
  <c r="X3" i="21" s="1"/>
  <c r="W3" i="21" s="1" a="1"/>
  <c r="W3" i="21" s="1"/>
  <c r="V3" i="21" s="1" a="1"/>
  <c r="V3" i="21" s="1"/>
  <c r="U3" i="21" s="1" a="1"/>
  <c r="U3" i="21" s="1"/>
  <c r="T3" i="21" s="1" a="1"/>
  <c r="T3" i="21" s="1"/>
  <c r="S3" i="21" s="1" a="1"/>
  <c r="S3" i="21" s="1"/>
  <c r="R3" i="21" s="1" a="1"/>
  <c r="R3" i="21" s="1"/>
  <c r="Q3" i="21" s="1" a="1"/>
  <c r="Q3" i="21" s="1"/>
  <c r="D3" i="21" s="1" a="1"/>
  <c r="D3" i="21" s="1"/>
  <c r="BV4" i="21" a="1"/>
  <c r="BV4" i="21" s="1"/>
  <c r="BU4" i="21" s="1" a="1"/>
  <c r="BU4" i="21" s="1"/>
  <c r="BT4" i="21" s="1" a="1"/>
  <c r="BT4" i="21" s="1"/>
  <c r="BP4" i="21" s="1" a="1"/>
  <c r="BP4" i="21" s="1"/>
  <c r="AL4" i="30" a="1"/>
  <c r="AL4" i="30" s="1"/>
  <c r="AA10" i="35"/>
  <c r="G11" i="35" l="1"/>
  <c r="BS4" i="21" a="1"/>
  <c r="BS4" i="21" s="1"/>
  <c r="BO4" i="21" s="1" a="1"/>
  <c r="BO4" i="21" s="1"/>
  <c r="Z11" i="35"/>
  <c r="AB4" i="31" s="1"/>
  <c r="AK4" i="30" a="1"/>
  <c r="AK4" i="30" s="1"/>
  <c r="W10" i="35"/>
  <c r="BR4" i="21" l="1" a="1"/>
  <c r="BR4" i="21" s="1"/>
  <c r="BQ4" i="21" s="1" a="1"/>
  <c r="BQ4" i="21" s="1"/>
  <c r="AJ4" i="30" a="1"/>
  <c r="AJ4" i="30" s="1"/>
  <c r="O10" i="35"/>
  <c r="AA4" i="31" s="1"/>
  <c r="AA11" i="35"/>
  <c r="BN4" i="21" l="1" a="1"/>
  <c r="BN4" i="21" s="1"/>
  <c r="BM4" i="21" a="1"/>
  <c r="BM4" i="21" s="1"/>
  <c r="BL4" i="21" a="1"/>
  <c r="BL4" i="21" s="1"/>
  <c r="Z4" i="31" s="1"/>
  <c r="W11" i="35"/>
  <c r="AI4" i="30" s="1"/>
  <c r="N10" i="35"/>
  <c r="BK4" i="21" l="1" a="1"/>
  <c r="BK4" i="21" s="1"/>
  <c r="BJ4" i="21" s="1" a="1"/>
  <c r="BJ4" i="21" s="1"/>
  <c r="BI4" i="21" s="1" a="1"/>
  <c r="BI4" i="21" s="1"/>
  <c r="BG4" i="21" s="1" a="1"/>
  <c r="BG4" i="21" s="1"/>
  <c r="AH4" i="30" s="1"/>
  <c r="M10" i="35"/>
  <c r="Y4" i="31" s="1"/>
  <c r="O11" i="35"/>
  <c r="BH4" i="21" l="1" a="1"/>
  <c r="BH4" i="21" s="1"/>
  <c r="BF4" i="21" s="1" a="1"/>
  <c r="BF4" i="21" s="1"/>
  <c r="N11" i="35"/>
  <c r="X4" i="31" s="1"/>
  <c r="AG4" i="30" s="1"/>
  <c r="E10" i="35"/>
  <c r="BE4" i="21" l="1" a="1"/>
  <c r="BE4" i="21" s="1"/>
  <c r="BD4" i="21" s="1" a="1"/>
  <c r="BD4" i="21" s="1"/>
  <c r="BC4" i="21" s="1" a="1"/>
  <c r="BC4" i="21" s="1"/>
  <c r="BB4" i="21" s="1" a="1"/>
  <c r="BB4" i="21" s="1"/>
  <c r="BA4" i="21" s="1" a="1"/>
  <c r="BA4" i="21" s="1"/>
  <c r="AZ4" i="21" s="1" a="1"/>
  <c r="AZ4" i="21" s="1"/>
  <c r="AY4" i="21" s="1" a="1"/>
  <c r="AY4" i="21" s="1"/>
  <c r="AX4" i="21" s="1"/>
  <c r="AF4" i="30" s="1"/>
  <c r="F10" i="35"/>
  <c r="W4" i="31" s="1"/>
  <c r="M11" i="35"/>
  <c r="AD9" i="35" l="1"/>
  <c r="AD13" i="35" s="1"/>
  <c r="AW4" i="21" a="1"/>
  <c r="AW4" i="21" s="1"/>
  <c r="AV4" i="21" s="1" a="1"/>
  <c r="AV4" i="21" s="1"/>
  <c r="AU4" i="21" s="1" a="1"/>
  <c r="AU4" i="21" s="1"/>
  <c r="AT4" i="21" s="1" a="1"/>
  <c r="AT4" i="21" s="1"/>
  <c r="AS4" i="21" s="1"/>
  <c r="V4" i="31" s="1"/>
  <c r="E11" i="35"/>
  <c r="AE4" i="30" a="1"/>
  <c r="AE4" i="30" s="1"/>
  <c r="X10" i="35"/>
  <c r="AR4" i="21" l="1" a="1"/>
  <c r="AR4" i="21" s="1"/>
  <c r="AQ4" i="21" s="1" a="1"/>
  <c r="AQ4" i="21" s="1"/>
  <c r="AP4" i="21" s="1"/>
  <c r="AE9" i="35"/>
  <c r="AE13" i="35" s="1"/>
  <c r="AD4" i="30" a="1"/>
  <c r="AD4" i="30" s="1"/>
  <c r="AC4" i="30" s="1" a="1"/>
  <c r="AC4" i="30" s="1"/>
  <c r="P10" i="35"/>
  <c r="F11" i="35"/>
  <c r="U4" i="31" s="1"/>
  <c r="AO4" i="21" s="1"/>
  <c r="G9" i="35"/>
  <c r="G13" i="35" s="1"/>
  <c r="X11" i="35"/>
  <c r="T4" i="31" a="1"/>
  <c r="T4" i="31" s="1"/>
  <c r="AB4" i="30" a="1"/>
  <c r="AB4" i="30" s="1"/>
  <c r="AA4" i="30" s="1" a="1"/>
  <c r="AA4" i="30" s="1"/>
  <c r="Z4" i="30" s="1" a="1"/>
  <c r="Z4" i="30" s="1"/>
  <c r="Y10" i="35"/>
  <c r="Z9" i="35" l="1"/>
  <c r="Z13" i="35" s="1"/>
  <c r="AN4" i="21" s="1"/>
  <c r="Y4" i="30" s="1"/>
  <c r="U10" i="35"/>
  <c r="P11" i="35"/>
  <c r="S4" i="31" a="1"/>
  <c r="S4" i="31" s="1"/>
  <c r="R4" i="31" s="1"/>
  <c r="AA9" i="35" l="1"/>
  <c r="AA13" i="35" s="1"/>
  <c r="AM4" i="21" s="1"/>
  <c r="Y11" i="35"/>
  <c r="Q4" i="31" a="1"/>
  <c r="Q4" i="31" s="1"/>
  <c r="P4" i="31" s="1" a="1"/>
  <c r="P4" i="31" s="1"/>
  <c r="O4" i="31" s="1" a="1"/>
  <c r="O4" i="31" s="1"/>
  <c r="D10" i="35"/>
  <c r="X4" i="30" s="1"/>
  <c r="AL4" i="21" s="1"/>
  <c r="W9" i="35"/>
  <c r="W13" i="35" s="1"/>
  <c r="W4" i="30" a="1"/>
  <c r="W4" i="30" s="1"/>
  <c r="V4" i="30" s="1"/>
  <c r="T10" i="35"/>
  <c r="U11" i="35"/>
  <c r="N4" i="31" s="1"/>
  <c r="O9" i="35" l="1"/>
  <c r="O13" i="35" s="1"/>
  <c r="AK4" i="21" s="1"/>
  <c r="D11" i="35"/>
  <c r="M4" i="31" s="1"/>
  <c r="U4" i="30" a="1"/>
  <c r="U4" i="30" s="1"/>
  <c r="T4" i="30" s="1"/>
  <c r="C10" i="35"/>
  <c r="AJ4" i="21" s="1"/>
  <c r="N9" i="35"/>
  <c r="N13" i="35" s="1"/>
  <c r="S4" i="30" s="1"/>
  <c r="R10" i="35"/>
  <c r="L4" i="31" a="1"/>
  <c r="L4" i="31" s="1"/>
  <c r="K4" i="31" s="1"/>
  <c r="T11" i="35"/>
  <c r="AI4" i="21" s="1"/>
  <c r="M9" i="35"/>
  <c r="M13" i="35" s="1"/>
  <c r="C11" i="35"/>
  <c r="J4" i="31" a="1"/>
  <c r="J4" i="31" s="1"/>
  <c r="I4" i="31" s="1"/>
  <c r="R4" i="30" s="1"/>
  <c r="Q10" i="35"/>
  <c r="E9" i="35" l="1"/>
  <c r="E13" i="35" s="1"/>
  <c r="AH4" i="21" a="1"/>
  <c r="AH4" i="21" s="1"/>
  <c r="Q4" i="30" s="1"/>
  <c r="S10" i="35"/>
  <c r="H4" i="31" s="1"/>
  <c r="R11" i="35"/>
  <c r="F9" i="35" l="1"/>
  <c r="F13" i="35" s="1"/>
  <c r="AG4" i="21" s="1"/>
  <c r="Q11" i="35"/>
  <c r="G4" i="31" s="1"/>
  <c r="V10" i="35"/>
  <c r="P4" i="30" a="1"/>
  <c r="P4" i="30" s="1"/>
  <c r="C4" i="30" s="1" a="1"/>
  <c r="C4" i="30" s="1"/>
  <c r="X9" i="35" l="1"/>
  <c r="X13" i="35" s="1"/>
  <c r="AF4" i="21" s="1"/>
  <c r="S11" i="35"/>
  <c r="F4" i="31" s="1"/>
  <c r="AE4" i="21" l="1" a="1"/>
  <c r="AE4" i="21" s="1"/>
  <c r="AD4" i="21" s="1"/>
  <c r="P9" i="35"/>
  <c r="P13" i="35" s="1"/>
  <c r="E4" i="31" a="1"/>
  <c r="E4" i="31" s="1"/>
  <c r="C4" i="31" s="1" a="1"/>
  <c r="C4" i="31" s="1"/>
  <c r="V11" i="35"/>
  <c r="V7" i="32" l="1"/>
  <c r="V79" i="32"/>
  <c r="V151" i="32"/>
  <c r="V223" i="32"/>
  <c r="V295" i="32"/>
  <c r="V367" i="32"/>
  <c r="V32" i="32"/>
  <c r="V104" i="32"/>
  <c r="V176" i="32"/>
  <c r="V248" i="32"/>
  <c r="V320" i="32"/>
  <c r="V392" i="32"/>
  <c r="V195" i="32"/>
  <c r="V357" i="32"/>
  <c r="V106" i="32"/>
  <c r="V250" i="32"/>
  <c r="V400" i="32"/>
  <c r="V51" i="32"/>
  <c r="V123" i="32"/>
  <c r="V225" i="32"/>
  <c r="V351" i="32"/>
  <c r="V88" i="32"/>
  <c r="V232" i="32"/>
  <c r="V388" i="32"/>
  <c r="V371" i="32"/>
  <c r="V353" i="32"/>
  <c r="V24" i="32"/>
  <c r="V215" i="32"/>
  <c r="V180" i="32"/>
  <c r="V221" i="32"/>
  <c r="V276" i="32"/>
  <c r="V48" i="32"/>
  <c r="V402" i="32"/>
  <c r="V30" i="32"/>
  <c r="V13" i="32"/>
  <c r="V85" i="32"/>
  <c r="V157" i="32"/>
  <c r="V229" i="32"/>
  <c r="V301" i="32"/>
  <c r="V373" i="32"/>
  <c r="V38" i="32"/>
  <c r="V110" i="32"/>
  <c r="V182" i="32"/>
  <c r="V254" i="32"/>
  <c r="V326" i="32"/>
  <c r="V398" i="32"/>
  <c r="V207" i="32"/>
  <c r="V369" i="32"/>
  <c r="V118" i="32"/>
  <c r="V262" i="32"/>
  <c r="V17" i="32"/>
  <c r="V57" i="32"/>
  <c r="V129" i="32"/>
  <c r="V231" i="32"/>
  <c r="V363" i="32"/>
  <c r="V100" i="32"/>
  <c r="V244" i="32"/>
  <c r="V11" i="32"/>
  <c r="V269" i="32"/>
  <c r="V389" i="32"/>
  <c r="V84" i="32"/>
  <c r="V66" i="32"/>
  <c r="V234" i="32"/>
  <c r="V257" i="32"/>
  <c r="V312" i="32"/>
  <c r="V78" i="32"/>
  <c r="V323" i="32"/>
  <c r="V90" i="32"/>
  <c r="V19" i="32"/>
  <c r="V91" i="32"/>
  <c r="V163" i="32"/>
  <c r="V235" i="32"/>
  <c r="V307" i="32"/>
  <c r="V379" i="32"/>
  <c r="V44" i="32"/>
  <c r="V116" i="32"/>
  <c r="V188" i="32"/>
  <c r="V260" i="32"/>
  <c r="V332" i="32"/>
  <c r="V404" i="32"/>
  <c r="V219" i="32"/>
  <c r="V381" i="32"/>
  <c r="V130" i="32"/>
  <c r="V274" i="32"/>
  <c r="V47" i="32"/>
  <c r="V63" i="32"/>
  <c r="V141" i="32"/>
  <c r="V243" i="32"/>
  <c r="V375" i="32"/>
  <c r="V112" i="32"/>
  <c r="V256" i="32"/>
  <c r="V29" i="32"/>
  <c r="V12" i="32"/>
  <c r="V341" i="32"/>
  <c r="V102" i="32"/>
  <c r="V167" i="32"/>
  <c r="V270" i="32"/>
  <c r="V293" i="32"/>
  <c r="V348" i="32"/>
  <c r="V96" i="32"/>
  <c r="V18" i="32"/>
  <c r="V162" i="32"/>
  <c r="V25" i="32"/>
  <c r="V97" i="32"/>
  <c r="V169" i="32"/>
  <c r="V241" i="32"/>
  <c r="V313" i="32"/>
  <c r="V385" i="32"/>
  <c r="V50" i="32"/>
  <c r="V122" i="32"/>
  <c r="V194" i="32"/>
  <c r="V266" i="32"/>
  <c r="V338" i="32"/>
  <c r="V370" i="32"/>
  <c r="V237" i="32"/>
  <c r="V387" i="32"/>
  <c r="V142" i="32"/>
  <c r="V286" i="32"/>
  <c r="V65" i="32"/>
  <c r="V69" i="32"/>
  <c r="V147" i="32"/>
  <c r="V255" i="32"/>
  <c r="V399" i="32"/>
  <c r="V124" i="32"/>
  <c r="V268" i="32"/>
  <c r="V41" i="32"/>
  <c r="V83" i="32"/>
  <c r="V54" i="32"/>
  <c r="V120" i="32"/>
  <c r="V203" i="32"/>
  <c r="V324" i="32"/>
  <c r="V329" i="32"/>
  <c r="V384" i="32"/>
  <c r="V114" i="32"/>
  <c r="V60" i="32"/>
  <c r="V216" i="32"/>
  <c r="V31" i="32"/>
  <c r="V103" i="32"/>
  <c r="V175" i="32"/>
  <c r="V247" i="32"/>
  <c r="V319" i="32"/>
  <c r="V391" i="32"/>
  <c r="V56" i="32"/>
  <c r="V128" i="32"/>
  <c r="V200" i="32"/>
  <c r="V272" i="32"/>
  <c r="V344" i="32"/>
  <c r="V394" i="32"/>
  <c r="V249" i="32"/>
  <c r="V393" i="32"/>
  <c r="V154" i="32"/>
  <c r="V298" i="32"/>
  <c r="V3" i="32"/>
  <c r="V75" i="32"/>
  <c r="V153" i="32"/>
  <c r="V267" i="32"/>
  <c r="V4" i="32"/>
  <c r="V136" i="32"/>
  <c r="V280" i="32"/>
  <c r="V59" i="32"/>
  <c r="V101" i="32"/>
  <c r="V174" i="32"/>
  <c r="V138" i="32"/>
  <c r="V239" i="32"/>
  <c r="V396" i="32"/>
  <c r="V365" i="32"/>
  <c r="V197" i="32"/>
  <c r="V132" i="32"/>
  <c r="V89" i="32"/>
  <c r="V288" i="32"/>
  <c r="V107" i="32"/>
  <c r="V125" i="32"/>
  <c r="V37" i="32"/>
  <c r="V109" i="32"/>
  <c r="V181" i="32"/>
  <c r="V253" i="32"/>
  <c r="V325" i="32"/>
  <c r="V397" i="32"/>
  <c r="V62" i="32"/>
  <c r="V134" i="32"/>
  <c r="V206" i="32"/>
  <c r="V278" i="32"/>
  <c r="V350" i="32"/>
  <c r="V5" i="32"/>
  <c r="V261" i="32"/>
  <c r="V10" i="32"/>
  <c r="V166" i="32"/>
  <c r="V310" i="32"/>
  <c r="V9" i="32"/>
  <c r="V81" i="32"/>
  <c r="V159" i="32"/>
  <c r="V279" i="32"/>
  <c r="V16" i="32"/>
  <c r="V148" i="32"/>
  <c r="V292" i="32"/>
  <c r="V42" i="32"/>
  <c r="V119" i="32"/>
  <c r="V210" i="32"/>
  <c r="V156" i="32"/>
  <c r="V275" i="32"/>
  <c r="V36" i="32"/>
  <c r="V401" i="32"/>
  <c r="V359" i="32"/>
  <c r="V168" i="32"/>
  <c r="V342" i="32"/>
  <c r="V377" i="32"/>
  <c r="V43" i="32"/>
  <c r="V115" i="32"/>
  <c r="V187" i="32"/>
  <c r="V259" i="32"/>
  <c r="V331" i="32"/>
  <c r="V403" i="32"/>
  <c r="V68" i="32"/>
  <c r="V140" i="32"/>
  <c r="V212" i="32"/>
  <c r="V284" i="32"/>
  <c r="V356" i="32"/>
  <c r="V23" i="32"/>
  <c r="V273" i="32"/>
  <c r="V40" i="32"/>
  <c r="V178" i="32"/>
  <c r="V322" i="32"/>
  <c r="V15" i="32"/>
  <c r="V87" i="32"/>
  <c r="V165" i="32"/>
  <c r="V291" i="32"/>
  <c r="V22" i="32"/>
  <c r="V160" i="32"/>
  <c r="V304" i="32"/>
  <c r="V173" i="32"/>
  <c r="V137" i="32"/>
  <c r="V246" i="32"/>
  <c r="V192" i="32"/>
  <c r="V311" i="32"/>
  <c r="V77" i="32"/>
  <c r="V287" i="32"/>
  <c r="V108" i="32"/>
  <c r="V186" i="32"/>
  <c r="V378" i="32"/>
  <c r="V49" i="32"/>
  <c r="V121" i="32"/>
  <c r="V193" i="32"/>
  <c r="V265" i="32"/>
  <c r="V337" i="32"/>
  <c r="V2" i="32"/>
  <c r="V74" i="32"/>
  <c r="V146" i="32"/>
  <c r="V218" i="32"/>
  <c r="V290" i="32"/>
  <c r="V362" i="32"/>
  <c r="V35" i="32"/>
  <c r="V285" i="32"/>
  <c r="V52" i="32"/>
  <c r="V190" i="32"/>
  <c r="V334" i="32"/>
  <c r="V21" i="32"/>
  <c r="V93" i="32"/>
  <c r="V171" i="32"/>
  <c r="V297" i="32"/>
  <c r="V28" i="32"/>
  <c r="V172" i="32"/>
  <c r="V316" i="32"/>
  <c r="V209" i="32"/>
  <c r="V155" i="32"/>
  <c r="V282" i="32"/>
  <c r="V228" i="32"/>
  <c r="V347" i="32"/>
  <c r="V95" i="32"/>
  <c r="V395" i="32"/>
  <c r="V144" i="32"/>
  <c r="V222" i="32"/>
  <c r="V143" i="32"/>
  <c r="V55" i="32"/>
  <c r="V127" i="32"/>
  <c r="V199" i="32"/>
  <c r="V271" i="32"/>
  <c r="V343" i="32"/>
  <c r="V8" i="32"/>
  <c r="V80" i="32"/>
  <c r="V152" i="32"/>
  <c r="V224" i="32"/>
  <c r="V296" i="32"/>
  <c r="V368" i="32"/>
  <c r="V53" i="32"/>
  <c r="V303" i="32"/>
  <c r="V64" i="32"/>
  <c r="V202" i="32"/>
  <c r="V340" i="32"/>
  <c r="V27" i="32"/>
  <c r="V99" i="32"/>
  <c r="V177" i="32"/>
  <c r="V309" i="32"/>
  <c r="V34" i="32"/>
  <c r="V184" i="32"/>
  <c r="V328" i="32"/>
  <c r="V245" i="32"/>
  <c r="V191" i="32"/>
  <c r="V318" i="32"/>
  <c r="V264" i="32"/>
  <c r="V383" i="32"/>
  <c r="V113" i="32"/>
  <c r="V6" i="32"/>
  <c r="V198" i="32"/>
  <c r="V258" i="32"/>
  <c r="V161" i="32"/>
  <c r="V61" i="32"/>
  <c r="V133" i="32"/>
  <c r="V205" i="32"/>
  <c r="V277" i="32"/>
  <c r="V349" i="32"/>
  <c r="V14" i="32"/>
  <c r="V86" i="32"/>
  <c r="V158" i="32"/>
  <c r="V230" i="32"/>
  <c r="V302" i="32"/>
  <c r="V374" i="32"/>
  <c r="V71" i="32"/>
  <c r="V315" i="32"/>
  <c r="V70" i="32"/>
  <c r="V214" i="32"/>
  <c r="V352" i="32"/>
  <c r="V33" i="32"/>
  <c r="V105" i="32"/>
  <c r="V189" i="32"/>
  <c r="V321" i="32"/>
  <c r="V46" i="32"/>
  <c r="V196" i="32"/>
  <c r="V346" i="32"/>
  <c r="V281" i="32"/>
  <c r="V227" i="32"/>
  <c r="V354" i="32"/>
  <c r="V300" i="32"/>
  <c r="V233" i="32"/>
  <c r="V131" i="32"/>
  <c r="V150" i="32"/>
  <c r="V252" i="32"/>
  <c r="V294" i="32"/>
  <c r="V179" i="32"/>
  <c r="V67" i="32"/>
  <c r="V139" i="32"/>
  <c r="V211" i="32"/>
  <c r="V283" i="32"/>
  <c r="V355" i="32"/>
  <c r="V20" i="32"/>
  <c r="V92" i="32"/>
  <c r="V164" i="32"/>
  <c r="V236" i="32"/>
  <c r="V308" i="32"/>
  <c r="V380" i="32"/>
  <c r="V135" i="32"/>
  <c r="V327" i="32"/>
  <c r="V82" i="32"/>
  <c r="V226" i="32"/>
  <c r="V364" i="32"/>
  <c r="V39" i="32"/>
  <c r="V111" i="32"/>
  <c r="V201" i="32"/>
  <c r="V333" i="32"/>
  <c r="V58" i="32"/>
  <c r="V208" i="32"/>
  <c r="V358" i="32"/>
  <c r="V317" i="32"/>
  <c r="V263" i="32"/>
  <c r="V390" i="32"/>
  <c r="V336" i="32"/>
  <c r="V72" i="32"/>
  <c r="V149" i="32"/>
  <c r="V204" i="32"/>
  <c r="V306" i="32"/>
  <c r="V330" i="32"/>
  <c r="V251" i="32"/>
  <c r="V73" i="32"/>
  <c r="V145" i="32"/>
  <c r="V217" i="32"/>
  <c r="V289" i="32"/>
  <c r="V361" i="32"/>
  <c r="V26" i="32"/>
  <c r="V98" i="32"/>
  <c r="V170" i="32"/>
  <c r="V242" i="32"/>
  <c r="V314" i="32"/>
  <c r="V386" i="32"/>
  <c r="V183" i="32"/>
  <c r="V345" i="32"/>
  <c r="V94" i="32"/>
  <c r="V238" i="32"/>
  <c r="V382" i="32"/>
  <c r="V45" i="32"/>
  <c r="V117" i="32"/>
  <c r="V213" i="32"/>
  <c r="V339" i="32"/>
  <c r="V76" i="32"/>
  <c r="V220" i="32"/>
  <c r="V376" i="32"/>
  <c r="V335" i="32"/>
  <c r="V299" i="32"/>
  <c r="V305" i="32"/>
  <c r="V372" i="32"/>
  <c r="V126" i="32"/>
  <c r="V185" i="32"/>
  <c r="V240" i="32"/>
  <c r="V360" i="32"/>
  <c r="V366" i="32"/>
  <c r="Y9" i="35"/>
  <c r="Y13" i="35" s="1"/>
  <c r="AC4" i="21" a="1"/>
  <c r="AC4" i="21" s="1"/>
  <c r="AB4" i="21" s="1" a="1"/>
  <c r="AB4" i="21" s="1"/>
  <c r="AA4" i="21" s="1"/>
  <c r="Z4" i="21" s="1"/>
  <c r="U9" i="35"/>
  <c r="U13" i="35" s="1"/>
  <c r="D9" i="35" l="1"/>
  <c r="D13" i="35" s="1"/>
  <c r="Y4" i="21" s="1"/>
  <c r="T9" i="35" l="1"/>
  <c r="T13" i="35" s="1"/>
  <c r="X4" i="21" a="1"/>
  <c r="X4" i="21" s="1"/>
  <c r="W4" i="21" s="1"/>
  <c r="V4" i="21" l="1" a="1"/>
  <c r="V4" i="21" s="1"/>
  <c r="U4" i="21" s="1"/>
  <c r="C9" i="35"/>
  <c r="C13" i="35" s="1"/>
  <c r="T4" i="21" s="1"/>
  <c r="R9" i="35"/>
  <c r="R13" i="35" s="1"/>
  <c r="S4" i="21" s="1"/>
  <c r="Q9" i="35"/>
  <c r="Q13" i="35" s="1"/>
  <c r="R4" i="21" s="1"/>
  <c r="S9" i="35"/>
  <c r="S13" i="35" s="1"/>
  <c r="Q4" i="21" l="1" a="1"/>
  <c r="Q4" i="21" s="1"/>
  <c r="D4" i="21" s="1" a="1"/>
  <c r="D4" i="21" s="1"/>
  <c r="V9" i="35"/>
  <c r="V13" i="35" s="1"/>
  <c r="AG15" i="35" s="1"/>
  <c r="X2" i="32" l="1"/>
  <c r="X9" i="32"/>
  <c r="X60" i="32"/>
  <c r="X132" i="32"/>
  <c r="X34" i="32"/>
  <c r="X106" i="32"/>
  <c r="X179" i="32"/>
  <c r="X203" i="32"/>
  <c r="X227" i="32"/>
  <c r="X251" i="32"/>
  <c r="X275" i="32"/>
  <c r="X299" i="32"/>
  <c r="X323" i="32"/>
  <c r="X347" i="32"/>
  <c r="X371" i="32"/>
  <c r="X395" i="32"/>
  <c r="X50" i="32"/>
  <c r="X122" i="32"/>
  <c r="X190" i="32"/>
  <c r="X33" i="32"/>
  <c r="X95" i="32"/>
  <c r="X143" i="32"/>
  <c r="X162" i="32"/>
  <c r="X163" i="32"/>
  <c r="X85" i="32"/>
  <c r="X133" i="32"/>
  <c r="X212" i="32"/>
  <c r="X260" i="32"/>
  <c r="X356" i="32"/>
  <c r="X294" i="32"/>
  <c r="X314" i="32"/>
  <c r="X328" i="32"/>
  <c r="X390" i="32"/>
  <c r="X292" i="32"/>
  <c r="X232" i="32"/>
  <c r="X223" i="32"/>
  <c r="X230" i="32"/>
  <c r="X304" i="32"/>
  <c r="X4" i="32"/>
  <c r="X11" i="32"/>
  <c r="X66" i="32"/>
  <c r="X138" i="32"/>
  <c r="X40" i="32"/>
  <c r="X112" i="32"/>
  <c r="X181" i="32"/>
  <c r="X205" i="32"/>
  <c r="X229" i="32"/>
  <c r="X253" i="32"/>
  <c r="X277" i="32"/>
  <c r="X301" i="32"/>
  <c r="X325" i="32"/>
  <c r="X349" i="32"/>
  <c r="X373" i="32"/>
  <c r="X397" i="32"/>
  <c r="X56" i="32"/>
  <c r="X128" i="32"/>
  <c r="X214" i="32"/>
  <c r="X51" i="32"/>
  <c r="X99" i="32"/>
  <c r="X147" i="32"/>
  <c r="X168" i="32"/>
  <c r="X196" i="32"/>
  <c r="X89" i="32"/>
  <c r="X137" i="32"/>
  <c r="X224" i="32"/>
  <c r="X268" i="32"/>
  <c r="X172" i="32"/>
  <c r="X376" i="32"/>
  <c r="X338" i="32"/>
  <c r="X392" i="32"/>
  <c r="X288" i="32"/>
  <c r="X48" i="32"/>
  <c r="X38" i="32"/>
  <c r="X125" i="32"/>
  <c r="X6" i="32"/>
  <c r="X13" i="32"/>
  <c r="X72" i="32"/>
  <c r="X144" i="32"/>
  <c r="X46" i="32"/>
  <c r="X118" i="32"/>
  <c r="X183" i="32"/>
  <c r="X207" i="32"/>
  <c r="X231" i="32"/>
  <c r="X255" i="32"/>
  <c r="X279" i="32"/>
  <c r="X303" i="32"/>
  <c r="X327" i="32"/>
  <c r="X351" i="32"/>
  <c r="X375" i="32"/>
  <c r="X399" i="32"/>
  <c r="X62" i="32"/>
  <c r="X134" i="32"/>
  <c r="X238" i="32"/>
  <c r="X55" i="32"/>
  <c r="X103" i="32"/>
  <c r="X151" i="32"/>
  <c r="X178" i="32"/>
  <c r="X35" i="32"/>
  <c r="X93" i="32"/>
  <c r="X141" i="32"/>
  <c r="X200" i="32"/>
  <c r="X306" i="32"/>
  <c r="X208" i="32"/>
  <c r="X388" i="32"/>
  <c r="X374" i="32"/>
  <c r="X404" i="32"/>
  <c r="X310" i="32"/>
  <c r="X284" i="32"/>
  <c r="X366" i="32"/>
  <c r="X199" i="32"/>
  <c r="X271" i="32"/>
  <c r="X87" i="32"/>
  <c r="X372" i="32"/>
  <c r="X8" i="32"/>
  <c r="X15" i="32"/>
  <c r="X78" i="32"/>
  <c r="X150" i="32"/>
  <c r="X52" i="32"/>
  <c r="X124" i="32"/>
  <c r="X185" i="32"/>
  <c r="X209" i="32"/>
  <c r="X233" i="32"/>
  <c r="X257" i="32"/>
  <c r="X281" i="32"/>
  <c r="X305" i="32"/>
  <c r="X329" i="32"/>
  <c r="X353" i="32"/>
  <c r="X377" i="32"/>
  <c r="X401" i="32"/>
  <c r="X68" i="32"/>
  <c r="X140" i="32"/>
  <c r="X41" i="32"/>
  <c r="X59" i="32"/>
  <c r="X107" i="32"/>
  <c r="X155" i="32"/>
  <c r="X202" i="32"/>
  <c r="X49" i="32"/>
  <c r="X97" i="32"/>
  <c r="X145" i="32"/>
  <c r="X236" i="32"/>
  <c r="X360" i="32"/>
  <c r="X220" i="32"/>
  <c r="X286" i="32"/>
  <c r="X386" i="32"/>
  <c r="X342" i="32"/>
  <c r="X326" i="32"/>
  <c r="X340" i="32"/>
  <c r="X5" i="32"/>
  <c r="X391" i="32"/>
  <c r="X264" i="32"/>
  <c r="X10" i="32"/>
  <c r="X17" i="32"/>
  <c r="X84" i="32"/>
  <c r="X156" i="32"/>
  <c r="X58" i="32"/>
  <c r="X130" i="32"/>
  <c r="X187" i="32"/>
  <c r="X211" i="32"/>
  <c r="X235" i="32"/>
  <c r="X259" i="32"/>
  <c r="X283" i="32"/>
  <c r="X307" i="32"/>
  <c r="X331" i="32"/>
  <c r="X355" i="32"/>
  <c r="X379" i="32"/>
  <c r="X403" i="32"/>
  <c r="X74" i="32"/>
  <c r="X146" i="32"/>
  <c r="X164" i="32"/>
  <c r="X63" i="32"/>
  <c r="X111" i="32"/>
  <c r="X159" i="32"/>
  <c r="X226" i="32"/>
  <c r="X53" i="32"/>
  <c r="X101" i="32"/>
  <c r="X149" i="32"/>
  <c r="X248" i="32"/>
  <c r="X384" i="32"/>
  <c r="X270" i="32"/>
  <c r="X348" i="32"/>
  <c r="X346" i="32"/>
  <c r="X370" i="32"/>
  <c r="X378" i="32"/>
  <c r="X332" i="32"/>
  <c r="X94" i="32"/>
  <c r="X295" i="32"/>
  <c r="X252" i="32"/>
  <c r="X368" i="32"/>
  <c r="X12" i="32"/>
  <c r="X21" i="32"/>
  <c r="X90" i="32"/>
  <c r="X19" i="32"/>
  <c r="X64" i="32"/>
  <c r="X136" i="32"/>
  <c r="X189" i="32"/>
  <c r="X213" i="32"/>
  <c r="X237" i="32"/>
  <c r="X261" i="32"/>
  <c r="X285" i="32"/>
  <c r="X309" i="32"/>
  <c r="X333" i="32"/>
  <c r="X357" i="32"/>
  <c r="X381" i="32"/>
  <c r="X23" i="32"/>
  <c r="X80" i="32"/>
  <c r="X152" i="32"/>
  <c r="X170" i="32"/>
  <c r="X67" i="32"/>
  <c r="X115" i="32"/>
  <c r="X165" i="32"/>
  <c r="X250" i="32"/>
  <c r="X57" i="32"/>
  <c r="X105" i="32"/>
  <c r="X153" i="32"/>
  <c r="X256" i="32"/>
  <c r="X278" i="32"/>
  <c r="X312" i="32"/>
  <c r="X398" i="32"/>
  <c r="X354" i="32"/>
  <c r="X402" i="32"/>
  <c r="X400" i="32"/>
  <c r="X316" i="32"/>
  <c r="X302" i="32"/>
  <c r="X175" i="32"/>
  <c r="X319" i="32"/>
  <c r="X135" i="32"/>
  <c r="X258" i="32"/>
  <c r="X14" i="32"/>
  <c r="X24" i="32"/>
  <c r="X96" i="32"/>
  <c r="X25" i="32"/>
  <c r="X70" i="32"/>
  <c r="X142" i="32"/>
  <c r="X191" i="32"/>
  <c r="X215" i="32"/>
  <c r="X239" i="32"/>
  <c r="X263" i="32"/>
  <c r="X287" i="32"/>
  <c r="X311" i="32"/>
  <c r="X335" i="32"/>
  <c r="X359" i="32"/>
  <c r="X383" i="32"/>
  <c r="X29" i="32"/>
  <c r="X86" i="32"/>
  <c r="X158" i="32"/>
  <c r="X184" i="32"/>
  <c r="X71" i="32"/>
  <c r="X119" i="32"/>
  <c r="X171" i="32"/>
  <c r="X274" i="32"/>
  <c r="X61" i="32"/>
  <c r="X109" i="32"/>
  <c r="X157" i="32"/>
  <c r="X234" i="32"/>
  <c r="X290" i="32"/>
  <c r="X210" i="32"/>
  <c r="X308" i="32"/>
  <c r="X396" i="32"/>
  <c r="X296" i="32"/>
  <c r="X22" i="32"/>
  <c r="X45" i="32"/>
  <c r="X272" i="32"/>
  <c r="X16" i="32"/>
  <c r="X30" i="32"/>
  <c r="X102" i="32"/>
  <c r="X31" i="32"/>
  <c r="X76" i="32"/>
  <c r="X148" i="32"/>
  <c r="X193" i="32"/>
  <c r="X217" i="32"/>
  <c r="X241" i="32"/>
  <c r="X265" i="32"/>
  <c r="X289" i="32"/>
  <c r="X313" i="32"/>
  <c r="X337" i="32"/>
  <c r="X361" i="32"/>
  <c r="X385" i="32"/>
  <c r="X20" i="32"/>
  <c r="X92" i="32"/>
  <c r="X161" i="32"/>
  <c r="X27" i="32"/>
  <c r="X75" i="32"/>
  <c r="X123" i="32"/>
  <c r="X180" i="32"/>
  <c r="X298" i="32"/>
  <c r="X65" i="32"/>
  <c r="X113" i="32"/>
  <c r="X192" i="32"/>
  <c r="X246" i="32"/>
  <c r="X336" i="32"/>
  <c r="X276" i="32"/>
  <c r="X324" i="32"/>
  <c r="X344" i="32"/>
  <c r="X318" i="32"/>
  <c r="X222" i="32"/>
  <c r="X18" i="32"/>
  <c r="X36" i="32"/>
  <c r="X108" i="32"/>
  <c r="X37" i="32"/>
  <c r="X82" i="32"/>
  <c r="X154" i="32"/>
  <c r="X195" i="32"/>
  <c r="X219" i="32"/>
  <c r="X243" i="32"/>
  <c r="X267" i="32"/>
  <c r="X291" i="32"/>
  <c r="X315" i="32"/>
  <c r="X339" i="32"/>
  <c r="X363" i="32"/>
  <c r="X387" i="32"/>
  <c r="X26" i="32"/>
  <c r="X98" i="32"/>
  <c r="X166" i="32"/>
  <c r="X182" i="32"/>
  <c r="X79" i="32"/>
  <c r="X127" i="32"/>
  <c r="X204" i="32"/>
  <c r="X322" i="32"/>
  <c r="X69" i="32"/>
  <c r="X117" i="32"/>
  <c r="X216" i="32"/>
  <c r="X160" i="32"/>
  <c r="X358" i="32"/>
  <c r="X282" i="32"/>
  <c r="X330" i="32"/>
  <c r="X352" i="32"/>
  <c r="X334" i="32"/>
  <c r="X262" i="32"/>
  <c r="X247" i="32"/>
  <c r="X367" i="32"/>
  <c r="X39" i="32"/>
  <c r="X244" i="32"/>
  <c r="X3" i="32"/>
  <c r="X42" i="32"/>
  <c r="X114" i="32"/>
  <c r="X43" i="32"/>
  <c r="X88" i="32"/>
  <c r="X173" i="32"/>
  <c r="X197" i="32"/>
  <c r="X221" i="32"/>
  <c r="X245" i="32"/>
  <c r="X269" i="32"/>
  <c r="X293" i="32"/>
  <c r="X317" i="32"/>
  <c r="X341" i="32"/>
  <c r="X365" i="32"/>
  <c r="X389" i="32"/>
  <c r="X32" i="32"/>
  <c r="X104" i="32"/>
  <c r="X169" i="32"/>
  <c r="X206" i="32"/>
  <c r="X83" i="32"/>
  <c r="X131" i="32"/>
  <c r="X228" i="32"/>
  <c r="X176" i="32"/>
  <c r="X73" i="32"/>
  <c r="X121" i="32"/>
  <c r="X240" i="32"/>
  <c r="X186" i="32"/>
  <c r="X382" i="32"/>
  <c r="X242" i="32"/>
  <c r="X364" i="32"/>
  <c r="X362" i="32"/>
  <c r="X350" i="32"/>
  <c r="X218" i="32"/>
  <c r="X120" i="32"/>
  <c r="X343" i="32"/>
  <c r="X77" i="32"/>
  <c r="X7" i="32"/>
  <c r="X54" i="32"/>
  <c r="X126" i="32"/>
  <c r="X28" i="32"/>
  <c r="X100" i="32"/>
  <c r="X177" i="32"/>
  <c r="X201" i="32"/>
  <c r="X225" i="32"/>
  <c r="X249" i="32"/>
  <c r="X273" i="32"/>
  <c r="X297" i="32"/>
  <c r="X321" i="32"/>
  <c r="X345" i="32"/>
  <c r="X369" i="32"/>
  <c r="X393" i="32"/>
  <c r="X44" i="32"/>
  <c r="X116" i="32"/>
  <c r="X167" i="32"/>
  <c r="X254" i="32"/>
  <c r="X91" i="32"/>
  <c r="X139" i="32"/>
  <c r="X47" i="32"/>
  <c r="X174" i="32"/>
  <c r="X81" i="32"/>
  <c r="X129" i="32"/>
  <c r="X188" i="32"/>
  <c r="X198" i="32"/>
  <c r="X320" i="32"/>
  <c r="X280" i="32"/>
  <c r="X300" i="32"/>
  <c r="X394" i="32"/>
  <c r="X380" i="32"/>
  <c r="X266" i="32"/>
  <c r="X110" i="32"/>
  <c r="X194" i="32"/>
  <c r="Y255" i="32" l="1"/>
  <c r="Z255" i="32" s="1"/>
  <c r="AA255" i="32" s="1"/>
  <c r="Y48" i="32"/>
  <c r="Z48" i="32" s="1"/>
  <c r="AA48" i="32" s="1"/>
  <c r="Y147" i="32"/>
  <c r="Z147" i="32" s="1"/>
  <c r="AA147" i="32" s="1"/>
  <c r="Y253" i="32"/>
  <c r="Z253" i="32" s="1"/>
  <c r="AA253" i="32" s="1"/>
  <c r="Y223" i="32"/>
  <c r="Z223" i="32" s="1"/>
  <c r="AA223" i="32" s="1"/>
  <c r="Y163" i="32"/>
  <c r="Z163" i="32" s="1"/>
  <c r="AA163" i="32" s="1"/>
  <c r="Y299" i="32"/>
  <c r="Z299" i="32" s="1"/>
  <c r="AA299" i="32" s="1"/>
  <c r="Y288" i="32"/>
  <c r="Z288" i="32" s="1"/>
  <c r="AA288" i="32" s="1"/>
  <c r="Y99" i="32"/>
  <c r="Z99" i="32" s="1"/>
  <c r="AA99" i="32" s="1"/>
  <c r="Y229" i="32"/>
  <c r="Z229" i="32" s="1"/>
  <c r="AA229" i="32" s="1"/>
  <c r="Y232" i="32"/>
  <c r="Z232" i="32" s="1"/>
  <c r="AA232" i="32" s="1"/>
  <c r="Y162" i="32"/>
  <c r="Z162" i="32" s="1"/>
  <c r="AA162" i="32" s="1"/>
  <c r="Y275" i="32"/>
  <c r="Z275" i="32" s="1"/>
  <c r="AA275" i="32" s="1"/>
  <c r="Y403" i="32"/>
  <c r="Z403" i="32"/>
  <c r="AA403" i="32" s="1"/>
  <c r="Y156" i="32"/>
  <c r="Z156" i="32" s="1"/>
  <c r="AA156" i="32" s="1"/>
  <c r="Y220" i="32"/>
  <c r="Z220" i="32" s="1"/>
  <c r="AA220" i="32" s="1"/>
  <c r="Y68" i="32"/>
  <c r="Z68" i="32" s="1"/>
  <c r="AA68" i="32" s="1"/>
  <c r="Y52" i="32"/>
  <c r="Z52" i="32" s="1"/>
  <c r="AA52" i="32" s="1"/>
  <c r="Y404" i="32"/>
  <c r="Z404" i="32" s="1"/>
  <c r="AA404" i="32" s="1"/>
  <c r="Y55" i="32"/>
  <c r="Z55" i="32" s="1"/>
  <c r="AA55" i="32" s="1"/>
  <c r="Y207" i="32"/>
  <c r="Z207" i="32" s="1"/>
  <c r="AA207" i="32" s="1"/>
  <c r="Y392" i="32"/>
  <c r="Z392" i="32" s="1"/>
  <c r="AA392" i="32" s="1"/>
  <c r="Y51" i="32"/>
  <c r="Z51" i="32" s="1"/>
  <c r="AA51" i="32" s="1"/>
  <c r="Y205" i="32"/>
  <c r="Z205" i="32" s="1"/>
  <c r="AA205" i="32" s="1"/>
  <c r="Y292" i="32"/>
  <c r="Z292" i="32" s="1"/>
  <c r="AA292" i="32" s="1"/>
  <c r="Y143" i="32"/>
  <c r="Z143" i="32" s="1"/>
  <c r="AA143" i="32" s="1"/>
  <c r="Y251" i="32"/>
  <c r="Z251" i="32" s="1"/>
  <c r="AA251" i="32" s="1"/>
  <c r="Y374" i="32"/>
  <c r="Z374" i="32" s="1"/>
  <c r="AA374" i="32" s="1"/>
  <c r="Y238" i="32"/>
  <c r="Z238" i="32" s="1"/>
  <c r="AA238" i="32" s="1"/>
  <c r="Y183" i="32"/>
  <c r="Z183" i="32" s="1"/>
  <c r="AA183" i="32" s="1"/>
  <c r="Y338" i="32"/>
  <c r="Z338" i="32" s="1"/>
  <c r="AA338" i="32" s="1"/>
  <c r="Y214" i="32"/>
  <c r="Z214" i="32" s="1"/>
  <c r="AA214" i="32" s="1"/>
  <c r="Y181" i="32"/>
  <c r="Z181" i="32" s="1"/>
  <c r="AA181" i="32" s="1"/>
  <c r="Y390" i="32"/>
  <c r="Z390" i="32" s="1"/>
  <c r="AA390" i="32" s="1"/>
  <c r="Y95" i="32"/>
  <c r="Z95" i="32" s="1"/>
  <c r="AA95" i="32" s="1"/>
  <c r="Y227" i="32"/>
  <c r="Z227" i="32" s="1"/>
  <c r="AA227" i="32" s="1"/>
  <c r="Y377" i="32"/>
  <c r="Z377" i="32" s="1"/>
  <c r="AA377" i="32" s="1"/>
  <c r="Y78" i="32"/>
  <c r="Z78" i="32" s="1"/>
  <c r="AA78" i="32" s="1"/>
  <c r="Y388" i="32"/>
  <c r="Z388" i="32" s="1"/>
  <c r="AA388" i="32" s="1"/>
  <c r="Y134" i="32"/>
  <c r="Z134" i="32" s="1"/>
  <c r="AA134" i="32" s="1"/>
  <c r="Y118" i="32"/>
  <c r="Z118" i="32" s="1"/>
  <c r="AA118" i="32" s="1"/>
  <c r="Y376" i="32"/>
  <c r="Z376" i="32" s="1"/>
  <c r="AA376" i="32" s="1"/>
  <c r="Y128" i="32"/>
  <c r="Z128" i="32" s="1"/>
  <c r="AA128" i="32" s="1"/>
  <c r="Y112" i="32"/>
  <c r="Z112" i="32" s="1"/>
  <c r="AA112" i="32" s="1"/>
  <c r="Y328" i="32"/>
  <c r="Z328" i="32" s="1"/>
  <c r="AA328" i="32" s="1"/>
  <c r="Y33" i="32"/>
  <c r="Z33" i="32" s="1"/>
  <c r="AA33" i="32" s="1"/>
  <c r="Y203" i="32"/>
  <c r="Z203" i="32" s="1"/>
  <c r="AA203" i="32" s="1"/>
  <c r="Y110" i="32"/>
  <c r="Z110" i="32" s="1"/>
  <c r="AA110" i="32" s="1"/>
  <c r="Y47" i="32"/>
  <c r="Z47" i="32" s="1"/>
  <c r="AA47" i="32" s="1"/>
  <c r="Y273" i="32"/>
  <c r="Z273" i="32" s="1"/>
  <c r="AA273" i="32" s="1"/>
  <c r="Y120" i="32"/>
  <c r="Z120" i="32" s="1"/>
  <c r="AA120" i="32" s="1"/>
  <c r="Y228" i="32"/>
  <c r="Z228" i="32" s="1"/>
  <c r="AA228" i="32" s="1"/>
  <c r="Y269" i="32"/>
  <c r="Z269" i="32" s="1"/>
  <c r="AA269" i="32" s="1"/>
  <c r="Y367" i="32"/>
  <c r="Z367" i="32" s="1"/>
  <c r="AA367" i="32" s="1"/>
  <c r="Y322" i="32"/>
  <c r="Z322" i="32" s="1"/>
  <c r="AA322" i="32" s="1"/>
  <c r="Y291" i="32"/>
  <c r="Z291" i="32" s="1"/>
  <c r="AA291" i="32" s="1"/>
  <c r="Y318" i="32"/>
  <c r="Z318" i="32" s="1"/>
  <c r="AA318" i="32" s="1"/>
  <c r="Y75" i="32"/>
  <c r="Z75" i="32" s="1"/>
  <c r="AA75" i="32" s="1"/>
  <c r="Y217" i="32"/>
  <c r="Z217" i="32" s="1"/>
  <c r="AA217" i="32" s="1"/>
  <c r="Y396" i="32"/>
  <c r="Z396" i="32" s="1"/>
  <c r="AA396" i="32" s="1"/>
  <c r="Y184" i="32"/>
  <c r="Z184" i="32" s="1"/>
  <c r="AA184" i="32" s="1"/>
  <c r="Y191" i="32"/>
  <c r="Z191" i="32" s="1"/>
  <c r="AA191" i="32" s="1"/>
  <c r="Y316" i="32"/>
  <c r="Z316" i="32" s="1"/>
  <c r="AA316" i="32" s="1"/>
  <c r="Y165" i="32"/>
  <c r="Z165" i="32" s="1"/>
  <c r="AA165" i="32" s="1"/>
  <c r="Z261" i="32"/>
  <c r="AA261" i="32" s="1"/>
  <c r="Y261" i="32"/>
  <c r="Y295" i="32"/>
  <c r="Z295" i="32" s="1"/>
  <c r="AA295" i="32" s="1"/>
  <c r="Y53" i="32"/>
  <c r="Z53" i="32" s="1"/>
  <c r="AA53" i="32" s="1"/>
  <c r="Y307" i="32"/>
  <c r="Z307" i="32" s="1"/>
  <c r="AA307" i="32" s="1"/>
  <c r="Y264" i="32"/>
  <c r="Z264" i="32"/>
  <c r="AA264" i="32" s="1"/>
  <c r="Y97" i="32"/>
  <c r="Z97" i="32" s="1"/>
  <c r="AA97" i="32" s="1"/>
  <c r="Y329" i="32"/>
  <c r="Z329" i="32" s="1"/>
  <c r="AA329" i="32" s="1"/>
  <c r="Y8" i="32"/>
  <c r="Z8" i="32" s="1"/>
  <c r="AA8" i="32" s="1"/>
  <c r="Y306" i="32"/>
  <c r="Z306" i="32" s="1"/>
  <c r="AA306" i="32" s="1"/>
  <c r="Y266" i="32"/>
  <c r="Z266" i="32" s="1"/>
  <c r="AA266" i="32" s="1"/>
  <c r="Y139" i="32"/>
  <c r="Z139" i="32" s="1"/>
  <c r="AA139" i="32" s="1"/>
  <c r="Y249" i="32"/>
  <c r="Z249" i="32" s="1"/>
  <c r="AA249" i="32" s="1"/>
  <c r="Y218" i="32"/>
  <c r="Z218" i="32" s="1"/>
  <c r="AA218" i="32" s="1"/>
  <c r="Y131" i="32"/>
  <c r="Z131" i="32" s="1"/>
  <c r="AA131" i="32" s="1"/>
  <c r="Y245" i="32"/>
  <c r="Z245" i="32" s="1"/>
  <c r="AA245" i="32" s="1"/>
  <c r="Y247" i="32"/>
  <c r="Z247" i="32" s="1"/>
  <c r="AA247" i="32" s="1"/>
  <c r="Y204" i="32"/>
  <c r="Z204" i="32" s="1"/>
  <c r="AA204" i="32" s="1"/>
  <c r="Y267" i="32"/>
  <c r="Z267" i="32" s="1"/>
  <c r="AA267" i="32" s="1"/>
  <c r="Y344" i="32"/>
  <c r="Z344" i="32" s="1"/>
  <c r="AA344" i="32" s="1"/>
  <c r="Y27" i="32"/>
  <c r="Z27" i="32" s="1"/>
  <c r="AA27" i="32" s="1"/>
  <c r="Y193" i="32"/>
  <c r="Z193" i="32" s="1"/>
  <c r="AA193" i="32" s="1"/>
  <c r="Y308" i="32"/>
  <c r="Z308" i="32" s="1"/>
  <c r="AA308" i="32" s="1"/>
  <c r="Y158" i="32"/>
  <c r="Z158" i="32" s="1"/>
  <c r="AA158" i="32" s="1"/>
  <c r="Y142" i="32"/>
  <c r="Z142" i="32" s="1"/>
  <c r="AA142" i="32" s="1"/>
  <c r="Y400" i="32"/>
  <c r="Z400" i="32" s="1"/>
  <c r="AA400" i="32" s="1"/>
  <c r="Y115" i="32"/>
  <c r="Z115" i="32" s="1"/>
  <c r="AA115" i="32" s="1"/>
  <c r="Y237" i="32"/>
  <c r="Z237" i="32" s="1"/>
  <c r="AA237" i="32" s="1"/>
  <c r="Y94" i="32"/>
  <c r="Z94" i="32" s="1"/>
  <c r="AA94" i="32" s="1"/>
  <c r="Y226" i="32"/>
  <c r="Z226" i="32" s="1"/>
  <c r="AA226" i="32" s="1"/>
  <c r="Y283" i="32"/>
  <c r="Z283" i="32" s="1"/>
  <c r="AA283" i="32" s="1"/>
  <c r="Y391" i="32"/>
  <c r="Z391" i="32" s="1"/>
  <c r="AA391" i="32" s="1"/>
  <c r="Y49" i="32"/>
  <c r="Z49" i="32" s="1"/>
  <c r="AA49" i="32" s="1"/>
  <c r="Y305" i="32"/>
  <c r="Z305" i="32" s="1"/>
  <c r="AA305" i="32" s="1"/>
  <c r="Y372" i="32"/>
  <c r="Z372" i="32" s="1"/>
  <c r="AA372" i="32" s="1"/>
  <c r="Y200" i="32"/>
  <c r="Z200" i="32" s="1"/>
  <c r="AA200" i="32" s="1"/>
  <c r="Y375" i="32"/>
  <c r="Z375" i="32" s="1"/>
  <c r="AA375" i="32" s="1"/>
  <c r="Y72" i="32"/>
  <c r="Z72" i="32" s="1"/>
  <c r="AA72" i="32" s="1"/>
  <c r="Y380" i="32"/>
  <c r="Z380" i="32" s="1"/>
  <c r="AA380" i="32" s="1"/>
  <c r="Y91" i="32"/>
  <c r="Z91" i="32" s="1"/>
  <c r="AA91" i="32" s="1"/>
  <c r="Y225" i="32"/>
  <c r="Z225" i="32" s="1"/>
  <c r="AA225" i="32" s="1"/>
  <c r="Y350" i="32"/>
  <c r="Z350" i="32" s="1"/>
  <c r="AA350" i="32" s="1"/>
  <c r="Y83" i="32"/>
  <c r="Z83" i="32" s="1"/>
  <c r="AA83" i="32" s="1"/>
  <c r="Y221" i="32"/>
  <c r="Z221" i="32" s="1"/>
  <c r="AA221" i="32" s="1"/>
  <c r="Y262" i="32"/>
  <c r="Z262" i="32" s="1"/>
  <c r="AA262" i="32" s="1"/>
  <c r="Y127" i="32"/>
  <c r="Z127" i="32" s="1"/>
  <c r="AA127" i="32" s="1"/>
  <c r="Y243" i="32"/>
  <c r="Z243" i="32" s="1"/>
  <c r="AA243" i="32" s="1"/>
  <c r="Y324" i="32"/>
  <c r="Z324" i="32" s="1"/>
  <c r="AA324" i="32" s="1"/>
  <c r="Y161" i="32"/>
  <c r="Z161" i="32" s="1"/>
  <c r="AA161" i="32" s="1"/>
  <c r="Y148" i="32"/>
  <c r="Z148" i="32" s="1"/>
  <c r="AA148" i="32" s="1"/>
  <c r="Y210" i="32"/>
  <c r="Z210" i="32" s="1"/>
  <c r="AA210" i="32" s="1"/>
  <c r="Y86" i="32"/>
  <c r="Z86" i="32" s="1"/>
  <c r="AA86" i="32" s="1"/>
  <c r="Y70" i="32"/>
  <c r="Z70" i="32" s="1"/>
  <c r="AA70" i="32" s="1"/>
  <c r="Y402" i="32"/>
  <c r="Z402" i="32" s="1"/>
  <c r="AA402" i="32" s="1"/>
  <c r="Y67" i="32"/>
  <c r="Z67" i="32" s="1"/>
  <c r="AA67" i="32" s="1"/>
  <c r="Y213" i="32"/>
  <c r="Z213" i="32" s="1"/>
  <c r="AA213" i="32" s="1"/>
  <c r="Y332" i="32"/>
  <c r="Z332" i="32" s="1"/>
  <c r="AA332" i="32" s="1"/>
  <c r="Y159" i="32"/>
  <c r="Z159" i="32" s="1"/>
  <c r="AA159" i="32" s="1"/>
  <c r="Y259" i="32"/>
  <c r="Z259" i="32" s="1"/>
  <c r="AA259" i="32" s="1"/>
  <c r="Y5" i="32"/>
  <c r="Z5" i="32" s="1"/>
  <c r="AA5" i="32" s="1"/>
  <c r="Y202" i="32"/>
  <c r="Z202" i="32" s="1"/>
  <c r="AA202" i="32" s="1"/>
  <c r="Y281" i="32"/>
  <c r="Z281" i="32" s="1"/>
  <c r="AA281" i="32" s="1"/>
  <c r="Y87" i="32"/>
  <c r="Z87" i="32" s="1"/>
  <c r="AA87" i="32" s="1"/>
  <c r="Y141" i="32"/>
  <c r="Z141" i="32" s="1"/>
  <c r="AA141" i="32" s="1"/>
  <c r="Y394" i="32"/>
  <c r="Z394" i="32" s="1"/>
  <c r="AA394" i="32" s="1"/>
  <c r="Y254" i="32"/>
  <c r="Z254" i="32" s="1"/>
  <c r="AA254" i="32" s="1"/>
  <c r="Y201" i="32"/>
  <c r="Z201" i="32" s="1"/>
  <c r="AA201" i="32" s="1"/>
  <c r="Y362" i="32"/>
  <c r="Z362" i="32" s="1"/>
  <c r="AA362" i="32" s="1"/>
  <c r="Y206" i="32"/>
  <c r="Z206" i="32" s="1"/>
  <c r="AA206" i="32" s="1"/>
  <c r="Y197" i="32"/>
  <c r="Z197" i="32" s="1"/>
  <c r="AA197" i="32" s="1"/>
  <c r="Y334" i="32"/>
  <c r="Z334" i="32" s="1"/>
  <c r="AA334" i="32" s="1"/>
  <c r="Y79" i="32"/>
  <c r="Z79" i="32" s="1"/>
  <c r="AA79" i="32" s="1"/>
  <c r="Y219" i="32"/>
  <c r="Z219" i="32" s="1"/>
  <c r="AA219" i="32" s="1"/>
  <c r="Y276" i="32"/>
  <c r="Z276" i="32" s="1"/>
  <c r="AA276" i="32" s="1"/>
  <c r="Y92" i="32"/>
  <c r="Z92" i="32" s="1"/>
  <c r="AA92" i="32" s="1"/>
  <c r="Y76" i="32"/>
  <c r="Z76" i="32" s="1"/>
  <c r="AA76" i="32" s="1"/>
  <c r="Y290" i="32"/>
  <c r="Z290" i="32" s="1"/>
  <c r="AA290" i="32" s="1"/>
  <c r="Y29" i="32"/>
  <c r="Z29" i="32" s="1"/>
  <c r="AA29" i="32" s="1"/>
  <c r="Y25" i="32"/>
  <c r="Z25" i="32" s="1"/>
  <c r="AA25" i="32" s="1"/>
  <c r="Y354" i="32"/>
  <c r="Z354" i="32"/>
  <c r="AA354" i="32" s="1"/>
  <c r="Y170" i="32"/>
  <c r="Z170" i="32" s="1"/>
  <c r="AA170" i="32" s="1"/>
  <c r="Y189" i="32"/>
  <c r="Z189" i="32" s="1"/>
  <c r="AA189" i="32" s="1"/>
  <c r="Y378" i="32"/>
  <c r="Z378" i="32" s="1"/>
  <c r="AA378" i="32" s="1"/>
  <c r="Y111" i="32"/>
  <c r="Z111" i="32" s="1"/>
  <c r="AA111" i="32" s="1"/>
  <c r="Y235" i="32"/>
  <c r="Z235" i="32" s="1"/>
  <c r="AA235" i="32" s="1"/>
  <c r="Y340" i="32"/>
  <c r="Z340" i="32" s="1"/>
  <c r="AA340" i="32" s="1"/>
  <c r="Y155" i="32"/>
  <c r="Z155" i="32" s="1"/>
  <c r="AA155" i="32" s="1"/>
  <c r="Y257" i="32"/>
  <c r="Z257" i="32" s="1"/>
  <c r="AA257" i="32" s="1"/>
  <c r="Y300" i="32"/>
  <c r="Z300" i="32" s="1"/>
  <c r="AA300" i="32" s="1"/>
  <c r="Y167" i="32"/>
  <c r="Z167" i="32" s="1"/>
  <c r="AA167" i="32" s="1"/>
  <c r="Y177" i="32"/>
  <c r="Z177" i="32" s="1"/>
  <c r="AA177" i="32" s="1"/>
  <c r="Y364" i="32"/>
  <c r="Z364" i="32" s="1"/>
  <c r="AA364" i="32" s="1"/>
  <c r="Y169" i="32"/>
  <c r="Z169" i="32" s="1"/>
  <c r="AA169" i="32" s="1"/>
  <c r="Y173" i="32"/>
  <c r="Z173" i="32" s="1"/>
  <c r="AA173" i="32" s="1"/>
  <c r="Y352" i="32"/>
  <c r="Z352" i="32" s="1"/>
  <c r="AA352" i="32" s="1"/>
  <c r="Y182" i="32"/>
  <c r="Z182" i="32" s="1"/>
  <c r="AA182" i="32" s="1"/>
  <c r="Y195" i="32"/>
  <c r="Z195" i="32" s="1"/>
  <c r="AA195" i="32" s="1"/>
  <c r="Y336" i="32"/>
  <c r="Z336" i="32" s="1"/>
  <c r="AA336" i="32" s="1"/>
  <c r="Y20" i="32"/>
  <c r="Z20" i="32" s="1"/>
  <c r="AA20" i="32" s="1"/>
  <c r="Y31" i="32"/>
  <c r="Z31" i="32" s="1"/>
  <c r="AA31" i="32" s="1"/>
  <c r="Y234" i="32"/>
  <c r="Z234" i="32" s="1"/>
  <c r="AA234" i="32" s="1"/>
  <c r="Y383" i="32"/>
  <c r="Z383" i="32" s="1"/>
  <c r="AA383" i="32" s="1"/>
  <c r="Y96" i="32"/>
  <c r="Z96" i="32" s="1"/>
  <c r="AA96" i="32" s="1"/>
  <c r="Y398" i="32"/>
  <c r="Z398" i="32" s="1"/>
  <c r="AA398" i="32" s="1"/>
  <c r="Y152" i="32"/>
  <c r="Z152" i="32" s="1"/>
  <c r="AA152" i="32" s="1"/>
  <c r="Y136" i="32"/>
  <c r="Z136" i="32" s="1"/>
  <c r="AA136" i="32" s="1"/>
  <c r="Y370" i="32"/>
  <c r="Z370" i="32" s="1"/>
  <c r="AA370" i="32" s="1"/>
  <c r="Y63" i="32"/>
  <c r="Z63" i="32" s="1"/>
  <c r="AA63" i="32" s="1"/>
  <c r="Y211" i="32"/>
  <c r="Z211" i="32" s="1"/>
  <c r="AA211" i="32" s="1"/>
  <c r="Y326" i="32"/>
  <c r="Z326" i="32" s="1"/>
  <c r="AA326" i="32" s="1"/>
  <c r="Y107" i="32"/>
  <c r="Z107" i="32" s="1"/>
  <c r="AA107" i="32" s="1"/>
  <c r="Y233" i="32"/>
  <c r="Z233" i="32" s="1"/>
  <c r="AA233" i="32" s="1"/>
  <c r="Y199" i="32"/>
  <c r="Z199" i="32" s="1"/>
  <c r="AA199" i="32" s="1"/>
  <c r="Y35" i="32"/>
  <c r="Z35" i="32" s="1"/>
  <c r="AA35" i="32" s="1"/>
  <c r="Y280" i="32"/>
  <c r="Z280" i="32" s="1"/>
  <c r="AA280" i="32" s="1"/>
  <c r="Y116" i="32"/>
  <c r="Z116" i="32" s="1"/>
  <c r="AA116" i="32" s="1"/>
  <c r="Y100" i="32"/>
  <c r="Z100" i="32" s="1"/>
  <c r="AA100" i="32" s="1"/>
  <c r="Y242" i="32"/>
  <c r="Z242" i="32" s="1"/>
  <c r="AA242" i="32" s="1"/>
  <c r="Y104" i="32"/>
  <c r="Z104" i="32" s="1"/>
  <c r="AA104" i="32" s="1"/>
  <c r="Y88" i="32"/>
  <c r="Z88" i="32" s="1"/>
  <c r="AA88" i="32" s="1"/>
  <c r="Y330" i="32"/>
  <c r="Z330" i="32" s="1"/>
  <c r="AA330" i="32" s="1"/>
  <c r="Y166" i="32"/>
  <c r="Z166" i="32" s="1"/>
  <c r="AA166" i="32" s="1"/>
  <c r="Y154" i="32"/>
  <c r="Z154" i="32" s="1"/>
  <c r="AA154" i="32" s="1"/>
  <c r="Y246" i="32"/>
  <c r="Z246" i="32" s="1"/>
  <c r="AA246" i="32" s="1"/>
  <c r="Y385" i="32"/>
  <c r="Z385" i="32" s="1"/>
  <c r="AA385" i="32" s="1"/>
  <c r="Y102" i="32"/>
  <c r="Z102" i="32" s="1"/>
  <c r="AA102" i="32" s="1"/>
  <c r="Y157" i="32"/>
  <c r="Z157" i="32" s="1"/>
  <c r="AA157" i="32" s="1"/>
  <c r="Y359" i="32"/>
  <c r="Z359" i="32" s="1"/>
  <c r="AA359" i="32" s="1"/>
  <c r="Y24" i="32"/>
  <c r="Z24" i="32" s="1"/>
  <c r="AA24" i="32" s="1"/>
  <c r="Y312" i="32"/>
  <c r="Z312" i="32" s="1"/>
  <c r="AA312" i="32" s="1"/>
  <c r="Y80" i="32"/>
  <c r="Z80" i="32" s="1"/>
  <c r="AA80" i="32" s="1"/>
  <c r="Y64" i="32"/>
  <c r="Z64" i="32" s="1"/>
  <c r="AA64" i="32" s="1"/>
  <c r="Y346" i="32"/>
  <c r="Z346" i="32" s="1"/>
  <c r="AA346" i="32" s="1"/>
  <c r="Y164" i="32"/>
  <c r="Z164" i="32" s="1"/>
  <c r="AA164" i="32" s="1"/>
  <c r="Y187" i="32"/>
  <c r="Z187" i="32" s="1"/>
  <c r="AA187" i="32" s="1"/>
  <c r="Y342" i="32"/>
  <c r="Z342" i="32" s="1"/>
  <c r="AA342" i="32" s="1"/>
  <c r="Y59" i="32"/>
  <c r="Z59" i="32" s="1"/>
  <c r="AA59" i="32" s="1"/>
  <c r="Y209" i="32"/>
  <c r="Z209" i="32" s="1"/>
  <c r="AA209" i="32" s="1"/>
  <c r="Y366" i="32"/>
  <c r="Z366" i="32" s="1"/>
  <c r="AA366" i="32" s="1"/>
  <c r="Y178" i="32"/>
  <c r="Z178" i="32" s="1"/>
  <c r="AA178" i="32" s="1"/>
  <c r="Y320" i="32"/>
  <c r="Z320" i="32" s="1"/>
  <c r="AA320" i="32" s="1"/>
  <c r="Y44" i="32"/>
  <c r="Z44" i="32" s="1"/>
  <c r="AA44" i="32" s="1"/>
  <c r="Y28" i="32"/>
  <c r="Z28" i="32" s="1"/>
  <c r="AA28" i="32" s="1"/>
  <c r="Y382" i="32"/>
  <c r="Z382" i="32" s="1"/>
  <c r="AA382" i="32" s="1"/>
  <c r="Y32" i="32"/>
  <c r="Z32" i="32" s="1"/>
  <c r="AA32" i="32" s="1"/>
  <c r="Y43" i="32"/>
  <c r="Z43" i="32" s="1"/>
  <c r="AA43" i="32" s="1"/>
  <c r="Y282" i="32"/>
  <c r="Z282" i="32" s="1"/>
  <c r="AA282" i="32" s="1"/>
  <c r="Y98" i="32"/>
  <c r="Z98" i="32" s="1"/>
  <c r="AA98" i="32" s="1"/>
  <c r="Y82" i="32"/>
  <c r="Z82" i="32" s="1"/>
  <c r="AA82" i="32" s="1"/>
  <c r="Y192" i="32"/>
  <c r="Z192" i="32" s="1"/>
  <c r="AA192" i="32" s="1"/>
  <c r="Y361" i="32"/>
  <c r="Z361" i="32" s="1"/>
  <c r="AA361" i="32" s="1"/>
  <c r="Y30" i="32"/>
  <c r="Z30" i="32" s="1"/>
  <c r="AA30" i="32" s="1"/>
  <c r="Y109" i="32"/>
  <c r="Z109" i="32" s="1"/>
  <c r="AA109" i="32" s="1"/>
  <c r="Y335" i="32"/>
  <c r="Z335" i="32" s="1"/>
  <c r="AA335" i="32" s="1"/>
  <c r="Y14" i="32"/>
  <c r="Z14" i="32" s="1"/>
  <c r="AA14" i="32" s="1"/>
  <c r="Y278" i="32"/>
  <c r="Z278" i="32" s="1"/>
  <c r="AA278" i="32" s="1"/>
  <c r="Y23" i="32"/>
  <c r="Z23" i="32" s="1"/>
  <c r="AA23" i="32" s="1"/>
  <c r="Y19" i="32"/>
  <c r="Z19" i="32" s="1"/>
  <c r="AA19" i="32" s="1"/>
  <c r="Y348" i="32"/>
  <c r="Z348" i="32" s="1"/>
  <c r="AA348" i="32" s="1"/>
  <c r="Y146" i="32"/>
  <c r="Z146" i="32" s="1"/>
  <c r="AA146" i="32" s="1"/>
  <c r="Y130" i="32"/>
  <c r="Z130" i="32" s="1"/>
  <c r="AA130" i="32" s="1"/>
  <c r="Y386" i="32"/>
  <c r="Z386" i="32" s="1"/>
  <c r="AA386" i="32" s="1"/>
  <c r="Y41" i="32"/>
  <c r="Z41" i="32" s="1"/>
  <c r="AA41" i="32" s="1"/>
  <c r="Y185" i="32"/>
  <c r="Z185" i="32" s="1"/>
  <c r="AA185" i="32" s="1"/>
  <c r="Y284" i="32"/>
  <c r="Z284" i="32" s="1"/>
  <c r="AA284" i="32" s="1"/>
  <c r="Y151" i="32"/>
  <c r="Z151" i="32" s="1"/>
  <c r="AA151" i="32" s="1"/>
  <c r="Y198" i="32"/>
  <c r="Z198" i="32" s="1"/>
  <c r="AA198" i="32" s="1"/>
  <c r="Y393" i="32"/>
  <c r="Z393" i="32" s="1"/>
  <c r="AA393" i="32" s="1"/>
  <c r="Y126" i="32"/>
  <c r="Z126" i="32" s="1"/>
  <c r="AA126" i="32" s="1"/>
  <c r="Y186" i="32"/>
  <c r="Z186" i="32" s="1"/>
  <c r="AA186" i="32" s="1"/>
  <c r="Y389" i="32"/>
  <c r="Z389" i="32" s="1"/>
  <c r="AA389" i="32" s="1"/>
  <c r="Y114" i="32"/>
  <c r="Z114" i="32" s="1"/>
  <c r="AA114" i="32" s="1"/>
  <c r="Y358" i="32"/>
  <c r="Z358" i="32" s="1"/>
  <c r="AA358" i="32" s="1"/>
  <c r="Y26" i="32"/>
  <c r="Z26" i="32" s="1"/>
  <c r="AA26" i="32" s="1"/>
  <c r="Y37" i="32"/>
  <c r="Z37" i="32" s="1"/>
  <c r="AA37" i="32" s="1"/>
  <c r="Y113" i="32"/>
  <c r="Z113" i="32" s="1"/>
  <c r="AA113" i="32" s="1"/>
  <c r="Y337" i="32"/>
  <c r="Z337" i="32" s="1"/>
  <c r="AA337" i="32" s="1"/>
  <c r="Y16" i="32"/>
  <c r="Z16" i="32" s="1"/>
  <c r="AA16" i="32" s="1"/>
  <c r="Y61" i="32"/>
  <c r="Z61" i="32" s="1"/>
  <c r="AA61" i="32" s="1"/>
  <c r="Y311" i="32"/>
  <c r="Z311" i="32" s="1"/>
  <c r="AA311" i="32" s="1"/>
  <c r="Y258" i="32"/>
  <c r="Z258" i="32" s="1"/>
  <c r="AA258" i="32" s="1"/>
  <c r="Y256" i="32"/>
  <c r="Z256" i="32" s="1"/>
  <c r="AA256" i="32" s="1"/>
  <c r="Y381" i="32"/>
  <c r="Z381" i="32" s="1"/>
  <c r="AA381" i="32" s="1"/>
  <c r="Y90" i="32"/>
  <c r="Z90" i="32" s="1"/>
  <c r="AA90" i="32" s="1"/>
  <c r="Y270" i="32"/>
  <c r="Z270" i="32" s="1"/>
  <c r="AA270" i="32" s="1"/>
  <c r="Y74" i="32"/>
  <c r="Z74" i="32" s="1"/>
  <c r="AA74" i="32" s="1"/>
  <c r="Y58" i="32"/>
  <c r="Z58" i="32" s="1"/>
  <c r="AA58" i="32" s="1"/>
  <c r="Y286" i="32"/>
  <c r="Z286" i="32" s="1"/>
  <c r="AA286" i="32" s="1"/>
  <c r="Y140" i="32"/>
  <c r="Z140" i="32" s="1"/>
  <c r="AA140" i="32" s="1"/>
  <c r="Y124" i="32"/>
  <c r="Z124" i="32" s="1"/>
  <c r="AA124" i="32" s="1"/>
  <c r="Y310" i="32"/>
  <c r="Z310" i="32" s="1"/>
  <c r="AA310" i="32" s="1"/>
  <c r="Y103" i="32"/>
  <c r="Z103" i="32" s="1"/>
  <c r="AA103" i="32" s="1"/>
  <c r="Y231" i="32"/>
  <c r="Z231" i="32" s="1"/>
  <c r="AA231" i="32" s="1"/>
  <c r="Y188" i="32"/>
  <c r="Z188" i="32" s="1"/>
  <c r="AA188" i="32" s="1"/>
  <c r="Y369" i="32"/>
  <c r="Z369" i="32" s="1"/>
  <c r="AA369" i="32" s="1"/>
  <c r="Y54" i="32"/>
  <c r="Z54" i="32" s="1"/>
  <c r="AA54" i="32" s="1"/>
  <c r="Y240" i="32"/>
  <c r="Z240" i="32" s="1"/>
  <c r="AA240" i="32" s="1"/>
  <c r="Y365" i="32"/>
  <c r="Z365" i="32" s="1"/>
  <c r="AA365" i="32" s="1"/>
  <c r="Y42" i="32"/>
  <c r="Z42" i="32" s="1"/>
  <c r="AA42" i="32" s="1"/>
  <c r="Y160" i="32"/>
  <c r="Z160" i="32" s="1"/>
  <c r="AA160" i="32" s="1"/>
  <c r="Y387" i="32"/>
  <c r="Z387" i="32" s="1"/>
  <c r="AA387" i="32" s="1"/>
  <c r="Y108" i="32"/>
  <c r="Z108" i="32" s="1"/>
  <c r="AA108" i="32" s="1"/>
  <c r="Y65" i="32"/>
  <c r="Z65" i="32" s="1"/>
  <c r="AA65" i="32" s="1"/>
  <c r="Y313" i="32"/>
  <c r="Z313" i="32" s="1"/>
  <c r="AA313" i="32" s="1"/>
  <c r="Y272" i="32"/>
  <c r="Z272" i="32" s="1"/>
  <c r="AA272" i="32" s="1"/>
  <c r="Y274" i="32"/>
  <c r="Z274" i="32" s="1"/>
  <c r="AA274" i="32" s="1"/>
  <c r="Y287" i="32"/>
  <c r="Z287" i="32" s="1"/>
  <c r="AA287" i="32" s="1"/>
  <c r="Y135" i="32"/>
  <c r="Z135" i="32" s="1"/>
  <c r="AA135" i="32" s="1"/>
  <c r="Y153" i="32"/>
  <c r="Z153" i="32" s="1"/>
  <c r="AA153" i="32" s="1"/>
  <c r="Y357" i="32"/>
  <c r="Z357" i="32" s="1"/>
  <c r="AA357" i="32" s="1"/>
  <c r="Y21" i="32"/>
  <c r="Z21" i="32" s="1"/>
  <c r="AA21" i="32" s="1"/>
  <c r="Y384" i="32"/>
  <c r="Z384" i="32" s="1"/>
  <c r="AA384" i="32" s="1"/>
  <c r="Y129" i="32"/>
  <c r="Z129" i="32" s="1"/>
  <c r="AA129" i="32" s="1"/>
  <c r="Y345" i="32"/>
  <c r="Z345" i="32" s="1"/>
  <c r="AA345" i="32" s="1"/>
  <c r="Y7" i="32"/>
  <c r="Z7" i="32" s="1"/>
  <c r="AA7" i="32" s="1"/>
  <c r="Y121" i="32"/>
  <c r="Z121" i="32" s="1"/>
  <c r="AA121" i="32" s="1"/>
  <c r="Y341" i="32"/>
  <c r="Z341" i="32" s="1"/>
  <c r="AA341" i="32" s="1"/>
  <c r="Y3" i="32"/>
  <c r="Z3" i="32" s="1"/>
  <c r="AA3" i="32" s="1"/>
  <c r="Y216" i="32"/>
  <c r="Z216" i="32" s="1"/>
  <c r="AA216" i="32" s="1"/>
  <c r="Y363" i="32"/>
  <c r="Z363" i="32" s="1"/>
  <c r="AA363" i="32" s="1"/>
  <c r="Y36" i="32"/>
  <c r="Z36" i="32" s="1"/>
  <c r="AA36" i="32" s="1"/>
  <c r="Y298" i="32"/>
  <c r="Z298" i="32" s="1"/>
  <c r="AA298" i="32" s="1"/>
  <c r="Y289" i="32"/>
  <c r="Z289" i="32" s="1"/>
  <c r="AA289" i="32" s="1"/>
  <c r="Y45" i="32"/>
  <c r="Z45" i="32" s="1"/>
  <c r="AA45" i="32" s="1"/>
  <c r="Y171" i="32"/>
  <c r="Z171" i="32" s="1"/>
  <c r="AA171" i="32" s="1"/>
  <c r="Y263" i="32"/>
  <c r="Z263" i="32" s="1"/>
  <c r="AA263" i="32" s="1"/>
  <c r="Y319" i="32"/>
  <c r="Z319" i="32" s="1"/>
  <c r="AA319" i="32" s="1"/>
  <c r="Y105" i="32"/>
  <c r="Z105" i="32" s="1"/>
  <c r="AA105" i="32" s="1"/>
  <c r="Y333" i="32"/>
  <c r="Z333" i="32" s="1"/>
  <c r="AA333" i="32" s="1"/>
  <c r="Y12" i="32"/>
  <c r="Z12" i="32" s="1"/>
  <c r="AA12" i="32" s="1"/>
  <c r="Y248" i="32"/>
  <c r="Z248" i="32" s="1"/>
  <c r="AA248" i="32" s="1"/>
  <c r="Y379" i="32"/>
  <c r="Z379" i="32" s="1"/>
  <c r="AA379" i="32" s="1"/>
  <c r="Y84" i="32"/>
  <c r="Z84" i="32" s="1"/>
  <c r="AA84" i="32" s="1"/>
  <c r="Y360" i="32"/>
  <c r="Z360" i="32" s="1"/>
  <c r="AA360" i="32" s="1"/>
  <c r="Y401" i="32"/>
  <c r="Z401" i="32" s="1"/>
  <c r="AA401" i="32" s="1"/>
  <c r="Y150" i="32"/>
  <c r="Z150" i="32" s="1"/>
  <c r="AA150" i="32" s="1"/>
  <c r="Y81" i="32"/>
  <c r="Z81" i="32" s="1"/>
  <c r="AA81" i="32" s="1"/>
  <c r="Y321" i="32"/>
  <c r="Z321" i="32" s="1"/>
  <c r="AA321" i="32" s="1"/>
  <c r="Y77" i="32"/>
  <c r="Z77" i="32" s="1"/>
  <c r="AA77" i="32" s="1"/>
  <c r="Y73" i="32"/>
  <c r="Z73" i="32" s="1"/>
  <c r="AA73" i="32" s="1"/>
  <c r="Y317" i="32"/>
  <c r="Z317" i="32" s="1"/>
  <c r="AA317" i="32" s="1"/>
  <c r="Y244" i="32"/>
  <c r="Z244" i="32" s="1"/>
  <c r="AA244" i="32" s="1"/>
  <c r="Y117" i="32"/>
  <c r="Z117" i="32" s="1"/>
  <c r="AA117" i="32" s="1"/>
  <c r="Y339" i="32"/>
  <c r="Z339" i="32" s="1"/>
  <c r="AA339" i="32" s="1"/>
  <c r="Y18" i="32"/>
  <c r="Z18" i="32" s="1"/>
  <c r="AA18" i="32" s="1"/>
  <c r="Y180" i="32"/>
  <c r="Z180" i="32" s="1"/>
  <c r="AA180" i="32" s="1"/>
  <c r="Y265" i="32"/>
  <c r="Z265" i="32" s="1"/>
  <c r="AA265" i="32" s="1"/>
  <c r="Y22" i="32"/>
  <c r="Z22" i="32" s="1"/>
  <c r="AA22" i="32" s="1"/>
  <c r="Y119" i="32"/>
  <c r="Z119" i="32" s="1"/>
  <c r="AA119" i="32" s="1"/>
  <c r="Y239" i="32"/>
  <c r="Z239" i="32" s="1"/>
  <c r="AA239" i="32" s="1"/>
  <c r="Y175" i="32"/>
  <c r="Z175" i="32" s="1"/>
  <c r="AA175" i="32" s="1"/>
  <c r="Y57" i="32"/>
  <c r="Z57" i="32" s="1"/>
  <c r="AA57" i="32" s="1"/>
  <c r="Y309" i="32"/>
  <c r="Z309" i="32" s="1"/>
  <c r="AA309" i="32" s="1"/>
  <c r="Y368" i="32"/>
  <c r="Z368" i="32" s="1"/>
  <c r="AA368" i="32" s="1"/>
  <c r="Y149" i="32"/>
  <c r="Z149" i="32" s="1"/>
  <c r="AA149" i="32" s="1"/>
  <c r="Y355" i="32"/>
  <c r="Z355" i="32" s="1"/>
  <c r="AA355" i="32" s="1"/>
  <c r="Y17" i="32"/>
  <c r="Z17" i="32" s="1"/>
  <c r="AA17" i="32" s="1"/>
  <c r="Y236" i="32"/>
  <c r="Z236" i="32" s="1"/>
  <c r="AA236" i="32" s="1"/>
  <c r="Y194" i="32"/>
  <c r="Z194" i="32" s="1"/>
  <c r="AA194" i="32" s="1"/>
  <c r="Y174" i="32"/>
  <c r="Z174" i="32" s="1"/>
  <c r="AA174" i="32" s="1"/>
  <c r="Y297" i="32"/>
  <c r="Z297" i="32" s="1"/>
  <c r="AA297" i="32" s="1"/>
  <c r="Y343" i="32"/>
  <c r="Z343" i="32" s="1"/>
  <c r="AA343" i="32" s="1"/>
  <c r="Y176" i="32"/>
  <c r="Z176" i="32" s="1"/>
  <c r="AA176" i="32" s="1"/>
  <c r="Y293" i="32"/>
  <c r="Z293" i="32" s="1"/>
  <c r="AA293" i="32" s="1"/>
  <c r="Y39" i="32"/>
  <c r="Z39" i="32" s="1"/>
  <c r="AA39" i="32" s="1"/>
  <c r="Y69" i="32"/>
  <c r="Z69" i="32" s="1"/>
  <c r="AA69" i="32" s="1"/>
  <c r="Y315" i="32"/>
  <c r="Z315" i="32" s="1"/>
  <c r="AA315" i="32" s="1"/>
  <c r="Y222" i="32"/>
  <c r="Z222" i="32" s="1"/>
  <c r="AA222" i="32" s="1"/>
  <c r="Y123" i="32"/>
  <c r="Z123" i="32" s="1"/>
  <c r="AA123" i="32" s="1"/>
  <c r="Y241" i="32"/>
  <c r="Z241" i="32" s="1"/>
  <c r="AA241" i="32" s="1"/>
  <c r="Y296" i="32"/>
  <c r="Z296" i="32" s="1"/>
  <c r="AA296" i="32" s="1"/>
  <c r="Y71" i="32"/>
  <c r="Z71" i="32" s="1"/>
  <c r="AA71" i="32" s="1"/>
  <c r="Y215" i="32"/>
  <c r="Z215" i="32" s="1"/>
  <c r="AA215" i="32" s="1"/>
  <c r="Y302" i="32"/>
  <c r="Z302" i="32" s="1"/>
  <c r="AA302" i="32" s="1"/>
  <c r="Y250" i="32"/>
  <c r="Z250" i="32" s="1"/>
  <c r="AA250" i="32" s="1"/>
  <c r="Y285" i="32"/>
  <c r="Z285" i="32" s="1"/>
  <c r="AA285" i="32" s="1"/>
  <c r="Y252" i="32"/>
  <c r="Z252" i="32" s="1"/>
  <c r="AA252" i="32" s="1"/>
  <c r="Y101" i="32"/>
  <c r="Z101" i="32" s="1"/>
  <c r="AA101" i="32" s="1"/>
  <c r="Y331" i="32"/>
  <c r="Z331" i="32" s="1"/>
  <c r="AA331" i="32" s="1"/>
  <c r="Y10" i="32"/>
  <c r="Z10" i="32" s="1"/>
  <c r="AA10" i="32" s="1"/>
  <c r="Y145" i="32"/>
  <c r="Z145" i="32" s="1"/>
  <c r="AA145" i="32" s="1"/>
  <c r="Y353" i="32"/>
  <c r="Z353" i="32" s="1"/>
  <c r="AA353" i="32" s="1"/>
  <c r="Y15" i="32"/>
  <c r="Z15" i="32" s="1"/>
  <c r="AA15" i="32" s="1"/>
  <c r="Y208" i="32"/>
  <c r="Z208" i="32" s="1"/>
  <c r="AA208" i="32" s="1"/>
  <c r="Y62" i="32"/>
  <c r="Z62" i="32" s="1"/>
  <c r="AA62" i="32" s="1"/>
  <c r="Y46" i="32"/>
  <c r="Z46" i="32" s="1"/>
  <c r="AA46" i="32" s="1"/>
  <c r="Y172" i="32"/>
  <c r="Z172" i="32" s="1"/>
  <c r="AA172" i="32" s="1"/>
  <c r="Y56" i="32"/>
  <c r="Z56" i="32" s="1"/>
  <c r="AA56" i="32" s="1"/>
  <c r="Y40" i="32"/>
  <c r="Z40" i="32" s="1"/>
  <c r="AA40" i="32" s="1"/>
  <c r="Y314" i="32"/>
  <c r="Z314" i="32" s="1"/>
  <c r="AA314" i="32" s="1"/>
  <c r="Y190" i="32"/>
  <c r="Z190" i="32" s="1"/>
  <c r="AA190" i="32" s="1"/>
  <c r="Y179" i="32"/>
  <c r="Z179" i="32" s="1"/>
  <c r="AA179" i="32" s="1"/>
  <c r="Y399" i="32"/>
  <c r="Z399" i="32" s="1"/>
  <c r="AA399" i="32" s="1"/>
  <c r="Y144" i="32"/>
  <c r="Z144" i="32" s="1"/>
  <c r="AA144" i="32" s="1"/>
  <c r="Y268" i="32"/>
  <c r="Z268" i="32" s="1"/>
  <c r="AA268" i="32" s="1"/>
  <c r="Y397" i="32"/>
  <c r="Z397" i="32" s="1"/>
  <c r="AA397" i="32" s="1"/>
  <c r="Y138" i="32"/>
  <c r="Z138" i="32" s="1"/>
  <c r="AA138" i="32" s="1"/>
  <c r="Y294" i="32"/>
  <c r="Z294" i="32" s="1"/>
  <c r="AA294" i="32" s="1"/>
  <c r="Y122" i="32"/>
  <c r="Z122" i="32" s="1"/>
  <c r="AA122" i="32" s="1"/>
  <c r="Y106" i="32"/>
  <c r="Z106" i="32" s="1"/>
  <c r="AA106" i="32" s="1"/>
  <c r="Y224" i="32"/>
  <c r="Z224" i="32" s="1"/>
  <c r="AA224" i="32" s="1"/>
  <c r="Y373" i="32"/>
  <c r="Z373" i="32" s="1"/>
  <c r="AA373" i="32" s="1"/>
  <c r="Y66" i="32"/>
  <c r="Z66" i="32" s="1"/>
  <c r="AA66" i="32" s="1"/>
  <c r="Y356" i="32"/>
  <c r="Z356" i="32" s="1"/>
  <c r="AA356" i="32" s="1"/>
  <c r="Y50" i="32"/>
  <c r="Z50" i="32" s="1"/>
  <c r="AA50" i="32" s="1"/>
  <c r="Y34" i="32"/>
  <c r="Z34" i="32" s="1"/>
  <c r="AA34" i="32" s="1"/>
  <c r="Y351" i="32"/>
  <c r="Z351" i="32" s="1"/>
  <c r="AA351" i="32" s="1"/>
  <c r="Y13" i="32"/>
  <c r="Z13" i="32" s="1"/>
  <c r="AA13" i="32" s="1"/>
  <c r="Y137" i="32"/>
  <c r="Z137" i="32" s="1"/>
  <c r="AA137" i="32" s="1"/>
  <c r="Y349" i="32"/>
  <c r="Z349" i="32" s="1"/>
  <c r="AA349" i="32" s="1"/>
  <c r="Y11" i="32"/>
  <c r="Z11" i="32" s="1"/>
  <c r="AA11" i="32" s="1"/>
  <c r="Y260" i="32"/>
  <c r="Z260" i="32" s="1"/>
  <c r="AA260" i="32" s="1"/>
  <c r="Y395" i="32"/>
  <c r="Z395" i="32"/>
  <c r="AA395" i="32" s="1"/>
  <c r="Y132" i="32"/>
  <c r="Z132" i="32" s="1"/>
  <c r="AA132" i="32" s="1"/>
  <c r="Y271" i="32"/>
  <c r="Z271" i="32" s="1"/>
  <c r="AA271" i="32" s="1"/>
  <c r="Y93" i="32"/>
  <c r="Z93" i="32" s="1"/>
  <c r="AA93" i="32" s="1"/>
  <c r="Y327" i="32"/>
  <c r="Z327" i="32" s="1"/>
  <c r="AA327" i="32" s="1"/>
  <c r="Y6" i="32"/>
  <c r="Z6" i="32" s="1"/>
  <c r="AA6" i="32" s="1"/>
  <c r="Y89" i="32"/>
  <c r="Z89" i="32" s="1"/>
  <c r="AA89" i="32" s="1"/>
  <c r="Y325" i="32"/>
  <c r="Z325" i="32" s="1"/>
  <c r="AA325" i="32" s="1"/>
  <c r="Y4" i="32"/>
  <c r="Z4" i="32" s="1"/>
  <c r="AA4" i="32" s="1"/>
  <c r="Y212" i="32"/>
  <c r="Z212" i="32" s="1"/>
  <c r="AA212" i="32" s="1"/>
  <c r="Y371" i="32"/>
  <c r="Z371" i="32" s="1"/>
  <c r="AA371" i="32" s="1"/>
  <c r="Y60" i="32"/>
  <c r="Z60" i="32" s="1"/>
  <c r="AA60" i="32" s="1"/>
  <c r="Y303" i="32"/>
  <c r="Z303" i="32" s="1"/>
  <c r="AA303" i="32" s="1"/>
  <c r="Y125" i="32"/>
  <c r="Z125" i="32" s="1"/>
  <c r="AA125" i="32" s="1"/>
  <c r="Y196" i="32"/>
  <c r="Z196" i="32" s="1"/>
  <c r="AA196" i="32" s="1"/>
  <c r="Y301" i="32"/>
  <c r="Z301" i="32" s="1"/>
  <c r="AA301" i="32" s="1"/>
  <c r="Y304" i="32"/>
  <c r="Z304" i="32" s="1"/>
  <c r="AA304" i="32" s="1"/>
  <c r="Y133" i="32"/>
  <c r="Z133" i="32" s="1"/>
  <c r="AA133" i="32" s="1"/>
  <c r="Y347" i="32"/>
  <c r="Z347" i="32" s="1"/>
  <c r="AA347" i="32" s="1"/>
  <c r="Y9" i="32"/>
  <c r="Z9" i="32" s="1"/>
  <c r="AA9" i="32" s="1"/>
  <c r="Y279" i="32"/>
  <c r="Z279" i="32" s="1"/>
  <c r="AA279" i="32" s="1"/>
  <c r="Y38" i="32"/>
  <c r="Z38" i="32" s="1"/>
  <c r="AA38" i="32" s="1"/>
  <c r="Y168" i="32"/>
  <c r="Z168" i="32" s="1"/>
  <c r="AA168" i="32" s="1"/>
  <c r="Y277" i="32"/>
  <c r="Z277" i="32" s="1"/>
  <c r="AA277" i="32" s="1"/>
  <c r="Y230" i="32"/>
  <c r="Z230" i="32" s="1"/>
  <c r="AA230" i="32" s="1"/>
  <c r="Y85" i="32"/>
  <c r="Z85" i="32" s="1"/>
  <c r="AA85" i="32" s="1"/>
  <c r="Y323" i="32"/>
  <c r="Z323" i="32" s="1"/>
  <c r="AA323" i="32" s="1"/>
  <c r="Y2" i="32"/>
  <c r="Z2" i="32" s="1"/>
  <c r="AA2" i="32" s="1"/>
  <c r="AD3" i="3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Guido Hendrickx</author>
  </authors>
  <commentList>
    <comment ref="EI5" authorId="0" shapeId="0" xr:uid="{312C7EA8-D249-4164-A983-384CEE1C3E67}">
      <text>
        <r>
          <rPr>
            <b/>
            <sz val="9"/>
            <color indexed="81"/>
            <rFont val="Tahoma"/>
            <family val="2"/>
          </rPr>
          <t>PMO:</t>
        </r>
        <r>
          <rPr>
            <sz val="9"/>
            <color indexed="81"/>
            <rFont val="Tahoma"/>
            <family val="2"/>
          </rPr>
          <t xml:space="preserve"> fake conversion to MDs. Is recoverted to EUR in ro above in a consistent way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Guido Hendrickx</author>
  </authors>
  <commentList>
    <comment ref="EH5" authorId="0" shapeId="0" xr:uid="{7F9BAB20-54A9-46F6-8648-B958A5F5911E}">
      <text>
        <r>
          <rPr>
            <b/>
            <sz val="9"/>
            <color indexed="81"/>
            <rFont val="Tahoma"/>
            <family val="2"/>
          </rPr>
          <t>PMO:</t>
        </r>
        <r>
          <rPr>
            <sz val="9"/>
            <color indexed="81"/>
            <rFont val="Tahoma"/>
            <family val="2"/>
          </rPr>
          <t xml:space="preserve"> fake conversion to MDs. Is recoverted to EUR in ro above in a consistent way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Guido Hendrickx</author>
  </authors>
  <commentList>
    <comment ref="DR5" authorId="0" shapeId="0" xr:uid="{33197838-374F-40D3-9D1B-DEE1B34545A7}">
      <text>
        <r>
          <rPr>
            <b/>
            <sz val="9"/>
            <color indexed="81"/>
            <rFont val="Tahoma"/>
            <family val="2"/>
          </rPr>
          <t>PMO:</t>
        </r>
        <r>
          <rPr>
            <sz val="9"/>
            <color indexed="81"/>
            <rFont val="Tahoma"/>
            <family val="2"/>
          </rPr>
          <t xml:space="preserve"> fake conversion to MDs. Is recoverted to EUR in ro above in a consistent way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Guido Hendrickx</author>
  </authors>
  <commentList>
    <comment ref="EH5" authorId="0" shapeId="0" xr:uid="{13300AD9-77D8-4493-AD18-850A284F9620}">
      <text>
        <r>
          <rPr>
            <b/>
            <sz val="9"/>
            <color indexed="81"/>
            <rFont val="Tahoma"/>
            <family val="2"/>
          </rPr>
          <t>PMO:</t>
        </r>
        <r>
          <rPr>
            <sz val="9"/>
            <color indexed="81"/>
            <rFont val="Tahoma"/>
            <family val="2"/>
          </rPr>
          <t xml:space="preserve"> fake conversion to MDs. Is recoverted to EUR in ro above in a consistent way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nsolidated" description="Connection to the 'Consolidated' query in the workbook." type="5" refreshedVersion="6" background="1" saveData="1">
    <dbPr connection="Provider=Microsoft.Mashup.OleDb.1;Data Source=$Workbook$;Location=Consolidated;Extended Properties=&quot;&quot;" command="SELECT * FROM [Consolidated]"/>
  </connection>
  <connection id="2" xr16:uid="{00000000-0015-0000-FFFF-FFFF01000000}" keepAlive="1" name="Query - Consolidated (2)" description="Connection to the 'Consolidated (2)' query in the workbook." type="5" refreshedVersion="6" background="1" saveData="1">
    <dbPr connection="Provider=Microsoft.Mashup.OleDb.1;Data Source=$Workbook$;Location=&quot;Consolidated (2)&quot;;Extended Properties=&quot;&quot;" command="SELECT * FROM [Consolidated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<sst xmlns="http://schemas.openxmlformats.org/spreadsheetml/2006/main" count="49566" uniqueCount="3886">
  <si>
    <t>Tab Non-Projects (RUN-BAU)</t>
  </si>
  <si>
    <t>activities non related to investment, recurring and day-to-day activities not generating revenues, no PM, no start/end date</t>
  </si>
  <si>
    <t>Tab Ongoing Projects</t>
  </si>
  <si>
    <t>List of projects already started before January-2022</t>
  </si>
  <si>
    <t>Tab New Projects</t>
  </si>
  <si>
    <t>List of project starting after 1-Jan-2022</t>
  </si>
  <si>
    <t>Portfolio Classification</t>
  </si>
  <si>
    <t>Activities description</t>
  </si>
  <si>
    <t>Threshold</t>
  </si>
  <si>
    <t>IC</t>
  </si>
  <si>
    <t>DMB</t>
  </si>
  <si>
    <t>PSR</t>
  </si>
  <si>
    <t>IPRB</t>
  </si>
  <si>
    <t>Business Project (new product/feature)</t>
  </si>
  <si>
    <t>Project generating revenues, with a define scope, starting and end dates. Large project scan be delivered in phases</t>
  </si>
  <si>
    <t>RAPID Level used</t>
  </si>
  <si>
    <t>Y</t>
  </si>
  <si>
    <t>DMB / RAPID</t>
  </si>
  <si>
    <t>Y/N</t>
  </si>
  <si>
    <t>Project Life</t>
  </si>
  <si>
    <t>Customer Request (arrow)</t>
  </si>
  <si>
    <t>Arrow projects. Only ‘non-standard arrow’ (with impact on MS CPO) goes to DMB.</t>
  </si>
  <si>
    <t>N</t>
  </si>
  <si>
    <t>Compliance &amp; Regulatory</t>
  </si>
  <si>
    <t>Project updating, supporting regulation and compliancy . No development new platform/product. 
Risk assessment added in DMB</t>
  </si>
  <si>
    <t>Total below: 1.000 mds</t>
  </si>
  <si>
    <t>Light+ risk assessment</t>
  </si>
  <si>
    <t>Maintenance &amp; Small enhancements (Mandatory yearly activities)</t>
  </si>
  <si>
    <t>Maintenance on platforms. No additional revenues, no business plan.
Total below 250 k€ / year. Renewed every year</t>
  </si>
  <si>
    <t>Total below 250 k€/yr</t>
  </si>
  <si>
    <t>Light</t>
  </si>
  <si>
    <t>Yearly</t>
  </si>
  <si>
    <t>Envelope (for small 'changes')</t>
  </si>
  <si>
    <t>Set of short missions or spending below 30 md, low risks, renewed every year</t>
  </si>
  <si>
    <t>Total below 250 k€/yr
Sub-items: max 30 md</t>
  </si>
  <si>
    <t>Technical</t>
  </si>
  <si>
    <t xml:space="preserve"> No additional revenue, cost savings, large project impacting platforms EgMigration of platform.  Upgrades.  DB Modification.</t>
  </si>
  <si>
    <t>Other (non product project)</t>
  </si>
  <si>
    <t>New Product
Indicator</t>
  </si>
  <si>
    <t>Description</t>
  </si>
  <si>
    <t xml:space="preserve"> New Product</t>
  </si>
  <si>
    <t>NE</t>
  </si>
  <si>
    <t xml:space="preserve"> New Feature on existing product</t>
  </si>
  <si>
    <t>E</t>
  </si>
  <si>
    <t xml:space="preserve"> Mandatory, Maintenance, Interval activity on existing product</t>
  </si>
  <si>
    <t>Avtivity Type</t>
  </si>
  <si>
    <t>RD-Product Solution Investments</t>
  </si>
  <si>
    <t>Product solution investment related to a business product</t>
  </si>
  <si>
    <t xml:space="preserve">In scope of Invest. Com. -  (Change the business)
 • Developments of new own software and solutions designed for multiple customers not directly funded by a client 
 • Evolutive maintenance of current product/solutions , leading to development of new features/new functionalities
 • Investments  can be : - defensive : to maintain a position in a market/client environment or  - aggressive : to develop new offers/solution/product, features  to get new business
 • Can be a costs aiming to develop an asset in the course of a client project but with intention to resale it to other customers /or other markets  (costs to be amortized over more than one project/customer) Exclude specific client projects (even if capitalized) </t>
  </si>
  <si>
    <t>RD-Product Efficiency and Tooling</t>
  </si>
  <si>
    <t>Internal efficiency &amp; tooling referring to business products or offerings
e.g. Improve Testing infrastructure or functionalities to facilitate monitoring for Incident  Mgmt</t>
  </si>
  <si>
    <t>RD-Product Mandatory and Regulation</t>
  </si>
  <si>
    <t>Mandatory &amp; regulatory changes or compliance changes concerning our business products or offerings like scheme compliance</t>
  </si>
  <si>
    <t>RD-Product Solution Maintenance</t>
  </si>
  <si>
    <t>Corrective maintenance and support of existing products/Solution/Platforms, Not directly funded by a client</t>
  </si>
  <si>
    <t>RD-Product Migration</t>
  </si>
  <si>
    <t>Migration of business products</t>
  </si>
  <si>
    <t>INTP-Internal Efficiency and Tooling</t>
  </si>
  <si>
    <t xml:space="preserve"> •Projects linked with internal processes (such as HR, Finance, Sales Support, IT) (Ex :  Nessie Belgium / one-off activities and initiated or coordinated by WL COO/CFO…) 
• Project aiming at strengthening of current processes/operations/delivery.
• WL initiatives (Team/TOP)  
•Includes Lean management, Offshore implementation and SDCO activities 
Generally not capitalized 
Examples: SDCO; Workforce Mgt; Quality; Operational control &amp; Risk mgt, operational performance &amp; TEAM; Transformation and PMO; Lean; CSR; Arrow Delivery; Product mgt (global part that could not be booked on a specific invest. project)</t>
  </si>
  <si>
    <t>INTP-Regulatory and Mandatory</t>
  </si>
  <si>
    <t xml:space="preserve"> •Any costs spent that are mandatory to be compliant with market rules, general local/global/specific regulation  
Not capitalized 
Remark: this type is only for mandatory PROJECT (project is important in the sentence), if it is normal and regular updates like for card scheme it will be RD/REG, if it is a regulatory project like GDPR this year, it will be INTP/REG
Examples: Iso/PCI/Scheme compliance.</t>
  </si>
  <si>
    <t>PROD-Customer Projects</t>
  </si>
  <si>
    <t xml:space="preserve"> </t>
  </si>
  <si>
    <t>Group Offering</t>
  </si>
  <si>
    <t>ACC - eCommerce</t>
  </si>
  <si>
    <t>Advanced electronic payment platform used for all online solutions. It allows you to process all domestic and international forms of payment via a single, secure interface.</t>
  </si>
  <si>
    <t>ACC</t>
  </si>
  <si>
    <t>CM-WMES053</t>
  </si>
  <si>
    <t>ACC - Global Online</t>
  </si>
  <si>
    <t>Covers the entire payment value chain and help merchants with global solutions to grow online revenue. Our services include gateway processing, reconciliation and collection, dispute management, and proactive fraud prevention services. Most of the time the service is delivered “Full service” from the payment transaction processing to the merchant settlement</t>
  </si>
  <si>
    <t>CM-WMES015</t>
  </si>
  <si>
    <t>ACC - In Store</t>
  </si>
  <si>
    <t>Scalable solution to process merchants payments in store. Transactions processing, terminals fleet administration, terminals maintenance, centralized merchant payment services to smoothly run merchant businesses.</t>
  </si>
  <si>
    <t>CM-WMES027</t>
  </si>
  <si>
    <t>ACC - Omnichannel</t>
  </si>
  <si>
    <t xml:space="preserve">Our omnichannel acceptance solution enables merchants to deliver an E2E client experiences. Converging platform for all payments in Europe and beyond, it allows merchants to expand their business in new markets with optimized transaction costs. 
</t>
  </si>
  <si>
    <t>CM-WMES038</t>
  </si>
  <si>
    <t>CAQ - DCC Instore</t>
  </si>
  <si>
    <t xml:space="preserve">Applies at the payment terminals - facilitate payments in home currency through ‘Dynamic Currency Conversion’ </t>
  </si>
  <si>
    <t>CAQ</t>
  </si>
  <si>
    <t>CM-WMES063</t>
  </si>
  <si>
    <t>CAQ - DCC Online</t>
  </si>
  <si>
    <t xml:space="preserve">Applies when you buy online - facilitate payments in home currency through ‘Dynamic Currency Conversion’ 
</t>
  </si>
  <si>
    <t>CM-WMES064</t>
  </si>
  <si>
    <t xml:space="preserve">CAQ - Instore </t>
  </si>
  <si>
    <t>CM-WMES021</t>
  </si>
  <si>
    <t>CAQ - Online</t>
  </si>
  <si>
    <t>CM-WMES034</t>
  </si>
  <si>
    <t>DIS - POS Products</t>
  </si>
  <si>
    <t>Covers the full digital services scope available for merchants in their point-of-ales: e.g. payment app, or POS advertisement.</t>
  </si>
  <si>
    <t>DIS</t>
  </si>
  <si>
    <t>CM-WMES033</t>
  </si>
  <si>
    <t>DIS - VAS Products</t>
  </si>
  <si>
    <t>Digital services available for the merchants to simplify his logistics assets and processes: loyalty program, close user group solution, data analytics, merchant portals, merchant Billing etc.</t>
  </si>
  <si>
    <t>CM-WMES029</t>
  </si>
  <si>
    <t>value not in list</t>
  </si>
  <si>
    <t>Only to be used when no product group offering can be selected.</t>
  </si>
  <si>
    <t>1. Select your GBD below</t>
  </si>
  <si>
    <t>2. Complete new data in the next free cell below the table (the table will auto-extend) to ensure the set-up continues to work for all the added lined</t>
  </si>
  <si>
    <t>3. Complete mandatory attributes → [+]
where available use the drop down for data entry</t>
  </si>
  <si>
    <t>N = New Product
NE = New Feature
E = other</t>
  </si>
  <si>
    <t>Start of Quarter
Start of Month</t>
  </si>
  <si>
    <t>End of Quarter
End of Month</t>
  </si>
  <si>
    <r>
      <rPr>
        <i/>
        <sz val="8"/>
        <color theme="3" tint="0.59999389629810485"/>
        <rFont val="Calibri"/>
        <family val="2"/>
      </rPr>
      <t>enter MDs</t>
    </r>
    <r>
      <rPr>
        <b/>
        <sz val="8"/>
        <color theme="3" tint="0.59999389629810485"/>
        <rFont val="Calibri"/>
        <family val="2"/>
      </rPr>
      <t xml:space="preserve"> [+]
[-]</t>
    </r>
    <r>
      <rPr>
        <i/>
        <sz val="8"/>
        <color theme="3" tint="0.59999389629810485"/>
        <rFont val="Calibri"/>
        <family val="2"/>
      </rPr>
      <t xml:space="preserve"> view total</t>
    </r>
  </si>
  <si>
    <t>Sub1</t>
  </si>
  <si>
    <t>IPP</t>
  </si>
  <si>
    <t>WLOC</t>
  </si>
  <si>
    <t>Saferpay</t>
  </si>
  <si>
    <t>AXIS</t>
  </si>
  <si>
    <t>SIPS</t>
  </si>
  <si>
    <t>BO MCH</t>
  </si>
  <si>
    <t>Payone</t>
  </si>
  <si>
    <t>India TP</t>
  </si>
  <si>
    <t>Bnstr/Roam</t>
  </si>
  <si>
    <t>GC</t>
  </si>
  <si>
    <t>Cnx</t>
  </si>
  <si>
    <t>CSACT</t>
  </si>
  <si>
    <t>BB Samport</t>
  </si>
  <si>
    <t>BOL</t>
  </si>
  <si>
    <t>BO BB</t>
  </si>
  <si>
    <t>Devcode</t>
  </si>
  <si>
    <t>OCH</t>
  </si>
  <si>
    <t>WOPA</t>
  </si>
  <si>
    <t>cCredit</t>
  </si>
  <si>
    <t>CACQ</t>
  </si>
  <si>
    <t>DS</t>
  </si>
  <si>
    <t>FRSACOP</t>
  </si>
  <si>
    <t>BELWL</t>
  </si>
  <si>
    <t>FRAWL</t>
  </si>
  <si>
    <t>SWEWL</t>
  </si>
  <si>
    <t>BELCCSWL</t>
  </si>
  <si>
    <t>CHECCSSPS</t>
  </si>
  <si>
    <t>CMA</t>
  </si>
  <si>
    <t>FS</t>
  </si>
  <si>
    <t>SPS</t>
  </si>
  <si>
    <t>enter MDs and provide entities in Comment</t>
  </si>
  <si>
    <t>ARM</t>
  </si>
  <si>
    <r>
      <rPr>
        <i/>
        <sz val="8"/>
        <color theme="3" tint="0.59999389629810485"/>
        <rFont val="Calibri"/>
        <family val="2"/>
      </rPr>
      <t>enter k€</t>
    </r>
    <r>
      <rPr>
        <b/>
        <sz val="8"/>
        <color theme="3" tint="0.59999389629810485"/>
        <rFont val="Calibri"/>
        <family val="2"/>
      </rPr>
      <t xml:space="preserve"> [+]
[-]</t>
    </r>
    <r>
      <rPr>
        <i/>
        <sz val="8"/>
        <color theme="3" tint="0.59999389629810485"/>
        <rFont val="Calibri"/>
        <family val="2"/>
      </rPr>
      <t xml:space="preserve"> view total</t>
    </r>
  </si>
  <si>
    <t>Acceptance</t>
  </si>
  <si>
    <t>dd/mm/yyyy</t>
  </si>
  <si>
    <t>Rates (k€)</t>
  </si>
  <si>
    <t>Hardcoded rates</t>
  </si>
  <si>
    <t>Given ID
by PMO</t>
  </si>
  <si>
    <t>Ref Key
(auto)</t>
  </si>
  <si>
    <t>Initiative Name</t>
  </si>
  <si>
    <t>Leading entity/platform</t>
  </si>
  <si>
    <t>Strategic
Program L1</t>
  </si>
  <si>
    <t>Activity Type</t>
  </si>
  <si>
    <t>SPOC: Requestor/Owner
(unit / person)</t>
  </si>
  <si>
    <t>Estimated
CAPI %</t>
  </si>
  <si>
    <t>Estimated
OOI %</t>
  </si>
  <si>
    <t>Estimated
Start Date</t>
  </si>
  <si>
    <t>Estimated
End Date</t>
  </si>
  <si>
    <t>Comment, description,
rationale, strategic impact</t>
  </si>
  <si>
    <t>Acceptance
Internal
All entities</t>
  </si>
  <si>
    <t>(ACC)
ARG
Sub1</t>
  </si>
  <si>
    <t>(ACC)
AUS
IPP</t>
  </si>
  <si>
    <t>(ACC)
BEL
WLOC</t>
  </si>
  <si>
    <t>(ACC)
CHE
Saferpay</t>
  </si>
  <si>
    <t>(ACC)
CZE
GoPay</t>
  </si>
  <si>
    <t>(ACC)
FRA
AXIS</t>
  </si>
  <si>
    <t>(ACC)
FRA
SACC</t>
  </si>
  <si>
    <t>(ACC)
FRA
SIPS</t>
  </si>
  <si>
    <t>(ACC)
FRA
Back-Office</t>
  </si>
  <si>
    <t>(ACC)
GER
Payone</t>
  </si>
  <si>
    <t>(ACC)
AUT
Payunity</t>
  </si>
  <si>
    <t>(ACC)
GRC
Cardlink</t>
  </si>
  <si>
    <t>(ACC)
IND
India TP</t>
  </si>
  <si>
    <t>(ACC)
ITA
Axxepta</t>
  </si>
  <si>
    <t>(ACC)
NAR
Beanstream / Roam</t>
  </si>
  <si>
    <t>(ACC)
NLD
GC</t>
  </si>
  <si>
    <t>(ACC)
SPA
Connexflow</t>
  </si>
  <si>
    <t>(ACC)
SPA
CSACT</t>
  </si>
  <si>
    <t>(ACC)
SWE
BB Samport</t>
  </si>
  <si>
    <t>(ACC)
SWE
BOL</t>
  </si>
  <si>
    <t>(ACC)
SWE
Back-Office</t>
  </si>
  <si>
    <t>(ACC)
SWE
Devcode</t>
  </si>
  <si>
    <t>(ACC)
SWE
OCH</t>
  </si>
  <si>
    <t>(ACC)
SWE
WOPA</t>
  </si>
  <si>
    <t>(ACC)
GER
cCredit</t>
  </si>
  <si>
    <t>(ACC)
ALL
 Shared services</t>
  </si>
  <si>
    <t>Com Acquiring
Internal
all entities</t>
  </si>
  <si>
    <t>(CAQ)
BEL
WL</t>
  </si>
  <si>
    <t>(CAQ)
FRA
WL</t>
  </si>
  <si>
    <t>(CAQ)
CHE
SPS</t>
  </si>
  <si>
    <t>(CAQ)
ALL
BB</t>
  </si>
  <si>
    <t>Digital Services
Internal
all entities</t>
  </si>
  <si>
    <t>(DIG)
BEL
WL</t>
  </si>
  <si>
    <t>(DIG)
FRA
WL</t>
  </si>
  <si>
    <t>(DIG)
NLD
WL</t>
  </si>
  <si>
    <t>(DIG)
AUT
SPS</t>
  </si>
  <si>
    <t>(DIG)
CHE
SPS</t>
  </si>
  <si>
    <t>(DIG)
FRA
ING</t>
  </si>
  <si>
    <t>(DIG)
GER
WL</t>
  </si>
  <si>
    <t>(DIG)
GER
SPS</t>
  </si>
  <si>
    <t>(DIG)
POL
SPS</t>
  </si>
  <si>
    <t>(DIG)
CZE
Cataps</t>
  </si>
  <si>
    <t>(DIG)
AUS
WL</t>
  </si>
  <si>
    <t>(DIG)
NLD
ING</t>
  </si>
  <si>
    <t>E2E Architects &amp; Programs
Internal
all entities</t>
  </si>
  <si>
    <t>(E2E)
BEL
WL</t>
  </si>
  <si>
    <t>(E2E)
FRA
WL</t>
  </si>
  <si>
    <t>(E2E)
NLD
WL</t>
  </si>
  <si>
    <t>(E2E)
SPA
WL</t>
  </si>
  <si>
    <t>(E2E)
XXX
WL</t>
  </si>
  <si>
    <t>(E2E)
CHE
SPS</t>
  </si>
  <si>
    <t>Chief Merchant Officer
Internal
all entities</t>
  </si>
  <si>
    <t>(CMO)
CHE
SPS</t>
  </si>
  <si>
    <t>(CMO)
FRA
WL</t>
  </si>
  <si>
    <t>COO SACC
Internal
all entities</t>
  </si>
  <si>
    <t>(SAC)
FRA
ex Terminals</t>
  </si>
  <si>
    <t>(SAC)
FRA
ex Omni Ch.</t>
  </si>
  <si>
    <t>(SAC)
FRA
Ex Operations</t>
  </si>
  <si>
    <t>COO PTM
Internal
WL entities</t>
  </si>
  <si>
    <t>(PTM)
BEL
WL</t>
  </si>
  <si>
    <t>(PTM)
FRA
WL</t>
  </si>
  <si>
    <t>(PTM)
NLD
WL</t>
  </si>
  <si>
    <t>(PTM)
SWE
WL</t>
  </si>
  <si>
    <t>(PTM)
GER
WL</t>
  </si>
  <si>
    <t>(PTM)
BRA
WL</t>
  </si>
  <si>
    <t>COO PTM
Internal
SPS/Other entities</t>
  </si>
  <si>
    <t>(PTM)
CHE
SPS</t>
  </si>
  <si>
    <t>(PTM)
AUT
SPS</t>
  </si>
  <si>
    <t>(PTM)
GER
SPS</t>
  </si>
  <si>
    <t>(PTM)
POL
SPS</t>
  </si>
  <si>
    <t>(PTM)
CZE
Cataps</t>
  </si>
  <si>
    <t>COO CS
Internal
WL entities</t>
  </si>
  <si>
    <t>(CCS)
BEL
WL</t>
  </si>
  <si>
    <t>(CCS)
FRA
WL</t>
  </si>
  <si>
    <t>(CCS)
NLD
WL</t>
  </si>
  <si>
    <t>COO CS
Internal
SPS entities</t>
  </si>
  <si>
    <t>(CCS)
CHE
SPS</t>
  </si>
  <si>
    <t>(CCS)
LUX
SPS</t>
  </si>
  <si>
    <t>(CCS)
AUT
SPS</t>
  </si>
  <si>
    <t>(CCS)
GER
SPS</t>
  </si>
  <si>
    <t>(CCS)
POL
SPS</t>
  </si>
  <si>
    <t>COO CS
Internal
Other entities</t>
  </si>
  <si>
    <t>(CCS)
NLD
PSQ</t>
  </si>
  <si>
    <t>(CCS)
POL
PSQ</t>
  </si>
  <si>
    <t>(CCS)
CZE
Cataps</t>
  </si>
  <si>
    <t>COO BSA
Internal
all entities</t>
  </si>
  <si>
    <t>(BSA)
BEL
WL</t>
  </si>
  <si>
    <t>(BSA)
AUS
WL</t>
  </si>
  <si>
    <t>(BSA)
NLD
WL</t>
  </si>
  <si>
    <t>(BSA)
CHE
SPS</t>
  </si>
  <si>
    <t>(BSA)
POL</t>
  </si>
  <si>
    <t>(BSA)
FRA</t>
  </si>
  <si>
    <t>(BSA)
GER</t>
  </si>
  <si>
    <t>Chief Market Officer
Internal
all entities</t>
  </si>
  <si>
    <t>(CMA)
All
any entity</t>
  </si>
  <si>
    <t>GTM FI
Internal
all entities</t>
  </si>
  <si>
    <t>(GTM)
All
any entity</t>
  </si>
  <si>
    <t>Financial Services
Outsourced
all entities</t>
  </si>
  <si>
    <t>(FIS)
All
any entity</t>
  </si>
  <si>
    <t>(FIS)
BEL
eWL</t>
  </si>
  <si>
    <t>(FIS)
FRA
eWL</t>
  </si>
  <si>
    <t>(FIS)
NLD
eWL</t>
  </si>
  <si>
    <t>(FIS)
GER
eWL</t>
  </si>
  <si>
    <t>(FIS)
CHE
SPS FS</t>
  </si>
  <si>
    <t>(FIS)
SPS Split (26%) BEL</t>
  </si>
  <si>
    <t>(FIS)
SPS % Split
FO</t>
  </si>
  <si>
    <t>(FIS)
SPS % Split
BO</t>
  </si>
  <si>
    <t>(FIS)
SPS Split
FO (calc)</t>
  </si>
  <si>
    <t>(FIS)
SPS Split
BO (calc)</t>
  </si>
  <si>
    <t>(FIS)
SPS Split
DaMa (calc)</t>
  </si>
  <si>
    <t>Production Services
Outsourced
all entities</t>
  </si>
  <si>
    <t>(PRD)
ALL
any entity</t>
  </si>
  <si>
    <t>TSS
Outsourced 
all entities</t>
  </si>
  <si>
    <t>(TSS)
CHE
SPS</t>
  </si>
  <si>
    <t>(TSS)
ALL
any entity</t>
  </si>
  <si>
    <t>MTS
Outsourced
all entities</t>
  </si>
  <si>
    <t>(MTS)
ALL
any entity</t>
  </si>
  <si>
    <t>Payone
Outsourced
all entities</t>
  </si>
  <si>
    <t>(Payone)
ALL
any entity</t>
  </si>
  <si>
    <t>Cash Out
OPEX
Suppliers</t>
  </si>
  <si>
    <t>(OPX) 
Supplier Name(s)</t>
  </si>
  <si>
    <r>
      <t xml:space="preserve">(OPX)
All SubCo
Fix price </t>
    </r>
    <r>
      <rPr>
        <sz val="9"/>
        <color rgb="FFFF0000"/>
        <rFont val="Calibri"/>
        <family val="2"/>
      </rPr>
      <t>(K€)</t>
    </r>
  </si>
  <si>
    <t>(OPX)
All Subco
T&amp;M 1000</t>
  </si>
  <si>
    <t>(OPX)
All Subco
T&amp;M 700</t>
  </si>
  <si>
    <t>(OPX)
All Subco
T&amp;M 470</t>
  </si>
  <si>
    <t>(OPX)
MAR
Morocco</t>
  </si>
  <si>
    <t>(OPX)
IND
Cybage</t>
  </si>
  <si>
    <t>(OPX)
IND
India</t>
  </si>
  <si>
    <t>(OPX)
BUL
Bulgaria</t>
  </si>
  <si>
    <t>(OPX)
ARM
Armenia</t>
  </si>
  <si>
    <t>Cash Out
CAPEX
KEUR</t>
  </si>
  <si>
    <t>(CPX) 
CAPEX
kEUR</t>
  </si>
  <si>
    <t>Capex Comment</t>
  </si>
  <si>
    <t>Non MS/Not listed Entities</t>
  </si>
  <si>
    <t>(NMS)
ALL
Direct</t>
  </si>
  <si>
    <t>(NMS)
ALL
Indirect</t>
  </si>
  <si>
    <t>(NMS)
Non listed entities</t>
  </si>
  <si>
    <t>Comments - non listed entities</t>
  </si>
  <si>
    <t xml:space="preserve">Costs for Move to Cloud (2022) </t>
  </si>
  <si>
    <t>Full (multi year) project estimated budget (in k€)</t>
  </si>
  <si>
    <t>TOTAL 2022 in mandays</t>
  </si>
  <si>
    <t>ACC22-0001-RY</t>
  </si>
  <si>
    <t>3DS exemptions and improvements</t>
  </si>
  <si>
    <t>MHL,21/9/21: FS mds splitted by Khalil in agreement of FS.</t>
  </si>
  <si>
    <t>ACC22-0002</t>
  </si>
  <si>
    <t>Acquirer routing capabilities</t>
  </si>
  <si>
    <t>ACC22-0003</t>
  </si>
  <si>
    <t>In house Acq</t>
  </si>
  <si>
    <t>ACC22-0004</t>
  </si>
  <si>
    <t>Rusian Payment method</t>
  </si>
  <si>
    <t/>
  </si>
  <si>
    <t>Tech Debt other topics</t>
  </si>
  <si>
    <t>ACC22-0005</t>
  </si>
  <si>
    <t>Enhance LPMS</t>
  </si>
  <si>
    <t>ACC22-0006</t>
  </si>
  <si>
    <t>GEO expansion SK</t>
  </si>
  <si>
    <t>MS21-51-EF</t>
  </si>
  <si>
    <t>Scheme Tokens</t>
  </si>
  <si>
    <t>ACC22-0008</t>
  </si>
  <si>
    <t>Google Pay &amp; Apple Pay adding partner and/or functionality</t>
  </si>
  <si>
    <t>ACC22-0009</t>
  </si>
  <si>
    <t>Reservation Hub</t>
  </si>
  <si>
    <t>ACC22-0010-RY</t>
  </si>
  <si>
    <t>Ideal compliance</t>
  </si>
  <si>
    <t>ACC22-0011-RY</t>
  </si>
  <si>
    <t>8 Digit BIN compliance</t>
  </si>
  <si>
    <t>ACC22-0012-RY</t>
  </si>
  <si>
    <t>Card on File</t>
  </si>
  <si>
    <t>ACC22-0013</t>
  </si>
  <si>
    <t>AU NPP - PayTo</t>
  </si>
  <si>
    <t>ACC22-0014</t>
  </si>
  <si>
    <t>AU Wallet expansion</t>
  </si>
  <si>
    <t>ACC22-0015</t>
  </si>
  <si>
    <t>Amex gateway acceptance</t>
  </si>
  <si>
    <t>IPP to Acq Hub integration</t>
  </si>
  <si>
    <t>Placeholder - Lost and found CAPEX</t>
  </si>
  <si>
    <t>ACC22-6001</t>
  </si>
  <si>
    <t>Provisioning automation</t>
  </si>
  <si>
    <t>ACC22-0016</t>
  </si>
  <si>
    <t>Mini pool - IPP Customer requests</t>
  </si>
  <si>
    <t>ACC22-0017-MN</t>
  </si>
  <si>
    <t>Database upgrade</t>
  </si>
  <si>
    <t>Marco Polo - DCC</t>
  </si>
  <si>
    <t>Marco Polo - Pay by Link</t>
  </si>
  <si>
    <t>ACC22-0018</t>
  </si>
  <si>
    <t>Bambora Terminal Swap</t>
  </si>
  <si>
    <t>Marco Polo - APM Hub eCommerce</t>
  </si>
  <si>
    <t>ACC22-0019</t>
  </si>
  <si>
    <t>BNPL Appexx</t>
  </si>
  <si>
    <t>United - WL acquiring</t>
  </si>
  <si>
    <t>United</t>
  </si>
  <si>
    <t>MHL,7/9/21: col F completed.</t>
  </si>
  <si>
    <t>United - DCC Hub</t>
  </si>
  <si>
    <t>United - SACC Decomissionning without Casino</t>
  </si>
  <si>
    <t>ACC22-0020-RY</t>
  </si>
  <si>
    <t>Regulation / Europe w/o France</t>
  </si>
  <si>
    <t>ACC22-0021-RY</t>
  </si>
  <si>
    <t>Regulation / France FRv6</t>
  </si>
  <si>
    <t>ACC22-0022-RY</t>
  </si>
  <si>
    <t>Regulation / France other</t>
  </si>
  <si>
    <t>Regulation / nexo IS v5</t>
  </si>
  <si>
    <t>ACC22-0023</t>
  </si>
  <si>
    <t>Roadmap / Purchasing Experience</t>
  </si>
  <si>
    <t>Roadmap / Onboarding</t>
  </si>
  <si>
    <t>Roadmap / Smart Routing</t>
  </si>
  <si>
    <t>ACC22-0024-EF</t>
  </si>
  <si>
    <t>Roadmap / Integration</t>
  </si>
  <si>
    <t>ACC22-0025-EF</t>
  </si>
  <si>
    <t>Roadmap / Reference Package</t>
  </si>
  <si>
    <t>Omnichannel Cash Management and Transaction Lifecycle Service</t>
  </si>
  <si>
    <t>Fraud - External Costs</t>
  </si>
  <si>
    <t>FinOps External Costs</t>
  </si>
  <si>
    <t>ACC22-2001-EF</t>
  </si>
  <si>
    <t>Technical Roadmap Platform Performance &amp; Stability</t>
  </si>
  <si>
    <t>ACC22-2002-EF</t>
  </si>
  <si>
    <t>Technical Debt and Application / Operational Maintenance UXT</t>
  </si>
  <si>
    <t>Android terminal</t>
  </si>
  <si>
    <t>ASTRA for IN-STORE</t>
  </si>
  <si>
    <t>ACC22-0027-RY</t>
  </si>
  <si>
    <t>SDK annual compliance</t>
  </si>
  <si>
    <t>ACC22-0028</t>
  </si>
  <si>
    <t>New product initiatives for Devcode</t>
  </si>
  <si>
    <t>Travel Hub developments</t>
  </si>
  <si>
    <t>Tetra Cloud ECR support</t>
  </si>
  <si>
    <t>Product enhancement</t>
  </si>
  <si>
    <t>ACC22-0029</t>
  </si>
  <si>
    <t>Roadmap / Android device</t>
  </si>
  <si>
    <t>ACC22-0163</t>
  </si>
  <si>
    <t>3Y Corridor plan</t>
  </si>
  <si>
    <t>Roadmap - TechProcess - Product Improvements</t>
  </si>
  <si>
    <t>ACC22-0030</t>
  </si>
  <si>
    <t>ROAM - Hardware Enhancements and Support</t>
  </si>
  <si>
    <t>ACC22-0031</t>
  </si>
  <si>
    <t>ROAM - Acquirer Connections / Certifications</t>
  </si>
  <si>
    <t>ACC22-0032</t>
  </si>
  <si>
    <t>BIC - Acquirer Connections / Gateway Enhancements</t>
  </si>
  <si>
    <t>ACC22-0033</t>
  </si>
  <si>
    <t>BIC - Full Services Enhancements</t>
  </si>
  <si>
    <t>Single Intergration WOPA</t>
  </si>
  <si>
    <t>United - DCC Hub (Shared Service Online Team)</t>
  </si>
  <si>
    <t>ACC22-0035-RY</t>
  </si>
  <si>
    <t>WOPA global compliance</t>
  </si>
  <si>
    <t>ACC22-0036-RY</t>
  </si>
  <si>
    <t>3DS V2 - In App</t>
  </si>
  <si>
    <t>Identity &amp; Access Mgt as Shared Service</t>
  </si>
  <si>
    <t>United B2 - eCom - SIPS consolidation</t>
  </si>
  <si>
    <t>ACC22-2003-EF</t>
  </si>
  <si>
    <t>Technical Debt and Application / Operational Maintenance PROS</t>
  </si>
  <si>
    <t>ACC22-0038</t>
  </si>
  <si>
    <t>SIPS - Product improvments</t>
  </si>
  <si>
    <t>ACC22-0039-RY</t>
  </si>
  <si>
    <t>Jsecure 2</t>
  </si>
  <si>
    <t>ACC22-0040-RY</t>
  </si>
  <si>
    <t>3DS V1 Decommisioning</t>
  </si>
  <si>
    <t>3DS for MIT</t>
  </si>
  <si>
    <t>ACC22-0041</t>
  </si>
  <si>
    <t>Authentication Service</t>
  </si>
  <si>
    <t>Trusted Beneficiary Exemption</t>
  </si>
  <si>
    <t>Delegated Authentication</t>
  </si>
  <si>
    <t>ACC22-0042</t>
  </si>
  <si>
    <t>Small changes &amp; improvements</t>
  </si>
  <si>
    <t>ACC22-2004-EF</t>
  </si>
  <si>
    <t>Technical Roadmap SRE Team</t>
  </si>
  <si>
    <t>ACC22-0043</t>
  </si>
  <si>
    <t>Open Banking</t>
  </si>
  <si>
    <t>ACC22-0044-MN</t>
  </si>
  <si>
    <t>WOPA Tech Intiatives &amp; Tech Debt</t>
  </si>
  <si>
    <t>ACC22-2005-EF</t>
  </si>
  <si>
    <t>Provisioning API</t>
  </si>
  <si>
    <t>ACC22-0045</t>
  </si>
  <si>
    <t>Connect - Checkout Improvements</t>
  </si>
  <si>
    <t>ACC22-0046</t>
  </si>
  <si>
    <t>ROAM - Portals Enhancements</t>
  </si>
  <si>
    <t>ACC22-0047</t>
  </si>
  <si>
    <t>ROAM - Fraud Management Tools</t>
  </si>
  <si>
    <t>ACC22-0048</t>
  </si>
  <si>
    <t>ROAM - Full Service</t>
  </si>
  <si>
    <t>ROAM - Mobile Enhancements and Support</t>
  </si>
  <si>
    <t>ACC22-0049</t>
  </si>
  <si>
    <t>ROAM - Online Payments - eComm and Wallet Enhancements</t>
  </si>
  <si>
    <t>ACC22-0050</t>
  </si>
  <si>
    <t>WL1C - Developer Portal Work: Documentation for Merchant Integration (reduced)</t>
  </si>
  <si>
    <t>ACC22-0051</t>
  </si>
  <si>
    <t>Single identity &amp; access mgt as Shared Service</t>
  </si>
  <si>
    <t>Marco Polo - Feature complete requirements</t>
  </si>
  <si>
    <t>ACC22-0052-EF</t>
  </si>
  <si>
    <t>Global Payments - Cards - Tech Initiatives &amp; Tech Debt</t>
  </si>
  <si>
    <t>ACC22-0053-EF</t>
  </si>
  <si>
    <t>Global Payments - LPM - Tech Initiatives &amp; Tech Debt</t>
  </si>
  <si>
    <t>Global Payments - Fraud Prevention - Tech Initiatives &amp; Tech Debt</t>
  </si>
  <si>
    <t>ACC22-2006-EF</t>
  </si>
  <si>
    <t>Bambora Automation of bank account changes in SF</t>
  </si>
  <si>
    <t>ACC22-0054-MI</t>
  </si>
  <si>
    <t>WL Rebranding</t>
  </si>
  <si>
    <t>ACC22-0055</t>
  </si>
  <si>
    <t>Bambora Tetra Cloud ECR integration support</t>
  </si>
  <si>
    <t>Bambora SAP/Nessie</t>
  </si>
  <si>
    <t>ACC22-0057</t>
  </si>
  <si>
    <t>Bambora Tetra Wifi support</t>
  </si>
  <si>
    <t>ACC22-0058</t>
  </si>
  <si>
    <t>Bambora Swish Instore, mvp Nordics</t>
  </si>
  <si>
    <t>United DCC Migration</t>
  </si>
  <si>
    <t>ACC22-0060</t>
  </si>
  <si>
    <t>GSS - Spilover 2021</t>
  </si>
  <si>
    <t>Sub1 migration to Acquirer Hub</t>
  </si>
  <si>
    <t>Roadmap - APM - Generic</t>
  </si>
  <si>
    <t>ACC22-0062</t>
  </si>
  <si>
    <t>OPGSP (Prop2 and Prop3)</t>
  </si>
  <si>
    <t>ACC22-0063</t>
  </si>
  <si>
    <t xml:space="preserve">Merchant On-Boarding &amp; Management </t>
  </si>
  <si>
    <t>ACC22-0064-MN</t>
  </si>
  <si>
    <t>EBS Phase Out</t>
  </si>
  <si>
    <t>ACC22-0065-MN</t>
  </si>
  <si>
    <t>No Cost EMI / BNPL</t>
  </si>
  <si>
    <t>ACC22-0066-MN</t>
  </si>
  <si>
    <t>Back-Office Process Efficiency &amp; Automation</t>
  </si>
  <si>
    <t>ACC22-0067</t>
  </si>
  <si>
    <t>Instant Payments</t>
  </si>
  <si>
    <t>ACC22-0068</t>
  </si>
  <si>
    <t>Unified Payments Console</t>
  </si>
  <si>
    <t>ACC22-0069</t>
  </si>
  <si>
    <t>Alternative Payment Gateways / Modes Integration</t>
  </si>
  <si>
    <t>ACC22-0070</t>
  </si>
  <si>
    <t>WL Switch Integration</t>
  </si>
  <si>
    <t>ACC22-0071-MI</t>
  </si>
  <si>
    <t>IPG Consolidation</t>
  </si>
  <si>
    <t>ACC22-0072-MN</t>
  </si>
  <si>
    <t>Technology Transformation</t>
  </si>
  <si>
    <t>3Y Vertical plan</t>
  </si>
  <si>
    <t>ACC22-0073</t>
  </si>
  <si>
    <t>Enterprise Dealhub Project Delivery</t>
  </si>
  <si>
    <t>ACC22-0074</t>
  </si>
  <si>
    <t>Smarthub(Education &amp; Government) and P4B</t>
  </si>
  <si>
    <t>ACC22-0075</t>
  </si>
  <si>
    <t>WL Subscription Pay</t>
  </si>
  <si>
    <t>ACC22-0076</t>
  </si>
  <si>
    <t>WL Tokenization Service</t>
  </si>
  <si>
    <t>ACC22-0077</t>
  </si>
  <si>
    <t>Smart Routing</t>
  </si>
  <si>
    <t>ACC22-0078</t>
  </si>
  <si>
    <t>Payment Orchestration Platform &amp; Experience</t>
  </si>
  <si>
    <t>Marco Polo - Surcharge</t>
  </si>
  <si>
    <t>Marco Polo - Feature complete</t>
  </si>
  <si>
    <t>Marco Polo - Acq AU config set up</t>
  </si>
  <si>
    <t>ACC22-0079</t>
  </si>
  <si>
    <t>ROAM - Acquirer Connections - TSYS</t>
  </si>
  <si>
    <t>ACC22-0080</t>
  </si>
  <si>
    <t>ROAM - Mobile Enhancements and Support - ROAMpay X</t>
  </si>
  <si>
    <t>ACC22-0081</t>
  </si>
  <si>
    <t>ROAM - Mobile Enhancements and Support - mPOS SDK</t>
  </si>
  <si>
    <t>ACC22-0082</t>
  </si>
  <si>
    <t>BIC - Fraud Management Tools</t>
  </si>
  <si>
    <t>IPP - Onboarding Automation</t>
  </si>
  <si>
    <t>ACC22-0084-EF</t>
  </si>
  <si>
    <t>Bambora Automation of bank statement check Nordics</t>
  </si>
  <si>
    <t>ACC22-0085</t>
  </si>
  <si>
    <t>Bambora My Pages - Agreement, Engagement, Customer change request</t>
  </si>
  <si>
    <t>ACC22-0086-EF</t>
  </si>
  <si>
    <t>Bambora new Partner Commission Model</t>
  </si>
  <si>
    <t>ACC22-0087-EF</t>
  </si>
  <si>
    <t>Bambora Flexible contract time/price</t>
  </si>
  <si>
    <t>ACC22-0088</t>
  </si>
  <si>
    <t>Bambora New Partner Model/Offering</t>
  </si>
  <si>
    <t>ACC22-0089-EF</t>
  </si>
  <si>
    <t>Bambora Mobile Bank ID for Device</t>
  </si>
  <si>
    <t>ACC22-0090</t>
  </si>
  <si>
    <t>Bambora Instore Minipool</t>
  </si>
  <si>
    <t>ACC22-0091</t>
  </si>
  <si>
    <t>Bambora Kick start merchant loan, related dev</t>
  </si>
  <si>
    <t>ACC22-0092</t>
  </si>
  <si>
    <t>Bambora Start new invoice partner (Online)</t>
  </si>
  <si>
    <t>ACC22-0093-MN</t>
  </si>
  <si>
    <t>Bambora Tetra extended UI</t>
  </si>
  <si>
    <t>United DCC Automatic onboarding</t>
  </si>
  <si>
    <t>ACC22-2007-RY</t>
  </si>
  <si>
    <t>Bambora 8 Digit Bin</t>
  </si>
  <si>
    <t>ACC22-2008-RY</t>
  </si>
  <si>
    <t>Bambora VISA/MC online refund</t>
  </si>
  <si>
    <t>ACC22-0095</t>
  </si>
  <si>
    <t>Connect - Offline processing</t>
  </si>
  <si>
    <t>United - SACC Decomissionning Casino</t>
  </si>
  <si>
    <t>ACC22-0096</t>
  </si>
  <si>
    <t>Roadmap / Geo Expansion</t>
  </si>
  <si>
    <t>Roadmap / Reconciliation</t>
  </si>
  <si>
    <t>ACC22-0097</t>
  </si>
  <si>
    <t>Roadmap / Billing</t>
  </si>
  <si>
    <t>ACC22-0098</t>
  </si>
  <si>
    <t>Custom / Evolutions for Asda</t>
  </si>
  <si>
    <t>Migration Conexflow to Axis</t>
  </si>
  <si>
    <t>Technical Debt / Auto tests </t>
  </si>
  <si>
    <t>OnLine Acquirer Hub</t>
  </si>
  <si>
    <t>Remittance &amp; Matching</t>
  </si>
  <si>
    <t>Sub1 transition</t>
  </si>
  <si>
    <t>Smart routing, CSACT</t>
  </si>
  <si>
    <t>ACC22-0101</t>
  </si>
  <si>
    <t>BIC - Bank Transfer Enhancements</t>
  </si>
  <si>
    <t>ACC22-0102-MI</t>
  </si>
  <si>
    <t>Valhalla</t>
  </si>
  <si>
    <t>Bambora Tetra Installation Guide</t>
  </si>
  <si>
    <t>ACC22-2009-RY</t>
  </si>
  <si>
    <t>Bambora Scheme compliance bucket</t>
  </si>
  <si>
    <t>United GTM - eCom - GTM Synergy - RB Omnichannel</t>
  </si>
  <si>
    <t>Marco Polo - SAGE</t>
  </si>
  <si>
    <t>ACC22-0104-RY</t>
  </si>
  <si>
    <t>IFS Compliancies</t>
  </si>
  <si>
    <t>ACC22-0105</t>
  </si>
  <si>
    <t>Saferpay - Worldline rebranding</t>
  </si>
  <si>
    <t>ACC22-0106</t>
  </si>
  <si>
    <t>Envelope - Mini Pool - Fastlane Saferpay 2022</t>
  </si>
  <si>
    <t>ACC22-0107</t>
  </si>
  <si>
    <t>SaferPay - iDeal 2.0</t>
  </si>
  <si>
    <t>ACC22-0108</t>
  </si>
  <si>
    <t>Saferpay - P24</t>
  </si>
  <si>
    <t>ACC22-0109</t>
  </si>
  <si>
    <t>Saferpay - Limonetik ecovoucher + Swissbiling</t>
  </si>
  <si>
    <t>ACC22-0110</t>
  </si>
  <si>
    <t>Saferpay - Click to Pay (SRC)</t>
  </si>
  <si>
    <t>ACC22-0111</t>
  </si>
  <si>
    <t>Saferpay - Klarna in FS</t>
  </si>
  <si>
    <t>ACC22-0112</t>
  </si>
  <si>
    <t>Saferpay - Scheme Token</t>
  </si>
  <si>
    <t>ACC22-0113</t>
  </si>
  <si>
    <t>Saferpay - BackOffice Enhancements</t>
  </si>
  <si>
    <t>ACC22-0114-RY</t>
  </si>
  <si>
    <t>Saferpay - BO login compliancy</t>
  </si>
  <si>
    <t>ACC22-0115</t>
  </si>
  <si>
    <t>Saferpay - Extend marketplace with BNPL for Payone</t>
  </si>
  <si>
    <t>MSPBDEMAND-1955</t>
  </si>
  <si>
    <t>ACC22-0116</t>
  </si>
  <si>
    <t>Differed Payment for Bancontact</t>
  </si>
  <si>
    <t>ACC22-0117</t>
  </si>
  <si>
    <t>Upgrade of iDeal to v2.0 on WLOC</t>
  </si>
  <si>
    <t>ACC22-0118-RY</t>
  </si>
  <si>
    <t>PCI-DSS regulatory requirements</t>
  </si>
  <si>
    <t>ACC22-0119</t>
  </si>
  <si>
    <t>Contact Avoidance</t>
  </si>
  <si>
    <t>ACC22-0120-RY</t>
  </si>
  <si>
    <t>Barclays Contract Renewal</t>
  </si>
  <si>
    <t>Marco Polo - Merchant Portal</t>
  </si>
  <si>
    <t>ACC22-0121</t>
  </si>
  <si>
    <t>Paytipper (New Whitelabel)</t>
  </si>
  <si>
    <t>ACC22-0122</t>
  </si>
  <si>
    <t>KBC new offer</t>
  </si>
  <si>
    <t>ACC22-0123</t>
  </si>
  <si>
    <t>Viveum new offer</t>
  </si>
  <si>
    <t>ACC22-0124</t>
  </si>
  <si>
    <t>PayGlobe new offer</t>
  </si>
  <si>
    <t>Marco Polo - Integration Layer</t>
  </si>
  <si>
    <t>Financial Institutions</t>
  </si>
  <si>
    <t xml:space="preserve">United B2 - Datalake for eCom </t>
  </si>
  <si>
    <t>Bucket CSS</t>
  </si>
  <si>
    <t>ACC22-0126</t>
  </si>
  <si>
    <t>RB Onmichannel</t>
  </si>
  <si>
    <t>ACC22-0127</t>
  </si>
  <si>
    <t>Bambora Online Projects</t>
  </si>
  <si>
    <t>Bambora Online Migration</t>
  </si>
  <si>
    <t>ACC22-0129</t>
  </si>
  <si>
    <t>Account updater on ecomm</t>
  </si>
  <si>
    <t>Scheme tokenisation on ecommerce</t>
  </si>
  <si>
    <t>ACC22-0130</t>
  </si>
  <si>
    <t>Xchannel for GSV</t>
  </si>
  <si>
    <t>ACC22-0131-RY</t>
  </si>
  <si>
    <t>BIC - Compliance / Security Requirements</t>
  </si>
  <si>
    <t>ACC22-6002</t>
  </si>
  <si>
    <t>GSV Ecom Unexpected customer project</t>
  </si>
  <si>
    <t>ACC22-0132</t>
  </si>
  <si>
    <t>Dankort on Ingenico Direct</t>
  </si>
  <si>
    <t>ACC22-0133-RY</t>
  </si>
  <si>
    <t>3DSv2.x, PSD2 and regulatory evolutions</t>
  </si>
  <si>
    <t>ACC22-0134</t>
  </si>
  <si>
    <t>MobilePay/Vipps on Ingenico Direct</t>
  </si>
  <si>
    <t>Swish on Ingenico Direct</t>
  </si>
  <si>
    <t>Custom / Evolutions for Lidl</t>
  </si>
  <si>
    <t>Marco Polo - Omnichannel</t>
  </si>
  <si>
    <t>Datalake to split</t>
  </si>
  <si>
    <t>Generic but external budget</t>
  </si>
  <si>
    <t>ACC22-0136</t>
  </si>
  <si>
    <t>WL1C - Customer Implementations</t>
  </si>
  <si>
    <t>ACC22-0137</t>
  </si>
  <si>
    <t>WL1C - Target Operating Model (TOM), Product Acceptance Testing (PAT) for new platform integations</t>
  </si>
  <si>
    <t>ACC22-6003</t>
  </si>
  <si>
    <t>WL1C - Growth-driven efficiency investments (Tooling, Outsourcing)</t>
  </si>
  <si>
    <t>ACC22-2010-EF</t>
  </si>
  <si>
    <t>WL1C - Unified Reporting</t>
  </si>
  <si>
    <t>ACC22-2011-EF</t>
  </si>
  <si>
    <t>WL1C - Incremental Authorization</t>
  </si>
  <si>
    <t>ACC22-0138</t>
  </si>
  <si>
    <t>WL1C - Pan-EU Tier 2-3 (EP2 Integration to Service Hub)</t>
  </si>
  <si>
    <t xml:space="preserve">WL1C - SaferPay Notification: Remaining Payment methods </t>
  </si>
  <si>
    <t>Reconciliation without Payout</t>
  </si>
  <si>
    <t>ACC22-0139</t>
  </si>
  <si>
    <t>Bambora Boarding queuing FWK refactoring (placeholder)</t>
  </si>
  <si>
    <t>ACC22-0140-MN</t>
  </si>
  <si>
    <t>Bambora Salesforce roadmap</t>
  </si>
  <si>
    <t>ACC22-0141</t>
  </si>
  <si>
    <t>Bambora boarding security improvements</t>
  </si>
  <si>
    <t>Onboarding Automation</t>
  </si>
  <si>
    <t>Roadmap Purchasing</t>
  </si>
  <si>
    <t>ACC22-0143</t>
  </si>
  <si>
    <t>Android for CSACT</t>
  </si>
  <si>
    <t>ACC22-0144-EF</t>
  </si>
  <si>
    <t>CSACT – Acquirer Hub connection</t>
  </si>
  <si>
    <t>ACC22-0145</t>
  </si>
  <si>
    <t>[Latam] Full Service in Brazil</t>
  </si>
  <si>
    <t>[Latam] Full Service in Mexico</t>
  </si>
  <si>
    <t>SACC - Projects</t>
  </si>
  <si>
    <t xml:space="preserve">cCredit - ep2 Improvements </t>
  </si>
  <si>
    <t xml:space="preserve">cCredit - ZVT Improvements </t>
  </si>
  <si>
    <t xml:space="preserve">cCredit – Hospitality </t>
  </si>
  <si>
    <t>Dynamic Currency Conversion - Backoffice Upgrade (IC tag needed)</t>
  </si>
  <si>
    <t>United - Ecom - ogone Merchant Portal React Library enhancements</t>
  </si>
  <si>
    <t xml:space="preserve">United - Ecom - ogone legacy Back Office Jquery upgrade </t>
  </si>
  <si>
    <t>SACC - Build (non UNITED)</t>
  </si>
  <si>
    <t>ACC22-0148-MN</t>
  </si>
  <si>
    <t xml:space="preserve">Modernize WL HPNS fuel card GTW </t>
  </si>
  <si>
    <t>[UNITED] SACC to Axis</t>
  </si>
  <si>
    <t>ACC22-0149</t>
  </si>
  <si>
    <t>Acquirer Hub extension</t>
  </si>
  <si>
    <t>[UNITED] Mass Transit</t>
  </si>
  <si>
    <t>AXIS - FRv6</t>
  </si>
  <si>
    <t>ACC22-6004</t>
  </si>
  <si>
    <t>Custom / Galeries Lafayette Ecom</t>
  </si>
  <si>
    <t>United B2 - eCom - Boarding AccountAPI-decommision</t>
  </si>
  <si>
    <t>Shared Services - Scheme Tokenization</t>
  </si>
  <si>
    <t>ACC22-0151</t>
  </si>
  <si>
    <t>[Latam] Antifraud integration</t>
  </si>
  <si>
    <t>ACC22-0152</t>
  </si>
  <si>
    <t>[Latam] Pix Enhancements and Pre-funding for CBR</t>
  </si>
  <si>
    <t>ACC22-0153</t>
  </si>
  <si>
    <t>Integration to shared service Acq Hub</t>
  </si>
  <si>
    <t>SACC - Build</t>
  </si>
  <si>
    <t>AML functional shared service</t>
  </si>
  <si>
    <t>Bambora Marco Polo Merchant loan</t>
  </si>
  <si>
    <t>Marco Polo | Portal | Feature complete</t>
  </si>
  <si>
    <t xml:space="preserve">Channel API </t>
  </si>
  <si>
    <t>MS data integration (UNITED)</t>
  </si>
  <si>
    <t>Omnibus Portal platform | Foundation</t>
  </si>
  <si>
    <t>ACC22-0155</t>
  </si>
  <si>
    <t xml:space="preserve">MyPerformance Integration of IAM module </t>
  </si>
  <si>
    <t>Single project</t>
  </si>
  <si>
    <t>DC - Table Stake requirements</t>
  </si>
  <si>
    <t>WL1C - Onboarding for Shared Services (Synergy Consequence)</t>
  </si>
  <si>
    <t>ACC22-2012-EF</t>
  </si>
  <si>
    <t>Technical Debt and Application / Operational Maintenance PPS</t>
  </si>
  <si>
    <t>WL1C - Contract Type ID support for Unified Reconciliation, WL Acq POS CTAP</t>
  </si>
  <si>
    <t>temp</t>
  </si>
  <si>
    <t>ACC22-0156-EF</t>
  </si>
  <si>
    <t>WL1C - Plug&amp;Play DE Launch</t>
  </si>
  <si>
    <t>ACC22-0157</t>
  </si>
  <si>
    <t>WL1C - Platform Integration Support (OCH)</t>
  </si>
  <si>
    <t>ACC22-0158</t>
  </si>
  <si>
    <t>WL1C - Platform Integration Support (Operations)</t>
  </si>
  <si>
    <t>ACC22-0159</t>
  </si>
  <si>
    <t>WL1C - CTAP-WOPA Maintenance (for eWL)</t>
  </si>
  <si>
    <t>Automatic Contract Mgmt &amp; Onboarding of CTAP Terminals</t>
  </si>
  <si>
    <t>ACC22-0160-MI</t>
  </si>
  <si>
    <t>Migrate existing customer to Direct API</t>
  </si>
  <si>
    <t>ACC22-0161-EF</t>
  </si>
  <si>
    <t>Bambora Reporting API Mid/Large</t>
  </si>
  <si>
    <t>ACC22-0162-EF</t>
  </si>
  <si>
    <t>Bambora Customer Product Engagement in SF</t>
  </si>
  <si>
    <t>E2E
Actuals
KEUR</t>
  </si>
  <si>
    <t>(ACT)
Yr 1</t>
  </si>
  <si>
    <t>(ACT)
Yr 2</t>
  </si>
  <si>
    <t>(ACT)
Yr 3</t>
  </si>
  <si>
    <t>(ACT)
Yr 4</t>
  </si>
  <si>
    <t>(ACT)
Yr 5</t>
  </si>
  <si>
    <t>Working column (Grouping from CP 13/7/21)</t>
  </si>
  <si>
    <t>Working column ('OLD' Group offering from Mapping)</t>
  </si>
  <si>
    <t>Working column ('NEW' Group offering from MS CP 19/8/21)</t>
  </si>
  <si>
    <t>Working column (CAPI from MS CP 19/8/21)</t>
  </si>
  <si>
    <t>Working column (OOI from MS CP 19/8/21)</t>
  </si>
  <si>
    <t>Working column (Requester from MS CP 19/8/21)</t>
  </si>
  <si>
    <t>Working column (Owner from MS CP 19/8/21)</t>
  </si>
  <si>
    <t>Working column ('Priority category' from MS CP 19/8/21)</t>
  </si>
  <si>
    <t>ARCHITECTURE-acceptance</t>
  </si>
  <si>
    <t>MS ARCHITECTURE-acceptance</t>
  </si>
  <si>
    <t>Envelope</t>
  </si>
  <si>
    <t>MS PMO</t>
  </si>
  <si>
    <t>MHL,24/9/21: Dates added.</t>
  </si>
  <si>
    <t>FLOB02-3</t>
  </si>
  <si>
    <t>Florida - B02 Connectivity to OneCommerceHub (aggregated)</t>
  </si>
  <si>
    <t>MES One Commerce Hub</t>
  </si>
  <si>
    <t>GB.707480.040</t>
  </si>
  <si>
    <t>Wallet Data Migration</t>
  </si>
  <si>
    <t>GB.709660</t>
  </si>
  <si>
    <t>TPS Mandatory Upgrades</t>
  </si>
  <si>
    <t>GB.923648</t>
  </si>
  <si>
    <t>UK Payments</t>
  </si>
  <si>
    <t>GB.999307.010</t>
  </si>
  <si>
    <t>SIPS Decommissiong - Development &amp; Test</t>
  </si>
  <si>
    <t>GB.999307.020</t>
  </si>
  <si>
    <t>SIPS Decommissiong - Management</t>
  </si>
  <si>
    <t>IN20-01-EF</t>
  </si>
  <si>
    <t>ASTRA - TechDebt Ogone - ECOM Global : Scalability Evolution</t>
  </si>
  <si>
    <t>WLOC - BEL</t>
  </si>
  <si>
    <t>C - 50%</t>
  </si>
  <si>
    <t>O - 00%</t>
  </si>
  <si>
    <t>MHL,23/9/21: Completed by Guido on 21/9/21.</t>
  </si>
  <si>
    <t>Ogone</t>
  </si>
  <si>
    <t>Default</t>
  </si>
  <si>
    <t>C-50%</t>
  </si>
  <si>
    <t>SMB</t>
  </si>
  <si>
    <t>Stephan van Gulck</t>
  </si>
  <si>
    <t>2. Capitalizable Project</t>
  </si>
  <si>
    <t>IN20-05-EF</t>
  </si>
  <si>
    <t>MPI - Finalization of 3DSv2,2 (VISA-MC-AMEX-CB-DINERS-CUP-JCB)</t>
  </si>
  <si>
    <t>IN20-06-EF</t>
  </si>
  <si>
    <t>Roadmap - Insight - Refunds</t>
  </si>
  <si>
    <t>IN20-09-EF</t>
  </si>
  <si>
    <t>Roadmap - MPGS</t>
  </si>
  <si>
    <t>Global Collect - NLD</t>
  </si>
  <si>
    <t>C - 70%</t>
  </si>
  <si>
    <t>Global collect</t>
  </si>
  <si>
    <t>C-70%</t>
  </si>
  <si>
    <t>Digital Commerce</t>
  </si>
  <si>
    <t>Zlatko Bralic</t>
  </si>
  <si>
    <t>IN20-11-EF</t>
  </si>
  <si>
    <t>Roadmap - Network/Scheme Tokens</t>
  </si>
  <si>
    <t>Rik van 't Hof</t>
  </si>
  <si>
    <t>IN20-12-EF</t>
  </si>
  <si>
    <t>BIN &amp; Routing (based on BIN service)</t>
  </si>
  <si>
    <t>IN20-14-EF</t>
  </si>
  <si>
    <t>e-Portal for CSACT</t>
  </si>
  <si>
    <t>C - 30%</t>
  </si>
  <si>
    <t>other</t>
  </si>
  <si>
    <t>C-30%</t>
  </si>
  <si>
    <t>Global sales and Verticals</t>
  </si>
  <si>
    <t>Charlotte Perraudin</t>
  </si>
  <si>
    <t>IN20-16-EF</t>
  </si>
  <si>
    <t>Conexflow migration</t>
  </si>
  <si>
    <t>NA</t>
  </si>
  <si>
    <t>C - 00%</t>
  </si>
  <si>
    <t>not applicable</t>
  </si>
  <si>
    <t>C-0%</t>
  </si>
  <si>
    <t>O-0%</t>
  </si>
  <si>
    <t>Ismael Jaafar</t>
  </si>
  <si>
    <t>6. Other projects</t>
  </si>
  <si>
    <t>IN20-200</t>
  </si>
  <si>
    <t>TechDebt IFS - DC Consolidation for IFS</t>
  </si>
  <si>
    <t>IN20-202</t>
  </si>
  <si>
    <t>Onboarding</t>
  </si>
  <si>
    <t>IN20-22-RY</t>
  </si>
  <si>
    <t>Compliance &amp; Security -Acquiring (PSD2) - TOP10-2020</t>
  </si>
  <si>
    <t>IN20-25-RY</t>
  </si>
  <si>
    <t>Roadmap - 3DS</t>
  </si>
  <si>
    <t>Ariana del Rosario</t>
  </si>
  <si>
    <t>IN20-27-RY</t>
  </si>
  <si>
    <t>WF recertification</t>
  </si>
  <si>
    <t>IN20-29-RY</t>
  </si>
  <si>
    <t>Roadmap - AML - Functional improvements</t>
  </si>
  <si>
    <t>IN20-31-RY</t>
  </si>
  <si>
    <t>BNP upgrade</t>
  </si>
  <si>
    <t>IN20-34-RY</t>
  </si>
  <si>
    <t>Regulation Axis France CB 6</t>
  </si>
  <si>
    <t>Axis - FRA</t>
  </si>
  <si>
    <t>Sylvain Marion</t>
  </si>
  <si>
    <t>IN20-35-RY</t>
  </si>
  <si>
    <t>Regulation / PSD2</t>
  </si>
  <si>
    <t>Pierre RIAT</t>
  </si>
  <si>
    <t>IN20-36-RY</t>
  </si>
  <si>
    <t>Regulation Axis France other</t>
  </si>
  <si>
    <t>4. Compliance Project</t>
  </si>
  <si>
    <t>IN20-38-RY</t>
  </si>
  <si>
    <t>Petrol with AXIS</t>
  </si>
  <si>
    <t>Thierry Fortune</t>
  </si>
  <si>
    <t>IN20-49</t>
  </si>
  <si>
    <t>Ingenico Direct - TOP10-2020</t>
  </si>
  <si>
    <t>IN20-50</t>
  </si>
  <si>
    <t>IFS - Productization (including Pricing) - TOP10-2020</t>
  </si>
  <si>
    <t>Tunz</t>
  </si>
  <si>
    <t>IN20-501</t>
  </si>
  <si>
    <t>Google Pay - GO112</t>
  </si>
  <si>
    <t>IN20-502</t>
  </si>
  <si>
    <t>Apple Pay - GO123</t>
  </si>
  <si>
    <t>IN20-503</t>
  </si>
  <si>
    <t>Payment Product Ordering - GO124</t>
  </si>
  <si>
    <t>IN20-504</t>
  </si>
  <si>
    <t>New connection VTB</t>
  </si>
  <si>
    <t>IN20-505</t>
  </si>
  <si>
    <t>China Big Bet</t>
  </si>
  <si>
    <t>IN20-51</t>
  </si>
  <si>
    <t>Nordics Instore - Launch new schemes in Nordics</t>
  </si>
  <si>
    <t>Bambora Nordics (incl. Acquiring)</t>
  </si>
  <si>
    <t>Pernilla Grabner</t>
  </si>
  <si>
    <t>IN20-56</t>
  </si>
  <si>
    <t>Others (payment capabilities, Fraud)</t>
  </si>
  <si>
    <t>IN20-59</t>
  </si>
  <si>
    <t>Nordics Instore - Tetra terminal enhancements - cost reductions and customer experience enhancements</t>
  </si>
  <si>
    <t>IN20-601</t>
  </si>
  <si>
    <t>Booking.com Reverse API</t>
  </si>
  <si>
    <t>IN20-602</t>
  </si>
  <si>
    <t>Lodging data Vacasa</t>
  </si>
  <si>
    <t>IN20-603</t>
  </si>
  <si>
    <t>Geo Expansion Poland</t>
  </si>
  <si>
    <t>3. BAU investments</t>
  </si>
  <si>
    <t>IN20-604</t>
  </si>
  <si>
    <t>Geo Expansion Italy</t>
  </si>
  <si>
    <t>IN20-605</t>
  </si>
  <si>
    <t>Custom / Evolutions for Carrefour</t>
  </si>
  <si>
    <t>IN20-606</t>
  </si>
  <si>
    <t>CEPSA project on CSACT</t>
  </si>
  <si>
    <t>IN20-607</t>
  </si>
  <si>
    <t>Custom / Evolutions for M&amp;S</t>
  </si>
  <si>
    <t>IN20-608</t>
  </si>
  <si>
    <t>Custom / Evolutions for Post Office</t>
  </si>
  <si>
    <t>IN20-609</t>
  </si>
  <si>
    <t>Custom / Evolutions for Sainsbury's</t>
  </si>
  <si>
    <t>IN20-610</t>
  </si>
  <si>
    <t>Custom / Evolutions for Ikea</t>
  </si>
  <si>
    <t>IN20-65</t>
  </si>
  <si>
    <t>Roadmap - Brazil</t>
  </si>
  <si>
    <t>IN20-67</t>
  </si>
  <si>
    <t>Roadmap - Faster Remittance</t>
  </si>
  <si>
    <t>IN20-68</t>
  </si>
  <si>
    <t>Roadmap - Net Remittance</t>
  </si>
  <si>
    <t>IN20-69</t>
  </si>
  <si>
    <t>Roadmap - Travelhub Improvements</t>
  </si>
  <si>
    <t>KP</t>
  </si>
  <si>
    <t>IN20-75</t>
  </si>
  <si>
    <t>Roadmap - Payouts AIB</t>
  </si>
  <si>
    <t>IN20-77</t>
  </si>
  <si>
    <t>Roadmap - Reverse API (GC)</t>
  </si>
  <si>
    <t>IN20-80</t>
  </si>
  <si>
    <t>Acquiring / Finalization of Bambora ongoing topics</t>
  </si>
  <si>
    <t>Martin Tomkins</t>
  </si>
  <si>
    <t>IN20-81</t>
  </si>
  <si>
    <t>Verticals - Transportation / OP2GO One FR</t>
  </si>
  <si>
    <t>IN20-82</t>
  </si>
  <si>
    <t>Verticals - Parking/EV Charging / Vending Self/2-4-5000</t>
  </si>
  <si>
    <t>IN20-83</t>
  </si>
  <si>
    <t>Roadmap - Travel Linkplus integration</t>
  </si>
  <si>
    <t>IN20-92-MN</t>
  </si>
  <si>
    <t>Others</t>
  </si>
  <si>
    <t>Maintenance &amp; Small enhancements</t>
  </si>
  <si>
    <t>IN20-95-MN</t>
  </si>
  <si>
    <t>e-Portal (&amp; Everest) maintenance</t>
  </si>
  <si>
    <t>IN20-96-MN</t>
  </si>
  <si>
    <t>Maintenance on Axis</t>
  </si>
  <si>
    <t>IN21-01-MN</t>
  </si>
  <si>
    <t>Data maintenance</t>
  </si>
  <si>
    <t>IN21-01-RY</t>
  </si>
  <si>
    <t>New regulations on Conexflow</t>
  </si>
  <si>
    <t>CSACT - SPA</t>
  </si>
  <si>
    <t>IN21-02-RY</t>
  </si>
  <si>
    <t>New regulations on CSACT</t>
  </si>
  <si>
    <t>IN21-03-EF</t>
  </si>
  <si>
    <t>e-Portal: technical debt</t>
  </si>
  <si>
    <t>IN21-03-MN</t>
  </si>
  <si>
    <t>Maintenance on Ogone / Squads GSV</t>
  </si>
  <si>
    <t>IN21-03-RY</t>
  </si>
  <si>
    <t>Regulation / 6 to 8 BIN Mgt</t>
  </si>
  <si>
    <t>IN21-04-MN</t>
  </si>
  <si>
    <t>Iberian platforms (CSACT + Conexflow) maintenance</t>
  </si>
  <si>
    <t>5. Maintenance</t>
  </si>
  <si>
    <t>IN21-04-RY</t>
  </si>
  <si>
    <t>Regulation / VAS &amp; Issuers</t>
  </si>
  <si>
    <t>IN21-05</t>
  </si>
  <si>
    <t>Petrol / Acceptance of new international issuers on CSACT</t>
  </si>
  <si>
    <t>IN21-05-EF</t>
  </si>
  <si>
    <t>Tech, Func &amp; Security Debt</t>
  </si>
  <si>
    <t>IN21-06</t>
  </si>
  <si>
    <t>Petrol / CSACT geo expansion in Portugal</t>
  </si>
  <si>
    <t>IN21-06-EF</t>
  </si>
  <si>
    <t>Technical Debt / Global Infra</t>
  </si>
  <si>
    <t>IN21-07-EF</t>
  </si>
  <si>
    <t>eCom / Migration to Ingenico Direct</t>
  </si>
  <si>
    <t>IN21-08-EF</t>
  </si>
  <si>
    <t>eCom / new Payment means</t>
  </si>
  <si>
    <t>IN21-09</t>
  </si>
  <si>
    <t>Smart Routing / shared service</t>
  </si>
  <si>
    <t>Axis</t>
  </si>
  <si>
    <t>IN21-09-EF</t>
  </si>
  <si>
    <t>CSACT / Migration to Global Infra</t>
  </si>
  <si>
    <t>IN21-10</t>
  </si>
  <si>
    <t>Customer Interaction Interface</t>
  </si>
  <si>
    <t>IN21-100-RY</t>
  </si>
  <si>
    <t>Compliance &amp; Security - Fiserv Certification Canada and US</t>
  </si>
  <si>
    <t>Beanstream Roam - NAR</t>
  </si>
  <si>
    <t>C - 90%</t>
  </si>
  <si>
    <t>Beanstream</t>
  </si>
  <si>
    <t>C-90%</t>
  </si>
  <si>
    <t>Tristan Kenning</t>
  </si>
  <si>
    <t>IN21-101-RY</t>
  </si>
  <si>
    <t>Compliance &amp; Security - Secure Webspace Deprecation</t>
  </si>
  <si>
    <t>IN21-102-MN</t>
  </si>
  <si>
    <t>TechDebt - RTP Reliability Reporting</t>
  </si>
  <si>
    <t>MHL,19/8/21: Added because 'missing' actuals added for IC June.</t>
  </si>
  <si>
    <t>IN21-103-RY</t>
  </si>
  <si>
    <t>Compliance &amp; Security - Velocity Controls</t>
  </si>
  <si>
    <t>IN21-104-MN</t>
  </si>
  <si>
    <t>TechDebt - Logging and KPIs</t>
  </si>
  <si>
    <t>IN21-105-MN</t>
  </si>
  <si>
    <t>TechDebt - Statements revamp</t>
  </si>
  <si>
    <t>IN21-10-EF</t>
  </si>
  <si>
    <t>CSACT availability &amp; security</t>
  </si>
  <si>
    <t>IN21-110</t>
  </si>
  <si>
    <t>Beanstream - Worldline Rebrand</t>
  </si>
  <si>
    <t>IN21-111-RY</t>
  </si>
  <si>
    <t>Compliance &amp; Security - 3DS 2.0</t>
  </si>
  <si>
    <t>IN21-115</t>
  </si>
  <si>
    <t>ROAM - Worldline Rebrand</t>
  </si>
  <si>
    <t>Roam</t>
  </si>
  <si>
    <t>IN21-117</t>
  </si>
  <si>
    <t>ROAM - Fiserv Certification: Host + Moby/8500 (Canada)</t>
  </si>
  <si>
    <t>IN21-119</t>
  </si>
  <si>
    <t xml:space="preserve">ROAM - Online: Custom Checkout </t>
  </si>
  <si>
    <t>IN21-11-EF</t>
  </si>
  <si>
    <t>CSACT Software factory</t>
  </si>
  <si>
    <t>IN21-120</t>
  </si>
  <si>
    <t>ROAM - Full Service: Account Creation / Due Diligence / Pricing Config</t>
  </si>
  <si>
    <t>IN21-122</t>
  </si>
  <si>
    <t>ROAM - Full Service: Statements / Fee Collection</t>
  </si>
  <si>
    <t>IN21-123</t>
  </si>
  <si>
    <t>ROAM - Full Service: Transaction Reconciliation / Merchant Funding / Disputes</t>
  </si>
  <si>
    <t>IN21-124</t>
  </si>
  <si>
    <t>ROAM - Full Service: Merchant monitoring</t>
  </si>
  <si>
    <t>IN21-125</t>
  </si>
  <si>
    <t>ROAM - Online: Velocity Controls</t>
  </si>
  <si>
    <t>IN21-127</t>
  </si>
  <si>
    <t>ROAM - Apple Pay/Google Pay mass enablement</t>
  </si>
  <si>
    <t>IN21-12-EF</t>
  </si>
  <si>
    <t>Reference Package</t>
  </si>
  <si>
    <t>IN21-13</t>
  </si>
  <si>
    <t>Migration C3I UK</t>
  </si>
  <si>
    <t>IN21-130-RY</t>
  </si>
  <si>
    <t>Compliance &amp; Security - Internationalization: Canada support including French Language</t>
  </si>
  <si>
    <t>IN21-131</t>
  </si>
  <si>
    <t>3DSv2</t>
  </si>
  <si>
    <t>IPP - AUS</t>
  </si>
  <si>
    <t>Mike O'Halloran</t>
  </si>
  <si>
    <t>IN21-132</t>
  </si>
  <si>
    <t>Alternative Payments integration (via Ingenico Global Collect)</t>
  </si>
  <si>
    <t>IN21-137</t>
  </si>
  <si>
    <t xml:space="preserve">Notification Engine </t>
  </si>
  <si>
    <t>IN21-138</t>
  </si>
  <si>
    <t>Direct Entry service</t>
  </si>
  <si>
    <t>IN21-139-MN</t>
  </si>
  <si>
    <t>Platform application enhancements</t>
  </si>
  <si>
    <t>IN21-13-EF</t>
  </si>
  <si>
    <t>Security &amp; Risks</t>
  </si>
  <si>
    <t>IN21-14</t>
  </si>
  <si>
    <t>Roadmap / Enhance Merchant Experience</t>
  </si>
  <si>
    <t>IN21-142</t>
  </si>
  <si>
    <t>IVR Payments service</t>
  </si>
  <si>
    <t>IN21-144</t>
  </si>
  <si>
    <t>Network Tokenisation - Phase 2</t>
  </si>
  <si>
    <t>IN21-147</t>
  </si>
  <si>
    <t>Roadmap - UXT - Functional improvements Part II</t>
  </si>
  <si>
    <t>IN21-148-RY</t>
  </si>
  <si>
    <t>IN21-149-EF</t>
  </si>
  <si>
    <t>Roadmap - UXT - Process Improvements</t>
  </si>
  <si>
    <t>IN21-14-EF</t>
  </si>
  <si>
    <t>Technical Debt / Auto tests</t>
  </si>
  <si>
    <t>IN21-15</t>
  </si>
  <si>
    <t>In-store APM Launch / Improvements</t>
  </si>
  <si>
    <t>IN21-154</t>
  </si>
  <si>
    <t>Roadmap - UXT - Data analytics improvements</t>
  </si>
  <si>
    <t>IN21-155</t>
  </si>
  <si>
    <t>Roadmap - UXT - Merchant Portal</t>
  </si>
  <si>
    <t>IN21-157</t>
  </si>
  <si>
    <t>Roadmap - UXT - Functional improvements Part I</t>
  </si>
  <si>
    <t>IN21-158</t>
  </si>
  <si>
    <t>Roadmap - Google Pay / Apple Pay</t>
  </si>
  <si>
    <t>IN21-15-EF</t>
  </si>
  <si>
    <t>Technical Debt / Refactoring</t>
  </si>
  <si>
    <t>IN21-16</t>
  </si>
  <si>
    <t>Token - GTS Shared Services</t>
  </si>
  <si>
    <t>IN21-161</t>
  </si>
  <si>
    <t>Roadmap - Account Updater</t>
  </si>
  <si>
    <t>IN21-164</t>
  </si>
  <si>
    <t>Roadmap - APM - Open Banking</t>
  </si>
  <si>
    <t>IN21-166</t>
  </si>
  <si>
    <t>Roadmap - India Prop 3</t>
  </si>
  <si>
    <t>IN21-170-MN</t>
  </si>
  <si>
    <t>UXT - maintentance</t>
  </si>
  <si>
    <t>IN21-171</t>
  </si>
  <si>
    <t>Roadmap - Shopping Carts</t>
  </si>
  <si>
    <t>IN21-176-RY</t>
  </si>
  <si>
    <t>Roadmap - Fraud Tools</t>
  </si>
  <si>
    <t>IN21-177-RY</t>
  </si>
  <si>
    <t>Roadmap - 3DS Exemptions and improvemenmts</t>
  </si>
  <si>
    <t>IN21-183</t>
  </si>
  <si>
    <t>Roadmap - Fraud as Service</t>
  </si>
  <si>
    <t>IN21-187-MN</t>
  </si>
  <si>
    <t>Fraud - Tech Debt</t>
  </si>
  <si>
    <t>IN21-189-MN</t>
  </si>
  <si>
    <t>Tech Debt</t>
  </si>
  <si>
    <t>IN21-192</t>
  </si>
  <si>
    <t>Roadmap - GSS - Compliance</t>
  </si>
  <si>
    <t>IN21-200-EF</t>
  </si>
  <si>
    <t>UXT - Tech Debt</t>
  </si>
  <si>
    <t>P</t>
  </si>
  <si>
    <t>not applicable - Run Activity</t>
  </si>
  <si>
    <t>IN21-23</t>
  </si>
  <si>
    <t>Ingenico Direct - Gift Cards</t>
  </si>
  <si>
    <t>IN21-25</t>
  </si>
  <si>
    <t>Ingenico Direct - SDD</t>
  </si>
  <si>
    <t>IN21-27</t>
  </si>
  <si>
    <t>Ingenico Direct - Accessibility Improvement</t>
  </si>
  <si>
    <t>IN21-28</t>
  </si>
  <si>
    <t>Ingenico Direct - White Label enablement</t>
  </si>
  <si>
    <t>IN21-302</t>
  </si>
  <si>
    <t>Roadmap - APM - BNPL</t>
  </si>
  <si>
    <t>Stanley Macnack</t>
  </si>
  <si>
    <t>IN21-30-RY</t>
  </si>
  <si>
    <t>Compliance &amp; Security - PSD2 feature gap closing</t>
  </si>
  <si>
    <t>IN21-310-MN</t>
  </si>
  <si>
    <t>GSS - Tech Debt</t>
  </si>
  <si>
    <t>IN21-312-MN</t>
  </si>
  <si>
    <t>Dispute Management - BAU</t>
  </si>
  <si>
    <t>IN21-314</t>
  </si>
  <si>
    <t>Roadmap - PSD2 Next Phase</t>
  </si>
  <si>
    <t>IN21-315</t>
  </si>
  <si>
    <t>Roadmap - AMEX Hierarchy</t>
  </si>
  <si>
    <t>IN21-317</t>
  </si>
  <si>
    <t>Roadmap - Cards Other</t>
  </si>
  <si>
    <t>IN21-318</t>
  </si>
  <si>
    <t>Roadmap - 3Dv2</t>
  </si>
  <si>
    <t>IN21-320</t>
  </si>
  <si>
    <t>Roadmap - Cards - Functional improvements</t>
  </si>
  <si>
    <t>IN21-323</t>
  </si>
  <si>
    <t>Cards - Tech Debt</t>
  </si>
  <si>
    <t>IN21-326</t>
  </si>
  <si>
    <t>Roadmap - APM - Functional Improvements</t>
  </si>
  <si>
    <t>IN21-328</t>
  </si>
  <si>
    <t>APM - Tech Debt</t>
  </si>
  <si>
    <t>IN21-33</t>
  </si>
  <si>
    <t>ME Portal - Configuration improvements 1</t>
  </si>
  <si>
    <t>IN21-332</t>
  </si>
  <si>
    <t>Travel - Tech Debt</t>
  </si>
  <si>
    <t>IN21-336</t>
  </si>
  <si>
    <t>Roadmap - BSP Improvements</t>
  </si>
  <si>
    <t>IN21-34</t>
  </si>
  <si>
    <t>ME Portal - Reporting  improvements 1</t>
  </si>
  <si>
    <t>IN21-348</t>
  </si>
  <si>
    <t>Roadmap - Insight - Functional improvements Part I</t>
  </si>
  <si>
    <t>IN21-35</t>
  </si>
  <si>
    <t>ME Portal - User Management &amp; SSO &amp; Identity management 2</t>
  </si>
  <si>
    <t>IN21-36</t>
  </si>
  <si>
    <t>ME Portal - Group hierarchy Management</t>
  </si>
  <si>
    <t>IN21-362</t>
  </si>
  <si>
    <t>Roadmap - Reports - Functional Improvements</t>
  </si>
  <si>
    <t>IN21-367</t>
  </si>
  <si>
    <t>Roadmap - GSS - Invoicing Improvements</t>
  </si>
  <si>
    <t>IN21-368</t>
  </si>
  <si>
    <t>Roadmap - New Geography</t>
  </si>
  <si>
    <t>IN21-372-MN</t>
  </si>
  <si>
    <t>Reporting - Tech Debt</t>
  </si>
  <si>
    <t>IN21-38</t>
  </si>
  <si>
    <t>Customer Experience - Provisioning API</t>
  </si>
  <si>
    <t>IN21-39</t>
  </si>
  <si>
    <t>ME Portal - Reporting  improvements</t>
  </si>
  <si>
    <t>IN21-391</t>
  </si>
  <si>
    <t>India TP - IND</t>
  </si>
  <si>
    <t>Ingenico India</t>
  </si>
  <si>
    <t>Jagdish Kumar</t>
  </si>
  <si>
    <t>IN21-40</t>
  </si>
  <si>
    <t>Customer Experience - MyPerformance Business Insights Quality Improvements</t>
  </si>
  <si>
    <t>IN21-408</t>
  </si>
  <si>
    <t>Roadmap - Sub1 - Product Improvements</t>
  </si>
  <si>
    <t>Sub1 - ARG</t>
  </si>
  <si>
    <t>MES Sips</t>
  </si>
  <si>
    <t>Juan Manuel Rebull</t>
  </si>
  <si>
    <t>IN21-414</t>
  </si>
  <si>
    <t>Sub1 - Tech Debt</t>
  </si>
  <si>
    <t>IN21-42</t>
  </si>
  <si>
    <t>Merchant Risk prevention - Automatic resubmission for Soft Declined transactions</t>
  </si>
  <si>
    <t>IN21-424</t>
  </si>
  <si>
    <t>Roadmap - Sub1 - Compliance</t>
  </si>
  <si>
    <t>IN21-427</t>
  </si>
  <si>
    <t>Incident &amp; Problem management</t>
  </si>
  <si>
    <t>IN21-428</t>
  </si>
  <si>
    <t>Roadmap - DevCode - Product improvements</t>
  </si>
  <si>
    <t>DevCode - SWE</t>
  </si>
  <si>
    <t>DevCode</t>
  </si>
  <si>
    <t>IN21-43</t>
  </si>
  <si>
    <t>Merchant Risk prevention - Exemption Engine</t>
  </si>
  <si>
    <t>IN21-437</t>
  </si>
  <si>
    <t>Gateway ++ / Reconciliation</t>
  </si>
  <si>
    <t>IN21-438</t>
  </si>
  <si>
    <t>Datalake run activity</t>
  </si>
  <si>
    <t>IN21-439</t>
  </si>
  <si>
    <t>e-Portal v6 reporting</t>
  </si>
  <si>
    <t>IN21-440</t>
  </si>
  <si>
    <t>e-Portal API</t>
  </si>
  <si>
    <t>IN21-441-RY</t>
  </si>
  <si>
    <t>Regulation Axis Europe</t>
  </si>
  <si>
    <t>IN21-443</t>
  </si>
  <si>
    <t>Self Service on CSACT</t>
  </si>
  <si>
    <t>IN21-444</t>
  </si>
  <si>
    <t>Plugins - Development &amp; Support - of shopping cart plugins</t>
  </si>
  <si>
    <t>IN21-446-MN</t>
  </si>
  <si>
    <t>Mini Pool - Continuous Deliveries</t>
  </si>
  <si>
    <t>IN21-48</t>
  </si>
  <si>
    <t>Customer Experience - Documentation improvements</t>
  </si>
  <si>
    <t>IN21-56-RY</t>
  </si>
  <si>
    <t>Compliance &amp; Security - Scheme compliance - Extend Visa BIN from 6 to 8 digits</t>
  </si>
  <si>
    <t>IN21-58-EF</t>
  </si>
  <si>
    <t>TechDebt IFS - platform scalability</t>
  </si>
  <si>
    <t>IN21-59-EF</t>
  </si>
  <si>
    <t>TechDebt IFS - Stabilization collect reconciliation</t>
  </si>
  <si>
    <t>IN21-601</t>
  </si>
  <si>
    <t>ECI evolutions on Conexflow</t>
  </si>
  <si>
    <t>IN21-602</t>
  </si>
  <si>
    <t>Custom / Evolutions for Auchan</t>
  </si>
  <si>
    <t>IN21-604</t>
  </si>
  <si>
    <t>BP project on CSACT</t>
  </si>
  <si>
    <t>IN21-606</t>
  </si>
  <si>
    <t>CSACT evolutions for TSS customers</t>
  </si>
  <si>
    <t>IN21-607</t>
  </si>
  <si>
    <t>Galp project on CSACT</t>
  </si>
  <si>
    <t>IN21-608</t>
  </si>
  <si>
    <t>Petrol / CSACT evolutions for mid-customers</t>
  </si>
  <si>
    <t>IN21-609</t>
  </si>
  <si>
    <t>Sainsbury's project on CSACT</t>
  </si>
  <si>
    <t>IN21-610</t>
  </si>
  <si>
    <t>UniversalPay evolutions on CSACT</t>
  </si>
  <si>
    <t>IN21-611</t>
  </si>
  <si>
    <t>Custom / Evolutions for Adeo</t>
  </si>
  <si>
    <t>IN21-612</t>
  </si>
  <si>
    <t>Custom / Evolutions for Amadeus</t>
  </si>
  <si>
    <t>IN21-615</t>
  </si>
  <si>
    <t>Custom / Evolutions for Inditex</t>
  </si>
  <si>
    <t>IN21-616</t>
  </si>
  <si>
    <t>Custom / Evolutions for mid tiers</t>
  </si>
  <si>
    <t>IN21-619</t>
  </si>
  <si>
    <t>Maintenance on Axis specific to Project Launch</t>
  </si>
  <si>
    <t>IN21-620</t>
  </si>
  <si>
    <t>Customer - Global Payments Certification</t>
  </si>
  <si>
    <t>IN21-621</t>
  </si>
  <si>
    <t>Enterprise customer requests</t>
  </si>
  <si>
    <t>IN21-625-RY</t>
  </si>
  <si>
    <t>ROAM - Chase Canada Certification</t>
  </si>
  <si>
    <t>IN21-626-MN</t>
  </si>
  <si>
    <t>ROAM - mPOS SDK Maintenance</t>
  </si>
  <si>
    <t>IN21-62-EF</t>
  </si>
  <si>
    <t>TechDebt IFS - Decomission legacy reconciliation reports</t>
  </si>
  <si>
    <t>IN21-630-EF</t>
  </si>
  <si>
    <t>ROAM - ROAMsupport 6</t>
  </si>
  <si>
    <t>IN21-631-RY</t>
  </si>
  <si>
    <t>ROAM - Heartland Moby/8500 Certification</t>
  </si>
  <si>
    <t>IN21-632</t>
  </si>
  <si>
    <t>ROAM - BIC Connector</t>
  </si>
  <si>
    <t>to be completed</t>
  </si>
  <si>
    <t>IN21-72</t>
  </si>
  <si>
    <t>Ingenico Direct - Payment Capabilities - Bancontact WIP</t>
  </si>
  <si>
    <t>IN21-73</t>
  </si>
  <si>
    <t>IFS  - Expanand PM Capabilities</t>
  </si>
  <si>
    <t>IN21-75</t>
  </si>
  <si>
    <t>IFS - MarketPlace evolution</t>
  </si>
  <si>
    <t>IN21-76-RY</t>
  </si>
  <si>
    <t>Compliance &amp; Security - Scheme compliance - NBB Rporting</t>
  </si>
  <si>
    <t>IN21-79</t>
  </si>
  <si>
    <t>Nordics eCom - Multidomain support</t>
  </si>
  <si>
    <t>IN21-86</t>
  </si>
  <si>
    <t>Nordics Instore - Upsell/Cross sell boarding support in Nordics</t>
  </si>
  <si>
    <t>IN21-89</t>
  </si>
  <si>
    <t>ME Portal - Improve customer experience of reporting, Nordics</t>
  </si>
  <si>
    <t>IN21-93</t>
  </si>
  <si>
    <t>Nordics Instore - Tetra terminal enhancements- improve customer experience</t>
  </si>
  <si>
    <t>IN21-96</t>
  </si>
  <si>
    <t>ME Portal - Improve customer communication ability in Backoffice in Nordics</t>
  </si>
  <si>
    <t>IN21-98-RY</t>
  </si>
  <si>
    <t>Compliance &amp; Security -  PCI PIN/Key block/new Key structure INER</t>
  </si>
  <si>
    <t>IN21-99-MN</t>
  </si>
  <si>
    <t>Mini pool - for minor Instore development initiatives (quick fixes)</t>
  </si>
  <si>
    <t>MS15-12</t>
  </si>
  <si>
    <t>MC - Store Acceptance</t>
  </si>
  <si>
    <t>SACC - FRA</t>
  </si>
  <si>
    <t>SACC</t>
  </si>
  <si>
    <t>MES Store Acceptance</t>
  </si>
  <si>
    <t>MES-Acceptance - In Store</t>
  </si>
  <si>
    <t>MS15-7</t>
  </si>
  <si>
    <t>SIPS - eCOM - Sips Core product - Apple pay paypage</t>
  </si>
  <si>
    <t>SIPS - FRA</t>
  </si>
  <si>
    <t>Sips</t>
  </si>
  <si>
    <t>Emmanuel Blumel</t>
  </si>
  <si>
    <t>MS15-7D</t>
  </si>
  <si>
    <t>SIPS - eCOM - Sips Core product - SamsungPay</t>
  </si>
  <si>
    <t>MS15-7M</t>
  </si>
  <si>
    <t>SIPS - Apple Pay &amp; Samsung Pay via BXAP protocol</t>
  </si>
  <si>
    <t>GWENAEL TANGUY / Ghanem Aicha</t>
  </si>
  <si>
    <t>MHL,24/9/21: Added from DMB (DMB 1549; Total approved : 70 md; 36 k€)</t>
  </si>
  <si>
    <t>MS18-01</t>
  </si>
  <si>
    <t>WOPA acceptance improvement</t>
  </si>
  <si>
    <t>OCH - SWE</t>
  </si>
  <si>
    <t>C - 80%</t>
  </si>
  <si>
    <t>Omnichannel</t>
  </si>
  <si>
    <t>MES-Acceptance - Omnichannel</t>
  </si>
  <si>
    <t>C-80%</t>
  </si>
  <si>
    <t>Niklas Rosvall</t>
  </si>
  <si>
    <t>MS18-01B</t>
  </si>
  <si>
    <t xml:space="preserve">NFR6 Store &amp; Forward: TT API , Gateway and Monitoring </t>
  </si>
  <si>
    <t>MS18-01C</t>
  </si>
  <si>
    <t>WL Acq POS - Unified Reconciliation and Collecting</t>
  </si>
  <si>
    <t>MS18-01I</t>
  </si>
  <si>
    <t>Project Cross Departmental Support from MS Architecture &amp; CMO Teams</t>
  </si>
  <si>
    <t>MS18-01K</t>
  </si>
  <si>
    <t>Omnichannel Billing Enhancements &amp; Efficiency</t>
  </si>
  <si>
    <t>MS18-01Q</t>
  </si>
  <si>
    <t>SPS Online (GW ECOM)</t>
  </si>
  <si>
    <t>MS19-33</t>
  </si>
  <si>
    <t>Saferpay goes Apple Pay</t>
  </si>
  <si>
    <t>MES Saferpay</t>
  </si>
  <si>
    <t>MS19-37</t>
  </si>
  <si>
    <t>Florida B05 Launch Saferpay in NL_BE</t>
  </si>
  <si>
    <t>Saferpay - CHE</t>
  </si>
  <si>
    <t>MES-Acceptance - eCommerce</t>
  </si>
  <si>
    <t>MS19-78</t>
  </si>
  <si>
    <t>Plugins - Saferpay Plug-ins (small enhancements)</t>
  </si>
  <si>
    <t>Eric Zeiler-Rausch</t>
  </si>
  <si>
    <t>MS19-RY13</t>
  </si>
  <si>
    <t>Saferpay Regulatory Compliance</t>
  </si>
  <si>
    <t>MS19-RY2</t>
  </si>
  <si>
    <t>POS Regulatory enhancements</t>
  </si>
  <si>
    <t>MS20-05</t>
  </si>
  <si>
    <t>Saferpay - Core Product Evolution</t>
  </si>
  <si>
    <t>MS20-101-EF</t>
  </si>
  <si>
    <t>SACC - Generic Testing</t>
  </si>
  <si>
    <t>Laurent Le DU</t>
  </si>
  <si>
    <t>MS20-160-RY</t>
  </si>
  <si>
    <t>Saferpay - Regulatory Compliance</t>
  </si>
  <si>
    <t>MS20-26</t>
  </si>
  <si>
    <t>Saferpay - Fastlane / Mini Pool 2020</t>
  </si>
  <si>
    <t>MS20-28</t>
  </si>
  <si>
    <t>Developer Experience - Saferpay - Webshops on-us</t>
  </si>
  <si>
    <t>MS20-603</t>
  </si>
  <si>
    <t>Lugano ep2 (YUMI - Swiss Post)</t>
  </si>
  <si>
    <t>SPS - CHE</t>
  </si>
  <si>
    <t>C - 100%</t>
  </si>
  <si>
    <t>MS</t>
  </si>
  <si>
    <t>MES-Digital Services - POS Products</t>
  </si>
  <si>
    <t>C-100%</t>
  </si>
  <si>
    <t>MS20-82-RY</t>
  </si>
  <si>
    <t>OCH PSD2 &amp; 3DS2.x Compliance</t>
  </si>
  <si>
    <t>MS21-06</t>
  </si>
  <si>
    <t>Link Based Payment as a Shared Service</t>
  </si>
  <si>
    <t>Fantone Sebastien</t>
  </si>
  <si>
    <t>MHL,24/9/21: Added from DMB (DMB 1739; total of 387md; 377 k€).</t>
  </si>
  <si>
    <t>MS21-101</t>
  </si>
  <si>
    <t>Envelope - Mini Pool - Fastlane Saferpay 2021</t>
  </si>
  <si>
    <t>Oliver Brigmann</t>
  </si>
  <si>
    <t>MS21-102</t>
  </si>
  <si>
    <t>Global Account Updater (Global Online Platform)</t>
  </si>
  <si>
    <t>MES Acceptance Support Services</t>
  </si>
  <si>
    <t>MS21-109</t>
  </si>
  <si>
    <t>Compliance &amp; Security - Saferpay - 3-D Secure 2.x for minor brands</t>
  </si>
  <si>
    <t>MS21-110</t>
  </si>
  <si>
    <t>Saferpay - PayPal Recurring</t>
  </si>
  <si>
    <t>MS21-115</t>
  </si>
  <si>
    <t>New API on WL Sips for Sips &amp; Ogone</t>
  </si>
  <si>
    <t>AICHA GHANEM</t>
  </si>
  <si>
    <t>MHL,24/9/21: Added from DMB (DMB 1738; total of 170md; 85 k€).</t>
  </si>
  <si>
    <t>MS21-119</t>
  </si>
  <si>
    <t>Saferpay - Google Pay</t>
  </si>
  <si>
    <t>MS21-125</t>
  </si>
  <si>
    <t>WL Acquiring via Acquirer Hub(Ogone/CNP)</t>
  </si>
  <si>
    <t>Coetzee Lefras</t>
  </si>
  <si>
    <t>MHL,24/9/21: Added from DMB (DMB 1732; total of 85md; 43 k€).</t>
  </si>
  <si>
    <t>MS21-131-RY</t>
  </si>
  <si>
    <t>Ingenico One product changes to follow mandatory EU carve out</t>
  </si>
  <si>
    <t>to be completed-Tunz?</t>
  </si>
  <si>
    <t>MES Online Payment Acceptance</t>
  </si>
  <si>
    <t>MES-Acceptance - Global Online</t>
  </si>
  <si>
    <t>Tolic Aleksandar</t>
  </si>
  <si>
    <t>MS21-181</t>
  </si>
  <si>
    <t>Saferpay - PISP</t>
  </si>
  <si>
    <t>MS21-117-MN</t>
  </si>
  <si>
    <t>Saferpay - Responsive Backoffice</t>
  </si>
  <si>
    <t>MS21-183</t>
  </si>
  <si>
    <t>Android Terminals for GSV</t>
  </si>
  <si>
    <t>Steinfels Olivier</t>
  </si>
  <si>
    <t>MHL,24/9/21: Added from DMB (DMB 1492)</t>
  </si>
  <si>
    <t>MS21-188</t>
  </si>
  <si>
    <t>Roadmap - WOPA - 3DS2.x</t>
  </si>
  <si>
    <t>WL - SWE</t>
  </si>
  <si>
    <t>Worldline Sweden</t>
  </si>
  <si>
    <t>Stanley</t>
  </si>
  <si>
    <t>MS21-189</t>
  </si>
  <si>
    <t>Roadmap - WOPA - Merchant Specific Requests</t>
  </si>
  <si>
    <t>Zlatko</t>
  </si>
  <si>
    <t>MS21-202</t>
  </si>
  <si>
    <t>Set-up Pool Acceptance</t>
  </si>
  <si>
    <t>MS21-304</t>
  </si>
  <si>
    <t>Roadmap - WOPA - LATAM - Smart Routing</t>
  </si>
  <si>
    <t>Renato Ito</t>
  </si>
  <si>
    <t>MS21-305</t>
  </si>
  <si>
    <t>Roadmap - WOPA - LATAM - Payment Product Improvements</t>
  </si>
  <si>
    <t>MS21-311</t>
  </si>
  <si>
    <t>Roadmap - WOPA - Payment Product Improvements</t>
  </si>
  <si>
    <t>MS21-314</t>
  </si>
  <si>
    <t>Roadmap - WOPA - PrimeiroPay connection</t>
  </si>
  <si>
    <t>MS21-316</t>
  </si>
  <si>
    <t>Roadmap - WOPA - LATAM - Other Improvements</t>
  </si>
  <si>
    <t>MS21-322</t>
  </si>
  <si>
    <t>Roadmap - WOPA - BO Functional Improvements</t>
  </si>
  <si>
    <t>MS21-328</t>
  </si>
  <si>
    <t>Roadmap - WOPA - UX Improvements</t>
  </si>
  <si>
    <t>Rik van't Hof</t>
  </si>
  <si>
    <t>MS21-329</t>
  </si>
  <si>
    <t>Roadmap - WOPA - LATAM - MDES Integration</t>
  </si>
  <si>
    <t>MS21-342-MN</t>
  </si>
  <si>
    <t>Roadmap - WOPA - Security Management</t>
  </si>
  <si>
    <t>MS21-345</t>
  </si>
  <si>
    <t>Roadmap - Shopping Carts (WL SW)</t>
  </si>
  <si>
    <t>MS21-349</t>
  </si>
  <si>
    <t>Roadmap - WOPA - Tech Debt</t>
  </si>
  <si>
    <t>MS21-353</t>
  </si>
  <si>
    <t>Impr. Omnichannel Cash Management and Transaction Lifecycle Service (increased, architecture complexity) (IC tag needed)</t>
  </si>
  <si>
    <t>MS21-356</t>
  </si>
  <si>
    <t>Onboarding for Shared Services</t>
  </si>
  <si>
    <t>MS21-362</t>
  </si>
  <si>
    <t>Custom / Evolutions for System U</t>
  </si>
  <si>
    <t>MS21-369-MN</t>
  </si>
  <si>
    <t>Envelop OCH Maintenance 2021</t>
  </si>
  <si>
    <t>MHL,24/9/21: Added as reminder of envelope to possibly be added in the sheet 'New'.</t>
  </si>
  <si>
    <t>MS21-637</t>
  </si>
  <si>
    <t>YUMI BUT</t>
  </si>
  <si>
    <t>MS21-638</t>
  </si>
  <si>
    <t>OCH-Paypal Braintree Brazil</t>
  </si>
  <si>
    <t>MS21-71</t>
  </si>
  <si>
    <t>Mass Transit for GSV</t>
  </si>
  <si>
    <t>MTS16-4-1</t>
  </si>
  <si>
    <t>MC - Open Payments (Tap2Use)</t>
  </si>
  <si>
    <t>PA-1610</t>
  </si>
  <si>
    <t>Developer Experience -Documentation management</t>
  </si>
  <si>
    <t>PA-1616</t>
  </si>
  <si>
    <t>TechDebt - Simplification</t>
  </si>
  <si>
    <t>PA-1640</t>
  </si>
  <si>
    <t>Compliance &amp; Security - SIPS PCI</t>
  </si>
  <si>
    <t>PA-1642</t>
  </si>
  <si>
    <t>Compliance &amp; Security - SIPS Regulatory enhancements</t>
  </si>
  <si>
    <t>TP18-RY3</t>
  </si>
  <si>
    <t>French Software Certifications</t>
  </si>
  <si>
    <t>UNI21-B02</t>
  </si>
  <si>
    <t>United - Migration ACC - Set-up Pool</t>
  </si>
  <si>
    <t>O - 30%</t>
  </si>
  <si>
    <t>Synergies</t>
  </si>
  <si>
    <t>O-30%</t>
  </si>
  <si>
    <t>UNI21-B02-01A</t>
  </si>
  <si>
    <t>United B2 - eCom - GoPay</t>
  </si>
  <si>
    <t>UNI21-B02-01B</t>
  </si>
  <si>
    <t>United B2 - eCom - PayUnity phase out (PayUnity integrate ecom)</t>
  </si>
  <si>
    <t>O - 50%</t>
  </si>
  <si>
    <t>MHL,24/9/21: Completed from DMB (DMB 1543; Total approved 3536 md; 2322 k€)</t>
  </si>
  <si>
    <t>O-50%</t>
  </si>
  <si>
    <t>Anna Almen</t>
  </si>
  <si>
    <t>1. Strategic Project (Marco, UNITED)</t>
  </si>
  <si>
    <t>UNI21-B02-01C</t>
  </si>
  <si>
    <t>United B2 - eCom - PAYONE phase out</t>
  </si>
  <si>
    <t>UNI21-B02-01D</t>
  </si>
  <si>
    <t>United B2 - eCom - Ogone enhancement</t>
  </si>
  <si>
    <t>UNI21-B02-01E</t>
  </si>
  <si>
    <t>United B2 - eCom - Shared Services</t>
  </si>
  <si>
    <t>UNI21-B02-01F</t>
  </si>
  <si>
    <t>United B2 - eCom WLOP to WL Acquiring CNP</t>
  </si>
  <si>
    <t>Coetzee Lefras / Herloff-Petersen Nils</t>
  </si>
  <si>
    <t>MHL,24/9/21: Added from DMB (DMB 1868)</t>
  </si>
  <si>
    <t>UNI21-B02-02A</t>
  </si>
  <si>
    <t>[UNITED SYNERGIES] SACC Decomissionning</t>
  </si>
  <si>
    <t>O - 70%</t>
  </si>
  <si>
    <t>O-70%</t>
  </si>
  <si>
    <t>UNI21-B02-02B</t>
  </si>
  <si>
    <t>[UNITED SYNERGY] Mass Transit</t>
  </si>
  <si>
    <t>UNI21-B02-03C</t>
  </si>
  <si>
    <t>Contingency and platform robustness</t>
  </si>
  <si>
    <t>TBD</t>
  </si>
  <si>
    <t>UNI21-B02-03D</t>
  </si>
  <si>
    <t>Datalake Setup for WOPA</t>
  </si>
  <si>
    <t>UNI21-B02-03E</t>
  </si>
  <si>
    <t>Dispute management</t>
  </si>
  <si>
    <t>UNI21-B02-03G</t>
  </si>
  <si>
    <t>Integration to datalake</t>
  </si>
  <si>
    <t>UNI21-B02-03H</t>
  </si>
  <si>
    <t>LATAM connection replacement</t>
  </si>
  <si>
    <t>UNI21-B02-03I</t>
  </si>
  <si>
    <t>MCP as a service (FX)</t>
  </si>
  <si>
    <t>UNI21-B02-03J</t>
  </si>
  <si>
    <t>Single API, first 6 months</t>
  </si>
  <si>
    <t>UNI21-B02-03K</t>
  </si>
  <si>
    <t>Single API, ongoing</t>
  </si>
  <si>
    <t>UNI21-B02-03L</t>
  </si>
  <si>
    <t>Single identity &amp; access mgt</t>
  </si>
  <si>
    <t>UNI21-B02-03M</t>
  </si>
  <si>
    <t>Smart routing, Global Collect</t>
  </si>
  <si>
    <t>UNI21-B02-03N</t>
  </si>
  <si>
    <t>Smart routing, WOPA</t>
  </si>
  <si>
    <t>UNI21-B02-03O</t>
  </si>
  <si>
    <t>Smart Routing/ Adapt for full service (shared service)</t>
  </si>
  <si>
    <t>UNI21-B02-04B</t>
  </si>
  <si>
    <t>United - APM Hub Shared Services</t>
  </si>
  <si>
    <t>O - 20%</t>
  </si>
  <si>
    <t>O-20%</t>
  </si>
  <si>
    <t>UNI21-B02-04C</t>
  </si>
  <si>
    <t>Omnichannel Service Hub, Phase 1</t>
  </si>
  <si>
    <t>UNI21-B02-04D</t>
  </si>
  <si>
    <t>United DCC Hub &amp; outgoing connections to in-house DCC Fexco</t>
  </si>
  <si>
    <t>Driesen Karolien</t>
  </si>
  <si>
    <t>MHL,24/9/21: Added from DMB (DMB 1818; total approved : 150md; 75 k€).</t>
  </si>
  <si>
    <t>UNI21-B06-01B</t>
  </si>
  <si>
    <t>[UNITED SYNERGIES] Connection to WL acquiring</t>
  </si>
  <si>
    <t>MHL,24/9/21: 70 md added on FS BE (agreed by Khalil).</t>
  </si>
  <si>
    <t>UNI21-B06-01C</t>
  </si>
  <si>
    <t>[UNITED SYNERGIES] DCC Hub (Connection Ingenico CNP to DCC Hub)</t>
  </si>
  <si>
    <t>MHL,24/9/21: Added from DMB (DMB 1811). MHL,7/9/21: col F completed.</t>
  </si>
  <si>
    <t>UNI21-B07-01A</t>
  </si>
  <si>
    <t>Chinese payment methods available (WeChat Pay, Alipay)</t>
  </si>
  <si>
    <t>UNI21-B07-01B</t>
  </si>
  <si>
    <t>Integration between Global Collect and WL acquiring (intl brands), Platform effort</t>
  </si>
  <si>
    <t>UNI21-B08-01B</t>
  </si>
  <si>
    <t>United GTM - eCom - GTM Synergy - APM Hub</t>
  </si>
  <si>
    <t>UNI21-B14-IT-02A</t>
  </si>
  <si>
    <t>United: migration PayUnity eCom to single platform</t>
  </si>
  <si>
    <t>Sofia ALBERTSSON / Herloff-Petersen Nils</t>
  </si>
  <si>
    <t>MHL,24/9/21: Added from DMB (DMB 1736; Total approved 715 md; 668 k€))</t>
  </si>
  <si>
    <t>UNI21-F12-02A</t>
  </si>
  <si>
    <t>Rebranding</t>
  </si>
  <si>
    <t>Non MS</t>
  </si>
  <si>
    <t>UNI21-TBD03</t>
  </si>
  <si>
    <t>Z6.881348.001</t>
  </si>
  <si>
    <t>Florida M01</t>
  </si>
  <si>
    <t>ZB.W3502B</t>
  </si>
  <si>
    <t>TUI - OCH Deploy</t>
  </si>
  <si>
    <t>ZF.013379.039</t>
  </si>
  <si>
    <t>BFI BUILD - RP - LCL - Foison.</t>
  </si>
  <si>
    <t>ZF.013402.061</t>
  </si>
  <si>
    <t>BFI BUILD - RP - SG - Foison.</t>
  </si>
  <si>
    <t>ZF.013814.037</t>
  </si>
  <si>
    <t>SIPS BUILD - SNCF SIAP (PYRRHA)</t>
  </si>
  <si>
    <t>ZF.021030.004</t>
  </si>
  <si>
    <t>BFI BUILD - RP - CETELEM - Foison.</t>
  </si>
  <si>
    <t>ZF.021030.035</t>
  </si>
  <si>
    <t>SIPS - BUILD CETELEM 2021</t>
  </si>
  <si>
    <t>ZF.022095.006</t>
  </si>
  <si>
    <t>MPA BLD - Franfinance - Foisonnement</t>
  </si>
  <si>
    <t>ZF.026120.002</t>
  </si>
  <si>
    <t>BFI BUILD - RP - ONEY BUILD</t>
  </si>
  <si>
    <t>ZF.026357.002</t>
  </si>
  <si>
    <t>MPA BLD - CDISCOUNT</t>
  </si>
  <si>
    <t>ZF.026357.008</t>
  </si>
  <si>
    <t>BU SIPS Banque Casino Build</t>
  </si>
  <si>
    <t>ZF.054077.008.01</t>
  </si>
  <si>
    <t>CONDUENT FR SACC Dev</t>
  </si>
  <si>
    <t>ZF.089107.001</t>
  </si>
  <si>
    <t>BU SIPS DGFIP TIPI BUILD</t>
  </si>
  <si>
    <t>ZF.126575.002</t>
  </si>
  <si>
    <t>SIPS CASINO BUILD FILE REPORT</t>
  </si>
  <si>
    <t>ZF.CYBELE.001.BU</t>
  </si>
  <si>
    <t>CYBELE_Transformation_MS_SIPS</t>
  </si>
  <si>
    <t>ZF.MPABLD</t>
  </si>
  <si>
    <t>PA BLD - POS SACC</t>
  </si>
  <si>
    <t>ZF.MPACOS.004</t>
  </si>
  <si>
    <t>MPA - Stagiaires</t>
  </si>
  <si>
    <t>ZF.PBAEFF</t>
  </si>
  <si>
    <t>SACC - Process Improvement</t>
  </si>
  <si>
    <t>ZF.PBAGLO.001</t>
  </si>
  <si>
    <t>Product management SIPS</t>
  </si>
  <si>
    <t>ZF.PBAGLO.004</t>
  </si>
  <si>
    <t>SIPS Operations management</t>
  </si>
  <si>
    <t>ZF.PBAGLO.005</t>
  </si>
  <si>
    <t>SACC Delivery management</t>
  </si>
  <si>
    <t>ZF.PBAMNT</t>
  </si>
  <si>
    <t>SACC - Server generic testing</t>
  </si>
  <si>
    <t>ZF.SIPSBD.002</t>
  </si>
  <si>
    <t>SIPSBUILD Security projects</t>
  </si>
  <si>
    <t>ZF.SIPSBD.004</t>
  </si>
  <si>
    <t>SIPSBUILD Business Expertise</t>
  </si>
  <si>
    <t>ZF.SIPSBD.007</t>
  </si>
  <si>
    <t>SIPSBUILD Support</t>
  </si>
  <si>
    <t>ZF.SIPSUN.001</t>
  </si>
  <si>
    <t>SIPS_UNITED</t>
  </si>
  <si>
    <t>ZF.SIPSUN.001.BU</t>
  </si>
  <si>
    <t>MS21-185</t>
  </si>
  <si>
    <t>Adding ACQ connection Northam</t>
  </si>
  <si>
    <t>MHL,18/10/21: DMB 1870</t>
  </si>
  <si>
    <t>Non listed entities</t>
  </si>
  <si>
    <t>RUN Activity / Axis + Back-Office</t>
  </si>
  <si>
    <t>Run activities Axxepta</t>
  </si>
  <si>
    <t>Run activities BB Sanport</t>
  </si>
  <si>
    <t>Run activities Beanstream/Roam</t>
  </si>
  <si>
    <t>Run activities BOL</t>
  </si>
  <si>
    <t>Run activities Cardlink</t>
  </si>
  <si>
    <t>Run activities Connexflow</t>
  </si>
  <si>
    <t>Run activities CSACT</t>
  </si>
  <si>
    <t>Run activities DevCode</t>
  </si>
  <si>
    <t>Run activities Global Collect</t>
  </si>
  <si>
    <t>Run activities GoPay</t>
  </si>
  <si>
    <t>Run activities IPP</t>
  </si>
  <si>
    <t>Run activities OCH</t>
  </si>
  <si>
    <t>Run activities PayOne</t>
  </si>
  <si>
    <t>Run activities Payunity</t>
  </si>
  <si>
    <t>Run activities SACC</t>
  </si>
  <si>
    <t>Run activities SaferPay</t>
  </si>
  <si>
    <t>Placeholder - Lost and found OPEX</t>
  </si>
  <si>
    <t>Run activities SIPS</t>
  </si>
  <si>
    <t>Run activities SUB1</t>
  </si>
  <si>
    <t>Run activities TechProcess</t>
  </si>
  <si>
    <t>Run activities WLOC</t>
  </si>
  <si>
    <t>Run activities WOPA</t>
  </si>
  <si>
    <t>AML - Incidents</t>
  </si>
  <si>
    <t>APM - Incidents</t>
  </si>
  <si>
    <t>Cards - Incidents</t>
  </si>
  <si>
    <t>Incidents DevCode</t>
  </si>
  <si>
    <t>Marco Hauff</t>
  </si>
  <si>
    <t>Fraud - Incidents</t>
  </si>
  <si>
    <t>GSS - Incidents</t>
  </si>
  <si>
    <t>Insight - Incidents</t>
  </si>
  <si>
    <t>Reporting - Incidents</t>
  </si>
  <si>
    <t>Travel - Incidents</t>
  </si>
  <si>
    <t>UXT - Incidents</t>
  </si>
  <si>
    <t>Incident / Problem Management PPS</t>
  </si>
  <si>
    <t>Arni Smit</t>
  </si>
  <si>
    <t>Incident / Problem Management UXT</t>
  </si>
  <si>
    <t>Incident / Problem Management PROS</t>
  </si>
  <si>
    <t>Sub1 Incidents and Problems</t>
  </si>
  <si>
    <t>Shekhar Kachole</t>
  </si>
  <si>
    <t>Production / Non production support</t>
  </si>
  <si>
    <t>RUN Conexflow + CSACT</t>
  </si>
  <si>
    <t>Maintenance</t>
  </si>
  <si>
    <t>IPP - Maintenance/BAU</t>
  </si>
  <si>
    <t>Connect - SDK Maintenance &amp; Projects</t>
  </si>
  <si>
    <t>WOPA Maintenance</t>
  </si>
  <si>
    <t>Platform Maintenance</t>
  </si>
  <si>
    <t>DevCode Tech Debt</t>
  </si>
  <si>
    <t>SACC - Opps</t>
  </si>
  <si>
    <t>Incidents / Problem Management Cards</t>
  </si>
  <si>
    <t>Incidents / Problem Management LPM</t>
  </si>
  <si>
    <t>Incidents / Problem Management Fraud Prevention</t>
  </si>
  <si>
    <t>SACC - Run</t>
  </si>
  <si>
    <t>Bambora Portal BAU &amp; Tech Debt</t>
  </si>
  <si>
    <t>non-United Part: Omnichannel Service Hub, Phase 1</t>
  </si>
  <si>
    <t>Maintenance - OCH (One Commerce Hub)</t>
  </si>
  <si>
    <r>
      <rPr>
        <i/>
        <sz val="8"/>
        <color theme="3" tint="0.59999389629810485"/>
        <rFont val="Calibri"/>
        <family val="2"/>
      </rPr>
      <t>enter FTEs</t>
    </r>
    <r>
      <rPr>
        <b/>
        <sz val="8"/>
        <color theme="3" tint="0.59999389629810485"/>
        <rFont val="Calibri"/>
        <family val="2"/>
      </rPr>
      <t xml:space="preserve"> [+]
[-]</t>
    </r>
    <r>
      <rPr>
        <i/>
        <sz val="8"/>
        <color theme="3" tint="0.59999389629810485"/>
        <rFont val="Calibri"/>
        <family val="2"/>
      </rPr>
      <t xml:space="preserve"> view total</t>
    </r>
  </si>
  <si>
    <t>enter FTEs and provide entities in Comment</t>
  </si>
  <si>
    <t>Capacity Type</t>
  </si>
  <si>
    <t>Comment</t>
  </si>
  <si>
    <t>Supplier 
Name(s)</t>
  </si>
  <si>
    <t>B</t>
  </si>
  <si>
    <t>Existing + hiring planned</t>
  </si>
  <si>
    <t>(OPX)
All SubCo
Fix price (K€)</t>
  </si>
  <si>
    <t>Level</t>
  </si>
  <si>
    <t>Single Project</t>
  </si>
  <si>
    <t>01/01/2022</t>
  </si>
  <si>
    <t>31/12/2022</t>
  </si>
  <si>
    <t>New</t>
  </si>
  <si>
    <t>01/04/2022</t>
  </si>
  <si>
    <t>ACC - 0005</t>
  </si>
  <si>
    <t>Ottilia Rouguet</t>
  </si>
  <si>
    <t>01/10/2022</t>
  </si>
  <si>
    <t>31/12/2021</t>
  </si>
  <si>
    <t>30/06/2022</t>
  </si>
  <si>
    <t>01/07/2022</t>
  </si>
  <si>
    <t>30/09/2022</t>
  </si>
  <si>
    <t>Jorge Tarlea</t>
  </si>
  <si>
    <t>31/03/2022</t>
  </si>
  <si>
    <t>ACC - 0017</t>
  </si>
  <si>
    <t>ACC - 0018</t>
  </si>
  <si>
    <t>ACC - 0022</t>
  </si>
  <si>
    <t>Marco Polo</t>
  </si>
  <si>
    <t>O - 100%</t>
  </si>
  <si>
    <t>ACC - 0023</t>
  </si>
  <si>
    <t>Amaury Kervyn</t>
  </si>
  <si>
    <t>BB Samport - SWE</t>
  </si>
  <si>
    <t>ACC - 0025</t>
  </si>
  <si>
    <t>ACC - 0027</t>
  </si>
  <si>
    <t>ACC - 0028</t>
  </si>
  <si>
    <t>Olivier Blerot</t>
  </si>
  <si>
    <t>ACC - 0029</t>
  </si>
  <si>
    <t>Gilles Raymond</t>
  </si>
  <si>
    <t>ACC - 0033</t>
  </si>
  <si>
    <t>ACC - 0035</t>
  </si>
  <si>
    <t>ACC - 0036</t>
  </si>
  <si>
    <t>ACC - 0039</t>
  </si>
  <si>
    <t>ACC - 0040</t>
  </si>
  <si>
    <t>ACC - 0041</t>
  </si>
  <si>
    <t>ACC - 0044</t>
  </si>
  <si>
    <t>ACC - 0045</t>
  </si>
  <si>
    <t>ACC - 0046</t>
  </si>
  <si>
    <t>ACC - 0049</t>
  </si>
  <si>
    <t>ACC - 0050</t>
  </si>
  <si>
    <t>ACC - 0051</t>
  </si>
  <si>
    <t>ACC - 0054</t>
  </si>
  <si>
    <t>???</t>
  </si>
  <si>
    <t>Michael Huffman</t>
  </si>
  <si>
    <t>ACC - 0059</t>
  </si>
  <si>
    <t>WOPA - SWE</t>
  </si>
  <si>
    <t>ACC - 0060</t>
  </si>
  <si>
    <t>Paula Costa</t>
  </si>
  <si>
    <t>ACC - 0063</t>
  </si>
  <si>
    <t>ACC - 0064</t>
  </si>
  <si>
    <t>ACC - 0069</t>
  </si>
  <si>
    <t>ACC - 0071</t>
  </si>
  <si>
    <t>ACC - 0072</t>
  </si>
  <si>
    <t>Joakim Wettby</t>
  </si>
  <si>
    <t>ACC - 0082</t>
  </si>
  <si>
    <t>Rashmita Pradhan</t>
  </si>
  <si>
    <t>Anders Öhlander</t>
  </si>
  <si>
    <t>ACC - 0086</t>
  </si>
  <si>
    <t>ACC - 0089</t>
  </si>
  <si>
    <t>ACC - 0095</t>
  </si>
  <si>
    <t>ACC - 0098</t>
  </si>
  <si>
    <t>ACC - 0100</t>
  </si>
  <si>
    <t>ACC - 0101</t>
  </si>
  <si>
    <t>Arvind Singh</t>
  </si>
  <si>
    <t>ACC - 0113</t>
  </si>
  <si>
    <t>ACC - 0120</t>
  </si>
  <si>
    <t>ACC - 0121</t>
  </si>
  <si>
    <t>ACC - 0122</t>
  </si>
  <si>
    <t>ACC - 0127</t>
  </si>
  <si>
    <t>ACC - 0138</t>
  </si>
  <si>
    <t>ACC - 0142</t>
  </si>
  <si>
    <t>ACC - 0144</t>
  </si>
  <si>
    <t>ACC - 0147</t>
  </si>
  <si>
    <t>ACC - 0148</t>
  </si>
  <si>
    <t>ACC - 0149</t>
  </si>
  <si>
    <t>Shared Services - All</t>
  </si>
  <si>
    <t>Teun Boer</t>
  </si>
  <si>
    <t>ACC - 0150</t>
  </si>
  <si>
    <t>ACC - 0151</t>
  </si>
  <si>
    <t>ACC - 0152</t>
  </si>
  <si>
    <t>ACC - 0155</t>
  </si>
  <si>
    <t>ACC - 0157</t>
  </si>
  <si>
    <t>ACC - 0158</t>
  </si>
  <si>
    <t>Sebastien Fantone</t>
  </si>
  <si>
    <t>ACC - 0176</t>
  </si>
  <si>
    <t>ACC - 0181</t>
  </si>
  <si>
    <t>ACC - 0182</t>
  </si>
  <si>
    <t>ACC - 0183</t>
  </si>
  <si>
    <t>ACC - 0184</t>
  </si>
  <si>
    <t>BAU</t>
  </si>
  <si>
    <t>Florin Stoffel</t>
  </si>
  <si>
    <t>BOL - SWE</t>
  </si>
  <si>
    <t>ACC - 0187</t>
  </si>
  <si>
    <t>ACC - 0189</t>
  </si>
  <si>
    <t>ACC - 0196</t>
  </si>
  <si>
    <t>ACC - 0197</t>
  </si>
  <si>
    <t>ACC - 0198</t>
  </si>
  <si>
    <t>WL - BEL</t>
  </si>
  <si>
    <t>Anders Eckersand</t>
  </si>
  <si>
    <t>ACC - 0199</t>
  </si>
  <si>
    <t>ACC - 0200</t>
  </si>
  <si>
    <t>Eline Blomme</t>
  </si>
  <si>
    <t>ACC - 0207</t>
  </si>
  <si>
    <t>Niklas</t>
  </si>
  <si>
    <t>ACC - 0208</t>
  </si>
  <si>
    <t>Geoffroy Gueulette</t>
  </si>
  <si>
    <t>ACC - 0212</t>
  </si>
  <si>
    <t>ACC - 0213</t>
  </si>
  <si>
    <t>ACC - 0218</t>
  </si>
  <si>
    <t>ACC - 0220</t>
  </si>
  <si>
    <t>Michael Amsellem</t>
  </si>
  <si>
    <t>ACC - 0221</t>
  </si>
  <si>
    <t>SPS - GER</t>
  </si>
  <si>
    <t>Bernd Hindst</t>
  </si>
  <si>
    <t>ACC - 0222</t>
  </si>
  <si>
    <t>ACC - 0223</t>
  </si>
  <si>
    <t>ACC - 0224</t>
  </si>
  <si>
    <t>ACC - 0225</t>
  </si>
  <si>
    <t>ACC - 0226</t>
  </si>
  <si>
    <t>ACC - 0227</t>
  </si>
  <si>
    <t>ACC - 0229</t>
  </si>
  <si>
    <t>ACC - 0231</t>
  </si>
  <si>
    <t>ACC - 0232</t>
  </si>
  <si>
    <t>ACC - 0234</t>
  </si>
  <si>
    <t>ACC - 0235</t>
  </si>
  <si>
    <t>ACC - 0239</t>
  </si>
  <si>
    <t>ACC - 0240</t>
  </si>
  <si>
    <t>ACC - 0241</t>
  </si>
  <si>
    <t>ACC - 0242</t>
  </si>
  <si>
    <t>Anne Claude Tichauer</t>
  </si>
  <si>
    <t>ACC - 0243</t>
  </si>
  <si>
    <t>ACC - 0244</t>
  </si>
  <si>
    <t>ACC - 0246</t>
  </si>
  <si>
    <t>ACC - 0248</t>
  </si>
  <si>
    <t>ACC - 0249</t>
  </si>
  <si>
    <t>ACC - 0252</t>
  </si>
  <si>
    <t>ACC - 0253</t>
  </si>
  <si>
    <t>ACC - 0258</t>
  </si>
  <si>
    <t>Ongoing</t>
  </si>
  <si>
    <t>BAU-ACC - 0001</t>
  </si>
  <si>
    <t>Run</t>
  </si>
  <si>
    <t>BAU-ACC - 0002</t>
  </si>
  <si>
    <t>BAU-ACC - 0003</t>
  </si>
  <si>
    <t>BAU-ACC - 0004</t>
  </si>
  <si>
    <t>BAU-ACC - 0005</t>
  </si>
  <si>
    <t>BAU-ACC - 0006</t>
  </si>
  <si>
    <t>BAU-ACC - 0007</t>
  </si>
  <si>
    <t>BAU-ACC - 0008</t>
  </si>
  <si>
    <t>BAU-ACC - 0009</t>
  </si>
  <si>
    <t>BAU-ACC - 0010</t>
  </si>
  <si>
    <t>BAU-ACC - 0011</t>
  </si>
  <si>
    <t>BAU-ACC - 0012</t>
  </si>
  <si>
    <t>BAU-ACC - 0013</t>
  </si>
  <si>
    <t>BAU-ACC - 0014</t>
  </si>
  <si>
    <t>BAU-ACC - 0015</t>
  </si>
  <si>
    <t>BAU-ACC - 0016</t>
  </si>
  <si>
    <t>BAU-ACC - 0017</t>
  </si>
  <si>
    <t>BAU-ACC - 0018</t>
  </si>
  <si>
    <t>BAU-ACC - 0019</t>
  </si>
  <si>
    <t>BAU-ACC - 0020</t>
  </si>
  <si>
    <t>BAU-ACC - 0021</t>
  </si>
  <si>
    <t>BAU-ACC - 0022</t>
  </si>
  <si>
    <t>BAU-ACC - 0023</t>
  </si>
  <si>
    <t>BAU-ACC - 0024</t>
  </si>
  <si>
    <t>BAU-ACC - 0025</t>
  </si>
  <si>
    <t>BAU-ACC - 0026</t>
  </si>
  <si>
    <t>BAU-ACC - 0027</t>
  </si>
  <si>
    <t>BAU-ACC - 0028</t>
  </si>
  <si>
    <t>BAU-ACC - 0029</t>
  </si>
  <si>
    <t>BAU-ACC - 0030</t>
  </si>
  <si>
    <t>BAU-ACC - 0031</t>
  </si>
  <si>
    <t>BAU-ACC - 0032</t>
  </si>
  <si>
    <t>BAU-ACC - 0033</t>
  </si>
  <si>
    <t>BAU-ACC - 0034</t>
  </si>
  <si>
    <t>BAU-ACC - 0035</t>
  </si>
  <si>
    <t>BAU-ACC - 0037</t>
  </si>
  <si>
    <t>BAU-ACC - 0038</t>
  </si>
  <si>
    <t>BAU-ACC - 0039</t>
  </si>
  <si>
    <t>BAU-ACC - 0040</t>
  </si>
  <si>
    <t>BAU-ACC - 0041</t>
  </si>
  <si>
    <t>BAU-ACC - 0042</t>
  </si>
  <si>
    <t>BAU-ACC - 0043</t>
  </si>
  <si>
    <t>BAU-ACC - 0044</t>
  </si>
  <si>
    <t>BAU-ACC - 0045</t>
  </si>
  <si>
    <t>BAU-ACC - 0046</t>
  </si>
  <si>
    <t>BAU-ACC - 0047</t>
  </si>
  <si>
    <t>BAU-ACC - 0049</t>
  </si>
  <si>
    <t>BAU-ACC - 0050</t>
  </si>
  <si>
    <t>BAU-ACC - 0051</t>
  </si>
  <si>
    <t>BAU-ACC - 0052</t>
  </si>
  <si>
    <t>BAU-ACC - 0053</t>
  </si>
  <si>
    <t>BAU-ACC - 0067</t>
  </si>
  <si>
    <t>BAU-ACC - 0068</t>
  </si>
  <si>
    <t>BAU-ACC - 0069</t>
  </si>
  <si>
    <t>BAU-ACC - 0071</t>
  </si>
  <si>
    <t>dummy</t>
  </si>
  <si>
    <t>End of Range</t>
  </si>
  <si>
    <t>Legal Entity</t>
  </si>
  <si>
    <t>Full label</t>
  </si>
  <si>
    <t>Worldline SA/NV</t>
  </si>
  <si>
    <t>WL - FRA</t>
  </si>
  <si>
    <t>Worldline SA</t>
  </si>
  <si>
    <t>WL - GER</t>
  </si>
  <si>
    <t>Worldline Germany GmbH</t>
  </si>
  <si>
    <t>WL - NLD</t>
  </si>
  <si>
    <t>Worldline B.V.</t>
  </si>
  <si>
    <t>WL - LUX</t>
  </si>
  <si>
    <t>Worldline Luxembourg</t>
  </si>
  <si>
    <t>WL - UK</t>
  </si>
  <si>
    <t>Worldline IT Services UK</t>
  </si>
  <si>
    <t>WL - AUS</t>
  </si>
  <si>
    <t>Worldline Australia</t>
  </si>
  <si>
    <t>WL - BRA</t>
  </si>
  <si>
    <t>WORDLINE BRAZIL SERVICOS</t>
  </si>
  <si>
    <t>Worldline Sweden AB</t>
  </si>
  <si>
    <t>SIX Paym. Serv. CH</t>
  </si>
  <si>
    <t>SIX Paym. Serv. EU - PE DE</t>
  </si>
  <si>
    <t>SPS - AUT</t>
  </si>
  <si>
    <t>SIX Paym. Serv. EU - PE AT</t>
  </si>
  <si>
    <t>SPS - LUX</t>
  </si>
  <si>
    <t>SIX Paym. Serv. EU - PE LU</t>
  </si>
  <si>
    <t>SPS - POL</t>
  </si>
  <si>
    <t>SIX Paym. Serv. EU - PE PL</t>
  </si>
  <si>
    <t>One Commerce (inc Tunz/Ogone)</t>
  </si>
  <si>
    <t>Beamstream/Roam</t>
  </si>
  <si>
    <t>PayOne - GER</t>
  </si>
  <si>
    <t>PayUnity - GER</t>
  </si>
  <si>
    <t>Payunity</t>
  </si>
  <si>
    <t>CardLink - GRC</t>
  </si>
  <si>
    <t>Cardlink</t>
  </si>
  <si>
    <t>GoPay - CZE</t>
  </si>
  <si>
    <t>GoPay</t>
  </si>
  <si>
    <t>Axxepta - ITA</t>
  </si>
  <si>
    <t>Axxepta</t>
  </si>
  <si>
    <t>Connexflow - SPA</t>
  </si>
  <si>
    <t>Connexflow</t>
  </si>
  <si>
    <t>Shared services</t>
  </si>
  <si>
    <t>PSQ - NLD</t>
  </si>
  <si>
    <t>PaySquare SE</t>
  </si>
  <si>
    <t>PSQ - GER</t>
  </si>
  <si>
    <t>PaySquare SE - Brch GER</t>
  </si>
  <si>
    <t>PSQ - POL</t>
  </si>
  <si>
    <t>PSQ SE  - Brch POL</t>
  </si>
  <si>
    <t>Cataps</t>
  </si>
  <si>
    <t>Cataps, s.r.o.</t>
  </si>
  <si>
    <t>For requests from other portfolios</t>
  </si>
  <si>
    <t>GTM FI</t>
  </si>
  <si>
    <t>Dedicated to MP</t>
  </si>
  <si>
    <t>Strategic Program</t>
  </si>
  <si>
    <t>End Of Range</t>
  </si>
  <si>
    <t>New Product Indicator</t>
  </si>
  <si>
    <t xml:space="preserve"> Label</t>
  </si>
  <si>
    <t xml:space="preserve"> Not applicable</t>
  </si>
  <si>
    <t>Activity Types</t>
  </si>
  <si>
    <t>Capi%</t>
  </si>
  <si>
    <t>C - 60%</t>
  </si>
  <si>
    <t>C - 40%</t>
  </si>
  <si>
    <t>C - 20%</t>
  </si>
  <si>
    <t>C - 10%</t>
  </si>
  <si>
    <t>OOI%</t>
  </si>
  <si>
    <t>O - 10%</t>
  </si>
  <si>
    <t>O - 40%</t>
  </si>
  <si>
    <t>O - 60%</t>
  </si>
  <si>
    <t>O - 80%</t>
  </si>
  <si>
    <t>O - 90%</t>
  </si>
  <si>
    <t>GBD</t>
  </si>
  <si>
    <t>Prefix</t>
  </si>
  <si>
    <t>Commercial Acquiring</t>
  </si>
  <si>
    <t>Digital Services</t>
  </si>
  <si>
    <t>MP</t>
  </si>
  <si>
    <t>Risk</t>
  </si>
  <si>
    <t>RSK</t>
  </si>
  <si>
    <t>COO - PTM</t>
  </si>
  <si>
    <t>PTM</t>
  </si>
  <si>
    <t>COO - BSA</t>
  </si>
  <si>
    <t>BSA</t>
  </si>
  <si>
    <t>COO - CS</t>
  </si>
  <si>
    <t>CCS</t>
  </si>
  <si>
    <t xml:space="preserve">CMO </t>
  </si>
  <si>
    <t>CMO</t>
  </si>
  <si>
    <t>Support Functions</t>
  </si>
  <si>
    <t>SF</t>
  </si>
  <si>
    <t>PE2E Arch &amp; program</t>
  </si>
  <si>
    <t>AP</t>
  </si>
  <si>
    <t>Transformation &amp; Digitalization</t>
  </si>
  <si>
    <t>TD</t>
  </si>
  <si>
    <t>Christian Baumann (Innovation)</t>
  </si>
  <si>
    <t>MS non-CPO</t>
  </si>
  <si>
    <t>Ex: Healthcare Germany (MS21-367)</t>
  </si>
  <si>
    <t>PAY</t>
  </si>
  <si>
    <t>GBD Short</t>
  </si>
  <si>
    <t>Nessie Identifier</t>
  </si>
  <si>
    <t>Definition</t>
  </si>
  <si>
    <t>Default for non CPO area</t>
  </si>
  <si>
    <t>Exising Dec21</t>
  </si>
  <si>
    <t>Budgeted (RAB approved / 3-year plan)</t>
  </si>
  <si>
    <t>OT</t>
  </si>
  <si>
    <t>OT (On-Top; OOI /Capi)</t>
  </si>
  <si>
    <t>% default list</t>
  </si>
  <si>
    <t>Key (lookup)</t>
  </si>
  <si>
    <t>Country</t>
  </si>
  <si>
    <t>Label</t>
  </si>
  <si>
    <t>k€</t>
  </si>
  <si>
    <t>Yearly WDs</t>
  </si>
  <si>
    <t>na</t>
  </si>
  <si>
    <t>added on request of Christa</t>
  </si>
  <si>
    <t>default used (0,5 + 2,5%)</t>
  </si>
  <si>
    <t>10% mark-up included here</t>
  </si>
  <si>
    <t>defaulted</t>
  </si>
  <si>
    <t>Why do we have a rate when we expect Fix Price iput in k€?</t>
  </si>
  <si>
    <t>defaulted, capacity outside MS</t>
  </si>
  <si>
    <t>Name</t>
  </si>
  <si>
    <t>Q1 (auto)</t>
  </si>
  <si>
    <t>Q2 (auto)</t>
  </si>
  <si>
    <t>Q3 (auto)</t>
  </si>
  <si>
    <t>Q4 (auto)</t>
  </si>
  <si>
    <t>Owner</t>
  </si>
  <si>
    <t>Strategic Program L1</t>
  </si>
  <si>
    <t>Portfolio class.</t>
  </si>
  <si>
    <t>Owning Platform</t>
  </si>
  <si>
    <t>ActType</t>
  </si>
  <si>
    <t>New Product Ind.</t>
  </si>
  <si>
    <t>Est. CAPI %</t>
  </si>
  <si>
    <t>Est. OOI %</t>
  </si>
  <si>
    <t>Est start date</t>
  </si>
  <si>
    <t>Est end date</t>
  </si>
  <si>
    <t>Customer</t>
  </si>
  <si>
    <t>Comment, rationales</t>
  </si>
  <si>
    <t>Budget FY P1 + P2</t>
  </si>
  <si>
    <t>IS_IN_BAU</t>
  </si>
  <si>
    <t>IS_EXISTING</t>
  </si>
  <si>
    <t>IS_IN_NEW</t>
  </si>
  <si>
    <t>Expected code</t>
  </si>
  <si>
    <t>Missing</t>
  </si>
  <si>
    <t>Critical</t>
  </si>
  <si>
    <t>Last update</t>
  </si>
  <si>
    <t>Nb to fix</t>
  </si>
  <si>
    <t>Feature to send paiement request by email</t>
  </si>
  <si>
    <t>Product Generic Bucket</t>
  </si>
  <si>
    <t>Budget from Financial Services</t>
  </si>
  <si>
    <t>Budget from Com Acq</t>
  </si>
  <si>
    <t xml:space="preserve">Product evolution for 3Y plan of Vertical </t>
  </si>
  <si>
    <t>Merchant load and activation automation on IPP platform</t>
  </si>
  <si>
    <t>included in SAP/Nessie?</t>
  </si>
  <si>
    <t>Can be deleted, duplicate of IN21-14-EF</t>
  </si>
  <si>
    <t>United Synergies</t>
  </si>
  <si>
    <t>provide Omnichannel features in hte context of UNITED</t>
  </si>
  <si>
    <t>Marco Polo SAGE</t>
  </si>
  <si>
    <t>Customer Projects</t>
  </si>
  <si>
    <t>Not Acceptance</t>
  </si>
  <si>
    <t>Marco Polo budget</t>
  </si>
  <si>
    <t>Omnichannel Product Development</t>
  </si>
  <si>
    <t>Prolonging of agreements in Salesforce</t>
  </si>
  <si>
    <t>RD-Migration</t>
  </si>
  <si>
    <t>Cloud ECR integration support for Tetra terminals</t>
  </si>
  <si>
    <t>APM Sweden, delivery 2023</t>
  </si>
  <si>
    <t>Wells Fargo Compliance and prefomamce activitiy</t>
  </si>
  <si>
    <t>Small fixes</t>
  </si>
  <si>
    <t>delivery 2023</t>
  </si>
  <si>
    <t>Migration Handelsbanken Acq merchants to Bambora Acquiring</t>
  </si>
  <si>
    <t>Mandatory reporting</t>
  </si>
  <si>
    <t>Fastlane SaferPay</t>
  </si>
  <si>
    <t>New version of the payment method</t>
  </si>
  <si>
    <t>new payment method</t>
  </si>
  <si>
    <t>new feature on existing payment method</t>
  </si>
  <si>
    <t>BackOffice enhancements</t>
  </si>
  <si>
    <t>improve login to comply with rules</t>
  </si>
  <si>
    <t>new feature on existing product</t>
  </si>
  <si>
    <t>New API for existing payment method</t>
  </si>
  <si>
    <t>Deliver critical features for omnichannel customers</t>
  </si>
  <si>
    <t>Porting of the H24 solution to Android devices</t>
  </si>
  <si>
    <t>CSACT connection to the AH</t>
  </si>
  <si>
    <t>50% of Capacty PPS</t>
  </si>
  <si>
    <t>30% of capacity UXT</t>
  </si>
  <si>
    <t>30% of capacity PPS</t>
  </si>
  <si>
    <t>MYOB</t>
  </si>
  <si>
    <t>Galeries Lafayette</t>
  </si>
  <si>
    <t>B21-CA-3</t>
  </si>
  <si>
    <t>OCT risk counter-measure</t>
  </si>
  <si>
    <t>Lefras</t>
  </si>
  <si>
    <t>Will be removed if not used</t>
  </si>
  <si>
    <t>Lefras Coetzee</t>
  </si>
  <si>
    <t>Incidents can be merged lateron if needed</t>
  </si>
  <si>
    <t>20% of capacity PPS</t>
  </si>
  <si>
    <t>20% of capacity UXT</t>
  </si>
  <si>
    <t>20% of capacity PROS</t>
  </si>
  <si>
    <t xml:space="preserve">Datalake &amp; customers' scripts maintenance </t>
  </si>
  <si>
    <t xml:space="preserve">Everest, UM, functional maintenance (new fields,..) </t>
  </si>
  <si>
    <t>Geoffroy Guelette</t>
  </si>
  <si>
    <t>Maintenance - OCH</t>
  </si>
  <si>
    <t>CAQ - 0053</t>
  </si>
  <si>
    <t>Business Templates Redesign</t>
  </si>
  <si>
    <t>Olivier Choquet</t>
  </si>
  <si>
    <t>CAQ - 0064</t>
  </si>
  <si>
    <t>Market place models 1 &amp; 2 according to schemes</t>
  </si>
  <si>
    <t>CAQ - 0070</t>
  </si>
  <si>
    <t>APACS40 for UK</t>
  </si>
  <si>
    <t>CAQ - 0072</t>
  </si>
  <si>
    <t xml:space="preserve">DCC - DCC for emerchantpay (PSP)  - enabling SMAC-Based DCC for E-Com / HBR </t>
  </si>
  <si>
    <t>CAQ - 0104</t>
  </si>
  <si>
    <t>DCC - ENVELOPE for DCC enhancements</t>
  </si>
  <si>
    <t>DIG - 0016</t>
  </si>
  <si>
    <t>ChatCommerce</t>
  </si>
  <si>
    <t>Gigital Services</t>
  </si>
  <si>
    <t>Daniel Hostettler</t>
  </si>
  <si>
    <t>Cedric Donkels</t>
  </si>
  <si>
    <t xml:space="preserve">Reporting for CSACT customers </t>
  </si>
  <si>
    <t>Migration to the advanced environment or CSACT</t>
  </si>
  <si>
    <t>Several</t>
  </si>
  <si>
    <t xml:space="preserve">Everest Refactoring + e-Portal V6 Onboarding </t>
  </si>
  <si>
    <t>CB6 MPE/MPA including Clss kernels</t>
  </si>
  <si>
    <t>NTE/TKE CB5.5 certifications</t>
  </si>
  <si>
    <t>Scalability of IFS products</t>
  </si>
  <si>
    <t xml:space="preserve">AMS/AME evolutions, PAS evolution, Italy SIA/fallback, Redsys nexo, Migration MAP,… </t>
  </si>
  <si>
    <t>CEPSA evolutions</t>
  </si>
  <si>
    <t>Cepsa</t>
  </si>
  <si>
    <t>thierry</t>
  </si>
  <si>
    <t>Tx Timing improvements, projects CR</t>
  </si>
  <si>
    <t>Certification support, projects CR</t>
  </si>
  <si>
    <t>OPT Contactless, Phase 2, Lane/3000 availaiblity,…</t>
  </si>
  <si>
    <t>Local reprint, projects CR, acceptance/SIT</t>
  </si>
  <si>
    <t>Roadmap - Reverse API</t>
  </si>
  <si>
    <t>Product Key Initiative</t>
  </si>
  <si>
    <t>OP2GO One FR</t>
  </si>
  <si>
    <t>Amex, Tap-in/Tap-out, Pay on Exit, Self/7-8000 outside FR intro</t>
  </si>
  <si>
    <t>Product Specific Initiative</t>
  </si>
  <si>
    <t>Regulations on Conexflow</t>
  </si>
  <si>
    <t>Regulation on CSACT</t>
  </si>
  <si>
    <t xml:space="preserve">e-Portal: technical debt </t>
  </si>
  <si>
    <t>New SSO; OPS migration (RedHat7, ..), localisation tool</t>
  </si>
  <si>
    <t>Extension BIN from 6 to 8 &amp; issuing of 19 digits PAN card on CPA</t>
  </si>
  <si>
    <t>Amex auto + components tests + Amex Receipt Template + Regulation / mandates from issues + DCC Credit online</t>
  </si>
  <si>
    <t>Connection to pan-European issuers</t>
  </si>
  <si>
    <t>Reinjection tools tx locked, Clss entry type, JSv2 EMV/SSC, TMSA to PLC, RHEL7, X25 Migration, UUID mgt</t>
  </si>
  <si>
    <t>Petrol / CSACT geo expansion in Europe</t>
  </si>
  <si>
    <t>Geo expansion in Portugal</t>
  </si>
  <si>
    <t>Axis migration to AIS</t>
  </si>
  <si>
    <t>Global infra migration, adaptation CI, APS Spring boot, Refactoring Token server</t>
  </si>
  <si>
    <t>Omnichannel on Ingenico Direct + Limonetik migration</t>
  </si>
  <si>
    <t>Integration of new PM on Ingenico Direct</t>
  </si>
  <si>
    <t>Smart Routing: Shared Acquirer Selection Service - to be developped in CSACT squads</t>
  </si>
  <si>
    <t>CSACT Migration to Global Infra</t>
  </si>
  <si>
    <t>Migration of all the applications from the Alcalá DC to the new Group infraestructure.</t>
  </si>
  <si>
    <t>Generic</t>
  </si>
  <si>
    <t>CSACT Technical debt / Rationalization</t>
  </si>
  <si>
    <t>Software factory</t>
  </si>
  <si>
    <t>Implementation of 3DSv2 service leveraging Ingenico MPI (Either directly or via shared service)</t>
  </si>
  <si>
    <t>Amex EP4, Black Duck, Ingestrust, P2PEv2 impacts, Security C3Driver, Telium2 vulnerability, White list mgt</t>
  </si>
  <si>
    <t xml:space="preserve">Technical Debt / Auto tests </t>
  </si>
  <si>
    <t>New features (profile, ), activity report per services, Proxi on Axis</t>
  </si>
  <si>
    <t>Product Compliance</t>
  </si>
  <si>
    <t xml:space="preserve">e-Portal v6 reporting </t>
  </si>
  <si>
    <t>Completion of e-PortalV6 (User Mgt, totals, capture, KPIs)</t>
  </si>
  <si>
    <t>Access to e-Portal through M2M interface</t>
  </si>
  <si>
    <t>Self Service evolutions</t>
  </si>
  <si>
    <t>sScalability of the TUNZ platform</t>
  </si>
  <si>
    <t>Evolutions for El Corte Inglés (ECI)</t>
  </si>
  <si>
    <t>New features and evolutions for El Corte Inglés (custom solution, not using a WL acceptance platform)</t>
  </si>
  <si>
    <t>ECI</t>
  </si>
  <si>
    <t>Enhance Processing code, Grey list EMV/SSC, credit online, custom,…</t>
  </si>
  <si>
    <t>BP evolutions</t>
  </si>
  <si>
    <t>BP</t>
  </si>
  <si>
    <t>Evolutions for TSS customers such as Comercia, Santander…</t>
  </si>
  <si>
    <t>TSS</t>
  </si>
  <si>
    <t>Galp evolutions</t>
  </si>
  <si>
    <t>Galp</t>
  </si>
  <si>
    <t>Evolutions for mid-customers</t>
  </si>
  <si>
    <t>Bucket for Sainsbury's devs</t>
  </si>
  <si>
    <t>Sainsbury's</t>
  </si>
  <si>
    <t>Project CR</t>
  </si>
  <si>
    <t>Project CR/BAU</t>
  </si>
  <si>
    <t>Refund by reference, Affinity card, full Lane/3000 certifications</t>
  </si>
  <si>
    <t>Accor (C3Driver), Infomil, Olaqin (Tetra), RATP CB5.5, SNFC automatic provisionning</t>
  </si>
  <si>
    <t xml:space="preserve">WL Sips: Apple Pay &amp; Samsung Pay via BXAP protocol </t>
  </si>
  <si>
    <t>Colbrant, Christine</t>
  </si>
  <si>
    <t>FANTONE, Sebastien</t>
  </si>
  <si>
    <t>Amex, Diners/Discover, JCB, UnionPay</t>
  </si>
  <si>
    <t>Recurring payments with PayPal</t>
  </si>
  <si>
    <t xml:space="preserve">Cofidis new API on WL Sips for Sips &amp; Ogone </t>
  </si>
  <si>
    <t>GHANEM, AICHA</t>
  </si>
  <si>
    <t>modern UI for desktop &amp; tablet</t>
  </si>
  <si>
    <t>Coetzee, Lefras</t>
  </si>
  <si>
    <t>mandatory changes to comply with EU regulation</t>
  </si>
  <si>
    <t>Account Based Payments</t>
  </si>
  <si>
    <t>STEINFELS, OLIVIER</t>
  </si>
  <si>
    <t>Custom / Evolutions for Système U</t>
  </si>
  <si>
    <t>MS21-639</t>
  </si>
  <si>
    <t>CMO – Small enhancements, Missions and Certifications (2021)</t>
  </si>
  <si>
    <t>MS Other</t>
  </si>
  <si>
    <t>United Synergy</t>
  </si>
  <si>
    <t xml:space="preserve"> Nils Herloff-Petersen </t>
  </si>
  <si>
    <t>WLOP to WL Acquiring CNP for United and MarcoPolo</t>
  </si>
  <si>
    <t>Herloff-Petersen, Nils</t>
  </si>
  <si>
    <t>Fill gaps between AXIS and SACC; SACC transactions to e-Portal. In-store=1960;Datalake=120;TIM Server=180;Business Engineering=110</t>
  </si>
  <si>
    <t>Thierry F. &amp; Patrik O.</t>
  </si>
  <si>
    <t>Omnichannel synergies</t>
  </si>
  <si>
    <t xml:space="preserve">United Synergies: Cost avoidance and Revenue Growth by building consolidated Omnichannel portfolio. </t>
  </si>
  <si>
    <t>Driesden Karolien</t>
  </si>
  <si>
    <t>[UNITED SYNERGIES] Connection to Worldline Acquiring</t>
  </si>
  <si>
    <t>[UNITED SYNERGIES] DCC Hub</t>
  </si>
  <si>
    <t>SACC about mass transit customers decommissioning and Split current Tap2Use solution, between Ticketing/Payment/Access to Acquirers.</t>
  </si>
  <si>
    <t>United B14.02: PayUnity - Integrate and migrate portfolio to new United Acceptance eCommerce target platform</t>
  </si>
  <si>
    <t>ALBERTSSON, Sofia</t>
  </si>
  <si>
    <t>UNI-temp0913-01</t>
  </si>
  <si>
    <t>Omnibus United  | Wave 1</t>
  </si>
  <si>
    <t>UNI-temp0913-02</t>
  </si>
  <si>
    <t>Omnibus United | Wave 2</t>
  </si>
  <si>
    <t>UNI-temp0913-03</t>
  </si>
  <si>
    <t>Omnibus Portal platform | Maintenance &amp; bug fixing</t>
  </si>
  <si>
    <t>UNI-temp0913-04</t>
  </si>
  <si>
    <t>Omnibus Portal platform | New features</t>
  </si>
  <si>
    <t>XXX1</t>
  </si>
  <si>
    <t>Bambora Acquiring placeholder</t>
  </si>
  <si>
    <t>XXX2</t>
  </si>
  <si>
    <t>Roadmap - Insight - Dispute Management</t>
  </si>
  <si>
    <t>XXX3</t>
  </si>
  <si>
    <t>XXX4</t>
  </si>
  <si>
    <t>XXX6</t>
  </si>
  <si>
    <t>WL1C - Axis-Ogone Maintenance &amp; Cont. Enhancements (Axis-Ogone Roadmap)</t>
  </si>
  <si>
    <t>XXX7</t>
  </si>
  <si>
    <t>WL1C - Plug&amp;Play BeNeLux+Shared Developent (Regional Business Roadmap)</t>
  </si>
  <si>
    <t>Topic</t>
  </si>
  <si>
    <t>IPRB # (auto)</t>
  </si>
  <si>
    <t>Roadmap</t>
  </si>
  <si>
    <t>prolonging of agreements without term/new boarding</t>
  </si>
  <si>
    <t>Team</t>
  </si>
  <si>
    <t>T-Shirt</t>
  </si>
  <si>
    <t>Size in MD (auto)</t>
  </si>
  <si>
    <t>Capture's type</t>
  </si>
  <si>
    <t>Good dispatch</t>
  </si>
  <si>
    <t>Q1 MD</t>
  </si>
  <si>
    <t>Q2 MD</t>
  </si>
  <si>
    <t>Q3 MD</t>
  </si>
  <si>
    <t>Q4 MD</t>
  </si>
  <si>
    <t>Priority</t>
  </si>
  <si>
    <t>Demand for CapacityPlanning (auto)</t>
  </si>
  <si>
    <t>Author</t>
  </si>
  <si>
    <t>Category</t>
  </si>
  <si>
    <t>GBD (auto)</t>
  </si>
  <si>
    <t>One pager</t>
  </si>
  <si>
    <t>Cost k€ (auto)</t>
  </si>
  <si>
    <t>Included? (auto)</t>
  </si>
  <si>
    <t>Supplier Group (auto)</t>
  </si>
  <si>
    <t>Program (auto)</t>
  </si>
  <si>
    <t>Dest (auto)</t>
  </si>
  <si>
    <t>Verticals</t>
  </si>
  <si>
    <t>1PAGER (auto)</t>
  </si>
  <si>
    <t>DC GTM</t>
  </si>
  <si>
    <t>DC Platform</t>
  </si>
  <si>
    <t>DC Tribe</t>
  </si>
  <si>
    <t>Owning platform (auto)</t>
  </si>
  <si>
    <t>IN 1 Pager</t>
  </si>
  <si>
    <t>Authentication</t>
  </si>
  <si>
    <t>Whitelisting Exemption</t>
  </si>
  <si>
    <t>GC Supp2</t>
  </si>
  <si>
    <t>M</t>
  </si>
  <si>
    <t>override</t>
  </si>
  <si>
    <t>OK</t>
  </si>
  <si>
    <t>P2</t>
  </si>
  <si>
    <t>Product</t>
  </si>
  <si>
    <t>ONLINE</t>
  </si>
  <si>
    <t>Regulation &amp; Compliance</t>
  </si>
  <si>
    <t>Yes!</t>
  </si>
  <si>
    <t>Global Collect</t>
  </si>
  <si>
    <t>Global payments</t>
  </si>
  <si>
    <t>Trusted Beneficiary and DA</t>
  </si>
  <si>
    <t>S</t>
  </si>
  <si>
    <t>P1</t>
  </si>
  <si>
    <t>OTHER</t>
  </si>
  <si>
    <t>3DS V2 Trusted Beneficiary Exemption</t>
  </si>
  <si>
    <t>Generic implementation (not acquirer specific)</t>
  </si>
  <si>
    <t>Caradhas</t>
  </si>
  <si>
    <t>auto</t>
  </si>
  <si>
    <t>Delegated Authentication - Request through 3DS Server</t>
  </si>
  <si>
    <t>3RI MIT - Connect</t>
  </si>
  <si>
    <t>Iron Hills</t>
  </si>
  <si>
    <t>3RI MIT</t>
  </si>
  <si>
    <t>3DS V2 Delegated Authentication AIB</t>
  </si>
  <si>
    <t>GC Global Cards</t>
  </si>
  <si>
    <t>XS</t>
  </si>
  <si>
    <t>Generic solution already implemented in 2021</t>
  </si>
  <si>
    <t>3DS V2 Delegated Authentication Barclays</t>
  </si>
  <si>
    <t>J Secure 2 (JCB)</t>
  </si>
  <si>
    <t>3DS V2 MIT AIB</t>
  </si>
  <si>
    <t>3DS V2 MIT Barclays</t>
  </si>
  <si>
    <t>3DS V2 MIT Bambora</t>
  </si>
  <si>
    <t>3DS V2 MIT BNP</t>
  </si>
  <si>
    <t>3DS V2 Trusted Beneficiary Exemption AIB</t>
  </si>
  <si>
    <t>3DS V2 Trusted Beneficiary Exemption Barclays</t>
  </si>
  <si>
    <t>Generic solution already implemented by other team</t>
  </si>
  <si>
    <t>Smart routing GC</t>
  </si>
  <si>
    <t>ISO_1</t>
  </si>
  <si>
    <t>Make Data Talk</t>
  </si>
  <si>
    <t>NEEDS TO BE CHECKED IT THE CORRECT SHARED SERVICES TEAM IS SELECTED</t>
  </si>
  <si>
    <t>WL Acquiring Red</t>
  </si>
  <si>
    <t>Ops DC-I</t>
  </si>
  <si>
    <t>Extend Geographical Footprint</t>
  </si>
  <si>
    <t>Operations</t>
  </si>
  <si>
    <t>Reporting WL red</t>
  </si>
  <si>
    <t>GC Supp1</t>
  </si>
  <si>
    <t>Acq Hub_1</t>
  </si>
  <si>
    <t>Shared Services</t>
  </si>
  <si>
    <t>Financial Services</t>
  </si>
  <si>
    <t>WL Red Acquirer</t>
  </si>
  <si>
    <t>Migration Efforts</t>
  </si>
  <si>
    <t>Ops DC-M</t>
  </si>
  <si>
    <t>L</t>
  </si>
  <si>
    <t>Global Supporting Services</t>
  </si>
  <si>
    <t>Ops DC-R</t>
  </si>
  <si>
    <t>Sberpay</t>
  </si>
  <si>
    <t>Acq Hub_2</t>
  </si>
  <si>
    <t>Make payment methods recurring &amp; currencies</t>
  </si>
  <si>
    <t>GC Global LPM</t>
  </si>
  <si>
    <t>Verticalization</t>
  </si>
  <si>
    <t>South Korea phase 2</t>
  </si>
  <si>
    <t>Targon</t>
  </si>
  <si>
    <t>Scheme tokens phase 2</t>
  </si>
  <si>
    <t>Himalaya</t>
  </si>
  <si>
    <t>Google Pay &amp; Apple Pay Recurring and additional functionality</t>
  </si>
  <si>
    <t>Google Pay &amp; Apple Pay provider</t>
  </si>
  <si>
    <t>Google Pay &amp; Apple Pay recurring</t>
  </si>
  <si>
    <t>Bucket for reservation Hub evolutions</t>
  </si>
  <si>
    <t>Evolutions for Reservation Hub (Channel Managers, hotel integrations, etc)</t>
  </si>
  <si>
    <t>Cnx eCom VAS</t>
  </si>
  <si>
    <t>IN_STORE</t>
  </si>
  <si>
    <t>Connect - Upgrade Ideal 2.0</t>
  </si>
  <si>
    <t>New checkout flows</t>
  </si>
  <si>
    <t>Upgrade Ideal 2.0 via LPM hup</t>
  </si>
  <si>
    <t xml:space="preserve">8 Digit BIN compliance </t>
  </si>
  <si>
    <t>ECOM</t>
  </si>
  <si>
    <t>XXL</t>
  </si>
  <si>
    <t>PayTo integration</t>
  </si>
  <si>
    <t>XXXL</t>
  </si>
  <si>
    <t>Maintain Legacy Product</t>
  </si>
  <si>
    <t>Apple Pay / SRC</t>
  </si>
  <si>
    <t>Amex acceptance within PayFac merchant</t>
  </si>
  <si>
    <t>XL</t>
  </si>
  <si>
    <t>API to provision merchants into IPP platform</t>
  </si>
  <si>
    <t>Enterprise customer Change Requests</t>
  </si>
  <si>
    <t>Upgrade of DB</t>
  </si>
  <si>
    <t>Tech. Debt</t>
  </si>
  <si>
    <t>eDCC on Ingenico Direct - FE adaptations</t>
  </si>
  <si>
    <t>Complete Value Chain</t>
  </si>
  <si>
    <t>No, bad Program</t>
  </si>
  <si>
    <t>U&amp;MP</t>
  </si>
  <si>
    <t>eDCC on Ingenico Direct - BE adaptations</t>
  </si>
  <si>
    <t>WLOC_CARD_BE</t>
  </si>
  <si>
    <t>eDCC adaptations for existing ME</t>
  </si>
  <si>
    <t>WLOC_CARD_FE</t>
  </si>
  <si>
    <t>PaybyLink via Saferpay</t>
  </si>
  <si>
    <t>SaferPay</t>
  </si>
  <si>
    <t>Advanced Payment Processing</t>
  </si>
  <si>
    <t>Nordic Instore Enhancement</t>
  </si>
  <si>
    <t>Ops RB</t>
  </si>
  <si>
    <t>Bambora H</t>
  </si>
  <si>
    <t>User Experience</t>
  </si>
  <si>
    <t>AliPay and WeChatPay</t>
  </si>
  <si>
    <t>BNPL phase 2 FS</t>
  </si>
  <si>
    <t>WL DCC service (AXIN-1526)</t>
  </si>
  <si>
    <t>(Integrationtesting and go live support)</t>
  </si>
  <si>
    <t>AFAQ</t>
  </si>
  <si>
    <t>Smart Routing / Shared service</t>
  </si>
  <si>
    <t>Fallback acquirer improvements (extension to Spain, internal acquiring, etc.)</t>
  </si>
  <si>
    <t>AFR</t>
  </si>
  <si>
    <t>P3</t>
  </si>
  <si>
    <t>Needed for Inditex, Lidl. Others will come later too.</t>
  </si>
  <si>
    <t>No, Parking lot</t>
  </si>
  <si>
    <t>New smart routing engine with nexo application CPA/MAP</t>
  </si>
  <si>
    <t>AFNEXT</t>
  </si>
  <si>
    <t>New smart routing engine with EMV/SSC France</t>
  </si>
  <si>
    <t>AFA</t>
  </si>
  <si>
    <t>WL Acquiring Red and Blue with all schemes (AXIN-1524)</t>
  </si>
  <si>
    <t>Certifications, JCB C'less, Partial Autorisation</t>
  </si>
  <si>
    <t>AXIS Acquiring Customer Support</t>
  </si>
  <si>
    <t>Configuration and deployment support</t>
  </si>
  <si>
    <t>APM BancomatPay or Satispay Italy</t>
  </si>
  <si>
    <t>AFC</t>
  </si>
  <si>
    <t>P4</t>
  </si>
  <si>
    <t>APM Payconiq Belgium</t>
  </si>
  <si>
    <t>Bizum in-store (via APM Hub)</t>
  </si>
  <si>
    <t>Axis connection to Bizum/APM</t>
  </si>
  <si>
    <t>Needs to be done taking into account that a connection between Axis and APM Hub must exist</t>
  </si>
  <si>
    <t>CardLink Greece (tbc)</t>
  </si>
  <si>
    <t>SIBS Portugal (tbc)</t>
  </si>
  <si>
    <t xml:space="preserve">Blik Poland (AXIN-801) via APM hub or Axis direct or via Elavon (worst case) ? </t>
  </si>
  <si>
    <t>Implement Blik on AXIS VAS</t>
  </si>
  <si>
    <t>Required to offer acquiring in Poland. (on AFC today, but AFC is over budget)</t>
  </si>
  <si>
    <t xml:space="preserve"> Look at using AFAQ if no capacity elsewhere (will deprioritise other dev)</t>
  </si>
  <si>
    <t>Support Poland pilot (acquirer, fiscal printing done in 2020,...)</t>
  </si>
  <si>
    <t>AF7</t>
  </si>
  <si>
    <t>[Certifications] [2022] CSACT (CSACT-5918 )</t>
  </si>
  <si>
    <t>Open / Self2-4-5000 / Self/7-8000</t>
  </si>
  <si>
    <t>QA - AFAQ</t>
  </si>
  <si>
    <t>[Certifications] [2022] Axis (Spanish market) (CSACT-5970)</t>
  </si>
  <si>
    <t>Execution (Self/2-4-5000 &amp; Self/7-8000)</t>
  </si>
  <si>
    <t>CFR BE: Payconiq</t>
  </si>
  <si>
    <t>AFCAR-C3</t>
  </si>
  <si>
    <t>Sarah Lamarque</t>
  </si>
  <si>
    <t>CRF BE &amp; IT: refund &amp; rework ticket</t>
  </si>
  <si>
    <t>Payment Facilitator EMV/SSC support (AXIN-1295)</t>
  </si>
  <si>
    <t>Comp &amp; Regul.</t>
  </si>
  <si>
    <t>[Alcampo] [Conexflow migration] Pay with plate (AXIN-1485)</t>
  </si>
  <si>
    <t>Remaining from '21</t>
  </si>
  <si>
    <t>AFM</t>
  </si>
  <si>
    <t>[Petrol] Deferred Sales &amp; Extra Data with CPA/MAP</t>
  </si>
  <si>
    <t>Dvpt</t>
  </si>
  <si>
    <t>AFP</t>
  </si>
  <si>
    <t>[Petrol FR] Amex support - Auchan</t>
  </si>
  <si>
    <t>Lafon (NTA) &amp; Tokheim (TKA)</t>
  </si>
  <si>
    <t>[Petrol FR] EMV-FR</t>
  </si>
  <si>
    <t>NTE/TKE/SDM/CTD/PASS etc... applications updates (token, P2PE, settlements…)</t>
  </si>
  <si>
    <t>[Parking/Petrol-FR] TOTAL GR (ELF) EMV-FR (AXIN-858)</t>
  </si>
  <si>
    <t>Contact &amp; Contactless (offline) support</t>
  </si>
  <si>
    <t>[Transport] OP2GO One solution FR - Open loop + Close loop card acceptance- FR-SSC</t>
  </si>
  <si>
    <t>OPEN for both open &amp; close loop card -FR</t>
  </si>
  <si>
    <t>AFVP</t>
  </si>
  <si>
    <t>[Transport] Provide support to CSACT Transport squad</t>
  </si>
  <si>
    <t xml:space="preserve">[Self-Service] AMEX on SELF/2-4-5-7&amp;8000 with MT/MR for EV Charging &amp; Parking </t>
  </si>
  <si>
    <t>AMEX in EV Charging, parking &amp; Pay On foot</t>
  </si>
  <si>
    <t>AFI</t>
  </si>
  <si>
    <t>[Self-Service] Support Pilots</t>
  </si>
  <si>
    <t>Project team / Customer supports</t>
  </si>
  <si>
    <t>[Self-Service] Tetra unattended terminals with WL Blue &amp; Red certifications for Europe Market : Pay-on-Foot, Vending, EV Charging, Parking use cases</t>
  </si>
  <si>
    <t>WL Blue &amp; Red for Unattended - SELF/2-4-5-7-8000</t>
  </si>
  <si>
    <t>Partie AFAQ included in UNI21B06-01B</t>
  </si>
  <si>
    <t>[Vending] Pago bancomat scheme rule implementation for Vending</t>
  </si>
  <si>
    <t>Pago Bancomat for vending</t>
  </si>
  <si>
    <t>Voir avec Maria ou Fadila</t>
  </si>
  <si>
    <t>[Pay On Foot] Pago Bancomat in Pay on Foot with SELF/2-4-5-7-8000</t>
  </si>
  <si>
    <t>Pago Bancomat for Pay On Foot use case</t>
  </si>
  <si>
    <t xml:space="preserve">[Self-Service] AMEX with SELF/2-4-5-7&amp;8000  for EV Charging &amp; Parking </t>
  </si>
  <si>
    <t>[Self-Service] Self/2-5000 for partial sight people (end of CPA/MAP &amp; EMV/SCC ; start AMEX)</t>
  </si>
  <si>
    <t>SELF/2-5000 for partial sight people</t>
  </si>
  <si>
    <t>[Self-Service] Tetra unattended terminals 'Axis' certified with RedSys : Pay-on-Foot, Vending use cases</t>
  </si>
  <si>
    <t>SELF/2-4-5000 &amp; Self/7-8000 RedSys certification</t>
  </si>
  <si>
    <t>SELF/2-4-5000 &amp; Self/7-8000 RedSys certification - Support squad AFM &amp; QA_AFAQ</t>
  </si>
  <si>
    <t>Bizum in-store</t>
  </si>
  <si>
    <t>Reporting and billing</t>
  </si>
  <si>
    <t>CSACT BO</t>
  </si>
  <si>
    <t>[Vending] Support of 3rd part applications (like Luxeo)</t>
  </si>
  <si>
    <t>[Self-Service] Introduction of SELF/7-8000 FR and Europe (including MDBv4.2)</t>
  </si>
  <si>
    <t>SELF/7-8000 Package (FR &amp; CPA/MAP)</t>
  </si>
  <si>
    <t>AFC3</t>
  </si>
  <si>
    <t>[Vending] Pre-autorisation implementation for vending MCC - CPA/MAP</t>
  </si>
  <si>
    <t>pre-autho in Vending - CPA/MAP</t>
  </si>
  <si>
    <t>[Vending][EV Charging] ECR interaction with Camera-SELF/2-4-5000</t>
  </si>
  <si>
    <t>ECR interaction with Camera in SELF - EVC</t>
  </si>
  <si>
    <t>AFVP support for design and certification</t>
  </si>
  <si>
    <t>Bizum in-store (direct connection between CSACT and Bizum)</t>
  </si>
  <si>
    <t>QR-based Spanish APM for in-store environments (direct connection between CSACT and Bizum)</t>
  </si>
  <si>
    <t>CSACT Rdmp</t>
  </si>
  <si>
    <t>CSACT-9195</t>
  </si>
  <si>
    <t>[Transport] Mass Transit United Acceptance - VISA/MC/CB - Yoneo + Open + Link</t>
  </si>
  <si>
    <t>GTS update to support cyphered PAN as entry (TDES, AES ?)</t>
  </si>
  <si>
    <t>AFK</t>
  </si>
  <si>
    <t>Lane/3000 + Lane/5000v3 certification extension (NETS, Evry, RBI) (AXIN to be created)</t>
  </si>
  <si>
    <t>Bankaxept evolution (signature+voice referral for offline) (AXIN-1253)</t>
  </si>
  <si>
    <t>PAR management support (all CPA plug-ins excepted APACS), à splitter entre owner plug-in (core ready) (AXIN-778)</t>
  </si>
  <si>
    <t>Contactless Brand choice with Double tap (Italy mandate)</t>
  </si>
  <si>
    <t>Just support</t>
  </si>
  <si>
    <t>JCB contactless on nexo (AXIN-271)</t>
  </si>
  <si>
    <t>Lane/5000v3 - Italy Bancomat renewal (if not finalized) (AXIN to create considering issue)</t>
  </si>
  <si>
    <t>Online Refund (AXIN-1578)</t>
  </si>
  <si>
    <t>Partial Approval for Mastercard/VISA (forthcoming mandate) (AXIN-1252)</t>
  </si>
  <si>
    <t>Wereables solution for hospitality &amp; travel</t>
  </si>
  <si>
    <t>Paying with a wearable study and POC</t>
  </si>
  <si>
    <t>Possible conflict with the HumanTouch parnership in Travel (check with Sabrina Ruiz / Jessica Orazio)</t>
  </si>
  <si>
    <t>Visa refusal code (AXIN-1665, AXIN-1426))</t>
  </si>
  <si>
    <t>Online nexo Cancellation Service support (AXIN-1345)</t>
  </si>
  <si>
    <t>Visa Defered Auth Indicator (AXIN-930)</t>
  </si>
  <si>
    <t>AF6</t>
  </si>
  <si>
    <t>[Europe][Visa Mandate] - Remove MID and TID information from customer receipts (AXIN-1465)</t>
  </si>
  <si>
    <t>QR-based Spanish APM for in-store environments</t>
  </si>
  <si>
    <t>Asumes that CSACT-9195 is done. Otherwise the sizing should be more</t>
  </si>
  <si>
    <t xml:space="preserve">APM Hub &amp; CSACT integration </t>
  </si>
  <si>
    <t>CSACT integration with APM Hub</t>
  </si>
  <si>
    <t>Viacash</t>
  </si>
  <si>
    <t>Cashback service and APM</t>
  </si>
  <si>
    <t>Viacash bought by Paysafecard. To check if they will merge the solutions</t>
  </si>
  <si>
    <t>Account Verify (AXIN-1434)</t>
  </si>
  <si>
    <t>FRv6 plan in-store (Axis, AH) to be splitted in 3/4 roadmap lines (FR6, AFC3,…)</t>
  </si>
  <si>
    <t>CB6 AXIS/C3 TLV protocol for EMV/SSC, MPE Provisioning, MPE TLP &amp; migration features from CB5.5,  MPE CB2A 1.6 Auto with Online PIN &amp; TLC Stream + File, MPE Additional schemes JCB Discover UPI Wise Pure CPACE, MPE EMV PLBS + Transfer de fonds</t>
  </si>
  <si>
    <t>CB6</t>
  </si>
  <si>
    <t>FRv6 plan in-store (Axis, AH) UX / Terminal support</t>
  </si>
  <si>
    <t>Terminal / UX impacts / framework</t>
  </si>
  <si>
    <t>MicroDon without TRD ruling for charity EMV/SSC (AXIN-1200)</t>
  </si>
  <si>
    <t>CB5.5 unattended pre-auth contactless (AXIN-1480)</t>
  </si>
  <si>
    <t>mPOS certification CB5.5 or CB6 for iSMP4-CL2 Safety (AXIN-1318)</t>
  </si>
  <si>
    <t>Compliance with 5.5 referential (bulletin ? New Terminals ? New ERT ?)</t>
  </si>
  <si>
    <t>Technology - Online</t>
  </si>
  <si>
    <t>Hercules</t>
  </si>
  <si>
    <t>Maintenance &amp; Incidents</t>
  </si>
  <si>
    <t>Delivery Online</t>
  </si>
  <si>
    <t>Sculpture</t>
  </si>
  <si>
    <t>Devcode New Initiatives 1</t>
  </si>
  <si>
    <t>Vertical Solutions</t>
  </si>
  <si>
    <t>Devcode New Initiatives 2</t>
  </si>
  <si>
    <t>Devcode New Initiatives 3</t>
  </si>
  <si>
    <t>Devcode New Initiatives 4</t>
  </si>
  <si>
    <t>Paypal enhancements</t>
  </si>
  <si>
    <t>Get Basics Right</t>
  </si>
  <si>
    <t>Global Payments</t>
  </si>
  <si>
    <t>nexo IS v5 full (only first part in 2022): nexofast, nexo acquirer, nexo TMS update (AXIN-316)</t>
  </si>
  <si>
    <t>nexo IS v5 light: support Nexo EPAS Acquirer v9 with current CPA OIS v3 (AXIN to be created)</t>
  </si>
  <si>
    <t>Turkey</t>
  </si>
  <si>
    <t xml:space="preserve">Reporting Turkey </t>
  </si>
  <si>
    <t>P5</t>
  </si>
  <si>
    <t>Japan</t>
  </si>
  <si>
    <t>Reporting Japan</t>
  </si>
  <si>
    <t>New schemes, potential new input/output properties</t>
  </si>
  <si>
    <t>Volcano</t>
  </si>
  <si>
    <t>Update hardware certifications, certify new hardware</t>
  </si>
  <si>
    <t>Update processor certications, enter new veriticals</t>
  </si>
  <si>
    <t>8 Digit BIN support</t>
  </si>
  <si>
    <t xml:space="preserve">Top retention items from ISVs, eg. onboarding enhancements, </t>
  </si>
  <si>
    <t>Risk monitoring tools, onboarding processes and merchant communication for Payfac</t>
  </si>
  <si>
    <t>Close connection or move to AH</t>
  </si>
  <si>
    <t>Move connection to AH</t>
  </si>
  <si>
    <t>WOPA Global</t>
  </si>
  <si>
    <t>WL DCC service and Fexco</t>
  </si>
  <si>
    <t>No, bad Team</t>
  </si>
  <si>
    <t>3DS V2 In App</t>
  </si>
  <si>
    <t>3DS V2 SDK flow</t>
  </si>
  <si>
    <t>GSV migration to Ingenico Direct</t>
  </si>
  <si>
    <t>Oney card (direct integration) in Ingenico Direct</t>
  </si>
  <si>
    <t>Beyond</t>
  </si>
  <si>
    <t>Technical Leverage</t>
  </si>
  <si>
    <t>requested by Auchan France and Adeo</t>
  </si>
  <si>
    <t>Integration of SIPS into United - Placeholder</t>
  </si>
  <si>
    <t>[UNITED] SIPS Acquirer scope</t>
  </si>
  <si>
    <t>Build FR acquirer connections on Acquirer Hub</t>
  </si>
  <si>
    <t>Shared Serviced (non-omnichannel)</t>
  </si>
  <si>
    <t>Customer Care project support</t>
  </si>
  <si>
    <t xml:space="preserve">  FR acquirer migration to  Acquirer Hub</t>
  </si>
  <si>
    <t>[UNITED] SIPS feature gap closing</t>
  </si>
  <si>
    <t>SIPS feature gap closing Placeholder</t>
  </si>
  <si>
    <t>WLOC_SIPS</t>
  </si>
  <si>
    <t>Centaurus</t>
  </si>
  <si>
    <t>Gemini</t>
  </si>
  <si>
    <t>Product improvments (can be detailled if required)</t>
  </si>
  <si>
    <t>3DS V2 JCB</t>
  </si>
  <si>
    <t>Disable fallback + changes to stop V1</t>
  </si>
  <si>
    <t>Standalone 3DS</t>
  </si>
  <si>
    <t>Connect - Stand alone authentication</t>
  </si>
  <si>
    <t>Requested by Google and other merchants</t>
  </si>
  <si>
    <t>Connect - Bucket to handle small changes &amp; improvements</t>
  </si>
  <si>
    <t xml:space="preserve">Open Banking A2A integration </t>
  </si>
  <si>
    <t>Open Banking phase 2 AISP/PISP</t>
  </si>
  <si>
    <t>Connect - Open Banking phase 2 AISP/PISP</t>
  </si>
  <si>
    <t>OCH Tech Debt</t>
  </si>
  <si>
    <t xml:space="preserve">Standard Cassandra Cluster - Module Migration (IinService)
</t>
  </si>
  <si>
    <t>Omn_Core</t>
  </si>
  <si>
    <t>Maintenance &amp; Technical Debt</t>
  </si>
  <si>
    <t xml:space="preserve">Standard Cassandra Cluster - Cassandra Migration
</t>
  </si>
  <si>
    <t>Security Service - Audit Server and Monitoring</t>
  </si>
  <si>
    <t xml:space="preserve">Security Cassandra Cluster - Module Migration (9 core modules)
</t>
  </si>
  <si>
    <t xml:space="preserve">Security Cassandra Cluster - Cassandra Migration
</t>
  </si>
  <si>
    <t>SAML Support - Investigation + POC</t>
  </si>
  <si>
    <t>Open JDK - Module Migration</t>
  </si>
  <si>
    <t>Key Store Service - Enhancements</t>
  </si>
  <si>
    <t>HSM Upgrade</t>
  </si>
  <si>
    <t xml:space="preserve">BinUpdater - Enhancements
</t>
  </si>
  <si>
    <t>BIMDS - Enhancements</t>
  </si>
  <si>
    <t>Standard Cassandra Cluster - Module Migration (FTS, MIS, LIM, ERS, FLIG, PSS)</t>
  </si>
  <si>
    <t>WOPA Sup4SS</t>
  </si>
  <si>
    <t>Standard Cassandra Cluster - Module Migration (CBS, JPMOFF)</t>
  </si>
  <si>
    <t>TOS - TTL based on last usage instead of general 7 year</t>
  </si>
  <si>
    <t>TOS - Identify usage of unique card numbers</t>
  </si>
  <si>
    <t>TOS - Datamodel alteration</t>
  </si>
  <si>
    <t>Online Connectivity</t>
  </si>
  <si>
    <t>Connect - Checkout improvements</t>
  </si>
  <si>
    <t>Improvements to MyCheckout hosted payment pages and its editor</t>
  </si>
  <si>
    <t>Improve UX on ROAMsupport, ROAMmerchant, Developer portal, and onboarding processes</t>
  </si>
  <si>
    <t>Merchant tools for fraud, eg. Mobile Pay, velocity controls, AVS reversals</t>
  </si>
  <si>
    <t>Support Full Service business model on Roam platform</t>
  </si>
  <si>
    <t>Support for ecomm feature set eg. tokenization, hosted checkout, wallet support</t>
  </si>
  <si>
    <t>Omn_On</t>
  </si>
  <si>
    <t>Onboarding &amp; Operations</t>
  </si>
  <si>
    <t>Omn_Cash</t>
  </si>
  <si>
    <t xml:space="preserve">Shared Services </t>
  </si>
  <si>
    <t>Omnichannel Capability (Service Hub Development)</t>
  </si>
  <si>
    <t>OCH_BA</t>
  </si>
  <si>
    <t>Cards - Technical Debt</t>
  </si>
  <si>
    <t>Cards - New Innovations</t>
  </si>
  <si>
    <t>Cards - Improve Technology Stack</t>
  </si>
  <si>
    <t>Cards - Improve DevOps Tools and Techniques</t>
  </si>
  <si>
    <t>LPM - Technical Debt</t>
  </si>
  <si>
    <t>LPM - Improve Technology Stack</t>
  </si>
  <si>
    <t>LPM  - New Innovations</t>
  </si>
  <si>
    <t>LPM  - Improve DevOps Tools and Techniques</t>
  </si>
  <si>
    <t>Fraud Prevention - Technical Debt</t>
  </si>
  <si>
    <t>Fraud Prevention - Improve Technology Stack</t>
  </si>
  <si>
    <t>Fraud Prevention  - New Innovations</t>
  </si>
  <si>
    <t>Fraud Prevention  - Improve DevOps Tools and Techniques</t>
  </si>
  <si>
    <t xml:space="preserve">Global Payments -Cards - Incident and Problems Management
</t>
  </si>
  <si>
    <t xml:space="preserve">Global Payments -LPM - Incident and Problems Management
</t>
  </si>
  <si>
    <t xml:space="preserve">Global Payments -Fraud Prevention - Incident and Problem Management
</t>
  </si>
  <si>
    <t>Changing all the URLs to remove Ingenico</t>
  </si>
  <si>
    <t>enable terminal to talk to a cloud based ecr</t>
  </si>
  <si>
    <t>Bambora I</t>
  </si>
  <si>
    <t>Budget with Financial Services</t>
  </si>
  <si>
    <t>secure boarding integration to SAP instead of legacy</t>
  </si>
  <si>
    <t>Bambora F</t>
  </si>
  <si>
    <t>enable terminal to connect via wifi</t>
  </si>
  <si>
    <t>enable Swedish merchants to offer swish as payment option</t>
  </si>
  <si>
    <t>United - GTM Synergy - B8</t>
  </si>
  <si>
    <t>migration from Fexco to WL DCC</t>
  </si>
  <si>
    <t>Spilover for WF and Prefinance</t>
  </si>
  <si>
    <t>Sub1 Product</t>
  </si>
  <si>
    <t>SUB1</t>
  </si>
  <si>
    <t>TechProcess</t>
  </si>
  <si>
    <t>Techprocess</t>
  </si>
  <si>
    <t>Global airline acquiring</t>
  </si>
  <si>
    <t>Add airline acquiring capability in other countries</t>
  </si>
  <si>
    <t>GC Vertical</t>
  </si>
  <si>
    <t>Bambora</t>
  </si>
  <si>
    <t>Vertical solutions</t>
  </si>
  <si>
    <t>BSP synergy accross platform</t>
  </si>
  <si>
    <t>Surcharging on WLOC</t>
  </si>
  <si>
    <t>Delivery of Feature Complete requirements</t>
  </si>
  <si>
    <t>WLOC connection to Acq hub for Acq AU</t>
  </si>
  <si>
    <t>Update TSYS connection</t>
  </si>
  <si>
    <t>UX / Feature enhancements to ROAMpay X</t>
  </si>
  <si>
    <t>Feature enhancements to mPOS SDK</t>
  </si>
  <si>
    <t>Iterate on 3DS, enhance risk thresholds and other fraud tools</t>
  </si>
  <si>
    <t>Efficient operations</t>
  </si>
  <si>
    <t>integration to partner for bank statement lookup</t>
  </si>
  <si>
    <t>enable merchant to see engagement, agreement and make change requests in report portal</t>
  </si>
  <si>
    <t>have product solution that enables partners to make own bundle</t>
  </si>
  <si>
    <t>secure BB device agreements are signed with Mobile Bank ID</t>
  </si>
  <si>
    <t>based on pilot, changes needed in the loan product</t>
  </si>
  <si>
    <t>Bambora Online</t>
  </si>
  <si>
    <t>set up a new invoice partner (BNPL) for BB Online Checkout</t>
  </si>
  <si>
    <t>Bambora O</t>
  </si>
  <si>
    <t>improved customer UI experience</t>
  </si>
  <si>
    <t>reduce manual boarding of DCC</t>
  </si>
  <si>
    <t>Compliance</t>
  </si>
  <si>
    <t>new bin range, mandate from VISA/MC</t>
  </si>
  <si>
    <t>secure refunds go online, mandate from VISA/MC</t>
  </si>
  <si>
    <t>Connect - Offline Processing</t>
  </si>
  <si>
    <t>Add capability to Connect to process files or other offline instructions</t>
  </si>
  <si>
    <t>CRF FR &amp; IT: CPA Brandchoice</t>
  </si>
  <si>
    <t>CRF FR: CB2A (CB6 &amp; TLP Robustness)</t>
  </si>
  <si>
    <t>[Self-Service] CB6 for Unattended terminals</t>
  </si>
  <si>
    <t>CB6 for Unattended terminals</t>
  </si>
  <si>
    <t>AFA cannot start before Q1.23</t>
  </si>
  <si>
    <t>BIN 8 digits CPA/MAP impact (ready tag for debit/credit first, PAN masking, etc.) (AXIN-1012)</t>
  </si>
  <si>
    <t>BIN 8 digits Bin Analysis Tool evolution (AXIN-1012)</t>
  </si>
  <si>
    <t>Minor impact per app so per squad</t>
  </si>
  <si>
    <t>BIN 8 digits EMV/SSC impact (PAN masking) (AXIN-1012)</t>
  </si>
  <si>
    <t>BIN 8 digits P2PE / Security impact (AXIN-1012)</t>
  </si>
  <si>
    <t>Extension BIN from 6 to 8</t>
  </si>
  <si>
    <t>multiple applications</t>
  </si>
  <si>
    <t>Sebastien Letniowski</t>
  </si>
  <si>
    <t>Acquirer Hub</t>
  </si>
  <si>
    <t>[Latam] Acquirer Hub - Sub1 5 connections migration</t>
  </si>
  <si>
    <t>review done</t>
  </si>
  <si>
    <t>CSACT integration with the Smart Routing Shared service</t>
  </si>
  <si>
    <t>Automation and process improvements for bank transfer product suite</t>
  </si>
  <si>
    <t>Valhalla M&amp;A, Com Acq budget</t>
  </si>
  <si>
    <t>Migrating Handelsbanken Acq to Bambora Acq, effort TBD</t>
  </si>
  <si>
    <t>Catering for regular smaller scheme updates during the year</t>
  </si>
  <si>
    <t>Regular smaller scheme updates during the year</t>
  </si>
  <si>
    <t>10% of P1 topics for e2e analysis</t>
  </si>
  <si>
    <t>RB Omnichannel</t>
  </si>
  <si>
    <t>WL Blue - Blended pricing in Full Service</t>
  </si>
  <si>
    <t>WLOC_IFS</t>
  </si>
  <si>
    <t>Boarding adpaption for RB Omnichannel</t>
  </si>
  <si>
    <t>Refund instore transactions by web</t>
  </si>
  <si>
    <t>Pricing - Low Value Payment in TUNZ</t>
  </si>
  <si>
    <t>Other RB Omnichannel (BI, portal adaptations, etc)</t>
  </si>
  <si>
    <t>New Pricing Bundles for Omnichannel RB</t>
  </si>
  <si>
    <t>Dutch PIN (TUNZ)</t>
  </si>
  <si>
    <t>Send real-time instore tx copy to IFS (Tunz)</t>
  </si>
  <si>
    <t>COM ACQ</t>
  </si>
  <si>
    <t>Integrate WL Flow 1 for instore tx</t>
  </si>
  <si>
    <t>WL Red to integrate Tunz as PayFac</t>
  </si>
  <si>
    <t>Boarding optimization (incl. upsell)</t>
  </si>
  <si>
    <t>15% for e2e testing of p1 topic</t>
  </si>
  <si>
    <t>OCH_E2E</t>
  </si>
  <si>
    <t>WL Red - Blended pricing in Full Service</t>
  </si>
  <si>
    <t>Partner Sales</t>
  </si>
  <si>
    <t>Other local market specific needs (13 countries - EP2 Reach) placeholder 400 days (wild guess)</t>
  </si>
  <si>
    <t>Omnichannel Single invoice</t>
  </si>
  <si>
    <t>Mid-Market requirements - very rough</t>
  </si>
  <si>
    <t>SAGE</t>
  </si>
  <si>
    <t>ING Bank Button reporting (scheme compliance)</t>
  </si>
  <si>
    <t>Compliance (BNB Reporting)</t>
  </si>
  <si>
    <t>Compliance (AML and Audit)</t>
  </si>
  <si>
    <t>Business Fast lane (customer requests)</t>
  </si>
  <si>
    <t>OPS RB</t>
  </si>
  <si>
    <t>iDeal 2.0</t>
  </si>
  <si>
    <t>via APM Hub?</t>
  </si>
  <si>
    <t>P24</t>
  </si>
  <si>
    <t>Limonetik ecovoucher + Swissbiling</t>
  </si>
  <si>
    <t>Click to Pay (SRC)</t>
  </si>
  <si>
    <t>Klarna in FS</t>
  </si>
  <si>
    <t>Scheme Token</t>
  </si>
  <si>
    <t>Back office improvements (Saferpay)</t>
  </si>
  <si>
    <t>Login compliancy Saferpay Backoffice</t>
  </si>
  <si>
    <t>Extend marketplace with BNPL for Payone</t>
  </si>
  <si>
    <t>RB Local - Benelux</t>
  </si>
  <si>
    <t>Support of Differed Payment for Bancontact on Ingenico Direct</t>
  </si>
  <si>
    <t xml:space="preserve">BXAP change to support Bancontact Differed Payment </t>
  </si>
  <si>
    <t>iDeal 2.0 implementation on WLOC FE</t>
  </si>
  <si>
    <t>WLOC_APM</t>
  </si>
  <si>
    <t>iDeal 2.0 implementation on APM Hub</t>
  </si>
  <si>
    <t>APM_Hub</t>
  </si>
  <si>
    <t>Audit Trail, 2FA (Factor Authentication</t>
  </si>
  <si>
    <t>WLOC_MXP</t>
  </si>
  <si>
    <t>Customer care</t>
  </si>
  <si>
    <t>Web to case</t>
  </si>
  <si>
    <t xml:space="preserve">Password expiration alert ( every 6 months) </t>
  </si>
  <si>
    <t>MP White Labeling for Barclays</t>
  </si>
  <si>
    <t xml:space="preserve">Ingenico Direct White Labeling for Barclays </t>
  </si>
  <si>
    <t>Apple Pay for Barclaycard</t>
  </si>
  <si>
    <t xml:space="preserve">MP White Labeling for Marco Polo </t>
  </si>
  <si>
    <t xml:space="preserve">Billing adaptation for Marco Polo </t>
  </si>
  <si>
    <t>MP White Labeling for Paytipper</t>
  </si>
  <si>
    <t xml:space="preserve">Ingenico Direct White Labeling for Paytipper </t>
  </si>
  <si>
    <t>MP White Labeling for KBC</t>
  </si>
  <si>
    <t xml:space="preserve">Ingenico Direct White Labeling for KBC </t>
  </si>
  <si>
    <t>MP White Labeling for Viveum</t>
  </si>
  <si>
    <t xml:space="preserve">Ingenico Direct White Labeling for Viveum </t>
  </si>
  <si>
    <t>MP White Labeling for PayGlobe</t>
  </si>
  <si>
    <t xml:space="preserve">Ingenico Direct White Labeling for PayGlobe </t>
  </si>
  <si>
    <t xml:space="preserve">Ingenico Direct White Labeling for Marco Polo </t>
  </si>
  <si>
    <t>Merchant Portal</t>
  </si>
  <si>
    <t>DataLake data migration</t>
  </si>
  <si>
    <t>Reduce instore settlement delay</t>
  </si>
  <si>
    <t xml:space="preserve">Be able to charge Auth and Pre-Auth </t>
  </si>
  <si>
    <t>Reseller access - Restrictions in user levels</t>
  </si>
  <si>
    <t>Partner boarding flow</t>
  </si>
  <si>
    <t>New nvoice integration</t>
  </si>
  <si>
    <t>MPO &amp; VIPSS merger</t>
  </si>
  <si>
    <t>MOTO support</t>
  </si>
  <si>
    <t>App Switch</t>
  </si>
  <si>
    <t>AMEX support on checkout</t>
  </si>
  <si>
    <t>Reporting</t>
  </si>
  <si>
    <t>Placeholder to support BOL roadmap</t>
  </si>
  <si>
    <t>Paybylink</t>
  </si>
  <si>
    <t>Gaps &amp; logs for Report.bambora.com</t>
  </si>
  <si>
    <t>Billing bambora checkout - APM</t>
  </si>
  <si>
    <t>Actual migration</t>
  </si>
  <si>
    <t>New card schemes</t>
  </si>
  <si>
    <t>UPI on Ingenico Direct</t>
  </si>
  <si>
    <t>Above</t>
  </si>
  <si>
    <t>Part of Roadmap '21 not delivered.</t>
  </si>
  <si>
    <t>Account updater</t>
  </si>
  <si>
    <t xml:space="preserve">Scheme tokenization on ecommerce
</t>
  </si>
  <si>
    <t>Xchannel provisionning improvements</t>
  </si>
  <si>
    <t>Improve Xchannel provisionning in order to avoid human error</t>
  </si>
  <si>
    <t xml:space="preserve">Xchannel with multiacquirer </t>
  </si>
  <si>
    <t>Allow to refund on the same acquirer than the one used for the debit transaction</t>
  </si>
  <si>
    <t>Xchannel compliance with new Carte bancaire omnichannel specifications</t>
  </si>
  <si>
    <t>Carte bancaire is working on a new spec for omnichannel use case. We will have to put our solution in compliance with this specification</t>
  </si>
  <si>
    <t>Xchannel With DCC</t>
  </si>
  <si>
    <t>Compliance requirements , eg. Visa Checkout, Amex aggregator, AWS Repatriation</t>
  </si>
  <si>
    <t>GSV Customer project</t>
  </si>
  <si>
    <t xml:space="preserve">Unexpected GSV customer project </t>
  </si>
  <si>
    <t>RB Local - Nordics</t>
  </si>
  <si>
    <t>NETS on Acquirer hub</t>
  </si>
  <si>
    <t>NETS migration to AH</t>
  </si>
  <si>
    <t>Implement new BIN source feed for bin detection module</t>
  </si>
  <si>
    <t>Transaction maintenance compliancy</t>
  </si>
  <si>
    <t>Support new VISA decline codes - FE</t>
  </si>
  <si>
    <t>Support new VISA decline codes - BE</t>
  </si>
  <si>
    <t>Support new VISA decline codes - AH</t>
  </si>
  <si>
    <t>Stop 3DS v1.0</t>
  </si>
  <si>
    <t>SDK for 3DS v2.x</t>
  </si>
  <si>
    <t>PSD2: Adapt submission modes for Purchasing Cards to be PSD2 compliant</t>
  </si>
  <si>
    <t>PSD2/CB2A 1.6 add. Scope (incl Wallets)</t>
  </si>
  <si>
    <t>MPI Travel extension</t>
  </si>
  <si>
    <t>Manage Scheme Ref Data in WLOC Payment API</t>
  </si>
  <si>
    <t>MIT: Add cumulated amount feature for merchants using French acquirer</t>
  </si>
  <si>
    <t>Implement duplicate alias feature for returning customers purchasing a new subscription</t>
  </si>
  <si>
    <t>Block reattempts made on declined MASTERCARD transactions</t>
  </si>
  <si>
    <t>Adapt CB2A protocol for purchasing cards to be PSD2 compliant</t>
  </si>
  <si>
    <t>3DSV2.3 - Decoupled Authentication</t>
  </si>
  <si>
    <t>MobilePay/Vipps implementation on WLOC FE</t>
  </si>
  <si>
    <t>MobilePay/Vipps implementation on APM Hub</t>
  </si>
  <si>
    <t>Swish implementation on WLOC FE</t>
  </si>
  <si>
    <t>Swish implementation on APM Hub</t>
  </si>
  <si>
    <t>E2E testing for Omnichannel</t>
  </si>
  <si>
    <t>Ops OCH</t>
  </si>
  <si>
    <t>OCH_PDM</t>
  </si>
  <si>
    <t>EP2 integration with WL1C (handled by SPS)</t>
  </si>
  <si>
    <t>Customer Driven Development</t>
  </si>
  <si>
    <t>BAU/Tech Debt to refactor/migrate Boarding queueing engine</t>
  </si>
  <si>
    <t>Current RabbitMQ is showing weaknesses</t>
  </si>
  <si>
    <t xml:space="preserve">Bambora Salesforce instance BAU (upgrade, MFA) </t>
  </si>
  <si>
    <t>Several projects (MFA, migration) are to consider</t>
  </si>
  <si>
    <t>Vulnerability/security to avoid potential data breach/leakage</t>
  </si>
  <si>
    <t>RB Global - Digitalization</t>
  </si>
  <si>
    <t>Paypal Onboarding</t>
  </si>
  <si>
    <t xml:space="preserve">Onboarding E2E (payment, reporting, recon...) </t>
  </si>
  <si>
    <t>eCom Target Platform Onboarding</t>
  </si>
  <si>
    <t>Demo site Front End</t>
  </si>
  <si>
    <t>AFCAR-Dual</t>
  </si>
  <si>
    <t>H24 porting to Android</t>
  </si>
  <si>
    <t>Acquirer HUB connection --&gt; CSACT</t>
  </si>
  <si>
    <t>Target is to get it in 2023</t>
  </si>
  <si>
    <t>Acquirer HUB connection --&gt; Worldline RED connection</t>
  </si>
  <si>
    <t>cC P60 P2PE - SRED (ep2)</t>
  </si>
  <si>
    <t>cC yoximo successor Integration (ep2)</t>
  </si>
  <si>
    <t>cC yomani second source integration (ep2)</t>
  </si>
  <si>
    <t>cC P53 DC POS 3.0</t>
  </si>
  <si>
    <t>cC P61 NSP exchange (ZVT)</t>
  </si>
  <si>
    <t>cC yoximo successor Integration (ZVT)</t>
  </si>
  <si>
    <t>cC yomani second source integration (ZVT)</t>
  </si>
  <si>
    <t>cC ZVT terminals for Gateway / cloud</t>
  </si>
  <si>
    <t>cC pay@table</t>
  </si>
  <si>
    <t>cC Logo on PINPad (Gateway)</t>
  </si>
  <si>
    <t>cC Backoffice for WL Hospitality Suite ("Bistrokasse" )</t>
  </si>
  <si>
    <t>cC Oracle Simphony (pay@counter)</t>
  </si>
  <si>
    <t>BAU Activities</t>
  </si>
  <si>
    <t>cC P49 ep2 7.0 / 7.x / …</t>
  </si>
  <si>
    <t xml:space="preserve">cC P60 P2PE - SRED (ep2)                                     </t>
  </si>
  <si>
    <t>Small Projects cCredit (ZVT &amp; ep2)</t>
  </si>
  <si>
    <t xml:space="preserve">Maintenance cCredit (ZVT &amp; ep2)                            </t>
  </si>
  <si>
    <t>Ogone portals React FWK enhancements for easier tenant integrations</t>
  </si>
  <si>
    <t xml:space="preserve">React FWK enhancements </t>
  </si>
  <si>
    <t xml:space="preserve">Ogone Back-Office Jquery version upgrades </t>
  </si>
  <si>
    <t xml:space="preserve">Jquery version upgrades </t>
  </si>
  <si>
    <t xml:space="preserve">Security requirements </t>
  </si>
  <si>
    <t>Extend Acq.Hub to support fuel cards ; Connect WLBE acquiring to Acq.Hub</t>
  </si>
  <si>
    <t>According Business Architects high level estimations Step1/2/3 : 600/800/85</t>
  </si>
  <si>
    <t>Acquirer HUB connection -&gt; AMEX CAPN</t>
  </si>
  <si>
    <t>Connect AH to AMEX to remove legacy solutions</t>
  </si>
  <si>
    <t>Cpay - CB Enseigne protol - PSD2 compliance</t>
  </si>
  <si>
    <t>Changing merchant onboarding flows (not anymore using legacy Account API's)</t>
  </si>
  <si>
    <t>Moving integrations to Provisioning API's</t>
  </si>
  <si>
    <t>CB5.5 Banks Migration - Build</t>
  </si>
  <si>
    <t>COO-PTM</t>
  </si>
  <si>
    <t>EPAS V6</t>
  </si>
  <si>
    <t xml:space="preserve">CUP/Cheque Migration </t>
  </si>
  <si>
    <t>SACC – Conduent</t>
  </si>
  <si>
    <t xml:space="preserve">SACC – MTS Tap2use Envelop Projects </t>
  </si>
  <si>
    <t>SACC – Retail Envelop Customer Projects</t>
  </si>
  <si>
    <t>Shared Services Envelop Development</t>
  </si>
  <si>
    <t>United / Marco Polo</t>
  </si>
  <si>
    <t>Building United Loan growth services (Marco Polo instance is at the end)</t>
  </si>
  <si>
    <t>Omnibus_STK</t>
  </si>
  <si>
    <t>Anne-Claude Tichauer</t>
  </si>
  <si>
    <t>Datalake</t>
  </si>
  <si>
    <t>Already taken into account by Charlotte</t>
  </si>
  <si>
    <t>IAM for Marco Polo</t>
  </si>
  <si>
    <t>Channel API</t>
  </si>
  <si>
    <t>Direct access to functionality for channels</t>
  </si>
  <si>
    <t>Petra Steenstra</t>
  </si>
  <si>
    <t>OGONE data integration</t>
  </si>
  <si>
    <t xml:space="preserve">Includes Ogone data + PayOne eCom data </t>
  </si>
  <si>
    <t>PASS ACQ. Data integration</t>
  </si>
  <si>
    <t>EP2 (PASS ACC. &amp; WLP FO) data integration</t>
  </si>
  <si>
    <t>SIPS data history integration in datalake</t>
  </si>
  <si>
    <t>ePay data history integration in datalake</t>
  </si>
  <si>
    <t xml:space="preserve">GLOBAL COLLECT Data integration </t>
  </si>
  <si>
    <t xml:space="preserve">New data model for Omnibus </t>
  </si>
  <si>
    <t>Line added on 15/Sep after synch; with data architects</t>
  </si>
  <si>
    <t xml:space="preserve">IGOR (PayOne)  migration &amp; phase out </t>
  </si>
  <si>
    <t>Acceptance &amp; acquiring data</t>
  </si>
  <si>
    <t>Claudia Johannes</t>
  </si>
  <si>
    <t>Platform</t>
  </si>
  <si>
    <t>Omnibus_NL</t>
  </si>
  <si>
    <t>Table stake requirements placeholder</t>
  </si>
  <si>
    <t>Latency improvements</t>
  </si>
  <si>
    <t>Multiple partial capture</t>
  </si>
  <si>
    <t>TBM, Cost Reporting, Net Remittance</t>
  </si>
  <si>
    <t>Equence Worldline support of CTAP integration to WL1C</t>
  </si>
  <si>
    <t>Step 2 in replacing Webmanager as reporting tool</t>
  </si>
  <si>
    <t>Customer Product engagement visible in Salesforce</t>
  </si>
  <si>
    <t>Run and Maintenance Samport</t>
  </si>
  <si>
    <t>Run and Maintenance BOL</t>
  </si>
  <si>
    <t>Run and Maintenance Saferpay</t>
  </si>
  <si>
    <t>Run and Maintenance SIPS</t>
  </si>
  <si>
    <t>Run and Maintenance WLOC</t>
  </si>
  <si>
    <t>WLOC APM Run &amp; Maintenance</t>
  </si>
  <si>
    <t>WLOC BE Card Run &amp; Maintenance</t>
  </si>
  <si>
    <t>WLOC FE Card Run &amp; Maintenance</t>
  </si>
  <si>
    <t>WLOC IFS Run &amp; Maintenance</t>
  </si>
  <si>
    <t>WLOC MXP Run &amp; Maintenance</t>
  </si>
  <si>
    <t>Devcode Incident bucket 1</t>
  </si>
  <si>
    <t>Devcode Incident bucket 2</t>
  </si>
  <si>
    <t>Incident/Problem Handling</t>
  </si>
  <si>
    <t>Incident bucket Travel</t>
  </si>
  <si>
    <t>XXl</t>
  </si>
  <si>
    <t>TravelHub</t>
  </si>
  <si>
    <t>RUN and support activities for Conexflow</t>
  </si>
  <si>
    <t>30% of the capacity of this team is dedicated to BAU activities and maintenance, as opposite to CSACT which it has its own dedicated BAU team</t>
  </si>
  <si>
    <t>Cnx non GW</t>
  </si>
  <si>
    <t>Based on 30% of the total capacity (this was a given by Mohamed Lachguer)</t>
  </si>
  <si>
    <t>Maintenance and BAU support</t>
  </si>
  <si>
    <t>30% support</t>
  </si>
  <si>
    <t>Pierre-Olivier chaplain</t>
  </si>
  <si>
    <t>20% support</t>
  </si>
  <si>
    <t>10% support ==&gt; DISA</t>
  </si>
  <si>
    <t>CSACT DSA</t>
  </si>
  <si>
    <t>10% support</t>
  </si>
  <si>
    <t>CSACT Core</t>
  </si>
  <si>
    <t>MS datalake maintenance</t>
  </si>
  <si>
    <t>AFH</t>
  </si>
  <si>
    <t>Bin Number 6 to 8 digits</t>
  </si>
  <si>
    <t xml:space="preserve"> Mohamed LACHGUER </t>
  </si>
  <si>
    <t>Amex (pre-auth clss, file generation, receipt &amp; settl improvements,…) + Bucket</t>
  </si>
  <si>
    <t>Planet (Self, Online eligibility, online refund, BIN 8 digits…) + Bucket</t>
  </si>
  <si>
    <t>Global Blue (Self, MLv3, BIN 8 digits...) + Bucket</t>
  </si>
  <si>
    <t>Cetelem (CETNCB Digital, Duplicate mgt) + Bucket</t>
  </si>
  <si>
    <t>Compliance PCI</t>
  </si>
  <si>
    <t>security bug fixing</t>
  </si>
  <si>
    <t>Decommission TDES algorithm</t>
  </si>
  <si>
    <t>Onboarding Maintenance</t>
  </si>
  <si>
    <t>Onboarding maintenance</t>
  </si>
  <si>
    <t>SEA</t>
  </si>
  <si>
    <t>Support</t>
  </si>
  <si>
    <t>Maintenance Everest : new feature to help support + bug fix + support (user + Onbo team)</t>
  </si>
  <si>
    <t>CHA</t>
  </si>
  <si>
    <t>Data normalisation (all gateways)</t>
  </si>
  <si>
    <t>GREP-7354 Reporting data normalization</t>
  </si>
  <si>
    <t>TOR</t>
  </si>
  <si>
    <t>Maintenance, incident response</t>
  </si>
  <si>
    <t>Isaac SDK Team</t>
  </si>
  <si>
    <t>Devcode Technical Debt 2</t>
  </si>
  <si>
    <t>Tackle 500 existing userstories in this domain</t>
  </si>
  <si>
    <t>Devcode Technical Debt 1</t>
  </si>
  <si>
    <t>Simplify Usage of the system to reduce customer queries</t>
  </si>
  <si>
    <t>Devcode technical debt 3</t>
  </si>
  <si>
    <t>CB5.5 - E2E Tests banks</t>
  </si>
  <si>
    <t>SACC - Maintenance</t>
  </si>
  <si>
    <t>SACC POS PCI (each year)</t>
  </si>
  <si>
    <t xml:space="preserve">SACC - Non-productive </t>
  </si>
  <si>
    <t>Bambora BAU &amp; Tech Debt</t>
  </si>
  <si>
    <t>Placeholder to support Portal Tech Debt</t>
  </si>
  <si>
    <t>[United] Ingenico Direct on OCH</t>
  </si>
  <si>
    <t>Expose Ogone Payment engine to OCH (make Ogone PE as a shared service)</t>
  </si>
  <si>
    <t>WL1C Shared Services Development: Tx Mgmt, Notifications, Lifecycle</t>
  </si>
  <si>
    <t>OCH Maintenance</t>
  </si>
  <si>
    <t>Online Maintenance (10%)</t>
  </si>
  <si>
    <t>OmniChannel Maintenance (10%)</t>
  </si>
  <si>
    <t>Platform scalability</t>
  </si>
  <si>
    <t>Transaction maintenance migration</t>
  </si>
  <si>
    <t>Paypal flow migration (+BE =&gt; FE refactorization)</t>
  </si>
  <si>
    <t>to be checked if PayPal need to be ported on APM Hub</t>
  </si>
  <si>
    <t>Offline flow migration</t>
  </si>
  <si>
    <t>iDeal flow migration</t>
  </si>
  <si>
    <t>ESF Backend</t>
  </si>
  <si>
    <t>eCom Credit Card migration</t>
  </si>
  <si>
    <t>Platform Scalability</t>
  </si>
  <si>
    <t>Collect report migration</t>
  </si>
  <si>
    <t>CardComplete on Acquirer Hub</t>
  </si>
  <si>
    <t>BE Testing tool and automation</t>
  </si>
  <si>
    <t>BE Console Refatoring</t>
  </si>
  <si>
    <t xml:space="preserve">Batch Refactoring
</t>
  </si>
  <si>
    <t>Migrate OGMDS to OGMNS</t>
  </si>
  <si>
    <t>Concardis on Acquirer Hub</t>
  </si>
  <si>
    <t>Concardis migration to AH</t>
  </si>
  <si>
    <t>CardComplete migration to AH</t>
  </si>
  <si>
    <t>ePortal for fuel cards</t>
  </si>
  <si>
    <t>ePortal for VAS products for CSACT</t>
  </si>
  <si>
    <t>Linked to Tescto project (but to other Petrol customers as well)</t>
  </si>
  <si>
    <t>ePortal for VAS products</t>
  </si>
  <si>
    <t>Oney Spain - Duplo &amp; legacy card - AH impacts</t>
  </si>
  <si>
    <t>P2PE v2</t>
  </si>
  <si>
    <t>CB6 Application</t>
  </si>
  <si>
    <t>EMV/SSC application</t>
  </si>
  <si>
    <t>Kernel librairies</t>
  </si>
  <si>
    <t>CPA/MAP application</t>
  </si>
  <si>
    <t>Improve spanish footprint</t>
  </si>
  <si>
    <t>Oney Spain - Duplo &amp; legacy card on Ingenico Direct (SMBO-54692)</t>
  </si>
  <si>
    <t>Alcampo (Auchan Spain) asking for that. It may be finally not needed if Oney Duplo card is supported.</t>
  </si>
  <si>
    <t>Integrate Redsys DCC services on DCC hub</t>
  </si>
  <si>
    <t>DCC With Redsys - Ogone front end and back end impacts - (SMBO-56057)</t>
  </si>
  <si>
    <t>Compiance PCI</t>
  </si>
  <si>
    <t>Migration to the advanced environment</t>
  </si>
  <si>
    <t>Remaining customers that will be migrated from legacy environment to the advance Conexflow one.</t>
  </si>
  <si>
    <t>Support Customers' Projects</t>
  </si>
  <si>
    <t>Customers whose migration plan will be ended after 2021: TUI, AIRSHOP, PARADORES BALEARIA</t>
  </si>
  <si>
    <t>Customers whose migration plan will be ended after 2021: PARADORES DE TURISMO DE ESPAÑA, BALEARIA EUROLINEAS, COMPUDATA, JUAN FORNES FORNES....</t>
  </si>
  <si>
    <t>[2021's target] Euroshell card acceptance (CSACT-836)(CSACT-1093)</t>
  </si>
  <si>
    <t>Euroshell (AS400/Stratus)</t>
  </si>
  <si>
    <t>[2021's target] Club Smart for DISA migration (CSACT-4410)</t>
  </si>
  <si>
    <t>ClubSmart (AS400/Stratus)</t>
  </si>
  <si>
    <t>Euroshell (CSACT)</t>
  </si>
  <si>
    <t>ClubSmart (CSACT)</t>
  </si>
  <si>
    <t>Contingency for Conexflow migration</t>
  </si>
  <si>
    <t>Unexpected works on Stratus/AS400 (change request, unidentifed gaps, new keep customers)</t>
  </si>
  <si>
    <t>Unexpected works on CSACT/H24 (change request, unidentifed gaps, new keep customers)</t>
  </si>
  <si>
    <t>[TMB] Cancel transaction on the fly</t>
  </si>
  <si>
    <t>Already commited with the customer for Q1'22</t>
  </si>
  <si>
    <t>Oney - Duplo &amp; legacy card on Ingenico Direct (Spain) impact on AH client</t>
  </si>
  <si>
    <t>Onboarding Acquiring</t>
  </si>
  <si>
    <t>Acquiring Worldline Red/blue</t>
  </si>
  <si>
    <t>Onboarding Ogone</t>
  </si>
  <si>
    <t>Ogone integration</t>
  </si>
  <si>
    <t>ODY</t>
  </si>
  <si>
    <t>Onboarding API</t>
  </si>
  <si>
    <t>Onboarding External API</t>
  </si>
  <si>
    <t xml:space="preserve">Onboarding Axis &amp; Omnichannel </t>
  </si>
  <si>
    <t>Axis consumer, xchannel, generic profile, mass mod° &amp;updates</t>
  </si>
  <si>
    <t xml:space="preserve">Onboarding Axis global </t>
  </si>
  <si>
    <t>CB6, MAP, Move POS, migrate POS</t>
  </si>
  <si>
    <t xml:space="preserve">Onboarding Axis Smart Routing </t>
  </si>
  <si>
    <t>Smart Routing lot2</t>
  </si>
  <si>
    <t>Onboarding CSACT</t>
  </si>
  <si>
    <t>Evrest provisioning API migration (CSACT/IPS)</t>
  </si>
  <si>
    <t>Onboarding Everest decomissioning</t>
  </si>
  <si>
    <t>Everest decomisionning</t>
  </si>
  <si>
    <t xml:space="preserve">Onboarding Project </t>
  </si>
  <si>
    <t xml:space="preserve">Project life cycle (unique set-up for UAT, pprod &amp; prod) </t>
  </si>
  <si>
    <t xml:space="preserve">Onboarding Shared Services (BIN, acquirer, ..) </t>
  </si>
  <si>
    <t>BIN management, acquirer management</t>
  </si>
  <si>
    <t>Onboarding SNCF</t>
  </si>
  <si>
    <t>SNCF Lot2</t>
  </si>
  <si>
    <t>Onboarding Technical Debt</t>
  </si>
  <si>
    <t>CustomerPortal Microservices refactoring</t>
  </si>
  <si>
    <t>E2E Automatic Tests</t>
  </si>
  <si>
    <t>Kafka Partition Split</t>
  </si>
  <si>
    <t>Libraries Upgrade (Java, Angular, SpringBoot)</t>
  </si>
  <si>
    <t>Bug fixing</t>
  </si>
  <si>
    <t>Reminder applications impact with Everest Next Gen</t>
  </si>
  <si>
    <t>To be splitted across squads</t>
  </si>
  <si>
    <t xml:space="preserve">AXIS – Terminal Parametrization CB6 </t>
  </si>
  <si>
    <t>SACC - Ops/Test - UNITED - Automatisation  Axis</t>
  </si>
  <si>
    <t>Product Update</t>
  </si>
  <si>
    <t>BIN extension 6 to 8/10 (double DB?)</t>
  </si>
  <si>
    <t>Italy Bancomat Digit (if not finalized) (AXIN-1325)</t>
  </si>
  <si>
    <t>C3Driver Security reenforcement + Data Integrity between the terminal &amp; Till</t>
  </si>
  <si>
    <t xml:space="preserve">APM Hub integration </t>
  </si>
  <si>
    <t>[Technical Debt] Terminal diagnostic improvement</t>
  </si>
  <si>
    <t>BNPL with Oney (app France) (AXIN-1542)</t>
  </si>
  <si>
    <t>C3Agent evolutions (BAU) Java/C#</t>
  </si>
  <si>
    <t>AFMOB</t>
  </si>
  <si>
    <t>Digital consumer receipt (AXIN-1212) CPA/MAP</t>
  </si>
  <si>
    <t>Offline improvement (!= Flight Mode Conexflow)</t>
  </si>
  <si>
    <t>Offline mode activation from a central point</t>
  </si>
  <si>
    <t>IFS Generate Accounting files</t>
  </si>
  <si>
    <t>Carrefour PASS protocol on AH  and support 3DS v2</t>
  </si>
  <si>
    <t>Requested in order to continue to be able to have an authentication on pass</t>
  </si>
  <si>
    <t>Smart Engage MTS Webservice (AXIN 1260)</t>
  </si>
  <si>
    <t>Smart Engage enhancements (change color, phone number, etc.)</t>
  </si>
  <si>
    <t>Carrefour PASS on Ingenico Direct</t>
  </si>
  <si>
    <t>Requested if we want a winback with carrefour on ecomm</t>
  </si>
  <si>
    <t>BNPL Terminal expert support</t>
  </si>
  <si>
    <t>Desk/5000 v2 + Desk/2600 (June 2022)</t>
  </si>
  <si>
    <t>Improvement of Transaction Timing Monitoring (AXIN-678)</t>
  </si>
  <si>
    <t xml:space="preserve">Lane/3600 introduction (April 2022) </t>
  </si>
  <si>
    <t>Plan certification beyond</t>
  </si>
  <si>
    <t>APM QRCode acquisition via Lane/5000 camera</t>
  </si>
  <si>
    <t>PSD2: Store original CIT &amp; force an autorisation with deposit command in order to recover the scheme referenceID (AXIN-1446)</t>
  </si>
  <si>
    <t>APM Wechat/Alipay/ANCV QR Code display on terminal or sales system screen</t>
  </si>
  <si>
    <t>BNPL on nexo (Europe) (AXIN to be created)</t>
  </si>
  <si>
    <t>BNPL with Alma (app France) (AXIN-1593)</t>
  </si>
  <si>
    <t>Customer requirement to replace standard POS messages with their own (AXIN-207)</t>
  </si>
  <si>
    <t>Digital consumer receipt (AXIN-1212) EMV/SSC</t>
  </si>
  <si>
    <t>EPI Contingencies (CPACE, certification, APM,…)</t>
  </si>
  <si>
    <t>QTC feature evolution (IKEA &amp; other)</t>
  </si>
  <si>
    <t>Apple VAS improvements (metering, demo,…)</t>
  </si>
  <si>
    <t xml:space="preserve">Other squad ? </t>
  </si>
  <si>
    <t>Partner Program support and deployment</t>
  </si>
  <si>
    <t>Carrefour PASS protocol migration on  .net and support 3DS v2</t>
  </si>
  <si>
    <t>Cepsa: Bucket for devs reports and billing</t>
  </si>
  <si>
    <t>Cepsa: Discount codes truncation</t>
  </si>
  <si>
    <t>Petrol</t>
  </si>
  <si>
    <t>Cepsa: Bucket for devs Petrol</t>
  </si>
  <si>
    <t>[2021's target] Cepsa: VAS service through Telecor</t>
  </si>
  <si>
    <t>Cepsa: Morocco geographical extension</t>
  </si>
  <si>
    <t>Cepsa: Digitalize signature capture</t>
  </si>
  <si>
    <t>Cepsa/Galp: Integration with DOMS (concentrator in Petrol station)</t>
  </si>
  <si>
    <t>Web2PoS</t>
  </si>
  <si>
    <t>Enhance server triggered transaction (amadeus-like) : long pulling, better APIs</t>
  </si>
  <si>
    <t>Web2Pos</t>
  </si>
  <si>
    <t>Concert v3</t>
  </si>
  <si>
    <t>Nexo retail</t>
  </si>
  <si>
    <t>Partner Portal / API Renewal</t>
  </si>
  <si>
    <t>Make API for server triggered transaction (amadeus-like) that looks like the C3Agent API.</t>
  </si>
  <si>
    <t>Reference Package + Devops SIT</t>
  </si>
  <si>
    <t>Android DX/EX8000 support on nexo WL acquiring</t>
  </si>
  <si>
    <t xml:space="preserve">MVP 1 Android squad </t>
  </si>
  <si>
    <t>ANDROID</t>
  </si>
  <si>
    <t>AFNEXT support (nexo expertise)</t>
  </si>
  <si>
    <t>Billing interne</t>
  </si>
  <si>
    <t xml:space="preserve">Asset Tracker BAU (certificate) / Evolution (depending on bcase) ? </t>
  </si>
  <si>
    <t xml:space="preserve">Scheme tokenization on TravelHub
</t>
  </si>
  <si>
    <t>Local payment methods on TravelHub</t>
  </si>
  <si>
    <t>Open banking (or somethings else)</t>
  </si>
  <si>
    <t xml:space="preserve">Guarantee FX on travelHub
</t>
  </si>
  <si>
    <t xml:space="preserve">Guarantee FX on travelHub TPA
</t>
  </si>
  <si>
    <t xml:space="preserve">Fraud as a standalone service on TravelHub
</t>
  </si>
  <si>
    <t>BNPL</t>
  </si>
  <si>
    <t>Small feature enhancement</t>
  </si>
  <si>
    <t>3DSv2 update for Synxis, lodging data on TravelHub, invoicing logic</t>
  </si>
  <si>
    <t>Google</t>
  </si>
  <si>
    <t>Key Client Projects</t>
  </si>
  <si>
    <t>CRF: Dematerialisation ticket embarqué</t>
  </si>
  <si>
    <t>Contactless kernel for FTX &amp; DCC according to product strategy (WL only strategy tbc)</t>
  </si>
  <si>
    <t>Cashier-C3Driver-Terminal security enhancement (AXIN-1100)</t>
  </si>
  <si>
    <t>[Transport] OP2GO One solution SP - Open loop + Close loop cards acceptance - CPA/MAP ES-Redsys certification</t>
  </si>
  <si>
    <t>OPEN/1-2500 for open &amp; close loop cards -ES-Redsys (based on AXIS)</t>
  </si>
  <si>
    <t>Transport</t>
  </si>
  <si>
    <t>Duplicate management evolution (new criteria &amp; UX display to reinject via e-Portal) (AXIN-1331)</t>
  </si>
  <si>
    <t>EMV/SSC</t>
  </si>
  <si>
    <t>APS</t>
  </si>
  <si>
    <t>AME/AMS</t>
  </si>
  <si>
    <t>[Transport] OP2GO Basic solution Europe - DESK/5000 - Embedded ECR System - Europe market (based on Axis)</t>
  </si>
  <si>
    <t>Dvpt &amp; RedSys certification for Spain</t>
  </si>
  <si>
    <t>Voir avec Martin pr la certif' ; Voir avec Fred &amp; Bertrand</t>
  </si>
  <si>
    <t xml:space="preserve">Backoffice API pour Plate forme automatisée de facturation (RATP) </t>
  </si>
  <si>
    <t>Bucket support + Bucket CRs Asda 1/2 (basic)</t>
  </si>
  <si>
    <t>ASDA / Lane3000 Migration from RAM to C3E, etc ...</t>
  </si>
  <si>
    <t>Bucket support + Bucket CRs Asda 2/2 (gap to be confirmed)</t>
  </si>
  <si>
    <t>Conexflow migration - contingency</t>
  </si>
  <si>
    <t>Unexpected works on Axis (change request, unidentifed gaps, new keep customers)</t>
  </si>
  <si>
    <t>[Newrest] Flight mode (including Store &amp; Forward &amp; Maestro specificitifies)  (AXIN-1323) (AXIN-1652)</t>
  </si>
  <si>
    <t>[Alcampo] [Conexflow migration] Card ID to identify extended BIN (AXIN-1487)</t>
  </si>
  <si>
    <t>[Pikolin] [Conexflow migration] Pay with reference (AXIN-1582)</t>
  </si>
  <si>
    <t>[PUC][CECA][MAP] Link/2500v2 certification support for Customer (AXIN-1409)</t>
  </si>
  <si>
    <t>To support V2 (V1 already supported but EOL). Needed by Inditex, not just for Conexflow migration</t>
  </si>
  <si>
    <t>Conexflow - Certif Redsys iSelf PCIv4</t>
  </si>
  <si>
    <t>CRF FR: PAS Microdon + STC5</t>
  </si>
  <si>
    <t>CRF FR: RTC Blackhawk</t>
  </si>
  <si>
    <t>CRF FR: Cancel in STC5</t>
  </si>
  <si>
    <t>CRF: DCC FCC</t>
  </si>
  <si>
    <t>Bucket support + Bucket CRs M&amp;S</t>
  </si>
  <si>
    <t>Bucket support + Bucket CRs PO 2/2 (gap to be confirmed)</t>
  </si>
  <si>
    <t>Bucket support + Bucket CRs PO 1/2 (basic)</t>
  </si>
  <si>
    <t>Sainsbury’s Android POS Integration Support</t>
  </si>
  <si>
    <t>Bucket support + Bucket CRs (OPT,...)</t>
  </si>
  <si>
    <t>Sainsbury's Unsolicited Card Read during Payment (AXIN-773 &amp; AXIN-772)</t>
  </si>
  <si>
    <t>Sainbury’s Lane/3000 certification with 4 acquirers support</t>
  </si>
  <si>
    <t>Improvement to the local Reprint feature (AXIN-1276)</t>
  </si>
  <si>
    <t>Bucket support + Bucket CRs</t>
  </si>
  <si>
    <t>Austria Card Complete (via IFSF iso ING via Equens ?)</t>
  </si>
  <si>
    <t>Support to project launch (small technical / functionnal gaps identified during implementation)</t>
  </si>
  <si>
    <t>To be splitted across squads (XS or S depending on squads)</t>
  </si>
  <si>
    <t>Few visibility</t>
  </si>
  <si>
    <t>Unknown customer (by experience)</t>
  </si>
  <si>
    <t>Metro evolution (AXIN-1270)</t>
  </si>
  <si>
    <t>AVIS Italy - PED Integration Host2Host improvements (Pay At Desk) (AXIN-1347)</t>
  </si>
  <si>
    <t>McDonald Protect acces to the user menu on Move500 (AXIN-1484)</t>
  </si>
  <si>
    <t>Zonal Premier In business card dependency with AH (AXIN-803)</t>
  </si>
  <si>
    <t>Infomil Bucket including P2PE (quid Olaqin?)</t>
  </si>
  <si>
    <t>Support required for Get Last Transaction Status (AXIN-929)</t>
  </si>
  <si>
    <t>Bucket to develop TESCO Petrol solution (with CSACT)</t>
  </si>
  <si>
    <t>Alphyra evolution Casino (tbc) (AXIN-1610)</t>
  </si>
  <si>
    <t>[Parking] support CSACT fuel card in Axis</t>
  </si>
  <si>
    <t>support CSACT fuel card in Axis</t>
  </si>
  <si>
    <t>[Vending] MDBv 4.2 implementation in SELF/2-4-5000 in Spain with Redsys -Payment + Private badge</t>
  </si>
  <si>
    <t>Vending MDB v4.2 with Redsys-SELF/2-4-5000</t>
  </si>
  <si>
    <t>??? What's that ? Pas CSACT ?</t>
  </si>
  <si>
    <t>LinkPlus SMS/WhatsApp</t>
  </si>
  <si>
    <t>LinkPlus self-service improvement (user management)</t>
  </si>
  <si>
    <t>Default template and template managements for new merchants</t>
  </si>
  <si>
    <t>airline data, lodging data</t>
  </si>
  <si>
    <t>Bucket for new regulations</t>
  </si>
  <si>
    <t>PSD2, schemes, etc.</t>
  </si>
  <si>
    <t>8-digit BIN/IIN support for international schemes</t>
  </si>
  <si>
    <t>e-Comm part (e-ComBankCard / PaymenHub)</t>
  </si>
  <si>
    <t>No impact expected on e-comm Conexflow-related solutions according to Pablo Pardo</t>
  </si>
  <si>
    <t>PCI PTS EOL, schemes regulations…</t>
  </si>
  <si>
    <t>In-store part. Server side + per-client PED software (in some cases). 30 customers considered (those that are live in Cnx Advance on Apr'22)</t>
  </si>
  <si>
    <t>CSACT-9066</t>
  </si>
  <si>
    <t>[Certifications] [2022] Conexflow (CSACT-7459)</t>
  </si>
  <si>
    <t>New energy protocol adaptations</t>
  </si>
  <si>
    <t>Related to EV Charging</t>
  </si>
  <si>
    <t>No more development expected for 2022 to be compliant with Redsys</t>
  </si>
  <si>
    <t>[2021's target] 8-digit BIN/IIN support for international schemes</t>
  </si>
  <si>
    <t>Changes on AS400/Stratus</t>
  </si>
  <si>
    <t>Changes on CSACT/H24</t>
  </si>
  <si>
    <t>Camera management in TETRA safety 2020 terminals</t>
  </si>
  <si>
    <t>Refactoring ePortal</t>
  </si>
  <si>
    <t>Decommission ePortal v4 (transactions in ePortal DB + PHP)</t>
  </si>
  <si>
    <t>CUP Casino (based on CB 5.5) (AXIN-1586)</t>
  </si>
  <si>
    <t>Code Geode - Provisionning impact (not refined / no T-sizing)</t>
  </si>
  <si>
    <t>FOX</t>
  </si>
  <si>
    <t>Customer report (if done by Axis team)</t>
  </si>
  <si>
    <t>Record Card (Promostim) Darty (AXIN-1608)</t>
  </si>
  <si>
    <t>BIN 8 digits Reporting tool evolution (PAN search, display…) (AXIN-1012)</t>
  </si>
  <si>
    <t>Sofinco Spec 4.20 Darty  (AXIN-1607)</t>
  </si>
  <si>
    <t>United - SACC Decomissionning Casino Contingency</t>
  </si>
  <si>
    <t>United SACC Decomissionning without Casino Contingency</t>
  </si>
  <si>
    <t>Franfinance Casino (tbc)</t>
  </si>
  <si>
    <t>Bar tab feature for hospitality (AXIN-1228)</t>
  </si>
  <si>
    <t>Open/1-25xx v2 (July 2022): QA + new certif (EMV L1 -&gt; cless to 3.0)</t>
  </si>
  <si>
    <t>ProtectBuy 2.0 support (3DSv2 for Discover)</t>
  </si>
  <si>
    <t>MAP</t>
  </si>
  <si>
    <t>Maintenance Axis</t>
  </si>
  <si>
    <t>[2021's target] Diesel 24 card acceptance</t>
  </si>
  <si>
    <t>Confirmed by Tomas F. (210903) --&gt; to remove</t>
  </si>
  <si>
    <t>[2021's target] Intrapresa cards acceptance</t>
  </si>
  <si>
    <t>Bucket for devs (AS400&amp;Stratus)</t>
  </si>
  <si>
    <t>New customers requests</t>
  </si>
  <si>
    <t>[2021's target] DKV EMV bucket (remaining of 2021) + improvement to process that card with IFSF</t>
  </si>
  <si>
    <t>HPNS-CSACT connection billing &amp; reports</t>
  </si>
  <si>
    <t>LogPay, Eurowag, UTA, CEPSA cards provided to Q8 Belgium</t>
  </si>
  <si>
    <t>HPNS-CSACT connection petrol</t>
  </si>
  <si>
    <t>[2021's target] AS24 bucket (remaining of 2021)</t>
  </si>
  <si>
    <t>[2021's target] FAI Service bucket (remaining of 2021)</t>
  </si>
  <si>
    <t>GRAM management</t>
  </si>
  <si>
    <t>Gram management</t>
  </si>
  <si>
    <t>Continous integration</t>
  </si>
  <si>
    <t xml:space="preserve">Bucket for technical debt and rationalization </t>
  </si>
  <si>
    <t>Test Benches for Perf</t>
  </si>
  <si>
    <t>MAP profil industrialization (AXIN-1675)</t>
  </si>
  <si>
    <t>Core tool</t>
  </si>
  <si>
    <t>Upgrade MariaDB 10.3 to later version</t>
  </si>
  <si>
    <t>Peter Tellram</t>
  </si>
  <si>
    <t>Cleanup of decommissioned features</t>
  </si>
  <si>
    <t>Remove connections and code for unused features</t>
  </si>
  <si>
    <t>UK APACS Profils</t>
  </si>
  <si>
    <t>First implementation for MAP + support to other squads</t>
  </si>
  <si>
    <t>All applications</t>
  </si>
  <si>
    <t>Platform robustness &amp; availability</t>
  </si>
  <si>
    <t>Increase HA of Samport and Toolbox</t>
  </si>
  <si>
    <t>Security PEN test fixes</t>
  </si>
  <si>
    <t>Improve on results from findings</t>
  </si>
  <si>
    <t>Automation &amp; Industrialisation</t>
  </si>
  <si>
    <t>Profile Industrialisation and test automation</t>
  </si>
  <si>
    <t>CRF IT: Other payments (ML, etc)</t>
  </si>
  <si>
    <t>CRF: Map Pre-auth</t>
  </si>
  <si>
    <t>Key Management system replacement</t>
  </si>
  <si>
    <t>Find replacement for AKM</t>
  </si>
  <si>
    <t>CRF FR: MAP Brandchoice</t>
  </si>
  <si>
    <t>CRF: Transaction Timing</t>
  </si>
  <si>
    <t>Datalake/ePortal V6 migration</t>
  </si>
  <si>
    <t>AFCAR-TA</t>
  </si>
  <si>
    <t>MAP Migration MAP on SP / BE / FR / IT</t>
  </si>
  <si>
    <t>refactoring PAS</t>
  </si>
  <si>
    <t>API &amp; data</t>
  </si>
  <si>
    <t>Including TPVnumber to 32 char ?</t>
  </si>
  <si>
    <t>Fixing GRAMs</t>
  </si>
  <si>
    <t>Including TPVnumber to 32 char (list applications)</t>
  </si>
  <si>
    <t>Refactoring</t>
  </si>
  <si>
    <t>Kernel dynamic libraries "phase 3" - step 1</t>
  </si>
  <si>
    <t>Service increment support to all CPA/MAP squads</t>
  </si>
  <si>
    <t>RHEL8 compliation for binary</t>
  </si>
  <si>
    <t>PostgresQL 13 migration</t>
  </si>
  <si>
    <t>integrate a service discovery middleware for backoffice micro services</t>
  </si>
  <si>
    <t xml:space="preserve">Finalize ePortal V6 [2] </t>
  </si>
  <si>
    <t>ONBO (provisioning Next Gen) integration in ePortal</t>
  </si>
  <si>
    <t>Integrate ePortal with I-AM shared services</t>
  </si>
  <si>
    <t>Backoffice technical stack update : Java + Angular + ES …</t>
  </si>
  <si>
    <t>Service increment support to all ADS squads</t>
  </si>
  <si>
    <t>Axis / alignment with CSACT on CP API (1.5 to 1.x)</t>
  </si>
  <si>
    <t>Rework replication to remove PGQ</t>
  </si>
  <si>
    <t>RHEL8 Migration</t>
  </si>
  <si>
    <t>Robustness</t>
  </si>
  <si>
    <t>Terminal automatic testing enhancement</t>
  </si>
  <si>
    <t>Axis Services migration to jboss7</t>
  </si>
  <si>
    <t>8 Digits TPV workaround with Customer ID  (AXIN-714)</t>
  </si>
  <si>
    <t>Finalize MAP datamodel rework and remove deprecated code (all plugins …)</t>
  </si>
  <si>
    <t>Rework Axis payment application logs to allow easy access to production log for developers &amp; project manager</t>
  </si>
  <si>
    <t>Remove Log table (SAVELOG=0) for EMV/SSC</t>
  </si>
  <si>
    <t>Duplicate management rework &amp; standardization (EMV/SSC)</t>
  </si>
  <si>
    <t>Terminal test bench using eTASQMotion</t>
  </si>
  <si>
    <t>Remove Log table (SAVELOG=0) for CPA</t>
  </si>
  <si>
    <t>Duplicate management rework &amp; standardization (MAP)</t>
  </si>
  <si>
    <t>Automated testing improvements</t>
  </si>
  <si>
    <t>Refactoring of core components</t>
  </si>
  <si>
    <t>Bucket for Technical Debt</t>
  </si>
  <si>
    <t>Duplicate management rework &amp; standardization (Core Microservice)</t>
  </si>
  <si>
    <t>PaymentID as UUID</t>
  </si>
  <si>
    <t>PaymentID as UUID (list applicatins)</t>
  </si>
  <si>
    <t>PostgresQL 13 migration : preparation and kernel librairies - remaining</t>
  </si>
  <si>
    <t>Axis Services migration to AIS (using AIS jboss as a service)</t>
  </si>
  <si>
    <t>PostgresQL 13 Migration</t>
  </si>
  <si>
    <t>Generalise test automation</t>
  </si>
  <si>
    <t>Axis Service / Spring Boot or Jboss 7</t>
  </si>
  <si>
    <t>HSM as a Service</t>
  </si>
  <si>
    <t>SecServ internalization + Kernel librairie update</t>
  </si>
  <si>
    <t>Remove Log table (SAVELOG=0)</t>
  </si>
  <si>
    <t>Duplicate management rework &amp; standardization (multiple application)</t>
  </si>
  <si>
    <t>Rework replication to remove PGQ (To be splitted across squads)</t>
  </si>
  <si>
    <t>OnDuty back office</t>
  </si>
  <si>
    <t>Setup onDuty for back office</t>
  </si>
  <si>
    <t>Re implementation of FPTPV tool (ECR simulator)</t>
  </si>
  <si>
    <t>KeyMas V3 deployment</t>
  </si>
  <si>
    <t>ECR API Next Gen (rework C3API or TIM server)</t>
  </si>
  <si>
    <t>Bench platform maintenance + adding reporting</t>
  </si>
  <si>
    <t>Source code &amp; CI migration</t>
  </si>
  <si>
    <t>Training of teams with new way of working</t>
  </si>
  <si>
    <t>C3 automated tests</t>
  </si>
  <si>
    <t>[2021's target] Hybrid solution for Portugal</t>
  </si>
  <si>
    <t>CENAT replacement</t>
  </si>
  <si>
    <t>Bucket for unknown customer (eg: opportunity with get TESCO Petrol solution - SB's like with Axis)</t>
  </si>
  <si>
    <t>Black Duck  audit to fix open source security &amp; license compliance issues (AXIN-553)</t>
  </si>
  <si>
    <t>Front office</t>
  </si>
  <si>
    <t>Support to the migration</t>
  </si>
  <si>
    <t>other teams</t>
  </si>
  <si>
    <t>Migration to Global Infra</t>
  </si>
  <si>
    <t>Back office</t>
  </si>
  <si>
    <t>Support the migration</t>
  </si>
  <si>
    <t>TSS services (SecServ, MassGKit, TEM)</t>
  </si>
  <si>
    <t xml:space="preserve">Hosted tokenization page improvements </t>
  </si>
  <si>
    <t>Omnichannel on Ingenico direct</t>
  </si>
  <si>
    <t>Webhook - GSV features (Conficuration at group level + Select events from BO)</t>
  </si>
  <si>
    <t>Apple pay extended</t>
  </si>
  <si>
    <t>Apple Pay with redsys on AH</t>
  </si>
  <si>
    <t>Extend Payment Footprint</t>
  </si>
  <si>
    <t>Amex Migration through AH</t>
  </si>
  <si>
    <t>Smart Routing on ecommerce</t>
  </si>
  <si>
    <t>Integration support for other platforms (GC, Ogone, CSACT…)</t>
  </si>
  <si>
    <t>Support integrations for three platforms (Global Collect, Ogone, CSACT,…)</t>
  </si>
  <si>
    <t>Smart Routing Shared Service evolutions</t>
  </si>
  <si>
    <t>GI migration (AS400&amp;Stratus)</t>
  </si>
  <si>
    <t>CSACT migration from Oracle 12 to Oracle 19</t>
  </si>
  <si>
    <t>CSACT HSM migration to GI</t>
  </si>
  <si>
    <t>CSACT Full MAT NRT (Minimum Acceptance Test ; Non Regression Tests) in GI</t>
  </si>
  <si>
    <t>CSACT validation on target OS and Middleware in GI</t>
  </si>
  <si>
    <t>Standardise terminal parameters tables &amp; parameterisation of all configurations (files, etc)</t>
  </si>
  <si>
    <t>[Roadmap] [GITEC] Billing process automatization</t>
  </si>
  <si>
    <t>[TECH] Standarize Host code responses</t>
  </si>
  <si>
    <t>Report improvements (shift and daily reports), dynamic ticket templates and journals improvements</t>
  </si>
  <si>
    <t>Datahub team request</t>
  </si>
  <si>
    <t>CCM improvements (CSACT consulta y monitorización)</t>
  </si>
  <si>
    <t>CCM : tool to check terminal version / SIM / Operator… to backoffice team</t>
  </si>
  <si>
    <t>CSACT PIN online translation improvement</t>
  </si>
  <si>
    <t>Terminal data reset after allocating it in a new merchant/commerce</t>
  </si>
  <si>
    <t>GIT Migratin and GIT CI</t>
  </si>
  <si>
    <t>Implement a full GIT Pipeline on CSACT and H24</t>
  </si>
  <si>
    <t>H24 NRT for new APP versions</t>
  </si>
  <si>
    <t>Bucket for AS400&amp; technical debt</t>
  </si>
  <si>
    <t>Technical debt, documentation, financial improvements demands…</t>
  </si>
  <si>
    <t>CSACT continuous integration</t>
  </si>
  <si>
    <t>Putting tool &amp; process in place</t>
  </si>
  <si>
    <t>Terminals configuration data (remote reporting)</t>
  </si>
  <si>
    <t>requested by infra team - Need to be done to be able to move in GI</t>
  </si>
  <si>
    <t>H24 modularization improvements</t>
  </si>
  <si>
    <t>[2021's target] DUKPT</t>
  </si>
  <si>
    <t>CSACT : Automation &amp; Industrialisation</t>
  </si>
  <si>
    <t>H24 refactoring / merging / modular components - study only</t>
  </si>
  <si>
    <t xml:space="preserve">Mohamed LACHGUER </t>
  </si>
  <si>
    <t>H24 NRT for new APP  versions</t>
  </si>
  <si>
    <t>Core service</t>
  </si>
  <si>
    <t>Acquirer expansion</t>
  </si>
  <si>
    <t>Integration expansion</t>
  </si>
  <si>
    <t>Fujistsu Rail migration (xchannel,…)</t>
  </si>
  <si>
    <t>Project migration support</t>
  </si>
  <si>
    <t>PCL enhancements (extention, C3 drivers embedded logs, CAL improvements, etc.)</t>
  </si>
  <si>
    <t>Keyinjection renewal AXIS Spain (AXIN-1374)</t>
  </si>
  <si>
    <t xml:space="preserve">Industrialisation </t>
  </si>
  <si>
    <t>Activity report / Fetch / PAR DB / Customer Support (Carrefour/MarcoPolo…) / New certificate Provider</t>
  </si>
  <si>
    <t>DB Scalability (no SQL) study</t>
  </si>
  <si>
    <t>[Petrol FR] CB6</t>
  </si>
  <si>
    <t>[Petrol FR] Smartrouting for NTE</t>
  </si>
  <si>
    <t>Smartrouting (with no virtual TPV)</t>
  </si>
  <si>
    <t>voir Martin : sur 2023 --&gt; pb ?</t>
  </si>
  <si>
    <t>[Petrol FR] Smartrouting for TKE</t>
  </si>
  <si>
    <t>Aligned with NTE</t>
  </si>
  <si>
    <t>[Petrol] PASS application with P2PE (DAC side) - Carrefour</t>
  </si>
  <si>
    <t>Voir avec Sylvain pr PASS sans Petrol</t>
  </si>
  <si>
    <t>Dvpt team support / Tests &amp; finalisation</t>
  </si>
  <si>
    <t>[Transport] European solution to design for Highway (Open/1-2500, freeflow, acquiring WL or other)</t>
  </si>
  <si>
    <t>Pre-requisit : Offer Manager EU market study</t>
  </si>
  <si>
    <t>Spill-over - Data collection and dashboards on integration/HPP</t>
  </si>
  <si>
    <t>GO-601 &amp; GO-126</t>
  </si>
  <si>
    <t>Spill-over - Merchant Portal</t>
  </si>
  <si>
    <t>To do done by shared services team</t>
  </si>
  <si>
    <t>Spill-over - Tagging of transactions</t>
  </si>
  <si>
    <t>GO-600</t>
  </si>
  <si>
    <t>[Transport] E-Receipt: dedicated webpage to generate token from PAN</t>
  </si>
  <si>
    <t>E-Receipt: token from PAN through webpage</t>
  </si>
  <si>
    <t>Not sure AFVP is the relevant squad to handle this.</t>
  </si>
  <si>
    <t>[Transport] MPA5.5 Parking SSC –no CVM - E2E test for bridge/Tunnel Only - OPEN/1-2500</t>
  </si>
  <si>
    <t xml:space="preserve">OPEN/1-2500 for highway bridge/Tunnel - MPA-P 5.5 </t>
  </si>
  <si>
    <t>voir Adrien et Christophe voire AFA</t>
  </si>
  <si>
    <t>[Transport] OP2GO Basic solution FR - DESK/5000 - Update Bucket</t>
  </si>
  <si>
    <t>Support / Update bucket</t>
  </si>
  <si>
    <t>Voir avec Fred &amp; Bertrand</t>
  </si>
  <si>
    <t>RED upgrade/enhancements</t>
  </si>
  <si>
    <t>FraudFree Upgrade</t>
  </si>
  <si>
    <t>Enabling LPMs for Fraud Screening</t>
  </si>
  <si>
    <t>Microsoft DFP</t>
  </si>
  <si>
    <t>XXS</t>
  </si>
  <si>
    <t xml:space="preserve">Fraud as a Service
</t>
  </si>
  <si>
    <t>Machine Learning Functional Monitoring</t>
  </si>
  <si>
    <t>Functional monitoring using machine learning</t>
  </si>
  <si>
    <t xml:space="preserve"> Moving ActiveMQ to Kafka </t>
  </si>
  <si>
    <t>Moving FPAS to Google Cloud</t>
  </si>
  <si>
    <t>Using docker containers for fraud prevention</t>
  </si>
  <si>
    <t>Moving existing applications to Global Infra</t>
  </si>
  <si>
    <t>Environment Setup: DR Move</t>
  </si>
  <si>
    <t>FDS Tech Debt</t>
  </si>
  <si>
    <t>TBM Technical Debt</t>
  </si>
  <si>
    <t>LBO Technical Debt</t>
  </si>
  <si>
    <t xml:space="preserve">Postgress replacement Ingres/Oracle </t>
  </si>
  <si>
    <t>FDS - BO Transformation Tech Debt</t>
  </si>
  <si>
    <t>E2E Encryption/Uniface Replacement</t>
  </si>
  <si>
    <t>Audit compliancy LBO (enc. CC, Hash CC,…)</t>
  </si>
  <si>
    <t>Merchant Specific Requests</t>
  </si>
  <si>
    <t>Ttools Tech Debt/Migration</t>
  </si>
  <si>
    <t>Coda Migration</t>
  </si>
  <si>
    <t>IDM Implementation</t>
  </si>
  <si>
    <t>Merchant Operation Dashboarding</t>
  </si>
  <si>
    <t>Technical Debt Travel</t>
  </si>
  <si>
    <t>TH Global Infra migration</t>
  </si>
  <si>
    <t>TH Booking Financial Report</t>
  </si>
  <si>
    <t>TH Batch Reporting for Merchants</t>
  </si>
  <si>
    <t>TH API Gateway</t>
  </si>
  <si>
    <t>LP Single API key between LinkPlus and Connect</t>
  </si>
  <si>
    <t>LP Merchant API gateway solution</t>
  </si>
  <si>
    <t>LP LinkPlus AWS on multiple geo location</t>
  </si>
  <si>
    <t>BSP WDL decommissioned</t>
  </si>
  <si>
    <t>BSP Global Infra migration</t>
  </si>
  <si>
    <t>BSP Create Config tool for BSP</t>
  </si>
  <si>
    <t>Routing capability in BSP</t>
  </si>
  <si>
    <t>This is part of the 3 year plan of Travel vertical. We can only do this development if we have 3.5 dev in total in the Fiji team.</t>
  </si>
  <si>
    <t>We can only do this if we have approval for 1FTE</t>
  </si>
  <si>
    <t>Remittance based on itinerary data</t>
  </si>
  <si>
    <t>Remit to airlines based on flight ticket changes to increase risk apetite</t>
  </si>
  <si>
    <t>BSP direct connection to IATA</t>
  </si>
  <si>
    <t>Direct connection will help reduce cost of inbetween partner</t>
  </si>
  <si>
    <t>DISH23 for Bambora (to send 3DS data)</t>
  </si>
  <si>
    <t>Compliance and BSP related upgraders</t>
  </si>
  <si>
    <t>Merchant Portal - reconciliation and reporting enhancements</t>
  </si>
  <si>
    <t>Dispute module operations</t>
  </si>
  <si>
    <t>TC40/SAFE</t>
  </si>
  <si>
    <t>Migration effort placeholder</t>
  </si>
  <si>
    <t>Migration efforts</t>
  </si>
  <si>
    <t>Move DR from Miami to Paris</t>
  </si>
  <si>
    <t>Move DC to Global Infra</t>
  </si>
  <si>
    <t>DB optimization for EXA Decom</t>
  </si>
  <si>
    <t>AML Maintenance</t>
  </si>
  <si>
    <t>IO Maintenance</t>
  </si>
  <si>
    <t>Test automation</t>
  </si>
  <si>
    <t>Direct Integration Finance</t>
  </si>
  <si>
    <t>Product Improvements</t>
  </si>
  <si>
    <t>SUB1 Tech Intiatives &amp; Tech Debt</t>
  </si>
  <si>
    <t>RB Local - Western</t>
  </si>
  <si>
    <t>Exemption engine on Ingenico Direct</t>
  </si>
  <si>
    <t xml:space="preserve">GSV BAU for datalake </t>
  </si>
  <si>
    <t>e-PortalV6 (capture/totals/fields normalisation/3rd party transactions/etc..</t>
  </si>
  <si>
    <t>e-PortalV6 : financial reconciliation (WL red/blue, Auchan, Alcampo, ADEO, chargebacks</t>
  </si>
  <si>
    <t>Finalize ePortal V6 GPRS</t>
  </si>
  <si>
    <t xml:space="preserve">GPRS module (SIM mgt, activity visulalisation) </t>
  </si>
  <si>
    <t>Confirm if provisioning = everest or onbo</t>
  </si>
  <si>
    <t>Alerting &amp; Monitoring</t>
  </si>
  <si>
    <t>grafana integration + Alerting pagerDuty</t>
  </si>
  <si>
    <t>e-Portal Monitoring module</t>
  </si>
  <si>
    <t>Module creation + UM + Grafana redirection (w/t SSO)</t>
  </si>
  <si>
    <t>Integrate transactions timings (internal &amp; customers)</t>
  </si>
  <si>
    <t>Localisation tool</t>
  </si>
  <si>
    <t>GREP-8064 Localization management tool</t>
  </si>
  <si>
    <t>Omnichannel &amp; Ogone transactions reporting</t>
  </si>
  <si>
    <t xml:space="preserve">GREP-7986 Enrich ePayment tx fields and align with e-Portal Axis fields  </t>
  </si>
  <si>
    <t xml:space="preserve">Terminal management </t>
  </si>
  <si>
    <t>GREP-7341 TMS module evolutions</t>
  </si>
  <si>
    <t xml:space="preserve">Sensitive data retrieval through e-Portal (PAN/receipt) </t>
  </si>
  <si>
    <t>GREP-1905 Automation of SDRS (sensitive data retrieval service)</t>
  </si>
  <si>
    <t xml:space="preserve">Complete e-PortalV6 (totals, capture) </t>
  </si>
  <si>
    <t>Totals, capture, summary page back end</t>
  </si>
  <si>
    <t>Help online</t>
  </si>
  <si>
    <t>GREP-407 On-line Help e-Portal V-6</t>
  </si>
  <si>
    <t>GREP-14348 Display date of POS last connexion to Axis (in TMS/Onbo/monitoring)</t>
  </si>
  <si>
    <t>Impact on Axis or Datalake, TBC by architects</t>
  </si>
  <si>
    <t>Display invalid transactions</t>
  </si>
  <si>
    <t>GREP-13530 Attach non-identified transactions to merchant (invalid)</t>
  </si>
  <si>
    <t xml:space="preserve">Axis false duplicates management (for SACC &amp; Axis customers) </t>
  </si>
  <si>
    <t>GREP-11749 False duplicates self-management</t>
  </si>
  <si>
    <t>e-PortalV6 migration for AUS</t>
  </si>
  <si>
    <t>EMV AUS replication into MaPR/e-Portal + totals</t>
  </si>
  <si>
    <t>APAC: POS reconciliation for Mc Donald's</t>
  </si>
  <si>
    <t>Migrate reconciliation for Mc Do AUS from e-PortalV4 to V6</t>
  </si>
  <si>
    <t>Reporting for SYSTEME U</t>
  </si>
  <si>
    <t>Custom report subscriptions, fields…</t>
  </si>
  <si>
    <t xml:space="preserve">GREP-1863 e-Portal API V1 (incl authentication) </t>
  </si>
  <si>
    <t>Self/2-4-5000 (EMV &amp; Amex) for Vending &amp; Pay-on-Foot (TVM)</t>
  </si>
  <si>
    <t>Self/2-4-5000 RedSys certification</t>
  </si>
  <si>
    <t>[Transport] Remaining 2021 commitments</t>
  </si>
  <si>
    <t>Self/7-8000 (EMV &amp; Amex) for Vending &amp; Pay-on-Foot (TVM)</t>
  </si>
  <si>
    <t>Self/7-8000 RedSys certification</t>
  </si>
  <si>
    <t>Bucket for certification supports</t>
  </si>
  <si>
    <t>Bucket for transportation incoming requests (Highways P1)</t>
  </si>
  <si>
    <t>Self/2-4-5000 CECA certification (Pay on Foot)</t>
  </si>
  <si>
    <t>Self/7-8000 CECA certification (Pay on Foot)</t>
  </si>
  <si>
    <t>Self/2-4-5000 eService certification (Pay on Foot)</t>
  </si>
  <si>
    <t>Self/7-8000 eService certification (Pay on Foot)</t>
  </si>
  <si>
    <t>Bucket for transportation incoming requests (Highways P2)</t>
  </si>
  <si>
    <t>Shopping Carts Vertical Team</t>
  </si>
  <si>
    <t>ME_Plugin</t>
  </si>
  <si>
    <t>VISA BIN 6 to 8 Digits</t>
  </si>
  <si>
    <t>TUNZ Scalability</t>
  </si>
  <si>
    <t>Tunz Back-Office in React</t>
  </si>
  <si>
    <t>TUNZ Archiving</t>
  </si>
  <si>
    <t>IFS authorization refactor + IAM</t>
  </si>
  <si>
    <t>Android terminals (EX8000)</t>
  </si>
  <si>
    <t>Migration to Linux POS</t>
  </si>
  <si>
    <t>Signature capture on iSC350</t>
  </si>
  <si>
    <t>To use the iSC350 as a digitalisation signature device (not related to the payment)</t>
  </si>
  <si>
    <t>CSACT-9636</t>
  </si>
  <si>
    <t>Sephora project</t>
  </si>
  <si>
    <t>Support for Evolve (includes removing connection with Conexflow in-house from Sephora)</t>
  </si>
  <si>
    <t>CUP/UPI Cards Standarization</t>
  </si>
  <si>
    <t>CSACT-2618</t>
  </si>
  <si>
    <t>Lane/7000 Portugal</t>
  </si>
  <si>
    <t>CSACT-4725</t>
  </si>
  <si>
    <t>Bucket for additional ECI evolutions</t>
  </si>
  <si>
    <t>[Self-Service] VAS Charity-Microdon (FR), Pennies (UK),Worldcoo (SP) - Self/2-4-5000 with/without MDB</t>
  </si>
  <si>
    <t>VAS Charity with SELF/2-4-5000</t>
  </si>
  <si>
    <t>BP: Bonus / loyalty project (H24 environment)</t>
  </si>
  <si>
    <t>Not related to the migration to Verifone terminals</t>
  </si>
  <si>
    <t>[2021's target (i.e. tetra migration)] BP: new Diebold solution or Tetra migration</t>
  </si>
  <si>
    <t>Spanish market</t>
  </si>
  <si>
    <t>Bucket 1 for evolutions for Comercia, Santander and other TSS customers</t>
  </si>
  <si>
    <t>Carried out by the dedicated TSS squad</t>
  </si>
  <si>
    <t>CSACT B&amp;A</t>
  </si>
  <si>
    <t>Bucket 2 for evolutions for Comercia, Santander and other TSS customers</t>
  </si>
  <si>
    <t>Bucket for EMT Madrid</t>
  </si>
  <si>
    <t>Galp: Bucket for devs reports and billing</t>
  </si>
  <si>
    <t>[2021's target] Galp: Caser loyalty program reports and billing</t>
  </si>
  <si>
    <t>[2021's target] Galp: WS for prepaid cards reports and billing</t>
  </si>
  <si>
    <t>[2021's target] Galp: Caser loyalty program</t>
  </si>
  <si>
    <t>[2021's target] Galp: WS for prepaid cards</t>
  </si>
  <si>
    <t>Galp: Bucket for devs petrol</t>
  </si>
  <si>
    <t>Galp: DB replica phase 3</t>
  </si>
  <si>
    <t>[2021's target] Galp: GlobalTank</t>
  </si>
  <si>
    <t>Galp New loyalty program: Add payment capabilities</t>
  </si>
  <si>
    <t>Offline for fuel cards</t>
  </si>
  <si>
    <t>IFSF POS TO FEP protocol implementation</t>
  </si>
  <si>
    <t>Wait for Tomas feedback (discussion with Mirko)</t>
  </si>
  <si>
    <t>[2021's target]  H24/CSACT - Offline processing [Phase 2]</t>
  </si>
  <si>
    <t>MS Pricing &amp; Revenue analytics - CSACT data integration</t>
  </si>
  <si>
    <t>JCB support in H24/CSACT through Redsys</t>
  </si>
  <si>
    <t>[Roadmap] PinOn Multibox Routing-based Look-up (Yellow)</t>
  </si>
  <si>
    <t>Redsys + CECA at the same time</t>
  </si>
  <si>
    <t>Provisioning portal (CSACT configuration)</t>
  </si>
  <si>
    <t>[2021's target]  H24/CSACT for banking card - Offline processing [Phase 2]</t>
  </si>
  <si>
    <t>[2021's target] H24 touch screen adaptations</t>
  </si>
  <si>
    <t>Lane/3000 &amp; Lane/5000</t>
  </si>
  <si>
    <t>Provisioning portal from the Group (CSACT configuration)</t>
  </si>
  <si>
    <t>[Forax] TEM Forax card acceptance petrol</t>
  </si>
  <si>
    <t>[Forax] TEM Forax card acceptance reports and billing</t>
  </si>
  <si>
    <t>[Efibat] Reporting and Billing</t>
  </si>
  <si>
    <t>EV Charging</t>
  </si>
  <si>
    <t>Bip&amp;Drive: Bucket for solutions reporting and billing</t>
  </si>
  <si>
    <t>Bip&amp;Drive: Pay@Pump reports and billing</t>
  </si>
  <si>
    <t>Products management: Multilanguage improvement</t>
  </si>
  <si>
    <t>Minimum is to support Portuguese (CEPSA / Hybrid sol…)</t>
  </si>
  <si>
    <t>Istobal UK (car wash)</t>
  </si>
  <si>
    <t>DISA: Bucket for devs reports and billing</t>
  </si>
  <si>
    <t>Q8: Bucket for devs reports and billing</t>
  </si>
  <si>
    <t>Q8: EDC, DKV, UTA, Eurowag connections reports and billing</t>
  </si>
  <si>
    <t>Sensitive data exchange improvement (ECR-Terminal [K1 command])</t>
  </si>
  <si>
    <t>Private cards improvement</t>
  </si>
  <si>
    <t>[2021's target] IFSF POS TO ECR (remaining 2021)</t>
  </si>
  <si>
    <t>[2021's target] Manage SCA 1 tap 2 tap &amp; Redsys certification</t>
  </si>
  <si>
    <t>100md because nothing yet done with unattended terminals</t>
  </si>
  <si>
    <t>Bip&amp;Drive: Pay@Pump petrol</t>
  </si>
  <si>
    <t>Bip&amp;Drive: Bucket for solutions petrol</t>
  </si>
  <si>
    <t>Paysafecard: Upgrade protocol</t>
  </si>
  <si>
    <t>DISA: Bucket for devs petrol</t>
  </si>
  <si>
    <t>Q8: EDC, DKV, UTA, Eurowag connections petrol</t>
  </si>
  <si>
    <t>Q8: Discount coupons printing petrol</t>
  </si>
  <si>
    <t>Q8: Bucket for devs petrol</t>
  </si>
  <si>
    <t>Others: Bucket for devs (New issuers, Repsol...)</t>
  </si>
  <si>
    <t>Self/7-8000 (EMV+Amex) for Petrol &amp; EV Charging</t>
  </si>
  <si>
    <t>Voir Martin pr la certif' / May be to balance with Petrol squad</t>
  </si>
  <si>
    <t>Self/2-4-5000 (EMV &amp; Amex) for Petrol &amp; EV Charging</t>
  </si>
  <si>
    <t>Token GTS in EV Charging solutions</t>
  </si>
  <si>
    <t>Connection to GTS, Update solution Transports (H24/ECR)</t>
  </si>
  <si>
    <t>H24: Initiate transaction by the contactless reader</t>
  </si>
  <si>
    <t>Wait for Tomas feedback</t>
  </si>
  <si>
    <t>Self/7-8000 for Petrol &amp; Pay on Foot + Amex</t>
  </si>
  <si>
    <t>Self/7-8000 eService certification</t>
  </si>
  <si>
    <t>Self/2-4-5000 EMV &amp; Amex for Petrol &amp; EV Charging</t>
  </si>
  <si>
    <t>Self/2-4-5000 eService certification</t>
  </si>
  <si>
    <t>[2021's target] Sainsbury's: Tetra migration</t>
  </si>
  <si>
    <t>Remaining from 2021</t>
  </si>
  <si>
    <t>Sainsbury's: Bucket for devs</t>
  </si>
  <si>
    <t>[Vending] Implementation MDB v4.3 protocol (selection first &amp; credit first) in SELF/2-4-5-7-8000</t>
  </si>
  <si>
    <t xml:space="preserve">MDB 4.3 implementation </t>
  </si>
  <si>
    <t>Don't know the estimated workload --&gt; Voir avec Elodie  &amp;Regis // Peut-etre à splitter sur 2022-23 (action Chloé)</t>
  </si>
  <si>
    <t>[Self-Service] CPA/MAP- JCB + Diners with Self/2-4-5000 with/without MDB</t>
  </si>
  <si>
    <t>CPA/MAP- JCB + Diners with Self/2-4-5000</t>
  </si>
  <si>
    <t xml:space="preserve">[Self-Service] Pre-autorisation completion with WebService WL Blue &amp; Red </t>
  </si>
  <si>
    <t>pre-auto' completion with webservice</t>
  </si>
  <si>
    <t>[Vending] Connection N&amp;TS to Acq. Hub</t>
  </si>
  <si>
    <t>Finally, not requested by G2M (Nicolas D.)</t>
  </si>
  <si>
    <t>[Vending] Implement Amex with MDB v4.2 protocol in Tetra unattended terminals</t>
  </si>
  <si>
    <t>MDB 4.2 with Amex-SELF/2-4-5000</t>
  </si>
  <si>
    <t>[Vending] Meal Voucher implementation for Vending - IT / Pago bancomat - with/without MDB</t>
  </si>
  <si>
    <t>Meal Voucher in Vending - IT - Pago Bancomat</t>
  </si>
  <si>
    <t>[Vending] Omnichannel CNP (--&gt; QR code capture by Terminal) to CP (to process payment) use case</t>
  </si>
  <si>
    <t>[Vending] Transactions aggregation with WL Red/Blue acquiring</t>
  </si>
  <si>
    <t>Acceptance side (if no tool on acquiring side)</t>
  </si>
  <si>
    <t>[Vending] unattended Tetra terminal for partial sight people - MDBv4.2</t>
  </si>
  <si>
    <t>SELF/2-5000 for partial sight people - MDBv4/2</t>
  </si>
  <si>
    <t>currently no other solution than enabling/disabling it by defautl</t>
  </si>
  <si>
    <t>[EV Charging] Pago Bancomat in EV Charging with SELF/2-4-5000</t>
  </si>
  <si>
    <t>Pago Bancomat in EV Charging use case</t>
  </si>
  <si>
    <t>TUNZ Bancontact WIP</t>
  </si>
  <si>
    <t>BXAP change for Bancontact Refund &amp; WIP</t>
  </si>
  <si>
    <t>Bancontact Refund &amp; WIP on Ingenico Direct</t>
  </si>
  <si>
    <t>Stop 3DSv1 (plan october 2022)</t>
  </si>
  <si>
    <t>3DS 2.X JCB Union Pay (100)</t>
  </si>
  <si>
    <t>3DS 2.X Diners (50)</t>
  </si>
  <si>
    <t>3DS 2.X Acq (50)</t>
  </si>
  <si>
    <t>PayPal recurring</t>
  </si>
  <si>
    <t xml:space="preserve">Google Pay </t>
  </si>
  <si>
    <t>TUNZ WL Blue in FS - Onboarding</t>
  </si>
  <si>
    <t>Carv-in/out remaining</t>
  </si>
  <si>
    <t>OpenBanking</t>
  </si>
  <si>
    <t>Back Office responsive (Saferpay)</t>
  </si>
  <si>
    <t>Chase</t>
  </si>
  <si>
    <t>Reporting Chase</t>
  </si>
  <si>
    <t>Product/Synergies TBD</t>
  </si>
  <si>
    <t>WOPA Supp</t>
  </si>
  <si>
    <t>[Parking] Pago Bancomat in Parking with SELF/2-4-5-7-8000</t>
  </si>
  <si>
    <t>Pago Bancomat for Parking use case</t>
  </si>
  <si>
    <t>Decommisionning of SIPS 1.0</t>
  </si>
  <si>
    <t>Regulatory &amp; compliance PCI</t>
  </si>
  <si>
    <t>Regulatory &amp; compliannce GDPR</t>
  </si>
  <si>
    <t xml:space="preserve">Regulatory &amp; compliance PSD2 </t>
  </si>
  <si>
    <t>Regulatory &amp; compliance</t>
  </si>
  <si>
    <t>PSD2 In App SDK</t>
  </si>
  <si>
    <t>PSD2 End of 3DSv1</t>
  </si>
  <si>
    <t xml:space="preserve">PSD2 complex payment &amp; exemption </t>
  </si>
  <si>
    <t>[UNITED] PayUnity Merchant Portal</t>
  </si>
  <si>
    <t>White Label Merchant Portal PayOne</t>
  </si>
  <si>
    <t>[UNITED] PayUnity PM (Gateway)</t>
  </si>
  <si>
    <t>PaySaferCard on Gateway - WLOC FE</t>
  </si>
  <si>
    <t>PaySaferCard on Gateway - APM Hub</t>
  </si>
  <si>
    <t>Payment Methods configuration</t>
  </si>
  <si>
    <t xml:space="preserve">Invoice Status + Download Invoice </t>
  </si>
  <si>
    <t>Acquirers First Data, Chase on AH from WLOC to AH</t>
  </si>
  <si>
    <t>Acquirers First Data, Chase on AH</t>
  </si>
  <si>
    <t>Admin and invoicing details screen</t>
  </si>
  <si>
    <t>Sofort implementation on WLOC FE</t>
  </si>
  <si>
    <t>Sofort implementation on APM Hub</t>
  </si>
  <si>
    <t>Paysafe / Paylater implementation on WLOC FE</t>
  </si>
  <si>
    <t>Paysafe / Paylater implementation on APM Hub</t>
  </si>
  <si>
    <t>EPS implementation on APM HUB</t>
  </si>
  <si>
    <t>EPS implementation on  WLOC FE</t>
  </si>
  <si>
    <t>Billing adaptation for PayUnity</t>
  </si>
  <si>
    <t>IAM - User Management (Role &amp; Permissions) + Login flows </t>
  </si>
  <si>
    <t>[UNITED] Payone PM (Gateway)</t>
  </si>
  <si>
    <t>Special customer features (Petrol use-cases (Partial approval)</t>
  </si>
  <si>
    <t>PAYONE GTS connection</t>
  </si>
  <si>
    <t>SAP</t>
  </si>
  <si>
    <t xml:space="preserve">PAYONE eCom specific reports (if not provided by Omnibus) </t>
  </si>
  <si>
    <t xml:space="preserve">For large customers (Deutsche Bahn) </t>
  </si>
  <si>
    <t>PAYONE APM (Shared Services)</t>
  </si>
  <si>
    <t>New APMs on WLOC</t>
  </si>
  <si>
    <t>New APMs on APM Hub</t>
  </si>
  <si>
    <t xml:space="preserve">PAYONE on WLOC Functional gap closure </t>
  </si>
  <si>
    <t>Micropayments via aggregation</t>
  </si>
  <si>
    <t>[UNITED] Payone Collecting</t>
  </si>
  <si>
    <t>WeChatPay in Full Service</t>
  </si>
  <si>
    <t>Verkkopankki on WLOC FE</t>
  </si>
  <si>
    <t>Via PPRO?</t>
  </si>
  <si>
    <t>TrustPay on WLOC FE</t>
  </si>
  <si>
    <t>Trustpay in Full Service</t>
  </si>
  <si>
    <t>Trustly on WLOC FE</t>
  </si>
  <si>
    <t>Trustly in Full Service</t>
  </si>
  <si>
    <t>RatePay on WLOC FE</t>
  </si>
  <si>
    <t>PayU on WLOC FE</t>
  </si>
  <si>
    <t>PayU in Full Service</t>
  </si>
  <si>
    <t>PayPal Feature gap on WLOC FE</t>
  </si>
  <si>
    <t>Payment in Advance - Bank transfer on WLOC FE</t>
  </si>
  <si>
    <t>Paydirect in Full Service</t>
  </si>
  <si>
    <t>Pay in advance in Full Service</t>
  </si>
  <si>
    <t>P24 on WLOC FE</t>
  </si>
  <si>
    <t>Open Invoice in Full Service</t>
  </si>
  <si>
    <t>Multibanco on WLOC FE</t>
  </si>
  <si>
    <t>Multibanco in Full Service</t>
  </si>
  <si>
    <t>Klarne feature gap on WLOC FE</t>
  </si>
  <si>
    <t>Gross Settlement</t>
  </si>
  <si>
    <t>[UNITED] Payone Fraud</t>
  </si>
  <si>
    <t>Fraud Passive Checks</t>
  </si>
  <si>
    <t>Fraud - Trx risk category</t>
  </si>
  <si>
    <t>Fraud - connection Fraud Hub to Iris by IBM</t>
  </si>
  <si>
    <t>EPS in Full Service</t>
  </si>
  <si>
    <t>BLIK on WLOC FE</t>
  </si>
  <si>
    <t>Blik in Full Service</t>
  </si>
  <si>
    <t>[UNITED] Payone API Emulator</t>
  </si>
  <si>
    <t>API Emulator</t>
  </si>
  <si>
    <t>Alipay in Full Service</t>
  </si>
  <si>
    <t>amazon pay on WLOC FE</t>
  </si>
  <si>
    <t>amazon pay on APM Hub</t>
  </si>
  <si>
    <t>PayOne Accouns receivable</t>
  </si>
  <si>
    <t>Connect 5 PayOne acquirers from WLOC to AH</t>
  </si>
  <si>
    <t>Integrate 5 PayOne acquirers on Acquirer Hub</t>
  </si>
  <si>
    <t>PAYONE Tokens migration (Shared Services)</t>
  </si>
  <si>
    <t>Pseudo PAN to token</t>
  </si>
  <si>
    <t>Connection of saving banks service data centers</t>
  </si>
  <si>
    <t>[UNITED] Payone Shopping Cart plugins</t>
  </si>
  <si>
    <t>Plugins (testing &amp; PM only) (tricoma)</t>
  </si>
  <si>
    <t>Plugins (testing &amp; PM only) (tradino)</t>
  </si>
  <si>
    <t>Plugins (testing &amp; PM only) (sy.lynx)</t>
  </si>
  <si>
    <t>Plugins (testing &amp; PM only) (Spryker)</t>
  </si>
  <si>
    <t>Plugins (testing &amp; PM only) (REOS)</t>
  </si>
  <si>
    <t>Plugins (testing &amp; PM only) (IBM websphere commerce)</t>
  </si>
  <si>
    <t>Plugins (testing &amp; PM only) (Hotel Netsolutions)</t>
  </si>
  <si>
    <t>Plugins (testing &amp; PM only) (HIS)</t>
  </si>
  <si>
    <t>Plugins (testing &amp; PM only) (Feripro)</t>
  </si>
  <si>
    <t>Plugins (testing &amp; PM only) (e-matters)</t>
  </si>
  <si>
    <t>Plugins (testing &amp; PM only) (DigiServe)</t>
  </si>
  <si>
    <t>Plugins (testing &amp; PM only) (Bilwerk)</t>
  </si>
  <si>
    <t>[UNITED] Payone Merchant Portal</t>
  </si>
  <si>
    <t>MP White Labeling for Payone</t>
  </si>
  <si>
    <t>Native shopping cart integration</t>
  </si>
  <si>
    <t xml:space="preserve">Translation automation Integration </t>
  </si>
  <si>
    <t>PCI-DSS Sysnet migration</t>
  </si>
  <si>
    <t>Light payment page editor</t>
  </si>
  <si>
    <t>Customise Payment Page copy</t>
  </si>
  <si>
    <t>Application Drawer</t>
  </si>
  <si>
    <t>WL Red in Full Service</t>
  </si>
  <si>
    <t>Usage tracker (e.g: Mixpanel</t>
  </si>
  <si>
    <t>Tunz Licence agnostic</t>
  </si>
  <si>
    <t xml:space="preserve">Technical settings configuration </t>
  </si>
  <si>
    <t>Secured invoice on WLOC FE</t>
  </si>
  <si>
    <t>Secured invoice in Full Service</t>
  </si>
  <si>
    <t>SDD v2 in Full Service</t>
  </si>
  <si>
    <t>SDD (Gateway) implementation on WLOC FE</t>
  </si>
  <si>
    <t>SDD (Gateway) implementation on APM Hub</t>
  </si>
  <si>
    <t>SDD (Gateway) implementation on equensworldline</t>
  </si>
  <si>
    <t>PostFinance card/eFinance</t>
  </si>
  <si>
    <t>PaySafe - Pay later in Full Service</t>
  </si>
  <si>
    <t>PayPal in Full Service</t>
  </si>
  <si>
    <t>Payone onboarding</t>
  </si>
  <si>
    <t>[UNITED] Payone acquirer</t>
  </si>
  <si>
    <t>PayOne AH migration</t>
  </si>
  <si>
    <t>Paydirekt implementation on WLOC FE</t>
  </si>
  <si>
    <t>Paydirekt implementation on APM Hub</t>
  </si>
  <si>
    <t>Open Invoice on WLOC FE</t>
  </si>
  <si>
    <t>[UNITED] Payone Customer Care Interface</t>
  </si>
  <si>
    <t>MP Customer Care Interface</t>
  </si>
  <si>
    <t>Giropay implementation on WLOC FE</t>
  </si>
  <si>
    <t>Giropay implementation on APM Hub</t>
  </si>
  <si>
    <t>Fraud PayOne gap - CC/Bank Acc. check</t>
  </si>
  <si>
    <t>[UNITED] Payone VAS</t>
  </si>
  <si>
    <t>Dunning Module</t>
  </si>
  <si>
    <t>Connection to Fraud Hub</t>
  </si>
  <si>
    <t>apple pay via credit card / girocard</t>
  </si>
  <si>
    <t>Billing adaptation for PayOne</t>
  </si>
  <si>
    <t>Apple Pay in Full Service</t>
  </si>
  <si>
    <t>Apple Pay for PayOne</t>
  </si>
  <si>
    <t>Address/consumer score check</t>
  </si>
  <si>
    <t>[Pay On Foot] Alipay&amp;Wechatpay acceptance in Vending - Barcode captured by terminal</t>
  </si>
  <si>
    <t>APM in Pay On Foot-barcode captured by PED</t>
  </si>
  <si>
    <t>SACC data integration</t>
  </si>
  <si>
    <t>Onboarding SACC</t>
  </si>
  <si>
    <t>SACC integration</t>
  </si>
  <si>
    <t>United – ISG1 - e-Portal</t>
  </si>
  <si>
    <t>[Pay On Foot] Alipay&amp;Wechatpay acceptance in Vending - Barcode displayed by terminal</t>
  </si>
  <si>
    <t>APM in Pay On Foot-barcode displayed on PED</t>
  </si>
  <si>
    <t>[Pay On Foot] DCC in SELF/2-4-5000</t>
  </si>
  <si>
    <t>DCC in SELF/2-4-5000</t>
  </si>
  <si>
    <t>[Self-Service] Store &amp; Forward deferred autorisation solution WL Blue &amp;Red</t>
  </si>
  <si>
    <t>deferred autorisation solution - WL Blue&amp;Red</t>
  </si>
  <si>
    <t>[Vending] Alipay&amp;Wechatpay acceptance in Vending - Barcode captured by terminal</t>
  </si>
  <si>
    <t>APM in vending - barcode captured by PED</t>
  </si>
  <si>
    <t>[Vending] Alipay&amp;Wechatpay acceptance in Vending - Barcode displayed by terminal</t>
  </si>
  <si>
    <t>APM in vending - barcode displayed by PED</t>
  </si>
  <si>
    <t>[Vending] ECR (MDB) interaction with Camera-SELF/2-4-5000</t>
  </si>
  <si>
    <t>ECR (MDB) interaction with Camera in SELF-Vending</t>
  </si>
  <si>
    <t>[Vending] Meal Voucher implementation for Vending - FR - with/without MDB</t>
  </si>
  <si>
    <t>Meal Voucher in Vending - FR-CNS/CNX</t>
  </si>
  <si>
    <t xml:space="preserve">United – ISG4 Yomani on AXIS - Build </t>
  </si>
  <si>
    <t>United – ISG4 Yomani on AXIS - Ops</t>
  </si>
  <si>
    <t>United – ISG7 Yumi on SACC - Build</t>
  </si>
  <si>
    <t>United – ISG7 Yumi on SACC - Ops</t>
  </si>
  <si>
    <t>United – ISG4’ Yumi on AXIS - Build</t>
  </si>
  <si>
    <t>United – ISG4’ Yumi on AXIS - Ops</t>
  </si>
  <si>
    <t>[Vending] Pre-autorisation implementation for vending MCC - Amex</t>
  </si>
  <si>
    <t>MDB 4.2 with Amex - pre-autorisation</t>
  </si>
  <si>
    <t>[Vending] Re-process in online tx performed in offline &gt; 7 days after capture</t>
  </si>
  <si>
    <t>[Vending] VAS Tap&amp;Connect for Vending</t>
  </si>
  <si>
    <t>VAS Tap&amp;Connect for Vending</t>
  </si>
  <si>
    <t>[Vending] Smartrouting for local scheme (Pago = N&amp;TS) and internationnal schemes (WL Red/Blue)</t>
  </si>
  <si>
    <t>Mass Transit United Acceptance for VISA/MC/CB</t>
  </si>
  <si>
    <t>To review with Sandhya &amp; Patrik</t>
  </si>
  <si>
    <t>[Transport] Mass Transit United Acceptance - E2E Testing</t>
  </si>
  <si>
    <t>Mass Transit EE test including all Shared Services</t>
  </si>
  <si>
    <t>OCH_SD</t>
  </si>
  <si>
    <t>Patrik Österling</t>
  </si>
  <si>
    <t>[Transport] Mass Transit United Acceptance - Redsys</t>
  </si>
  <si>
    <t>Mass Transit United Acceptance for VISA and MC</t>
  </si>
  <si>
    <t xml:space="preserve">[Transport] Mass Transit United Acceptance - AMEX </t>
  </si>
  <si>
    <t>Mass Transit United Acceptance for Amex</t>
  </si>
  <si>
    <t>Mass transit</t>
  </si>
  <si>
    <t>Payment account Reference in ecomm transaction feedback</t>
  </si>
  <si>
    <t>SACC - Build -  United Terminal Parametrisation OP2GO</t>
  </si>
  <si>
    <t>[Vending] Smartrouting for local scheme (Pago/CB) and internationnal schemes</t>
  </si>
  <si>
    <t>Part 1 - Paramount - config center and shared libraries</t>
  </si>
  <si>
    <t>Paramount</t>
  </si>
  <si>
    <t>Part 2 - micro services 1</t>
  </si>
  <si>
    <t>Part 2 - micro services 2</t>
  </si>
  <si>
    <t>WOPA data integration</t>
  </si>
  <si>
    <t>Ready for review with FT/GB [2] (tech debt budget)</t>
  </si>
  <si>
    <t>Acq Hub_3</t>
  </si>
  <si>
    <t>Phase 1 only</t>
  </si>
  <si>
    <t>review done Reporting</t>
  </si>
  <si>
    <t>review done FinOps</t>
  </si>
  <si>
    <t>Single Reporting</t>
  </si>
  <si>
    <t>Single Integration (API, HPP, SDK, documentation)</t>
  </si>
  <si>
    <t>Ready for review with AS/GB</t>
  </si>
  <si>
    <t>Ready for review with CT/SK/OB/ARo _ GC</t>
  </si>
  <si>
    <t>Ready for review with CT/SK/OB/ARo _ WOPA</t>
  </si>
  <si>
    <t>Ready for review with ARo,OB</t>
  </si>
  <si>
    <t>Shared Service</t>
  </si>
  <si>
    <t>APM Hub Gateway</t>
  </si>
  <si>
    <t>aec: added to reach 10 % of development work incl Datalake and Ogone</t>
  </si>
  <si>
    <t>aec: added to reach 15% of development work incl Datalake and Ogone</t>
  </si>
  <si>
    <t>[Vending] Terminal status recorded (in MDB) and display on e-Portal</t>
  </si>
  <si>
    <t>Terminal to database</t>
  </si>
  <si>
    <t>Display on e-Portal</t>
  </si>
  <si>
    <t>No, bad Quarterly Dispatch</t>
  </si>
  <si>
    <t>Added by K Kamoun 24/09/21</t>
  </si>
  <si>
    <t>DCC Hub Fexco</t>
  </si>
  <si>
    <t>APM connectors for CNP</t>
  </si>
  <si>
    <t xml:space="preserve">SDK refactoring to make them brand agnostic (rebranding, white label...)
</t>
  </si>
  <si>
    <t xml:space="preserve">MP Rebranding </t>
  </si>
  <si>
    <t xml:space="preserve">API Rebranding </t>
  </si>
  <si>
    <t>Reporting and Back Office</t>
  </si>
  <si>
    <t>Fraud</t>
  </si>
  <si>
    <t>Platform + OneSource</t>
  </si>
  <si>
    <t>Ogone MP + myPortal in Omnibus</t>
  </si>
  <si>
    <t>IAM for Omnibus</t>
  </si>
  <si>
    <t>Insight - Dispute Management</t>
  </si>
  <si>
    <t>Insight - Landing Page V2</t>
  </si>
  <si>
    <t>Insight - Audit Trail</t>
  </si>
  <si>
    <t>Insight - Bulk Refunds</t>
  </si>
  <si>
    <t>SHADOW ITEM: WL1C - Axis-Ogone Maintenance &amp; Cont. Enhancements (Axis-Ogone Roadmap)</t>
  </si>
  <si>
    <t>Shadow Item (for completeness) Pointer at X-channel/eCom items in budget of Pierre Riat</t>
  </si>
  <si>
    <t>SHADOW ITEM: WL1C - Plug&amp;Play BeNeLux+Shared Developent (Regional Business Roadmap)</t>
  </si>
  <si>
    <t>Shadow Item (for completeness) Pointer at multichannel items in budget of Amarury Kervyn</t>
  </si>
  <si>
    <t>COO-CS</t>
  </si>
  <si>
    <t>Total COST</t>
  </si>
  <si>
    <t>Connect Developer Portal - New and enhanced functionality</t>
  </si>
  <si>
    <t>Readme Developer Portal Tool</t>
  </si>
  <si>
    <t>Annual Developer Portal tool subscription</t>
  </si>
  <si>
    <t>Technical Writer Supplier</t>
  </si>
  <si>
    <t>Contract / Consulting resource to conduct Developer Portal document migration</t>
  </si>
  <si>
    <t>Connect SDK Maintenance - Yearly</t>
  </si>
  <si>
    <t>Events and Trainings</t>
  </si>
  <si>
    <t>Renato</t>
  </si>
  <si>
    <t>Fraud - Accertify License</t>
  </si>
  <si>
    <t>Fraud - Merchant workshops</t>
  </si>
  <si>
    <t>Fraud - Internal engagement and trainings</t>
  </si>
  <si>
    <t>Fraud - Microsoft DFP</t>
  </si>
  <si>
    <t>Rough estimation.</t>
  </si>
  <si>
    <t>FX as a Service external provider</t>
  </si>
  <si>
    <t>DC Product Management budget</t>
  </si>
  <si>
    <t>Certification cost bucket for CB2A acquirer Hub</t>
  </si>
  <si>
    <t>Demo shop to show end to end customer experience</t>
  </si>
  <si>
    <t>Full Service Brazil and Mexico Assessment</t>
  </si>
  <si>
    <t>Full Service Brazil or Mexico Licenses/Certification</t>
  </si>
  <si>
    <t>EMV SDK support &amp; upgrade to version 2.3</t>
  </si>
  <si>
    <t>Rough estimation</t>
  </si>
  <si>
    <t>Open BAnking AISP</t>
  </si>
  <si>
    <t>Rebranding - Digital Commerce Acceptance</t>
  </si>
  <si>
    <t>Certification costs acquirer NETS</t>
  </si>
  <si>
    <t>Latam Full service consultancy</t>
  </si>
  <si>
    <t>Integration of MyPerformance in Merchant Portal</t>
  </si>
  <si>
    <t>US Study corridor plan</t>
  </si>
  <si>
    <t>SaferPay MKP run costs</t>
  </si>
  <si>
    <t>DotCMS - Hosting for the Connect, Direct &amp; TravelHub developer portals</t>
  </si>
  <si>
    <t>Rik van 't Hof, Sebastien Fantone</t>
  </si>
  <si>
    <t>Shared between Ogone &amp; GlobalCollect</t>
  </si>
  <si>
    <t xml:space="preserve">UserZoom - Yearly fee </t>
  </si>
  <si>
    <t>Shared between Ogone, GlobalCollect &amp; Innovation team + potentially Digital Services</t>
  </si>
  <si>
    <t xml:space="preserve">Connect Translations - Localizations for new additions </t>
  </si>
  <si>
    <t>SaferPay plugin maintenance</t>
  </si>
  <si>
    <t>General Product run costs (collaterals, coms, product launches...)</t>
  </si>
  <si>
    <t>Merchant Experience run costs (UX tools licences, translations</t>
  </si>
  <si>
    <t>IFS &amp; APM run costs (PCI-DSS tool, MKP connector maintenance, Yearly partnership fees)</t>
  </si>
  <si>
    <t>Card &amp; Fraud run costs (licenses for external fraud services)</t>
  </si>
  <si>
    <t>Payment Partnerships run costs (3rd party partners run costs)</t>
  </si>
  <si>
    <t>Maintenance of WLOC Shopping carts</t>
  </si>
  <si>
    <t>Maintenance of Legacy Shopping carts</t>
  </si>
  <si>
    <t>Partnership fee with Shopping carts platforms</t>
  </si>
  <si>
    <t>Rough estimation, HW cost for 6 new HSM</t>
  </si>
  <si>
    <t>Migration Connect merchants to Direct</t>
  </si>
  <si>
    <t>Investigations on airline acquiring - IC, IAP</t>
  </si>
  <si>
    <t>Shopping cart - new payment products to SFCC, Magento, SAP</t>
  </si>
  <si>
    <t>Marco</t>
  </si>
  <si>
    <t>Shopping cart - maintainance &amp; support</t>
  </si>
  <si>
    <t>Shopping cart - new shopping carts shopify, Vtex</t>
  </si>
  <si>
    <t>Shopping cart - partnerships and promotions</t>
  </si>
  <si>
    <t>To be discussed with Sebastien and Willy on the partnership fee</t>
  </si>
  <si>
    <t>New shopping cart creation and evolutions of existing ones</t>
  </si>
  <si>
    <t>Certification cost Bancontact</t>
  </si>
  <si>
    <t>PayPal Full Service Banking Circle fee</t>
  </si>
  <si>
    <t>Connection via AHUB</t>
  </si>
  <si>
    <t>Phase 1A - MS1868</t>
  </si>
  <si>
    <t>SDK Rebranding</t>
  </si>
  <si>
    <t>CSS</t>
  </si>
  <si>
    <t>MD</t>
  </si>
  <si>
    <t>NP</t>
  </si>
  <si>
    <t>OP</t>
  </si>
  <si>
    <t>Total</t>
  </si>
  <si>
    <t>€</t>
  </si>
  <si>
    <t>Penser à modifier les références de colonnes en fonction de la GBD</t>
  </si>
  <si>
    <t>OG</t>
  </si>
  <si>
    <t>CHECK</t>
  </si>
  <si>
    <t>Étiquettes de lignes</t>
  </si>
  <si>
    <t>Somme de Cost k€ (auto)</t>
  </si>
  <si>
    <t>Somme de Size in MD (auto)</t>
  </si>
  <si>
    <t>ACC - 0024</t>
  </si>
  <si>
    <t>ACC - 0097</t>
  </si>
  <si>
    <t>ACC - 0128</t>
  </si>
  <si>
    <t>ACC - 0129</t>
  </si>
  <si>
    <t>ACC - 0130</t>
  </si>
  <si>
    <t>ACC - 0131</t>
  </si>
  <si>
    <t>ACC - 0132</t>
  </si>
  <si>
    <t>ACC - 0133</t>
  </si>
  <si>
    <t>ACC - 0134</t>
  </si>
  <si>
    <t>ACC - 0135</t>
  </si>
  <si>
    <t>ACC - 0136</t>
  </si>
  <si>
    <t>ACC - 0209</t>
  </si>
  <si>
    <t>ACC - 0210</t>
  </si>
  <si>
    <t>ACC - 0211</t>
  </si>
  <si>
    <t>Total général</t>
  </si>
  <si>
    <t>UNI22-F01-01</t>
  </si>
  <si>
    <t>United F01 - Bambora SAP/Nessie</t>
  </si>
  <si>
    <t>United B02-01 ecom - Onboarding Automation</t>
  </si>
  <si>
    <t>UNI22-B02-01H</t>
  </si>
  <si>
    <t>UNI21-B02-01G</t>
  </si>
  <si>
    <t>United B02-01 ecom - SIPS consolidation</t>
  </si>
  <si>
    <t>UNI22-B01-02A</t>
  </si>
  <si>
    <t>UNI22-B02-01J</t>
  </si>
  <si>
    <t>UNI22-B02-03R</t>
  </si>
  <si>
    <t>United B02-03 online - Single Integration WOPA</t>
  </si>
  <si>
    <t>UNI22-B02-03S</t>
  </si>
  <si>
    <t>United B02-03 online - Sub1 migration to Acquirer Hub</t>
  </si>
  <si>
    <t>UNI22-B02-03T</t>
  </si>
  <si>
    <t>United B02-03 online - OnLine Acquirer Hub</t>
  </si>
  <si>
    <t>ACC22-0187-MI</t>
  </si>
  <si>
    <t>United B02-03 online - Sub1 transition</t>
  </si>
  <si>
    <t>UNI22-B02-04F</t>
  </si>
  <si>
    <t>UNI22-B02-01I</t>
  </si>
  <si>
    <t>United B02-01 ecom - Datalake for eCom</t>
  </si>
  <si>
    <t>United B02-01 ecom - PAYONE phase out</t>
  </si>
  <si>
    <t>United B02-01 ecom - PayUnity phase out (PayUnity integrate ecom)</t>
  </si>
  <si>
    <t>United B06-01 GSV - Connection to WL acquiring</t>
  </si>
  <si>
    <t>UNI22-B02-03U</t>
  </si>
  <si>
    <t>United B02-01 ecom - GTM Synergy - RB Omnichannel</t>
  </si>
  <si>
    <t>MS21-627</t>
  </si>
  <si>
    <t>Custom / Evolutions for Nordea</t>
  </si>
  <si>
    <t>Nordea</t>
  </si>
  <si>
    <t>NEW-JT1119</t>
  </si>
  <si>
    <t>Custom / Evolutions for M&amp;S improvement</t>
  </si>
  <si>
    <t>Performance Improvements</t>
  </si>
  <si>
    <t>M&amp;S</t>
  </si>
  <si>
    <t>Details</t>
  </si>
  <si>
    <t>APMs</t>
  </si>
  <si>
    <t>Bizum (remaining 2021, partial and multiple refunds)</t>
  </si>
  <si>
    <t xml:space="preserve">Keep working on getting better processing performance </t>
  </si>
  <si>
    <t>Worldline</t>
  </si>
  <si>
    <t>Apple Pay - Amex</t>
  </si>
  <si>
    <t>Waiting confirmation Apple Pay is supported on redsys SIS Protocol</t>
  </si>
  <si>
    <t>Petrol with Axis</t>
  </si>
  <si>
    <t>Single identity &amp; access mgt as shared service</t>
  </si>
  <si>
    <t>RUN</t>
  </si>
  <si>
    <t>Custom / Evolutions for MID TIERS</t>
  </si>
  <si>
    <t>axis migration to AIS</t>
  </si>
  <si>
    <t>01/01/2021</t>
  </si>
  <si>
    <t>UNI22-B01-02A dup</t>
  </si>
  <si>
    <t>Frontend monitoring improvements</t>
  </si>
  <si>
    <t>ASTRA program comittment</t>
  </si>
  <si>
    <t>(Default template, Facultative CVC, product filters, etc.</t>
  </si>
  <si>
    <t>Apple Pay with Redsys</t>
  </si>
  <si>
    <t>IPRB #</t>
  </si>
  <si>
    <t>IPRB Name</t>
  </si>
  <si>
    <t>Capex (k€)</t>
  </si>
  <si>
    <t>Opex (k€)</t>
  </si>
  <si>
    <t>Paypal enhancement</t>
  </si>
  <si>
    <t>BAU-ACC - 0048</t>
  </si>
  <si>
    <t>BAU-ACC - 0054</t>
  </si>
  <si>
    <t>United B02-04 Omnichannel - MS data integration</t>
  </si>
  <si>
    <t>RowID</t>
  </si>
  <si>
    <t>ACC22-2007-EF</t>
  </si>
  <si>
    <t>01/10/22</t>
  </si>
  <si>
    <t>31/12/21</t>
  </si>
  <si>
    <t>ACC22-0056</t>
  </si>
  <si>
    <t>01/04/22</t>
  </si>
  <si>
    <t>31/12/22</t>
  </si>
  <si>
    <t>ACC22-0084-MN</t>
  </si>
  <si>
    <t>01/01/22</t>
  </si>
  <si>
    <t>30/09/22</t>
  </si>
  <si>
    <t>01/07/22</t>
  </si>
  <si>
    <t>31/03/22</t>
  </si>
  <si>
    <t>ACC22-0147</t>
  </si>
  <si>
    <t>30/06/22</t>
  </si>
  <si>
    <t>01/01/21</t>
  </si>
  <si>
    <t>Stephan Van Gulck</t>
  </si>
  <si>
    <t>ACC22-0135</t>
  </si>
  <si>
    <t>ACC22-0200</t>
  </si>
  <si>
    <t>United B02-03 Omnichannel - MS data integration</t>
  </si>
  <si>
    <t>ACC - 0091</t>
  </si>
  <si>
    <t>ACC22-0026-MN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</si>
</sst>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 #,##0.00_-;_-* &quot;-&quot;??_-;_-@_-"/>
    <numFmt numFmtId="44" formatCode="_-* #,##0.00\ &quot;€&quot;_-;\-* #,##0.00\ &quot;€&quot;_-;_-* &quot;-&quot;??\ &quot;€&quot;_-;_-@_-"/>
    <numFmt numFmtId="164" formatCode="_ * #,##0.00_ ;_ * \-#,##0.00_ ;_ * &quot;-&quot;??_ ;_ @_ "/>
    <numFmt numFmtId="165" formatCode="_-* #,##0_-;\-* #,##0_-;_-* &quot;-&quot;??_-;_-@_-"/>
    <numFmt numFmtId="166" formatCode="_-* #,##0_-;[Red]\-* #,##0_-;_-* &quot;-&quot;_-;_-@_-"/>
    <numFmt numFmtId="167" formatCode="0.000"/>
    <numFmt numFmtId="168" formatCode="#,##0\ _&quot;\k&quot;€&quot;;;&quot;-&quot;"/>
    <numFmt numFmtId="169" formatCode="#"/>
  </numFmts>
  <fonts count="54" x14ac:knownFonts="1">
    <font>
      <sz val="11"/>
      <color theme="1"/>
      <name val="Arial"/>
      <family val="2"/>
      <scheme val="minor"/>
    </font>
    <font>
      <sz val="11"/>
      <color theme="1"/>
      <name val="Arial"/>
      <family val="2"/>
    </font>
    <font>
      <sz val="11"/>
      <color theme="1"/>
      <name val="Arial"/>
      <family val="2"/>
    </font>
    <font>
      <sz val="11"/>
      <color theme="1"/>
      <name val="Arial"/>
      <family val="2"/>
      <scheme val="minor"/>
    </font>
    <font>
      <sz val="8"/>
      <color theme="1"/>
      <name val="Arial"/>
      <family val="2"/>
    </font>
    <font>
      <sz val="8"/>
      <color theme="1"/>
      <name val="Arial"/>
      <family val="2"/>
      <scheme val="minor"/>
    </font>
    <font>
      <i/>
      <sz val="10"/>
      <color rgb="FF7F7F7F"/>
      <name val="Calibri"/>
      <family val="2"/>
    </font>
    <font>
      <sz val="8"/>
      <name val="Arial"/>
      <family val="2"/>
      <scheme val="minor"/>
    </font>
    <font>
      <b/>
      <sz val="8"/>
      <color theme="0"/>
      <name val="Arial"/>
      <family val="2"/>
    </font>
    <font>
      <sz val="8"/>
      <color theme="0"/>
      <name val="Arial"/>
      <family val="2"/>
    </font>
    <font>
      <sz val="11"/>
      <color theme="1"/>
      <name val="Arial"/>
      <family val="2"/>
    </font>
    <font>
      <sz val="9"/>
      <color theme="1"/>
      <name val="Calibri"/>
      <family val="2"/>
    </font>
    <font>
      <i/>
      <sz val="8"/>
      <color theme="3" tint="0.59999389629810485"/>
      <name val="Calibri"/>
      <family val="2"/>
    </font>
    <font>
      <b/>
      <sz val="8"/>
      <color theme="3" tint="0.59999389629810485"/>
      <name val="Calibri"/>
      <family val="2"/>
    </font>
    <font>
      <b/>
      <i/>
      <sz val="8"/>
      <color rgb="FF7F7F7F"/>
      <name val="Calibri"/>
      <family val="2"/>
    </font>
    <font>
      <sz val="8"/>
      <color theme="3" tint="0.59999389629810485"/>
      <name val="Calibri"/>
      <family val="2"/>
    </font>
    <font>
      <sz val="8"/>
      <color theme="6" tint="-0.499984740745262"/>
      <name val="Calibri"/>
      <family val="2"/>
    </font>
    <font>
      <sz val="10"/>
      <color rgb="FF3F3F76"/>
      <name val="Calibri"/>
      <family val="2"/>
    </font>
    <font>
      <sz val="8"/>
      <color rgb="FFFF0000"/>
      <name val="Arial"/>
      <family val="2"/>
    </font>
    <font>
      <sz val="9"/>
      <color rgb="FFFF0000"/>
      <name val="Calibri"/>
      <family val="2"/>
    </font>
    <font>
      <sz val="9"/>
      <name val="Calibri"/>
      <family val="2"/>
    </font>
    <font>
      <b/>
      <sz val="9"/>
      <color theme="0"/>
      <name val="Calibri"/>
      <family val="2"/>
    </font>
    <font>
      <b/>
      <sz val="10"/>
      <color theme="0"/>
      <name val="Calibri"/>
      <family val="2"/>
    </font>
    <font>
      <b/>
      <sz val="8"/>
      <color theme="1"/>
      <name val="Arial"/>
      <family val="2"/>
    </font>
    <font>
      <sz val="10"/>
      <color theme="1"/>
      <name val="Arial"/>
      <family val="2"/>
      <scheme val="minor"/>
    </font>
    <font>
      <b/>
      <sz val="8"/>
      <color theme="1"/>
      <name val="Arial"/>
      <family val="2"/>
      <scheme val="minor"/>
    </font>
    <font>
      <sz val="9"/>
      <color rgb="FFC00000"/>
      <name val="Calibri"/>
      <family val="2"/>
    </font>
    <font>
      <b/>
      <sz val="11"/>
      <color theme="1"/>
      <name val="Arial"/>
      <family val="2"/>
      <scheme val="minor"/>
    </font>
    <font>
      <sz val="8"/>
      <color theme="6"/>
      <name val="Calibri"/>
      <family val="2"/>
    </font>
    <font>
      <b/>
      <sz val="8"/>
      <color theme="6"/>
      <name val="Calibri"/>
      <family val="2"/>
    </font>
    <font>
      <sz val="9"/>
      <color indexed="81"/>
      <name val="Tahoma"/>
      <family val="2"/>
    </font>
    <font>
      <b/>
      <sz val="9"/>
      <color indexed="81"/>
      <name val="Tahoma"/>
      <family val="2"/>
    </font>
    <font>
      <b/>
      <sz val="8"/>
      <color theme="6" tint="-0.499984740745262"/>
      <name val="Calibri"/>
      <family val="2"/>
    </font>
    <font>
      <b/>
      <sz val="8"/>
      <name val="Calibri"/>
      <family val="2"/>
    </font>
    <font>
      <sz val="9"/>
      <color theme="1"/>
      <name val="Arial"/>
      <family val="2"/>
      <scheme val="minor"/>
    </font>
    <font>
      <b/>
      <sz val="9"/>
      <color theme="2"/>
      <name val="Arial"/>
      <family val="2"/>
      <scheme val="minor"/>
    </font>
    <font>
      <b/>
      <sz val="11"/>
      <color theme="0"/>
      <name val="Arial"/>
      <family val="2"/>
      <scheme val="minor"/>
    </font>
    <font>
      <b/>
      <sz val="11"/>
      <color theme="9"/>
      <name val="Arial"/>
      <family val="2"/>
      <scheme val="minor"/>
    </font>
    <font>
      <b/>
      <sz val="9"/>
      <color rgb="FFFA7D00"/>
      <name val="Verdana"/>
      <family val="2"/>
    </font>
    <font>
      <b/>
      <sz val="8"/>
      <color theme="0"/>
      <name val="Arial"/>
      <family val="2"/>
      <scheme val="minor"/>
    </font>
    <font>
      <sz val="9"/>
      <color rgb="FF3C3C3C"/>
      <name val="Calibri"/>
      <family val="2"/>
    </font>
    <font>
      <sz val="9"/>
      <color rgb="FFFFFF00"/>
      <name val="Calibri"/>
      <family val="2"/>
    </font>
    <font>
      <i/>
      <sz val="11"/>
      <color theme="0" tint="-0.34998626667073579"/>
      <name val="Arial"/>
      <family val="2"/>
      <scheme val="minor"/>
    </font>
    <font>
      <i/>
      <sz val="11"/>
      <name val="Arial"/>
      <family val="2"/>
      <scheme val="minor"/>
    </font>
    <font>
      <b/>
      <sz val="11"/>
      <color rgb="FFFA7D00"/>
      <name val="Arial"/>
      <family val="2"/>
    </font>
    <font>
      <sz val="11"/>
      <name val="Arial"/>
      <family val="2"/>
      <scheme val="minor"/>
    </font>
    <font>
      <sz val="8"/>
      <color theme="1"/>
      <name val="Verdana"/>
      <family val="2"/>
    </font>
    <font>
      <sz val="9"/>
      <color theme="1"/>
      <name val="Verdana"/>
      <family val="2"/>
    </font>
    <font>
      <sz val="8"/>
      <name val="Verdana"/>
      <family val="2"/>
    </font>
    <font>
      <sz val="8"/>
      <color theme="5" tint="-0.499984740745262"/>
      <name val="Verdana"/>
      <family val="2"/>
    </font>
    <font>
      <sz val="8"/>
      <color rgb="FF3C3C3C"/>
      <name val="Verdana"/>
      <family val="2"/>
    </font>
    <font>
      <sz val="8"/>
      <color theme="1"/>
      <name val="Calibri"/>
      <family val="2"/>
    </font>
    <font>
      <sz val="8"/>
      <color rgb="FF3C3C3C"/>
      <name val="Calibri"/>
      <family val="2"/>
    </font>
    <font>
      <name val="Courier New"/>
      <sz val="8.0"/>
    </font>
  </fonts>
  <fills count="30">
    <fill>
      <patternFill patternType="none"/>
    </fill>
    <fill>
      <patternFill patternType="gray125"/>
    </fill>
    <fill>
      <patternFill patternType="solid">
        <fgColor theme="1"/>
        <bgColor indexed="64"/>
      </patternFill>
    </fill>
    <fill>
      <patternFill patternType="solid">
        <fgColor theme="6" tint="-0.499984740745262"/>
        <bgColor indexed="64"/>
      </patternFill>
    </fill>
    <fill>
      <patternFill patternType="solid">
        <fgColor theme="6" tint="0.39997558519241921"/>
        <bgColor indexed="64"/>
      </patternFill>
    </fill>
    <fill>
      <patternFill patternType="solid">
        <fgColor theme="5" tint="-0.499984740745262"/>
        <bgColor indexed="64"/>
      </patternFill>
    </fill>
    <fill>
      <patternFill patternType="solid">
        <fgColor theme="5" tint="0.39997558519241921"/>
        <bgColor indexed="64"/>
      </patternFill>
    </fill>
    <fill>
      <patternFill patternType="solid">
        <fgColor theme="7" tint="-0.499984740745262"/>
        <bgColor indexed="64"/>
      </patternFill>
    </fill>
    <fill>
      <patternFill patternType="solid">
        <fgColor theme="7" tint="0.39997558519241921"/>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rgb="FFFFCC99"/>
      </patternFill>
    </fill>
    <fill>
      <patternFill patternType="solid">
        <fgColor theme="7" tint="0.39997558519241921"/>
        <bgColor indexed="65"/>
      </patternFill>
    </fill>
    <fill>
      <patternFill patternType="solid">
        <fgColor theme="6"/>
        <bgColor theme="6"/>
      </patternFill>
    </fill>
    <fill>
      <patternFill patternType="solid">
        <fgColor theme="9" tint="0.59999389629810485"/>
        <bgColor indexed="64"/>
      </patternFill>
    </fill>
    <fill>
      <patternFill patternType="solid">
        <fgColor theme="5" tint="0.79998168889431442"/>
        <bgColor indexed="64"/>
      </patternFill>
    </fill>
    <fill>
      <patternFill patternType="solid">
        <fgColor theme="1" tint="0.79998168889431442"/>
        <bgColor indexed="64"/>
      </patternFill>
    </fill>
    <fill>
      <patternFill patternType="solid">
        <fgColor rgb="FFFFB3B3"/>
        <bgColor indexed="64"/>
      </patternFill>
    </fill>
    <fill>
      <patternFill patternType="solid">
        <fgColor theme="0" tint="-4.9989318521683403E-2"/>
        <bgColor indexed="64"/>
      </patternFill>
    </fill>
    <fill>
      <patternFill patternType="solid">
        <fgColor rgb="FFF2F2F2"/>
      </patternFill>
    </fill>
    <fill>
      <patternFill patternType="solid">
        <fgColor theme="9"/>
        <bgColor indexed="64"/>
      </patternFill>
    </fill>
    <fill>
      <patternFill patternType="solid">
        <fgColor theme="9" tint="0.39997558519241921"/>
        <bgColor indexed="64"/>
      </patternFill>
    </fill>
    <fill>
      <patternFill patternType="solid">
        <fgColor theme="6"/>
        <bgColor indexed="64"/>
      </patternFill>
    </fill>
    <fill>
      <patternFill patternType="solid">
        <fgColor theme="0" tint="-0.499984740745262"/>
        <bgColor indexed="64"/>
      </patternFill>
    </fill>
    <fill>
      <patternFill patternType="solid">
        <fgColor rgb="FFFFC000"/>
        <bgColor indexed="64"/>
      </patternFill>
    </fill>
    <fill>
      <patternFill patternType="solid">
        <fgColor rgb="FF92D050"/>
        <bgColor indexed="64"/>
      </patternFill>
    </fill>
    <fill>
      <patternFill patternType="solid">
        <fgColor theme="5"/>
        <bgColor indexed="64"/>
      </patternFill>
    </fill>
    <fill>
      <patternFill patternType="solid">
        <fgColor theme="7"/>
        <bgColor indexed="64"/>
      </patternFill>
    </fill>
    <fill>
      <patternFill patternType="solid">
        <fgColor theme="1" tint="0.59999389629810485"/>
        <bgColor indexed="64"/>
      </patternFill>
    </fill>
    <fill>
      <patternFill patternType="solid">
        <fgColor theme="2" tint="-0.14999847407452621"/>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theme="6" tint="0.39997558519241921"/>
      </top>
      <bottom style="thin">
        <color theme="6" tint="0.39997558519241921"/>
      </bottom>
      <diagonal/>
    </border>
    <border>
      <left style="thin">
        <color theme="9"/>
      </left>
      <right style="thin">
        <color theme="9"/>
      </right>
      <top style="thin">
        <color theme="9"/>
      </top>
      <bottom style="thin">
        <color theme="9"/>
      </bottom>
      <diagonal/>
    </border>
    <border>
      <left style="medium">
        <color rgb="FF92D050"/>
      </left>
      <right/>
      <top style="medium">
        <color rgb="FF92D050"/>
      </top>
      <bottom style="medium">
        <color rgb="FF92D050"/>
      </bottom>
      <diagonal/>
    </border>
    <border>
      <left/>
      <right/>
      <top style="medium">
        <color rgb="FF92D050"/>
      </top>
      <bottom style="medium">
        <color rgb="FF92D050"/>
      </bottom>
      <diagonal/>
    </border>
    <border>
      <left/>
      <right style="medium">
        <color rgb="FF92D050"/>
      </right>
      <top style="medium">
        <color rgb="FF92D050"/>
      </top>
      <bottom style="medium">
        <color rgb="FF92D050"/>
      </bottom>
      <diagonal/>
    </border>
  </borders>
  <cellStyleXfs count="12">
    <xf numFmtId="0" fontId="0" fillId="0" borderId="0"/>
    <xf numFmtId="43" fontId="3" fillId="0" borderId="0" applyFont="0" applyFill="0" applyBorder="0" applyAlignment="0" applyProtection="0"/>
    <xf numFmtId="0" fontId="6" fillId="0" borderId="0" applyNumberFormat="0" applyFill="0" applyBorder="0" applyAlignment="0" applyProtection="0"/>
    <xf numFmtId="0" fontId="10" fillId="0" borderId="0">
      <alignment vertical="top" wrapText="1"/>
    </xf>
    <xf numFmtId="0" fontId="17" fillId="11" borderId="1" applyNumberFormat="0" applyAlignment="0" applyProtection="0"/>
    <xf numFmtId="0" fontId="10" fillId="0" borderId="0">
      <alignment vertical="top" wrapText="1"/>
    </xf>
    <xf numFmtId="0" fontId="3" fillId="12" borderId="0" applyNumberFormat="0" applyBorder="0" applyAlignment="0" applyProtection="0"/>
    <xf numFmtId="44" fontId="3" fillId="0" borderId="0" applyFont="0" applyFill="0" applyBorder="0" applyAlignment="0" applyProtection="0"/>
    <xf numFmtId="164" fontId="3" fillId="0" borderId="0" applyFont="0" applyFill="0" applyBorder="0" applyAlignment="0" applyProtection="0"/>
    <xf numFmtId="0" fontId="38" fillId="19" borderId="1" applyNumberFormat="0" applyAlignment="0" applyProtection="0"/>
    <xf numFmtId="0" fontId="2" fillId="0" borderId="0">
      <alignment vertical="top" wrapText="1"/>
    </xf>
    <xf numFmtId="0" fontId="44" fillId="19" borderId="1" applyNumberFormat="0" applyAlignment="0" applyProtection="0"/>
  </cellStyleXfs>
  <cellXfs count="5143">
    <xf numFmtId="0" fontId="0" fillId="0" borderId="0" xfId="0"/>
    <xf numFmtId="0" fontId="4" fillId="0" borderId="0" xfId="0" applyFont="1"/>
    <xf numFmtId="0" fontId="4" fillId="0" borderId="0" xfId="0" applyFont="1" applyAlignment="1">
      <alignment vertical="top"/>
    </xf>
    <xf numFmtId="0" fontId="8" fillId="2" borderId="0" xfId="0" applyFont="1" applyFill="1" applyAlignment="1">
      <alignment vertical="top"/>
    </xf>
    <xf numFmtId="0" fontId="9" fillId="2" borderId="0" xfId="0" applyFont="1" applyFill="1" applyAlignment="1">
      <alignment vertical="top"/>
    </xf>
    <xf numFmtId="0" fontId="4" fillId="0" borderId="0" xfId="0" applyFont="1" applyAlignment="1">
      <alignment horizontal="center" vertical="top"/>
    </xf>
    <xf numFmtId="0" fontId="10" fillId="0" borderId="0" xfId="3">
      <alignment vertical="top" wrapText="1"/>
    </xf>
    <xf numFmtId="0" fontId="10" fillId="0" borderId="0" xfId="3" applyAlignment="1">
      <alignment vertical="top"/>
    </xf>
    <xf numFmtId="0" fontId="11" fillId="0" borderId="0" xfId="3" applyFont="1">
      <alignment vertical="top" wrapText="1"/>
    </xf>
    <xf numFmtId="0" fontId="11" fillId="0" borderId="0" xfId="3" applyFont="1" applyAlignment="1">
      <alignment vertical="top"/>
    </xf>
    <xf numFmtId="0" fontId="11" fillId="0" borderId="0" xfId="0" applyFont="1" applyAlignment="1">
      <alignment vertical="top" wrapText="1"/>
    </xf>
    <xf numFmtId="0" fontId="11" fillId="0" borderId="0" xfId="0" applyFont="1" applyAlignment="1">
      <alignment vertical="top"/>
    </xf>
    <xf numFmtId="0" fontId="11" fillId="3" borderId="0" xfId="0" applyFont="1" applyFill="1" applyAlignment="1">
      <alignment vertical="top" wrapText="1"/>
    </xf>
    <xf numFmtId="0" fontId="11" fillId="3" borderId="0" xfId="0" applyFont="1" applyFill="1" applyAlignment="1">
      <alignment horizontal="left" vertical="top" wrapText="1"/>
    </xf>
    <xf numFmtId="0" fontId="11" fillId="4" borderId="0" xfId="0" applyFont="1" applyFill="1" applyAlignment="1">
      <alignment vertical="top" wrapText="1"/>
    </xf>
    <xf numFmtId="0" fontId="11" fillId="5" borderId="0" xfId="0" applyFont="1" applyFill="1" applyAlignment="1">
      <alignment vertical="top" wrapText="1"/>
    </xf>
    <xf numFmtId="0" fontId="11" fillId="6" borderId="0" xfId="0" applyFont="1" applyFill="1" applyAlignment="1">
      <alignment vertical="top" wrapText="1"/>
    </xf>
    <xf numFmtId="0" fontId="12" fillId="0" borderId="0" xfId="2" applyFont="1" applyAlignment="1">
      <alignment horizontal="center" vertical="center" wrapText="1"/>
    </xf>
    <xf numFmtId="0" fontId="4" fillId="0" borderId="0" xfId="3" applyFont="1" applyAlignment="1">
      <alignment horizontal="center" vertical="center" wrapText="1"/>
    </xf>
    <xf numFmtId="0" fontId="14" fillId="0" borderId="0" xfId="2" applyFont="1" applyAlignment="1">
      <alignment horizontal="center" vertical="center" wrapText="1"/>
    </xf>
    <xf numFmtId="0" fontId="15" fillId="0" borderId="0" xfId="3" applyFont="1" applyAlignment="1">
      <alignment horizontal="center" vertical="center" wrapText="1"/>
    </xf>
    <xf numFmtId="0" fontId="11" fillId="7" borderId="0" xfId="0" applyFont="1" applyFill="1" applyAlignment="1">
      <alignment vertical="top" wrapText="1"/>
    </xf>
    <xf numFmtId="0" fontId="11" fillId="8" borderId="0" xfId="0" applyFont="1" applyFill="1" applyAlignment="1">
      <alignment vertical="top" wrapText="1"/>
    </xf>
    <xf numFmtId="0" fontId="11" fillId="9" borderId="0" xfId="0" applyFont="1" applyFill="1" applyAlignment="1">
      <alignment vertical="top" wrapText="1"/>
    </xf>
    <xf numFmtId="0" fontId="11" fillId="10" borderId="0" xfId="3" applyFont="1" applyFill="1">
      <alignment vertical="top" wrapText="1"/>
    </xf>
    <xf numFmtId="165" fontId="11" fillId="0" borderId="0" xfId="1" applyNumberFormat="1" applyFont="1" applyAlignment="1">
      <alignment vertical="top" wrapText="1"/>
    </xf>
    <xf numFmtId="166" fontId="16" fillId="0" borderId="0" xfId="3" applyNumberFormat="1" applyFont="1" applyAlignment="1">
      <alignment horizontal="center" vertical="center" wrapText="1"/>
    </xf>
    <xf numFmtId="0" fontId="5" fillId="0" borderId="0" xfId="0" applyFont="1"/>
    <xf numFmtId="0" fontId="5" fillId="0" borderId="0" xfId="0" applyFont="1" applyAlignment="1">
      <alignment vertical="top" wrapText="1"/>
    </xf>
    <xf numFmtId="0" fontId="5" fillId="0" borderId="0" xfId="0" applyFont="1" applyAlignment="1">
      <alignment vertical="top"/>
    </xf>
    <xf numFmtId="0" fontId="20" fillId="0" borderId="5" xfId="0" applyFont="1" applyBorder="1" applyAlignment="1">
      <alignment vertical="top"/>
    </xf>
    <xf numFmtId="0" fontId="20" fillId="0" borderId="0" xfId="0" applyFont="1" applyAlignment="1">
      <alignment vertical="top"/>
    </xf>
    <xf numFmtId="0" fontId="20" fillId="12" borderId="0" xfId="6" applyFont="1" applyAlignment="1">
      <alignment vertical="top" wrapText="1"/>
    </xf>
    <xf numFmtId="0" fontId="0" fillId="0" borderId="0" xfId="0" applyAlignment="1">
      <alignment horizontal="left" vertical="top"/>
    </xf>
    <xf numFmtId="0" fontId="5" fillId="0" borderId="0" xfId="0" applyFont="1" applyAlignment="1">
      <alignment horizontal="left" vertical="top"/>
    </xf>
    <xf numFmtId="0" fontId="21" fillId="13" borderId="5" xfId="0" applyFont="1" applyFill="1" applyBorder="1" applyAlignment="1">
      <alignment horizontal="left" vertical="top" wrapText="1"/>
    </xf>
    <xf numFmtId="0" fontId="24" fillId="0" borderId="0" xfId="0" applyFont="1" applyAlignment="1">
      <alignment horizontal="left" vertical="top" wrapText="1"/>
    </xf>
    <xf numFmtId="0" fontId="0" fillId="0" borderId="0" xfId="0" applyAlignment="1">
      <alignment horizontal="left" vertical="top" wrapText="1"/>
    </xf>
    <xf numFmtId="0" fontId="4" fillId="0" borderId="0" xfId="0" applyFont="1" applyAlignment="1">
      <alignment horizontal="left" vertical="top" wrapText="1"/>
    </xf>
    <xf numFmtId="0" fontId="23" fillId="0" borderId="0" xfId="0" applyFont="1" applyAlignment="1">
      <alignment horizontal="left" vertical="top" wrapText="1"/>
    </xf>
    <xf numFmtId="0" fontId="4" fillId="14" borderId="0" xfId="0" applyFont="1" applyFill="1" applyAlignment="1">
      <alignment vertical="top"/>
    </xf>
    <xf numFmtId="0" fontId="4" fillId="14" borderId="0" xfId="0" applyFont="1" applyFill="1"/>
    <xf numFmtId="0" fontId="5" fillId="0" borderId="0" xfId="0" applyFont="1" applyAlignment="1">
      <alignment horizontal="left" vertical="top" wrapText="1"/>
    </xf>
    <xf numFmtId="0" fontId="25" fillId="0" borderId="0" xfId="0" applyFont="1" applyAlignment="1">
      <alignment horizontal="left" vertical="top" wrapText="1"/>
    </xf>
    <xf numFmtId="0" fontId="22" fillId="13" borderId="5" xfId="0" applyFont="1" applyFill="1" applyBorder="1" applyAlignment="1">
      <alignment horizontal="left" vertical="top" wrapText="1"/>
    </xf>
    <xf numFmtId="0" fontId="8" fillId="2" borderId="0" xfId="0" applyFont="1" applyFill="1" applyAlignment="1">
      <alignment horizontal="left" vertical="top" wrapText="1"/>
    </xf>
    <xf numFmtId="0" fontId="26" fillId="15" borderId="0" xfId="0" applyFont="1" applyFill="1" applyAlignment="1">
      <alignment vertical="top" wrapText="1"/>
    </xf>
    <xf numFmtId="9" fontId="4" fillId="0" borderId="0" xfId="0" applyNumberFormat="1" applyFont="1" applyAlignment="1">
      <alignment vertical="top"/>
    </xf>
    <xf numFmtId="9" fontId="11" fillId="0" borderId="0" xfId="1" applyNumberFormat="1" applyFont="1" applyAlignment="1">
      <alignment vertical="top"/>
    </xf>
    <xf numFmtId="0" fontId="11" fillId="2" borderId="0" xfId="3" applyFont="1" applyFill="1">
      <alignment vertical="top" wrapText="1"/>
    </xf>
    <xf numFmtId="0" fontId="18" fillId="0" borderId="0" xfId="3" applyFont="1" applyAlignment="1">
      <alignment vertical="center"/>
    </xf>
    <xf numFmtId="0" fontId="27" fillId="0" borderId="0" xfId="0" applyFont="1"/>
    <xf numFmtId="167" fontId="0" fillId="0" borderId="0" xfId="0" applyNumberFormat="1"/>
    <xf numFmtId="0" fontId="0" fillId="16" borderId="0" xfId="0" applyFill="1"/>
    <xf numFmtId="0" fontId="0" fillId="17" borderId="0" xfId="0" applyFill="1"/>
    <xf numFmtId="166" fontId="16" fillId="18" borderId="0" xfId="3" applyNumberFormat="1" applyFont="1" applyFill="1" applyAlignment="1">
      <alignment horizontal="center" vertical="center" wrapText="1"/>
    </xf>
    <xf numFmtId="166" fontId="32" fillId="18" borderId="0" xfId="3" applyNumberFormat="1" applyFont="1" applyFill="1" applyAlignment="1">
      <alignment horizontal="center" vertical="center" wrapText="1"/>
    </xf>
    <xf numFmtId="168" fontId="29" fillId="0" borderId="0" xfId="0" applyNumberFormat="1" applyFont="1"/>
    <xf numFmtId="168" fontId="28" fillId="0" borderId="0" xfId="0" applyNumberFormat="1" applyFont="1"/>
    <xf numFmtId="166" fontId="32" fillId="18" borderId="0" xfId="3" applyNumberFormat="1" applyFont="1" applyFill="1" applyAlignment="1">
      <alignment horizontal="right" vertical="center"/>
    </xf>
    <xf numFmtId="168" fontId="29" fillId="0" borderId="0" xfId="0" applyNumberFormat="1" applyFont="1" applyAlignment="1">
      <alignment horizontal="right"/>
    </xf>
    <xf numFmtId="44" fontId="29" fillId="0" borderId="0" xfId="7" applyFont="1"/>
    <xf numFmtId="167" fontId="28" fillId="0" borderId="0" xfId="0" applyNumberFormat="1" applyFont="1"/>
    <xf numFmtId="167" fontId="29" fillId="0" borderId="0" xfId="0" applyNumberFormat="1" applyFont="1"/>
    <xf numFmtId="166" fontId="33" fillId="18" borderId="0" xfId="3" applyNumberFormat="1" applyFont="1" applyFill="1" applyAlignment="1"/>
    <xf numFmtId="1" fontId="0" fillId="0" borderId="0" xfId="0" applyNumberFormat="1"/>
    <xf numFmtId="1" fontId="0" fillId="17" borderId="0" xfId="0" applyNumberFormat="1" applyFill="1"/>
    <xf numFmtId="0" fontId="34" fillId="0" borderId="0" xfId="0" applyFont="1" applyAlignment="1">
      <alignment wrapText="1"/>
    </xf>
    <xf numFmtId="166" fontId="16" fillId="18" borderId="0" xfId="3" applyNumberFormat="1" applyFont="1" applyFill="1" applyAlignment="1">
      <alignment horizontal="center" vertical="center"/>
    </xf>
    <xf numFmtId="0" fontId="35" fillId="20" borderId="0" xfId="0" applyFont="1" applyFill="1" applyAlignment="1">
      <alignment horizontal="center"/>
    </xf>
    <xf numFmtId="0" fontId="35" fillId="20" borderId="0" xfId="0" applyFont="1" applyFill="1" applyAlignment="1">
      <alignment horizontal="center" vertical="center"/>
    </xf>
    <xf numFmtId="0" fontId="36" fillId="20" borderId="6" xfId="0" applyFont="1" applyFill="1" applyBorder="1"/>
    <xf numFmtId="22" fontId="37" fillId="0" borderId="6" xfId="0" applyNumberFormat="1" applyFont="1" applyBorder="1"/>
    <xf numFmtId="0" fontId="38" fillId="19" borderId="1" xfId="9"/>
    <xf numFmtId="0" fontId="38" fillId="19" borderId="1" xfId="9" applyAlignment="1">
      <alignment horizontal="center"/>
    </xf>
    <xf numFmtId="165" fontId="37" fillId="0" borderId="6" xfId="1" applyNumberFormat="1" applyFont="1" applyBorder="1"/>
    <xf numFmtId="0" fontId="0" fillId="0" borderId="0" xfId="0" applyAlignment="1">
      <alignment horizontal="center"/>
    </xf>
    <xf numFmtId="0" fontId="39" fillId="21" borderId="0" xfId="3" applyFont="1" applyFill="1" applyAlignment="1">
      <alignment horizontal="center" vertical="center" wrapText="1"/>
    </xf>
    <xf numFmtId="0" fontId="12" fillId="0" borderId="0" xfId="2" applyFont="1" applyAlignment="1">
      <alignment horizontal="center" vertical="center"/>
    </xf>
    <xf numFmtId="0" fontId="4" fillId="0" borderId="0" xfId="3" applyFont="1">
      <alignment vertical="top" wrapText="1"/>
    </xf>
    <xf numFmtId="167" fontId="0" fillId="17" borderId="0" xfId="0" applyNumberFormat="1" applyFill="1"/>
    <xf numFmtId="0" fontId="11" fillId="23" borderId="0" xfId="3" applyFont="1" applyFill="1">
      <alignment vertical="top" wrapText="1"/>
    </xf>
    <xf numFmtId="0" fontId="41" fillId="0" borderId="0" xfId="0" applyFont="1" applyAlignment="1">
      <alignment vertical="top" wrapText="1"/>
    </xf>
    <xf numFmtId="0" fontId="4" fillId="0" borderId="0" xfId="3" applyFont="1" applyAlignment="1">
      <alignment horizontal="center" vertical="center"/>
    </xf>
    <xf numFmtId="0" fontId="14" fillId="0" borderId="0" xfId="2" applyFont="1" applyAlignment="1">
      <alignment horizontal="center" vertical="center"/>
    </xf>
    <xf numFmtId="0" fontId="15" fillId="0" borderId="0" xfId="3" applyFont="1" applyAlignment="1">
      <alignment horizontal="center" vertical="center"/>
    </xf>
    <xf numFmtId="0" fontId="39" fillId="21" borderId="0" xfId="3" applyFont="1" applyFill="1" applyAlignment="1">
      <alignment horizontal="center" vertical="center"/>
    </xf>
    <xf numFmtId="166" fontId="32" fillId="18" borderId="0" xfId="3" applyNumberFormat="1" applyFont="1" applyFill="1" applyAlignment="1">
      <alignment horizontal="center" vertical="center"/>
    </xf>
    <xf numFmtId="0" fontId="11" fillId="3" borderId="0" xfId="0" applyFont="1" applyFill="1" applyAlignment="1">
      <alignment horizontal="left" vertical="top"/>
    </xf>
    <xf numFmtId="0" fontId="11" fillId="4" borderId="0" xfId="0" applyFont="1" applyFill="1" applyAlignment="1">
      <alignment vertical="top"/>
    </xf>
    <xf numFmtId="0" fontId="11" fillId="3" borderId="0" xfId="0" applyFont="1" applyFill="1" applyAlignment="1">
      <alignment vertical="top"/>
    </xf>
    <xf numFmtId="0" fontId="11" fillId="5" borderId="0" xfId="0" applyFont="1" applyFill="1" applyAlignment="1">
      <alignment vertical="top"/>
    </xf>
    <xf numFmtId="0" fontId="11" fillId="6" borderId="0" xfId="0" applyFont="1" applyFill="1" applyAlignment="1">
      <alignment vertical="top"/>
    </xf>
    <xf numFmtId="0" fontId="26" fillId="15" borderId="0" xfId="0" applyFont="1" applyFill="1" applyAlignment="1">
      <alignment vertical="top"/>
    </xf>
    <xf numFmtId="0" fontId="11" fillId="7" borderId="0" xfId="0" applyFont="1" applyFill="1" applyAlignment="1">
      <alignment vertical="top"/>
    </xf>
    <xf numFmtId="0" fontId="11" fillId="8" borderId="0" xfId="0" applyFont="1" applyFill="1" applyAlignment="1">
      <alignment vertical="top"/>
    </xf>
    <xf numFmtId="0" fontId="11" fillId="10" borderId="0" xfId="3" applyFont="1" applyFill="1" applyAlignment="1">
      <alignment vertical="top"/>
    </xf>
    <xf numFmtId="0" fontId="21" fillId="13" borderId="5" xfId="3" applyFont="1" applyFill="1" applyBorder="1" applyAlignment="1">
      <alignment vertical="top"/>
    </xf>
    <xf numFmtId="0" fontId="21" fillId="4" borderId="5" xfId="3" applyFont="1" applyFill="1" applyBorder="1" applyAlignment="1">
      <alignment vertical="top"/>
    </xf>
    <xf numFmtId="0" fontId="11" fillId="2" borderId="0" xfId="3" applyFont="1" applyFill="1" applyAlignment="1">
      <alignment vertical="top"/>
    </xf>
    <xf numFmtId="0" fontId="11" fillId="23" borderId="0" xfId="3" applyFont="1" applyFill="1" applyAlignment="1">
      <alignment vertical="top"/>
    </xf>
    <xf numFmtId="0" fontId="20" fillId="12" borderId="0" xfId="6" applyFont="1" applyAlignment="1">
      <alignment vertical="top"/>
    </xf>
    <xf numFmtId="0" fontId="0" fillId="18" borderId="0" xfId="0" applyFill="1"/>
    <xf numFmtId="0" fontId="42" fillId="18" borderId="0" xfId="0" applyFont="1" applyFill="1"/>
    <xf numFmtId="165" fontId="0" fillId="0" borderId="0" xfId="1" applyNumberFormat="1" applyFont="1"/>
    <xf numFmtId="0" fontId="43" fillId="24" borderId="0" xfId="0" applyFont="1" applyFill="1"/>
    <xf numFmtId="0" fontId="0" fillId="0" borderId="0" xfId="0" pivotButton="1"/>
    <xf numFmtId="0" fontId="0" fillId="0" borderId="0" xfId="0" applyAlignment="1">
      <alignment horizontal="left"/>
    </xf>
    <xf numFmtId="0" fontId="27" fillId="0" borderId="0" xfId="0" applyFont="1" applyAlignment="1">
      <alignment horizontal="right"/>
    </xf>
    <xf numFmtId="0" fontId="4" fillId="0" borderId="0" xfId="10" applyFont="1" applyAlignment="1">
      <alignment horizontal="center" vertical="center" wrapText="1"/>
    </xf>
    <xf numFmtId="166" fontId="32" fillId="18" borderId="0" xfId="10" applyNumberFormat="1" applyFont="1" applyFill="1" applyAlignment="1">
      <alignment horizontal="right" vertical="center"/>
    </xf>
    <xf numFmtId="166" fontId="16" fillId="18" borderId="0" xfId="10" applyNumberFormat="1" applyFont="1" applyFill="1" applyAlignment="1">
      <alignment horizontal="center" vertical="center"/>
    </xf>
    <xf numFmtId="0" fontId="11" fillId="10" borderId="0" xfId="10" applyFont="1" applyFill="1">
      <alignment vertical="top" wrapText="1"/>
    </xf>
    <xf numFmtId="0" fontId="11" fillId="2" borderId="0" xfId="10" applyFont="1" applyFill="1">
      <alignment vertical="top" wrapText="1"/>
    </xf>
    <xf numFmtId="0" fontId="11" fillId="23" borderId="0" xfId="10" applyFont="1" applyFill="1">
      <alignment vertical="top" wrapText="1"/>
    </xf>
    <xf numFmtId="0" fontId="4" fillId="0" borderId="0" xfId="3" applyFont="1" applyAlignment="1">
      <alignment vertical="top"/>
    </xf>
    <xf numFmtId="165" fontId="0" fillId="25" borderId="0" xfId="1" applyNumberFormat="1" applyFont="1" applyFill="1"/>
    <xf numFmtId="14" fontId="43" fillId="24" borderId="0" xfId="0" applyNumberFormat="1" applyFont="1" applyFill="1"/>
    <xf numFmtId="14" fontId="42" fillId="18" borderId="0" xfId="0" applyNumberFormat="1" applyFont="1" applyFill="1"/>
    <xf numFmtId="0" fontId="45" fillId="24" borderId="0" xfId="0" applyFont="1" applyFill="1"/>
    <xf numFmtId="0" fontId="44" fillId="19" borderId="1" xfId="11"/>
    <xf numFmtId="165" fontId="36" fillId="22" borderId="0" xfId="1" applyNumberFormat="1" applyFont="1" applyFill="1"/>
    <xf numFmtId="165" fontId="27" fillId="20" borderId="0" xfId="1" applyNumberFormat="1" applyFont="1" applyFill="1"/>
    <xf numFmtId="165" fontId="36" fillId="26" borderId="0" xfId="1" applyNumberFormat="1" applyFont="1" applyFill="1"/>
    <xf numFmtId="165" fontId="27" fillId="27" borderId="0" xfId="1" applyNumberFormat="1" applyFont="1" applyFill="1"/>
    <xf numFmtId="165" fontId="36" fillId="28" borderId="0" xfId="1" applyNumberFormat="1" applyFont="1" applyFill="1"/>
    <xf numFmtId="165" fontId="0" fillId="29" borderId="0" xfId="1" applyNumberFormat="1" applyFont="1" applyFill="1"/>
    <xf numFmtId="0" fontId="1" fillId="0" borderId="0" xfId="3" applyFont="1">
      <alignment vertical="top" wrapText="1"/>
    </xf>
    <xf numFmtId="0" fontId="0" fillId="0" borderId="0" xfId="0" applyAlignment="1"/>
    <xf numFmtId="165" fontId="0" fillId="0" borderId="7" xfId="1" applyNumberFormat="1" applyFont="1" applyFill="1" applyBorder="1"/>
    <xf numFmtId="165" fontId="0" fillId="0" borderId="8" xfId="1" applyNumberFormat="1" applyFont="1" applyFill="1" applyBorder="1"/>
    <xf numFmtId="165" fontId="0" fillId="0" borderId="9" xfId="1" applyNumberFormat="1" applyFont="1" applyFill="1" applyBorder="1"/>
    <xf numFmtId="0" fontId="11" fillId="0" borderId="0" xfId="3" applyFont="1" applyFill="1" applyAlignment="1">
      <alignment vertical="top" wrapText="1"/>
    </xf>
    <xf numFmtId="0" fontId="46" fillId="0" borderId="0" xfId="3" applyFont="1" applyAlignment="1">
      <alignment vertical="top"/>
    </xf>
    <xf numFmtId="0" fontId="47" fillId="0" borderId="0" xfId="3" applyFont="1" applyFill="1" applyAlignment="1">
      <alignment vertical="top"/>
    </xf>
    <xf numFmtId="14" fontId="47" fillId="0" borderId="0" xfId="3" applyNumberFormat="1" applyFont="1" applyFill="1" applyAlignment="1">
      <alignment vertical="top"/>
    </xf>
    <xf numFmtId="165" fontId="47" fillId="0" borderId="0" xfId="1" applyNumberFormat="1" applyFont="1" applyFill="1" applyAlignment="1">
      <alignment vertical="top"/>
    </xf>
    <xf numFmtId="0" fontId="11" fillId="0" borderId="0" xfId="3" applyNumberFormat="1" applyFont="1" applyFill="1" applyAlignment="1">
      <alignment vertical="top"/>
    </xf>
    <xf numFmtId="0" fontId="40" fillId="0" borderId="0" xfId="3" applyFont="1" applyFill="1" applyAlignment="1">
      <alignment vertical="top"/>
    </xf>
    <xf numFmtId="0" fontId="46" fillId="0" borderId="0" xfId="3" applyFont="1">
      <alignment vertical="top" wrapText="1"/>
    </xf>
    <xf numFmtId="14" fontId="46" fillId="0" borderId="0" xfId="3" applyNumberFormat="1" applyFont="1">
      <alignment vertical="top" wrapText="1"/>
    </xf>
    <xf numFmtId="0" fontId="48" fillId="0" borderId="0" xfId="3" applyFont="1" applyAlignment="1">
      <alignment vertical="top"/>
    </xf>
    <xf numFmtId="165" fontId="46" fillId="0" borderId="0" xfId="1" applyNumberFormat="1" applyFont="1" applyAlignment="1">
      <alignment vertical="top" wrapText="1"/>
    </xf>
    <xf numFmtId="43" fontId="49" fillId="0" borderId="0" xfId="1" applyFont="1" applyAlignment="1">
      <alignment vertical="top" wrapText="1"/>
    </xf>
    <xf numFmtId="165" fontId="46" fillId="0" borderId="0" xfId="3" applyNumberFormat="1" applyFont="1">
      <alignment vertical="top" wrapText="1"/>
    </xf>
    <xf numFmtId="0" fontId="46" fillId="0" borderId="0" xfId="3" applyFont="1" applyFill="1">
      <alignment vertical="top" wrapText="1"/>
    </xf>
    <xf numFmtId="0" fontId="46" fillId="0" borderId="0" xfId="3" applyNumberFormat="1" applyFont="1" applyFill="1">
      <alignment vertical="top" wrapText="1"/>
    </xf>
    <xf numFmtId="165" fontId="46" fillId="0" borderId="0" xfId="1" applyNumberFormat="1" applyFont="1" applyFill="1" applyAlignment="1">
      <alignment vertical="top" wrapText="1"/>
    </xf>
    <xf numFmtId="0" fontId="46" fillId="0" borderId="0" xfId="3" applyFont="1" applyFill="1" applyAlignment="1">
      <alignment vertical="top"/>
    </xf>
    <xf numFmtId="0" fontId="46" fillId="0" borderId="0" xfId="0" applyFont="1" applyFill="1"/>
    <xf numFmtId="9" fontId="46" fillId="0" borderId="0" xfId="1" applyNumberFormat="1" applyFont="1" applyFill="1" applyAlignment="1">
      <alignment vertical="top"/>
    </xf>
    <xf numFmtId="0" fontId="50" fillId="0" borderId="0" xfId="3" applyFont="1" applyFill="1">
      <alignment vertical="top" wrapText="1"/>
    </xf>
    <xf numFmtId="165" fontId="46" fillId="0" borderId="0" xfId="3" applyNumberFormat="1" applyFont="1" applyFill="1">
      <alignment vertical="top" wrapText="1"/>
    </xf>
    <xf numFmtId="9" fontId="46" fillId="0" borderId="0" xfId="3" applyNumberFormat="1" applyFont="1" applyFill="1" applyAlignment="1">
      <alignment vertical="top"/>
    </xf>
    <xf numFmtId="0" fontId="46" fillId="0" borderId="0" xfId="0" applyFont="1" applyFill="1" applyAlignment="1">
      <alignment vertical="top"/>
    </xf>
    <xf numFmtId="0" fontId="46" fillId="0" borderId="0" xfId="3" applyFont="1" applyFill="1" applyAlignment="1">
      <alignment vertical="top" wrapText="1"/>
    </xf>
    <xf numFmtId="0" fontId="46" fillId="0" borderId="0" xfId="3" applyNumberFormat="1" applyFont="1" applyFill="1" applyAlignment="1">
      <alignment vertical="top" wrapText="1"/>
    </xf>
    <xf numFmtId="0" fontId="46" fillId="0" borderId="0" xfId="3" applyNumberFormat="1" applyFont="1" applyFill="1" applyAlignment="1">
      <alignment vertical="top"/>
    </xf>
    <xf numFmtId="165" fontId="46" fillId="0" borderId="0" xfId="3" applyNumberFormat="1" applyFont="1" applyFill="1" applyAlignment="1">
      <alignment vertical="top" wrapText="1"/>
    </xf>
    <xf numFmtId="0" fontId="50" fillId="0" borderId="0" xfId="3" applyNumberFormat="1" applyFont="1" applyFill="1">
      <alignment vertical="top" wrapText="1"/>
    </xf>
    <xf numFmtId="14" fontId="46" fillId="0" borderId="0" xfId="3" applyNumberFormat="1" applyFont="1" applyFill="1" applyAlignment="1">
      <alignment vertical="top"/>
    </xf>
    <xf numFmtId="165" fontId="46" fillId="0" borderId="0" xfId="1" applyNumberFormat="1" applyFont="1" applyFill="1" applyAlignment="1">
      <alignment vertical="top"/>
    </xf>
    <xf numFmtId="165" fontId="46" fillId="0" borderId="0" xfId="1" applyNumberFormat="1" applyFont="1" applyFill="1"/>
    <xf numFmtId="0" fontId="51" fillId="0" borderId="0" xfId="3" applyFont="1" applyAlignment="1">
      <alignment vertical="top"/>
    </xf>
    <xf numFmtId="0" fontId="52" fillId="0" borderId="0" xfId="3" applyFont="1" applyAlignment="1">
      <alignment vertical="top"/>
    </xf>
    <xf numFmtId="0" fontId="46" fillId="0" borderId="0" xfId="10" applyFont="1" applyFill="1" applyAlignment="1">
      <alignment vertical="top"/>
    </xf>
    <xf numFmtId="0" fontId="51" fillId="0" borderId="0" xfId="3" applyNumberFormat="1" applyFont="1" applyFill="1" applyAlignment="1">
      <alignment vertical="top"/>
    </xf>
    <xf numFmtId="0" fontId="52" fillId="0" borderId="0" xfId="3" applyFont="1" applyFill="1" applyAlignment="1">
      <alignment vertical="top"/>
    </xf>
    <xf numFmtId="0" fontId="5" fillId="0" borderId="0" xfId="0" applyFont="1" applyAlignment="1">
      <alignment horizontal="left" vertical="top" wrapText="1"/>
    </xf>
    <xf numFmtId="0" fontId="18" fillId="0" borderId="2" xfId="3" applyFont="1" applyBorder="1" applyAlignment="1">
      <alignment horizontal="center" vertical="center" wrapText="1"/>
    </xf>
    <xf numFmtId="0" fontId="17" fillId="11" borderId="3" xfId="4" applyBorder="1" applyAlignment="1">
      <alignment horizontal="center" vertical="center"/>
    </xf>
    <xf numFmtId="0" fontId="17" fillId="11" borderId="4" xfId="4" applyBorder="1" applyAlignment="1">
      <alignment horizontal="center" vertical="center"/>
    </xf>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0" fontId="53" fillId="0" borderId="0" xfId="0"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xf numFmtId="169" fontId="53" fillId="0" borderId="0" xfId="0" applyNumberFormat="true" applyFont="true"/>
  </cellXfs>
  <cellStyles count="12">
    <cellStyle name="60 % - Accent4" xfId="6" builtinId="44"/>
    <cellStyle name="Calcul" xfId="11" builtinId="22"/>
    <cellStyle name="Calculation 2" xfId="9" xr:uid="{EFAB23CD-73B6-481C-81A6-6D6D0A911BE3}"/>
    <cellStyle name="Comma 2" xfId="8" xr:uid="{540C9664-470C-4E93-8E23-A90C606D92C5}"/>
    <cellStyle name="Entrée" xfId="4" builtinId="20"/>
    <cellStyle name="Milliers" xfId="1" builtinId="3"/>
    <cellStyle name="Monétaire" xfId="7" builtinId="4"/>
    <cellStyle name="Normal" xfId="0" builtinId="0"/>
    <cellStyle name="Normal 2" xfId="3" xr:uid="{C32E36C3-2E22-4586-9924-743E9FA4845C}"/>
    <cellStyle name="Normal 2 2" xfId="10" xr:uid="{6259E918-C06B-4403-8CD8-99B5DBFD018E}"/>
    <cellStyle name="Normal 56" xfId="5" xr:uid="{E2598540-429B-4977-8723-2D8699C069C6}"/>
    <cellStyle name="Texte explicatif" xfId="2" builtinId="53"/>
  </cellStyles>
  <dxfs count="797">
    <dxf>
      <numFmt numFmtId="1" formatCode="0"/>
    </dxf>
    <dxf>
      <fill>
        <patternFill patternType="solid">
          <fgColor rgb="FFD8D8D8"/>
          <bgColor rgb="FF000000"/>
        </patternFill>
      </fill>
    </dxf>
    <dxf>
      <font>
        <b/>
        <i val="0"/>
        <strike val="0"/>
        <condense val="0"/>
        <extend val="0"/>
        <outline val="0"/>
        <shadow val="0"/>
        <u val="none"/>
        <vertAlign val="baseline"/>
        <sz val="11"/>
        <color theme="1"/>
        <name val="Arial"/>
        <family val="2"/>
        <scheme val="minor"/>
      </font>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minor"/>
      </font>
      <alignment horizontal="general" vertical="bottom" textRotation="0" wrapText="1" indent="0" justifyLastLine="0" shrinkToFit="0" readingOrder="0"/>
    </dxf>
    <dxf>
      <font>
        <strike val="0"/>
        <outline val="0"/>
        <shadow val="0"/>
        <u val="none"/>
        <vertAlign val="baseline"/>
        <sz val="9"/>
        <color theme="1"/>
        <name val="Arial"/>
        <family val="2"/>
        <scheme val="minor"/>
      </font>
      <alignment horizontal="general" vertical="bottom" textRotation="0" wrapText="1" indent="0" justifyLastLine="0" shrinkToFit="0" readingOrder="0"/>
    </dxf>
    <dxf>
      <font>
        <strike val="0"/>
        <outline val="0"/>
        <shadow val="0"/>
        <u val="none"/>
        <vertAlign val="baseline"/>
        <sz val="9"/>
        <color theme="1"/>
        <name val="Arial"/>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3" formatCode="0%"/>
      <alignment horizontal="general" vertical="top" textRotation="0" wrapText="0" indent="0" justifyLastLine="0" shrinkToFit="0" readingOrder="0"/>
    </dxf>
    <dxf>
      <font>
        <b val="0"/>
        <i val="0"/>
        <strike val="0"/>
        <condense val="0"/>
        <extend val="0"/>
        <outline val="0"/>
        <shadow val="0"/>
        <u val="none"/>
        <vertAlign val="baseline"/>
        <sz val="9"/>
        <color theme="1"/>
        <name val="Calibri"/>
        <family val="2"/>
        <scheme val="none"/>
      </font>
      <numFmt numFmtId="13" formatCode="0%"/>
      <alignment horizontal="general" vertical="top" textRotation="0" wrapText="0"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fill>
        <patternFill patternType="none">
          <fgColor indexed="64"/>
          <bgColor indexed="65"/>
        </patternFill>
      </fill>
    </dxf>
    <dxf>
      <font>
        <b val="0"/>
        <i val="0"/>
        <strike val="0"/>
        <condense val="0"/>
        <extend val="0"/>
        <outline val="0"/>
        <shadow val="0"/>
        <u val="none"/>
        <vertAlign val="baseline"/>
        <sz val="9"/>
        <color theme="1"/>
        <name val="Calibri"/>
        <family val="2"/>
        <scheme val="none"/>
      </font>
      <fill>
        <patternFill patternType="none">
          <fgColor indexed="64"/>
          <bgColor indexed="65"/>
        </patternFill>
      </fill>
    </dxf>
    <dxf>
      <font>
        <b val="0"/>
        <i val="0"/>
        <strike val="0"/>
        <condense val="0"/>
        <extend val="0"/>
        <outline val="0"/>
        <shadow val="0"/>
        <u val="none"/>
        <vertAlign val="baseline"/>
        <sz val="9"/>
        <color theme="1"/>
        <name val="Calibri"/>
        <family val="2"/>
        <scheme val="none"/>
      </font>
      <fill>
        <patternFill patternType="none">
          <fgColor indexed="64"/>
          <bgColor indexed="65"/>
        </patternFill>
      </fill>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strike val="0"/>
        <outline val="0"/>
        <shadow val="0"/>
        <u val="none"/>
        <vertAlign val="baseline"/>
        <sz val="9"/>
        <color theme="1"/>
        <name val="Calibri"/>
        <family val="2"/>
        <scheme val="none"/>
      </font>
      <alignment horizontal="general" vertical="top" textRotation="0" wrapText="0" indent="0" justifyLastLine="0" shrinkToFit="0" readingOrder="0"/>
    </dxf>
    <dxf>
      <font>
        <b val="0"/>
        <i val="0"/>
        <strike val="0"/>
        <condense val="0"/>
        <extend val="0"/>
        <outline val="0"/>
        <shadow val="0"/>
        <u val="none"/>
        <vertAlign val="baseline"/>
        <sz val="9"/>
        <color theme="1"/>
        <name val="Calibri"/>
        <family val="2"/>
        <scheme val="none"/>
      </font>
      <alignment horizontal="general" vertical="top" textRotation="0" wrapText="0" indent="0" justifyLastLine="0" shrinkToFit="0" readingOrder="0"/>
    </dxf>
    <dxf>
      <font>
        <strike val="0"/>
        <outline val="0"/>
        <shadow val="0"/>
        <u val="none"/>
        <vertAlign val="baseline"/>
        <sz val="9"/>
        <color theme="1"/>
        <name val="Calibri"/>
        <family val="2"/>
        <scheme val="none"/>
      </font>
      <alignment horizontal="general" vertical="top" textRotation="0" wrapText="0"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b val="0"/>
        <i val="0"/>
        <strike val="0"/>
        <condense val="0"/>
        <extend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numFmt numFmtId="165" formatCode="_-* #,##0_-;\-* #,##0_-;_-* &quot;-&quot;??_-;_-@_-"/>
      <alignment horizontal="general" vertical="top" textRotation="0" wrapText="1" indent="0" justifyLastLine="0" shrinkToFit="0" readingOrder="0"/>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dxf>
    <dxf>
      <font>
        <strike val="0"/>
        <outline val="0"/>
        <shadow val="0"/>
        <u val="none"/>
        <vertAlign val="baseline"/>
        <sz val="9"/>
        <color theme="1"/>
        <name val="Calibri"/>
        <family val="2"/>
        <scheme val="none"/>
      </font>
      <numFmt numFmtId="165" formatCode="_-* #,##0_-;\-* #,##0_-;_-* &quot;-&quot;??_-;_-@_-"/>
    </dxf>
    <dxf>
      <font>
        <strike val="0"/>
        <outline val="0"/>
        <shadow val="0"/>
        <u val="none"/>
        <vertAlign val="baseline"/>
        <sz val="9"/>
        <color theme="1"/>
        <name val="Calibri"/>
        <family val="2"/>
        <scheme val="none"/>
      </font>
      <alignment horizontal="general" vertical="top" textRotation="0" wrapText="0" indent="0" justifyLastLine="0" shrinkToFit="0" readingOrder="0"/>
    </dxf>
    <dxf>
      <font>
        <strike val="0"/>
        <outline val="0"/>
        <shadow val="0"/>
        <u val="none"/>
        <vertAlign val="baseline"/>
        <sz val="9"/>
        <color theme="1"/>
        <name val="Calibri"/>
        <family val="2"/>
        <scheme val="none"/>
      </font>
    </dxf>
    <dxf>
      <font>
        <strike val="0"/>
        <outline val="0"/>
        <shadow val="0"/>
        <u val="none"/>
        <vertAlign val="baseline"/>
        <sz val="9"/>
        <color rgb="FF3C3C3C"/>
        <name val="Calibri"/>
        <family val="2"/>
        <scheme val="none"/>
      </font>
    </dxf>
    <dxf>
      <font>
        <strike val="0"/>
        <outline val="0"/>
        <shadow val="0"/>
        <u val="none"/>
        <vertAlign val="baseline"/>
        <sz val="9"/>
        <color theme="1"/>
        <name val="Calibri"/>
        <family val="2"/>
        <scheme val="none"/>
      </font>
      <alignment horizontal="general" vertical="top" textRotation="0" wrapText="1" indent="0" justifyLastLine="0" shrinkToFit="0" readingOrder="0"/>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strike val="0"/>
        <outline val="0"/>
        <shadow val="0"/>
        <u val="none"/>
        <vertAlign val="baseline"/>
        <sz val="8"/>
        <color rgb="FF3C3C3C"/>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3" formatCode="0%"/>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3" formatCode="0%"/>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8"/>
        <color theme="1"/>
        <name val="Verdana"/>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b val="0"/>
        <i val="0"/>
        <strike val="0"/>
        <condense val="0"/>
        <extend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0" formatCode="General"/>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dxf>
    <dxf>
      <font>
        <b val="0"/>
        <i val="0"/>
        <strike val="0"/>
        <condense val="0"/>
        <extend val="0"/>
        <outline val="0"/>
        <shadow val="0"/>
        <u val="none"/>
        <vertAlign val="baseline"/>
        <sz val="8"/>
        <color theme="1"/>
        <name val="Verdana"/>
        <family val="2"/>
        <scheme val="none"/>
      </font>
      <fill>
        <patternFill patternType="none">
          <fgColor indexed="64"/>
          <bgColor auto="1"/>
        </patternFill>
      </fill>
    </dxf>
    <dxf>
      <font>
        <strike val="0"/>
        <outline val="0"/>
        <shadow val="0"/>
        <u val="none"/>
        <vertAlign val="baseline"/>
        <sz val="8"/>
        <color theme="1"/>
        <name val="Verdana"/>
        <family val="2"/>
        <scheme val="none"/>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8"/>
        <color theme="1"/>
        <name val="Verdana"/>
        <family val="2"/>
        <scheme val="none"/>
      </font>
      <numFmt numFmtId="0" formatCode="General"/>
      <fill>
        <patternFill patternType="none">
          <fgColor indexed="64"/>
          <bgColor auto="1"/>
        </patternFill>
      </fill>
    </dxf>
    <dxf>
      <font>
        <strike val="0"/>
        <outline val="0"/>
        <shadow val="0"/>
        <u val="none"/>
        <vertAlign val="baseline"/>
        <sz val="8"/>
        <color rgb="FF3C3C3C"/>
        <name val="Verdana"/>
        <family val="2"/>
        <scheme val="none"/>
      </font>
    </dxf>
    <dxf>
      <font>
        <strike val="0"/>
        <outline val="0"/>
        <shadow val="0"/>
        <u val="none"/>
        <vertAlign val="baseline"/>
        <sz val="9"/>
        <color theme="1"/>
        <name val="Calibri"/>
        <family val="2"/>
        <scheme val="none"/>
      </font>
      <alignment horizontal="general" vertical="top" textRotation="0" wrapText="1" indent="0" justifyLastLine="0" shrinkToFit="0" readingOrder="0"/>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rgb="FF3C3C3C"/>
        <name val="Calibri"/>
        <family val="2"/>
        <scheme val="none"/>
      </font>
      <alignment textRotation="0" wrapText="0" indent="0" justifyLastLine="0" shrinkToFit="0" readingOrder="0"/>
    </dxf>
    <dxf>
      <font>
        <b val="0"/>
        <i val="0"/>
        <strike val="0"/>
        <condense val="0"/>
        <extend val="0"/>
        <outline val="0"/>
        <shadow val="0"/>
        <u val="none"/>
        <vertAlign val="baseline"/>
        <sz val="8"/>
        <color theme="1"/>
        <name val="Calibri"/>
        <family val="2"/>
        <scheme val="none"/>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numFmt numFmtId="165" formatCode="_-* #,##0_-;\-* #,##0_-;_-* &quot;-&quot;??_-;_-@_-"/>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19" formatCode="dd/mm/yyyy"/>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19" formatCode="dd/mm/yyyy"/>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strike val="0"/>
        <outline val="0"/>
        <shadow val="0"/>
        <u val="none"/>
        <vertAlign val="baseline"/>
        <sz val="8"/>
        <color theme="1"/>
        <name val="Verdana"/>
        <family val="2"/>
        <scheme val="none"/>
      </font>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8"/>
        <color theme="1"/>
        <name val="Verdana"/>
        <family val="2"/>
        <scheme val="none"/>
      </font>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8"/>
        <color theme="1"/>
        <name val="Verdana"/>
        <family val="2"/>
        <scheme val="none"/>
      </font>
      <fill>
        <patternFill patternType="none">
          <fgColor indexed="64"/>
          <bgColor auto="1"/>
        </patternFill>
      </fill>
      <alignment textRotation="0" wrapText="0" indent="0" justifyLastLine="0" shrinkToFit="0" readingOrder="0"/>
    </dxf>
    <dxf>
      <font>
        <strike val="0"/>
        <outline val="0"/>
        <shadow val="0"/>
        <u val="none"/>
        <vertAlign val="baseline"/>
        <sz val="8"/>
        <color rgb="FF3C3C3C"/>
        <name val="Calibri"/>
        <family val="2"/>
        <scheme val="none"/>
      </font>
      <alignment textRotation="0" wrapText="0" indent="0" justifyLastLine="0" shrinkToFit="0" readingOrder="0"/>
    </dxf>
    <dxf>
      <font>
        <strike val="0"/>
        <outline val="0"/>
        <shadow val="0"/>
        <u val="none"/>
        <vertAlign val="baseline"/>
        <sz val="9"/>
        <color theme="1"/>
        <name val="Calibri"/>
        <family val="2"/>
        <scheme val="none"/>
      </font>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fill>
        <patternFill patternType="none">
          <fgColor indexed="64"/>
          <bgColor indexed="65"/>
        </patternFill>
      </fill>
    </dxf>
    <dxf>
      <font>
        <b val="0"/>
        <i val="0"/>
        <strike val="0"/>
        <condense val="0"/>
        <extend val="0"/>
        <outline val="0"/>
        <shadow val="0"/>
        <u val="none"/>
        <vertAlign val="baseline"/>
        <sz val="8"/>
        <color theme="1"/>
        <name val="Verdana"/>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numFmt numFmtId="165" formatCode="_-* #,##0_-;\-* #,##0_-;_-* &quot;-&quot;??_-;_-@_-"/>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strike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13" formatCode="0%"/>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13" formatCode="0%"/>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strike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5" tint="-0.499984740745262"/>
        <name val="Verdana"/>
        <family val="2"/>
        <scheme val="none"/>
      </font>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165" formatCode="_-* #,##0_-;\-* #,##0_-;_-* &quot;-&quot;??_-;_-@_-"/>
      <alignment horizontal="general" vertical="top" textRotation="0" wrapText="1" indent="0" justifyLastLine="0" shrinkToFit="0" readingOrder="0"/>
    </dxf>
    <dxf>
      <font>
        <strike val="0"/>
        <outline val="0"/>
        <shadow val="0"/>
        <u val="none"/>
        <vertAlign val="baseline"/>
        <sz val="8"/>
        <color theme="1"/>
        <name val="Verdana"/>
        <family val="2"/>
        <scheme val="none"/>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0" formatCode="General"/>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alignment horizontal="general" vertical="top" textRotation="0" wrapText="1" indent="0" justifyLastLine="0" shrinkToFit="0" readingOrder="0"/>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alignment horizontal="general" vertical="top" textRotation="0" wrapText="1" indent="0" justifyLastLine="0" shrinkToFit="0" readingOrder="0"/>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165" formatCode="_-* #,##0_-;\-* #,##0_-;_-* &quot;-&quot;??_-;_-@_-"/>
    </dxf>
    <dxf>
      <font>
        <strike val="0"/>
        <outline val="0"/>
        <shadow val="0"/>
        <u val="none"/>
        <vertAlign val="baseline"/>
        <sz val="8"/>
        <color theme="1"/>
        <name val="Verdana"/>
        <family val="2"/>
        <scheme val="none"/>
      </font>
      <alignment horizontal="general" vertical="top" textRotation="0" wrapText="0" indent="0" justifyLastLine="0" shrinkToFit="0" readingOrder="0"/>
    </dxf>
    <dxf>
      <font>
        <strike val="0"/>
        <outline val="0"/>
        <shadow val="0"/>
        <u val="none"/>
        <vertAlign val="baseline"/>
        <sz val="8"/>
        <color theme="1"/>
        <name val="Verdana"/>
        <family val="2"/>
        <scheme val="none"/>
      </font>
      <numFmt numFmtId="19" formatCode="dd/mm/yyyy"/>
    </dxf>
    <dxf>
      <font>
        <b val="0"/>
        <i val="0"/>
        <strike val="0"/>
        <condense val="0"/>
        <extend val="0"/>
        <outline val="0"/>
        <shadow val="0"/>
        <u val="none"/>
        <vertAlign val="baseline"/>
        <sz val="8"/>
        <color theme="1"/>
        <name val="Verdana"/>
        <family val="2"/>
        <scheme val="none"/>
      </font>
      <numFmt numFmtId="19" formatCode="dd/mm/yyyy"/>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b val="0"/>
        <i val="0"/>
        <strike val="0"/>
        <condense val="0"/>
        <extend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8"/>
        <color theme="1"/>
        <name val="Verdana"/>
        <family val="2"/>
        <scheme val="none"/>
      </font>
    </dxf>
    <dxf>
      <font>
        <strike val="0"/>
        <outline val="0"/>
        <shadow val="0"/>
        <u val="none"/>
        <vertAlign val="baseline"/>
        <sz val="8"/>
        <color theme="1"/>
        <name val="Verdana"/>
        <family val="2"/>
        <scheme val="none"/>
      </font>
      <numFmt numFmtId="0" formatCode="General"/>
    </dxf>
    <dxf>
      <font>
        <strike val="0"/>
        <outline val="0"/>
        <shadow val="0"/>
        <u val="none"/>
        <vertAlign val="baseline"/>
        <sz val="8"/>
        <color theme="1"/>
        <name val="Verdana"/>
        <family val="2"/>
        <scheme val="none"/>
      </font>
      <numFmt numFmtId="0" formatCode="General"/>
      <alignment horizontal="general" vertical="top" textRotation="0" wrapText="0" indent="0" justifyLastLine="0" shrinkToFit="0" readingOrder="0"/>
    </dxf>
    <dxf>
      <font>
        <strike val="0"/>
        <outline val="0"/>
        <shadow val="0"/>
        <u val="none"/>
        <vertAlign val="baseline"/>
        <sz val="8"/>
        <color theme="1"/>
        <name val="Verdana"/>
        <family val="2"/>
        <scheme val="none"/>
      </font>
      <alignment horizontal="general" vertical="top" textRotation="0" wrapText="1" indent="0" justifyLastLine="0" shrinkToFit="0" readingOrder="0"/>
    </dxf>
    <dxf>
      <font>
        <strike val="0"/>
        <outline val="0"/>
        <shadow val="0"/>
        <u val="none"/>
        <vertAlign val="baseline"/>
        <sz val="8"/>
        <color theme="1"/>
        <name val="Verdana"/>
        <family val="2"/>
        <scheme val="none"/>
      </font>
      <alignment textRotation="0" wrapText="0" indent="0" justifyLastLine="0" shrinkToFit="0" readingOrder="0"/>
    </dxf>
    <dxf>
      <font>
        <strike val="0"/>
        <outline val="0"/>
        <shadow val="0"/>
        <u val="none"/>
        <vertAlign val="baseline"/>
        <sz val="8"/>
        <color theme="1"/>
        <name val="Verdana"/>
        <family val="2"/>
        <scheme val="none"/>
      </font>
    </dxf>
    <dxf>
      <font>
        <strike val="0"/>
        <outline val="0"/>
        <shadow val="0"/>
        <u val="none"/>
        <vertAlign val="baseline"/>
        <sz val="8"/>
        <color theme="1"/>
        <name val="Verdana"/>
        <family val="2"/>
        <scheme val="none"/>
      </font>
    </dxf>
    <dxf>
      <font>
        <strike val="0"/>
        <outline val="0"/>
        <shadow val="0"/>
        <u val="none"/>
        <vertAlign val="baseline"/>
        <sz val="9"/>
        <color theme="1"/>
        <name val="Calibri"/>
        <family val="2"/>
        <scheme val="none"/>
      </font>
      <alignment horizontal="general" vertical="top" textRotation="0" wrapText="1" indent="0" justifyLastLine="0" shrinkToFit="0" readingOrder="0"/>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
      <font>
        <b/>
        <i val="0"/>
        <color theme="6" tint="-0.499984740745262"/>
      </font>
      <numFmt numFmtId="165" formatCode="_-* #,##0_-;\-* #,##0_-;_-* &quot;-&quot;??_-;_-@_-"/>
      <border>
        <left style="hair">
          <color theme="6" tint="-0.499984740745262"/>
        </left>
        <right style="hair">
          <color theme="6" tint="-0.499984740745262"/>
        </right>
      </border>
    </dxf>
    <dxf>
      <numFmt numFmtId="166" formatCode="_-* #,##0_-;[Red]\-* #,##0_-;_-* &quot;-&quot;_-;_-@_-"/>
    </dxf>
    <dxf>
      <numFmt numFmtId="19" formatCode="dd/mm/yyyy"/>
    </dxf>
  </dxfs>
  <tableStyles count="1" defaultTableStyle="TableStyleMedium2" defaultPivotStyle="PivotStyleLight16">
    <tableStyle name="Invisible" pivot="0" table="0" count="0" xr9:uid="{051394D8-F4BB-44B5-AD60-15EA3D157E03}"/>
  </tableStyles>
  <colors>
    <mruColors>
      <color rgb="FFFDFDFD"/>
      <color rgb="FFFFB3B3"/>
      <color rgb="FFEE792B"/>
      <color rgb="FFFF99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externalLinks/externalLink1.xml" Type="http://schemas.openxmlformats.org/officeDocument/2006/relationships/externalLink"/><Relationship Id="rId15" Target="pivotCache/pivotCacheDefinition1.xml" Type="http://schemas.openxmlformats.org/officeDocument/2006/relationships/pivotCacheDefinition"/><Relationship Id="rId16" Target="theme/theme1.xml" Type="http://schemas.openxmlformats.org/officeDocument/2006/relationships/theme"/><Relationship Id="rId17" Target="connections.xml" Type="http://schemas.openxmlformats.org/officeDocument/2006/relationships/connections"/><Relationship Id="rId18" Target="styles.xml" Type="http://schemas.openxmlformats.org/officeDocument/2006/relationships/styles"/><Relationship Id="rId19" Target="sharedStrings.xml" Type="http://schemas.openxmlformats.org/officeDocument/2006/relationships/sharedStrings"/><Relationship Id="rId2" Target="worksheets/sheet2.xml" Type="http://schemas.openxmlformats.org/officeDocument/2006/relationships/worksheet"/><Relationship Id="rId20" Target="metadata.xml" Type="http://schemas.openxmlformats.org/officeDocument/2006/relationships/sheetMetadata"/><Relationship Id="rId21" Target="calcChain.xml" Type="http://schemas.openxmlformats.org/officeDocument/2006/relationships/calcChain"/><Relationship Id="rId22" Target="../customXml/item1.xml" Type="http://schemas.openxmlformats.org/officeDocument/2006/relationships/customXml"/><Relationship Id="rId23" Target="../customXml/item2.xml" Type="http://schemas.openxmlformats.org/officeDocument/2006/relationships/customXml"/><Relationship Id="rId24" Target="../customXml/item3.xml" Type="http://schemas.openxmlformats.org/officeDocument/2006/relationships/customXml"/><Relationship Id="rId25" Target="../customXml/item4.xml" Type="http://schemas.openxmlformats.org/officeDocument/2006/relationships/customXml"/><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externalLinks/_rels/externalLink1.xml.rels><?xml version="1.0" encoding="UTF-8" standalone="yes"?><Relationships xmlns="http://schemas.openxmlformats.org/package/2006/relationships"><Relationship Id="rId1" Target="https://ingenicogroup.sharepoint.com/sites/Budget2022254/Shared%20Documents/General/Acceptance%20Budget%202022%20-%20Live%20version.xlsx"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PRB"/>
      <sheetName val="Teams"/>
      <sheetName val="Extra Demand in €"/>
      <sheetName val="CapacityPlanning"/>
      <sheetName val="Demand MD"/>
      <sheetName val="Data"/>
      <sheetName val="1Pager"/>
      <sheetName val="1Pager by team"/>
      <sheetName val="1Pager by Owner"/>
      <sheetName val="Dashboard"/>
      <sheetName val="DataQuality"/>
      <sheetName val="GSV Report"/>
      <sheetName val="by cat"/>
      <sheetName val="Tab 1"/>
      <sheetName val="RB Report"/>
      <sheetName val="Temp_2_DEL"/>
      <sheetName val="Report Ramp-up 30.09.2021"/>
    </sheetNames>
    <sheetDataSet>
      <sheetData sheetId="0"/>
      <sheetData sheetId="1"/>
      <sheetData sheetId="2"/>
      <sheetData sheetId="3"/>
      <sheetData sheetId="4"/>
      <sheetData sheetId="5"/>
      <sheetData sheetId="6">
        <row r="2">
          <cell r="AA2" t="str">
            <v>Business Project (new product/feature)</v>
          </cell>
          <cell r="AC2" t="str">
            <v>Run</v>
          </cell>
          <cell r="AE2" t="str">
            <v>RD-Product Solution Investments</v>
          </cell>
          <cell r="AG2" t="str">
            <v>WL - BEL</v>
          </cell>
          <cell r="AI2" t="str">
            <v>C - 100%</v>
          </cell>
          <cell r="AK2" t="str">
            <v>O - 00%</v>
          </cell>
          <cell r="AM2" t="str">
            <v>NE</v>
          </cell>
        </row>
        <row r="3">
          <cell r="AA3" t="str">
            <v>Customer Request (arrow)</v>
          </cell>
          <cell r="AC3" t="str">
            <v>United</v>
          </cell>
          <cell r="AE3" t="str">
            <v>RD-Product Efficiency and Tooling</v>
          </cell>
          <cell r="AG3" t="str">
            <v>WL - FRA</v>
          </cell>
          <cell r="AI3" t="str">
            <v>C - 90%</v>
          </cell>
          <cell r="AK3" t="str">
            <v>O - 10%</v>
          </cell>
          <cell r="AM3" t="str">
            <v>E</v>
          </cell>
        </row>
        <row r="4">
          <cell r="AA4" t="str">
            <v>Compliance &amp; Regulatory</v>
          </cell>
          <cell r="AC4" t="str">
            <v>Marco Polo</v>
          </cell>
          <cell r="AE4" t="str">
            <v>RD-Product Mandatory and Regulation</v>
          </cell>
          <cell r="AG4" t="str">
            <v>WL - GER</v>
          </cell>
          <cell r="AI4" t="str">
            <v>C - 80%</v>
          </cell>
          <cell r="AK4" t="str">
            <v>O - 20%</v>
          </cell>
          <cell r="AM4" t="str">
            <v>N</v>
          </cell>
        </row>
        <row r="5">
          <cell r="AA5" t="str">
            <v>Maintenance &amp; Small enhancements</v>
          </cell>
          <cell r="AC5" t="str">
            <v>Single Project</v>
          </cell>
          <cell r="AE5" t="str">
            <v>RD-Product Solution Maintenance</v>
          </cell>
          <cell r="AG5" t="str">
            <v>WL - NLD</v>
          </cell>
          <cell r="AI5" t="str">
            <v>C - 70%</v>
          </cell>
          <cell r="AK5" t="str">
            <v>O - 30%</v>
          </cell>
          <cell r="AM5" t="str">
            <v>NA</v>
          </cell>
        </row>
        <row r="6">
          <cell r="AA6" t="str">
            <v>Envelope</v>
          </cell>
          <cell r="AC6" t="str">
            <v>Not Acceptance</v>
          </cell>
          <cell r="AE6" t="str">
            <v>RD-Product Migration</v>
          </cell>
          <cell r="AG6" t="str">
            <v>WL - LUX</v>
          </cell>
          <cell r="AI6" t="str">
            <v>C - 60%</v>
          </cell>
          <cell r="AK6" t="str">
            <v>O - 40%</v>
          </cell>
        </row>
        <row r="7">
          <cell r="AA7" t="str">
            <v>Technical</v>
          </cell>
          <cell r="AE7" t="str">
            <v>INTP-Internal Efficiency and Tooling</v>
          </cell>
          <cell r="AG7" t="str">
            <v>WL - UK</v>
          </cell>
          <cell r="AI7" t="str">
            <v>C - 50%</v>
          </cell>
          <cell r="AK7" t="str">
            <v>O - 50%</v>
          </cell>
        </row>
        <row r="8">
          <cell r="AA8" t="str">
            <v>Other (non product project)</v>
          </cell>
          <cell r="AE8" t="str">
            <v>INTP-Regulatory and Mandatory</v>
          </cell>
          <cell r="AG8" t="str">
            <v>WL - AUS</v>
          </cell>
          <cell r="AI8" t="str">
            <v>C - 40%</v>
          </cell>
          <cell r="AK8" t="str">
            <v>O - 60%</v>
          </cell>
        </row>
        <row r="9">
          <cell r="AE9" t="str">
            <v>PROD-Customer Projects</v>
          </cell>
          <cell r="AG9" t="str">
            <v>WL - BRA</v>
          </cell>
          <cell r="AI9" t="str">
            <v>C - 30%</v>
          </cell>
          <cell r="AK9" t="str">
            <v>O - 70%</v>
          </cell>
        </row>
        <row r="10">
          <cell r="AE10" t="str">
            <v>Run</v>
          </cell>
          <cell r="AG10" t="str">
            <v>WL - SWE</v>
          </cell>
          <cell r="AI10" t="str">
            <v>C - 20%</v>
          </cell>
          <cell r="AK10" t="str">
            <v>O - 80%</v>
          </cell>
        </row>
        <row r="11">
          <cell r="AG11" t="str">
            <v>SPS - CHE</v>
          </cell>
          <cell r="AI11" t="str">
            <v>C - 10%</v>
          </cell>
          <cell r="AK11" t="str">
            <v>O - 90%</v>
          </cell>
        </row>
        <row r="12">
          <cell r="AG12" t="str">
            <v>SPS - GER</v>
          </cell>
          <cell r="AI12" t="str">
            <v>C - 00%</v>
          </cell>
          <cell r="AK12" t="str">
            <v>O - 100%</v>
          </cell>
        </row>
        <row r="13">
          <cell r="AG13" t="str">
            <v>SPS - AUT</v>
          </cell>
        </row>
        <row r="14">
          <cell r="AG14" t="str">
            <v>SPS - LUX</v>
          </cell>
        </row>
        <row r="15">
          <cell r="AG15" t="str">
            <v>SPS - POL</v>
          </cell>
        </row>
        <row r="16">
          <cell r="AG16" t="str">
            <v>WLOC - BEL</v>
          </cell>
        </row>
        <row r="17">
          <cell r="AG17" t="str">
            <v>Saferpay - CHE</v>
          </cell>
        </row>
        <row r="18">
          <cell r="AG18" t="str">
            <v>SIPS - FRA</v>
          </cell>
        </row>
        <row r="19">
          <cell r="AG19" t="str">
            <v>BOL - SWE</v>
          </cell>
        </row>
        <row r="20">
          <cell r="AG20" t="str">
            <v>Beanstream Roam - NAR</v>
          </cell>
        </row>
        <row r="21">
          <cell r="AG21" t="str">
            <v>IPP - AUS</v>
          </cell>
        </row>
        <row r="22">
          <cell r="AG22" t="str">
            <v>PayOne - GER</v>
          </cell>
        </row>
        <row r="23">
          <cell r="AG23" t="str">
            <v>PayUnity - GER</v>
          </cell>
        </row>
        <row r="24">
          <cell r="AG24" t="str">
            <v>CardLink - GRC</v>
          </cell>
        </row>
        <row r="25">
          <cell r="AG25" t="str">
            <v>Sub1 - ARG</v>
          </cell>
        </row>
        <row r="26">
          <cell r="AG26" t="str">
            <v>GoPay - CZE</v>
          </cell>
        </row>
        <row r="27">
          <cell r="AG27" t="str">
            <v>Axis - FRA</v>
          </cell>
        </row>
        <row r="28">
          <cell r="AG28" t="str">
            <v>SACC - FRA</v>
          </cell>
        </row>
        <row r="29">
          <cell r="AG29" t="str">
            <v>India TP - IND</v>
          </cell>
        </row>
        <row r="30">
          <cell r="AG30" t="str">
            <v>Axxepta - ITA</v>
          </cell>
        </row>
        <row r="31">
          <cell r="AG31" t="str">
            <v>Global Collect - NLD</v>
          </cell>
        </row>
        <row r="32">
          <cell r="AG32" t="str">
            <v>Connexflow - SPA</v>
          </cell>
        </row>
        <row r="33">
          <cell r="AG33" t="str">
            <v>CSACT - SPA</v>
          </cell>
        </row>
        <row r="34">
          <cell r="AG34" t="str">
            <v>BB Samport - SWE</v>
          </cell>
        </row>
        <row r="35">
          <cell r="AG35" t="str">
            <v>DevCode - SWE</v>
          </cell>
        </row>
        <row r="36">
          <cell r="AG36" t="str">
            <v>OCH - SWE</v>
          </cell>
        </row>
        <row r="37">
          <cell r="AG37" t="str">
            <v>WOPA - SWE</v>
          </cell>
        </row>
        <row r="38">
          <cell r="AG38" t="str">
            <v>Shared Services - All</v>
          </cell>
        </row>
        <row r="39">
          <cell r="AG39" t="str">
            <v>PSQ - NLD</v>
          </cell>
        </row>
        <row r="40">
          <cell r="AG40" t="str">
            <v>PSQ - GER</v>
          </cell>
        </row>
        <row r="41">
          <cell r="AG41" t="str">
            <v>PSQ - POL</v>
          </cell>
        </row>
        <row r="42">
          <cell r="AG42" t="str">
            <v>Cataps</v>
          </cell>
        </row>
        <row r="43">
          <cell r="AG43" t="str">
            <v>Non MS</v>
          </cell>
        </row>
        <row r="44">
          <cell r="AG44" t="str">
            <v>GTM FI</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pivotCache/_rels/pivotCacheDefinition1.xml.rels><?xml version="1.0" encoding="UTF-8" standalone="yes"?><Relationships xmlns="http://schemas.openxmlformats.org/package/2006/relationships"><Relationship Id="rId1" Target="pivotCacheRecords1.xml" Type="http://schemas.openxmlformats.org/officeDocument/2006/relationships/pivotCacheRecords"/></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ivier CHOQUET" refreshedDate="44456.466183912038" createdVersion="6" refreshedVersion="6" minRefreshableVersion="3" recordCount="1473" xr:uid="{7C529F01-4E9A-4C25-9E48-A7070798DABE}">
  <cacheSource type="worksheet">
    <worksheetSource ref="A1:Y1474" sheet="XLDEMAND"/>
  </cacheSource>
  <cacheFields count="25">
    <cacheField name="IPRB" numFmtId="0">
      <sharedItems/>
    </cacheField>
    <cacheField name="IPRB # (auto)" numFmtId="0">
      <sharedItems count="396">
        <s v="ACC - 0236"/>
        <s v="ACC - 0217"/>
        <s v="ACC - 0218"/>
        <s v="ACC - 0237"/>
        <s v="IN20-608"/>
        <s v="BAU-ACC - 0042"/>
        <s v="UNI21-B06-01C"/>
        <s v="UNI21-B02-02A"/>
        <s v="IN20-16-EF"/>
        <s v="ACC - 0146"/>
        <s v="IN20-607"/>
        <s v="ACC - 0034"/>
        <s v="IN21-05-EF"/>
        <s v="UNI21-B02-02B"/>
        <s v="IN21-03-RY"/>
        <s v="ACC - 0001"/>
        <s v="ACC - 0068"/>
        <s v="ACC - 0062"/>
        <s v="IN21-131"/>
        <s v="ACC - 0194"/>
        <s v="ACC - 0053"/>
        <s v="ACC - 0113"/>
        <s v="ACC - 0012"/>
        <s v="ACC - 0188"/>
        <s v="ACC - 0002"/>
        <s v="ACC - 0005"/>
        <s v="ACC - 0109"/>
        <s v="ACC - 0016"/>
        <s v="ACC - 0240"/>
        <s v="IN21-06-EF"/>
        <s v="CAQ - 0070"/>
        <s v="ACC - 0014"/>
        <s v="ACC - 0015"/>
        <s v="ACC - 0070"/>
        <s v="ACC - 0258"/>
        <s v="BAU-ACC - 0069"/>
        <s v="UNI21-B02-04C"/>
        <s v="ACC - 0106"/>
        <s v="ACC - 0139"/>
        <s v="XXX1"/>
        <s v="ACC - 0128"/>
        <s v="ACC - 0131"/>
        <s v="ACC - 0134"/>
        <s v="ACC - 0135"/>
        <s v="ACC - 0241"/>
        <s v="ACC - 0133"/>
        <s v="ACC - 0129"/>
        <s v="ACC - 0209"/>
        <s v="ACC - 0210"/>
        <s v="ACC - 0211"/>
        <s v="ACC - 0130"/>
        <s v="ACC - 0132"/>
        <s v="ACC - 0187"/>
        <s v="ACC - 0186"/>
        <s v="BAU-ACC - 0068"/>
        <s v="ACC - 0095"/>
        <s v="ACC - 0156"/>
        <s v="ACC - 0136"/>
        <s v="ACC - 0097"/>
        <s v="ACC - 0024"/>
        <s v="ACC - 0094"/>
        <s v="ACC - 0137"/>
        <s v="ACC - 0155"/>
        <s v="ACC - 0096"/>
        <s v="ACC - 0140"/>
        <s v="ACC - 0175"/>
        <s v="ACC - 0057"/>
        <s v="ACC - 0153"/>
        <s v="ACC - 0191"/>
        <s v="ACC - 0126"/>
        <s v="ACC - 0058"/>
        <s v="ACC - 0026"/>
        <s v="IN21-13-EF"/>
        <s v="CAQ - 0053"/>
        <s v="ACC - 0013"/>
        <s v="ACC - 0221"/>
        <s v="ACC - 0223"/>
        <s v="ACC - 0222"/>
        <s v="ACC - 0030"/>
        <s v="IN20-609"/>
        <s v="IN20-202"/>
        <s v="ACC - 0243"/>
        <s v="DIG - 0016"/>
        <s v="UNI21-B07-01A"/>
        <s v="MS21-639"/>
        <s v="MS21-109"/>
        <s v="IN21-56-RY"/>
        <s v="PA-1640"/>
        <s v="PA-1642"/>
        <s v="ACC - 0143"/>
        <s v="IN21-616"/>
        <s v="ACC - 0078"/>
        <s v="ACC - 0141"/>
        <s v="BAU-ACC - 0045"/>
        <s v="ACC - 0174"/>
        <s v="UNI21-B02-03C"/>
        <s v="IN20-610"/>
        <s v="ACC - 0032"/>
        <s v="IN21-09"/>
        <s v="IN20-82"/>
        <s v="IN21-11-EF"/>
        <s v="ACC - 0145"/>
        <s v="UNI21-B06-01B"/>
        <s v="IN21-14-EF"/>
        <s v="ACC - 0028"/>
        <s v="ACC - 0033"/>
        <s v="IN20-605"/>
        <s v="MS21-362"/>
        <s v="ACC - 0233"/>
        <s v="ACC - 0193"/>
        <s v="ACC - 0021"/>
        <s v="UNI21-B02-03D"/>
        <s v="ACC - 0244"/>
        <s v="IN21-439"/>
        <s v="BAU-ACC - 0041"/>
        <s v="CAQ - 0072"/>
        <s v="CAQ - 0104"/>
        <s v="BAU-ACC - 0049"/>
        <s v="ACC - 0171"/>
        <s v="UNI21-B02-03E"/>
        <s v="ACC - 0104"/>
        <s v="IN21-07-EF"/>
        <s v="IN21-08-EF"/>
        <s v="ACC - 0006"/>
        <s v="ACC - 0114"/>
        <s v="ACC - 0161"/>
        <s v="BAU-ACC - 0043"/>
        <s v="IN21-440"/>
        <s v="IN21-03-EF"/>
        <s v="ACC - 0038"/>
        <s v="ACC - 0031"/>
        <s v="ACC - 0182"/>
        <s v="BAU-ACC - 0028"/>
        <s v="IN21-187-MN"/>
        <s v="ACC - 0007"/>
        <s v="ACC - 0087"/>
        <s v="ACC - 0089"/>
        <s v="ACC - 0088"/>
        <s v="ACC - 0009"/>
        <s v="BAU-ACC - 0029"/>
        <s v="ACC - 0099"/>
        <s v="IN21-310-MN"/>
        <s v="ACC - 0192"/>
        <s v="ACC - 0011"/>
        <s v="IN20-50"/>
        <s v="ACC - 0159"/>
        <s v="ACC - 0003"/>
        <s v="BAU-ACC - 0034"/>
        <s v="BAU-ACC - 0037"/>
        <s v="BAU-ACC - 0035"/>
        <s v="ACC - 0090"/>
        <s v="ACC - 0092"/>
        <s v="ACC - 0091"/>
        <s v="BAU-ACC - 0027"/>
        <s v="IN21-72"/>
        <s v="MS21-131-RY"/>
        <s v="ACC - 0107"/>
        <s v="UNI21-B02-03G"/>
        <s v="ACC - 0238"/>
        <s v="ACC - 0111"/>
        <s v="BAU-ACC - 0044"/>
        <s v="ACC - 0067"/>
        <s v="ACC - 0178"/>
        <s v="UNI21-B02-03H"/>
        <s v="BAU-ACC - 0071"/>
        <s v="ACC - 0122"/>
        <s v="ACC - 0025"/>
        <s v="ACC - 0022"/>
        <s v="ACC - 0121"/>
        <s v="ACC - 0181"/>
        <s v="ACC - 0176"/>
        <s v="ACC - 0198"/>
        <s v="ACC - 0023"/>
        <s v="ACC - 0158"/>
        <s v="ACC - 0120"/>
        <s v="ACC - 0242"/>
        <s v="CAQ - 0064"/>
        <s v="UNI21-B02-03I"/>
        <s v="IN21-34"/>
        <s v="ACC - 0103"/>
        <s v="IN21-43"/>
        <s v="ACC - 0020"/>
        <s v="ACC - 0195"/>
        <s v="ACC - 0048"/>
        <s v="IN21-01-RY"/>
        <s v="ACC - 0010"/>
        <s v="BAU-ACC - 0040"/>
        <s v="ACC - 0105"/>
        <s v="B21-CA-3"/>
        <s v="UNI-temp0913-03"/>
        <s v="UNI-temp0913-04"/>
        <s v="ACC - 0246"/>
        <s v="UNI-temp0913-01"/>
        <s v="UNI-temp0913-02"/>
        <s v="ACC - 0127"/>
        <s v="ACC - 0149"/>
        <s v="ACC - 0075"/>
        <s v="ACC - 0102"/>
        <s v="ACC - 0180"/>
        <s v="ACC - 0119"/>
        <s v="ACC - 0177"/>
        <s v="ACC - 0173"/>
        <s v="IN21-601"/>
        <s v="IN21-606"/>
        <s v="ACC - 0215"/>
        <s v="IN21-604"/>
        <s v="IN20-606"/>
        <s v="ACC - 0216"/>
        <s v="IN21-09-EF"/>
        <s v="IN21-608"/>
        <s v="IN21-607"/>
        <s v="IN21-02-RY"/>
        <s v="IN21-05"/>
        <s v="IN21-06"/>
        <s v="BAU-ACC - 0047"/>
        <s v="IN21-444"/>
        <s v="ACC - 0051"/>
        <s v="ACC - 0077"/>
        <s v="ACC - 0019"/>
        <s v="ACC - 0185"/>
        <s v="UNI21-F12-02A"/>
        <s v="IN21-602"/>
        <s v="IN21-04-RY"/>
        <s v="IN20-34-RY"/>
        <s v="ACC - 0150"/>
        <s v="BAU-ACC - 0031"/>
        <s v="IN21-372-MN"/>
        <s v="IN21-336"/>
        <s v="IN21-183"/>
        <s v="IN21-176-RY"/>
        <s v="XXX2"/>
        <s v="XXX3"/>
        <s v="XXX4"/>
        <s v="IN21-362"/>
        <s v="IN20-77"/>
        <s v="IN21-424"/>
        <s v="IN21-408"/>
        <s v="IN20-83"/>
        <s v="IN20-69"/>
        <s v="IN21-154"/>
        <s v="IN21-157"/>
        <s v="IN21-155"/>
        <s v="MS21-322"/>
        <s v="MS21-349"/>
        <s v="IN21-16"/>
        <s v="IN21-615"/>
        <s v="IN21-13"/>
        <s v="ACC - 0123"/>
        <s v="ACC - 0056"/>
        <s v="ACC - 0080"/>
        <s v="ACC - 0081"/>
        <s v="ACC - 0055"/>
        <s v="ACC - 0125"/>
        <s v="ACC - 0124"/>
        <s v="ACC - 0083"/>
        <s v="ACC - 0079"/>
        <s v="ACC - 0004"/>
        <s v="ACC - 0239"/>
        <s v="BAU-ACC - 0050"/>
        <s v="BAU-ACC - 0067"/>
        <s v="ACC - 0168"/>
        <s v="ACC - 0169"/>
        <s v="ACC - 0165"/>
        <s v="ACC - 0170"/>
        <s v="MS21-119"/>
        <s v="ACC - 0162"/>
        <s v="ACC - 0166"/>
        <s v="ACC - 0164"/>
        <s v="ACC - 0163"/>
        <s v="MS21-110"/>
        <s v="MS21-181"/>
        <s v="MS21-182-MN"/>
        <s v="ACC - 0167"/>
        <s v="ACC - 0160"/>
        <s v="ACC - 0189"/>
        <s v="ACC - 0008"/>
        <s v="ACC - 0047"/>
        <s v="ACC - 0037"/>
        <s v="IN21-612"/>
        <s v="ACC - 0052"/>
        <s v="ACC - 0235"/>
        <s v="UNI21-B02-03K"/>
        <s v="UNI21-B02-03L"/>
        <s v="ACC - 0085"/>
        <s v="ACC - 0059"/>
        <s v="ACC - 0066"/>
        <s v="ACC - 0073"/>
        <s v="ACC - 0118"/>
        <s v="IN20-14-EF"/>
        <s v="UNI21-B02-03M"/>
        <s v="UNI21-B02-03N"/>
        <s v="UNI21-B02-03O"/>
        <s v="ACC - 0115"/>
        <s v="IN21-414"/>
        <s v="BAU-ACC - 0038"/>
        <s v="ACC - 0100"/>
        <s v="ACC - 0151"/>
        <s v="ACC - 0196"/>
        <s v="PA-1616"/>
        <s v="IN21-58-EF"/>
        <s v="IN20-01-EF"/>
        <s v="IN20-38-RY"/>
        <s v="IN21-611"/>
        <s v="IN20-81"/>
        <s v="ACC - 0152"/>
        <s v="ACC - 0251"/>
        <s v="ACC - 0065"/>
        <s v="ACC - 0043"/>
        <s v="ACC - 0042"/>
        <s v="ACC - 0074"/>
        <s v="ACC - 0112"/>
        <s v="BAU-ACC - 0032"/>
        <s v="IN21-332"/>
        <s v="ACC - 0108"/>
        <s v="UNI21-B02-04B"/>
        <s v="ACC - 0060"/>
        <s v="ACC - 0226"/>
        <s v="ACC - 0225"/>
        <s v="ACC - 0183"/>
        <s v="ACC - 0234"/>
        <s v="ACC - 0247"/>
        <s v="UNI21-B02-01C"/>
        <s v="UNI21-B02-01B"/>
        <s v="ACC - 0064"/>
        <s v="ACC - 0138"/>
        <s v="ACC - 0098"/>
        <s v="ACC - 0157"/>
        <s v="ACC - 0172"/>
        <s v="ACC - 0154"/>
        <s v="IN21-609"/>
        <s v="IN21-443"/>
        <s v="ACC - 0179"/>
        <s v="ACC - 0093"/>
        <s v="ACC - 0116"/>
        <s v="ACC - 0110"/>
        <s v="ACC - 0117"/>
        <s v="XXX6"/>
        <s v="ACC - 0252"/>
        <s v="ACC - 0257"/>
        <s v="ACC - 0201"/>
        <s v="ACC - 0084"/>
        <s v="ACC - 0203"/>
        <s v="ACC - 0205"/>
        <s v="ACC - 0249"/>
        <s v="ACC - 0206"/>
        <s v="ACC - 0255"/>
        <s v="ACC - 0256"/>
        <s v="XXX7"/>
        <s v="ACC - 0254"/>
        <s v="ACC - 0207"/>
        <s v="ACC - 0202"/>
        <s v="ACC - 0204"/>
        <s v="ACC - 0061"/>
        <s v="BAU-ACC - 0046"/>
        <s v="ACC - 0076"/>
        <s v="ACC - 0190"/>
        <s v="ACC - 0248"/>
        <s v="BAU-ACC - 0022"/>
        <s v="BAU-ACC - 0023"/>
        <s v="BAU-ACC - 0024"/>
        <s v="BAU-ACC - 0025"/>
        <s v="BAU-ACC - 0026"/>
        <s v="BAU-ACC - 0019"/>
        <s v="BAU-ACC - 0017"/>
        <s v="BAU-ACC - 0058" u="1"/>
        <s v="BAU-ACC - 0060" u="1"/>
        <s v="BAU-ACC - 0066" u="1"/>
        <s v="IN20-06-EF" u="1"/>
        <s v="IN20-07-EF" u="1"/>
        <s v="NAC03" u="1"/>
        <s v="BAU-ACC - 0053" u="1"/>
        <s v="BAU-ACC - 0059" u="1"/>
        <s v="IPRB to create" u="1"/>
        <s v="BAU-ACC - 0061" u="1"/>
        <s v="IN21-348" u="1"/>
        <s v="BAU-ACC - 0003" u="1"/>
        <s v="NAC02" u="1"/>
        <s v="ACC - 0046" u="1"/>
        <s v="BAU-ACC - 0054" u="1"/>
        <s v="ACC - 0208" u="1"/>
        <s v="BAU-ACC - 0062" u="1"/>
        <s v="BAU-ACC - 0070" u="1"/>
        <s v="NAC01" u="1"/>
        <s v="BAU-ACC - 0055" u="1"/>
        <s v="BAU-ACC - 0063" u="1"/>
        <s v="BAU-ACC - 0005" u="1"/>
        <s v="BAU-ACC - 0048" u="1"/>
        <s v="BAU-ACC - 0056" u="1"/>
        <s v="TBD0911-02" u="1"/>
        <s v="BAU-ACC - 0064" u="1"/>
        <s v="ACC - 0228" u="1"/>
        <s v="BAU-ACC - 0051" u="1"/>
        <s v="BAU-ACC - 0057" u="1"/>
        <s v="BAU-ACC - 0065" u="1"/>
        <s v="BAU-ACC - 0036" u="1"/>
        <s v="BAU-ACC - 0052" u="1"/>
      </sharedItems>
    </cacheField>
    <cacheField name="Roadmap" numFmtId="0">
      <sharedItems containsBlank="1"/>
    </cacheField>
    <cacheField name="Details" numFmtId="0">
      <sharedItems containsBlank="1"/>
    </cacheField>
    <cacheField name="Team" numFmtId="0">
      <sharedItems containsBlank="1"/>
    </cacheField>
    <cacheField name="T-Shirt" numFmtId="0">
      <sharedItems containsBlank="1"/>
    </cacheField>
    <cacheField name="Size in MD (auto)" numFmtId="0">
      <sharedItems containsString="0" containsBlank="1" containsNumber="1" minValue="0" maxValue="3224"/>
    </cacheField>
    <cacheField name="Capture's type" numFmtId="0">
      <sharedItems/>
    </cacheField>
    <cacheField name="Good dispatch" numFmtId="0">
      <sharedItems containsMixedTypes="1" containsNumber="1" containsInteger="1" minValue="-30" maxValue="20"/>
    </cacheField>
    <cacheField name="Q1 MD" numFmtId="0">
      <sharedItems containsString="0" containsBlank="1" containsNumber="1" minValue="0" maxValue="806"/>
    </cacheField>
    <cacheField name="Q2 MD" numFmtId="0">
      <sharedItems containsString="0" containsBlank="1" containsNumber="1" minValue="0" maxValue="806"/>
    </cacheField>
    <cacheField name="Q3 MD" numFmtId="0">
      <sharedItems containsString="0" containsBlank="1" containsNumber="1" minValue="0" maxValue="1155"/>
    </cacheField>
    <cacheField name="Q4 MD" numFmtId="0">
      <sharedItems containsString="0" containsBlank="1" containsNumber="1" minValue="0" maxValue="1155"/>
    </cacheField>
    <cacheField name="Priority" numFmtId="0">
      <sharedItems containsBlank="1"/>
    </cacheField>
    <cacheField name="Demand for CapacityPlanning (auto)" numFmtId="0">
      <sharedItems containsMixedTypes="1" containsNumber="1" minValue="0" maxValue="3224"/>
    </cacheField>
    <cacheField name="Author" numFmtId="0">
      <sharedItems containsBlank="1"/>
    </cacheField>
    <cacheField name="Category" numFmtId="0">
      <sharedItems containsBlank="1"/>
    </cacheField>
    <cacheField name="GBD (auto)" numFmtId="0">
      <sharedItems containsBlank="1" containsMixedTypes="1" containsNumber="1" containsInteger="1" minValue="0" maxValue="0"/>
    </cacheField>
    <cacheField name="One pager" numFmtId="0">
      <sharedItems containsBlank="1"/>
    </cacheField>
    <cacheField name="Comment" numFmtId="0">
      <sharedItems containsBlank="1"/>
    </cacheField>
    <cacheField name="Cost k€ (auto)" numFmtId="0">
      <sharedItems containsSemiMixedTypes="0" containsString="0" containsNumber="1" minValue="0" maxValue="1637.4960000000001"/>
    </cacheField>
    <cacheField name="Included? (auto)" numFmtId="0">
      <sharedItems count="6">
        <s v="Yes!"/>
        <s v="No, Parking lot"/>
        <s v="No, bad Program"/>
        <s v="No, bad Team"/>
        <s v="No, bad Quarterly Dispatch"/>
        <s v="No, bad Priority" u="1"/>
      </sharedItems>
    </cacheField>
    <cacheField name="Supplier Group (auto)" numFmtId="0">
      <sharedItems containsMixedTypes="1" containsNumber="1" containsInteger="1" minValue="0" maxValue="0" count="28">
        <s v="WOPA"/>
        <s v="AXIS"/>
        <s v="OCH"/>
        <s v="FRSACOP"/>
        <s v="WLOC"/>
        <s v="GC"/>
        <s v="FS"/>
        <s v="IPP"/>
        <s v="G2M DC"/>
        <s v="India TP"/>
        <s v="Saferpay"/>
        <s v="BB Samport"/>
        <s v="BO BB"/>
        <s v="BOL"/>
        <n v="0"/>
        <s v="Bnstr/Roam"/>
        <s v="cCredit"/>
        <s v="SIPS"/>
        <s v="CSACT"/>
        <s v="Devcode"/>
        <s v="BO MCH"/>
        <s v="DS"/>
        <s v="Cnx"/>
        <s v="Sub1"/>
        <s v="ARM"/>
        <s v="CACQ"/>
        <s v="SPS"/>
        <s v="Payone"/>
      </sharedItems>
    </cacheField>
    <cacheField name="Program (auto)" numFmtId="0">
      <sharedItems containsMixedTypes="1" containsNumber="1" containsInteger="1" minValue="0" maxValue="0"/>
    </cacheField>
    <cacheField name="Dest (auto)"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3">
  <r>
    <s v="[Latam] Antifraud integration"/>
    <x v="0"/>
    <s v="[Latam] Antifraud integration"/>
    <s v="[Latam] Antifraud integration"/>
    <s v="WOPA Global"/>
    <s v="L"/>
    <n v="250"/>
    <s v="override"/>
    <s v="OK"/>
    <m/>
    <n v="110"/>
    <n v="110"/>
    <n v="30"/>
    <s v="P2"/>
    <n v="250"/>
    <s v="Paula Costa"/>
    <s v="Product"/>
    <s v="ONLINE"/>
    <s v="Make Data Talk"/>
    <m/>
    <n v="128.25"/>
    <x v="0"/>
    <x v="0"/>
    <s v="United"/>
    <s v="U&amp;MP"/>
  </r>
  <r>
    <s v="[Latam] Full Service in Brazil"/>
    <x v="1"/>
    <s v="[Latam] Full Service in Brazil"/>
    <s v="[Latam] Full Service in Brazil"/>
    <s v="WOPA Global"/>
    <s v="XXXL"/>
    <n v="700"/>
    <s v="override"/>
    <s v="OK"/>
    <n v="150"/>
    <n v="200"/>
    <n v="200"/>
    <n v="150"/>
    <s v="P1"/>
    <n v="700"/>
    <s v="Paula Costa"/>
    <s v="Product"/>
    <s v="ONLINE"/>
    <s v="Extend Geographical Footprint"/>
    <m/>
    <n v="359.1"/>
    <x v="0"/>
    <x v="0"/>
    <s v="Single Project"/>
    <s v="BAU"/>
  </r>
  <r>
    <s v="[Latam] Full Service in Mexico"/>
    <x v="2"/>
    <s v="[Latam] Full Service in Mexico"/>
    <s v="[Latam] Full Service in Mexico"/>
    <s v="WOPA Global"/>
    <s v="XXXL"/>
    <n v="700"/>
    <s v="override"/>
    <s v="OK"/>
    <n v="150"/>
    <n v="200"/>
    <n v="200"/>
    <n v="150"/>
    <s v="P5"/>
    <n v="700"/>
    <s v="Paula Costa"/>
    <s v="Product"/>
    <s v="ONLINE"/>
    <s v="Extend Geographical Footprint"/>
    <m/>
    <n v="359.1"/>
    <x v="1"/>
    <x v="0"/>
    <s v="Single Project"/>
    <s v="BAU"/>
  </r>
  <r>
    <s v="[Latam] Pix Enhancements and Pre-funding for CBR"/>
    <x v="3"/>
    <s v="[Latam] Pix Enhancements and Pre-funding for CBR"/>
    <s v="[Latam] Pix Enhancements and Pre-funding for CBR"/>
    <s v="WOPA Global"/>
    <m/>
    <n v="650"/>
    <s v="override"/>
    <s v="OK"/>
    <m/>
    <n v="250"/>
    <n v="250"/>
    <n v="150"/>
    <s v="P2"/>
    <n v="650"/>
    <s v="Paula Costa"/>
    <s v="Product"/>
    <s v="ONLINE"/>
    <s v="Get Basics Right"/>
    <m/>
    <n v="333.45"/>
    <x v="0"/>
    <x v="0"/>
    <s v="Single Project"/>
    <s v="BAU"/>
  </r>
  <r>
    <s v="Custom / Evolutions for Post Office"/>
    <x v="4"/>
    <s v="Bucket support + Bucket CRs PO 1/2 (basic)"/>
    <m/>
    <s v="AF6"/>
    <s v="XL"/>
    <n v="300"/>
    <s v="auto"/>
    <s v="OK"/>
    <n v="150"/>
    <n v="100"/>
    <n v="50"/>
    <m/>
    <s v="P1"/>
    <n v="300"/>
    <s v="Sylvain Marion"/>
    <s v="Product"/>
    <s v="IN_STORE"/>
    <s v="Support Customers' Projects"/>
    <m/>
    <n v="153.9"/>
    <x v="0"/>
    <x v="1"/>
    <n v="0"/>
    <s v="BAU"/>
  </r>
  <r>
    <s v="Maintenance"/>
    <x v="5"/>
    <s v="Maintenance Axis"/>
    <m/>
    <s v="AF6"/>
    <s v="XL"/>
    <n v="300"/>
    <s v="auto"/>
    <s v="OK"/>
    <n v="75"/>
    <n v="75"/>
    <n v="75"/>
    <n v="75"/>
    <s v="P1"/>
    <n v="300"/>
    <s v="Sylvain Marion"/>
    <s v="Maintenance &amp; Incidents"/>
    <s v="IN_STORE"/>
    <s v="Technical Leverage"/>
    <m/>
    <n v="153.9"/>
    <x v="0"/>
    <x v="1"/>
    <s v="Run"/>
    <s v="RUN"/>
  </r>
  <r>
    <s v="[UNITED SYNERGIES] DCC Hub"/>
    <x v="6"/>
    <m/>
    <s v="DCC Hub Fexco"/>
    <s v="Omn_Core"/>
    <s v="XL"/>
    <n v="60"/>
    <s v="override"/>
    <s v="OK"/>
    <n v="60"/>
    <m/>
    <m/>
    <m/>
    <s v="P1"/>
    <n v="60"/>
    <s v="Olivier Blerot"/>
    <s v="Synergies"/>
    <s v="OCH"/>
    <m/>
    <m/>
    <n v="30.78"/>
    <x v="0"/>
    <x v="2"/>
    <s v="United"/>
    <s v="U&amp;MP"/>
  </r>
  <r>
    <s v="[UNITED SYNERGIES] SACC Decomissionning"/>
    <x v="7"/>
    <s v="United – ISG1 - e-Portal"/>
    <m/>
    <s v="FRSACOP"/>
    <m/>
    <n v="150"/>
    <s v="override"/>
    <s v="OK"/>
    <n v="37.5"/>
    <n v="37.5"/>
    <n v="37.5"/>
    <n v="37.5"/>
    <s v="P1"/>
    <n v="150"/>
    <s v="Michael Amsellem"/>
    <m/>
    <s v="COO-PTM"/>
    <m/>
    <m/>
    <n v="73.5"/>
    <x v="0"/>
    <x v="3"/>
    <s v="United"/>
    <s v="U&amp;MP"/>
  </r>
  <r>
    <s v="[UNITED SYNERGIES] SACC Decomissionning"/>
    <x v="7"/>
    <s v="United – ISG4 Yomani on AXIS - Build "/>
    <m/>
    <s v="FRSACOP"/>
    <m/>
    <n v="250"/>
    <s v="override"/>
    <s v="OK"/>
    <n v="62.5"/>
    <n v="62.5"/>
    <n v="62.5"/>
    <n v="62.5"/>
    <s v="P1"/>
    <n v="250"/>
    <s v="Michael Amsellem"/>
    <m/>
    <s v="COO-PTM"/>
    <m/>
    <m/>
    <n v="122.5"/>
    <x v="0"/>
    <x v="3"/>
    <s v="United"/>
    <s v="U&amp;MP"/>
  </r>
  <r>
    <s v="[UNITED SYNERGIES] SACC Decomissionning"/>
    <x v="7"/>
    <s v="United – ISG4 Yomani on AXIS - Ops"/>
    <m/>
    <s v="FRSACOP"/>
    <m/>
    <m/>
    <s v="override"/>
    <s v="OK"/>
    <m/>
    <m/>
    <m/>
    <m/>
    <s v="P1"/>
    <n v="0"/>
    <s v="Michael Amsellem"/>
    <m/>
    <s v="COO-PTM"/>
    <m/>
    <m/>
    <n v="0"/>
    <x v="0"/>
    <x v="3"/>
    <s v="United"/>
    <s v="U&amp;MP"/>
  </r>
  <r>
    <s v="[UNITED SYNERGIES] SACC Decomissionning"/>
    <x v="7"/>
    <s v="United – ISG7 Yumi on SACC - Build"/>
    <m/>
    <s v="FRSACOP"/>
    <m/>
    <n v="175"/>
    <s v="override"/>
    <s v="OK"/>
    <n v="43.75"/>
    <n v="43.75"/>
    <n v="43.75"/>
    <n v="43.75"/>
    <s v="P1"/>
    <n v="175"/>
    <s v="Michael Amsellem"/>
    <m/>
    <s v="COO-PTM"/>
    <m/>
    <m/>
    <n v="85.75"/>
    <x v="0"/>
    <x v="3"/>
    <s v="United"/>
    <s v="U&amp;MP"/>
  </r>
  <r>
    <s v="[UNITED SYNERGIES] SACC Decomissionning"/>
    <x v="7"/>
    <s v="United – ISG7 Yumi on SACC - Ops"/>
    <m/>
    <s v="FRSACOP"/>
    <m/>
    <n v="0"/>
    <s v="auto"/>
    <s v="OK"/>
    <m/>
    <m/>
    <m/>
    <m/>
    <s v="P1"/>
    <n v="0"/>
    <s v="Michael Amsellem"/>
    <m/>
    <s v="COO-PTM"/>
    <m/>
    <m/>
    <n v="0"/>
    <x v="0"/>
    <x v="3"/>
    <s v="United"/>
    <s v="U&amp;MP"/>
  </r>
  <r>
    <s v="[UNITED SYNERGIES] SACC Decomissionning"/>
    <x v="7"/>
    <s v="United – ISG4’ Yumi on AXIS - Build"/>
    <m/>
    <s v="FRSACOP"/>
    <s v="L"/>
    <n v="200"/>
    <s v="auto"/>
    <s v="OK"/>
    <n v="50"/>
    <n v="50"/>
    <n v="50"/>
    <n v="50"/>
    <s v="P1"/>
    <n v="200"/>
    <s v="Michael Amsellem"/>
    <m/>
    <s v="COO-PTM"/>
    <m/>
    <m/>
    <n v="98"/>
    <x v="0"/>
    <x v="3"/>
    <s v="United"/>
    <s v="U&amp;MP"/>
  </r>
  <r>
    <s v="[UNITED SYNERGIES] SACC Decomissionning"/>
    <x v="7"/>
    <s v="United – ISG4’ Yumi on AXIS - Ops"/>
    <m/>
    <s v="FRSACOP"/>
    <m/>
    <m/>
    <s v="override"/>
    <s v="OK"/>
    <m/>
    <m/>
    <m/>
    <m/>
    <s v="P1"/>
    <n v="0"/>
    <s v="Michael Amsellem"/>
    <m/>
    <s v="COO-PTM"/>
    <m/>
    <m/>
    <n v="0"/>
    <x v="0"/>
    <x v="3"/>
    <s v="United"/>
    <s v="U&amp;MP"/>
  </r>
  <r>
    <s v="Conexflow migration"/>
    <x v="8"/>
    <s v="[Newrest] Flight mode (including Store &amp; Forward &amp; Maestro specificitifies)  (AXIN-1323) (AXIN-1652)"/>
    <m/>
    <s v="AF6"/>
    <s v="XL"/>
    <n v="250"/>
    <s v="override"/>
    <s v="OK"/>
    <n v="150"/>
    <n v="100"/>
    <m/>
    <m/>
    <s v="P1"/>
    <n v="250"/>
    <s v="Sylvain Marion"/>
    <s v="Product"/>
    <s v="IN_STORE"/>
    <s v="Get a Specific Approach per Vertical"/>
    <m/>
    <n v="128.25"/>
    <x v="0"/>
    <x v="1"/>
    <n v="0"/>
    <s v="BAU"/>
  </r>
  <r>
    <s v="Custom / Evolutions for Asda"/>
    <x v="9"/>
    <s v="Bucket support + Bucket CRs Asda 1/2 (basic)"/>
    <s v="ASDA / Lane3000 Migration from RAM to C3E, etc ..."/>
    <s v="AF6"/>
    <s v="L"/>
    <n v="200"/>
    <s v="auto"/>
    <s v="OK"/>
    <m/>
    <n v="50"/>
    <n v="100"/>
    <n v="50"/>
    <s v="P1"/>
    <n v="200"/>
    <s v="Sylvain Marion"/>
    <s v="Product"/>
    <s v="IN_STORE"/>
    <s v="Support Customers' Projects"/>
    <m/>
    <n v="102.6"/>
    <x v="0"/>
    <x v="1"/>
    <n v="0"/>
    <s v="BAU"/>
  </r>
  <r>
    <s v="Custom / Evolutions for M&amp;S"/>
    <x v="10"/>
    <s v="Bucket support + Bucket CRs M&amp;S"/>
    <m/>
    <s v="AF6"/>
    <s v="L"/>
    <n v="200"/>
    <s v="auto"/>
    <s v="OK"/>
    <n v="50"/>
    <n v="50"/>
    <n v="50"/>
    <n v="50"/>
    <s v="P1"/>
    <n v="200"/>
    <s v="Sylvain Marion"/>
    <s v="Product"/>
    <s v="IN_STORE"/>
    <s v="Support Customers' Projects"/>
    <m/>
    <n v="102.6"/>
    <x v="0"/>
    <x v="1"/>
    <n v="0"/>
    <s v="BAU"/>
  </r>
  <r>
    <s v="Roadmap / Purchasing Experience"/>
    <x v="11"/>
    <s v="Duplicate management evolution (new criteria &amp; UX display to reinject via e-Portal) (AXIN-1331)"/>
    <s v="APS/MAP"/>
    <s v="AF6"/>
    <s v="M"/>
    <n v="100"/>
    <s v="auto"/>
    <s v="OK"/>
    <n v="100"/>
    <m/>
    <m/>
    <m/>
    <s v="P1"/>
    <n v="100"/>
    <s v="Sylvain Marion"/>
    <s v="Product"/>
    <s v="IN_STORE"/>
    <s v="Simplify Experience"/>
    <m/>
    <n v="51.3"/>
    <x v="0"/>
    <x v="1"/>
    <n v="0"/>
    <s v="BAU"/>
  </r>
  <r>
    <s v="Technical &amp; Functional Debt"/>
    <x v="12"/>
    <s v="Robustness"/>
    <s v="Rework Axis payment application logs to allow easy access to production log for developers &amp; project manager"/>
    <s v="AF6"/>
    <s v="S"/>
    <n v="50"/>
    <s v="auto"/>
    <s v="OK"/>
    <n v="10"/>
    <n v="10"/>
    <n v="15"/>
    <n v="15"/>
    <s v="P1"/>
    <n v="50"/>
    <s v="Sebastien Letniowski"/>
    <m/>
    <s v="IN_STORE"/>
    <s v="Technical Leverage"/>
    <m/>
    <n v="25.65"/>
    <x v="0"/>
    <x v="1"/>
    <n v="0"/>
    <s v="BAU"/>
  </r>
  <r>
    <s v="Technical &amp; Functional Debt"/>
    <x v="12"/>
    <s v="Support to project launch (small technical / functionnal gaps identified during implementation)"/>
    <m/>
    <s v="AF6"/>
    <s v="S"/>
    <n v="50"/>
    <s v="auto"/>
    <s v="OK"/>
    <n v="10"/>
    <n v="10"/>
    <n v="10"/>
    <n v="20"/>
    <s v="P1"/>
    <n v="50"/>
    <s v="Sylvain Marion"/>
    <s v="Tech. Debt"/>
    <s v="IN_STORE"/>
    <s v="Support Customers' Projects"/>
    <m/>
    <n v="25.65"/>
    <x v="0"/>
    <x v="1"/>
    <n v="0"/>
    <s v="BAU"/>
  </r>
  <r>
    <s v="[UNITED SYNERGY] Mass Transit"/>
    <x v="13"/>
    <s v="[Transport] Mass Transit United Acceptance - VISA/MC/CB - Yoneo + Open + Link"/>
    <s v="Mass Transit United Acceptance for VISA/MC/CB"/>
    <s v="Acq Hub_1"/>
    <s v="XXL"/>
    <n v="450"/>
    <s v="override"/>
    <s v="OK"/>
    <n v="200"/>
    <n v="200"/>
    <n v="25"/>
    <n v="25"/>
    <s v="P1"/>
    <n v="450"/>
    <s v="Thierry Fortune"/>
    <s v="Synergies"/>
    <s v="OCH"/>
    <m/>
    <s v="To review with Sandhya &amp; Patrik"/>
    <n v="230.85"/>
    <x v="0"/>
    <x v="2"/>
    <s v="United"/>
    <s v="U&amp;MP"/>
  </r>
  <r>
    <s v="Regulation / 6 to 8 BIN Mgt"/>
    <x v="14"/>
    <s v="Extension BIN from 6 to 8"/>
    <s v="multiple applications"/>
    <s v="AF6"/>
    <s v="XS"/>
    <n v="20"/>
    <s v="auto"/>
    <s v="OK"/>
    <n v="6"/>
    <n v="6"/>
    <n v="6"/>
    <n v="2"/>
    <s v="P1"/>
    <n v="20"/>
    <s v="Sebastien Letniowski"/>
    <s v="Product"/>
    <s v="IN_STORE"/>
    <s v="Regulation"/>
    <m/>
    <n v="10.26"/>
    <x v="0"/>
    <x v="1"/>
    <n v="0"/>
    <s v="BAU"/>
  </r>
  <r>
    <s v="[UNITED SYNERGIES] SACC Decomissionning"/>
    <x v="7"/>
    <s v="SACC data integration"/>
    <m/>
    <s v="Datalake"/>
    <m/>
    <n v="430"/>
    <s v="override"/>
    <s v="OK"/>
    <n v="430"/>
    <m/>
    <m/>
    <m/>
    <s v="P1"/>
    <n v="430"/>
    <s v="Charlotte Perraudin"/>
    <m/>
    <s v="OCH"/>
    <m/>
    <m/>
    <n v="220.59"/>
    <x v="0"/>
    <x v="2"/>
    <s v="United"/>
    <s v="U&amp;MP"/>
  </r>
  <r>
    <s v="Technical &amp; Functional Debt"/>
    <x v="12"/>
    <s v="API &amp; data"/>
    <s v="PaymentID as UUID"/>
    <s v="AF6"/>
    <s v="XS"/>
    <n v="20"/>
    <s v="auto"/>
    <s v="OK"/>
    <n v="5"/>
    <n v="5"/>
    <n v="5"/>
    <n v="5"/>
    <s v="P1"/>
    <n v="20"/>
    <s v="Sebastien Letniowski"/>
    <m/>
    <s v="IN_STORE"/>
    <s v="Technical Leverage"/>
    <m/>
    <n v="10.26"/>
    <x v="0"/>
    <x v="1"/>
    <n v="0"/>
    <s v="BAU"/>
  </r>
  <r>
    <s v="[UNITED SYNERGY] Mass Transit"/>
    <x v="13"/>
    <s v="Mass transit"/>
    <s v="Payment account Reference in ecomm transaction feedback"/>
    <s v="Beyond"/>
    <s v="S"/>
    <n v="50"/>
    <s v="auto"/>
    <s v="OK"/>
    <n v="50"/>
    <m/>
    <m/>
    <m/>
    <s v="P1"/>
    <n v="50"/>
    <s v="Pierre Riat"/>
    <s v="Synergies"/>
    <s v="ECOM"/>
    <m/>
    <m/>
    <n v="24.15"/>
    <x v="0"/>
    <x v="4"/>
    <s v="United"/>
    <s v="U&amp;MP"/>
  </r>
  <r>
    <s v="[UNITED SYNERGY] Mass Transit"/>
    <x v="13"/>
    <s v="SACC - Build -  United Terminal Parametrisation OP2GO"/>
    <m/>
    <s v="FRSACOP"/>
    <s v="S"/>
    <n v="50"/>
    <s v="auto"/>
    <s v="OK"/>
    <n v="12.5"/>
    <n v="12.5"/>
    <n v="12.5"/>
    <n v="12.5"/>
    <s v="P1"/>
    <n v="50"/>
    <s v="Michael Amsellem"/>
    <s v="Product"/>
    <s v="COO-PTM"/>
    <m/>
    <m/>
    <n v="24.5"/>
    <x v="0"/>
    <x v="3"/>
    <s v="United"/>
    <s v="U&amp;MP"/>
  </r>
  <r>
    <s v="[UNITED SYNERGY] Mass Transit"/>
    <x v="13"/>
    <s v="[Transport] Mass Transit United Acceptance - E2E Testing"/>
    <s v="Mass Transit EE test including all Shared Services"/>
    <s v="OCH_SD"/>
    <s v="XXL"/>
    <n v="400"/>
    <s v="auto"/>
    <s v="OK"/>
    <n v="200"/>
    <n v="100"/>
    <n v="100"/>
    <m/>
    <s v="P1"/>
    <n v="400"/>
    <s v="Patrik Österling"/>
    <s v="Product"/>
    <s v="OCH"/>
    <m/>
    <m/>
    <n v="205.2"/>
    <x v="0"/>
    <x v="2"/>
    <s v="United"/>
    <s v="U&amp;MP"/>
  </r>
  <r>
    <s v="Technical &amp; Functional Debt"/>
    <x v="12"/>
    <s v="Refactoring"/>
    <s v="PostgresQL 13 migration"/>
    <s v="AF6"/>
    <s v="XS"/>
    <n v="20"/>
    <s v="auto"/>
    <s v="OK"/>
    <m/>
    <n v="10"/>
    <n v="10"/>
    <m/>
    <s v="P1"/>
    <n v="20"/>
    <s v="Sebastien Letniowski"/>
    <m/>
    <s v="IN_STORE"/>
    <s v="Technical Leverage"/>
    <m/>
    <n v="10.26"/>
    <x v="0"/>
    <x v="1"/>
    <n v="0"/>
    <s v="BAU"/>
  </r>
  <r>
    <s v="[UNITED SYNERGY] Mass Transit"/>
    <x v="13"/>
    <s v="[Transport] Mass Transit United Acceptance - Redsys"/>
    <s v="Mass Transit United Acceptance for VISA and MC"/>
    <s v="Acq Hub_1"/>
    <s v="XXL"/>
    <n v="400"/>
    <s v="auto"/>
    <s v="OK"/>
    <m/>
    <m/>
    <n v="200"/>
    <n v="200"/>
    <s v="P1"/>
    <n v="400"/>
    <s v="Thierry Fortune"/>
    <s v="Product"/>
    <s v="OCH"/>
    <m/>
    <s v="To review with Sandhya &amp; Patrik"/>
    <n v="205.2"/>
    <x v="0"/>
    <x v="2"/>
    <s v="United"/>
    <s v="U&amp;MP"/>
  </r>
  <r>
    <s v="[UNITED SYNERGY] Mass Transit"/>
    <x v="13"/>
    <s v="[Transport] Mass Transit United Acceptance - AMEX "/>
    <s v="Mass Transit United Acceptance for Amex"/>
    <s v="Acq Hub_1"/>
    <s v="XXL"/>
    <n v="400"/>
    <s v="auto"/>
    <s v="OK"/>
    <m/>
    <m/>
    <n v="200"/>
    <n v="200"/>
    <s v="P1"/>
    <n v="400"/>
    <s v="Thierry Fortune"/>
    <s v="Product"/>
    <s v="OCH"/>
    <m/>
    <s v="To review with Sandhya &amp; Patrik"/>
    <n v="205.2"/>
    <x v="0"/>
    <x v="2"/>
    <s v="United"/>
    <s v="U&amp;MP"/>
  </r>
  <r>
    <s v="Technical &amp; Functional Debt"/>
    <x v="12"/>
    <s v="Robustness"/>
    <s v="Remove Log table (SAVELOG=0)"/>
    <s v="AF6"/>
    <s v="XS"/>
    <n v="20"/>
    <s v="auto"/>
    <s v="OK"/>
    <n v="5"/>
    <n v="5"/>
    <n v="5"/>
    <n v="5"/>
    <s v="P1"/>
    <n v="20"/>
    <s v="Sebastien Letniowski"/>
    <m/>
    <s v="IN_STORE"/>
    <s v="Technical Leverage"/>
    <m/>
    <n v="10.26"/>
    <x v="0"/>
    <x v="1"/>
    <n v="0"/>
    <s v="BAU"/>
  </r>
  <r>
    <s v="3DS exemptions and improvements"/>
    <x v="15"/>
    <s v="Authentication"/>
    <s v="Whitelisting Exemption"/>
    <s v="GC Supp2"/>
    <s v="M"/>
    <n v="120"/>
    <s v="override"/>
    <s v="OK"/>
    <m/>
    <m/>
    <m/>
    <n v="120"/>
    <s v="P2"/>
    <n v="120"/>
    <s v="Paula Costa"/>
    <s v="Product"/>
    <s v="ONLINE"/>
    <s v="Get Basics Right"/>
    <m/>
    <n v="61.56"/>
    <x v="0"/>
    <x v="5"/>
    <s v="Single Project"/>
    <s v="BAU"/>
  </r>
  <r>
    <s v="3DS exemptions and improvements"/>
    <x v="15"/>
    <s v="Trusted Beneficiary and DA"/>
    <s v="Trusted Beneficiary and DA"/>
    <s v="FS"/>
    <s v="S"/>
    <n v="50"/>
    <s v="auto"/>
    <s v="OK"/>
    <n v="50"/>
    <m/>
    <m/>
    <m/>
    <s v="P1"/>
    <n v="50"/>
    <s v="Paula Costa"/>
    <s v="Product"/>
    <s v="OTHER"/>
    <s v="Get Basics Right"/>
    <m/>
    <n v="25"/>
    <x v="0"/>
    <x v="6"/>
    <s v="Single Project"/>
    <s v="BAU"/>
  </r>
  <r>
    <s v="3DS exemptions and improvements"/>
    <x v="15"/>
    <s v="3DS V2 Trusted Beneficiary Exemption"/>
    <s v="Generic implementation (not acquirer specific)"/>
    <s v="Caradhas"/>
    <s v="S"/>
    <n v="50"/>
    <s v="auto"/>
    <s v="OK"/>
    <m/>
    <m/>
    <m/>
    <n v="50"/>
    <s v="P1"/>
    <n v="50"/>
    <s v="Stanley Macnack"/>
    <s v="Product"/>
    <s v="ONLINE"/>
    <s v="Get Basics Right"/>
    <m/>
    <n v="25.65"/>
    <x v="0"/>
    <x v="5"/>
    <s v="Single Project"/>
    <s v="BAU"/>
  </r>
  <r>
    <s v="3DS exemptions and improvements"/>
    <x v="15"/>
    <s v="Authentication"/>
    <s v="Delegated Authentication - Request through 3DS Server"/>
    <s v="GC Supp2"/>
    <s v="S"/>
    <n v="60"/>
    <s v="override"/>
    <s v="OK"/>
    <n v="60"/>
    <m/>
    <m/>
    <m/>
    <s v="P2"/>
    <n v="60"/>
    <s v="Paula Costa"/>
    <s v="Product"/>
    <s v="ONLINE"/>
    <s v="Get Basics Right"/>
    <m/>
    <n v="30.78"/>
    <x v="0"/>
    <x v="5"/>
    <s v="Single Project"/>
    <s v="BAU"/>
  </r>
  <r>
    <s v="3DS exemptions and improvements"/>
    <x v="15"/>
    <s v="Authentication"/>
    <s v="3RI MIT - Connect"/>
    <s v="Iron Hills"/>
    <s v="S"/>
    <n v="50"/>
    <s v="auto"/>
    <s v="OK"/>
    <m/>
    <n v="50"/>
    <m/>
    <m/>
    <s v="P1"/>
    <n v="50"/>
    <s v="Paula Costa"/>
    <s v="Product"/>
    <s v="ONLINE"/>
    <s v="Get Basics Right"/>
    <m/>
    <n v="25.65"/>
    <x v="0"/>
    <x v="5"/>
    <s v="Single Project"/>
    <s v="BAU"/>
  </r>
  <r>
    <s v="3DS exemptions and improvements"/>
    <x v="15"/>
    <s v="Authentication"/>
    <s v="3RI MIT"/>
    <s v="GC Supp2"/>
    <m/>
    <n v="120"/>
    <s v="override"/>
    <s v="OK"/>
    <m/>
    <n v="120"/>
    <m/>
    <m/>
    <s v="P1"/>
    <n v="120"/>
    <s v="Paula Costa"/>
    <s v="Product"/>
    <s v="ONLINE"/>
    <s v="Get Basics Right"/>
    <m/>
    <n v="61.56"/>
    <x v="0"/>
    <x v="5"/>
    <s v="Single Project"/>
    <s v="BAU"/>
  </r>
  <r>
    <s v="3DS exemptions and improvements"/>
    <x v="15"/>
    <s v="3DS V2 Delegated Authentication AIB"/>
    <m/>
    <s v="GC Global Cards"/>
    <s v="XS"/>
    <n v="100"/>
    <s v="override"/>
    <s v="OK"/>
    <m/>
    <n v="100"/>
    <m/>
    <m/>
    <s v="P1"/>
    <n v="100"/>
    <s v="Stanley Macnack"/>
    <s v="Product"/>
    <s v="ONLINE"/>
    <s v="Get Basics Right"/>
    <m/>
    <n v="51.3"/>
    <x v="0"/>
    <x v="5"/>
    <s v="Single Project"/>
    <s v="BAU"/>
  </r>
  <r>
    <s v="3DS exemptions and improvements"/>
    <x v="15"/>
    <s v="3DS V2 Delegated Authentication AIB"/>
    <m/>
    <s v="Caradhas"/>
    <s v="XS"/>
    <n v="0"/>
    <s v="override"/>
    <s v="OK"/>
    <m/>
    <m/>
    <m/>
    <m/>
    <s v="P1"/>
    <n v="0"/>
    <s v="Stanley Macnack"/>
    <s v="Product"/>
    <s v="ONLINE"/>
    <s v="Get Basics Right"/>
    <s v="Generic solution already implemented in 2021"/>
    <n v="0"/>
    <x v="0"/>
    <x v="5"/>
    <s v="Single Project"/>
    <s v="BAU"/>
  </r>
  <r>
    <s v="3DS exemptions and improvements"/>
    <x v="15"/>
    <s v="3DS V2 Delegated Authentication Barclays"/>
    <m/>
    <s v="GC Global Cards"/>
    <s v="XS"/>
    <n v="100"/>
    <s v="override"/>
    <s v="OK"/>
    <m/>
    <m/>
    <n v="100"/>
    <m/>
    <s v="P1"/>
    <n v="100"/>
    <s v="Stanley Macnack"/>
    <s v="Product"/>
    <s v="ONLINE"/>
    <s v="Get Basics Right"/>
    <m/>
    <n v="51.3"/>
    <x v="0"/>
    <x v="5"/>
    <s v="Single Project"/>
    <s v="BAU"/>
  </r>
  <r>
    <s v="3DS exemptions and improvements"/>
    <x v="15"/>
    <s v="3DS V2 Delegated Authentication Barclays"/>
    <m/>
    <s v="Caradhas"/>
    <s v="XS"/>
    <n v="0"/>
    <s v="override"/>
    <s v="OK"/>
    <m/>
    <m/>
    <m/>
    <m/>
    <s v="P1"/>
    <n v="0"/>
    <s v="Stanley Macnack"/>
    <s v="Product"/>
    <s v="ONLINE"/>
    <s v="Get Basics Right"/>
    <s v="Generic solution already implemented in 2021"/>
    <n v="0"/>
    <x v="0"/>
    <x v="5"/>
    <s v="Single Project"/>
    <s v="BAU"/>
  </r>
  <r>
    <s v="3DS exemptions and improvements"/>
    <x v="15"/>
    <s v="J Secure 2 (JCB)"/>
    <m/>
    <s v="GC Global Cards"/>
    <s v="XS"/>
    <n v="200"/>
    <s v="override"/>
    <s v="OK"/>
    <m/>
    <m/>
    <m/>
    <n v="200"/>
    <s v="P2"/>
    <n v="200"/>
    <s v="Stanley Macnack"/>
    <s v="Product"/>
    <s v="ONLINE"/>
    <s v="Get Basics Right"/>
    <m/>
    <n v="102.6"/>
    <x v="0"/>
    <x v="5"/>
    <s v="Single Project"/>
    <s v="BAU"/>
  </r>
  <r>
    <s v="3DS exemptions and improvements"/>
    <x v="15"/>
    <s v="J Secure 2 (JCB)"/>
    <m/>
    <s v="Iron Hills"/>
    <s v="XS"/>
    <n v="5"/>
    <s v="override"/>
    <s v="OK"/>
    <m/>
    <m/>
    <n v="5"/>
    <m/>
    <s v="P2"/>
    <n v="5"/>
    <s v="Stanley Macnack"/>
    <s v="Product"/>
    <s v="ONLINE"/>
    <s v="Get Basics Right"/>
    <m/>
    <n v="2.5649999999999999"/>
    <x v="0"/>
    <x v="5"/>
    <s v="Single Project"/>
    <s v="BAU"/>
  </r>
  <r>
    <s v="3DS exemptions and improvements"/>
    <x v="15"/>
    <s v="3DS V2 MIT AIB"/>
    <m/>
    <s v="GC Global Cards"/>
    <s v="XS"/>
    <n v="100"/>
    <s v="override"/>
    <s v="OK"/>
    <n v="100"/>
    <m/>
    <m/>
    <m/>
    <s v="P1"/>
    <n v="100"/>
    <s v="Stanley Macnack"/>
    <s v="Product"/>
    <s v="ONLINE"/>
    <s v="Get Basics Right"/>
    <m/>
    <n v="51.3"/>
    <x v="0"/>
    <x v="5"/>
    <s v="Single Project"/>
    <s v="BAU"/>
  </r>
  <r>
    <s v="3DS exemptions and improvements"/>
    <x v="15"/>
    <s v="3DS V2 MIT Barclays"/>
    <m/>
    <s v="GC Global Cards"/>
    <s v="XS"/>
    <n v="100"/>
    <s v="override"/>
    <s v="OK"/>
    <m/>
    <m/>
    <n v="100"/>
    <m/>
    <s v="P1"/>
    <n v="100"/>
    <s v="Stanley Macnack"/>
    <s v="Product"/>
    <s v="ONLINE"/>
    <s v="Get Basics Right"/>
    <m/>
    <n v="51.3"/>
    <x v="0"/>
    <x v="5"/>
    <s v="Single Project"/>
    <s v="BAU"/>
  </r>
  <r>
    <s v="3DS exemptions and improvements"/>
    <x v="15"/>
    <s v="3DS V2 MIT Bambora"/>
    <m/>
    <s v="GC Global Cards"/>
    <s v="XS"/>
    <n v="100"/>
    <s v="override"/>
    <s v="OK"/>
    <m/>
    <m/>
    <n v="100"/>
    <m/>
    <s v="P1"/>
    <n v="100"/>
    <s v="Stanley Macnack"/>
    <s v="Product"/>
    <s v="ONLINE"/>
    <s v="Get Basics Right"/>
    <m/>
    <n v="51.3"/>
    <x v="0"/>
    <x v="5"/>
    <s v="Single Project"/>
    <s v="BAU"/>
  </r>
  <r>
    <s v="3DS exemptions and improvements"/>
    <x v="15"/>
    <s v="3DS V2 MIT BNP"/>
    <m/>
    <s v="GC Global Cards"/>
    <s v="XS"/>
    <n v="100"/>
    <s v="override"/>
    <s v="OK"/>
    <m/>
    <m/>
    <m/>
    <n v="100"/>
    <s v="P1"/>
    <n v="100"/>
    <s v="Stanley Macnack"/>
    <s v="Product"/>
    <s v="ONLINE"/>
    <s v="Get Basics Right"/>
    <m/>
    <n v="51.3"/>
    <x v="0"/>
    <x v="5"/>
    <s v="Single Project"/>
    <s v="BAU"/>
  </r>
  <r>
    <s v="3DS exemptions and improvements"/>
    <x v="15"/>
    <s v="3DS V2 Trusted Beneficiary Exemption AIB"/>
    <m/>
    <s v="GC Global Cards"/>
    <s v="XS"/>
    <n v="100"/>
    <s v="override"/>
    <s v="OK"/>
    <m/>
    <m/>
    <m/>
    <n v="100"/>
    <s v="P1"/>
    <n v="100"/>
    <s v="Stanley Macnack"/>
    <s v="Product"/>
    <s v="ONLINE"/>
    <s v="Get Basics Right"/>
    <m/>
    <n v="51.3"/>
    <x v="0"/>
    <x v="5"/>
    <s v="Single Project"/>
    <s v="BAU"/>
  </r>
  <r>
    <s v="3DS exemptions and improvements"/>
    <x v="15"/>
    <s v="3DS V2 Trusted Beneficiary Exemption Barclays"/>
    <m/>
    <s v="GC Global Cards"/>
    <s v="XS"/>
    <n v="100"/>
    <s v="override"/>
    <s v="OK"/>
    <m/>
    <m/>
    <m/>
    <n v="100"/>
    <s v="P1"/>
    <n v="100"/>
    <s v="Stanley Macnack"/>
    <s v="Product"/>
    <s v="ONLINE"/>
    <s v="Get Basics Right"/>
    <m/>
    <n v="51.3"/>
    <x v="0"/>
    <x v="5"/>
    <s v="Single Project"/>
    <s v="BAU"/>
  </r>
  <r>
    <s v="3DS exemptions and improvements"/>
    <x v="15"/>
    <s v="3DS V2 Trusted Beneficiary Exemption Barclays"/>
    <m/>
    <s v="Caradhas"/>
    <s v="XS"/>
    <n v="0"/>
    <s v="override"/>
    <s v="OK"/>
    <m/>
    <m/>
    <m/>
    <n v="0"/>
    <s v="P1"/>
    <n v="0"/>
    <s v="Stanley Macnack"/>
    <s v="Product"/>
    <s v="ONLINE"/>
    <s v="Get Basics Right"/>
    <s v="Generic solution already implemented by other team"/>
    <n v="0"/>
    <x v="0"/>
    <x v="5"/>
    <s v="Single Project"/>
    <s v="BAU"/>
  </r>
  <r>
    <s v="3DS V1 Decommisioning"/>
    <x v="16"/>
    <s v="Authentication"/>
    <s v="Disable fallback + changes to stop V1"/>
    <s v="GC Supp2"/>
    <s v="M"/>
    <n v="120"/>
    <s v="override"/>
    <s v="OK"/>
    <n v="120"/>
    <m/>
    <m/>
    <m/>
    <s v="P1"/>
    <n v="120"/>
    <s v="Paula Costa"/>
    <s v="Product"/>
    <s v="ONLINE"/>
    <s v="Get Basics Right"/>
    <m/>
    <n v="61.56"/>
    <x v="0"/>
    <x v="5"/>
    <s v="Single Project"/>
    <s v="BAU"/>
  </r>
  <r>
    <s v="3DS V2 - In App"/>
    <x v="17"/>
    <s v="3DS V2 In App"/>
    <s v="3DS V2 SDK flow"/>
    <s v="GC Supp2"/>
    <s v="M"/>
    <n v="180"/>
    <s v="override"/>
    <s v="OK"/>
    <n v="180"/>
    <m/>
    <m/>
    <m/>
    <s v="P1"/>
    <n v="180"/>
    <s v="Paula Costa"/>
    <s v="Product"/>
    <s v="ONLINE"/>
    <s v="Get Basics Right"/>
    <m/>
    <n v="92.34"/>
    <x v="0"/>
    <x v="5"/>
    <s v="Single Project"/>
    <s v="BAU"/>
  </r>
  <r>
    <s v="3DSv2"/>
    <x v="18"/>
    <s v="Core service"/>
    <m/>
    <s v="IPP"/>
    <s v="XL"/>
    <n v="375"/>
    <s v="override"/>
    <s v="OK"/>
    <n v="375"/>
    <m/>
    <m/>
    <m/>
    <s v="P1"/>
    <n v="375"/>
    <s v="Mike O'Halloran"/>
    <s v="Product"/>
    <s v="ECOM"/>
    <s v="Regulation"/>
    <m/>
    <n v="192.375"/>
    <x v="0"/>
    <x v="7"/>
    <n v="0"/>
    <s v="BAU"/>
  </r>
  <r>
    <s v="3DSv2"/>
    <x v="18"/>
    <s v="Acquirer expansion"/>
    <m/>
    <s v="IPP"/>
    <s v="XL"/>
    <n v="375"/>
    <s v="override"/>
    <s v="OK"/>
    <m/>
    <n v="375"/>
    <m/>
    <m/>
    <s v="P1"/>
    <n v="375"/>
    <s v="Mike O'Halloran"/>
    <s v="Product"/>
    <s v="ECOM"/>
    <s v="Regulation"/>
    <m/>
    <n v="192.375"/>
    <x v="0"/>
    <x v="7"/>
    <n v="0"/>
    <s v="BAU"/>
  </r>
  <r>
    <s v="3DSv2"/>
    <x v="18"/>
    <s v="Integration expansion"/>
    <m/>
    <s v="IPP"/>
    <s v="XXL"/>
    <n v="500"/>
    <s v="override"/>
    <s v="OK"/>
    <m/>
    <m/>
    <n v="250"/>
    <n v="250"/>
    <s v="P1"/>
    <n v="500"/>
    <s v="Mike O'Halloran"/>
    <s v="Product"/>
    <s v="ECOM"/>
    <s v="Regulation"/>
    <m/>
    <n v="256.5"/>
    <x v="0"/>
    <x v="7"/>
    <n v="0"/>
    <s v="BAU"/>
  </r>
  <r>
    <s v="3DSv2.x, PSD2 and regulatory evolutions"/>
    <x v="19"/>
    <s v="Compliance &amp; Regulatory"/>
    <s v="Transaction maintenance compliancy"/>
    <s v="WLOC_CARD_FE"/>
    <s v="XXL"/>
    <n v="460"/>
    <s v="override"/>
    <s v="OK"/>
    <n v="0"/>
    <n v="260"/>
    <n v="200"/>
    <n v="0"/>
    <s v="P1"/>
    <n v="460"/>
    <s v="Emmanuel Blumel"/>
    <s v="Product"/>
    <s v="ECOM"/>
    <s v="Regulation"/>
    <m/>
    <n v="222.18"/>
    <x v="0"/>
    <x v="4"/>
    <s v="Single Project"/>
    <s v="BAU"/>
  </r>
  <r>
    <s v="3DSv2.x, PSD2 and regulatory evolutions"/>
    <x v="19"/>
    <s v="Compliance &amp; Regulatory"/>
    <s v="Support new VISA decline codes - FE"/>
    <s v="WLOC_CARD_FE"/>
    <s v="M"/>
    <n v="100"/>
    <s v="auto"/>
    <s v="OK"/>
    <n v="50"/>
    <n v="50"/>
    <m/>
    <m/>
    <s v="P1"/>
    <n v="100"/>
    <s v="Emmanuel Blumel"/>
    <s v="Product"/>
    <s v="ECOM"/>
    <s v="Regulation"/>
    <m/>
    <n v="48.3"/>
    <x v="0"/>
    <x v="4"/>
    <s v="Single Project"/>
    <s v="BAU"/>
  </r>
  <r>
    <s v="3DSv2.x, PSD2 and regulatory evolutions"/>
    <x v="19"/>
    <s v="Compliance &amp; Regulatory"/>
    <s v="Support new VISA decline codes - BE"/>
    <s v="WLOC_CARD_BE"/>
    <s v="L"/>
    <n v="200"/>
    <s v="auto"/>
    <s v="OK"/>
    <n v="50"/>
    <n v="50"/>
    <n v="50"/>
    <n v="50"/>
    <s v="P1"/>
    <n v="200"/>
    <s v="Emmanuel Blumel"/>
    <s v="Product"/>
    <s v="ECOM"/>
    <s v="Regulation"/>
    <m/>
    <n v="96.6"/>
    <x v="0"/>
    <x v="4"/>
    <s v="Single Project"/>
    <s v="BAU"/>
  </r>
  <r>
    <s v="3DSv2.x, PSD2 and regulatory evolutions"/>
    <x v="19"/>
    <s v="Compliance &amp; Regulatory"/>
    <s v="Support new VISA decline codes - AH"/>
    <s v="Acq Hub_1"/>
    <s v="L"/>
    <n v="200"/>
    <s v="auto"/>
    <s v="OK"/>
    <n v="50"/>
    <n v="50"/>
    <n v="50"/>
    <n v="50"/>
    <s v="P1"/>
    <n v="200"/>
    <s v="Emmanuel Blumel"/>
    <s v="Product"/>
    <s v="OCH"/>
    <s v="Regulation"/>
    <m/>
    <n v="102.6"/>
    <x v="0"/>
    <x v="2"/>
    <s v="Single Project"/>
    <s v="BAU"/>
  </r>
  <r>
    <s v="3DSv2.x, PSD2 and regulatory evolutions"/>
    <x v="19"/>
    <s v="Compliance &amp; Regulatory"/>
    <s v="Stop 3DS v1.0"/>
    <s v="WLOC_CARD_BE"/>
    <s v="L"/>
    <n v="240"/>
    <s v="auto"/>
    <s v="OK"/>
    <n v="0"/>
    <n v="80"/>
    <n v="100"/>
    <n v="60"/>
    <s v="P1"/>
    <n v="240"/>
    <s v="Emmanuel Blumel"/>
    <s v="Product"/>
    <s v="ECOM"/>
    <s v="Regulation"/>
    <m/>
    <n v="115.92"/>
    <x v="0"/>
    <x v="4"/>
    <s v="Single Project"/>
    <s v="BAU"/>
  </r>
  <r>
    <s v="3DSv2.x, PSD2 and regulatory evolutions"/>
    <x v="19"/>
    <s v="Compliance &amp; Regulatory"/>
    <s v="SDK for 3DS v2.x"/>
    <s v="WLOC_CARD_FE"/>
    <s v="S"/>
    <n v="50"/>
    <s v="auto"/>
    <s v="OK"/>
    <n v="50"/>
    <m/>
    <m/>
    <m/>
    <s v="P1"/>
    <n v="50"/>
    <s v="Emmanuel Blumel"/>
    <s v="Product"/>
    <s v="ECOM"/>
    <s v="Regulation"/>
    <m/>
    <n v="24.15"/>
    <x v="0"/>
    <x v="4"/>
    <s v="Single Project"/>
    <s v="BAU"/>
  </r>
  <r>
    <s v="3DSv2.x, PSD2 and regulatory evolutions"/>
    <x v="19"/>
    <s v="Compliance &amp; Regulatory"/>
    <s v="PSD2: Adapt submission modes for Purchasing Cards to be PSD2 compliant"/>
    <s v="WLOC_CARD_FE"/>
    <s v="L"/>
    <n v="200"/>
    <s v="auto"/>
    <s v="OK"/>
    <m/>
    <m/>
    <m/>
    <n v="200"/>
    <s v="P1"/>
    <n v="200"/>
    <s v="Emmanuel Blumel"/>
    <s v="Product"/>
    <s v="ECOM"/>
    <s v="Regulation"/>
    <m/>
    <n v="96.6"/>
    <x v="0"/>
    <x v="4"/>
    <s v="Single Project"/>
    <s v="BAU"/>
  </r>
  <r>
    <s v="3DSv2.x, PSD2 and regulatory evolutions"/>
    <x v="19"/>
    <s v="Compliance &amp; Regulatory"/>
    <s v="PSD2/CB2A 1.6 add. Scope (incl Wallets)"/>
    <s v="WLOC_CARD_BE"/>
    <s v="XL"/>
    <n v="340"/>
    <s v="auto"/>
    <s v="OK"/>
    <n v="220"/>
    <n v="120"/>
    <n v="0"/>
    <n v="0"/>
    <s v="P1"/>
    <n v="340"/>
    <s v="Emmanuel Blumel"/>
    <s v="Product"/>
    <s v="ECOM"/>
    <s v="Regulation"/>
    <m/>
    <n v="164.22"/>
    <x v="0"/>
    <x v="4"/>
    <s v="Single Project"/>
    <s v="BAU"/>
  </r>
  <r>
    <s v="3DSv2.x, PSD2 and regulatory evolutions"/>
    <x v="19"/>
    <s v="Compliance &amp; Regulatory"/>
    <s v="MPI Travel extension"/>
    <s v="WLOC_CARD_FE"/>
    <s v="XS"/>
    <n v="20"/>
    <s v="auto"/>
    <s v="OK"/>
    <m/>
    <n v="20"/>
    <m/>
    <m/>
    <s v="P2"/>
    <n v="20"/>
    <s v="Emmanuel Blumel"/>
    <s v="Product"/>
    <s v="ECOM"/>
    <s v="Regulation"/>
    <m/>
    <n v="9.66"/>
    <x v="0"/>
    <x v="4"/>
    <s v="Single Project"/>
    <s v="BAU"/>
  </r>
  <r>
    <s v="3DSv2.x, PSD2 and regulatory evolutions"/>
    <x v="19"/>
    <s v="Compliance &amp; Regulatory"/>
    <s v="Manage Scheme Ref Data in WLOC Payment API"/>
    <s v="WLOC_CARD_FE"/>
    <s v="S"/>
    <n v="50"/>
    <s v="auto"/>
    <s v="OK"/>
    <n v="50"/>
    <m/>
    <m/>
    <m/>
    <s v="P1"/>
    <n v="50"/>
    <s v="Emmanuel Blumel"/>
    <s v="Product"/>
    <s v="ECOM"/>
    <s v="Regulation"/>
    <m/>
    <n v="24.15"/>
    <x v="0"/>
    <x v="4"/>
    <s v="Single Project"/>
    <s v="BAU"/>
  </r>
  <r>
    <s v="3DSv2.x, PSD2 and regulatory evolutions"/>
    <x v="19"/>
    <s v="Compliance &amp; Regulatory"/>
    <s v="MIT: Add cumulated amount feature for merchants using French acquirer"/>
    <s v="WLOC_CARD_FE"/>
    <s v="L"/>
    <n v="260"/>
    <s v="auto"/>
    <s v="OK"/>
    <n v="260"/>
    <n v="0"/>
    <n v="0"/>
    <n v="0"/>
    <s v="P1"/>
    <n v="260"/>
    <s v="Emmanuel Blumel"/>
    <s v="Product"/>
    <s v="ECOM"/>
    <s v="Regulation"/>
    <m/>
    <n v="125.58"/>
    <x v="0"/>
    <x v="4"/>
    <s v="Single Project"/>
    <s v="BAU"/>
  </r>
  <r>
    <s v="3DSv2.x, PSD2 and regulatory evolutions"/>
    <x v="19"/>
    <s v="Compliance &amp; Regulatory"/>
    <s v="Implement new BIN source feed for bin detection module"/>
    <s v="WLOC_CARD_FE"/>
    <s v="M"/>
    <n v="100"/>
    <s v="auto"/>
    <s v="OK"/>
    <m/>
    <m/>
    <m/>
    <n v="100"/>
    <s v="P3"/>
    <n v="100"/>
    <s v="Emmanuel Blumel"/>
    <s v="Product"/>
    <s v="ECOM"/>
    <s v="Regulation"/>
    <m/>
    <n v="48.3"/>
    <x v="1"/>
    <x v="4"/>
    <s v="Single Project"/>
    <s v="BAU"/>
  </r>
  <r>
    <s v="3DSv2.x, PSD2 and regulatory evolutions"/>
    <x v="19"/>
    <s v="Compliance &amp; Regulatory"/>
    <s v="Implement duplicate alias feature for returning customers purchasing a new subscription"/>
    <s v="WLOC_CARD_FE"/>
    <s v="M"/>
    <n v="100"/>
    <s v="auto"/>
    <s v="OK"/>
    <m/>
    <n v="100"/>
    <m/>
    <m/>
    <s v="P1"/>
    <n v="100"/>
    <s v="Emmanuel Blumel"/>
    <s v="Product"/>
    <s v="ECOM"/>
    <s v="Regulation"/>
    <m/>
    <n v="48.3"/>
    <x v="0"/>
    <x v="4"/>
    <s v="Single Project"/>
    <s v="BAU"/>
  </r>
  <r>
    <s v="3DSv2.x, PSD2 and regulatory evolutions"/>
    <x v="19"/>
    <s v="Compliance &amp; Regulatory"/>
    <s v="Block reattempts made on declined MASTERCARD transactions"/>
    <s v="WLOC_CARD_FE"/>
    <s v="M"/>
    <n v="100"/>
    <s v="auto"/>
    <s v="OK"/>
    <m/>
    <n v="100"/>
    <m/>
    <m/>
    <s v="P1"/>
    <n v="100"/>
    <s v="Emmanuel Blumel"/>
    <s v="Product"/>
    <s v="ECOM"/>
    <s v="Regulation"/>
    <m/>
    <n v="48.3"/>
    <x v="0"/>
    <x v="4"/>
    <s v="Single Project"/>
    <s v="BAU"/>
  </r>
  <r>
    <s v="3DSv2.x, PSD2 and regulatory evolutions"/>
    <x v="19"/>
    <s v="Compliance &amp; Regulatory"/>
    <s v="Adapt CB2A protocol for purchasing cards to be PSD2 compliant"/>
    <s v="Acq Hub_1"/>
    <s v="L"/>
    <n v="200"/>
    <s v="auto"/>
    <s v="OK"/>
    <m/>
    <m/>
    <n v="200"/>
    <m/>
    <s v="P1"/>
    <n v="200"/>
    <s v="Emmanuel Blumel"/>
    <s v="Product"/>
    <s v="OCH"/>
    <s v="Regulation"/>
    <m/>
    <n v="102.6"/>
    <x v="0"/>
    <x v="2"/>
    <s v="Single Project"/>
    <s v="BAU"/>
  </r>
  <r>
    <s v="3DSv2.x, PSD2 and regulatory evolutions"/>
    <x v="19"/>
    <s v="Compliance &amp; Regulatory"/>
    <s v="3DSV2.3 - Decoupled Authentication"/>
    <s v="WLOC_CARD_FE"/>
    <s v="M"/>
    <n v="180"/>
    <s v="auto"/>
    <s v="OK"/>
    <n v="0"/>
    <n v="0"/>
    <n v="0"/>
    <n v="180"/>
    <s v="P1"/>
    <n v="180"/>
    <s v="Emmanuel Blumel"/>
    <s v="Product"/>
    <s v="ECOM"/>
    <s v="Regulation"/>
    <m/>
    <n v="86.94"/>
    <x v="0"/>
    <x v="4"/>
    <s v="Single Project"/>
    <s v="BAU"/>
  </r>
  <r>
    <s v="3Y Corridor plan"/>
    <x v="20"/>
    <s v="Turkey"/>
    <s v="Reporting Turkey "/>
    <s v="GC Supp1"/>
    <m/>
    <n v="0"/>
    <s v="auto"/>
    <s v="OK"/>
    <m/>
    <n v="0"/>
    <n v="0"/>
    <m/>
    <s v="P5"/>
    <n v="0"/>
    <s v="Stanley Macnack"/>
    <s v="Product"/>
    <s v="ONLINE"/>
    <s v="Extend Geographical Footprint"/>
    <m/>
    <n v="0"/>
    <x v="1"/>
    <x v="5"/>
    <s v="Single Project"/>
    <s v="BAU"/>
  </r>
  <r>
    <s v="3Y Corridor plan"/>
    <x v="20"/>
    <s v="Japan"/>
    <s v="Reporting Japan"/>
    <s v="GC Supp1"/>
    <m/>
    <n v="0"/>
    <s v="auto"/>
    <s v="OK"/>
    <m/>
    <m/>
    <n v="0"/>
    <n v="0"/>
    <s v="P5"/>
    <n v="0"/>
    <s v="Stanley Macnack"/>
    <s v="Product"/>
    <s v="ONLINE"/>
    <s v="Extend Geographical Footprint"/>
    <m/>
    <n v="0"/>
    <x v="1"/>
    <x v="5"/>
    <s v="Single Project"/>
    <s v="BAU"/>
  </r>
  <r>
    <s v="3Y Corridor plan"/>
    <x v="20"/>
    <s v="Turkey"/>
    <s v="New schemes, potential new input/output properties"/>
    <s v="Volcano"/>
    <s v="XS"/>
    <n v="70"/>
    <s v="auto"/>
    <s v="OK"/>
    <m/>
    <n v="10"/>
    <n v="60"/>
    <m/>
    <s v="P5"/>
    <n v="70"/>
    <s v="Stanley Macnack"/>
    <s v="Product"/>
    <s v="ONLINE"/>
    <s v="Extend Geographical Footprint"/>
    <m/>
    <n v="35.909999999999997"/>
    <x v="1"/>
    <x v="5"/>
    <s v="Single Project"/>
    <s v="BAU"/>
  </r>
  <r>
    <s v="3Y Corridor plan"/>
    <x v="20"/>
    <s v="Japan"/>
    <s v="New schemes, potential new input/output properties"/>
    <s v="Volcano"/>
    <s v="XS"/>
    <n v="70"/>
    <s v="auto"/>
    <s v="OK"/>
    <m/>
    <m/>
    <n v="20"/>
    <n v="50"/>
    <s v="P5"/>
    <n v="70"/>
    <s v="Stanley Macnack"/>
    <s v="Product"/>
    <s v="ONLINE"/>
    <s v="Extend Geographical Footprint"/>
    <m/>
    <n v="35.909999999999997"/>
    <x v="1"/>
    <x v="5"/>
    <s v="Single Project"/>
    <s v="BAU"/>
  </r>
  <r>
    <s v="3Y Corridor plan"/>
    <x v="20"/>
    <s v="Japan"/>
    <m/>
    <s v="GC Global Cards"/>
    <m/>
    <n v="500"/>
    <s v="auto"/>
    <s v="OK"/>
    <m/>
    <m/>
    <n v="300"/>
    <n v="200"/>
    <s v="P5"/>
    <n v="500"/>
    <s v="Stanley Macnack"/>
    <s v="Product"/>
    <s v="ONLINE"/>
    <s v="Extend Geographical Footprint"/>
    <m/>
    <n v="256.5"/>
    <x v="1"/>
    <x v="5"/>
    <s v="Single Project"/>
    <s v="BAU"/>
  </r>
  <r>
    <s v="3Y Corridor plan"/>
    <x v="20"/>
    <s v="Turkey"/>
    <m/>
    <s v="GC Global Cards"/>
    <m/>
    <n v="500"/>
    <s v="auto"/>
    <s v="OK"/>
    <m/>
    <n v="50"/>
    <n v="450"/>
    <m/>
    <s v="P5"/>
    <n v="500"/>
    <s v="Stanley Macnack"/>
    <s v="Product"/>
    <s v="ONLINE"/>
    <s v="Extend Geographical Footprint"/>
    <m/>
    <n v="256.5"/>
    <x v="1"/>
    <x v="5"/>
    <s v="Single Project"/>
    <s v="BAU"/>
  </r>
  <r>
    <s v="3Y Corridor plan"/>
    <x v="20"/>
    <s v="Turkey"/>
    <m/>
    <s v="GC Supp1"/>
    <m/>
    <n v="300"/>
    <s v="auto"/>
    <s v="OK"/>
    <m/>
    <n v="50"/>
    <n v="250"/>
    <m/>
    <s v="P5"/>
    <n v="300"/>
    <s v="Stanley Macnack"/>
    <s v="Product"/>
    <s v="ONLINE"/>
    <s v="Extend Geographical Footprint"/>
    <m/>
    <n v="153.9"/>
    <x v="1"/>
    <x v="5"/>
    <s v="Single Project"/>
    <s v="BAU"/>
  </r>
  <r>
    <s v="3Y Corridor plan"/>
    <x v="20"/>
    <s v="Turkey"/>
    <m/>
    <s v="Acq Hub_1"/>
    <m/>
    <n v="250"/>
    <s v="auto"/>
    <s v="OK"/>
    <m/>
    <n v="50"/>
    <n v="200"/>
    <m/>
    <s v="P5"/>
    <n v="250"/>
    <s v="Stanley Macnack"/>
    <s v="Product"/>
    <s v="OCH"/>
    <m/>
    <m/>
    <n v="128.25"/>
    <x v="1"/>
    <x v="2"/>
    <s v="Single Project"/>
    <s v="BAU"/>
  </r>
  <r>
    <s v="3Y Corridor plan"/>
    <x v="20"/>
    <s v="Japan"/>
    <m/>
    <s v="GC Supp1"/>
    <m/>
    <n v="300"/>
    <s v="auto"/>
    <s v="OK"/>
    <m/>
    <m/>
    <n v="50"/>
    <n v="250"/>
    <s v="P5"/>
    <n v="300"/>
    <s v="Stanley Macnack"/>
    <s v="Product"/>
    <s v="ONLINE"/>
    <s v="Extend Geographical Footprint"/>
    <m/>
    <n v="153.9"/>
    <x v="1"/>
    <x v="5"/>
    <s v="Single Project"/>
    <s v="BAU"/>
  </r>
  <r>
    <s v="3Y Corridor plan"/>
    <x v="20"/>
    <s v="Japan"/>
    <m/>
    <s v="Acq Hub_1"/>
    <m/>
    <n v="250"/>
    <s v="auto"/>
    <s v="OK"/>
    <m/>
    <m/>
    <n v="50"/>
    <n v="200"/>
    <s v="P5"/>
    <n v="250"/>
    <s v="Stanley Macnack"/>
    <s v="Product"/>
    <s v="OCH"/>
    <m/>
    <m/>
    <n v="128.25"/>
    <x v="1"/>
    <x v="2"/>
    <s v="Single Project"/>
    <s v="BAU"/>
  </r>
  <r>
    <s v="3Y Corridor plan"/>
    <x v="20"/>
    <s v="Turkey"/>
    <m/>
    <s v="Ops DC-I"/>
    <s v="M"/>
    <n v="100"/>
    <s v="auto"/>
    <s v="OK"/>
    <m/>
    <n v="50"/>
    <n v="50"/>
    <m/>
    <s v="P5"/>
    <n v="100"/>
    <s v="Zlatko Bralic"/>
    <s v="Product"/>
    <s v="ONLINE"/>
    <m/>
    <m/>
    <n v="50"/>
    <x v="1"/>
    <x v="8"/>
    <s v="Single Project"/>
    <s v="BAU"/>
  </r>
  <r>
    <s v="3Y Corridor plan"/>
    <x v="20"/>
    <s v="Japan"/>
    <m/>
    <s v="Ops DC-I"/>
    <s v="M"/>
    <n v="100"/>
    <s v="auto"/>
    <s v="OK"/>
    <m/>
    <n v="50"/>
    <n v="50"/>
    <m/>
    <s v="P5"/>
    <n v="100"/>
    <s v="Zlatko Bralic"/>
    <s v="Product"/>
    <s v="ONLINE"/>
    <m/>
    <m/>
    <n v="50"/>
    <x v="1"/>
    <x v="8"/>
    <s v="Single Project"/>
    <s v="BAU"/>
  </r>
  <r>
    <s v="3Y Corridor plan"/>
    <x v="20"/>
    <s v="Turkey"/>
    <m/>
    <s v="Ops DC-R"/>
    <s v="L"/>
    <n v="200"/>
    <s v="auto"/>
    <s v="OK"/>
    <n v="50"/>
    <n v="50"/>
    <n v="50"/>
    <n v="50"/>
    <s v="P5"/>
    <n v="200"/>
    <s v="Zlatko Bralic"/>
    <s v="Product"/>
    <s v="ONLINE"/>
    <m/>
    <m/>
    <n v="100"/>
    <x v="1"/>
    <x v="8"/>
    <s v="Single Project"/>
    <s v="BAU"/>
  </r>
  <r>
    <s v="3Y Corridor plan"/>
    <x v="20"/>
    <s v="Japan"/>
    <m/>
    <s v="Ops DC-R"/>
    <s v="L"/>
    <n v="200"/>
    <s v="auto"/>
    <s v="OK"/>
    <n v="50"/>
    <n v="50"/>
    <n v="50"/>
    <n v="50"/>
    <s v="P5"/>
    <n v="200"/>
    <s v="Zlatko Bralic"/>
    <s v="Product"/>
    <s v="ONLINE"/>
    <m/>
    <m/>
    <n v="100"/>
    <x v="1"/>
    <x v="8"/>
    <s v="Single Project"/>
    <s v="BAU"/>
  </r>
  <r>
    <s v="3Y Vertical plan"/>
    <x v="21"/>
    <s v="Global airline acquiring"/>
    <s v="Add airline acquiring capability in other countries"/>
    <s v="GC Vertical"/>
    <s v="XL"/>
    <n v="300"/>
    <s v="auto"/>
    <s v="OK"/>
    <n v="75"/>
    <n v="75"/>
    <n v="75"/>
    <n v="75"/>
    <s v="P5"/>
    <n v="300"/>
    <s v="KP"/>
    <s v="Product"/>
    <s v="ONLINE"/>
    <s v="Extend Geographical Footprint"/>
    <m/>
    <n v="153.9"/>
    <x v="1"/>
    <x v="5"/>
    <s v="Single Project"/>
    <s v="BAU"/>
  </r>
  <r>
    <s v="8 Digit BIN compliance"/>
    <x v="22"/>
    <s v="8 Digit BIN compliance "/>
    <m/>
    <s v="IPP"/>
    <s v="L"/>
    <n v="250"/>
    <s v="auto"/>
    <s v="OK"/>
    <n v="250"/>
    <m/>
    <m/>
    <m/>
    <s v="P1"/>
    <n v="250"/>
    <s v="Mike O'Halloran"/>
    <s v="Product"/>
    <s v="ECOM"/>
    <s v="Regulation"/>
    <m/>
    <n v="128.25"/>
    <x v="0"/>
    <x v="7"/>
    <n v="0"/>
    <s v="BAU"/>
  </r>
  <r>
    <s v="Account updater on ecomm"/>
    <x v="23"/>
    <s v="Account updater"/>
    <m/>
    <s v="Above"/>
    <s v="XL"/>
    <n v="300"/>
    <s v="auto"/>
    <s v="OK"/>
    <n v="150"/>
    <n v="150"/>
    <m/>
    <m/>
    <s v="P1"/>
    <n v="300"/>
    <s v="Pierre Riat"/>
    <s v="Product"/>
    <s v="ECOM"/>
    <m/>
    <m/>
    <n v="144.9"/>
    <x v="0"/>
    <x v="4"/>
    <n v="0"/>
    <s v="BAU"/>
  </r>
  <r>
    <s v="Acquirer routing capabilities"/>
    <x v="24"/>
    <s v="Smart routing GC"/>
    <m/>
    <s v="ISO_1"/>
    <s v="S"/>
    <n v="300"/>
    <s v="auto"/>
    <s v="OK"/>
    <m/>
    <n v="100"/>
    <n v="100"/>
    <n v="100"/>
    <s v="P1"/>
    <n v="300"/>
    <s v="Stanley Macnack"/>
    <s v="Product"/>
    <s v="OCH"/>
    <m/>
    <s v="NEEDS TO BE CHECKED IT THE CORRECT SHARED SERVICES TEAM IS SELECTED"/>
    <n v="153.9"/>
    <x v="0"/>
    <x v="2"/>
    <s v="Single Project"/>
    <s v="BAU"/>
  </r>
  <r>
    <s v="Adding ACQ connection Northam"/>
    <x v="25"/>
    <s v="Chase"/>
    <s v="Reporting Chase"/>
    <s v="GC Supp1"/>
    <s v="S"/>
    <n v="0"/>
    <s v="auto"/>
    <s v="OK"/>
    <n v="0"/>
    <n v="0"/>
    <m/>
    <m/>
    <s v="P1"/>
    <n v="0"/>
    <s v="Stanley Macnack"/>
    <s v="Product"/>
    <s v="ONLINE"/>
    <s v="Extend Geographical Footprint"/>
    <m/>
    <n v="0"/>
    <x v="0"/>
    <x v="5"/>
    <s v="Single Project"/>
    <s v="BAU"/>
  </r>
  <r>
    <s v="Adding ACQ connection Northam"/>
    <x v="25"/>
    <s v="Chase"/>
    <m/>
    <s v="GC Global Cards"/>
    <s v="L"/>
    <n v="700"/>
    <s v="auto"/>
    <s v="OK"/>
    <n v="300"/>
    <n v="400"/>
    <m/>
    <m/>
    <s v="P1"/>
    <n v="700"/>
    <s v="Stanley Macnack"/>
    <s v="Product"/>
    <s v="ONLINE"/>
    <s v="Extend Geographical Footprint"/>
    <m/>
    <n v="359.1"/>
    <x v="0"/>
    <x v="5"/>
    <s v="Single Project"/>
    <s v="BAU"/>
  </r>
  <r>
    <s v="Adding ACQ connection Northam"/>
    <x v="25"/>
    <s v="Chase"/>
    <m/>
    <s v="GC Supp1"/>
    <s v="M"/>
    <n v="300"/>
    <s v="auto"/>
    <s v="OK"/>
    <n v="150"/>
    <n v="150"/>
    <m/>
    <m/>
    <s v="P1"/>
    <n v="300"/>
    <s v="Stanley Macnack"/>
    <s v="Product"/>
    <s v="ONLINE"/>
    <s v="Extend Geographical Footprint"/>
    <m/>
    <n v="153.9"/>
    <x v="0"/>
    <x v="5"/>
    <s v="Single Project"/>
    <s v="BAU"/>
  </r>
  <r>
    <s v="Adding ACQ connection Northam"/>
    <x v="25"/>
    <s v="Chase"/>
    <m/>
    <s v="Caradhas"/>
    <s v="XS"/>
    <n v="70"/>
    <s v="auto"/>
    <s v="OK"/>
    <m/>
    <n v="70"/>
    <m/>
    <m/>
    <s v="P1"/>
    <n v="70"/>
    <s v="Stanley Macnack"/>
    <s v="Product"/>
    <s v="ONLINE"/>
    <s v="Extend Geographical Footprint"/>
    <m/>
    <n v="35.909999999999997"/>
    <x v="0"/>
    <x v="5"/>
    <s v="Single Project"/>
    <s v="BAU"/>
  </r>
  <r>
    <s v="Adding ACQ connection Northam"/>
    <x v="25"/>
    <s v="Chase"/>
    <m/>
    <s v="Acq Hub_1"/>
    <s v="XS"/>
    <n v="250"/>
    <s v="auto"/>
    <s v="OK"/>
    <n v="125"/>
    <n v="125"/>
    <m/>
    <m/>
    <s v="P1"/>
    <n v="250"/>
    <s v="Stanley Macnack"/>
    <s v="Product"/>
    <s v="OCH"/>
    <m/>
    <m/>
    <n v="128.25"/>
    <x v="0"/>
    <x v="2"/>
    <s v="Single Project"/>
    <s v="BAU"/>
  </r>
  <r>
    <s v="Adding ACQ connection Northam"/>
    <x v="25"/>
    <s v="Chase"/>
    <m/>
    <s v="Ops DC-I"/>
    <s v="M"/>
    <n v="100"/>
    <s v="auto"/>
    <s v="OK"/>
    <n v="50"/>
    <n v="50"/>
    <m/>
    <m/>
    <s v="P1"/>
    <n v="100"/>
    <s v="Zlatko Bralic"/>
    <s v="Product"/>
    <s v="ONLINE"/>
    <m/>
    <m/>
    <n v="50"/>
    <x v="0"/>
    <x v="8"/>
    <s v="Single Project"/>
    <s v="BAU"/>
  </r>
  <r>
    <s v="Adding ACQ connection Northam"/>
    <x v="25"/>
    <s v="Chase"/>
    <m/>
    <s v="Ops DC-R"/>
    <s v="M"/>
    <n v="100"/>
    <s v="auto"/>
    <s v="OK"/>
    <n v="30"/>
    <n v="30"/>
    <n v="20"/>
    <n v="20"/>
    <s v="P1"/>
    <n v="100"/>
    <s v="Zlatko Bralic"/>
    <s v="Product"/>
    <s v="ONLINE"/>
    <m/>
    <m/>
    <n v="50"/>
    <x v="0"/>
    <x v="8"/>
    <s v="Single Project"/>
    <s v="BAU"/>
  </r>
  <r>
    <s v="Alternative Payment Gateways / Modes Integration"/>
    <x v="26"/>
    <m/>
    <m/>
    <s v="TechProcess"/>
    <s v="XXL"/>
    <n v="400"/>
    <s v="auto"/>
    <s v="OK"/>
    <n v="100"/>
    <n v="100"/>
    <n v="100"/>
    <n v="100"/>
    <s v="P2"/>
    <n v="400"/>
    <s v="Arvind Singh"/>
    <s v=" Product "/>
    <s v="ONLINE"/>
    <m/>
    <m/>
    <n v="205.2"/>
    <x v="0"/>
    <x v="9"/>
    <n v="0"/>
    <s v="BAU"/>
  </r>
  <r>
    <s v="Amex gateway acceptance"/>
    <x v="27"/>
    <s v="Amex acceptance within PayFac merchant"/>
    <m/>
    <s v="IPP"/>
    <s v="XL"/>
    <n v="180"/>
    <s v="auto"/>
    <s v="OK"/>
    <n v="90"/>
    <n v="90"/>
    <m/>
    <m/>
    <s v="P1"/>
    <n v="180"/>
    <s v="Mike O'Halloran"/>
    <s v="Product"/>
    <s v="ECOM"/>
    <m/>
    <m/>
    <n v="92.34"/>
    <x v="0"/>
    <x v="7"/>
    <n v="0"/>
    <s v="BAU"/>
  </r>
  <r>
    <s v="AML functional shared service"/>
    <x v="28"/>
    <m/>
    <s v="review done"/>
    <s v="GC Supp1"/>
    <m/>
    <n v="240"/>
    <s v="override"/>
    <s v="OK"/>
    <n v="60"/>
    <n v="60"/>
    <n v="60"/>
    <n v="60"/>
    <s v="P5"/>
    <n v="240"/>
    <s v="Teun Boer"/>
    <s v="Synergies"/>
    <s v="ONLINE"/>
    <s v="Get Basics Right"/>
    <m/>
    <n v="123.12"/>
    <x v="1"/>
    <x v="5"/>
    <s v="United"/>
    <s v="U&amp;MP"/>
  </r>
  <r>
    <s v="Technical Debt / Global Infra"/>
    <x v="29"/>
    <s v="Source code &amp; CI migration"/>
    <s v="other teams"/>
    <s v="AF6"/>
    <s v="XS"/>
    <n v="20"/>
    <s v="auto"/>
    <s v="OK"/>
    <n v="10"/>
    <n v="10"/>
    <m/>
    <m/>
    <s v="P1"/>
    <n v="20"/>
    <s v="Sebastien Letniowski"/>
    <m/>
    <s v="IN_STORE"/>
    <s v="Technical Leverage"/>
    <m/>
    <n v="10.26"/>
    <x v="0"/>
    <x v="1"/>
    <n v="0"/>
    <s v="BAU"/>
  </r>
  <r>
    <s v="Technical Debt / Global Infra"/>
    <x v="29"/>
    <s v="Training of teams with new way of working"/>
    <s v="other teams"/>
    <s v="AF6"/>
    <s v="XS"/>
    <n v="20"/>
    <s v="auto"/>
    <s v="OK"/>
    <n v="10"/>
    <n v="10"/>
    <m/>
    <m/>
    <s v="P1"/>
    <n v="20"/>
    <s v="Sebastien Letniowski"/>
    <m/>
    <s v="IN_STORE"/>
    <s v="Technical Leverage"/>
    <m/>
    <n v="10.26"/>
    <x v="0"/>
    <x v="1"/>
    <n v="0"/>
    <s v="BAU"/>
  </r>
  <r>
    <s v="APACS40 for UK"/>
    <x v="30"/>
    <m/>
    <m/>
    <s v="Saferpay"/>
    <m/>
    <n v="49"/>
    <s v="override"/>
    <s v="OK"/>
    <n v="12"/>
    <n v="13"/>
    <n v="12"/>
    <n v="12"/>
    <s v="P1"/>
    <n v="49"/>
    <s v="Olivier Choquet"/>
    <m/>
    <s v="ECOM"/>
    <m/>
    <m/>
    <n v="49"/>
    <x v="2"/>
    <x v="10"/>
    <s v="Not Acceptance"/>
    <s v="BAU"/>
  </r>
  <r>
    <s v="AU NPP - PayTo"/>
    <x v="31"/>
    <s v="PayTo integration"/>
    <m/>
    <s v="IPP"/>
    <s v="XXXL"/>
    <n v="550"/>
    <s v="auto"/>
    <s v="OK"/>
    <n v="100"/>
    <n v="350"/>
    <n v="100"/>
    <m/>
    <s v="P1"/>
    <n v="550"/>
    <s v="Mike O'Halloran"/>
    <s v="Product"/>
    <s v="ECOM"/>
    <m/>
    <m/>
    <n v="282.14999999999998"/>
    <x v="0"/>
    <x v="7"/>
    <n v="0"/>
    <s v="BAU"/>
  </r>
  <r>
    <s v="AU Wallet expansion"/>
    <x v="32"/>
    <s v="Apple Pay / SRC"/>
    <m/>
    <s v="IPP"/>
    <s v="XXXL"/>
    <n v="680"/>
    <s v="auto"/>
    <s v="OK"/>
    <m/>
    <n v="80"/>
    <n v="300"/>
    <n v="300"/>
    <s v="P1"/>
    <n v="680"/>
    <s v="Mike O'Halloran"/>
    <s v="Product"/>
    <s v="ECOM"/>
    <m/>
    <m/>
    <n v="348.84"/>
    <x v="0"/>
    <x v="7"/>
    <n v="0"/>
    <s v="BAU"/>
  </r>
  <r>
    <s v="Authentication Service"/>
    <x v="33"/>
    <s v="Authentication"/>
    <s v="Standalone 3DS"/>
    <s v="GC Supp2"/>
    <s v="XL"/>
    <n v="300"/>
    <s v="auto"/>
    <s v="OK"/>
    <n v="100"/>
    <n v="100"/>
    <n v="100"/>
    <m/>
    <s v="P2"/>
    <n v="300"/>
    <s v="Paula Costa"/>
    <s v="Product"/>
    <s v="ONLINE"/>
    <s v="Make Data Talk"/>
    <m/>
    <n v="153.9"/>
    <x v="0"/>
    <x v="5"/>
    <s v="Single Project"/>
    <s v="BAU"/>
  </r>
  <r>
    <s v="Authentication Service"/>
    <x v="33"/>
    <s v="Connect - Stand alone authentication"/>
    <m/>
    <s v="Targon"/>
    <s v="XL"/>
    <n v="180"/>
    <s v="auto"/>
    <s v="OK"/>
    <m/>
    <m/>
    <n v="100"/>
    <n v="80"/>
    <s v="P1"/>
    <n v="180"/>
    <s v="Paula Costa"/>
    <s v="Product"/>
    <s v="ONLINE"/>
    <s v="Key Client Projects"/>
    <s v="Requested by Google and other merchants"/>
    <n v="92.34"/>
    <x v="0"/>
    <x v="5"/>
    <s v="Single Project"/>
    <s v="BAU"/>
  </r>
  <r>
    <s v="Automatic Contract Mgmt &amp; Onboarding of CTAP Terminals"/>
    <x v="34"/>
    <m/>
    <m/>
    <s v="FS"/>
    <s v="S"/>
    <n v="80"/>
    <s v="auto"/>
    <s v="OK"/>
    <m/>
    <m/>
    <n v="20"/>
    <n v="60"/>
    <s v="P3"/>
    <n v="80"/>
    <s v="Rashmita Pradhan"/>
    <m/>
    <s v="OTHER"/>
    <m/>
    <m/>
    <n v="40"/>
    <x v="1"/>
    <x v="6"/>
    <s v="Single Project"/>
    <s v="BAU"/>
  </r>
  <r>
    <s v="Omnichannel Service Hub - Integrations"/>
    <x v="35"/>
    <s v="[United] Ingenico Direct on OCH"/>
    <s v="Expose Ogone Payment engine to OCH (make Ogone PE as a shared service)"/>
    <s v="Beyond"/>
    <s v="L"/>
    <n v="150"/>
    <s v="override"/>
    <s v="OK"/>
    <n v="100"/>
    <n v="50"/>
    <m/>
    <m/>
    <s v="P1"/>
    <n v="150"/>
    <s v="Pierre Riat"/>
    <s v="Product"/>
    <s v="ECOM"/>
    <m/>
    <m/>
    <n v="72.45"/>
    <x v="0"/>
    <x v="4"/>
    <s v="Run"/>
    <s v="RUN"/>
  </r>
  <r>
    <s v="Omnichannel Service Hub - Integrations"/>
    <x v="35"/>
    <s v="[United] Ingenico Direct on OCH"/>
    <s v="Use Ingenico Direct API as Omnichannel API though OCH"/>
    <s v="Beyond"/>
    <s v="XXL"/>
    <n v="400"/>
    <s v="auto"/>
    <s v="OK"/>
    <m/>
    <n v="50"/>
    <n v="175"/>
    <n v="175"/>
    <s v="P1"/>
    <n v="400"/>
    <s v="Pierre Riat"/>
    <s v="Product"/>
    <s v="ECOM"/>
    <m/>
    <m/>
    <n v="193.2"/>
    <x v="0"/>
    <x v="4"/>
    <s v="Run"/>
    <s v="RUN"/>
  </r>
  <r>
    <s v="Omnichannel Service Hub - Integrations"/>
    <x v="35"/>
    <m/>
    <m/>
    <s v="OCH_E2E"/>
    <m/>
    <n v="146"/>
    <s v="override"/>
    <s v="OK"/>
    <n v="21"/>
    <n v="40"/>
    <n v="45"/>
    <n v="40"/>
    <s v="P1"/>
    <n v="146"/>
    <s v="Rashmita Pradhan"/>
    <m/>
    <s v="OCH"/>
    <m/>
    <m/>
    <n v="74.897999999999996"/>
    <x v="0"/>
    <x v="2"/>
    <s v="Run"/>
    <s v="RUN"/>
  </r>
  <r>
    <s v="Omnichannel Service Hub - Integrations"/>
    <x v="35"/>
    <m/>
    <m/>
    <s v="OCH_BA"/>
    <m/>
    <n v="120"/>
    <s v="override"/>
    <s v="OK"/>
    <n v="50"/>
    <n v="25"/>
    <n v="25"/>
    <n v="20"/>
    <s v="P1"/>
    <n v="120"/>
    <s v="Rashmita Pradhan"/>
    <m/>
    <s v="OCH"/>
    <m/>
    <m/>
    <n v="61.56"/>
    <x v="0"/>
    <x v="2"/>
    <s v="Run"/>
    <s v="RUN"/>
  </r>
  <r>
    <s v="Omnichannel Service Hub - Integrations"/>
    <x v="35"/>
    <m/>
    <m/>
    <s v="OCH_PDM"/>
    <m/>
    <n v="30"/>
    <s v="override"/>
    <s v="OK"/>
    <n v="5"/>
    <n v="15"/>
    <n v="5"/>
    <n v="5"/>
    <s v="P1"/>
    <n v="30"/>
    <s v="Rashmita Pradhan"/>
    <m/>
    <s v="OCH"/>
    <m/>
    <m/>
    <n v="15.39"/>
    <x v="0"/>
    <x v="2"/>
    <s v="Run"/>
    <s v="RUN"/>
  </r>
  <r>
    <s v="Omnichannel Service Hub - Integrations"/>
    <x v="35"/>
    <s v="WL1C Shared Services Development: Tx Mgmt, Notifications, Lifecycle"/>
    <m/>
    <s v="Omn_Cash"/>
    <m/>
    <n v="344"/>
    <s v="override"/>
    <s v="OK"/>
    <m/>
    <n v="60"/>
    <n v="224"/>
    <n v="60"/>
    <s v="P1"/>
    <n v="344"/>
    <s v="Rashmita Pradhan"/>
    <m/>
    <s v="OCH"/>
    <m/>
    <m/>
    <n v="176.47200000000001"/>
    <x v="0"/>
    <x v="2"/>
    <s v="Run"/>
    <s v="RUN"/>
  </r>
  <r>
    <s v="Omnichannel Shared Services Development"/>
    <x v="36"/>
    <s v="WL1C Shared Services Development: Tx Mgmt, Notifications, Lifecycle"/>
    <m/>
    <s v="Omn_Core"/>
    <m/>
    <n v="800"/>
    <s v="override"/>
    <s v="OK"/>
    <n v="250"/>
    <n v="300"/>
    <n v="180"/>
    <n v="70"/>
    <s v="P1"/>
    <n v="800"/>
    <s v="Rashmita Pradhan"/>
    <m/>
    <s v="OCH"/>
    <m/>
    <m/>
    <n v="410.4"/>
    <x v="0"/>
    <x v="2"/>
    <s v="United"/>
    <s v="U&amp;MP"/>
  </r>
  <r>
    <s v="Omnichannel Shared Services Development"/>
    <x v="36"/>
    <s v="WL1C Shared Services Development: Tx Mgmt, Notifications, Lifecycle"/>
    <m/>
    <s v="Omn_On"/>
    <s v="M"/>
    <n v="125"/>
    <s v="override"/>
    <s v="OK"/>
    <n v="60"/>
    <n v="65"/>
    <m/>
    <m/>
    <s v="P1"/>
    <n v="125"/>
    <s v="Rashmita Pradhan"/>
    <m/>
    <s v="OCH"/>
    <m/>
    <m/>
    <n v="64.125"/>
    <x v="0"/>
    <x v="2"/>
    <s v="United"/>
    <s v="U&amp;MP"/>
  </r>
  <r>
    <s v="Omnichannel Shared Services Development"/>
    <x v="36"/>
    <s v="WL1C Shared Services Development: Tx Mgmt, Notifications, Lifecycle"/>
    <m/>
    <s v="OCH_BA"/>
    <s v="M"/>
    <n v="115"/>
    <s v="override"/>
    <s v="OK"/>
    <n v="45"/>
    <n v="35"/>
    <n v="20"/>
    <n v="15"/>
    <s v="P1"/>
    <n v="115"/>
    <s v="Rashmita Pradhan"/>
    <m/>
    <s v="OCH"/>
    <m/>
    <s v="aec: added to reach 10 % of development work incl Datalake and Ogone"/>
    <n v="58.994999999999997"/>
    <x v="0"/>
    <x v="2"/>
    <s v="United"/>
    <s v="U&amp;MP"/>
  </r>
  <r>
    <s v="Omnichannel Shared Services Development"/>
    <x v="36"/>
    <s v="WL1C Shared Services Development: Tx Mgmt, Notifications, Lifecycle"/>
    <m/>
    <s v="OCH_PDM"/>
    <s v="M"/>
    <n v="100"/>
    <s v="override"/>
    <s v="OK"/>
    <n v="30"/>
    <n v="40"/>
    <n v="15"/>
    <n v="15"/>
    <s v="P1"/>
    <n v="100"/>
    <s v="Rashmita Pradhan"/>
    <m/>
    <s v="OCH"/>
    <m/>
    <m/>
    <n v="51.3"/>
    <x v="0"/>
    <x v="2"/>
    <s v="United"/>
    <s v="U&amp;MP"/>
  </r>
  <r>
    <s v="Omnichannel Shared Services Development"/>
    <x v="36"/>
    <s v="WL1C Shared Services Development: Tx Mgmt, Notifications, Lifecycle"/>
    <m/>
    <s v="OCH_E2E"/>
    <s v="L"/>
    <n v="200"/>
    <s v="override"/>
    <s v="OK"/>
    <n v="30"/>
    <n v="30"/>
    <n v="80"/>
    <n v="60"/>
    <s v="P1"/>
    <n v="200"/>
    <s v="Rashmita Pradhan"/>
    <m/>
    <s v="OCH"/>
    <m/>
    <s v="aec: added to reach 15% of development work incl Datalake and Ogone"/>
    <n v="102.6"/>
    <x v="0"/>
    <x v="2"/>
    <s v="United"/>
    <s v="U&amp;MP"/>
  </r>
  <r>
    <s v="Back-Office Process Efficiency &amp; Automation"/>
    <x v="37"/>
    <m/>
    <m/>
    <s v="TechProcess"/>
    <s v="XXL"/>
    <n v="400"/>
    <s v="auto"/>
    <s v="OK"/>
    <n v="100"/>
    <n v="100"/>
    <n v="100"/>
    <n v="100"/>
    <s v="P1"/>
    <n v="400"/>
    <s v="Arvind Singh"/>
    <s v=" Product "/>
    <s v="ONLINE"/>
    <m/>
    <m/>
    <n v="205.2"/>
    <x v="0"/>
    <x v="9"/>
    <n v="0"/>
    <s v="BAU"/>
  </r>
  <r>
    <s v="Bambora 8 Digit Bin"/>
    <x v="38"/>
    <s v="Compliance"/>
    <s v="new bin range, mandate from VISA/MC"/>
    <s v="Bambora I"/>
    <m/>
    <n v="95"/>
    <s v="override"/>
    <s v="OK"/>
    <m/>
    <m/>
    <m/>
    <n v="95"/>
    <s v="P1"/>
    <n v="95"/>
    <s v="Pernilla Grabner"/>
    <s v="Product"/>
    <s v="ECOM"/>
    <s v="Regulation"/>
    <m/>
    <n v="48.734999999999999"/>
    <x v="0"/>
    <x v="11"/>
    <s v="Single Project"/>
    <s v="BAU"/>
  </r>
  <r>
    <s v="Bambora Acquiring placeholder"/>
    <x v="39"/>
    <s v="Bambora Acq placeholder on BB dev team Hippo"/>
    <m/>
    <s v="Bambora H"/>
    <m/>
    <n v="0"/>
    <s v="auto"/>
    <s v="OK"/>
    <m/>
    <m/>
    <m/>
    <m/>
    <s v="P1"/>
    <n v="0"/>
    <s v="Pernilla Grabner"/>
    <s v="Product"/>
    <s v="ECOM"/>
    <m/>
    <m/>
    <n v="0"/>
    <x v="0"/>
    <x v="12"/>
    <n v="0"/>
    <s v="BAU"/>
  </r>
  <r>
    <s v="Bambora Automation of bank statement check Nordics"/>
    <x v="40"/>
    <s v="Efficient operations"/>
    <s v="integration to partner for bank statement lookup"/>
    <s v="Bambora H"/>
    <m/>
    <n v="100"/>
    <s v="override"/>
    <s v="OK"/>
    <m/>
    <n v="50"/>
    <n v="50"/>
    <m/>
    <s v="P1"/>
    <n v="100"/>
    <s v="Pernilla Grabner"/>
    <s v="Product"/>
    <s v="ECOM"/>
    <m/>
    <m/>
    <n v="51.3"/>
    <x v="0"/>
    <x v="12"/>
    <s v="Single Project"/>
    <s v="BAU"/>
  </r>
  <r>
    <s v="Bambora Flexible contract time/price"/>
    <x v="41"/>
    <s v="Nordic Instore Enhancement"/>
    <m/>
    <s v="Bambora H"/>
    <m/>
    <n v="125"/>
    <s v="override"/>
    <s v="OK"/>
    <m/>
    <m/>
    <m/>
    <n v="125"/>
    <s v="P1"/>
    <n v="125"/>
    <s v="Pernilla Grabner"/>
    <s v="Product"/>
    <s v="ECOM"/>
    <m/>
    <m/>
    <n v="64.125"/>
    <x v="0"/>
    <x v="12"/>
    <s v="Single Project"/>
    <s v="BAU"/>
  </r>
  <r>
    <s v="Bambora Instore Minipool"/>
    <x v="42"/>
    <s v="Nordic Instore Enhancement"/>
    <m/>
    <s v="Bambora I"/>
    <m/>
    <n v="100"/>
    <s v="override"/>
    <s v="OK"/>
    <m/>
    <n v="50"/>
    <m/>
    <n v="50"/>
    <s v="P1"/>
    <n v="100"/>
    <s v="Pernilla Grabner"/>
    <s v="Product"/>
    <s v="ECOM"/>
    <m/>
    <m/>
    <n v="51.3"/>
    <x v="0"/>
    <x v="11"/>
    <s v="Single Project"/>
    <s v="BAU"/>
  </r>
  <r>
    <s v="Bambora Instore Minipool"/>
    <x v="42"/>
    <s v="Nordic Instore Enhancement"/>
    <m/>
    <s v="Bambora H"/>
    <m/>
    <n v="50"/>
    <s v="override"/>
    <s v="OK"/>
    <m/>
    <m/>
    <m/>
    <n v="50"/>
    <s v="P1"/>
    <n v="50"/>
    <s v="Pernilla Grabner"/>
    <s v="Product"/>
    <s v="ECOM"/>
    <m/>
    <m/>
    <n v="25.65"/>
    <x v="0"/>
    <x v="12"/>
    <s v="Single Project"/>
    <s v="BAU"/>
  </r>
  <r>
    <s v="Bambora Kick start merchant loan, related dev"/>
    <x v="43"/>
    <s v="Nordic Instore Enhancement"/>
    <s v="based on pilot, changes needed in the loan product"/>
    <s v="Bambora F"/>
    <m/>
    <n v="350"/>
    <s v="override"/>
    <s v="OK"/>
    <n v="200"/>
    <n v="150"/>
    <m/>
    <m/>
    <s v="P1"/>
    <n v="350"/>
    <s v="Pernilla Grabner"/>
    <s v="Product"/>
    <s v="ECOM"/>
    <m/>
    <m/>
    <n v="179.55"/>
    <x v="0"/>
    <x v="12"/>
    <s v="Single Project"/>
    <s v="BAU"/>
  </r>
  <r>
    <s v="Bambora Marco Polo Merchant loan"/>
    <x v="44"/>
    <s v="United / Marco Polo"/>
    <s v="Building United Loan growth services (Marco Polo instance is at the end)"/>
    <s v="Bambora F"/>
    <m/>
    <n v="150"/>
    <s v="override"/>
    <s v="OK"/>
    <m/>
    <m/>
    <n v="100"/>
    <n v="50"/>
    <s v="P1"/>
    <n v="150"/>
    <s v="Pernilla Grabner"/>
    <s v="Synergies"/>
    <s v="ECOM"/>
    <m/>
    <m/>
    <n v="76.95"/>
    <x v="2"/>
    <x v="12"/>
    <s v="Marco Polo"/>
    <s v="U&amp;MP"/>
  </r>
  <r>
    <s v="Bambora Mobile Bank ID for Device"/>
    <x v="45"/>
    <s v="Efficient operations"/>
    <s v="secure BB device agreements are signed with Mobile Bank ID"/>
    <s v="Bambora H"/>
    <m/>
    <n v="50"/>
    <s v="override"/>
    <s v="OK"/>
    <m/>
    <n v="50"/>
    <m/>
    <m/>
    <s v="P1"/>
    <n v="50"/>
    <s v="Pernilla Grabner"/>
    <s v="Product"/>
    <s v="ECOM"/>
    <m/>
    <m/>
    <n v="25.65"/>
    <x v="0"/>
    <x v="12"/>
    <s v="Single Project"/>
    <s v="BAU"/>
  </r>
  <r>
    <s v="Bambora My Pages - Agreement, Engagement, Customer change request"/>
    <x v="46"/>
    <s v="Nordic Instore Enhancement"/>
    <s v="enable merchant to see engagement, agreement and make change requests in report portal"/>
    <s v="Bambora F"/>
    <m/>
    <n v="150"/>
    <s v="override"/>
    <s v="OK"/>
    <n v="75"/>
    <n v="75"/>
    <m/>
    <m/>
    <s v="P1"/>
    <n v="150"/>
    <s v="Pernilla Grabner"/>
    <s v="Product"/>
    <s v="ECOM"/>
    <m/>
    <m/>
    <n v="76.95"/>
    <x v="0"/>
    <x v="12"/>
    <s v="Single Project"/>
    <s v="BAU"/>
  </r>
  <r>
    <s v="Bambora Boarding queuing FWK refactoring (placeholder)"/>
    <x v="47"/>
    <s v="BAU/Tech Debt to refactor/migrate Boarding queueing engine"/>
    <s v="Current RabbitMQ is showing weaknesses"/>
    <s v="Bambora H"/>
    <m/>
    <n v="100"/>
    <s v="override"/>
    <s v="OK"/>
    <m/>
    <n v="50"/>
    <n v="50"/>
    <m/>
    <s v="P1"/>
    <n v="100"/>
    <s v="Geoffroy Gueulette"/>
    <s v="Tech. Debt"/>
    <s v="ECOM"/>
    <m/>
    <m/>
    <n v="51.3"/>
    <x v="0"/>
    <x v="12"/>
    <n v="0"/>
    <s v="BAU"/>
  </r>
  <r>
    <s v="Bambora Salesforce roadmap"/>
    <x v="48"/>
    <s v="Bambora Salesforce instance BAU (upgrade, MFA) "/>
    <s v="Several projects (MFA, migration) are to consider"/>
    <s v="Bambora H"/>
    <m/>
    <n v="300"/>
    <s v="override"/>
    <s v="OK"/>
    <n v="75"/>
    <n v="75"/>
    <n v="75"/>
    <n v="75"/>
    <s v="P1"/>
    <n v="300"/>
    <s v="Geoffroy Gueulette"/>
    <s v="Comp &amp; Regul."/>
    <s v="ECOM"/>
    <m/>
    <m/>
    <n v="153.9"/>
    <x v="0"/>
    <x v="12"/>
    <n v="0"/>
    <s v="BAU"/>
  </r>
  <r>
    <s v="Bambora boarding security improvements"/>
    <x v="49"/>
    <s v="Bambora boarding security improvements"/>
    <s v="Vulnerability/security to avoid potential data breach/leakage"/>
    <s v="Bambora H"/>
    <m/>
    <n v="200"/>
    <s v="override"/>
    <s v="OK"/>
    <m/>
    <n v="100"/>
    <n v="100"/>
    <m/>
    <s v="P1"/>
    <n v="200"/>
    <s v="Geoffroy Gueulette"/>
    <s v="Tech. Debt"/>
    <s v="ECOM"/>
    <m/>
    <m/>
    <n v="102.6"/>
    <x v="0"/>
    <x v="12"/>
    <n v="0"/>
    <s v="BAU"/>
  </r>
  <r>
    <s v="Bambora new Partner Commission Model"/>
    <x v="50"/>
    <s v="Efficient operations"/>
    <m/>
    <s v="Bambora H"/>
    <m/>
    <n v="100"/>
    <s v="override"/>
    <s v="OK"/>
    <m/>
    <n v="100"/>
    <n v="0"/>
    <m/>
    <s v="P1"/>
    <n v="100"/>
    <s v="Pernilla Grabner"/>
    <s v="Product"/>
    <s v="ECOM"/>
    <m/>
    <m/>
    <n v="51.3"/>
    <x v="0"/>
    <x v="12"/>
    <s v="Single Project"/>
    <s v="BAU"/>
  </r>
  <r>
    <s v="Bambora New Partner Model/Offering"/>
    <x v="51"/>
    <s v="Nordic Instore Enhancement"/>
    <s v="have product solution that enables partners to make own bundle"/>
    <s v="Bambora H"/>
    <m/>
    <n v="125"/>
    <s v="override"/>
    <s v="OK"/>
    <m/>
    <m/>
    <n v="125"/>
    <m/>
    <s v="P1"/>
    <n v="125"/>
    <s v="Pernilla Grabner"/>
    <s v="Product"/>
    <s v="ECOM"/>
    <m/>
    <m/>
    <n v="64.125"/>
    <x v="0"/>
    <x v="12"/>
    <s v="Single Project"/>
    <s v="BAU"/>
  </r>
  <r>
    <s v="Bambora Online Migration"/>
    <x v="52"/>
    <s v="Bambora Online"/>
    <s v="Reporting"/>
    <s v="Bambora O"/>
    <m/>
    <n v="80"/>
    <s v="auto"/>
    <s v="OK"/>
    <n v="20"/>
    <n v="20"/>
    <n v="20"/>
    <n v="20"/>
    <s v="P1"/>
    <n v="80"/>
    <s v="Emmanuel Blumel"/>
    <s v="Product"/>
    <s v="ECOM"/>
    <m/>
    <m/>
    <n v="41.04"/>
    <x v="0"/>
    <x v="13"/>
    <s v="United"/>
    <s v="U&amp;MP"/>
  </r>
  <r>
    <s v="Bambora Online Migration"/>
    <x v="52"/>
    <s v="Bambora Online"/>
    <s v="Placeholder to support BOL roadmap"/>
    <s v="Bambora F"/>
    <m/>
    <n v="200"/>
    <s v="override"/>
    <s v="OK"/>
    <n v="50"/>
    <n v="50"/>
    <n v="50"/>
    <n v="50"/>
    <s v="P1"/>
    <n v="200"/>
    <s v="Emmanuel Blumel"/>
    <s v="Product"/>
    <s v="ECOM"/>
    <m/>
    <m/>
    <n v="102.6"/>
    <x v="0"/>
    <x v="12"/>
    <s v="United"/>
    <s v="U&amp;MP"/>
  </r>
  <r>
    <s v="Bambora Online Migration"/>
    <x v="52"/>
    <s v="Bambora Online"/>
    <s v="Placeholder to support BOL roadmap"/>
    <s v="Bambora H"/>
    <m/>
    <n v="200"/>
    <s v="auto"/>
    <s v="OK"/>
    <n v="50"/>
    <n v="50"/>
    <n v="50"/>
    <n v="50"/>
    <s v="P1"/>
    <n v="200"/>
    <s v="Emmanuel Blumel"/>
    <s v="Product"/>
    <s v="ECOM"/>
    <m/>
    <m/>
    <n v="102.6"/>
    <x v="0"/>
    <x v="12"/>
    <s v="United"/>
    <s v="U&amp;MP"/>
  </r>
  <r>
    <s v="Bambora Online Migration"/>
    <x v="52"/>
    <s v="Bambora Online"/>
    <s v="Paybylink"/>
    <s v="Bambora O"/>
    <m/>
    <n v="20"/>
    <s v="auto"/>
    <s v="OK"/>
    <n v="20"/>
    <m/>
    <m/>
    <m/>
    <s v="P1"/>
    <n v="20"/>
    <s v="Emmanuel Blumel"/>
    <s v="Product"/>
    <s v="ECOM"/>
    <m/>
    <m/>
    <n v="10.26"/>
    <x v="0"/>
    <x v="13"/>
    <s v="United"/>
    <s v="U&amp;MP"/>
  </r>
  <r>
    <s v="Bambora Online Migration"/>
    <x v="52"/>
    <s v="Bambora Online"/>
    <s v="Gaps &amp; logs for Report.bambora.com"/>
    <s v="Bambora O"/>
    <m/>
    <n v="20"/>
    <s v="auto"/>
    <s v="OK"/>
    <m/>
    <n v="20"/>
    <m/>
    <m/>
    <s v="P1"/>
    <n v="20"/>
    <s v="Emmanuel Blumel"/>
    <s v="Product"/>
    <s v="ECOM"/>
    <m/>
    <m/>
    <n v="10.26"/>
    <x v="0"/>
    <x v="13"/>
    <s v="United"/>
    <s v="U&amp;MP"/>
  </r>
  <r>
    <s v="Bambora Online Migration"/>
    <x v="52"/>
    <s v="Bambora Online"/>
    <s v="Billing bambora checkout - APM"/>
    <s v="Bambora O"/>
    <m/>
    <n v="240"/>
    <s v="auto"/>
    <s v="OK"/>
    <n v="60"/>
    <n v="60"/>
    <n v="60"/>
    <n v="60"/>
    <s v="P1"/>
    <n v="240"/>
    <s v="Emmanuel Blumel"/>
    <s v="Product"/>
    <s v="ECOM"/>
    <m/>
    <m/>
    <n v="123.12"/>
    <x v="0"/>
    <x v="13"/>
    <s v="United"/>
    <s v="U&amp;MP"/>
  </r>
  <r>
    <s v="Bambora Online Migration"/>
    <x v="52"/>
    <s v="Bambora Online"/>
    <s v="Actual migration"/>
    <s v="Bambora O"/>
    <m/>
    <n v="240"/>
    <s v="auto"/>
    <s v="OK"/>
    <n v="60"/>
    <n v="60"/>
    <n v="60"/>
    <n v="60"/>
    <s v="P1"/>
    <n v="240"/>
    <s v="Emmanuel Blumel"/>
    <s v="Product"/>
    <s v="ECOM"/>
    <m/>
    <m/>
    <n v="123.12"/>
    <x v="0"/>
    <x v="13"/>
    <s v="United"/>
    <s v="U&amp;MP"/>
  </r>
  <r>
    <s v="Bambora Online Projects"/>
    <x v="53"/>
    <s v="Bambora Online"/>
    <s v="Reseller access - Restrictions in user levels"/>
    <s v="Bambora O"/>
    <m/>
    <n v="40"/>
    <s v="auto"/>
    <s v="OK"/>
    <m/>
    <n v="20"/>
    <n v="20"/>
    <m/>
    <s v="P1"/>
    <n v="40"/>
    <s v="Emmanuel Blumel"/>
    <s v="Product"/>
    <s v="ECOM"/>
    <m/>
    <m/>
    <n v="20.52"/>
    <x v="0"/>
    <x v="13"/>
    <s v="Single Project"/>
    <s v="BAU"/>
  </r>
  <r>
    <s v="Bambora Online Projects"/>
    <x v="53"/>
    <s v="Bambora Online"/>
    <s v="Partner boarding flow"/>
    <s v="Bambora O"/>
    <m/>
    <n v="40"/>
    <s v="auto"/>
    <s v="OK"/>
    <m/>
    <m/>
    <n v="20"/>
    <n v="20"/>
    <s v="P1"/>
    <n v="40"/>
    <s v="Emmanuel Blumel"/>
    <s v="Product"/>
    <s v="ECOM"/>
    <m/>
    <m/>
    <n v="20.52"/>
    <x v="0"/>
    <x v="13"/>
    <s v="Single Project"/>
    <s v="BAU"/>
  </r>
  <r>
    <s v="Bambora Online Projects"/>
    <x v="53"/>
    <s v="Bambora Online"/>
    <s v="New nvoice integration"/>
    <s v="Bambora O"/>
    <m/>
    <n v="120"/>
    <s v="auto"/>
    <s v="OK"/>
    <m/>
    <m/>
    <n v="60"/>
    <n v="60"/>
    <s v="P1"/>
    <n v="120"/>
    <s v="Emmanuel Blumel"/>
    <s v="Product"/>
    <s v="ECOM"/>
    <m/>
    <m/>
    <n v="61.56"/>
    <x v="0"/>
    <x v="13"/>
    <s v="Single Project"/>
    <s v="BAU"/>
  </r>
  <r>
    <s v="Bambora Online Projects"/>
    <x v="53"/>
    <s v="Bambora Online"/>
    <s v="MPO &amp; VIPSS merger"/>
    <s v="Bambora O"/>
    <m/>
    <n v="20"/>
    <s v="auto"/>
    <s v="OK"/>
    <m/>
    <m/>
    <n v="20"/>
    <m/>
    <s v="P1"/>
    <n v="20"/>
    <s v="Emmanuel Blumel"/>
    <s v="Product"/>
    <s v="ECOM"/>
    <m/>
    <m/>
    <n v="10.26"/>
    <x v="0"/>
    <x v="13"/>
    <s v="Single Project"/>
    <s v="BAU"/>
  </r>
  <r>
    <s v="Bambora Online Projects"/>
    <x v="53"/>
    <s v="Bambora Online"/>
    <s v="MOTO support"/>
    <s v="Bambora O"/>
    <m/>
    <n v="45"/>
    <s v="auto"/>
    <s v="OK"/>
    <n v="20"/>
    <n v="25"/>
    <m/>
    <m/>
    <s v="P1"/>
    <n v="45"/>
    <s v="Emmanuel Blumel"/>
    <s v="Product"/>
    <s v="ECOM"/>
    <m/>
    <m/>
    <n v="23.085000000000001"/>
    <x v="0"/>
    <x v="13"/>
    <s v="Single Project"/>
    <s v="BAU"/>
  </r>
  <r>
    <s v="Bambora Online Projects"/>
    <x v="53"/>
    <s v="Bambora Online"/>
    <s v="App Switch"/>
    <s v="Bambora O"/>
    <m/>
    <n v="120"/>
    <s v="auto"/>
    <s v="OK"/>
    <n v="60"/>
    <n v="60"/>
    <m/>
    <m/>
    <s v="P1"/>
    <n v="120"/>
    <s v="Emmanuel Blumel"/>
    <s v="Product"/>
    <s v="ECOM"/>
    <m/>
    <m/>
    <n v="61.56"/>
    <x v="0"/>
    <x v="13"/>
    <s v="Single Project"/>
    <s v="BAU"/>
  </r>
  <r>
    <s v="Bambora Online Projects"/>
    <x v="53"/>
    <s v="Bambora Online"/>
    <s v="AMEX support on checkout"/>
    <s v="Bambora O"/>
    <s v="M"/>
    <n v="100"/>
    <s v="auto"/>
    <s v="OK"/>
    <n v="25"/>
    <n v="25"/>
    <n v="25"/>
    <n v="25"/>
    <s v="P1"/>
    <n v="100"/>
    <s v="Emmanuel Blumel"/>
    <s v="Product"/>
    <s v="ECOM"/>
    <m/>
    <m/>
    <n v="51.3"/>
    <x v="0"/>
    <x v="13"/>
    <s v="Single Project"/>
    <s v="BAU"/>
  </r>
  <r>
    <s v="Bambora Portal BAU &amp; Tech Debt"/>
    <x v="54"/>
    <s v="Bambora BAU &amp; Tech Debt"/>
    <s v="Placeholder to support Portal Tech Debt"/>
    <s v="Bambora F"/>
    <m/>
    <n v="300"/>
    <s v="override"/>
    <s v="OK"/>
    <n v="75"/>
    <n v="75"/>
    <n v="75"/>
    <n v="75"/>
    <s v="P1"/>
    <n v="300"/>
    <s v="Geoffroy Gueulette"/>
    <s v="Tech. Debt"/>
    <s v="ECOM"/>
    <m/>
    <m/>
    <n v="153.9"/>
    <x v="0"/>
    <x v="12"/>
    <s v="Run"/>
    <s v="RUN"/>
  </r>
  <r>
    <s v="Bambora SAP/Nessie"/>
    <x v="55"/>
    <s v="Budget with Financial Services"/>
    <s v="secure boarding integration to SAP instead of legacy"/>
    <s v="Bambora I"/>
    <m/>
    <n v="240"/>
    <s v="override"/>
    <s v="OK"/>
    <n v="80"/>
    <n v="80"/>
    <n v="80"/>
    <m/>
    <s v="P1"/>
    <n v="240"/>
    <s v="Pernilla Grabner"/>
    <s v="Synergies"/>
    <s v="ECOM"/>
    <m/>
    <m/>
    <n v="123.12"/>
    <x v="0"/>
    <x v="11"/>
    <s v="United"/>
    <s v="U&amp;MP"/>
  </r>
  <r>
    <s v="Bambora SAP/Nessie"/>
    <x v="55"/>
    <s v="Budget with Financial Services"/>
    <s v="secure boarding integration to SAP instead of legacy"/>
    <s v="Bambora F"/>
    <m/>
    <n v="50"/>
    <s v="override"/>
    <s v="OK"/>
    <n v="50"/>
    <m/>
    <m/>
    <m/>
    <s v="P1"/>
    <n v="50"/>
    <s v="Pernilla Grabner"/>
    <s v="Synergies"/>
    <s v="ECOM"/>
    <m/>
    <m/>
    <n v="25.65"/>
    <x v="0"/>
    <x v="12"/>
    <s v="United"/>
    <s v="U&amp;MP"/>
  </r>
  <r>
    <s v="Bambora SAP/Nessie"/>
    <x v="55"/>
    <s v="Budget with Financial Services"/>
    <s v="secure boarding integration to SAP instead of legacy"/>
    <s v="Bambora H"/>
    <m/>
    <n v="600"/>
    <s v="override"/>
    <s v="OK"/>
    <n v="200"/>
    <n v="200"/>
    <n v="200"/>
    <m/>
    <s v="P1"/>
    <n v="600"/>
    <s v="Pernilla Grabner"/>
    <s v="Synergies"/>
    <s v="ECOM"/>
    <m/>
    <m/>
    <n v="307.8"/>
    <x v="0"/>
    <x v="12"/>
    <s v="United"/>
    <s v="U&amp;MP"/>
  </r>
  <r>
    <s v="Bambora Scheme compliance bucket"/>
    <x v="56"/>
    <s v="Compliance"/>
    <s v="Catering for regular smaller scheme updates during the year"/>
    <m/>
    <m/>
    <n v="0"/>
    <s v="auto"/>
    <s v="OK"/>
    <m/>
    <m/>
    <m/>
    <m/>
    <s v="P1"/>
    <n v="0"/>
    <m/>
    <m/>
    <n v="0"/>
    <m/>
    <m/>
    <n v="0"/>
    <x v="3"/>
    <x v="14"/>
    <s v="Single Project"/>
    <s v="BAU"/>
  </r>
  <r>
    <s v="Bambora Scheme compliance bucket"/>
    <x v="56"/>
    <s v="Compliance"/>
    <s v="Regular smaller scheme updates during the year"/>
    <s v="Bambora I"/>
    <m/>
    <n v="150"/>
    <s v="override"/>
    <s v="OK"/>
    <n v="65"/>
    <n v="35"/>
    <n v="25"/>
    <n v="25"/>
    <s v="P1"/>
    <n v="150"/>
    <s v="Pernilla Grabner"/>
    <s v="Product"/>
    <s v="ECOM"/>
    <s v="Regulation"/>
    <m/>
    <n v="76.95"/>
    <x v="0"/>
    <x v="11"/>
    <s v="Single Project"/>
    <s v="BAU"/>
  </r>
  <r>
    <s v="Bambora Start new invoice partner (Online)"/>
    <x v="57"/>
    <s v="Bambora Online"/>
    <s v="set up a new invoice partner (BNPL) for BB Online Checkout"/>
    <s v="Bambora O"/>
    <m/>
    <n v="120"/>
    <s v="override"/>
    <s v="OK"/>
    <m/>
    <m/>
    <n v="60"/>
    <n v="60"/>
    <s v="P1"/>
    <n v="120"/>
    <s v="Pernilla Grabner"/>
    <s v="Product"/>
    <s v="ECOM"/>
    <m/>
    <m/>
    <n v="61.56"/>
    <x v="0"/>
    <x v="13"/>
    <s v="Single Project"/>
    <s v="BAU"/>
  </r>
  <r>
    <s v="Bambora Start new invoice partner (Online)"/>
    <x v="57"/>
    <s v="Bambora Online"/>
    <s v="set up a new invoice partner (BNPL) for BB Online Checkout"/>
    <s v="Bambora F"/>
    <m/>
    <n v="20"/>
    <s v="override"/>
    <s v="OK"/>
    <m/>
    <m/>
    <m/>
    <n v="20"/>
    <s v="P1"/>
    <n v="20"/>
    <s v="Pernilla Grabner"/>
    <s v="Product"/>
    <s v="ECOM"/>
    <m/>
    <m/>
    <n v="10.26"/>
    <x v="0"/>
    <x v="12"/>
    <s v="Single Project"/>
    <s v="BAU"/>
  </r>
  <r>
    <s v="Bambora Start new invoice partner (Online)"/>
    <x v="57"/>
    <s v="Bambora Online"/>
    <s v="set up a new invoice partner (BNPL) for BB Online Checkout"/>
    <s v="Bambora H"/>
    <m/>
    <n v="50"/>
    <s v="override"/>
    <s v="OK"/>
    <m/>
    <m/>
    <m/>
    <n v="50"/>
    <s v="P1"/>
    <n v="50"/>
    <s v="Pernilla Grabner"/>
    <s v="Product"/>
    <s v="ECOM"/>
    <m/>
    <m/>
    <n v="25.65"/>
    <x v="0"/>
    <x v="12"/>
    <s v="Single Project"/>
    <s v="BAU"/>
  </r>
  <r>
    <s v="Bambora Swish Instore, mvp Nordics"/>
    <x v="58"/>
    <s v="Nordic Instore Enhancement"/>
    <s v="enable Swedish merchants to offer swish as payment option"/>
    <s v="Bambora F"/>
    <m/>
    <n v="25"/>
    <s v="override"/>
    <s v="OK"/>
    <m/>
    <m/>
    <m/>
    <n v="25"/>
    <s v="P1"/>
    <n v="25"/>
    <s v="Pernilla Grabner"/>
    <s v="Product"/>
    <s v="ECOM"/>
    <m/>
    <m/>
    <n v="12.824999999999999"/>
    <x v="0"/>
    <x v="12"/>
    <s v="Single Project"/>
    <s v="BAU"/>
  </r>
  <r>
    <s v="Bambora Swish Instore, mvp Nordics"/>
    <x v="58"/>
    <s v="Nordic Instore Enhancement"/>
    <s v="enable Swedish merchants to offer swish as payment option"/>
    <s v="Bambora H"/>
    <m/>
    <n v="25"/>
    <s v="override"/>
    <s v="OK"/>
    <m/>
    <m/>
    <m/>
    <n v="25"/>
    <s v="P1"/>
    <n v="25"/>
    <s v="Pernilla Grabner"/>
    <s v="Product"/>
    <s v="ECOM"/>
    <m/>
    <m/>
    <n v="12.824999999999999"/>
    <x v="0"/>
    <x v="12"/>
    <s v="Single Project"/>
    <s v="BAU"/>
  </r>
  <r>
    <s v="Bambora Swish Instore, mvp Nordics"/>
    <x v="58"/>
    <s v="Nordic Instore Enhancement"/>
    <s v="enable Swedish merchants to offer swish as payment option"/>
    <s v="Bambora I"/>
    <m/>
    <m/>
    <s v="override"/>
    <s v="OK"/>
    <m/>
    <m/>
    <m/>
    <m/>
    <s v="P1"/>
    <n v="0"/>
    <s v="Pernilla Grabner"/>
    <s v="Product"/>
    <s v="ECOM"/>
    <m/>
    <m/>
    <n v="0"/>
    <x v="0"/>
    <x v="11"/>
    <s v="Single Project"/>
    <s v="BAU"/>
  </r>
  <r>
    <s v="Bambora Terminal Swap"/>
    <x v="59"/>
    <s v="Nordic Instore Enhancement"/>
    <s v="prolonging of agreements without term/new boarding"/>
    <s v="Bambora H"/>
    <m/>
    <n v="100"/>
    <s v="override"/>
    <s v="OK"/>
    <n v="100"/>
    <m/>
    <m/>
    <m/>
    <s v="P1"/>
    <n v="100"/>
    <s v="Pernilla Grabner"/>
    <s v="Product"/>
    <s v="ECOM"/>
    <m/>
    <m/>
    <n v="51.3"/>
    <x v="0"/>
    <x v="12"/>
    <s v="Single Project"/>
    <s v="BAU"/>
  </r>
  <r>
    <s v="Bambora Tetra Cloud ECR integration support"/>
    <x v="60"/>
    <s v="Nordic Instore Enhancement"/>
    <s v="enable terminal to talk to a cloud based ecr"/>
    <s v="Bambora I"/>
    <m/>
    <n v="720"/>
    <s v="override"/>
    <s v="OK"/>
    <n v="120"/>
    <n v="340"/>
    <n v="70"/>
    <n v="190"/>
    <s v="P1"/>
    <n v="720"/>
    <s v="Pernilla Grabner"/>
    <s v="Product"/>
    <s v="ECOM"/>
    <m/>
    <m/>
    <n v="369.36"/>
    <x v="0"/>
    <x v="11"/>
    <s v="Single Project"/>
    <s v="BAU"/>
  </r>
  <r>
    <s v="Bambora Tetra extended UI"/>
    <x v="61"/>
    <s v="Nordic Instore Enhancement"/>
    <s v="improved customer UI experience"/>
    <s v="Bambora I"/>
    <m/>
    <n v="295"/>
    <s v="override"/>
    <s v="OK"/>
    <m/>
    <m/>
    <n v="100"/>
    <n v="195"/>
    <s v="P1"/>
    <n v="295"/>
    <s v="Pernilla Grabner"/>
    <s v="Product"/>
    <s v="ECOM"/>
    <m/>
    <m/>
    <n v="151.33500000000001"/>
    <x v="0"/>
    <x v="11"/>
    <s v="Single Project"/>
    <s v="BAU"/>
  </r>
  <r>
    <s v="Bambora Tetra Installation Guide"/>
    <x v="62"/>
    <s v="Nordic Instore Enhancement"/>
    <s v="First step plug n play solution for merchants"/>
    <s v="Bambora I"/>
    <m/>
    <m/>
    <s v="override"/>
    <s v="OK"/>
    <m/>
    <m/>
    <m/>
    <m/>
    <s v="P1"/>
    <n v="0"/>
    <s v="Pernilla Grabner"/>
    <s v="Product"/>
    <s v="ECOM"/>
    <m/>
    <m/>
    <n v="0"/>
    <x v="0"/>
    <x v="11"/>
    <s v="Single Project"/>
    <s v="BAU"/>
  </r>
  <r>
    <s v="Bambora Tetra Wifi support"/>
    <x v="63"/>
    <s v="Nordic Instore Enhancement"/>
    <s v="enable terminal to connect via wifi"/>
    <s v="Bambora I"/>
    <m/>
    <n v="150"/>
    <s v="override"/>
    <s v="OK"/>
    <n v="150"/>
    <m/>
    <m/>
    <m/>
    <s v="P1"/>
    <n v="150"/>
    <s v="Pernilla Grabner"/>
    <s v="Product"/>
    <s v="ECOM"/>
    <m/>
    <m/>
    <n v="76.95"/>
    <x v="0"/>
    <x v="11"/>
    <s v="Single Project"/>
    <s v="BAU"/>
  </r>
  <r>
    <s v="Bambora VISA/MC online refund"/>
    <x v="64"/>
    <s v="Compliance"/>
    <s v="secure refunds go online, mandate from VISA/MC"/>
    <s v="Bambora I"/>
    <m/>
    <n v="120"/>
    <s v="override"/>
    <s v="OK"/>
    <n v="120"/>
    <m/>
    <m/>
    <m/>
    <s v="P1"/>
    <n v="120"/>
    <s v="Pernilla Grabner"/>
    <s v="Product"/>
    <s v="ECOM"/>
    <s v="Regulation"/>
    <m/>
    <n v="61.56"/>
    <x v="0"/>
    <x v="11"/>
    <s v="Single Project"/>
    <s v="BAU"/>
  </r>
  <r>
    <s v="Barclays Contract Renewal"/>
    <x v="65"/>
    <s v="Financial Institutions"/>
    <s v="MP White Labeling for Barclays"/>
    <s v="WLOC_MXP"/>
    <s v="M"/>
    <n v="100"/>
    <s v="auto"/>
    <s v="OK"/>
    <n v="100"/>
    <m/>
    <m/>
    <m/>
    <s v="P1"/>
    <n v="100"/>
    <s v="Sebastien Fantone"/>
    <s v="Product"/>
    <s v="ECOM"/>
    <m/>
    <m/>
    <n v="48.3"/>
    <x v="0"/>
    <x v="4"/>
    <n v="0"/>
    <s v="BAU"/>
  </r>
  <r>
    <s v="Barclays Contract Renewal"/>
    <x v="65"/>
    <s v="Financial Institutions"/>
    <s v="Ingenico Direct White Labeling for Barclays "/>
    <s v="WLOC_APM"/>
    <s v="S"/>
    <n v="70"/>
    <s v="override"/>
    <s v="OK"/>
    <m/>
    <m/>
    <m/>
    <n v="70"/>
    <s v="P1"/>
    <n v="70"/>
    <s v="Sebastien Fantone"/>
    <s v="Product"/>
    <s v="ECOM"/>
    <m/>
    <m/>
    <n v="33.81"/>
    <x v="0"/>
    <x v="4"/>
    <n v="0"/>
    <s v="BAU"/>
  </r>
  <r>
    <s v="Barclays Contract Renewal"/>
    <x v="65"/>
    <s v="Financial Institutions"/>
    <s v="Apple Pay for Barclaycard"/>
    <s v="WLOC_APM"/>
    <s v="M"/>
    <n v="80"/>
    <s v="auto"/>
    <s v="OK"/>
    <n v="80"/>
    <m/>
    <m/>
    <m/>
    <s v="P1"/>
    <n v="80"/>
    <s v="Emmanuel Blumel"/>
    <s v="Product"/>
    <s v="ECOM"/>
    <m/>
    <m/>
    <n v="38.64"/>
    <x v="0"/>
    <x v="4"/>
    <n v="0"/>
    <s v="BAU"/>
  </r>
  <r>
    <s v="BIC - Acquirer Connections / Gateway Enhancements"/>
    <x v="66"/>
    <m/>
    <s v="Top retention items from ISVs, eg. onboarding enhancements, "/>
    <s v="Beanstream"/>
    <m/>
    <n v="539"/>
    <s v="auto"/>
    <s v="OK"/>
    <n v="134.75"/>
    <n v="134.75"/>
    <n v="134.75"/>
    <n v="134.75"/>
    <s v="P1"/>
    <n v="539"/>
    <s v="Michael Huffman"/>
    <s v="Product"/>
    <s v="ECOM"/>
    <m/>
    <m/>
    <n v="276.50700000000001"/>
    <x v="0"/>
    <x v="15"/>
    <n v="0"/>
    <s v="BAU"/>
  </r>
  <r>
    <s v="BIC - Acquirer Connections / Gateway Enhancements"/>
    <x v="66"/>
    <m/>
    <s v="8 Digit BIN support"/>
    <s v="Beanstream"/>
    <m/>
    <n v="113"/>
    <s v="auto"/>
    <s v="OK"/>
    <n v="113"/>
    <m/>
    <m/>
    <m/>
    <s v="P1"/>
    <n v="113"/>
    <s v="Michael Huffman"/>
    <s v="Product"/>
    <s v="ECOM"/>
    <m/>
    <m/>
    <n v="57.969000000000001"/>
    <x v="0"/>
    <x v="15"/>
    <n v="0"/>
    <s v="BAU"/>
  </r>
  <r>
    <s v="BIC - Bank Transfer Enhancements"/>
    <x v="67"/>
    <m/>
    <s v="Automation and process improvements for bank transfer product suite"/>
    <s v="Beanstream"/>
    <m/>
    <n v="110"/>
    <s v="auto"/>
    <s v="OK"/>
    <m/>
    <n v="36.700000000000003"/>
    <n v="36.700000000000003"/>
    <n v="36.6"/>
    <s v="P1"/>
    <n v="110"/>
    <s v="Michael Huffman"/>
    <s v="Product"/>
    <s v="ECOM"/>
    <m/>
    <m/>
    <n v="56.43"/>
    <x v="0"/>
    <x v="15"/>
    <n v="0"/>
    <s v="BAU"/>
  </r>
  <r>
    <s v="BIC - Compliance / Security Requirements"/>
    <x v="68"/>
    <m/>
    <s v="Compliance requirements , eg. Visa Checkout, Amex aggregator, AWS Repatriation"/>
    <s v="Beanstream"/>
    <m/>
    <n v="380"/>
    <s v="auto"/>
    <s v="OK"/>
    <n v="95"/>
    <n v="95"/>
    <n v="95"/>
    <n v="95"/>
    <s v="P1"/>
    <n v="380"/>
    <s v="Michael Huffman"/>
    <s v="Product"/>
    <s v="ECOM"/>
    <m/>
    <m/>
    <n v="194.94"/>
    <x v="0"/>
    <x v="15"/>
    <n v="0"/>
    <s v="BAU"/>
  </r>
  <r>
    <s v="BIC - Fraud Management Tools"/>
    <x v="69"/>
    <m/>
    <s v="Iterate on 3DS, enhance risk thresholds and other fraud tools"/>
    <s v="Beanstream"/>
    <m/>
    <n v="384"/>
    <s v="auto"/>
    <s v="OK"/>
    <n v="188"/>
    <n v="66"/>
    <n v="65"/>
    <n v="65"/>
    <s v="P1"/>
    <n v="384"/>
    <s v="Michael Huffman"/>
    <s v="Product"/>
    <s v="ECOM"/>
    <m/>
    <m/>
    <n v="196.99199999999999"/>
    <x v="0"/>
    <x v="15"/>
    <n v="0"/>
    <s v="BAU"/>
  </r>
  <r>
    <s v="BIC - Full Services Enhancements"/>
    <x v="70"/>
    <m/>
    <s v="Risk monitoring tools, onboarding processes and merchant communication for Payfac"/>
    <s v="Beanstream"/>
    <m/>
    <n v="282.5"/>
    <s v="auto"/>
    <s v="OK"/>
    <n v="70.599999999999994"/>
    <n v="70.599999999999994"/>
    <n v="70.599999999999994"/>
    <n v="70.7"/>
    <s v="P1"/>
    <n v="282.5"/>
    <s v="Michael Huffman"/>
    <s v="Product"/>
    <s v="ECOM"/>
    <m/>
    <m/>
    <n v="144.92250000000001"/>
    <x v="0"/>
    <x v="15"/>
    <n v="0"/>
    <s v="BAU"/>
  </r>
  <r>
    <s v="BNPL Appexx"/>
    <x v="71"/>
    <s v="BNPL phase 2 FS"/>
    <m/>
    <s v="GC Global LPM"/>
    <s v="S"/>
    <n v="300"/>
    <s v="auto"/>
    <s v="OK"/>
    <m/>
    <m/>
    <n v="300"/>
    <m/>
    <s v="P1"/>
    <n v="300"/>
    <s v="Stanley Macnack"/>
    <s v="Product"/>
    <s v="ONLINE"/>
    <s v="Vertical Solutions"/>
    <m/>
    <n v="153.9"/>
    <x v="0"/>
    <x v="5"/>
    <s v="Single Project"/>
    <s v="BAU"/>
  </r>
  <r>
    <s v="BNPL Appexx"/>
    <x v="71"/>
    <s v="BNPL phase 2 FS"/>
    <m/>
    <s v="GC Supp1"/>
    <s v="S"/>
    <n v="180"/>
    <s v="auto"/>
    <s v="OK"/>
    <m/>
    <m/>
    <n v="180"/>
    <m/>
    <s v="P1"/>
    <n v="180"/>
    <s v="Stanley Macnack"/>
    <s v="Product"/>
    <s v="ONLINE"/>
    <s v="Vertical Solutions"/>
    <m/>
    <n v="92.34"/>
    <x v="0"/>
    <x v="5"/>
    <s v="Single Project"/>
    <s v="BAU"/>
  </r>
  <r>
    <s v="Security &amp; Risks"/>
    <x v="72"/>
    <s v="Compiance PCI"/>
    <s v="security bug fixing"/>
    <s v="AF6"/>
    <s v="XS"/>
    <n v="10"/>
    <s v="override"/>
    <s v="OK"/>
    <m/>
    <n v="10"/>
    <m/>
    <m/>
    <s v="P1"/>
    <n v="10"/>
    <s v="Sebastien Letniowski"/>
    <m/>
    <s v="IN_STORE"/>
    <s v="Regulation"/>
    <m/>
    <n v="5.13"/>
    <x v="0"/>
    <x v="1"/>
    <n v="0"/>
    <s v="BAU"/>
  </r>
  <r>
    <s v="Technical &amp; Functional Debt"/>
    <x v="12"/>
    <s v="Refactoring"/>
    <s v="Axis Service / Spring Boot or Jboss 7"/>
    <s v="AF6"/>
    <m/>
    <n v="0"/>
    <s v="auto"/>
    <s v="OK"/>
    <m/>
    <m/>
    <m/>
    <m/>
    <s v="P1"/>
    <n v="0"/>
    <s v="Sebastien Letniowski"/>
    <m/>
    <s v="IN_STORE"/>
    <s v="Technical Leverage"/>
    <m/>
    <n v="0"/>
    <x v="0"/>
    <x v="1"/>
    <n v="0"/>
    <s v="BAU"/>
  </r>
  <r>
    <s v="Conexflow migration"/>
    <x v="8"/>
    <s v="Conexflow migration - contingency"/>
    <s v="Unexpected works on Axis (change request, unidentifed gaps, new keep customers)"/>
    <s v="AF6"/>
    <s v="M"/>
    <n v="100"/>
    <s v="auto"/>
    <s v="OK"/>
    <n v="50"/>
    <n v="50"/>
    <m/>
    <m/>
    <s v="P2"/>
    <n v="100"/>
    <s v="Jorge Tarlea"/>
    <s v="Tech. Debt"/>
    <s v="IN_STORE"/>
    <s v="Support Customers' Projects"/>
    <m/>
    <n v="51.3"/>
    <x v="0"/>
    <x v="1"/>
    <n v="0"/>
    <s v="BAU"/>
  </r>
  <r>
    <s v="Business Templates Redesign"/>
    <x v="73"/>
    <m/>
    <m/>
    <s v="Saferpay"/>
    <m/>
    <n v="4"/>
    <s v="override"/>
    <s v="OK"/>
    <n v="1"/>
    <n v="1"/>
    <n v="1"/>
    <n v="1"/>
    <s v="P1"/>
    <n v="4"/>
    <s v="Olivier Choquet"/>
    <m/>
    <s v="ECOM"/>
    <m/>
    <m/>
    <n v="4"/>
    <x v="2"/>
    <x v="10"/>
    <s v="Not Acceptance"/>
    <s v="BAU"/>
  </r>
  <r>
    <s v="Card on File"/>
    <x v="74"/>
    <s v="Card on File"/>
    <m/>
    <s v="IPP"/>
    <s v="XXL"/>
    <n v="375"/>
    <s v="auto"/>
    <s v="OK"/>
    <m/>
    <m/>
    <n v="175"/>
    <n v="200"/>
    <s v="P1"/>
    <n v="375"/>
    <s v="Mike O'Halloran"/>
    <s v="Product"/>
    <s v="ECOM"/>
    <s v="Regulation"/>
    <m/>
    <n v="192.375"/>
    <x v="0"/>
    <x v="7"/>
    <n v="0"/>
    <s v="BAU"/>
  </r>
  <r>
    <s v="cCredit - ep2 Improvements "/>
    <x v="75"/>
    <s v="cC P60 P2PE - SRED (ep2)"/>
    <m/>
    <s v="cCredit"/>
    <s v="S"/>
    <n v="50"/>
    <s v="auto"/>
    <s v="OK"/>
    <n v="10"/>
    <n v="20"/>
    <n v="10"/>
    <n v="10"/>
    <s v="P1"/>
    <n v="50"/>
    <m/>
    <m/>
    <s v="IN_STORE"/>
    <m/>
    <m/>
    <n v="40"/>
    <x v="2"/>
    <x v="16"/>
    <s v="Not Acceptance"/>
    <s v="BAU"/>
  </r>
  <r>
    <s v="cCredit - ep2 Improvements "/>
    <x v="75"/>
    <s v="cC yoximo successor Integration (ep2)"/>
    <m/>
    <s v="cCredit"/>
    <s v="M"/>
    <n v="100"/>
    <s v="auto"/>
    <s v="OK"/>
    <n v="25"/>
    <n v="25"/>
    <n v="25"/>
    <n v="25"/>
    <s v="P1"/>
    <n v="100"/>
    <m/>
    <m/>
    <s v="IN_STORE"/>
    <m/>
    <m/>
    <n v="80"/>
    <x v="2"/>
    <x v="16"/>
    <s v="Not Acceptance"/>
    <s v="BAU"/>
  </r>
  <r>
    <s v="cCredit - ep2 Improvements "/>
    <x v="75"/>
    <s v="cC yomani second source integration (ep2)"/>
    <m/>
    <s v="cCredit"/>
    <s v="XL"/>
    <n v="300"/>
    <s v="auto"/>
    <s v="OK"/>
    <n v="75"/>
    <n v="75"/>
    <n v="75"/>
    <n v="75"/>
    <s v="P1"/>
    <n v="300"/>
    <m/>
    <m/>
    <s v="IN_STORE"/>
    <m/>
    <m/>
    <n v="240"/>
    <x v="2"/>
    <x v="16"/>
    <s v="Not Acceptance"/>
    <s v="BAU"/>
  </r>
  <r>
    <s v="cCredit – Hospitality "/>
    <x v="76"/>
    <s v="cC pay@table"/>
    <m/>
    <s v="cCredit"/>
    <s v="M"/>
    <n v="120"/>
    <s v="override"/>
    <n v="20"/>
    <n v="25"/>
    <n v="25"/>
    <n v="25"/>
    <n v="25"/>
    <s v="P1"/>
    <n v="100"/>
    <m/>
    <m/>
    <s v="IN_STORE"/>
    <m/>
    <m/>
    <n v="96"/>
    <x v="4"/>
    <x v="16"/>
    <s v="Not Acceptance"/>
    <s v="BAU"/>
  </r>
  <r>
    <s v="cCredit – Hospitality "/>
    <x v="76"/>
    <s v="cC Logo on PINPad (Gateway)"/>
    <m/>
    <s v="cCredit"/>
    <s v="S"/>
    <n v="40"/>
    <s v="override"/>
    <n v="-10"/>
    <n v="10"/>
    <n v="20"/>
    <n v="10"/>
    <n v="10"/>
    <s v="P1"/>
    <n v="50"/>
    <m/>
    <m/>
    <s v="IN_STORE"/>
    <m/>
    <m/>
    <n v="32"/>
    <x v="4"/>
    <x v="16"/>
    <s v="Not Acceptance"/>
    <s v="BAU"/>
  </r>
  <r>
    <s v="cCredit – Hospitality "/>
    <x v="76"/>
    <s v="cC Backoffice for WL Hospitality Suite (&quot;Bistrokasse&quot; )"/>
    <m/>
    <s v="cCredit"/>
    <s v="M"/>
    <n v="90"/>
    <s v="override"/>
    <n v="-10"/>
    <n v="25"/>
    <n v="25"/>
    <n v="25"/>
    <n v="25"/>
    <s v="P1"/>
    <n v="100"/>
    <m/>
    <m/>
    <s v="IN_STORE"/>
    <m/>
    <m/>
    <n v="72"/>
    <x v="4"/>
    <x v="16"/>
    <s v="Not Acceptance"/>
    <s v="BAU"/>
  </r>
  <r>
    <s v="cCredit – Hospitality "/>
    <x v="76"/>
    <s v="cC Oracle Simphony (pay@counter)"/>
    <m/>
    <s v="cCredit"/>
    <s v="M"/>
    <n v="70"/>
    <s v="override"/>
    <n v="-30"/>
    <n v="25"/>
    <n v="25"/>
    <n v="25"/>
    <n v="25"/>
    <s v="P1"/>
    <n v="100"/>
    <m/>
    <m/>
    <s v="IN_STORE"/>
    <m/>
    <m/>
    <n v="56"/>
    <x v="4"/>
    <x v="16"/>
    <s v="Not Acceptance"/>
    <s v="BAU"/>
  </r>
  <r>
    <s v="cCredit - ZVT Improvements "/>
    <x v="77"/>
    <s v="cC P53 DC POS 3.0"/>
    <m/>
    <s v="cCredit"/>
    <s v="XXL"/>
    <n v="460"/>
    <s v="override"/>
    <s v="OK"/>
    <n v="50"/>
    <n v="70"/>
    <n v="170"/>
    <n v="170"/>
    <s v="P1"/>
    <n v="460"/>
    <m/>
    <m/>
    <s v="IN_STORE"/>
    <m/>
    <m/>
    <n v="368"/>
    <x v="2"/>
    <x v="16"/>
    <s v="Not Acceptance"/>
    <s v="BAU"/>
  </r>
  <r>
    <s v="cCredit - ZVT Improvements "/>
    <x v="77"/>
    <s v="cC P61 NSP exchange (ZVT)"/>
    <m/>
    <s v="cCredit"/>
    <s v="S"/>
    <n v="70"/>
    <s v="override"/>
    <s v="OK"/>
    <n v="10"/>
    <n v="10"/>
    <n v="20"/>
    <n v="30"/>
    <s v="P1"/>
    <n v="70"/>
    <m/>
    <m/>
    <s v="IN_STORE"/>
    <m/>
    <m/>
    <n v="56"/>
    <x v="2"/>
    <x v="16"/>
    <s v="Not Acceptance"/>
    <s v="BAU"/>
  </r>
  <r>
    <s v="cCredit - ZVT Improvements "/>
    <x v="77"/>
    <s v="cC yoximo successor Integration (ZVT)"/>
    <m/>
    <s v="cCredit"/>
    <s v="M"/>
    <n v="120"/>
    <s v="override"/>
    <s v="OK"/>
    <n v="20"/>
    <n v="20"/>
    <n v="40"/>
    <n v="40"/>
    <s v="P1"/>
    <n v="120"/>
    <m/>
    <m/>
    <s v="IN_STORE"/>
    <m/>
    <m/>
    <n v="96"/>
    <x v="2"/>
    <x v="16"/>
    <s v="Not Acceptance"/>
    <s v="BAU"/>
  </r>
  <r>
    <s v="cCredit - ZVT Improvements "/>
    <x v="77"/>
    <s v="cC yomani second source integration (ZVT)"/>
    <m/>
    <s v="cCredit"/>
    <s v="M"/>
    <n v="120"/>
    <s v="override"/>
    <s v="OK"/>
    <n v="20"/>
    <n v="20"/>
    <n v="40"/>
    <n v="40"/>
    <s v="P1"/>
    <n v="120"/>
    <m/>
    <m/>
    <s v="IN_STORE"/>
    <m/>
    <m/>
    <n v="96"/>
    <x v="2"/>
    <x v="16"/>
    <s v="Not Acceptance"/>
    <s v="BAU"/>
  </r>
  <r>
    <s v="cCredit - ZVT Improvements "/>
    <x v="77"/>
    <s v="cC ZVT terminals for Gateway / cloud"/>
    <m/>
    <s v="cCredit"/>
    <s v="S"/>
    <n v="50"/>
    <s v="auto"/>
    <s v="OK"/>
    <n v="10"/>
    <n v="20"/>
    <n v="10"/>
    <n v="10"/>
    <s v="P1"/>
    <n v="50"/>
    <m/>
    <m/>
    <s v="IN_STORE"/>
    <m/>
    <m/>
    <n v="40"/>
    <x v="2"/>
    <x v="16"/>
    <s v="Not Acceptance"/>
    <s v="BAU"/>
  </r>
  <r>
    <s v="Custom / Evolutions for Asda"/>
    <x v="9"/>
    <s v="Bucket support + Bucket CRs Asda 2/2 (gap to be confirmed)"/>
    <m/>
    <s v="AF6"/>
    <s v="M"/>
    <n v="100"/>
    <s v="auto"/>
    <s v="OK"/>
    <m/>
    <m/>
    <n v="50"/>
    <n v="50"/>
    <s v="P3"/>
    <n v="100"/>
    <s v="Sylvain Marion"/>
    <s v="Product"/>
    <s v="IN_STORE"/>
    <s v="Support Customers' Projects"/>
    <m/>
    <n v="51.3"/>
    <x v="1"/>
    <x v="1"/>
    <n v="0"/>
    <s v="BAU"/>
  </r>
  <r>
    <s v="Custom / Evolutions for Post Office"/>
    <x v="4"/>
    <s v="Bucket support + Bucket CRs PO 2/2 (gap to be confirmed)"/>
    <m/>
    <s v="AF6"/>
    <s v="M"/>
    <n v="100"/>
    <s v="auto"/>
    <s v="OK"/>
    <m/>
    <m/>
    <n v="50"/>
    <n v="50"/>
    <s v="P3"/>
    <n v="100"/>
    <s v="Sylvain Marion"/>
    <s v="Product"/>
    <s v="IN_STORE"/>
    <s v="Support Customers' Projects"/>
    <m/>
    <n v="51.3"/>
    <x v="1"/>
    <x v="1"/>
    <n v="0"/>
    <s v="BAU"/>
  </r>
  <r>
    <s v="Regulation / Europe w/o France"/>
    <x v="78"/>
    <s v="Visa Defered Auth Indicator (AXIN-930)"/>
    <m/>
    <s v="AF6"/>
    <s v="M"/>
    <n v="100"/>
    <s v="auto"/>
    <s v="OK"/>
    <m/>
    <n v="50"/>
    <n v="50"/>
    <m/>
    <s v="P3"/>
    <n v="100"/>
    <s v="Sylvain Marion"/>
    <s v="Product"/>
    <s v="IN_STORE"/>
    <s v="Regulation"/>
    <m/>
    <n v="51.3"/>
    <x v="1"/>
    <x v="1"/>
    <n v="0"/>
    <s v="BAU"/>
  </r>
  <r>
    <s v="Regulation / Europe w/o France"/>
    <x v="78"/>
    <s v="Account Verify (AXIN-1434)"/>
    <m/>
    <s v="AF6"/>
    <s v="S"/>
    <n v="50"/>
    <s v="auto"/>
    <s v="OK"/>
    <n v="50"/>
    <m/>
    <m/>
    <m/>
    <s v="P3"/>
    <n v="50"/>
    <s v="Sylvain Marion"/>
    <s v="Product"/>
    <s v="IN_STORE"/>
    <s v="Regulation"/>
    <m/>
    <n v="25.65"/>
    <x v="1"/>
    <x v="1"/>
    <n v="0"/>
    <s v="BAU"/>
  </r>
  <r>
    <s v="Technical &amp; Functional Debt"/>
    <x v="12"/>
    <s v="API &amp; data"/>
    <s v="Including TPVnumber to 32 char ?"/>
    <s v="AF6"/>
    <s v="XS"/>
    <n v="20"/>
    <s v="auto"/>
    <s v="OK"/>
    <n v="5"/>
    <n v="5"/>
    <n v="5"/>
    <n v="5"/>
    <s v="P3"/>
    <n v="20"/>
    <s v="Sebastien Letniowski"/>
    <m/>
    <s v="IN_STORE"/>
    <s v="Technical Leverage"/>
    <m/>
    <n v="10.26"/>
    <x v="1"/>
    <x v="1"/>
    <n v="0"/>
    <s v="BAU"/>
  </r>
  <r>
    <s v="Security &amp; Risks"/>
    <x v="72"/>
    <s v="Decommission TDES algorithm"/>
    <m/>
    <s v="AF6"/>
    <s v="XS"/>
    <n v="10"/>
    <s v="override"/>
    <s v="OK"/>
    <m/>
    <m/>
    <n v="10"/>
    <m/>
    <s v="P3"/>
    <n v="10"/>
    <s v="Sebastien Letniowski"/>
    <m/>
    <s v="IN_STORE"/>
    <s v="Regulation"/>
    <m/>
    <n v="5.13"/>
    <x v="1"/>
    <x v="1"/>
    <n v="0"/>
    <s v="BAU"/>
  </r>
  <r>
    <s v="Custom / Evolutions for Sainsbury's"/>
    <x v="79"/>
    <s v="Bucket support + Bucket CRs (OPT,...)"/>
    <m/>
    <s v="AF7"/>
    <s v="XXL"/>
    <n v="400"/>
    <s v="auto"/>
    <s v="OK"/>
    <n v="100"/>
    <n v="100"/>
    <n v="100"/>
    <n v="100"/>
    <s v="P1"/>
    <n v="400"/>
    <s v="Sylvain Marion"/>
    <s v="Product"/>
    <s v="IN_STORE"/>
    <s v="Support Customers' Projects"/>
    <m/>
    <n v="205.2"/>
    <x v="0"/>
    <x v="1"/>
    <n v="0"/>
    <s v="BAU"/>
  </r>
  <r>
    <s v="Maintenance"/>
    <x v="5"/>
    <s v="Maintenance Axis"/>
    <m/>
    <s v="AF7"/>
    <s v="XL"/>
    <n v="300"/>
    <s v="auto"/>
    <s v="OK"/>
    <n v="75"/>
    <n v="75"/>
    <n v="75"/>
    <n v="75"/>
    <s v="P1"/>
    <n v="300"/>
    <s v="Sylvain Marion"/>
    <s v="Maintenance &amp; Incidents"/>
    <s v="IN_STORE"/>
    <s v="Technical Leverage"/>
    <m/>
    <n v="153.9"/>
    <x v="0"/>
    <x v="1"/>
    <s v="Run"/>
    <s v="RUN"/>
  </r>
  <r>
    <s v="Custom / Evolutions for Sainsbury's"/>
    <x v="79"/>
    <s v="Sainsbury's Unsolicited Card Read during Payment (AXIN-773 &amp; AXIN-772)"/>
    <m/>
    <s v="AF7"/>
    <s v="L"/>
    <n v="200"/>
    <s v="auto"/>
    <s v="OK"/>
    <n v="100"/>
    <n v="100"/>
    <m/>
    <m/>
    <s v="P1"/>
    <n v="200"/>
    <s v="Sylvain Marion"/>
    <s v="Product"/>
    <s v="IN_STORE"/>
    <s v="Support Customers' Projects"/>
    <m/>
    <n v="102.6"/>
    <x v="0"/>
    <x v="1"/>
    <n v="0"/>
    <s v="BAU"/>
  </r>
  <r>
    <s v="Roadmap / Purchasing Experience"/>
    <x v="11"/>
    <s v="Digital consumer receipt (AXIN-1212) CPA/MAP"/>
    <s v="Add a line for EMV/SSC AFA (M)"/>
    <s v="AF7"/>
    <s v="L"/>
    <n v="200"/>
    <s v="auto"/>
    <s v="OK"/>
    <n v="100"/>
    <n v="100"/>
    <m/>
    <m/>
    <s v="P1"/>
    <n v="200"/>
    <s v="Sylvain Marion"/>
    <s v="Product"/>
    <s v="IN_STORE"/>
    <s v="Simplify Experience"/>
    <m/>
    <n v="102.6"/>
    <x v="0"/>
    <x v="1"/>
    <n v="0"/>
    <s v="BAU"/>
  </r>
  <r>
    <s v="Onboarding"/>
    <x v="80"/>
    <s v="MAP profil industrialization (AXIN-1675)"/>
    <s v="UK APACS Profils"/>
    <s v="AF7"/>
    <s v="M"/>
    <n v="100"/>
    <s v="auto"/>
    <s v="OK"/>
    <m/>
    <n v="50"/>
    <n v="50"/>
    <m/>
    <s v="P1"/>
    <n v="100"/>
    <s v="Sylvain Marion"/>
    <s v="Tech. Debt"/>
    <s v="IN_STORE"/>
    <s v="Technical Leverage"/>
    <m/>
    <n v="51.3"/>
    <x v="0"/>
    <x v="1"/>
    <n v="0"/>
    <s v="BAU"/>
  </r>
  <r>
    <s v="Regulation / 6 to 8 BIN Mgt"/>
    <x v="14"/>
    <s v="BIN 8 digits CPA/MAP impact (ready tag for debit/credit first, PAN masking, etc.) (AXIN-1012)"/>
    <m/>
    <s v="AF7"/>
    <s v="M"/>
    <n v="100"/>
    <s v="auto"/>
    <s v="OK"/>
    <n v="50"/>
    <n v="50"/>
    <m/>
    <m/>
    <s v="P1"/>
    <n v="100"/>
    <s v="Sylvain Marion"/>
    <s v="Product"/>
    <s v="IN_STORE"/>
    <s v="Regulation"/>
    <m/>
    <n v="51.3"/>
    <x v="0"/>
    <x v="1"/>
    <n v="0"/>
    <s v="BAU"/>
  </r>
  <r>
    <s v="Regulation / Europe w/o France"/>
    <x v="78"/>
    <s v="Contactless Brand choice with Double tap (Italy mandate)"/>
    <m/>
    <s v="AF7"/>
    <s v="M"/>
    <n v="100"/>
    <s v="auto"/>
    <s v="OK"/>
    <n v="50"/>
    <n v="50"/>
    <m/>
    <m/>
    <s v="P1"/>
    <n v="100"/>
    <s v="Sylvain Marion"/>
    <s v="Product"/>
    <s v="IN_STORE"/>
    <s v="Regulation"/>
    <m/>
    <n v="51.3"/>
    <x v="0"/>
    <x v="1"/>
    <n v="0"/>
    <s v="BAU"/>
  </r>
  <r>
    <s v="Channel API "/>
    <x v="81"/>
    <s v="Channel API"/>
    <s v="Direct access to functionality for channels"/>
    <s v="Volcano"/>
    <s v="XL"/>
    <n v="1000"/>
    <s v="auto"/>
    <s v="OK"/>
    <n v="250"/>
    <n v="250"/>
    <n v="250"/>
    <n v="250"/>
    <s v="P5"/>
    <n v="1000"/>
    <s v="Petra Steenstra"/>
    <s v="Product"/>
    <s v="ONLINE"/>
    <m/>
    <m/>
    <n v="513"/>
    <x v="1"/>
    <x v="5"/>
    <s v="Single Project"/>
    <s v="BAU"/>
  </r>
  <r>
    <s v="ChatCommerce"/>
    <x v="82"/>
    <m/>
    <m/>
    <s v="Saferpay"/>
    <s v="XS"/>
    <n v="20"/>
    <s v="auto"/>
    <s v="OK"/>
    <n v="5"/>
    <n v="5"/>
    <n v="5"/>
    <n v="5"/>
    <s v="P1"/>
    <n v="20"/>
    <s v="Daniel Hostettler"/>
    <s v="Product"/>
    <s v="ECOM"/>
    <m/>
    <m/>
    <n v="20"/>
    <x v="2"/>
    <x v="10"/>
    <s v="Not Acceptance"/>
    <s v="BAU"/>
  </r>
  <r>
    <s v="ChatCommerce"/>
    <x v="82"/>
    <m/>
    <m/>
    <s v="WLOC_MXP"/>
    <s v="XS"/>
    <n v="20"/>
    <s v="auto"/>
    <s v="OK"/>
    <n v="5"/>
    <n v="5"/>
    <n v="5"/>
    <n v="5"/>
    <s v="P1"/>
    <n v="20"/>
    <m/>
    <m/>
    <s v="ECOM"/>
    <m/>
    <m/>
    <n v="9.66"/>
    <x v="2"/>
    <x v="4"/>
    <s v="Not Acceptance"/>
    <s v="BAU"/>
  </r>
  <r>
    <s v="Chinese payment methods available (WeChat Pay, Alipay)"/>
    <x v="83"/>
    <m/>
    <s v="APM connectors for CNP"/>
    <s v="FS"/>
    <s v="L"/>
    <n v="200"/>
    <s v="auto"/>
    <s v="OK"/>
    <m/>
    <n v="100"/>
    <n v="100"/>
    <m/>
    <s v="P1"/>
    <n v="200"/>
    <s v="Olivier Blerot"/>
    <s v="Synergies"/>
    <s v="OTHER"/>
    <m/>
    <m/>
    <n v="100"/>
    <x v="0"/>
    <x v="6"/>
    <s v="United"/>
    <s v="U&amp;MP"/>
  </r>
  <r>
    <s v="CMO – Small enhancements, Missions and Certifications (2021)"/>
    <x v="84"/>
    <m/>
    <m/>
    <s v="Saferpay"/>
    <m/>
    <n v="2"/>
    <s v="override"/>
    <s v="OK"/>
    <n v="2"/>
    <m/>
    <m/>
    <m/>
    <s v="P1"/>
    <n v="2"/>
    <m/>
    <m/>
    <s v="ECOM"/>
    <m/>
    <m/>
    <n v="2"/>
    <x v="2"/>
    <x v="10"/>
    <s v="Not Acceptance"/>
    <s v="BAU"/>
  </r>
  <r>
    <s v="Compliance &amp; Security - Saferpay - 3-D Secure 2.x for minor brands"/>
    <x v="85"/>
    <s v="Saferpay"/>
    <s v="Stop 3DSv1 (plan october 2022)"/>
    <s v="SaferPay"/>
    <s v="M"/>
    <n v="100"/>
    <s v="auto"/>
    <s v="OK"/>
    <m/>
    <m/>
    <n v="75"/>
    <n v="25"/>
    <s v="P1"/>
    <n v="100"/>
    <s v="Amaury Kervyn"/>
    <s v="Product"/>
    <s v="ECOM"/>
    <s v="Regulation"/>
    <m/>
    <n v="100"/>
    <x v="0"/>
    <x v="10"/>
    <n v="0"/>
    <s v="BAU"/>
  </r>
  <r>
    <s v="Compliance &amp; Security - Saferpay - 3-D Secure 2.x for minor brands"/>
    <x v="85"/>
    <s v="Saferpay"/>
    <s v="3DS 2.X JCB Union Pay (100)"/>
    <s v="SaferPay"/>
    <s v="M"/>
    <n v="100"/>
    <s v="auto"/>
    <s v="OK"/>
    <m/>
    <n v="25"/>
    <n v="75"/>
    <m/>
    <s v="P1"/>
    <n v="100"/>
    <s v="Amaury Kervyn"/>
    <s v="Product"/>
    <s v="ECOM"/>
    <s v="Regulation"/>
    <m/>
    <n v="100"/>
    <x v="0"/>
    <x v="10"/>
    <n v="0"/>
    <s v="BAU"/>
  </r>
  <r>
    <s v="Compliance &amp; Security - Saferpay - 3-D Secure 2.x for minor brands"/>
    <x v="85"/>
    <s v="Saferpay"/>
    <s v="3DS 2.X Diners (50)"/>
    <s v="SaferPay"/>
    <s v="S"/>
    <n v="50"/>
    <s v="auto"/>
    <s v="OK"/>
    <m/>
    <n v="25"/>
    <n v="25"/>
    <m/>
    <s v="P1"/>
    <n v="50"/>
    <s v="Amaury Kervyn"/>
    <s v="Product"/>
    <s v="ECOM"/>
    <s v="Regulation"/>
    <m/>
    <n v="50"/>
    <x v="0"/>
    <x v="10"/>
    <n v="0"/>
    <s v="BAU"/>
  </r>
  <r>
    <s v="Compliance &amp; Security - Saferpay - 3-D Secure 2.x for minor brands"/>
    <x v="85"/>
    <s v="Saferpay"/>
    <s v="3DS 2.X Acq (50)"/>
    <s v="SaferPay"/>
    <s v="S"/>
    <n v="50"/>
    <s v="auto"/>
    <s v="OK"/>
    <m/>
    <n v="25"/>
    <n v="25"/>
    <m/>
    <s v="P1"/>
    <n v="50"/>
    <s v="Amaury Kervyn"/>
    <s v="Product"/>
    <s v="ECOM"/>
    <s v="Regulation"/>
    <m/>
    <n v="50"/>
    <x v="0"/>
    <x v="10"/>
    <n v="0"/>
    <s v="BAU"/>
  </r>
  <r>
    <s v="Compliance &amp; Security - Scheme compliance - Extend Visa BIN from 6 to 8 digits"/>
    <x v="86"/>
    <s v="Compliance &amp; Regulatory"/>
    <s v="VISA BIN 6 to 8 Digits"/>
    <s v="WLOC_CARD_FE"/>
    <s v="S"/>
    <n v="80"/>
    <s v="auto"/>
    <s v="OK"/>
    <n v="80"/>
    <n v="0"/>
    <n v="0"/>
    <n v="0"/>
    <s v="P1"/>
    <n v="80"/>
    <s v="Emmanuel Blumel"/>
    <s v="Product"/>
    <s v="ECOM"/>
    <s v="Regulation"/>
    <m/>
    <n v="38.64"/>
    <x v="0"/>
    <x v="4"/>
    <n v="0"/>
    <s v="BAU"/>
  </r>
  <r>
    <s v="Compliance &amp; Security - SIPS PCI"/>
    <x v="87"/>
    <s v="SIPS"/>
    <s v="Regulatory &amp; compliance PCI"/>
    <s v="SIPS"/>
    <m/>
    <n v="1600"/>
    <s v="override"/>
    <s v="OK"/>
    <n v="400"/>
    <n v="400"/>
    <n v="400"/>
    <n v="400"/>
    <s v="P1"/>
    <n v="1600"/>
    <s v="Emmanuel Blumel"/>
    <s v="Product"/>
    <s v="ECOM"/>
    <s v="Regulation"/>
    <m/>
    <n v="779.2"/>
    <x v="0"/>
    <x v="17"/>
    <s v="Single Project"/>
    <s v="BAU"/>
  </r>
  <r>
    <s v="Compliance &amp; Security - SIPS Regulatory enhancements"/>
    <x v="88"/>
    <s v="SIPS"/>
    <s v="Regulatory &amp; compliannce GDPR"/>
    <s v="SIPS"/>
    <m/>
    <n v="400"/>
    <s v="override"/>
    <s v="OK"/>
    <n v="100"/>
    <n v="100"/>
    <n v="100"/>
    <n v="100"/>
    <s v="P1"/>
    <n v="400"/>
    <s v="Emmanuel Blumel"/>
    <s v="Product"/>
    <s v="ECOM"/>
    <s v="Regulation"/>
    <m/>
    <n v="194.8"/>
    <x v="0"/>
    <x v="17"/>
    <s v="Single Project"/>
    <s v="BAU"/>
  </r>
  <r>
    <s v="Compliance &amp; Security - SIPS Regulatory enhancements"/>
    <x v="88"/>
    <s v="SIPS"/>
    <s v="Regulatory &amp; compliance PSD2 "/>
    <s v="SIPS"/>
    <m/>
    <n v="1045"/>
    <s v="override"/>
    <s v="OK"/>
    <n v="261.25"/>
    <n v="261.25"/>
    <n v="261.25"/>
    <n v="261.25"/>
    <s v="P1"/>
    <n v="1045"/>
    <s v="Emmanuel Blumel"/>
    <s v="Product"/>
    <s v="ECOM"/>
    <s v="Regulation"/>
    <m/>
    <n v="508.91500000000002"/>
    <x v="0"/>
    <x v="17"/>
    <s v="Single Project"/>
    <s v="BAU"/>
  </r>
  <r>
    <s v="Compliance &amp; Security - SIPS Regulatory enhancements"/>
    <x v="88"/>
    <s v="SIPS"/>
    <s v="Regulatory &amp; compliance"/>
    <s v="SIPS"/>
    <m/>
    <n v="505"/>
    <s v="override"/>
    <s v="OK"/>
    <n v="126.25"/>
    <n v="126.25"/>
    <n v="126.25"/>
    <n v="126.25"/>
    <s v="P1"/>
    <n v="505"/>
    <s v="Emmanuel Blumel"/>
    <s v="Product"/>
    <s v="ECOM"/>
    <s v="Regulation"/>
    <m/>
    <n v="245.935"/>
    <x v="0"/>
    <x v="17"/>
    <s v="Single Project"/>
    <s v="BAU"/>
  </r>
  <r>
    <s v="Compliance &amp; Security - SIPS Regulatory enhancements"/>
    <x v="88"/>
    <s v="SIPS"/>
    <s v="PSD2 In App SDK"/>
    <s v="SIPS"/>
    <m/>
    <n v="606"/>
    <s v="override"/>
    <s v="OK"/>
    <n v="151.5"/>
    <n v="151.5"/>
    <n v="151.5"/>
    <n v="151.5"/>
    <s v="P1"/>
    <n v="606"/>
    <s v="Emmanuel Blumel"/>
    <s v="Product"/>
    <s v="ECOM"/>
    <s v="Regulation"/>
    <m/>
    <n v="295.12200000000001"/>
    <x v="0"/>
    <x v="17"/>
    <s v="Single Project"/>
    <s v="BAU"/>
  </r>
  <r>
    <s v="Compliance &amp; Security - SIPS Regulatory enhancements"/>
    <x v="88"/>
    <s v="SIPS"/>
    <s v="PSD2 End of 3DSv1"/>
    <s v="SIPS"/>
    <m/>
    <n v="150"/>
    <s v="override"/>
    <s v="OK"/>
    <n v="0"/>
    <n v="0"/>
    <n v="75"/>
    <n v="75"/>
    <s v="P1"/>
    <n v="150"/>
    <s v="Emmanuel Blumel"/>
    <s v="Product"/>
    <s v="ECOM"/>
    <s v="Regulation"/>
    <m/>
    <n v="73.05"/>
    <x v="0"/>
    <x v="17"/>
    <s v="Single Project"/>
    <s v="BAU"/>
  </r>
  <r>
    <s v="Compliance &amp; Security - SIPS Regulatory enhancements"/>
    <x v="88"/>
    <s v="SIPS"/>
    <s v="PSD2 complex payment &amp; exemption "/>
    <s v="SIPS"/>
    <m/>
    <n v="500"/>
    <s v="override"/>
    <s v="OK"/>
    <n v="125"/>
    <n v="125"/>
    <n v="125"/>
    <n v="125"/>
    <s v="P1"/>
    <n v="500"/>
    <s v="Emmanuel Blumel"/>
    <s v="Product"/>
    <s v="ECOM"/>
    <s v="Regulation"/>
    <m/>
    <n v="243.5"/>
    <x v="0"/>
    <x v="17"/>
    <s v="Single Project"/>
    <s v="BAU"/>
  </r>
  <r>
    <s v="[UNITED SYNERGIES] SACC Decomissionning"/>
    <x v="7"/>
    <s v="Franfinance Casino (tbc)"/>
    <m/>
    <s v="AF7"/>
    <s v="S"/>
    <n v="50"/>
    <s v="auto"/>
    <s v="OK"/>
    <n v="25"/>
    <n v="25"/>
    <m/>
    <m/>
    <s v="P1"/>
    <n v="50"/>
    <s v="Sylvain Marion"/>
    <s v="Synergies"/>
    <s v="IN_STORE"/>
    <s v="Support Customers' Projects"/>
    <m/>
    <n v="25.65"/>
    <x v="0"/>
    <x v="1"/>
    <s v="United"/>
    <s v="U&amp;MP"/>
  </r>
  <r>
    <s v="Custom / Evolutions for Sainsbury's"/>
    <x v="79"/>
    <s v="Sainbury’s Lane/3000 certification with 4 acquirers support"/>
    <m/>
    <s v="AF7"/>
    <s v="S"/>
    <n v="50"/>
    <s v="auto"/>
    <s v="OK"/>
    <n v="50"/>
    <m/>
    <m/>
    <m/>
    <s v="P1"/>
    <n v="50"/>
    <s v="Sylvain Marion"/>
    <s v="Product"/>
    <s v="IN_STORE"/>
    <s v="Support Customers' Projects"/>
    <m/>
    <n v="25.65"/>
    <x v="0"/>
    <x v="1"/>
    <n v="0"/>
    <s v="BAU"/>
  </r>
  <r>
    <s v="Regulation / 6 to 8 BIN Mgt"/>
    <x v="14"/>
    <s v="BIN 8 digits P2PE / Security impact (AXIN-1012)"/>
    <m/>
    <s v="AF7"/>
    <s v="S"/>
    <n v="50"/>
    <s v="auto"/>
    <s v="OK"/>
    <n v="30"/>
    <n v="20"/>
    <m/>
    <m/>
    <s v="P1"/>
    <n v="50"/>
    <s v="Sylvain Marion"/>
    <s v="Product"/>
    <s v="IN_STORE"/>
    <s v="Regulation"/>
    <m/>
    <n v="25.65"/>
    <x v="0"/>
    <x v="1"/>
    <n v="0"/>
    <s v="BAU"/>
  </r>
  <r>
    <s v="Regulation / Europe w/o France"/>
    <x v="78"/>
    <s v="JCB contactless on nexo (AXIN-271)"/>
    <m/>
    <s v="AF7"/>
    <s v="S"/>
    <n v="50"/>
    <s v="auto"/>
    <s v="OK"/>
    <m/>
    <n v="50"/>
    <m/>
    <m/>
    <s v="P1"/>
    <n v="50"/>
    <s v="Sylvain Marion"/>
    <s v="Product"/>
    <s v="IN_STORE"/>
    <s v="Regulation"/>
    <m/>
    <n v="25.65"/>
    <x v="0"/>
    <x v="1"/>
    <n v="0"/>
    <s v="BAU"/>
  </r>
  <r>
    <s v="Regulation / Europe w/o France"/>
    <x v="78"/>
    <s v="Online Refund (AXIN-1578)"/>
    <m/>
    <s v="AF7"/>
    <s v="S"/>
    <n v="50"/>
    <s v="auto"/>
    <s v="OK"/>
    <n v="50"/>
    <m/>
    <m/>
    <m/>
    <s v="P1"/>
    <n v="50"/>
    <s v="Sylvain Marion"/>
    <s v="Product"/>
    <s v="IN_STORE"/>
    <s v="Regulation"/>
    <m/>
    <n v="25.65"/>
    <x v="0"/>
    <x v="1"/>
    <n v="0"/>
    <s v="BAU"/>
  </r>
  <r>
    <s v="Roadmap / Geo Expansion"/>
    <x v="89"/>
    <s v="Support Poland pilot (acquirer, fiscal printing done in 2020,...)"/>
    <m/>
    <s v="AF7"/>
    <s v="S"/>
    <n v="50"/>
    <s v="auto"/>
    <s v="OK"/>
    <n v="50"/>
    <m/>
    <m/>
    <m/>
    <s v="P1"/>
    <n v="50"/>
    <s v="Sylvain Marion"/>
    <s v="Product"/>
    <s v="IN_STORE"/>
    <s v="Extend Geographical Footprint"/>
    <m/>
    <n v="25.65"/>
    <x v="0"/>
    <x v="1"/>
    <n v="0"/>
    <s v="BAU"/>
  </r>
  <r>
    <s v="Technical &amp; Functional Debt"/>
    <x v="12"/>
    <s v="Support to project launch (small technical / functionnal gaps identified during implementation)"/>
    <m/>
    <s v="AF7"/>
    <s v="S"/>
    <n v="50"/>
    <s v="auto"/>
    <s v="OK"/>
    <n v="10"/>
    <n v="10"/>
    <n v="10"/>
    <n v="20"/>
    <s v="P1"/>
    <n v="50"/>
    <s v="Sylvain Marion"/>
    <s v="Tech. Debt"/>
    <s v="IN_STORE"/>
    <s v="Support Customers' Projects"/>
    <m/>
    <n v="25.65"/>
    <x v="0"/>
    <x v="1"/>
    <n v="0"/>
    <s v="BAU"/>
  </r>
  <r>
    <s v="Custom / Evolutions for MID TIERS"/>
    <x v="90"/>
    <s v="Bucket to develop TESCO Petrol solution (with CSACT)"/>
    <m/>
    <s v="AF7"/>
    <s v="XS"/>
    <n v="20"/>
    <s v="auto"/>
    <s v="OK"/>
    <m/>
    <m/>
    <m/>
    <n v="20"/>
    <s v="P1"/>
    <n v="20"/>
    <s v="Thierry Fortune"/>
    <s v="Product"/>
    <s v="IN_STORE"/>
    <s v="Support Customers' Projects"/>
    <m/>
    <n v="10.26"/>
    <x v="0"/>
    <x v="1"/>
    <n v="0"/>
    <s v="BAU"/>
  </r>
  <r>
    <s v="Technical &amp; Functional Debt"/>
    <x v="12"/>
    <s v="API &amp; data"/>
    <s v="PaymentID as UUID"/>
    <s v="AF7"/>
    <s v="XS"/>
    <n v="20"/>
    <s v="auto"/>
    <s v="OK"/>
    <n v="5"/>
    <n v="5"/>
    <n v="5"/>
    <n v="5"/>
    <s v="P1"/>
    <n v="20"/>
    <s v="Sebastien Letniowski"/>
    <m/>
    <s v="IN_STORE"/>
    <s v="Technical Leverage"/>
    <m/>
    <n v="10.26"/>
    <x v="0"/>
    <x v="1"/>
    <n v="0"/>
    <s v="BAU"/>
  </r>
  <r>
    <s v="Technical &amp; Functional Debt"/>
    <x v="12"/>
    <s v="Refactoring"/>
    <s v="PostgresQL 13 migration"/>
    <s v="AF7"/>
    <s v="XS"/>
    <n v="20"/>
    <s v="auto"/>
    <s v="OK"/>
    <m/>
    <n v="10"/>
    <n v="10"/>
    <m/>
    <s v="P1"/>
    <s v="P1"/>
    <s v="Sebastien Letniowski"/>
    <m/>
    <s v="IN_STORE"/>
    <s v="Technical Leverage"/>
    <m/>
    <n v="10.26"/>
    <x v="0"/>
    <x v="1"/>
    <n v="0"/>
    <s v="BAU"/>
  </r>
  <r>
    <s v="Technical Debt / Global Infra"/>
    <x v="29"/>
    <s v="Source code &amp; CI migration"/>
    <s v="other teams"/>
    <s v="AF7"/>
    <s v="XS"/>
    <n v="20"/>
    <s v="auto"/>
    <s v="OK"/>
    <n v="5"/>
    <n v="5"/>
    <n v="5"/>
    <n v="5"/>
    <s v="P1"/>
    <n v="20"/>
    <s v="Sebastien Letniowski"/>
    <m/>
    <s v="IN_STORE"/>
    <s v="Technical Leverage"/>
    <m/>
    <n v="10.26"/>
    <x v="0"/>
    <x v="1"/>
    <n v="0"/>
    <s v="BAU"/>
  </r>
  <r>
    <s v="Technical Debt / Global Infra"/>
    <x v="29"/>
    <s v="Training of teams with new way of working"/>
    <s v="other teams"/>
    <s v="AF7"/>
    <s v="XS"/>
    <n v="20"/>
    <s v="auto"/>
    <s v="OK"/>
    <n v="5"/>
    <n v="5"/>
    <n v="5"/>
    <n v="5"/>
    <s v="P1"/>
    <n v="20"/>
    <s v="Sebastien Letniowski"/>
    <m/>
    <s v="IN_STORE"/>
    <s v="Technical Leverage"/>
    <m/>
    <n v="10.26"/>
    <x v="0"/>
    <x v="1"/>
    <n v="0"/>
    <s v="BAU"/>
  </r>
  <r>
    <s v="Conexflow migration"/>
    <x v="8"/>
    <s v="Oney Spain - Duplo &amp; legacy card - AH impacts"/>
    <m/>
    <s v="Acq Hub_1"/>
    <s v="S"/>
    <n v="50"/>
    <s v="auto"/>
    <s v="OK"/>
    <m/>
    <n v="50"/>
    <m/>
    <m/>
    <s v="P1"/>
    <n v="50"/>
    <s v="Pierre Riat"/>
    <m/>
    <s v="OCH"/>
    <m/>
    <m/>
    <n v="25.65"/>
    <x v="0"/>
    <x v="2"/>
    <n v="0"/>
    <s v="BAU"/>
  </r>
  <r>
    <s v="Conexflow migration"/>
    <x v="8"/>
    <s v="Improve spanish footprint"/>
    <s v="Oney Spain - Duplo &amp; legacy card on Ingenico Direct (SMBO-54692)"/>
    <s v="Beyond"/>
    <s v="L"/>
    <n v="200"/>
    <s v="auto"/>
    <s v="OK"/>
    <m/>
    <m/>
    <n v="200"/>
    <m/>
    <s v="P1"/>
    <n v="200"/>
    <s v="Pierre Riat"/>
    <s v="Product"/>
    <s v="ECOM"/>
    <s v="Key Client Projects"/>
    <s v="Alcampo (Auchan Spain) asking for that. It may be finally not needed if Oney Duplo card is supported."/>
    <n v="96.6"/>
    <x v="0"/>
    <x v="4"/>
    <n v="0"/>
    <s v="BAU"/>
  </r>
  <r>
    <s v="Conexflow migration"/>
    <x v="8"/>
    <s v="Oney - Duplo &amp; legacy card on Ingenico Direct (Spain) impact on AH client"/>
    <m/>
    <s v="WLOC_CARD_BE"/>
    <s v="S"/>
    <n v="20"/>
    <s v="auto"/>
    <s v="OK"/>
    <m/>
    <n v="20"/>
    <m/>
    <m/>
    <s v="P1"/>
    <n v="20"/>
    <s v="Pierre Riat"/>
    <m/>
    <s v="ECOM"/>
    <m/>
    <m/>
    <n v="9.66"/>
    <x v="0"/>
    <x v="4"/>
    <n v="0"/>
    <s v="BAU"/>
  </r>
  <r>
    <s v="Conexflow migration"/>
    <x v="8"/>
    <s v="Improve spanish footprint"/>
    <s v="Integrate Redsys DCC services on DCC hub"/>
    <s v="Beyond"/>
    <s v="M"/>
    <n v="100"/>
    <s v="auto"/>
    <s v="OK"/>
    <m/>
    <n v="100"/>
    <m/>
    <m/>
    <s v="P1"/>
    <n v="100"/>
    <s v="Pierre Riat"/>
    <m/>
    <s v="ECOM"/>
    <m/>
    <m/>
    <n v="48.3"/>
    <x v="0"/>
    <x v="4"/>
    <n v="0"/>
    <s v="BAU"/>
  </r>
  <r>
    <s v="Conexflow migration"/>
    <x v="8"/>
    <s v="Improve spanish footprint"/>
    <s v="DCC With Redsys - Ogone front end and back end impacts - (SMBO-56057)"/>
    <s v="Beyond"/>
    <s v="L"/>
    <n v="200"/>
    <s v="auto"/>
    <s v="OK"/>
    <m/>
    <n v="100"/>
    <n v="100"/>
    <m/>
    <s v="P1"/>
    <n v="200"/>
    <s v="Pierre Riat"/>
    <s v="Product"/>
    <s v="ECOM"/>
    <s v="Key Client Projects"/>
    <m/>
    <n v="96.6"/>
    <x v="0"/>
    <x v="4"/>
    <n v="0"/>
    <s v="BAU"/>
  </r>
  <r>
    <s v="Security &amp; Risks"/>
    <x v="72"/>
    <s v="Compiance PCI"/>
    <s v="security bug fixing"/>
    <s v="AF7"/>
    <s v="XS"/>
    <n v="10"/>
    <s v="override"/>
    <s v="OK"/>
    <m/>
    <n v="10"/>
    <m/>
    <m/>
    <s v="P1"/>
    <n v="10"/>
    <s v="Sebastien Letniowski"/>
    <m/>
    <s v="IN_STORE"/>
    <s v="Regulation"/>
    <m/>
    <n v="5.13"/>
    <x v="0"/>
    <x v="1"/>
    <n v="0"/>
    <s v="BAU"/>
  </r>
  <r>
    <s v="Security &amp; Risks"/>
    <x v="72"/>
    <s v="Decommission TDES algorithm"/>
    <m/>
    <s v="AF7"/>
    <s v="XS"/>
    <n v="10"/>
    <s v="override"/>
    <s v="OK"/>
    <m/>
    <m/>
    <n v="10"/>
    <m/>
    <s v="P1"/>
    <n v="10"/>
    <s v="Sebastien Letniowski"/>
    <m/>
    <s v="IN_STORE"/>
    <s v="Regulation"/>
    <m/>
    <n v="5.13"/>
    <x v="0"/>
    <x v="1"/>
    <n v="0"/>
    <s v="BAU"/>
  </r>
  <r>
    <s v="Custom / Evolutions for MID TIERS"/>
    <x v="90"/>
    <s v="Support required for Get Last Transaction Status (AXIN-929)"/>
    <m/>
    <s v="AF7"/>
    <s v="S"/>
    <n v="50"/>
    <s v="auto"/>
    <s v="OK"/>
    <m/>
    <n v="50"/>
    <m/>
    <m/>
    <s v="P2"/>
    <n v="50"/>
    <s v="Sylvain Marion"/>
    <s v="Product"/>
    <s v="IN_STORE"/>
    <s v="Support Customers' Projects"/>
    <m/>
    <n v="25.65"/>
    <x v="0"/>
    <x v="1"/>
    <n v="0"/>
    <s v="BAU"/>
  </r>
  <r>
    <s v="Roadmap / Purchasing Experience"/>
    <x v="11"/>
    <s v="Improvement of Transaction Timing Monitoring (AXIN-678)"/>
    <m/>
    <s v="AF7"/>
    <s v="S"/>
    <n v="50"/>
    <s v="auto"/>
    <s v="OK"/>
    <m/>
    <n v="50"/>
    <m/>
    <m/>
    <s v="P2"/>
    <n v="50"/>
    <s v="Sylvain Marion"/>
    <s v="Product"/>
    <s v="IN_STORE"/>
    <s v="Simplify Experience"/>
    <m/>
    <n v="25.65"/>
    <x v="0"/>
    <x v="1"/>
    <n v="0"/>
    <s v="BAU"/>
  </r>
  <r>
    <s v="Connect - Checkout Improvements"/>
    <x v="91"/>
    <s v="Connect - Checkout improvements"/>
    <s v="Improvements to MyCheckout hosted payment pages and its editor"/>
    <s v="Iron Hills"/>
    <s v="XXL"/>
    <n v="430"/>
    <s v="auto"/>
    <s v="OK"/>
    <n v="100"/>
    <n v="170"/>
    <n v="100"/>
    <n v="60"/>
    <s v="P1"/>
    <n v="430"/>
    <s v="Rik van 't Hof"/>
    <s v="Product"/>
    <s v="ONLINE"/>
    <m/>
    <m/>
    <n v="220.59"/>
    <x v="0"/>
    <x v="5"/>
    <s v="Single Project"/>
    <s v="BAU"/>
  </r>
  <r>
    <s v="Connect - Offline processing"/>
    <x v="92"/>
    <s v="Connect - Offline Processing"/>
    <s v="Add capability to Connect to process files or other offline instructions"/>
    <s v="Targon"/>
    <s v="XL"/>
    <n v="200"/>
    <s v="auto"/>
    <s v="OK"/>
    <m/>
    <n v="40"/>
    <n v="80"/>
    <n v="80"/>
    <s v="P1"/>
    <n v="200"/>
    <s v="Rik van 't Hof"/>
    <s v="Product"/>
    <s v="ONLINE"/>
    <m/>
    <m/>
    <n v="102.6"/>
    <x v="0"/>
    <x v="5"/>
    <s v="Single Project"/>
    <s v="BAU"/>
  </r>
  <r>
    <s v="Connect - SDK Maintenance &amp; Projects"/>
    <x v="93"/>
    <s v="Technology - Online"/>
    <m/>
    <s v="Isaac SDK Team"/>
    <s v="L"/>
    <n v="250"/>
    <s v="override"/>
    <s v="OK"/>
    <n v="63"/>
    <n v="63"/>
    <n v="62"/>
    <n v="62"/>
    <s v="P2"/>
    <n v="250"/>
    <s v="Arni Smit"/>
    <s v="Product"/>
    <s v="ONLINE"/>
    <m/>
    <m/>
    <n v="128.25"/>
    <x v="0"/>
    <x v="5"/>
    <s v="Run"/>
    <s v="RUN"/>
  </r>
  <r>
    <s v="Contact Avoidance"/>
    <x v="94"/>
    <s v="Customer care"/>
    <s v="Web to case"/>
    <s v="WLOC_MXP"/>
    <s v="S"/>
    <n v="50"/>
    <s v="auto"/>
    <s v="OK"/>
    <m/>
    <m/>
    <n v="50"/>
    <m/>
    <s v="P1"/>
    <n v="50"/>
    <s v="Sebastien Fantone"/>
    <s v="Product"/>
    <s v="ECOM"/>
    <m/>
    <m/>
    <n v="24.15"/>
    <x v="0"/>
    <x v="4"/>
    <n v="0"/>
    <s v="BAU"/>
  </r>
  <r>
    <s v="Contact Avoidance"/>
    <x v="94"/>
    <s v="Compliance &amp; Regulatory"/>
    <s v="Password expiration alert ( every 6 months) "/>
    <s v="WLOC_MXP"/>
    <s v="S"/>
    <n v="50"/>
    <s v="auto"/>
    <s v="OK"/>
    <n v="50"/>
    <m/>
    <m/>
    <m/>
    <s v="P1"/>
    <n v="50"/>
    <s v="Sebastien Fantone"/>
    <s v="Product"/>
    <s v="ECOM"/>
    <s v="Regulation"/>
    <m/>
    <n v="24.15"/>
    <x v="0"/>
    <x v="4"/>
    <n v="0"/>
    <s v="BAU"/>
  </r>
  <r>
    <s v="Contingency and platform robustness"/>
    <x v="95"/>
    <s v="Part 1 - Paramount - config center and shared libraries"/>
    <s v="review done"/>
    <s v="Paramount"/>
    <s v="L"/>
    <n v="50"/>
    <s v="override"/>
    <s v="OK"/>
    <n v="12.5"/>
    <n v="12.5"/>
    <n v="12.5"/>
    <n v="12.5"/>
    <s v="P2"/>
    <n v="50"/>
    <s v="Teun Boer"/>
    <s v="Synergies"/>
    <s v="ONLINE"/>
    <m/>
    <m/>
    <n v="25.65"/>
    <x v="0"/>
    <x v="5"/>
    <s v="United"/>
    <s v="U&amp;MP"/>
  </r>
  <r>
    <s v="Contingency and platform robustness"/>
    <x v="95"/>
    <s v="Part 2 - micro services 1"/>
    <s v="review done"/>
    <s v="Iron Hills"/>
    <m/>
    <n v="75"/>
    <s v="override"/>
    <s v="OK"/>
    <n v="18.75"/>
    <n v="18.75"/>
    <n v="18.75"/>
    <n v="18.75"/>
    <s v="P2"/>
    <n v="75"/>
    <s v="Teun Boer"/>
    <s v="Synergies"/>
    <s v="ONLINE"/>
    <m/>
    <m/>
    <n v="38.475000000000001"/>
    <x v="0"/>
    <x v="5"/>
    <s v="United"/>
    <s v="U&amp;MP"/>
  </r>
  <r>
    <s v="Contingency and platform robustness"/>
    <x v="95"/>
    <s v="Part 2 - micro services 2"/>
    <s v="review done"/>
    <s v="Caradhas"/>
    <m/>
    <n v="75"/>
    <s v="override"/>
    <s v="OK"/>
    <n v="18.75"/>
    <n v="18.75"/>
    <n v="18.75"/>
    <n v="18.75"/>
    <s v="P2"/>
    <n v="75"/>
    <s v="Teun Boer"/>
    <s v="Synergies"/>
    <s v="ONLINE"/>
    <m/>
    <m/>
    <n v="38.475000000000001"/>
    <x v="0"/>
    <x v="5"/>
    <s v="United"/>
    <s v="U&amp;MP"/>
  </r>
  <r>
    <s v="Contingency and platform robustness"/>
    <x v="95"/>
    <m/>
    <s v="review done"/>
    <s v="GC Supp1"/>
    <s v="L"/>
    <n v="200"/>
    <s v="override"/>
    <s v="OK"/>
    <n v="50"/>
    <n v="50"/>
    <n v="50"/>
    <n v="50"/>
    <s v="P2"/>
    <n v="200"/>
    <s v="Teun Boer"/>
    <s v="Synergies"/>
    <s v="ONLINE"/>
    <s v="Get Basics Right"/>
    <m/>
    <n v="102.6"/>
    <x v="0"/>
    <x v="5"/>
    <s v="United"/>
    <s v="U&amp;MP"/>
  </r>
  <r>
    <s v="Contingency and platform robustness"/>
    <x v="95"/>
    <m/>
    <s v="review done"/>
    <s v="GC Global Cards"/>
    <s v="M"/>
    <n v="100"/>
    <s v="override"/>
    <s v="OK"/>
    <n v="25"/>
    <n v="25"/>
    <n v="25"/>
    <n v="25"/>
    <s v="P2"/>
    <n v="100"/>
    <s v="Teun Boer"/>
    <s v="Synergies"/>
    <s v="ONLINE"/>
    <m/>
    <m/>
    <n v="51.3"/>
    <x v="0"/>
    <x v="5"/>
    <s v="United"/>
    <s v="U&amp;MP"/>
  </r>
  <r>
    <s v="Contingency and platform robustness"/>
    <x v="95"/>
    <m/>
    <s v="review done"/>
    <s v="GC Global LPM"/>
    <s v="M"/>
    <n v="100"/>
    <s v="override"/>
    <s v="OK"/>
    <n v="25"/>
    <n v="25"/>
    <n v="25"/>
    <n v="25"/>
    <s v="P2"/>
    <n v="100"/>
    <m/>
    <m/>
    <s v="ONLINE"/>
    <m/>
    <m/>
    <n v="51.3"/>
    <x v="0"/>
    <x v="5"/>
    <s v="United"/>
    <s v="U&amp;MP"/>
  </r>
  <r>
    <s v="Contingency and platform robustness"/>
    <x v="95"/>
    <m/>
    <s v="review done"/>
    <s v="WOPA Global"/>
    <s v="M"/>
    <n v="75"/>
    <s v="override"/>
    <s v="OK"/>
    <n v="15"/>
    <n v="15"/>
    <n v="20"/>
    <n v="25"/>
    <s v="P2"/>
    <n v="75"/>
    <s v="Teun Boer"/>
    <s v="Synergies"/>
    <s v="ONLINE"/>
    <m/>
    <m/>
    <n v="38.475000000000001"/>
    <x v="0"/>
    <x v="0"/>
    <s v="United"/>
    <s v="U&amp;MP"/>
  </r>
  <r>
    <s v="Technical &amp; Functional Debt"/>
    <x v="12"/>
    <s v="API &amp; data"/>
    <s v="Including TPVnumber to 32 char ?"/>
    <s v="AF7"/>
    <s v="XS"/>
    <n v="20"/>
    <s v="auto"/>
    <s v="OK"/>
    <n v="5"/>
    <n v="5"/>
    <n v="5"/>
    <n v="5"/>
    <s v="P2"/>
    <n v="20"/>
    <s v="Sebastien Letniowski"/>
    <m/>
    <s v="IN_STORE"/>
    <s v="Technical Leverage"/>
    <m/>
    <n v="10.26"/>
    <x v="0"/>
    <x v="1"/>
    <n v="0"/>
    <s v="BAU"/>
  </r>
  <r>
    <s v="Technical &amp; Functional Debt"/>
    <x v="12"/>
    <s v="Refactoring"/>
    <s v="Axis Service / Spring Boot or Jboss 7"/>
    <s v="AF7"/>
    <s v="XS"/>
    <n v="20"/>
    <s v="auto"/>
    <s v="OK"/>
    <n v="5"/>
    <n v="5"/>
    <n v="5"/>
    <n v="5"/>
    <s v="P2"/>
    <n v="20"/>
    <s v="Sebastien Letniowski"/>
    <m/>
    <s v="IN_STORE"/>
    <s v="Technical Leverage"/>
    <m/>
    <n v="10.26"/>
    <x v="0"/>
    <x v="1"/>
    <n v="0"/>
    <s v="BAU"/>
  </r>
  <r>
    <s v="Technical &amp; Functional Debt"/>
    <x v="12"/>
    <s v="Robustness"/>
    <s v="Remove Log table (SAVELOG=0)"/>
    <s v="AF7"/>
    <s v="XS"/>
    <n v="20"/>
    <s v="auto"/>
    <s v="OK"/>
    <n v="5"/>
    <n v="5"/>
    <n v="5"/>
    <n v="5"/>
    <s v="P2"/>
    <n v="20"/>
    <s v="Sebastien Letniowski"/>
    <m/>
    <s v="IN_STORE"/>
    <s v="Technical Leverage"/>
    <m/>
    <n v="10.26"/>
    <x v="0"/>
    <x v="1"/>
    <n v="0"/>
    <s v="BAU"/>
  </r>
  <r>
    <s v="Custom / Evolutions for Sainsbury's"/>
    <x v="79"/>
    <s v="Sainsbury’s Android POS Integration Support"/>
    <m/>
    <s v="AF7"/>
    <s v="M"/>
    <n v="100"/>
    <s v="auto"/>
    <s v="OK"/>
    <n v="50"/>
    <n v="20"/>
    <n v="20"/>
    <n v="10"/>
    <s v="P3"/>
    <n v="100"/>
    <s v="Sylvain Marion"/>
    <s v="Product"/>
    <s v="IN_STORE"/>
    <s v="Support Customers' Projects"/>
    <m/>
    <n v="51.3"/>
    <x v="1"/>
    <x v="1"/>
    <n v="0"/>
    <s v="BAU"/>
  </r>
  <r>
    <s v="Custom / Evolutions for Ikea"/>
    <x v="96"/>
    <s v="Improvement to the local Reprint feature (AXIN-1276)"/>
    <m/>
    <s v="AF7"/>
    <s v="S"/>
    <n v="50"/>
    <s v="auto"/>
    <s v="OK"/>
    <m/>
    <n v="50"/>
    <m/>
    <m/>
    <s v="P3"/>
    <n v="50"/>
    <s v="Sylvain Marion"/>
    <s v="Product"/>
    <s v="IN_STORE"/>
    <s v="Support Customers' Projects"/>
    <m/>
    <n v="25.65"/>
    <x v="1"/>
    <x v="1"/>
    <n v="0"/>
    <s v="BAU"/>
  </r>
  <r>
    <s v="Custom / Evolutions for MID TIERS"/>
    <x v="90"/>
    <s v="AVIS Italy - PED Integration Host2Host improvements (Pay At Desk) (AXIN-1347)"/>
    <m/>
    <s v="AF7"/>
    <s v="M"/>
    <n v="100"/>
    <s v="auto"/>
    <s v="OK"/>
    <m/>
    <m/>
    <n v="100"/>
    <m/>
    <s v="P4"/>
    <n v="100"/>
    <s v="Sylvain Marion"/>
    <s v="Product"/>
    <s v="IN_STORE"/>
    <s v="Support Customers' Projects"/>
    <m/>
    <n v="51.3"/>
    <x v="1"/>
    <x v="1"/>
    <n v="0"/>
    <s v="BAU"/>
  </r>
  <r>
    <s v="Roadmap / Purchasing Experience"/>
    <x v="11"/>
    <s v="Customer requirement to replace standard POS messages with their own (AXIN-207)"/>
    <m/>
    <s v="AF7"/>
    <s v="M"/>
    <n v="100"/>
    <s v="auto"/>
    <s v="OK"/>
    <m/>
    <m/>
    <m/>
    <n v="100"/>
    <s v="P4"/>
    <n v="100"/>
    <s v="Sylvain Marion"/>
    <s v="Product"/>
    <s v="IN_STORE"/>
    <s v="Simplify Experience"/>
    <m/>
    <n v="51.3"/>
    <x v="1"/>
    <x v="1"/>
    <n v="0"/>
    <s v="BAU"/>
  </r>
  <r>
    <s v="Roadmap / Purchasing Experience"/>
    <x v="11"/>
    <s v="Asset Tracker BAU (certificate) / Evolution (depending on bcase) ? "/>
    <m/>
    <s v="AF7"/>
    <s v="S"/>
    <n v="50"/>
    <s v="auto"/>
    <s v="OK"/>
    <m/>
    <m/>
    <n v="50"/>
    <m/>
    <s v="P4"/>
    <n v="50"/>
    <s v="Sylvain Marion"/>
    <s v="Product"/>
    <s v="IN_STORE"/>
    <s v="Simplify Experience"/>
    <m/>
    <n v="25.65"/>
    <x v="1"/>
    <x v="1"/>
    <n v="0"/>
    <s v="BAU"/>
  </r>
  <r>
    <s v="Roadmap / Purchasing Experience"/>
    <x v="11"/>
    <s v="Bar tab feature for hospitality (AXIN-1228)"/>
    <m/>
    <s v="AF7"/>
    <s v="S"/>
    <n v="50"/>
    <s v="auto"/>
    <s v="OK"/>
    <m/>
    <n v="50"/>
    <m/>
    <m/>
    <s v="P4"/>
    <n v="50"/>
    <s v="Sylvain Marion"/>
    <s v="Product"/>
    <s v="IN_STORE"/>
    <s v="Simplify Experience"/>
    <m/>
    <n v="25.65"/>
    <x v="1"/>
    <x v="1"/>
    <n v="0"/>
    <s v="BAU"/>
  </r>
  <r>
    <s v="Maintenance"/>
    <x v="5"/>
    <s v="Maintenance Axis"/>
    <m/>
    <s v="AFA"/>
    <s v="XL"/>
    <n v="300"/>
    <s v="auto"/>
    <s v="OK"/>
    <n v="75"/>
    <n v="75"/>
    <n v="75"/>
    <n v="75"/>
    <s v="P1"/>
    <n v="300"/>
    <s v="Sylvain Marion"/>
    <s v="Maintenance &amp; Incidents"/>
    <s v="IN_STORE"/>
    <s v="Technical Leverage"/>
    <m/>
    <n v="153.9"/>
    <x v="0"/>
    <x v="1"/>
    <s v="Run"/>
    <s v="RUN"/>
  </r>
  <r>
    <s v="Technical Debt / Global Infra"/>
    <x v="29"/>
    <s v="Front office"/>
    <s v="Support to the migration"/>
    <s v="AFA"/>
    <s v="M"/>
    <n v="100"/>
    <s v="auto"/>
    <s v="OK"/>
    <n v="25"/>
    <n v="25"/>
    <n v="25"/>
    <n v="25"/>
    <s v="P1"/>
    <n v="100"/>
    <s v="Gilles Raymond"/>
    <s v="Tech. Debt"/>
    <s v="IN_STORE"/>
    <s v="Technical Leverage"/>
    <m/>
    <n v="51.3"/>
    <x v="0"/>
    <x v="1"/>
    <n v="0"/>
    <s v="BAU"/>
  </r>
  <r>
    <s v="Onboarding"/>
    <x v="80"/>
    <s v="Reminder applications impact with Everest Next Gen"/>
    <s v="All applications"/>
    <s v="AFA"/>
    <s v="S"/>
    <n v="50"/>
    <s v="auto"/>
    <s v="OK"/>
    <m/>
    <m/>
    <n v="50"/>
    <m/>
    <s v="P1"/>
    <n v="50"/>
    <s v="Sylvain Marion"/>
    <s v="Tech. Debt"/>
    <s v="IN_STORE"/>
    <s v="Technical Leverage"/>
    <m/>
    <n v="25.65"/>
    <x v="0"/>
    <x v="1"/>
    <n v="0"/>
    <s v="BAU"/>
  </r>
  <r>
    <s v="Regulation / 6 to 8 BIN Mgt"/>
    <x v="14"/>
    <s v="BIN 8 digits EMV/SSC impact (PAN masking) (AXIN-1012)"/>
    <m/>
    <s v="AFA"/>
    <s v="S"/>
    <n v="50"/>
    <s v="auto"/>
    <s v="OK"/>
    <n v="50"/>
    <m/>
    <m/>
    <m/>
    <s v="P1"/>
    <n v="50"/>
    <s v="Sylvain Marion"/>
    <s v="Product"/>
    <s v="IN_STORE"/>
    <s v="Regulation"/>
    <m/>
    <n v="25.65"/>
    <x v="0"/>
    <x v="1"/>
    <n v="0"/>
    <s v="BAU"/>
  </r>
  <r>
    <s v="Regulation / France other"/>
    <x v="97"/>
    <s v="MicroDon without TRD ruling for charity EMV/SSC (AXIN-1200)"/>
    <m/>
    <s v="AFA"/>
    <s v="S"/>
    <n v="50"/>
    <s v="auto"/>
    <s v="OK"/>
    <n v="50"/>
    <m/>
    <m/>
    <m/>
    <s v="P1"/>
    <n v="50"/>
    <s v="Sylvain Marion"/>
    <s v="Product"/>
    <s v="IN_STORE"/>
    <s v="Regulation"/>
    <m/>
    <n v="25.65"/>
    <x v="0"/>
    <x v="1"/>
    <n v="0"/>
    <s v="BAU"/>
  </r>
  <r>
    <s v="Security &amp; Risks"/>
    <x v="72"/>
    <s v="P2PE v2"/>
    <s v="EMV/SSC application"/>
    <s v="AFA"/>
    <s v="S"/>
    <n v="50"/>
    <s v="auto"/>
    <s v="OK"/>
    <m/>
    <m/>
    <n v="20"/>
    <n v="30"/>
    <s v="P1"/>
    <n v="50"/>
    <s v="Gilles Raymond"/>
    <s v="Product"/>
    <s v="IN_STORE"/>
    <s v="Regulation"/>
    <m/>
    <n v="25.65"/>
    <x v="0"/>
    <x v="1"/>
    <n v="0"/>
    <s v="BAU"/>
  </r>
  <r>
    <s v="Smart Routing / Shared service"/>
    <x v="98"/>
    <s v="New smart routing engine with EMV/SSC France"/>
    <m/>
    <s v="AFA"/>
    <s v="S"/>
    <n v="50"/>
    <s v="auto"/>
    <s v="OK"/>
    <n v="50"/>
    <m/>
    <m/>
    <m/>
    <s v="P1"/>
    <n v="50"/>
    <s v="Sylvain Marion"/>
    <s v="Product"/>
    <s v="IN_STORE"/>
    <s v="Complete Value Chain"/>
    <m/>
    <n v="25.65"/>
    <x v="0"/>
    <x v="1"/>
    <n v="0"/>
    <s v="BAU"/>
  </r>
  <r>
    <s v="Technical &amp; Functional Debt"/>
    <x v="12"/>
    <s v="Robustness"/>
    <s v="Remove Log table (SAVELOG=0) for EMV/SSC"/>
    <s v="AFA"/>
    <s v="S"/>
    <n v="50"/>
    <s v="auto"/>
    <s v="OK"/>
    <n v="50"/>
    <m/>
    <m/>
    <m/>
    <s v="P1"/>
    <n v="50"/>
    <s v="Gilles Raymond"/>
    <s v="Tech. Debt"/>
    <s v="IN_STORE"/>
    <s v="Technical Leverage"/>
    <m/>
    <n v="25.65"/>
    <x v="0"/>
    <x v="1"/>
    <n v="0"/>
    <s v="BAU"/>
  </r>
  <r>
    <s v="Technical &amp; Functional Debt"/>
    <x v="12"/>
    <s v="Robustness"/>
    <s v="Rework Axis payment application logs to allow easy access to production log for developers &amp; project manager"/>
    <s v="AFA"/>
    <s v="S"/>
    <n v="50"/>
    <s v="auto"/>
    <s v="OK"/>
    <n v="10"/>
    <n v="10"/>
    <n v="10"/>
    <n v="20"/>
    <s v="P1"/>
    <n v="50"/>
    <s v="Gilles Raymond"/>
    <s v="Tech. Debt"/>
    <s v="IN_STORE"/>
    <s v="Technical Leverage"/>
    <m/>
    <n v="25.65"/>
    <x v="0"/>
    <x v="1"/>
    <n v="0"/>
    <s v="BAU"/>
  </r>
  <r>
    <s v="Technical &amp; Functional Debt"/>
    <x v="12"/>
    <s v="Robustness"/>
    <s v="Duplicate management rework &amp; standardization (EMV/SSC)"/>
    <s v="AFA"/>
    <s v="S"/>
    <n v="50"/>
    <s v="auto"/>
    <s v="OK"/>
    <m/>
    <n v="50"/>
    <m/>
    <m/>
    <s v="P1"/>
    <n v="50"/>
    <s v="Gilles Raymond"/>
    <s v="Tech. Debt"/>
    <s v="IN_STORE"/>
    <s v="Technical Leverage"/>
    <m/>
    <n v="25.65"/>
    <x v="0"/>
    <x v="1"/>
    <n v="0"/>
    <s v="BAU"/>
  </r>
  <r>
    <s v="Technical &amp; Functional Debt"/>
    <x v="12"/>
    <s v="Support to project launch (small technical / functionnal gaps identified during implementation)"/>
    <m/>
    <s v="AFA"/>
    <s v="S"/>
    <n v="50"/>
    <s v="auto"/>
    <s v="OK"/>
    <n v="10"/>
    <n v="10"/>
    <n v="10"/>
    <n v="20"/>
    <s v="P1"/>
    <n v="50"/>
    <s v="Sylvain Marion"/>
    <s v="Tech. Debt"/>
    <s v="IN_STORE"/>
    <s v="Support Customers' Projects"/>
    <m/>
    <n v="25.65"/>
    <x v="0"/>
    <x v="1"/>
    <n v="0"/>
    <s v="BAU"/>
  </r>
  <r>
    <s v="Security &amp; Risks"/>
    <x v="72"/>
    <s v="Compliance PCI DSS"/>
    <s v="security bug fixing"/>
    <s v="AFA"/>
    <s v="XS"/>
    <n v="20"/>
    <s v="auto"/>
    <s v="OK"/>
    <n v="5"/>
    <n v="5"/>
    <n v="5"/>
    <n v="5"/>
    <s v="P1"/>
    <n v="20"/>
    <s v="Gilles Raymond"/>
    <s v="Maintenance &amp; Incidents"/>
    <s v="IN_STORE"/>
    <s v="Regulation"/>
    <m/>
    <n v="10.26"/>
    <x v="0"/>
    <x v="1"/>
    <n v="0"/>
    <s v="BAU"/>
  </r>
  <r>
    <s v="Security &amp; Risks"/>
    <x v="72"/>
    <s v="Decommission TDES algorithm"/>
    <m/>
    <s v="AFA"/>
    <s v="XS"/>
    <n v="20"/>
    <s v="auto"/>
    <s v="OK"/>
    <n v="5"/>
    <n v="5"/>
    <n v="5"/>
    <n v="5"/>
    <s v="P1"/>
    <n v="20"/>
    <s v="Gilles Raymond"/>
    <s v="Maintenance &amp; Incidents"/>
    <s v="IN_STORE"/>
    <s v="Regulation"/>
    <m/>
    <n v="10.26"/>
    <x v="0"/>
    <x v="1"/>
    <n v="0"/>
    <s v="BAU"/>
  </r>
  <r>
    <s v="Technical &amp; Functional Debt"/>
    <x v="12"/>
    <s v="API &amp; data"/>
    <s v="PaymentID as UUID"/>
    <s v="AFA"/>
    <s v="XS"/>
    <n v="20"/>
    <s v="auto"/>
    <s v="OK"/>
    <m/>
    <n v="20"/>
    <m/>
    <m/>
    <s v="P1"/>
    <n v="20"/>
    <s v="Gilles Raymond"/>
    <s v="Tech. Debt"/>
    <s v="IN_STORE"/>
    <s v="Technical Leverage"/>
    <m/>
    <n v="10.26"/>
    <x v="0"/>
    <x v="1"/>
    <n v="0"/>
    <s v="BAU"/>
  </r>
  <r>
    <s v="Technical &amp; Functional Debt"/>
    <x v="12"/>
    <s v="Refactoring"/>
    <s v="PostgresQL 13 migration"/>
    <s v="AFA"/>
    <s v="XS"/>
    <n v="20"/>
    <s v="auto"/>
    <s v="OK"/>
    <m/>
    <n v="20"/>
    <m/>
    <m/>
    <s v="P1"/>
    <n v="20"/>
    <s v="Gilles Raymond"/>
    <s v="Tech. Debt"/>
    <s v="IN_STORE"/>
    <s v="Technical Leverage"/>
    <m/>
    <n v="10.26"/>
    <x v="0"/>
    <x v="1"/>
    <n v="0"/>
    <s v="BAU"/>
  </r>
  <r>
    <s v="Technical Debt / Global Infra"/>
    <x v="29"/>
    <s v="Source code &amp; CI migration"/>
    <s v="AFA"/>
    <s v="AFA"/>
    <s v="XS"/>
    <n v="20"/>
    <s v="auto"/>
    <s v="OK"/>
    <n v="20"/>
    <m/>
    <m/>
    <m/>
    <s v="P1"/>
    <n v="20"/>
    <s v="Gilles Raymond"/>
    <s v="Tech. Debt"/>
    <s v="IN_STORE"/>
    <s v="Technical Leverage"/>
    <m/>
    <n v="10.26"/>
    <x v="0"/>
    <x v="1"/>
    <n v="0"/>
    <s v="BAU"/>
  </r>
  <r>
    <s v="Technical Debt / Global Infra"/>
    <x v="29"/>
    <s v="Training of teams with new way of working"/>
    <s v="AFA"/>
    <s v="AFA"/>
    <s v="XS"/>
    <n v="20"/>
    <s v="auto"/>
    <s v="OK"/>
    <n v="20"/>
    <m/>
    <m/>
    <m/>
    <s v="P1"/>
    <n v="20"/>
    <s v="Gilles Raymond"/>
    <s v="Tech. Debt"/>
    <s v="IN_STORE"/>
    <s v="Technical Leverage"/>
    <m/>
    <n v="10.26"/>
    <x v="0"/>
    <x v="1"/>
    <n v="0"/>
    <s v="BAU"/>
  </r>
  <r>
    <s v="Verticals - Parking/EV Charging / Vending Self/2-4-5000"/>
    <x v="99"/>
    <s v="[Self-Service] Introduction of SELF/7-8000 FR and Europe (including MDBv4.2)"/>
    <s v="SELF/7-8000 Package (FR &amp; CPA/MAP)"/>
    <s v="AFA"/>
    <s v="XS"/>
    <n v="20"/>
    <s v="auto"/>
    <s v="OK"/>
    <n v="20"/>
    <m/>
    <m/>
    <m/>
    <s v="P1"/>
    <n v="20"/>
    <s v="Thierry Fortune"/>
    <s v="Product"/>
    <s v="IN_STORE"/>
    <m/>
    <m/>
    <n v="10.26"/>
    <x v="0"/>
    <x v="1"/>
    <n v="0"/>
    <s v="BAU"/>
  </r>
  <r>
    <s v="Technical &amp; Functional Debt"/>
    <x v="12"/>
    <s v="Refactoring"/>
    <s v="Rework replication to remove PGQ"/>
    <s v="AFA"/>
    <s v="XS"/>
    <n v="15"/>
    <s v="override"/>
    <s v="OK"/>
    <m/>
    <m/>
    <n v="15"/>
    <m/>
    <s v="P1"/>
    <n v="15"/>
    <s v="Gilles Raymond"/>
    <s v="Tech. Debt"/>
    <s v="IN_STORE"/>
    <s v="Technical Leverage"/>
    <m/>
    <n v="7.6950000000000003"/>
    <x v="0"/>
    <x v="1"/>
    <n v="0"/>
    <s v="BAU"/>
  </r>
  <r>
    <s v="Roadmap / Purchasing Experience"/>
    <x v="11"/>
    <s v="Digital consumer receipt (AXIN-1212) EMV/SSC"/>
    <m/>
    <s v="AFA"/>
    <s v="M"/>
    <n v="100"/>
    <s v="auto"/>
    <s v="OK"/>
    <m/>
    <n v="50"/>
    <n v="50"/>
    <m/>
    <s v="P2"/>
    <n v="100"/>
    <s v="Sylvain Marion"/>
    <s v="Product"/>
    <s v="IN_STORE"/>
    <s v="Simplify Experience"/>
    <m/>
    <n v="51.3"/>
    <x v="0"/>
    <x v="1"/>
    <n v="0"/>
    <s v="BAU"/>
  </r>
  <r>
    <s v="Roadmap / Purchasing Experience"/>
    <x v="11"/>
    <s v="Duplicate management evolution (new criteria &amp; UX display to reinject via e-Portal) (AXIN-1331)"/>
    <s v="EMV/SSC"/>
    <s v="AFA"/>
    <s v="M"/>
    <n v="100"/>
    <s v="auto"/>
    <s v="OK"/>
    <n v="100"/>
    <m/>
    <m/>
    <m/>
    <s v="P2"/>
    <n v="100"/>
    <s v="Sylvain Marion"/>
    <s v="Product"/>
    <s v="IN_STORE"/>
    <s v="Simplify Experience"/>
    <m/>
    <n v="51.3"/>
    <x v="0"/>
    <x v="1"/>
    <n v="0"/>
    <s v="BAU"/>
  </r>
  <r>
    <s v="CSACT Technical debt / Rationalization"/>
    <x v="100"/>
    <s v="GIT Migratin and GIT CI"/>
    <s v="Implement a full GIT Pipeline on CSACT and H24"/>
    <s v="CSACT Core"/>
    <s v="S"/>
    <n v="50"/>
    <s v="auto"/>
    <s v="OK"/>
    <n v="15"/>
    <n v="15"/>
    <n v="10"/>
    <n v="10"/>
    <s v="P1"/>
    <n v="50"/>
    <s v="Pierre-Olivier chaplain"/>
    <s v="Tech. Debt"/>
    <s v="IN_STORE"/>
    <m/>
    <m/>
    <n v="25.65"/>
    <x v="0"/>
    <x v="18"/>
    <n v="0"/>
    <s v="BAU"/>
  </r>
  <r>
    <s v="CSACT Technical debt / Rationalization"/>
    <x v="100"/>
    <s v="GIT Migratin and GIT CI"/>
    <s v="Implement a full GIT Pipeline on CSACT and H24"/>
    <s v="CSACT Rdmp"/>
    <s v="S"/>
    <n v="50"/>
    <s v="auto"/>
    <s v="OK"/>
    <n v="15"/>
    <n v="15"/>
    <n v="10"/>
    <n v="10"/>
    <s v="P1"/>
    <n v="50"/>
    <s v="Pierre-Olivier chaplain"/>
    <s v="Tech. Debt"/>
    <s v="IN_STORE"/>
    <m/>
    <m/>
    <n v="25.65"/>
    <x v="0"/>
    <x v="18"/>
    <n v="0"/>
    <s v="BAU"/>
  </r>
  <r>
    <s v="Roadmap / Billing"/>
    <x v="101"/>
    <s v="Backoffice API pour Plate forme automatisée de facturation (RATP) "/>
    <m/>
    <s v="AFA"/>
    <s v="S"/>
    <n v="50"/>
    <s v="auto"/>
    <s v="OK"/>
    <n v="50"/>
    <m/>
    <m/>
    <m/>
    <s v="P2"/>
    <n v="50"/>
    <s v="Sylvain Marion"/>
    <s v="Product"/>
    <s v="IN_STORE"/>
    <s v="Support Customers' Projects"/>
    <m/>
    <n v="25.65"/>
    <x v="0"/>
    <x v="1"/>
    <n v="0"/>
    <s v="BAU"/>
  </r>
  <r>
    <s v="Regulation / France other"/>
    <x v="97"/>
    <s v="CB5.5 unattended pre-auth contactless (AXIN-1480)"/>
    <m/>
    <s v="AFA"/>
    <s v="XS"/>
    <n v="20"/>
    <s v="auto"/>
    <s v="OK"/>
    <n v="20"/>
    <m/>
    <m/>
    <m/>
    <s v="P2"/>
    <n v="20"/>
    <s v="Sylvain Marion"/>
    <s v="Product"/>
    <s v="IN_STORE"/>
    <s v="Regulation"/>
    <m/>
    <n v="10.26"/>
    <x v="0"/>
    <x v="1"/>
    <n v="0"/>
    <s v="BAU"/>
  </r>
  <r>
    <s v="CSACT Technical debt / Rationalization"/>
    <x v="100"/>
    <s v="H24 NRT for new APP versions"/>
    <m/>
    <s v="CSACT Rdmp"/>
    <s v="L"/>
    <n v="200"/>
    <s v="auto"/>
    <s v="OK"/>
    <m/>
    <n v="120"/>
    <m/>
    <n v="80"/>
    <s v="P1"/>
    <n v="200"/>
    <s v="Pierre-Olivier chaplain"/>
    <s v="Tech. Debt"/>
    <s v="IN_STORE"/>
    <s v="Technical Leverage"/>
    <m/>
    <n v="102.6"/>
    <x v="0"/>
    <x v="18"/>
    <n v="0"/>
    <s v="BAU"/>
  </r>
  <r>
    <s v="Regulation / France other"/>
    <x v="97"/>
    <s v="mPOS certification CB5.5 or CB6 for iSMP4-CL2 Safety (AXIN-1318)"/>
    <m/>
    <s v="AFA"/>
    <s v="XS"/>
    <n v="20"/>
    <s v="auto"/>
    <s v="OK"/>
    <n v="20"/>
    <m/>
    <m/>
    <m/>
    <s v="P2"/>
    <n v="20"/>
    <s v="Sylvain Marion"/>
    <s v="Product"/>
    <s v="IN_STORE"/>
    <s v="Regulation"/>
    <m/>
    <n v="10.26"/>
    <x v="0"/>
    <x v="1"/>
    <n v="0"/>
    <s v="BAU"/>
  </r>
  <r>
    <s v="Regulation / France other"/>
    <x v="97"/>
    <s v="Compliance with 5.5 referential (bulletin ? New Terminals ? New ERT ?)"/>
    <m/>
    <s v="AFA"/>
    <s v="L"/>
    <n v="200"/>
    <s v="auto"/>
    <s v="OK"/>
    <n v="50"/>
    <n v="50"/>
    <n v="50"/>
    <n v="50"/>
    <s v="P4"/>
    <n v="200"/>
    <s v="Gilles Raymond"/>
    <s v="Product"/>
    <s v="IN_STORE"/>
    <s v="Regulation"/>
    <m/>
    <n v="102.6"/>
    <x v="1"/>
    <x v="1"/>
    <n v="0"/>
    <s v="BAU"/>
  </r>
  <r>
    <s v="Custom / Evolutions for MID TIERS"/>
    <x v="90"/>
    <s v="Infomil Bucket including P2PE (quid Olaqin?)"/>
    <m/>
    <s v="AFA"/>
    <s v="M"/>
    <n v="100"/>
    <s v="auto"/>
    <s v="OK"/>
    <n v="50"/>
    <n v="50"/>
    <m/>
    <m/>
    <s v="P4"/>
    <n v="100"/>
    <s v="Sylvain Marion"/>
    <s v="Product"/>
    <s v="IN_STORE"/>
    <s v="Support Customers' Projects"/>
    <m/>
    <n v="51.3"/>
    <x v="1"/>
    <x v="1"/>
    <n v="0"/>
    <s v="BAU"/>
  </r>
  <r>
    <s v="Technical &amp; Functional Debt"/>
    <x v="12"/>
    <s v="API &amp; data"/>
    <s v="Including TPVnumber to 32 char ?"/>
    <s v="AFA"/>
    <s v="S"/>
    <n v="50"/>
    <s v="auto"/>
    <s v="OK"/>
    <m/>
    <m/>
    <n v="25"/>
    <n v="25"/>
    <s v="P4"/>
    <n v="50"/>
    <s v="Gilles Raymond"/>
    <s v="Tech. Debt"/>
    <s v="IN_STORE"/>
    <s v="Technical Leverage"/>
    <m/>
    <n v="25.65"/>
    <x v="1"/>
    <x v="1"/>
    <n v="0"/>
    <s v="BAU"/>
  </r>
  <r>
    <s v="Regulation / France other"/>
    <x v="97"/>
    <s v="Payment Facilitator EMV/SSC support (AXIN-1295)"/>
    <m/>
    <s v="AFA"/>
    <s v="XS"/>
    <n v="20"/>
    <s v="auto"/>
    <s v="OK"/>
    <n v="20"/>
    <m/>
    <m/>
    <m/>
    <s v="P4"/>
    <n v="20"/>
    <s v="Sylvain Marion"/>
    <s v="Product"/>
    <s v="IN_STORE"/>
    <s v="Get a Specific Approach per Vertical"/>
    <m/>
    <n v="10.26"/>
    <x v="1"/>
    <x v="1"/>
    <n v="0"/>
    <s v="BAU"/>
  </r>
  <r>
    <s v="Technical &amp; Functional Debt"/>
    <x v="12"/>
    <s v="Black Duck  audit to fix open source security &amp; license compliance issues (AXIN-553)"/>
    <m/>
    <s v="AFA"/>
    <m/>
    <n v="0"/>
    <s v="auto"/>
    <s v="OK"/>
    <m/>
    <m/>
    <m/>
    <m/>
    <s v="P4"/>
    <n v="0"/>
    <s v="Sylvain Marion"/>
    <s v="Tech. Debt"/>
    <s v="IN_STORE"/>
    <s v="Technical Leverage"/>
    <m/>
    <n v="0"/>
    <x v="1"/>
    <x v="1"/>
    <n v="0"/>
    <s v="BAU"/>
  </r>
  <r>
    <s v="[UNITED SYNERGIES] Connection to WL acquiring"/>
    <x v="102"/>
    <s v="WL Acquiring Red and Blue with all scheme (AXIN-1524)"/>
    <m/>
    <s v="AFAQ"/>
    <s v="XXL"/>
    <n v="400"/>
    <s v="auto"/>
    <s v="OK"/>
    <n v="200"/>
    <n v="200"/>
    <m/>
    <m/>
    <s v="P1"/>
    <n v="400"/>
    <s v="Martin Tomkins"/>
    <s v="Product"/>
    <s v="IN_STORE"/>
    <s v="Complete Value Chain"/>
    <s v="Certifications, JCB C'less, Partial Autorisation"/>
    <n v="205.2"/>
    <x v="0"/>
    <x v="1"/>
    <s v="United"/>
    <s v="U&amp;MP"/>
  </r>
  <r>
    <s v="Roadmap / Geo Expansion"/>
    <x v="89"/>
    <s v="Implement Blik on AXIS VAS"/>
    <s v="Required to offer acquiring in Poland. (on AFC today, but AFC is over budget)"/>
    <s v="AFAQ"/>
    <s v="L"/>
    <n v="200"/>
    <s v="auto"/>
    <s v="OK"/>
    <m/>
    <n v="25"/>
    <n v="150"/>
    <n v="25"/>
    <s v="P1"/>
    <n v="200"/>
    <s v="Martin Tomkins"/>
    <s v="Product"/>
    <s v="IN_STORE"/>
    <s v="Extend Geographical Footprint"/>
    <s v=" Look at using AFAQ if no capacity elsewhere (will deprioritise other dev)"/>
    <n v="102.6"/>
    <x v="0"/>
    <x v="1"/>
    <n v="0"/>
    <s v="BAU"/>
  </r>
  <r>
    <s v="[UNITED SYNERGIES] Connection to WL acquiring"/>
    <x v="102"/>
    <s v="AXIS Acquiring Customer Support"/>
    <s v="Configuration and deployment support"/>
    <s v="AFAQ"/>
    <s v="M"/>
    <n v="100"/>
    <s v="auto"/>
    <s v="OK"/>
    <n v="25"/>
    <n v="25"/>
    <n v="25"/>
    <n v="25"/>
    <s v="P1"/>
    <n v="100"/>
    <s v="Martin Tomkins"/>
    <s v="Product"/>
    <s v="IN_STORE"/>
    <s v="Complete Value Chain"/>
    <m/>
    <n v="51.3"/>
    <x v="0"/>
    <x v="1"/>
    <s v="United"/>
    <s v="U&amp;MP"/>
  </r>
  <r>
    <s v="Maintenance"/>
    <x v="5"/>
    <s v="Maintenance Axis"/>
    <m/>
    <s v="AFAQ"/>
    <s v="M"/>
    <n v="100"/>
    <s v="auto"/>
    <s v="OK"/>
    <n v="25"/>
    <n v="25"/>
    <n v="25"/>
    <n v="25"/>
    <s v="P1"/>
    <n v="100"/>
    <s v="Martin Tomkins"/>
    <s v="Maintenance &amp; Incidents"/>
    <s v="IN_STORE"/>
    <s v="Technical Leverage"/>
    <m/>
    <n v="51.3"/>
    <x v="0"/>
    <x v="1"/>
    <s v="Run"/>
    <s v="RUN"/>
  </r>
  <r>
    <s v="Technical Debt / Auto tests "/>
    <x v="103"/>
    <s v="Industrialisation "/>
    <m/>
    <s v="AFAQ"/>
    <s v="M"/>
    <n v="100"/>
    <s v="auto"/>
    <s v="OK"/>
    <n v="25"/>
    <n v="25"/>
    <n v="25"/>
    <n v="25"/>
    <s v="P1"/>
    <n v="100"/>
    <s v="Martin Tomkins"/>
    <s v="Tech. Debt"/>
    <s v="IN_STORE"/>
    <s v="Technical Leverage"/>
    <m/>
    <n v="51.3"/>
    <x v="0"/>
    <x v="1"/>
    <n v="0"/>
    <s v="BAU"/>
  </r>
  <r>
    <s v="United - DCC Hub"/>
    <x v="104"/>
    <s v="WL DCC service (AXIN-1526)"/>
    <s v="(Integrationtesting and go live support)"/>
    <s v="AFAQ"/>
    <s v="S"/>
    <n v="0"/>
    <s v="auto"/>
    <s v="OK"/>
    <m/>
    <m/>
    <m/>
    <m/>
    <s v="P1"/>
    <n v="0"/>
    <s v="Sylvain Marion"/>
    <s v="Synergies"/>
    <s v="IN_STORE"/>
    <s v="Complete Value Chain"/>
    <m/>
    <n v="0"/>
    <x v="0"/>
    <x v="1"/>
    <n v="0"/>
    <s v="BAU"/>
  </r>
  <r>
    <s v="Regulation / nexo IS v5"/>
    <x v="105"/>
    <s v="nexo IS v5 light: support Nexo EPAS Acquirer v9 with current CPA OIS v3 (AXIN to be created)"/>
    <m/>
    <s v="AFAQ"/>
    <s v="S"/>
    <n v="50"/>
    <s v="auto"/>
    <s v="OK"/>
    <m/>
    <n v="50"/>
    <m/>
    <m/>
    <s v="P4"/>
    <n v="50"/>
    <s v="Sylvain Marion"/>
    <s v="Product"/>
    <s v="IN_STORE"/>
    <s v="Regulation"/>
    <m/>
    <n v="25.65"/>
    <x v="1"/>
    <x v="1"/>
    <n v="0"/>
    <s v="BAU"/>
  </r>
  <r>
    <s v="Custom / Evolutions for Carrefour"/>
    <x v="106"/>
    <s v="Carrefour PASS protocol on AH  and support 3DS v2"/>
    <s v="Requested in order to continue to be able to have an authentication on pass"/>
    <s v="Acq Hub_1"/>
    <s v="XL"/>
    <n v="300"/>
    <s v="auto"/>
    <s v="OK"/>
    <n v="75"/>
    <n v="75"/>
    <n v="75"/>
    <n v="75"/>
    <s v="P5"/>
    <n v="300"/>
    <s v="Pierre Riat"/>
    <m/>
    <s v="OCH"/>
    <m/>
    <m/>
    <n v="153.9"/>
    <x v="1"/>
    <x v="2"/>
    <n v="0"/>
    <s v="BAU"/>
  </r>
  <r>
    <s v="Custom / Evolutions for Carrefour"/>
    <x v="106"/>
    <s v="Carrefour PASS protocol migration on  .net and support 3DS v2"/>
    <s v="Requested in order to continue to be able to have an authentication on pass"/>
    <s v="WLOC_CARD_BE"/>
    <s v="S"/>
    <n v="100"/>
    <s v="override"/>
    <s v="OK"/>
    <n v="50"/>
    <n v="50"/>
    <m/>
    <m/>
    <s v="P5"/>
    <n v="100"/>
    <s v="Pierre Riat"/>
    <s v="Tech. Debt"/>
    <s v="ECOM"/>
    <m/>
    <m/>
    <n v="48.3"/>
    <x v="1"/>
    <x v="4"/>
    <n v="0"/>
    <s v="BAU"/>
  </r>
  <r>
    <s v="Custom / Evolutions for Carrefour"/>
    <x v="106"/>
    <s v="GSV Customer project"/>
    <s v="Carrefour PASS on Ingenico Direct"/>
    <s v="Beyond"/>
    <s v="M"/>
    <n v="150"/>
    <s v="override"/>
    <s v="OK"/>
    <m/>
    <m/>
    <m/>
    <n v="150"/>
    <s v="P5"/>
    <n v="150"/>
    <s v="Pierre Riat"/>
    <m/>
    <s v="ECOM"/>
    <m/>
    <s v="Requested if we want a winback with carrefour on ecomm"/>
    <n v="72.45"/>
    <x v="1"/>
    <x v="4"/>
    <n v="0"/>
    <s v="BAU"/>
  </r>
  <r>
    <s v="Roadmap / Geo Expansion"/>
    <x v="89"/>
    <s v="Blik Poland (AXIN-801) via APM hub or Axis direct or via Elavon (worst case) ? "/>
    <m/>
    <s v="AFC"/>
    <s v="XL"/>
    <n v="300"/>
    <s v="auto"/>
    <s v="OK"/>
    <m/>
    <n v="100"/>
    <n v="100"/>
    <n v="100"/>
    <s v="P1"/>
    <n v="300"/>
    <s v="Sylvain Marion"/>
    <s v="Product"/>
    <s v="IN_STORE"/>
    <s v="Extend Geographical Footprint"/>
    <m/>
    <n v="153.9"/>
    <x v="0"/>
    <x v="1"/>
    <n v="0"/>
    <s v="BAU"/>
  </r>
  <r>
    <s v="Roadmap / Purchasing Experience"/>
    <x v="11"/>
    <s v="BNPL with Oney (app France) (AXIN-1542)"/>
    <m/>
    <s v="AFC"/>
    <s v="XL"/>
    <n v="300"/>
    <s v="auto"/>
    <s v="OK"/>
    <n v="200"/>
    <n v="100"/>
    <m/>
    <m/>
    <s v="P1"/>
    <n v="300"/>
    <s v="Sylvain Marion"/>
    <s v="Product"/>
    <s v="IN_STORE"/>
    <s v="Simplify Experience"/>
    <m/>
    <n v="153.9"/>
    <x v="0"/>
    <x v="1"/>
    <n v="0"/>
    <s v="BAU"/>
  </r>
  <r>
    <s v="[UNITED SYNERGIES] SACC Decomissionning"/>
    <x v="7"/>
    <s v="United SACC Decomissionning without Casino Contingency"/>
    <m/>
    <s v="AFC"/>
    <s v="L"/>
    <n v="200"/>
    <s v="auto"/>
    <s v="OK"/>
    <m/>
    <n v="100"/>
    <n v="100"/>
    <m/>
    <s v="P1"/>
    <n v="200"/>
    <s v="Sylvain Marion"/>
    <s v="Synergies"/>
    <s v="IN_STORE"/>
    <s v="Support Customers' Projects"/>
    <m/>
    <n v="102.6"/>
    <x v="0"/>
    <x v="1"/>
    <s v="United"/>
    <s v="U&amp;MP"/>
  </r>
  <r>
    <s v="[UNITED SYNERGIES] SACC Decomissionning"/>
    <x v="7"/>
    <s v="Record Card (Promostim) Darty (AXIN-1608)"/>
    <m/>
    <s v="AFC"/>
    <s v="M"/>
    <n v="100"/>
    <s v="auto"/>
    <s v="OK"/>
    <m/>
    <n v="100"/>
    <m/>
    <m/>
    <s v="P1"/>
    <n v="100"/>
    <s v="Sylvain Marion"/>
    <s v="Synergies"/>
    <s v="IN_STORE"/>
    <s v="Support Customers' Projects"/>
    <m/>
    <n v="51.3"/>
    <x v="0"/>
    <x v="1"/>
    <s v="United"/>
    <s v="U&amp;MP"/>
  </r>
  <r>
    <s v="[UNITED SYNERGIES] SACC Decomissionning"/>
    <x v="7"/>
    <s v="Sofinco Spec 4.20 Darty  (AXIN-1607)"/>
    <m/>
    <s v="AFC"/>
    <s v="M"/>
    <n v="100"/>
    <s v="auto"/>
    <s v="OK"/>
    <m/>
    <m/>
    <n v="100"/>
    <m/>
    <s v="P1"/>
    <n v="100"/>
    <s v="Sylvain Marion"/>
    <s v="Synergies"/>
    <s v="IN_STORE"/>
    <s v="Support Customers' Projects"/>
    <m/>
    <n v="51.3"/>
    <x v="0"/>
    <x v="1"/>
    <s v="United"/>
    <s v="U&amp;MP"/>
  </r>
  <r>
    <s v="Custom / Evolutions for Système U"/>
    <x v="107"/>
    <s v="Bucket support + Bucket CRs"/>
    <m/>
    <s v="AFC"/>
    <s v="M"/>
    <n v="100"/>
    <s v="auto"/>
    <s v="OK"/>
    <n v="25"/>
    <n v="25"/>
    <n v="25"/>
    <n v="25"/>
    <s v="P1"/>
    <n v="100"/>
    <s v="Sylvain Marion"/>
    <s v="Product"/>
    <s v="IN_STORE"/>
    <s v="Support Customers' Projects"/>
    <m/>
    <n v="51.3"/>
    <x v="0"/>
    <x v="1"/>
    <n v="0"/>
    <s v="BAU"/>
  </r>
  <r>
    <s v="Maintenance"/>
    <x v="5"/>
    <s v="Maintenance Axis"/>
    <m/>
    <s v="AFC"/>
    <s v="M"/>
    <n v="100"/>
    <s v="auto"/>
    <s v="OK"/>
    <n v="25"/>
    <n v="25"/>
    <n v="25"/>
    <n v="25"/>
    <s v="P1"/>
    <n v="100"/>
    <s v="Pierre-Olivier chaplain"/>
    <s v="Maintenance &amp; Incidents"/>
    <s v="IN_STORE"/>
    <s v="Technical Leverage"/>
    <m/>
    <n v="51.3"/>
    <x v="0"/>
    <x v="1"/>
    <s v="Run"/>
    <s v="RUN"/>
  </r>
  <r>
    <s v="Technical &amp; Functional Debt"/>
    <x v="12"/>
    <s v="Robustness"/>
    <s v="Rework Axis payment application logs to allow easy access to production log for developers &amp; project manager"/>
    <s v="AFC"/>
    <s v="S"/>
    <n v="50"/>
    <s v="auto"/>
    <s v="OK"/>
    <n v="20"/>
    <n v="20"/>
    <n v="10"/>
    <m/>
    <s v="P1"/>
    <n v="50"/>
    <s v="Pierre-Olivier chaplain"/>
    <s v="Tech. Debt"/>
    <s v="IN_STORE"/>
    <s v="Technical Leverage"/>
    <m/>
    <n v="25.65"/>
    <x v="0"/>
    <x v="1"/>
    <n v="0"/>
    <s v="BAU"/>
  </r>
  <r>
    <s v="Roadmap / Purchasing Experience"/>
    <x v="11"/>
    <s v="APM QRCode acquisition via Lane/5000 camera"/>
    <m/>
    <s v="AFC"/>
    <s v="XS"/>
    <n v="20"/>
    <s v="auto"/>
    <s v="OK"/>
    <n v="20"/>
    <m/>
    <m/>
    <m/>
    <s v="P1"/>
    <n v="20"/>
    <s v="Sylvain Marion"/>
    <s v="Product"/>
    <s v="IN_STORE"/>
    <s v="Simplify Experience"/>
    <m/>
    <n v="10.26"/>
    <x v="0"/>
    <x v="1"/>
    <n v="0"/>
    <s v="BAU"/>
  </r>
  <r>
    <s v="Technical &amp; Functional Debt"/>
    <x v="12"/>
    <s v="API &amp; data"/>
    <s v="PaymentID as UUID (list applicatins)"/>
    <s v="AFC"/>
    <s v="XS"/>
    <n v="20"/>
    <s v="auto"/>
    <s v="OK"/>
    <m/>
    <n v="20"/>
    <m/>
    <m/>
    <s v="P1"/>
    <n v="20"/>
    <s v="Pierre-Olivier chaplain"/>
    <s v="Tech. Debt"/>
    <s v="IN_STORE"/>
    <s v="Technical Leverage"/>
    <m/>
    <n v="10.26"/>
    <x v="0"/>
    <x v="1"/>
    <n v="0"/>
    <s v="BAU"/>
  </r>
  <r>
    <s v="Technical &amp; Functional Debt"/>
    <x v="12"/>
    <s v="API &amp; data"/>
    <s v="Including TPVnumber to 32 char (list applications)"/>
    <s v="AFC"/>
    <s v="XS"/>
    <n v="20"/>
    <s v="auto"/>
    <s v="OK"/>
    <n v="20"/>
    <m/>
    <m/>
    <m/>
    <s v="P1"/>
    <n v="20"/>
    <s v="Pierre-Olivier chaplain"/>
    <s v="Tech. Debt"/>
    <s v="IN_STORE"/>
    <s v="Technical Leverage"/>
    <m/>
    <n v="10.26"/>
    <x v="0"/>
    <x v="1"/>
    <n v="0"/>
    <s v="BAU"/>
  </r>
  <r>
    <s v="Technical &amp; Functional Debt"/>
    <x v="12"/>
    <s v="Refactoring"/>
    <s v="PostgresQL 13 migration"/>
    <s v="AFC"/>
    <s v="XS"/>
    <n v="20"/>
    <s v="auto"/>
    <s v="OK"/>
    <m/>
    <m/>
    <n v="20"/>
    <m/>
    <s v="P1"/>
    <n v="20"/>
    <s v="Pierre-Olivier chaplain"/>
    <s v="Tech. Debt"/>
    <s v="IN_STORE"/>
    <s v="Technical Leverage"/>
    <m/>
    <n v="10.26"/>
    <x v="0"/>
    <x v="1"/>
    <n v="0"/>
    <s v="BAU"/>
  </r>
  <r>
    <s v="Technical &amp; Functional Debt"/>
    <x v="12"/>
    <s v="Robustness"/>
    <s v="Remove Log table (SAVELOG=0)"/>
    <s v="AFC"/>
    <s v="XS"/>
    <n v="20"/>
    <s v="auto"/>
    <s v="OK"/>
    <m/>
    <n v="20"/>
    <m/>
    <m/>
    <s v="P1"/>
    <n v="20"/>
    <s v="Pierre-Olivier chaplain"/>
    <s v="Tech. Debt"/>
    <s v="IN_STORE"/>
    <s v="Technical Leverage"/>
    <m/>
    <n v="10.26"/>
    <x v="0"/>
    <x v="1"/>
    <n v="0"/>
    <s v="BAU"/>
  </r>
  <r>
    <s v="Technical &amp; Functional Debt"/>
    <x v="12"/>
    <s v="Robustness"/>
    <s v="Duplicate management rework &amp; standardization (multiple application)"/>
    <s v="AFC"/>
    <s v="XS"/>
    <n v="20"/>
    <s v="auto"/>
    <s v="OK"/>
    <m/>
    <m/>
    <n v="20"/>
    <m/>
    <s v="P1"/>
    <n v="20"/>
    <s v="Pierre-Olivier chaplain"/>
    <s v="Tech. Debt"/>
    <s v="IN_STORE"/>
    <s v="Technical Leverage"/>
    <m/>
    <n v="10.26"/>
    <x v="0"/>
    <x v="1"/>
    <n v="0"/>
    <s v="BAU"/>
  </r>
  <r>
    <s v="Technical &amp; Functional Debt"/>
    <x v="12"/>
    <s v="Source code &amp; CI migration"/>
    <s v="AFC"/>
    <s v="AFC"/>
    <s v="XS"/>
    <n v="20"/>
    <s v="auto"/>
    <s v="OK"/>
    <n v="20"/>
    <m/>
    <m/>
    <m/>
    <s v="P1"/>
    <n v="20"/>
    <s v="Pierre-Olivier chaplain"/>
    <s v="Tech. Debt"/>
    <s v="IN_STORE"/>
    <s v="Technical Leverage"/>
    <m/>
    <n v="10.26"/>
    <x v="0"/>
    <x v="1"/>
    <n v="0"/>
    <s v="BAU"/>
  </r>
  <r>
    <s v="Technical &amp; Functional Debt"/>
    <x v="12"/>
    <s v="Training of teams with new way of working"/>
    <s v="AFC"/>
    <s v="AFC"/>
    <s v="XS"/>
    <n v="20"/>
    <s v="auto"/>
    <s v="OK"/>
    <n v="20"/>
    <m/>
    <m/>
    <m/>
    <s v="P1"/>
    <n v="20"/>
    <s v="Pierre-Olivier chaplain"/>
    <s v="Tech. Debt"/>
    <s v="IN_STORE"/>
    <s v="Technical Leverage"/>
    <m/>
    <n v="10.26"/>
    <x v="0"/>
    <x v="1"/>
    <n v="0"/>
    <s v="BAU"/>
  </r>
  <r>
    <s v="Technical &amp; Functional Debt"/>
    <x v="12"/>
    <s v="Refactoring"/>
    <s v="RHEL8 Migration"/>
    <s v="AFC"/>
    <s v="XS"/>
    <n v="20"/>
    <s v="auto"/>
    <s v="OK"/>
    <m/>
    <m/>
    <m/>
    <n v="20"/>
    <s v="P2"/>
    <n v="20"/>
    <s v="Pierre-Olivier chaplain"/>
    <s v="Tech. Debt"/>
    <s v="IN_STORE"/>
    <s v="Technical Leverage"/>
    <m/>
    <n v="10.26"/>
    <x v="0"/>
    <x v="1"/>
    <n v="0"/>
    <s v="BAU"/>
  </r>
  <r>
    <s v="Roadmap / Purchasing Experience"/>
    <x v="11"/>
    <s v="BNPL with Alma (app France) (AXIN-1593)"/>
    <m/>
    <s v="AFC"/>
    <s v="M"/>
    <n v="100"/>
    <s v="auto"/>
    <s v="OK"/>
    <m/>
    <m/>
    <n v="100"/>
    <m/>
    <s v="P3"/>
    <n v="100"/>
    <s v="Sylvain Marion"/>
    <s v="Product"/>
    <s v="IN_STORE"/>
    <s v="Simplify Experience"/>
    <m/>
    <n v="51.3"/>
    <x v="1"/>
    <x v="1"/>
    <n v="0"/>
    <s v="BAU"/>
  </r>
  <r>
    <s v="Roadmap / Purchasing Experience"/>
    <x v="11"/>
    <s v="APM Hub integration "/>
    <m/>
    <s v="AFC"/>
    <s v="XXL"/>
    <n v="400"/>
    <s v="auto"/>
    <s v="OK"/>
    <m/>
    <m/>
    <n v="200"/>
    <n v="200"/>
    <s v="P4"/>
    <n v="400"/>
    <s v="Sylvain Marion"/>
    <s v="Tech. Debt"/>
    <s v="IN_STORE"/>
    <s v="Technical Leverage"/>
    <m/>
    <n v="205.2"/>
    <x v="1"/>
    <x v="1"/>
    <n v="0"/>
    <s v="BAU"/>
  </r>
  <r>
    <s v="Custom / Evolutions for MID TIERS"/>
    <x v="90"/>
    <s v="Unknown customer (by experience)"/>
    <m/>
    <s v="AFC"/>
    <s v="XL"/>
    <n v="300"/>
    <s v="auto"/>
    <s v="OK"/>
    <n v="50"/>
    <n v="50"/>
    <n v="100"/>
    <n v="100"/>
    <s v="P4"/>
    <n v="300"/>
    <s v="Sylvain Marion"/>
    <s v="Product"/>
    <s v="IN_STORE"/>
    <s v="Support Customers' Projects"/>
    <m/>
    <n v="153.9"/>
    <x v="1"/>
    <x v="1"/>
    <n v="0"/>
    <s v="BAU"/>
  </r>
  <r>
    <s v="Roadmap / Purchasing Experience"/>
    <x v="11"/>
    <s v="APM Wechat/Alipay/ANCV QR Code display on terminal or sales system screen"/>
    <m/>
    <s v="AFC"/>
    <s v="XL"/>
    <n v="300"/>
    <s v="auto"/>
    <s v="OK"/>
    <m/>
    <m/>
    <m/>
    <n v="300"/>
    <s v="P4"/>
    <n v="300"/>
    <s v="Sylvain Marion"/>
    <s v="Product"/>
    <s v="IN_STORE"/>
    <s v="Simplify Experience"/>
    <m/>
    <n v="153.9"/>
    <x v="1"/>
    <x v="1"/>
    <n v="0"/>
    <s v="BAU"/>
  </r>
  <r>
    <s v="Custom / Galeries Lafayette Ecom"/>
    <x v="108"/>
    <s v="Cpay - CB Enseigne protol - PSD2 compliance"/>
    <m/>
    <s v="WLOC_CARD_BE"/>
    <s v="S"/>
    <n v="10"/>
    <s v="auto"/>
    <s v="OK"/>
    <n v="10"/>
    <m/>
    <m/>
    <m/>
    <s v="P2"/>
    <n v="10"/>
    <s v="Pierre Riat"/>
    <s v="Product"/>
    <s v="ECOM"/>
    <s v="Regulation"/>
    <m/>
    <n v="4.83"/>
    <x v="0"/>
    <x v="4"/>
    <n v="0"/>
    <s v="BAU"/>
  </r>
  <r>
    <s v="Custom / Galeries Lafayette Ecom"/>
    <x v="108"/>
    <s v="GSV Customer project"/>
    <s v="Cpay - CB Enseigne protol - PSD2 compliance"/>
    <s v="Beyond"/>
    <s v="S"/>
    <n v="40"/>
    <s v="override"/>
    <s v="OK"/>
    <n v="40"/>
    <m/>
    <m/>
    <m/>
    <s v="P3"/>
    <n v="40"/>
    <s v="Pierre Riat"/>
    <m/>
    <s v="ECOM"/>
    <m/>
    <m/>
    <n v="19.32"/>
    <x v="1"/>
    <x v="4"/>
    <n v="0"/>
    <s v="BAU"/>
  </r>
  <r>
    <s v="Dankort on Ingenico Direct"/>
    <x v="109"/>
    <s v="RB Local - Nordics"/>
    <s v="NETS on Acquirer hub"/>
    <s v="Acq Hub_1"/>
    <s v="L"/>
    <n v="150"/>
    <s v="auto"/>
    <s v="OK"/>
    <n v="75"/>
    <n v="75"/>
    <m/>
    <m/>
    <s v="P1"/>
    <n v="150"/>
    <s v="Emmanuel Blumel"/>
    <s v="Product"/>
    <s v="OCH"/>
    <m/>
    <m/>
    <n v="76.95"/>
    <x v="0"/>
    <x v="2"/>
    <s v="United"/>
    <s v="U&amp;MP"/>
  </r>
  <r>
    <s v="Dankort on Ingenico Direct"/>
    <x v="109"/>
    <s v="RB Local - Nordics"/>
    <s v="NETS migration to AH"/>
    <s v="WLOC_CARD_BE"/>
    <s v="XS"/>
    <n v="20"/>
    <s v="auto"/>
    <s v="OK"/>
    <m/>
    <m/>
    <n v="20"/>
    <m/>
    <s v="P1"/>
    <n v="20"/>
    <s v="Emmanuel Blumel"/>
    <s v="Product"/>
    <s v="ECOM"/>
    <m/>
    <m/>
    <n v="9.66"/>
    <x v="0"/>
    <x v="4"/>
    <s v="United"/>
    <s v="U&amp;MP"/>
  </r>
  <r>
    <s v="Dankort on Ingenico Direct"/>
    <x v="109"/>
    <s v="RB Local - Nordics"/>
    <s v="Dankort on Ingenico Direct"/>
    <s v="WLOC_CARD_FE"/>
    <s v="M"/>
    <n v="100"/>
    <s v="auto"/>
    <s v="OK"/>
    <n v="0"/>
    <n v="0"/>
    <n v="100"/>
    <n v="0"/>
    <s v="P1"/>
    <n v="100"/>
    <s v="Emmanuel Blumel"/>
    <s v="Product"/>
    <s v="ECOM"/>
    <m/>
    <m/>
    <n v="48.3"/>
    <x v="0"/>
    <x v="4"/>
    <s v="United"/>
    <s v="U&amp;MP"/>
  </r>
  <r>
    <s v="Database upgrade"/>
    <x v="110"/>
    <s v="Upgrade of DB"/>
    <m/>
    <s v="IPP"/>
    <s v="S"/>
    <n v="50"/>
    <s v="auto"/>
    <s v="OK"/>
    <n v="25"/>
    <n v="25"/>
    <m/>
    <m/>
    <s v="P1"/>
    <n v="50"/>
    <s v="Mike O'Halloran"/>
    <s v="Tech. Debt"/>
    <s v="ECOM"/>
    <m/>
    <m/>
    <n v="25.65"/>
    <x v="0"/>
    <x v="7"/>
    <n v="0"/>
    <s v="BAU"/>
  </r>
  <r>
    <s v="Datalake Setup for WOPA"/>
    <x v="111"/>
    <s v="WOPA data integration"/>
    <m/>
    <s v="Datalake"/>
    <m/>
    <n v="295"/>
    <s v="override"/>
    <s v="OK"/>
    <n v="70"/>
    <n v="225"/>
    <m/>
    <m/>
    <s v="P1"/>
    <n v="295"/>
    <s v="Charlotte Perraudin"/>
    <m/>
    <s v="OCH"/>
    <m/>
    <m/>
    <n v="151.33500000000001"/>
    <x v="0"/>
    <x v="2"/>
    <s v="United"/>
    <s v="U&amp;MP"/>
  </r>
  <r>
    <s v="MS data integration (UNITED)"/>
    <x v="112"/>
    <s v="OGONE data integration"/>
    <s v="Includes Ogone data + PayOne eCom data "/>
    <s v="Datalake"/>
    <m/>
    <n v="385"/>
    <s v="override"/>
    <s v="OK"/>
    <m/>
    <n v="225"/>
    <n v="160"/>
    <m/>
    <s v="P1"/>
    <n v="385"/>
    <s v="Charlotte Perraudin"/>
    <m/>
    <s v="OCH"/>
    <m/>
    <m/>
    <n v="197.505"/>
    <x v="0"/>
    <x v="2"/>
    <s v="United"/>
    <s v="U&amp;MP"/>
  </r>
  <r>
    <s v="MS data integration (UNITED)"/>
    <x v="112"/>
    <s v="PASS ACQ. Data integration"/>
    <m/>
    <s v="Datalake"/>
    <m/>
    <n v="385"/>
    <s v="override"/>
    <s v="OK"/>
    <m/>
    <n v="60"/>
    <n v="325"/>
    <m/>
    <s v="P1"/>
    <n v="385"/>
    <s v="Charlotte Perraudin"/>
    <m/>
    <s v="OCH"/>
    <m/>
    <m/>
    <n v="197.505"/>
    <x v="0"/>
    <x v="2"/>
    <s v="United"/>
    <s v="U&amp;MP"/>
  </r>
  <r>
    <s v="MS data integration (UNITED)"/>
    <x v="112"/>
    <s v="EP2 (PASS ACC. &amp; WLP FO) data integration"/>
    <m/>
    <s v="Datalake"/>
    <m/>
    <n v="385"/>
    <s v="override"/>
    <s v="OK"/>
    <m/>
    <m/>
    <n v="265"/>
    <n v="120"/>
    <s v="P1"/>
    <n v="385"/>
    <s v="Charlotte Perraudin"/>
    <m/>
    <s v="OCH"/>
    <m/>
    <m/>
    <n v="197.505"/>
    <x v="0"/>
    <x v="2"/>
    <s v="United"/>
    <s v="U&amp;MP"/>
  </r>
  <r>
    <s v="MS data integration (UNITED)"/>
    <x v="112"/>
    <s v="SIPS data history integration in datalake"/>
    <m/>
    <s v="Datalake"/>
    <m/>
    <n v="385"/>
    <s v="override"/>
    <s v="OK"/>
    <m/>
    <m/>
    <m/>
    <n v="385"/>
    <s v="P1"/>
    <n v="385"/>
    <s v="Charlotte Perraudin"/>
    <m/>
    <s v="OCH"/>
    <m/>
    <m/>
    <n v="197.505"/>
    <x v="0"/>
    <x v="2"/>
    <s v="United"/>
    <s v="U&amp;MP"/>
  </r>
  <r>
    <s v="MS data integration (UNITED)"/>
    <x v="112"/>
    <s v="ePay data history integration in datalake"/>
    <m/>
    <s v="Datalake"/>
    <m/>
    <n v="190"/>
    <s v="override"/>
    <s v="OK"/>
    <m/>
    <m/>
    <m/>
    <n v="190"/>
    <s v="P1"/>
    <n v="190"/>
    <s v="Charlotte Perraudin"/>
    <m/>
    <s v="OCH"/>
    <m/>
    <m/>
    <n v="97.47"/>
    <x v="0"/>
    <x v="2"/>
    <s v="United"/>
    <s v="U&amp;MP"/>
  </r>
  <r>
    <s v="MS data integration (UNITED)"/>
    <x v="112"/>
    <s v="GLOBAL COLLECT Data integration "/>
    <s v="New data model for Omnibus "/>
    <s v="Datalake"/>
    <m/>
    <n v="90"/>
    <s v="override"/>
    <s v="OK"/>
    <m/>
    <n v="90"/>
    <m/>
    <m/>
    <s v="P1"/>
    <n v="90"/>
    <s v="Charlotte Perraudin"/>
    <m/>
    <s v="OCH"/>
    <m/>
    <s v="Line added on 15/Sep after synch; with data architects"/>
    <n v="46.17"/>
    <x v="0"/>
    <x v="2"/>
    <s v="United"/>
    <s v="U&amp;MP"/>
  </r>
  <r>
    <s v="e-Portal v6 reporting "/>
    <x v="113"/>
    <s v="GSV BAU for datalake "/>
    <s v="e-PortalV6 (capture/totals/fields normalisation/3rd party transactions/etc.."/>
    <s v="Datalake"/>
    <s v="XXL"/>
    <n v="655"/>
    <s v="override"/>
    <s v="OK"/>
    <n v="300"/>
    <n v="200"/>
    <n v="100"/>
    <n v="55"/>
    <s v="P1"/>
    <n v="655"/>
    <s v="Charlotte Perraudin"/>
    <m/>
    <s v="OCH"/>
    <m/>
    <m/>
    <n v="336.01499999999999"/>
    <x v="0"/>
    <x v="2"/>
    <n v="0"/>
    <s v="BAU"/>
  </r>
  <r>
    <s v="e-Portal v6 reporting "/>
    <x v="113"/>
    <s v="GSV BAU for datalake "/>
    <s v="e-PortalV6 : financial reconciliation (WL red/blue, Auchan, Alcampo, ADEO, chargebacks"/>
    <s v="Datalake"/>
    <s v="L"/>
    <n v="200"/>
    <s v="override"/>
    <s v="OK"/>
    <n v="50"/>
    <n v="50"/>
    <n v="0"/>
    <n v="100"/>
    <s v="P1"/>
    <n v="200"/>
    <s v="Charlotte Perraudin"/>
    <m/>
    <s v="OCH"/>
    <m/>
    <m/>
    <n v="102.6"/>
    <x v="0"/>
    <x v="2"/>
    <n v="0"/>
    <s v="BAU"/>
  </r>
  <r>
    <s v="Data maintenance"/>
    <x v="114"/>
    <s v="MS datalake maintenance"/>
    <m/>
    <s v="Datalake"/>
    <s v="XL"/>
    <n v="400"/>
    <s v="override"/>
    <s v="OK"/>
    <n v="100"/>
    <n v="100"/>
    <n v="100"/>
    <n v="100"/>
    <s v="P1"/>
    <n v="400"/>
    <s v="Charlotte Perraudin"/>
    <m/>
    <s v="OCH"/>
    <m/>
    <m/>
    <n v="205.2"/>
    <x v="0"/>
    <x v="2"/>
    <s v="Run"/>
    <s v="RUN"/>
  </r>
  <r>
    <s v="DCC - DCC for emerchantpay (PSP)  - enabling SMAC-Based DCC for E-Com / HBR "/>
    <x v="115"/>
    <m/>
    <m/>
    <s v="Saferpay"/>
    <m/>
    <n v="39"/>
    <s v="override"/>
    <s v="OK"/>
    <n v="10"/>
    <n v="10"/>
    <n v="10"/>
    <n v="9"/>
    <s v="P1"/>
    <n v="39"/>
    <s v="Olivier Choquet"/>
    <m/>
    <s v="ECOM"/>
    <m/>
    <m/>
    <n v="39"/>
    <x v="2"/>
    <x v="10"/>
    <s v="Not Acceptance"/>
    <s v="BAU"/>
  </r>
  <r>
    <s v="DCC - ENVELOPE for DCC enhancements"/>
    <x v="116"/>
    <m/>
    <m/>
    <s v="Saferpay"/>
    <m/>
    <n v="5"/>
    <s v="override"/>
    <s v="OK"/>
    <n v="1"/>
    <n v="1"/>
    <n v="1"/>
    <n v="2"/>
    <s v="P1"/>
    <n v="5"/>
    <s v="Olivier Choquet"/>
    <m/>
    <s v="ECOM"/>
    <m/>
    <m/>
    <n v="5"/>
    <x v="2"/>
    <x v="10"/>
    <s v="Not Acceptance"/>
    <s v="BAU"/>
  </r>
  <r>
    <s v="DevCode Tech Debt"/>
    <x v="117"/>
    <s v="Devcode Technical Debt 2"/>
    <s v="Tackle 500 existing userstories in this domain"/>
    <s v="DevCode"/>
    <s v="XXXL"/>
    <n v="800"/>
    <s v="auto"/>
    <s v="OK"/>
    <n v="200"/>
    <n v="200"/>
    <n v="200"/>
    <n v="200"/>
    <s v="P1"/>
    <n v="800"/>
    <s v="Marco Hauff"/>
    <s v="Tech. Debt"/>
    <s v="ONLINE"/>
    <m/>
    <m/>
    <n v="410.4"/>
    <x v="0"/>
    <x v="19"/>
    <s v="Run"/>
    <s v="RUN"/>
  </r>
  <r>
    <s v="DevCode Tech Debt"/>
    <x v="117"/>
    <s v="Devcode Technical Debt 1"/>
    <s v="Simplify Usage of the system to reduce customer queries"/>
    <s v="DevCode"/>
    <s v="XXXL"/>
    <n v="800"/>
    <s v="auto"/>
    <s v="OK"/>
    <n v="200"/>
    <n v="200"/>
    <n v="200"/>
    <n v="200"/>
    <s v="P1"/>
    <n v="800"/>
    <s v="Marco Hauff"/>
    <s v="Tech. Debt"/>
    <s v="ONLINE"/>
    <m/>
    <m/>
    <n v="410.4"/>
    <x v="0"/>
    <x v="19"/>
    <s v="Run"/>
    <s v="RUN"/>
  </r>
  <r>
    <s v="DevCode Tech Debt"/>
    <x v="117"/>
    <s v="Devcode technical debt 3"/>
    <m/>
    <s v="DevCode"/>
    <s v="L"/>
    <n v="200"/>
    <s v="auto"/>
    <s v="OK"/>
    <n v="50"/>
    <n v="50"/>
    <n v="50"/>
    <n v="50"/>
    <s v="P1"/>
    <n v="200"/>
    <s v="Marco Hauff"/>
    <s v="Tech. Debt"/>
    <s v="ONLINE"/>
    <m/>
    <m/>
    <n v="102.6"/>
    <x v="0"/>
    <x v="19"/>
    <s v="Run"/>
    <s v="RUN"/>
  </r>
  <r>
    <s v="Differed Payment for Bancontact"/>
    <x v="118"/>
    <s v="RB Local - Benelux"/>
    <s v="Support of Differed Payment for Bancontact on Ingenico Direct"/>
    <s v="WLOC_CARD_FE"/>
    <s v="M"/>
    <n v="100"/>
    <s v="auto"/>
    <s v="OK"/>
    <m/>
    <n v="100"/>
    <m/>
    <m/>
    <s v="P1"/>
    <n v="100"/>
    <s v="Amaury Kervyn"/>
    <s v="Product"/>
    <s v="ECOM"/>
    <m/>
    <m/>
    <n v="48.3"/>
    <x v="0"/>
    <x v="4"/>
    <n v="0"/>
    <s v="BAU"/>
  </r>
  <r>
    <s v="Differed Payment for Bancontact"/>
    <x v="118"/>
    <s v="RB Local - Benelux"/>
    <s v="BXAP change to support Bancontact Differed Payment "/>
    <s v="WLOC_CARD_BE"/>
    <s v="XS"/>
    <n v="10"/>
    <s v="auto"/>
    <s v="OK"/>
    <m/>
    <n v="10"/>
    <m/>
    <m/>
    <s v="P1"/>
    <n v="10"/>
    <s v="Amaury Kervyn"/>
    <s v="Product"/>
    <s v="ECOM"/>
    <m/>
    <m/>
    <n v="4.83"/>
    <x v="0"/>
    <x v="4"/>
    <n v="0"/>
    <s v="BAU"/>
  </r>
  <r>
    <s v="Dispute management"/>
    <x v="119"/>
    <m/>
    <s v="review done"/>
    <s v="GC Supp1"/>
    <s v="XXL"/>
    <n v="397"/>
    <s v="override"/>
    <s v="OK"/>
    <n v="130"/>
    <n v="130"/>
    <n v="130"/>
    <n v="7"/>
    <s v="P1"/>
    <n v="397"/>
    <s v="Teun Boer"/>
    <s v="Synergies"/>
    <s v="ONLINE"/>
    <s v="Get Basics Right"/>
    <m/>
    <n v="203.661"/>
    <x v="0"/>
    <x v="5"/>
    <s v="United"/>
    <s v="U&amp;MP"/>
  </r>
  <r>
    <s v="Dispute management"/>
    <x v="119"/>
    <m/>
    <s v="review done"/>
    <s v="WOPA Supp"/>
    <s v="L"/>
    <n v="256"/>
    <s v="override"/>
    <s v="OK"/>
    <n v="90"/>
    <n v="90"/>
    <n v="60"/>
    <n v="16"/>
    <s v="P1"/>
    <n v="256"/>
    <s v="Teun Boer"/>
    <s v="Synergies"/>
    <s v="ONLINE"/>
    <s v="Get Basics Right"/>
    <m/>
    <n v="131.328"/>
    <x v="0"/>
    <x v="0"/>
    <s v="United"/>
    <s v="U&amp;MP"/>
  </r>
  <r>
    <s v="EBS Phase Out"/>
    <x v="120"/>
    <m/>
    <m/>
    <s v="TechProcess"/>
    <s v="XXL"/>
    <n v="400"/>
    <s v="auto"/>
    <s v="OK"/>
    <n v="200"/>
    <n v="200"/>
    <n v="0"/>
    <n v="0"/>
    <s v="P1"/>
    <n v="400"/>
    <s v="Arvind Singh"/>
    <s v=" Synergies "/>
    <s v="ONLINE"/>
    <m/>
    <m/>
    <n v="205.2"/>
    <x v="0"/>
    <x v="9"/>
    <n v="0"/>
    <s v="BAU"/>
  </r>
  <r>
    <s v="eCom / Migration to Ingenico Direct"/>
    <x v="121"/>
    <s v="Hosted tokenization page improvements "/>
    <s v="(Default template, Facultative cvc, product filters, etc."/>
    <s v="Above"/>
    <s v="M"/>
    <n v="100"/>
    <s v="auto"/>
    <s v="OK"/>
    <n v="25"/>
    <n v="25"/>
    <n v="25"/>
    <n v="25"/>
    <s v="P2"/>
    <n v="100"/>
    <s v="Pierre Riat"/>
    <m/>
    <s v="ECOM"/>
    <m/>
    <m/>
    <n v="48.3"/>
    <x v="0"/>
    <x v="4"/>
    <n v="0"/>
    <s v="BAU"/>
  </r>
  <r>
    <s v="eCom / Migration to Ingenico Direct"/>
    <x v="121"/>
    <s v="GSV migration to Ingenico Direct"/>
    <s v="Omnichannel on Ingenico direct"/>
    <s v="Beyond"/>
    <s v="M"/>
    <n v="100"/>
    <s v="auto"/>
    <s v="OK"/>
    <n v="100"/>
    <m/>
    <m/>
    <m/>
    <s v="P1"/>
    <n v="100"/>
    <s v="Pierre Riat"/>
    <m/>
    <s v="ECOM"/>
    <m/>
    <m/>
    <n v="48.3"/>
    <x v="0"/>
    <x v="4"/>
    <n v="0"/>
    <s v="BAU"/>
  </r>
  <r>
    <s v="eCom / Migration to Ingenico Direct"/>
    <x v="121"/>
    <s v="GSV migration to Ingenico Direct"/>
    <s v="Webhook - GSV features (Conficuration at group level + Select events from BO)"/>
    <s v="Beyond"/>
    <s v="M"/>
    <n v="150"/>
    <s v="override"/>
    <s v="OK"/>
    <m/>
    <m/>
    <n v="75"/>
    <n v="75"/>
    <s v="P3"/>
    <n v="150"/>
    <s v="Pierre Riat"/>
    <m/>
    <s v="ECOM"/>
    <m/>
    <m/>
    <n v="72.45"/>
    <x v="1"/>
    <x v="4"/>
    <n v="0"/>
    <s v="BAU"/>
  </r>
  <r>
    <s v="eCom / new Payment means"/>
    <x v="122"/>
    <s v="Apple pay extended"/>
    <s v="Apple Pay with redsys"/>
    <s v="Beyond"/>
    <s v="S"/>
    <n v="20"/>
    <s v="override"/>
    <s v="OK"/>
    <m/>
    <m/>
    <n v="20"/>
    <m/>
    <s v="P4"/>
    <n v="20"/>
    <s v="Pierre Riat"/>
    <m/>
    <s v="ECOM"/>
    <m/>
    <s v="Waiting confirmation applepay is supported on redsys SIS Protocol"/>
    <n v="9.66"/>
    <x v="1"/>
    <x v="4"/>
    <n v="0"/>
    <s v="BAU"/>
  </r>
  <r>
    <s v="eCom / new Payment means"/>
    <x v="122"/>
    <s v="Apple Pay with redsys on AH"/>
    <m/>
    <s v="Acq Hub_1"/>
    <s v="S"/>
    <n v="20"/>
    <s v="auto"/>
    <s v="OK"/>
    <n v="20"/>
    <m/>
    <m/>
    <m/>
    <s v="P2"/>
    <n v="20"/>
    <s v="Pierre Riat"/>
    <m/>
    <s v="OCH"/>
    <m/>
    <m/>
    <n v="10.26"/>
    <x v="0"/>
    <x v="2"/>
    <n v="0"/>
    <s v="BAU"/>
  </r>
  <r>
    <s v="eCom / new Payment means"/>
    <x v="122"/>
    <s v="Apple pay extended"/>
    <s v="Amex on Applepay"/>
    <s v="Beyond"/>
    <s v="S"/>
    <n v="50"/>
    <s v="auto"/>
    <s v="OK"/>
    <m/>
    <n v="50"/>
    <m/>
    <m/>
    <s v="P1"/>
    <n v="50"/>
    <s v="Pierre Riat"/>
    <m/>
    <s v="ECOM"/>
    <m/>
    <m/>
    <n v="24.15"/>
    <x v="0"/>
    <x v="4"/>
    <n v="0"/>
    <s v="BAU"/>
  </r>
  <r>
    <s v="eCom / new Payment means"/>
    <x v="122"/>
    <s v="Amex Migration through AH"/>
    <m/>
    <s v="WLOC_CARD_BE"/>
    <s v="S"/>
    <n v="20"/>
    <s v="auto"/>
    <s v="OK"/>
    <m/>
    <n v="20"/>
    <m/>
    <m/>
    <s v="P1"/>
    <n v="20"/>
    <s v="Pierre Riat"/>
    <m/>
    <s v="ECOM"/>
    <m/>
    <m/>
    <n v="9.66"/>
    <x v="0"/>
    <x v="4"/>
    <n v="0"/>
    <s v="BAU"/>
  </r>
  <r>
    <s v="Enhance LPMS"/>
    <x v="123"/>
    <s v="Make payment methods recurring &amp; currencies"/>
    <m/>
    <s v="GC Global LPM"/>
    <s v="XS"/>
    <n v="160"/>
    <s v="auto"/>
    <s v="OK"/>
    <n v="40"/>
    <n v="40"/>
    <n v="40"/>
    <n v="40"/>
    <s v="P1"/>
    <n v="160"/>
    <s v="Stanley Macnack"/>
    <s v="Product"/>
    <s v="ONLINE"/>
    <s v="Get Basics Right"/>
    <m/>
    <n v="82.08"/>
    <x v="0"/>
    <x v="5"/>
    <s v="Single Project"/>
    <s v="BAU"/>
  </r>
  <r>
    <s v="Enterprise Dealhub Project Delivery"/>
    <x v="124"/>
    <m/>
    <m/>
    <s v="TechProcess"/>
    <s v="XXL"/>
    <n v="400"/>
    <s v="auto"/>
    <s v="OK"/>
    <n v="100"/>
    <n v="100"/>
    <n v="100"/>
    <n v="100"/>
    <s v="P2"/>
    <n v="400"/>
    <s v="Arvind Singh"/>
    <s v=" Maintenance &amp; Incidents "/>
    <s v="ONLINE"/>
    <m/>
    <m/>
    <n v="205.2"/>
    <x v="0"/>
    <x v="9"/>
    <n v="0"/>
    <s v="BAU"/>
  </r>
  <r>
    <s v="Envelope - Mini Pool - Fastlane Saferpay 2022"/>
    <x v="125"/>
    <s v="Saferpay"/>
    <s v="Business Fast lane (customer requests)"/>
    <s v="SaferPay"/>
    <m/>
    <n v="880"/>
    <s v="auto"/>
    <s v="OK"/>
    <n v="220"/>
    <n v="220"/>
    <n v="220"/>
    <n v="220"/>
    <s v="P1"/>
    <n v="880"/>
    <s v="Amaury Kervyn"/>
    <s v="Product"/>
    <s v="ECOM"/>
    <m/>
    <m/>
    <n v="880"/>
    <x v="0"/>
    <x v="10"/>
    <n v="0"/>
    <s v="BAU"/>
  </r>
  <r>
    <s v="e-Portal (&amp; Everest) maintenance"/>
    <x v="126"/>
    <s v="Support"/>
    <s v="Maintenance Everest : new feature to help support + bug fix + support (user + Onbo team)"/>
    <s v="CHA"/>
    <s v="XL"/>
    <n v="200"/>
    <s v="override"/>
    <s v="OK"/>
    <n v="50"/>
    <n v="50"/>
    <n v="50"/>
    <n v="50"/>
    <s v="P1"/>
    <n v="200"/>
    <s v="Gilles Raymond"/>
    <s v="Maintenance &amp; Incidents"/>
    <s v="IN_STORE"/>
    <m/>
    <m/>
    <n v="102.6"/>
    <x v="0"/>
    <x v="20"/>
    <s v="Run"/>
    <s v="RUN"/>
  </r>
  <r>
    <s v="e-Portal (&amp; Everest) maintenance"/>
    <x v="126"/>
    <s v="Data normalisation (all gateways)"/>
    <s v="GREP-7354 Reporting data normalization"/>
    <s v="TOR"/>
    <s v="S"/>
    <n v="50"/>
    <s v="auto"/>
    <s v="OK"/>
    <n v="12"/>
    <n v="12"/>
    <n v="12"/>
    <n v="14"/>
    <s v="P1"/>
    <n v="50"/>
    <s v="Charlotte Perraudin"/>
    <s v="Product"/>
    <s v="IN_STORE"/>
    <m/>
    <m/>
    <n v="25.65"/>
    <x v="0"/>
    <x v="20"/>
    <s v="Run"/>
    <s v="RUN"/>
  </r>
  <r>
    <s v="Custom / Evolutions for MID TIERS"/>
    <x v="90"/>
    <s v="Metro evolution (AXIN-1270)"/>
    <m/>
    <s v="AFC"/>
    <s v="L"/>
    <n v="200"/>
    <s v="auto"/>
    <s v="OK"/>
    <n v="50"/>
    <n v="50"/>
    <n v="50"/>
    <n v="50"/>
    <s v="P4"/>
    <n v="200"/>
    <s v="Sylvain Marion"/>
    <s v="Product"/>
    <s v="IN_STORE"/>
    <s v="Support Customers' Projects"/>
    <m/>
    <n v="102.6"/>
    <x v="1"/>
    <x v="1"/>
    <n v="0"/>
    <s v="BAU"/>
  </r>
  <r>
    <s v="Roadmap / Purchasing Experience"/>
    <x v="11"/>
    <s v="APM BancomatPay or Satispay Italy"/>
    <m/>
    <s v="AFC"/>
    <s v="L"/>
    <n v="200"/>
    <s v="auto"/>
    <s v="OK"/>
    <m/>
    <m/>
    <n v="100"/>
    <n v="100"/>
    <s v="P4"/>
    <n v="200"/>
    <s v="Sylvain Marion"/>
    <s v="Product"/>
    <s v="IN_STORE"/>
    <s v="Extend Geographical Footprint"/>
    <m/>
    <n v="102.6"/>
    <x v="1"/>
    <x v="1"/>
    <n v="0"/>
    <s v="BAU"/>
  </r>
  <r>
    <s v="Roadmap / Purchasing Experience"/>
    <x v="11"/>
    <s v="APM Payconiq Belgium"/>
    <m/>
    <s v="AFC"/>
    <s v="L"/>
    <n v="200"/>
    <s v="auto"/>
    <s v="OK"/>
    <m/>
    <n v="100"/>
    <n v="100"/>
    <m/>
    <s v="P4"/>
    <n v="200"/>
    <s v="Sylvain Marion"/>
    <s v="Product"/>
    <s v="IN_STORE"/>
    <s v="Extend Geographical Footprint"/>
    <m/>
    <n v="102.6"/>
    <x v="1"/>
    <x v="1"/>
    <n v="0"/>
    <s v="BAU"/>
  </r>
  <r>
    <s v="Roadmap / Purchasing Experience"/>
    <x v="11"/>
    <s v="Bizum in-store (via APM Hub)"/>
    <s v="Axis connection to Bizum/APM"/>
    <s v="AFC"/>
    <s v="L"/>
    <n v="200"/>
    <s v="auto"/>
    <s v="OK"/>
    <m/>
    <m/>
    <n v="100"/>
    <n v="100"/>
    <s v="P4"/>
    <n v="200"/>
    <s v="Jorge Tarlea"/>
    <s v="Product"/>
    <s v="IN_STORE"/>
    <s v="Simplify Experience"/>
    <s v="Needs to be done taking into account that a connection between Axis and APM Hub must exist"/>
    <n v="102.6"/>
    <x v="1"/>
    <x v="1"/>
    <n v="0"/>
    <s v="BAU"/>
  </r>
  <r>
    <s v="e-Portal v6 reporting "/>
    <x v="113"/>
    <s v="Finalize ePortal V6 GPRS"/>
    <s v="GPRS module (SIM mgt, activity visulalisation) "/>
    <s v="CHA"/>
    <s v="M"/>
    <n v="150"/>
    <s v="override"/>
    <s v="OK"/>
    <n v="37"/>
    <n v="37"/>
    <n v="37"/>
    <n v="39"/>
    <s v="P1"/>
    <n v="150"/>
    <s v="Gilles Raymond"/>
    <s v="Tech. Debt"/>
    <s v="IN_STORE"/>
    <m/>
    <s v="Confirm if provisioning = everest or onbo"/>
    <n v="76.95"/>
    <x v="0"/>
    <x v="20"/>
    <n v="0"/>
    <s v="BAU"/>
  </r>
  <r>
    <s v="e-Portal v6 reporting "/>
    <x v="113"/>
    <s v="Alerting &amp; Monitoring"/>
    <s v="grafana integration + Alerting pagerDuty"/>
    <s v="CHA"/>
    <s v="M"/>
    <n v="100"/>
    <s v="auto"/>
    <s v="OK"/>
    <n v="25"/>
    <n v="25"/>
    <n v="25"/>
    <n v="25"/>
    <s v="P1"/>
    <n v="100"/>
    <s v="Charlotte Perraudin"/>
    <m/>
    <s v="IN_STORE"/>
    <m/>
    <m/>
    <n v="51.3"/>
    <x v="0"/>
    <x v="20"/>
    <n v="0"/>
    <s v="BAU"/>
  </r>
  <r>
    <s v="e-Portal v6 reporting "/>
    <x v="113"/>
    <s v="e-Portal Monitoring module"/>
    <s v="Module creation + UM + Grafana redirection (w/t SSO)"/>
    <s v="TOR"/>
    <s v="M"/>
    <n v="150"/>
    <s v="override"/>
    <s v="OK"/>
    <n v="37"/>
    <n v="37"/>
    <n v="37"/>
    <n v="39"/>
    <s v="P1"/>
    <n v="150"/>
    <s v="Charlotte Perraudin"/>
    <s v="Product"/>
    <s v="IN_STORE"/>
    <m/>
    <m/>
    <n v="76.95"/>
    <x v="0"/>
    <x v="20"/>
    <n v="0"/>
    <s v="BAU"/>
  </r>
  <r>
    <s v="e-Portal v6 reporting "/>
    <x v="113"/>
    <s v="e-Portal Monitoring module"/>
    <s v="Integrate transactions timings (internal &amp; customers)"/>
    <s v="CHA"/>
    <s v="L"/>
    <n v="100"/>
    <s v="override"/>
    <s v="OK"/>
    <n v="25"/>
    <n v="25"/>
    <n v="25"/>
    <n v="25"/>
    <s v="P1"/>
    <n v="100"/>
    <s v="Charlotte Perraudin"/>
    <s v="Product"/>
    <s v="IN_STORE"/>
    <m/>
    <m/>
    <n v="51.3"/>
    <x v="0"/>
    <x v="20"/>
    <n v="0"/>
    <s v="BAU"/>
  </r>
  <r>
    <s v="e-Portal v6 reporting "/>
    <x v="113"/>
    <s v="Localisation tool"/>
    <s v="GREP-8064 Localization management tool"/>
    <s v="TOR"/>
    <s v="M"/>
    <n v="100"/>
    <s v="auto"/>
    <s v="OK"/>
    <n v="25"/>
    <n v="25"/>
    <n v="25"/>
    <n v="25"/>
    <s v="P1"/>
    <n v="100"/>
    <s v="Charlotte Perraudin"/>
    <s v="Product"/>
    <s v="IN_STORE"/>
    <m/>
    <m/>
    <n v="51.3"/>
    <x v="0"/>
    <x v="20"/>
    <n v="0"/>
    <s v="BAU"/>
  </r>
  <r>
    <s v="e-Portal v6 reporting "/>
    <x v="113"/>
    <s v="Omnichannel &amp; Ogone transactions reporting"/>
    <s v="GREP-7986 Enrich ePayment tx fields and align with e-Portal Axis fields  "/>
    <s v="TOR"/>
    <s v="XS"/>
    <n v="20"/>
    <s v="auto"/>
    <s v="OK"/>
    <n v="5"/>
    <n v="5"/>
    <n v="5"/>
    <n v="5"/>
    <s v="P1"/>
    <n v="20"/>
    <s v="Charlotte Perraudin"/>
    <s v="Product"/>
    <s v="IN_STORE"/>
    <m/>
    <m/>
    <n v="10.26"/>
    <x v="0"/>
    <x v="20"/>
    <n v="0"/>
    <s v="BAU"/>
  </r>
  <r>
    <s v="e-Portal v6 reporting "/>
    <x v="113"/>
    <s v="Terminal management "/>
    <s v="GREP-7341 TMS module evolutions"/>
    <s v="TOR"/>
    <s v="S"/>
    <n v="50"/>
    <s v="auto"/>
    <s v="OK"/>
    <n v="12"/>
    <n v="12"/>
    <n v="12"/>
    <n v="14"/>
    <s v="P1"/>
    <n v="50"/>
    <s v="Charlotte Perraudin"/>
    <s v="Product"/>
    <s v="IN_STORE"/>
    <m/>
    <m/>
    <n v="25.65"/>
    <x v="0"/>
    <x v="20"/>
    <n v="0"/>
    <s v="BAU"/>
  </r>
  <r>
    <s v="e-Portal v6 reporting "/>
    <x v="113"/>
    <s v="Sensitive data retrieval through e-Portal (PAN/receipt) "/>
    <s v="GREP-1905 Automation of SDRS (sensitive data retrieval service)"/>
    <s v="TOR"/>
    <s v="M"/>
    <n v="100"/>
    <s v="auto"/>
    <s v="OK"/>
    <n v="25"/>
    <n v="25"/>
    <n v="25"/>
    <n v="25"/>
    <s v="P1"/>
    <n v="100"/>
    <s v="Charlotte Perraudin"/>
    <s v="Product"/>
    <s v="IN_STORE"/>
    <m/>
    <m/>
    <n v="51.3"/>
    <x v="0"/>
    <x v="20"/>
    <n v="0"/>
    <s v="BAU"/>
  </r>
  <r>
    <s v="e-Portal v6 reporting "/>
    <x v="113"/>
    <s v="Complete e-PortalV6 (totals, capture) "/>
    <s v="Totals, capture, summary page back end"/>
    <s v="CHA"/>
    <s v="M"/>
    <n v="150"/>
    <s v="override"/>
    <s v="OK"/>
    <n v="37"/>
    <n v="37"/>
    <n v="37"/>
    <n v="39"/>
    <s v="P1"/>
    <n v="150"/>
    <s v="Charlotte Perraudin"/>
    <s v="Product"/>
    <s v="IN_STORE"/>
    <m/>
    <m/>
    <n v="76.95"/>
    <x v="0"/>
    <x v="20"/>
    <n v="0"/>
    <s v="BAU"/>
  </r>
  <r>
    <s v="e-Portal API"/>
    <x v="127"/>
    <s v="e-Portal API"/>
    <s v="GREP-1863 e-Portal API V1 (incl authentication) "/>
    <s v="TOR"/>
    <s v="XL"/>
    <n v="300"/>
    <s v="auto"/>
    <s v="OK"/>
    <n v="75"/>
    <n v="75"/>
    <n v="75"/>
    <n v="75"/>
    <s v="P1"/>
    <n v="300"/>
    <s v="Charlotte Perraudin"/>
    <s v="Product"/>
    <s v="IN_STORE"/>
    <m/>
    <m/>
    <n v="153.9"/>
    <x v="0"/>
    <x v="20"/>
    <n v="0"/>
    <s v="BAU"/>
  </r>
  <r>
    <s v="e-Portal v6 reporting "/>
    <x v="113"/>
    <s v="Help online"/>
    <s v="GREP-407 On-line Help e-Portal V-6"/>
    <s v="TOR"/>
    <s v="S"/>
    <n v="50"/>
    <s v="auto"/>
    <s v="OK"/>
    <n v="12"/>
    <n v="12"/>
    <n v="12"/>
    <n v="14"/>
    <s v="P1"/>
    <n v="50"/>
    <s v="Charlotte Perraudin"/>
    <s v="Product"/>
    <s v="IN_STORE"/>
    <m/>
    <m/>
    <n v="25.65"/>
    <x v="0"/>
    <x v="20"/>
    <n v="0"/>
    <s v="BAU"/>
  </r>
  <r>
    <s v="e-Portal v6 reporting "/>
    <x v="113"/>
    <s v="e-Portal Monitoring module"/>
    <s v="GREP-14348 Display date of POS last connexion to Axis (in TMS/Onbo/monitoring)"/>
    <s v="TOR"/>
    <s v="S"/>
    <n v="50"/>
    <s v="auto"/>
    <s v="OK"/>
    <n v="12"/>
    <n v="12"/>
    <n v="12"/>
    <n v="14"/>
    <s v="P1"/>
    <n v="50"/>
    <s v="Charlotte Perraudin"/>
    <s v="Product"/>
    <s v="IN_STORE"/>
    <m/>
    <s v="Impact on Axis or Datalake, TBC by architects"/>
    <n v="25.65"/>
    <x v="0"/>
    <x v="20"/>
    <n v="0"/>
    <s v="BAU"/>
  </r>
  <r>
    <s v="e-Portal v6 reporting "/>
    <x v="113"/>
    <s v="Display invalid transactions"/>
    <s v="GREP-13530 Attach non-identified transactions to merchant (invalid)"/>
    <s v="TOR"/>
    <s v="S"/>
    <n v="50"/>
    <s v="auto"/>
    <s v="OK"/>
    <n v="12"/>
    <n v="12"/>
    <n v="12"/>
    <n v="14"/>
    <s v="P1"/>
    <n v="50"/>
    <s v="Charlotte Perraudin"/>
    <s v="Product"/>
    <s v="IN_STORE"/>
    <m/>
    <m/>
    <n v="25.65"/>
    <x v="0"/>
    <x v="20"/>
    <n v="0"/>
    <s v="BAU"/>
  </r>
  <r>
    <s v="e-Portal v6 reporting "/>
    <x v="113"/>
    <s v="Axis false duplicates management (for SACC &amp; Axis customers) "/>
    <s v="GREP-11749 False duplicates self-management"/>
    <s v="TOR"/>
    <s v="S"/>
    <n v="50"/>
    <s v="auto"/>
    <s v="OK"/>
    <n v="12"/>
    <n v="12"/>
    <n v="12"/>
    <n v="14"/>
    <s v="P1"/>
    <n v="50"/>
    <s v="Charlotte Perraudin"/>
    <s v="Product"/>
    <s v="IN_STORE"/>
    <m/>
    <m/>
    <n v="25.65"/>
    <x v="0"/>
    <x v="20"/>
    <n v="0"/>
    <s v="BAU"/>
  </r>
  <r>
    <s v="e-Portal v6 reporting "/>
    <x v="113"/>
    <s v="e-PortalV6 migration for AUS"/>
    <s v="EMV AUS replication into MaPR/e-Portal + totals"/>
    <s v="TOR"/>
    <s v="XS"/>
    <n v="20"/>
    <s v="auto"/>
    <s v="OK"/>
    <n v="5"/>
    <n v="5"/>
    <n v="5"/>
    <n v="5"/>
    <s v="P1"/>
    <n v="20"/>
    <s v="Charlotte Perraudin"/>
    <s v="Product"/>
    <s v="IN_STORE"/>
    <m/>
    <m/>
    <n v="10.26"/>
    <x v="0"/>
    <x v="20"/>
    <n v="0"/>
    <s v="BAU"/>
  </r>
  <r>
    <s v="e-Portal v6 reporting "/>
    <x v="113"/>
    <s v="APAC: POS reconciliation for Mc Donald's"/>
    <s v="Migrate reconciliation for Mc Do AUS from e-PortalV4 to V6"/>
    <s v="TOR"/>
    <s v="M"/>
    <n v="100"/>
    <s v="auto"/>
    <s v="OK"/>
    <n v="25"/>
    <n v="25"/>
    <n v="25"/>
    <n v="25"/>
    <s v="P1"/>
    <n v="100"/>
    <s v="Charlotte Perraudin"/>
    <s v="Product"/>
    <s v="IN_STORE"/>
    <m/>
    <m/>
    <n v="51.3"/>
    <x v="0"/>
    <x v="20"/>
    <n v="0"/>
    <s v="BAU"/>
  </r>
  <r>
    <s v="e-Portal v6 reporting "/>
    <x v="113"/>
    <s v="Reporting for SYSTEME U"/>
    <s v="Custom report subscriptions, fields…"/>
    <s v="CHA"/>
    <s v="M"/>
    <n v="130"/>
    <s v="override"/>
    <s v="OK"/>
    <n v="32"/>
    <n v="32"/>
    <n v="32"/>
    <n v="34"/>
    <s v="P1"/>
    <n v="130"/>
    <s v="Charlotte Perraudin"/>
    <s v="Product"/>
    <s v="IN_STORE"/>
    <m/>
    <m/>
    <n v="66.69"/>
    <x v="0"/>
    <x v="20"/>
    <n v="0"/>
    <s v="BAU"/>
  </r>
  <r>
    <s v="e-Portal: technical debt "/>
    <x v="128"/>
    <s v="Refactoring ePortal"/>
    <s v="Decommission ePortal v4 (transactions in ePortal DB + PHP)"/>
    <s v="CHA"/>
    <s v="L"/>
    <n v="200"/>
    <s v="auto"/>
    <s v="OK"/>
    <n v="50"/>
    <n v="50"/>
    <n v="50"/>
    <n v="50"/>
    <s v="P1"/>
    <n v="200"/>
    <s v="Gilles Raymond"/>
    <s v="Tech. Debt"/>
    <s v="IN_STORE"/>
    <m/>
    <m/>
    <n v="102.6"/>
    <x v="0"/>
    <x v="20"/>
    <n v="0"/>
    <s v="BAU"/>
  </r>
  <r>
    <s v="e-Portal: technical debt "/>
    <x v="128"/>
    <s v="Refactoring ePortal"/>
    <s v="Decommission ePortal v4 (transactions in ePortal DB + PHP)"/>
    <s v="TOR"/>
    <s v="L"/>
    <n v="200"/>
    <s v="auto"/>
    <s v="OK"/>
    <n v="50"/>
    <n v="50"/>
    <n v="50"/>
    <n v="50"/>
    <s v="P1"/>
    <n v="200"/>
    <s v="Gilles Raymond"/>
    <s v="Tech. Debt"/>
    <s v="IN_STORE"/>
    <m/>
    <m/>
    <n v="102.6"/>
    <x v="0"/>
    <x v="20"/>
    <n v="0"/>
    <s v="BAU"/>
  </r>
  <r>
    <s v="Maintenance"/>
    <x v="5"/>
    <s v="GRAM management"/>
    <m/>
    <s v="AFC3"/>
    <s v="L"/>
    <n v="200"/>
    <s v="auto"/>
    <s v="OK"/>
    <n v="50"/>
    <n v="50"/>
    <n v="50"/>
    <n v="50"/>
    <s v="P1"/>
    <n v="200"/>
    <s v="Sylvain Marion"/>
    <s v="Maintenance &amp; Incidents"/>
    <s v="IN_STORE"/>
    <s v="Technical Leverage"/>
    <m/>
    <n v="102.6"/>
    <x v="0"/>
    <x v="1"/>
    <s v="Run"/>
    <s v="RUN"/>
  </r>
  <r>
    <s v="Maintenance"/>
    <x v="5"/>
    <s v="Maintenance Axis"/>
    <m/>
    <s v="AFC3"/>
    <s v="L"/>
    <n v="200"/>
    <s v="auto"/>
    <s v="OK"/>
    <n v="50"/>
    <n v="50"/>
    <n v="50"/>
    <n v="50"/>
    <s v="P1"/>
    <n v="200"/>
    <s v="Sylvain Marion"/>
    <s v="Maintenance &amp; Incidents"/>
    <s v="IN_STORE"/>
    <s v="Technical Leverage"/>
    <m/>
    <n v="102.6"/>
    <x v="0"/>
    <x v="1"/>
    <s v="Run"/>
    <s v="RUN"/>
  </r>
  <r>
    <s v="Roadmap / Reference Package"/>
    <x v="129"/>
    <s v="Reference Package + Devops SIT"/>
    <m/>
    <s v="AFC3"/>
    <s v="L"/>
    <n v="200"/>
    <s v="auto"/>
    <s v="OK"/>
    <n v="50"/>
    <n v="50"/>
    <n v="50"/>
    <n v="50"/>
    <s v="P1"/>
    <n v="200"/>
    <s v="Sylvain Marion"/>
    <s v="Product"/>
    <s v="IN_STORE"/>
    <s v="Simplify Experience"/>
    <m/>
    <n v="102.6"/>
    <x v="0"/>
    <x v="1"/>
    <n v="0"/>
    <s v="BAU"/>
  </r>
  <r>
    <s v="Technical &amp; Functional Debt"/>
    <x v="12"/>
    <s v="Service increment support to all ADS squads"/>
    <m/>
    <s v="AFC3"/>
    <s v="L"/>
    <n v="200"/>
    <s v="auto"/>
    <s v="OK"/>
    <n v="50"/>
    <n v="50"/>
    <n v="50"/>
    <n v="50"/>
    <s v="P1"/>
    <n v="200"/>
    <s v="Sylvain Marion"/>
    <s v="Tech. Debt"/>
    <s v="IN_STORE"/>
    <s v="Technical Leverage"/>
    <m/>
    <n v="102.6"/>
    <x v="0"/>
    <x v="1"/>
    <n v="0"/>
    <s v="BAU"/>
  </r>
  <r>
    <s v="Roadmap / Purchasing Experience"/>
    <x v="11"/>
    <s v="C3Driver Security reenforcement + Data Integrity between the terminal &amp; Till"/>
    <m/>
    <s v="AFC3"/>
    <s v="M"/>
    <n v="100"/>
    <s v="auto"/>
    <s v="OK"/>
    <n v="50"/>
    <n v="50"/>
    <m/>
    <m/>
    <s v="P1"/>
    <n v="100"/>
    <s v="Sylvain Marion"/>
    <s v="Tech. Debt"/>
    <s v="IN_STORE"/>
    <s v="Technical Leverage"/>
    <m/>
    <n v="51.3"/>
    <x v="0"/>
    <x v="1"/>
    <n v="0"/>
    <s v="BAU"/>
  </r>
  <r>
    <s v="Security &amp; Risks"/>
    <x v="72"/>
    <s v="PCL enhancements (extention, logs, CAL improvements, etc.)"/>
    <m/>
    <s v="AFC3"/>
    <s v="M"/>
    <n v="100"/>
    <s v="auto"/>
    <s v="OK"/>
    <n v="50"/>
    <n v="50"/>
    <m/>
    <m/>
    <s v="P1"/>
    <n v="100"/>
    <s v="Sylvain Marion"/>
    <s v="Tech. Debt"/>
    <s v="IN_STORE"/>
    <s v="Simplify Experience"/>
    <m/>
    <n v="51.3"/>
    <x v="0"/>
    <x v="1"/>
    <n v="0"/>
    <s v="BAU"/>
  </r>
  <r>
    <s v="Regulation / France FRv6"/>
    <x v="130"/>
    <s v="FRv6 plan in-store (Axis, AH) UX / Terminal support"/>
    <s v="Terminal / UX impacts / framework"/>
    <s v="AFC3"/>
    <s v="S"/>
    <n v="50"/>
    <s v="auto"/>
    <s v="OK"/>
    <n v="25"/>
    <n v="25"/>
    <m/>
    <m/>
    <s v="P1"/>
    <n v="50"/>
    <s v="Sylvain Marion"/>
    <s v="Product"/>
    <s v="IN_STORE"/>
    <s v="Regulation"/>
    <m/>
    <n v="25.65"/>
    <x v="0"/>
    <x v="1"/>
    <n v="0"/>
    <s v="BAU"/>
  </r>
  <r>
    <s v="Financial Institutions"/>
    <x v="131"/>
    <s v="Financial Institutions"/>
    <s v="SDK refactoring for Whitelabels_x000a_"/>
    <s v="WLOC_APM"/>
    <s v="M"/>
    <n v="100"/>
    <s v="auto"/>
    <s v="OK"/>
    <n v="100"/>
    <m/>
    <m/>
    <m/>
    <s v="P1"/>
    <n v="100"/>
    <s v="Sebastien Fantone"/>
    <s v="Product"/>
    <s v="ECOM"/>
    <m/>
    <m/>
    <n v="48.3"/>
    <x v="0"/>
    <x v="4"/>
    <n v="0"/>
    <s v="BAU"/>
  </r>
  <r>
    <s v="Fraud - Incidents"/>
    <x v="132"/>
    <m/>
    <m/>
    <s v="GC Supp2"/>
    <s v="L"/>
    <n v="400"/>
    <s v="auto"/>
    <s v="OK"/>
    <n v="120"/>
    <n v="120"/>
    <n v="80"/>
    <n v="80"/>
    <s v="P1"/>
    <n v="400"/>
    <s v="Zlatko Bralic"/>
    <s v="Maintenance &amp; Incidents"/>
    <s v="ONLINE"/>
    <m/>
    <m/>
    <n v="205.2"/>
    <x v="0"/>
    <x v="5"/>
    <s v="Run"/>
    <s v="RUN"/>
  </r>
  <r>
    <s v="Fraud - Tech Debt"/>
    <x v="133"/>
    <s v="Machine Learning Functional Monitoring"/>
    <m/>
    <s v="GC Supp2"/>
    <s v="S"/>
    <n v="125"/>
    <s v="auto"/>
    <s v="OK"/>
    <n v="25"/>
    <n v="25"/>
    <n v="35"/>
    <n v="40"/>
    <s v="P1"/>
    <n v="125"/>
    <s v="Zlatko Bralic"/>
    <s v="Tech. Debt"/>
    <s v="ONLINE"/>
    <m/>
    <m/>
    <n v="64.125"/>
    <x v="0"/>
    <x v="5"/>
    <s v="Single Project"/>
    <s v="BAU"/>
  </r>
  <r>
    <s v="Fraud - Tech Debt"/>
    <x v="133"/>
    <s v="Functional monitoring using machine learning"/>
    <m/>
    <s v="GC Supp2"/>
    <s v="S"/>
    <n v="125"/>
    <s v="auto"/>
    <s v="OK"/>
    <n v="20"/>
    <n v="25"/>
    <n v="40"/>
    <n v="40"/>
    <s v="P1"/>
    <n v="125"/>
    <s v="Zlatko Bralic"/>
    <s v="Tech. Debt"/>
    <s v="ONLINE"/>
    <m/>
    <m/>
    <n v="64.125"/>
    <x v="0"/>
    <x v="5"/>
    <s v="Single Project"/>
    <s v="BAU"/>
  </r>
  <r>
    <s v="Fraud - Tech Debt"/>
    <x v="133"/>
    <s v=" Moving ActiveMQ to Kafka "/>
    <m/>
    <s v="GC Supp2"/>
    <s v="S"/>
    <n v="125"/>
    <s v="auto"/>
    <s v="OK"/>
    <n v="25"/>
    <n v="25"/>
    <n v="25"/>
    <n v="50"/>
    <s v="P1"/>
    <n v="125"/>
    <s v="Zlatko Bralic"/>
    <s v="Tech. Debt"/>
    <s v="ONLINE"/>
    <m/>
    <m/>
    <n v="64.125"/>
    <x v="0"/>
    <x v="5"/>
    <s v="Single Project"/>
    <s v="BAU"/>
  </r>
  <r>
    <s v="Fraud - Tech Debt"/>
    <x v="133"/>
    <s v="Moving FPAS to Google Cloud"/>
    <m/>
    <s v="GC Supp2"/>
    <s v="M"/>
    <n v="125"/>
    <s v="auto"/>
    <s v="OK"/>
    <n v="25"/>
    <n v="25"/>
    <n v="25"/>
    <n v="50"/>
    <s v="P1"/>
    <n v="125"/>
    <s v="Zlatko Bralic"/>
    <s v="Tech. Debt"/>
    <s v="ONLINE"/>
    <m/>
    <m/>
    <n v="64.125"/>
    <x v="0"/>
    <x v="5"/>
    <s v="Single Project"/>
    <s v="BAU"/>
  </r>
  <r>
    <s v="Fraud - Tech Debt"/>
    <x v="133"/>
    <s v="Using docker containers for fraud prevention"/>
    <m/>
    <s v="GC Supp2"/>
    <s v="S"/>
    <n v="0"/>
    <s v="auto"/>
    <s v="OK"/>
    <n v="0"/>
    <n v="0"/>
    <n v="0"/>
    <n v="0"/>
    <s v="P1"/>
    <n v="0"/>
    <s v="Zlatko Bralic"/>
    <s v="Tech. Debt"/>
    <s v="ONLINE"/>
    <m/>
    <m/>
    <n v="0"/>
    <x v="0"/>
    <x v="5"/>
    <s v="Single Project"/>
    <s v="BAU"/>
  </r>
  <r>
    <s v="Fraud - Tech Debt"/>
    <x v="133"/>
    <s v="Moving existing applications to Global Infra"/>
    <m/>
    <s v="GC Supp2"/>
    <s v="S"/>
    <n v="125"/>
    <s v="auto"/>
    <s v="OK"/>
    <n v="25"/>
    <n v="25"/>
    <n v="30"/>
    <n v="45"/>
    <s v="P1"/>
    <n v="125"/>
    <s v="Zlatko Bralic"/>
    <s v="Tech. Debt"/>
    <s v="ONLINE"/>
    <m/>
    <m/>
    <n v="64.125"/>
    <x v="0"/>
    <x v="5"/>
    <s v="Single Project"/>
    <s v="BAU"/>
  </r>
  <r>
    <s v="Roadmap / Purchasing Experience"/>
    <x v="11"/>
    <s v="BNPL with Oney (app France) (AXIN-1542)"/>
    <s v="BNPL Terminal expert support"/>
    <s v="AFC3"/>
    <s v="S"/>
    <n v="50"/>
    <s v="auto"/>
    <s v="OK"/>
    <n v="50"/>
    <m/>
    <m/>
    <m/>
    <s v="P1"/>
    <n v="50"/>
    <s v="Sylvain Marion"/>
    <s v="Product"/>
    <s v="IN_STORE"/>
    <s v="Simplify Experience"/>
    <m/>
    <n v="25.65"/>
    <x v="0"/>
    <x v="1"/>
    <n v="0"/>
    <s v="BAU"/>
  </r>
  <r>
    <s v="Roadmap / Purchasing Experience"/>
    <x v="11"/>
    <s v="Desk/5000 v2 + Desk/2600 (June 2022)"/>
    <m/>
    <s v="AFC3"/>
    <s v="S"/>
    <n v="50"/>
    <s v="auto"/>
    <s v="OK"/>
    <m/>
    <m/>
    <n v="50"/>
    <m/>
    <s v="P1"/>
    <n v="50"/>
    <s v="Sylvain Marion"/>
    <s v="Product"/>
    <s v="IN_STORE"/>
    <s v="Simplify Experience"/>
    <m/>
    <n v="25.65"/>
    <x v="0"/>
    <x v="1"/>
    <n v="0"/>
    <s v="BAU"/>
  </r>
  <r>
    <s v="Roadmap / Purchasing Experience"/>
    <x v="11"/>
    <s v="Lane/3600 introduction (April 2022) "/>
    <s v="Plan certification beyond"/>
    <s v="AFC3"/>
    <s v="S"/>
    <n v="50"/>
    <s v="auto"/>
    <s v="OK"/>
    <m/>
    <m/>
    <n v="50"/>
    <m/>
    <s v="P1"/>
    <n v="50"/>
    <s v="Sylvain Marion"/>
    <s v="Product"/>
    <s v="IN_STORE"/>
    <s v="Simplify Experience"/>
    <m/>
    <n v="25.65"/>
    <x v="0"/>
    <x v="1"/>
    <n v="0"/>
    <s v="BAU"/>
  </r>
  <r>
    <s v="Technical &amp; Functional Debt"/>
    <x v="12"/>
    <s v="API &amp; data"/>
    <s v="PaymentID as UUID"/>
    <s v="AFC3"/>
    <s v="S"/>
    <n v="50"/>
    <s v="auto"/>
    <s v="OK"/>
    <n v="50"/>
    <m/>
    <m/>
    <m/>
    <s v="P1"/>
    <n v="50"/>
    <s v="Gilles Raymond"/>
    <s v="Tech. Debt"/>
    <s v="IN_STORE"/>
    <s v="Technical Leverage"/>
    <m/>
    <n v="25.65"/>
    <x v="0"/>
    <x v="1"/>
    <n v="0"/>
    <s v="BAU"/>
  </r>
  <r>
    <s v="Technical &amp; Functional Debt"/>
    <x v="12"/>
    <s v="Robustness"/>
    <s v="Terminal test bench using eTASQMotion"/>
    <s v="AFC3"/>
    <s v="S"/>
    <n v="50"/>
    <s v="auto"/>
    <s v="OK"/>
    <m/>
    <n v="50"/>
    <m/>
    <m/>
    <s v="P1"/>
    <n v="50"/>
    <s v="Gilles Raymond"/>
    <s v="Tech. Debt"/>
    <s v="IN_STORE"/>
    <s v="Technical Leverage"/>
    <m/>
    <n v="25.65"/>
    <x v="0"/>
    <x v="1"/>
    <n v="0"/>
    <s v="BAU"/>
  </r>
  <r>
    <s v="Technical &amp; Functional Debt"/>
    <x v="12"/>
    <s v="Support to project launch (small technical / functionnal gaps identified during implementation)"/>
    <m/>
    <s v="AFC3"/>
    <s v="S"/>
    <n v="50"/>
    <s v="auto"/>
    <s v="OK"/>
    <n v="10"/>
    <n v="10"/>
    <n v="10"/>
    <n v="20"/>
    <s v="P1"/>
    <n v="50"/>
    <s v="Sylvain Marion"/>
    <s v="Tech. Debt"/>
    <s v="IN_STORE"/>
    <s v="Support Customers' Projects"/>
    <m/>
    <n v="25.65"/>
    <x v="0"/>
    <x v="1"/>
    <n v="0"/>
    <s v="BAU"/>
  </r>
  <r>
    <s v="Security &amp; Risks"/>
    <x v="72"/>
    <s v="Compliance PCI"/>
    <s v="security bug fixing"/>
    <s v="AFC3"/>
    <s v="XS"/>
    <n v="20"/>
    <s v="auto"/>
    <s v="OK"/>
    <n v="5"/>
    <n v="5"/>
    <n v="5"/>
    <n v="5"/>
    <s v="P1"/>
    <n v="20"/>
    <s v="Gilles Raymond"/>
    <s v="Maintenance &amp; Incidents"/>
    <s v="IN_STORE"/>
    <s v="Regulation"/>
    <m/>
    <n v="10.26"/>
    <x v="0"/>
    <x v="1"/>
    <n v="0"/>
    <s v="BAU"/>
  </r>
  <r>
    <s v="Security &amp; Risks"/>
    <x v="72"/>
    <s v="Decommission TDES algorithm"/>
    <m/>
    <s v="AFC3"/>
    <s v="XS"/>
    <n v="20"/>
    <s v="auto"/>
    <s v="OK"/>
    <n v="5"/>
    <n v="5"/>
    <n v="5"/>
    <n v="5"/>
    <s v="P1"/>
    <n v="20"/>
    <s v="Gilles Raymond"/>
    <s v="Maintenance &amp; Incidents"/>
    <s v="IN_STORE"/>
    <s v="Regulation"/>
    <m/>
    <n v="10.26"/>
    <x v="0"/>
    <x v="1"/>
    <n v="0"/>
    <s v="BAU"/>
  </r>
  <r>
    <s v="Technical Debt / Global Infra"/>
    <x v="29"/>
    <s v="Source code &amp; CI migration"/>
    <s v="AFC3"/>
    <s v="AFC3"/>
    <s v="XS"/>
    <n v="20"/>
    <s v="auto"/>
    <s v="OK"/>
    <n v="20"/>
    <m/>
    <m/>
    <m/>
    <s v="P1"/>
    <n v="20"/>
    <s v="Gilles Raymond"/>
    <s v="Tech. Debt"/>
    <s v="IN_STORE"/>
    <s v="Technical Leverage"/>
    <m/>
    <n v="10.26"/>
    <x v="0"/>
    <x v="1"/>
    <n v="0"/>
    <s v="BAU"/>
  </r>
  <r>
    <s v="GEO expansion SK"/>
    <x v="134"/>
    <s v="South Korea phase 2"/>
    <m/>
    <s v="GC Global Cards"/>
    <s v="M"/>
    <n v="600"/>
    <s v="auto"/>
    <s v="OK"/>
    <n v="300"/>
    <n v="300"/>
    <m/>
    <m/>
    <s v="P1"/>
    <n v="600"/>
    <s v="Stanley Macnack"/>
    <s v="Product"/>
    <s v="ONLINE"/>
    <s v="Extend Geographical Footprint"/>
    <m/>
    <n v="307.8"/>
    <x v="0"/>
    <x v="5"/>
    <s v="Single Project"/>
    <s v="BAU"/>
  </r>
  <r>
    <s v="GEO expansion SK"/>
    <x v="134"/>
    <s v="South Korea phase 2"/>
    <m/>
    <s v="GC Supp1"/>
    <s v="S"/>
    <n v="180"/>
    <s v="auto"/>
    <s v="OK"/>
    <n v="0"/>
    <n v="180"/>
    <m/>
    <m/>
    <s v="P1"/>
    <n v="180"/>
    <s v="Stanley Macnack"/>
    <s v="Product"/>
    <s v="ONLINE"/>
    <s v="Extend Geographical Footprint"/>
    <m/>
    <n v="92.34"/>
    <x v="0"/>
    <x v="5"/>
    <s v="Single Project"/>
    <s v="BAU"/>
  </r>
  <r>
    <s v="GEO expansion SK"/>
    <x v="134"/>
    <s v="South Korea phase 2"/>
    <m/>
    <s v="Targon"/>
    <s v="XS"/>
    <n v="140"/>
    <s v="auto"/>
    <s v="OK"/>
    <n v="70"/>
    <n v="70"/>
    <m/>
    <m/>
    <s v="P1"/>
    <n v="140"/>
    <s v="Stanley Macnack"/>
    <s v="Product"/>
    <s v="ONLINE"/>
    <s v="Extend Geographical Footprint"/>
    <m/>
    <n v="71.819999999999993"/>
    <x v="0"/>
    <x v="5"/>
    <s v="Single Project"/>
    <s v="BAU"/>
  </r>
  <r>
    <s v="GEO expansion SK"/>
    <x v="134"/>
    <m/>
    <m/>
    <s v="Ops DC-I"/>
    <s v="XS"/>
    <n v="20"/>
    <s v="auto"/>
    <s v="OK"/>
    <n v="20"/>
    <m/>
    <m/>
    <m/>
    <s v="P1"/>
    <n v="20"/>
    <s v="Zlatko Bralic"/>
    <s v="Product"/>
    <s v="ONLINE"/>
    <m/>
    <m/>
    <n v="10"/>
    <x v="0"/>
    <x v="8"/>
    <s v="Single Project"/>
    <s v="BAU"/>
  </r>
  <r>
    <s v="Global Payments - Cards - Tech Initiatives &amp; Tech Debt"/>
    <x v="135"/>
    <s v="Cards - Technical Debt"/>
    <s v="Cards - Technical Debt"/>
    <s v="GC Global Cards"/>
    <s v="XXL"/>
    <n v="506.15000000000003"/>
    <s v="auto"/>
    <s v="OK"/>
    <n v="126.53750000000001"/>
    <n v="126.53750000000001"/>
    <n v="126.53750000000001"/>
    <n v="126.53750000000001"/>
    <s v="P1"/>
    <n v="506.15000000000003"/>
    <s v="Shekhar Kachole"/>
    <s v="Tech. Debt"/>
    <s v="ONLINE"/>
    <m/>
    <m/>
    <n v="259.65494999999999"/>
    <x v="0"/>
    <x v="5"/>
    <n v="0"/>
    <s v="BAU"/>
  </r>
  <r>
    <s v="Global Payments - Cards - Tech Initiatives &amp; Tech Debt"/>
    <x v="135"/>
    <s v="Cards - New Innovations"/>
    <s v="Cards - New Innovations"/>
    <s v="GC Global Cards"/>
    <s v="XXL"/>
    <n v="506.15000000000003"/>
    <s v="auto"/>
    <s v="OK"/>
    <n v="126.53750000000001"/>
    <n v="126.53750000000001"/>
    <n v="126.53750000000001"/>
    <n v="126.53750000000001"/>
    <s v="P1"/>
    <n v="506.15000000000003"/>
    <s v="Shekhar Kachole"/>
    <s v="Tech. Debt"/>
    <s v="ONLINE"/>
    <m/>
    <m/>
    <n v="259.65494999999999"/>
    <x v="0"/>
    <x v="5"/>
    <n v="0"/>
    <s v="BAU"/>
  </r>
  <r>
    <s v="Global Payments - Cards - Tech Initiatives &amp; Tech Debt"/>
    <x v="135"/>
    <s v="Cards - Improve Technology Stack"/>
    <s v="Cards - Improve Technology Stack"/>
    <s v="GC Global Cards"/>
    <s v="XXXL"/>
    <n v="1012.3000000000001"/>
    <s v="auto"/>
    <s v="OK"/>
    <n v="253.07500000000002"/>
    <n v="253.07500000000002"/>
    <n v="253.07500000000002"/>
    <n v="253.07500000000002"/>
    <s v="P1"/>
    <n v="1012.3000000000001"/>
    <s v="Shekhar Kachole"/>
    <s v="Tech. Debt"/>
    <s v="ONLINE"/>
    <m/>
    <m/>
    <n v="519.30989999999997"/>
    <x v="0"/>
    <x v="5"/>
    <n v="0"/>
    <s v="BAU"/>
  </r>
  <r>
    <s v="Global Payments - Cards - Tech Initiatives &amp; Tech Debt"/>
    <x v="135"/>
    <s v="Cards - Improve DevOps Tools and Techniques"/>
    <s v="Cards - Improve DevOps Tools and Techniques"/>
    <s v="GC Global Cards"/>
    <s v="XXXL"/>
    <n v="1012.3000000000001"/>
    <s v="auto"/>
    <s v="OK"/>
    <n v="253.07500000000002"/>
    <n v="253.07500000000002"/>
    <n v="253.07500000000002"/>
    <n v="253.07500000000002"/>
    <s v="P1"/>
    <n v="1012.3000000000001"/>
    <s v="Shekhar Kachole"/>
    <s v="Tech. Debt"/>
    <s v="ONLINE"/>
    <m/>
    <m/>
    <n v="519.30989999999997"/>
    <x v="0"/>
    <x v="5"/>
    <n v="0"/>
    <s v="BAU"/>
  </r>
  <r>
    <s v="Global Payments - Fraud Prevention - Tech Initiatives &amp; Tech Debt"/>
    <x v="136"/>
    <s v="Fraud Prevention - Technical Debt"/>
    <s v="Fraud Prevention - Technical Debt"/>
    <s v="GC Supp2"/>
    <s v="L"/>
    <n v="0"/>
    <s v="auto"/>
    <s v="OK"/>
    <n v="0"/>
    <n v="0"/>
    <n v="0"/>
    <n v="0"/>
    <s v="P1"/>
    <n v="0"/>
    <s v="Shekhar Kachole"/>
    <s v="Tech. Debt"/>
    <s v="ONLINE"/>
    <m/>
    <m/>
    <n v="0"/>
    <x v="0"/>
    <x v="5"/>
    <n v="0"/>
    <s v="BAU"/>
  </r>
  <r>
    <s v="Global Payments - Fraud Prevention - Tech Initiatives &amp; Tech Debt"/>
    <x v="136"/>
    <s v="Fraud Prevention - Improve Technology Stack"/>
    <s v="Fraud Prevention - Improve Technology Stack"/>
    <s v="GC Supp2"/>
    <s v="XL"/>
    <n v="0"/>
    <s v="auto"/>
    <s v="OK"/>
    <n v="0"/>
    <n v="0"/>
    <n v="0"/>
    <n v="0"/>
    <s v="P1"/>
    <n v="0"/>
    <s v="Shekhar Kachole"/>
    <s v="Tech. Debt"/>
    <s v="ONLINE"/>
    <m/>
    <m/>
    <n v="0"/>
    <x v="0"/>
    <x v="5"/>
    <n v="0"/>
    <s v="BAU"/>
  </r>
  <r>
    <s v="Global Payments - Fraud Prevention - Tech Initiatives &amp; Tech Debt"/>
    <x v="136"/>
    <s v="Fraud Prevention  - New Innovations"/>
    <s v="Fraud Prevention  - New Innovations"/>
    <s v="GC Supp2"/>
    <s v="L"/>
    <n v="0"/>
    <s v="auto"/>
    <s v="OK"/>
    <n v="0"/>
    <n v="0"/>
    <n v="0"/>
    <n v="0"/>
    <s v="P1"/>
    <n v="0"/>
    <s v="Shekhar Kachole"/>
    <s v="Tech. Debt"/>
    <s v="ONLINE"/>
    <m/>
    <m/>
    <n v="0"/>
    <x v="0"/>
    <x v="5"/>
    <n v="0"/>
    <s v="BAU"/>
  </r>
  <r>
    <s v="Global Payments - Fraud Prevention - Tech Initiatives &amp; Tech Debt"/>
    <x v="136"/>
    <s v="Fraud Prevention  - Improve DevOps Tools and Techniques"/>
    <s v="Fraud Prevention  - Improve DevOps Tools and Techniques"/>
    <s v="GC Supp2"/>
    <s v="XL"/>
    <n v="0"/>
    <s v="auto"/>
    <s v="OK"/>
    <n v="0"/>
    <n v="0"/>
    <n v="0"/>
    <n v="0"/>
    <s v="P1"/>
    <n v="0"/>
    <s v="Shekhar Kachole"/>
    <s v="Tech. Debt"/>
    <s v="ONLINE"/>
    <m/>
    <m/>
    <n v="0"/>
    <x v="0"/>
    <x v="5"/>
    <n v="0"/>
    <s v="BAU"/>
  </r>
  <r>
    <s v="Global Payments - LPM - Tech Initiatives &amp; Tech Debt"/>
    <x v="137"/>
    <s v="LPM - Technical Debt"/>
    <s v="LPM - Technical Debt"/>
    <s v="GC Global LPM"/>
    <s v="L"/>
    <n v="143.25"/>
    <s v="auto"/>
    <s v="OK"/>
    <n v="35.8125"/>
    <n v="35.8125"/>
    <n v="35.8125"/>
    <n v="35.8125"/>
    <s v="P1"/>
    <n v="143.25"/>
    <s v="Shekhar Kachole"/>
    <s v="Tech. Debt"/>
    <s v="ONLINE"/>
    <m/>
    <m/>
    <n v="73.487250000000003"/>
    <x v="0"/>
    <x v="5"/>
    <n v="0"/>
    <s v="BAU"/>
  </r>
  <r>
    <s v="Global Payments - LPM - Tech Initiatives &amp; Tech Debt"/>
    <x v="137"/>
    <s v="LPM - Improve Technology Stack"/>
    <s v="LPM - Improve Technology Stack"/>
    <s v="GC Global LPM"/>
    <s v="XL"/>
    <n v="286.5"/>
    <s v="auto"/>
    <s v="OK"/>
    <n v="71.625"/>
    <n v="71.625"/>
    <n v="71.625"/>
    <n v="71.625"/>
    <s v="P1"/>
    <n v="286.5"/>
    <s v="Shekhar Kachole"/>
    <s v="Tech. Debt"/>
    <s v="ONLINE"/>
    <m/>
    <m/>
    <n v="146.97450000000001"/>
    <x v="0"/>
    <x v="5"/>
    <n v="0"/>
    <s v="BAU"/>
  </r>
  <r>
    <s v="Global Payments - LPM - Tech Initiatives &amp; Tech Debt"/>
    <x v="137"/>
    <s v="LPM  - New Innovations"/>
    <s v="LPM  - New Innovations"/>
    <s v="GC Global LPM"/>
    <s v="L"/>
    <n v="143.25"/>
    <s v="auto"/>
    <s v="OK"/>
    <n v="35.8125"/>
    <n v="35.8125"/>
    <n v="35.8125"/>
    <n v="35.8125"/>
    <s v="P1"/>
    <n v="143.25"/>
    <s v="Shekhar Kachole"/>
    <s v="Tech. Debt"/>
    <s v="ONLINE"/>
    <m/>
    <m/>
    <n v="73.487250000000003"/>
    <x v="0"/>
    <x v="5"/>
    <n v="0"/>
    <s v="BAU"/>
  </r>
  <r>
    <s v="Global Payments - LPM - Tech Initiatives &amp; Tech Debt"/>
    <x v="137"/>
    <s v="LPM  - Improve DevOps Tools and Techniques"/>
    <s v="LPM  - Improve DevOps Tools and Techniques"/>
    <s v="GC Global LPM"/>
    <s v="XL"/>
    <n v="286.5"/>
    <s v="auto"/>
    <s v="OK"/>
    <n v="71.625"/>
    <n v="71.625"/>
    <n v="71.625"/>
    <n v="71.625"/>
    <s v="P1"/>
    <n v="286.5"/>
    <s v="Shekhar Kachole"/>
    <s v="Tech. Debt"/>
    <s v="ONLINE"/>
    <m/>
    <m/>
    <n v="146.97450000000001"/>
    <x v="0"/>
    <x v="5"/>
    <n v="0"/>
    <s v="BAU"/>
  </r>
  <r>
    <s v="Google Pay &amp; Apple Pay adding partner and/or functionality"/>
    <x v="138"/>
    <s v="Google Pay &amp; Apple Pay Recurring and additional functionality"/>
    <m/>
    <s v="Caradhas"/>
    <s v="XS"/>
    <n v="20"/>
    <s v="auto"/>
    <s v="OK"/>
    <m/>
    <m/>
    <n v="20"/>
    <m/>
    <s v="P1"/>
    <n v="20"/>
    <s v="Stanley Macnack"/>
    <s v="Product"/>
    <s v="ONLINE"/>
    <s v="Improve User Experience"/>
    <m/>
    <n v="10.26"/>
    <x v="0"/>
    <x v="5"/>
    <s v="Single Project"/>
    <s v="BAU"/>
  </r>
  <r>
    <s v="Google Pay &amp; Apple Pay adding partner and/or functionality"/>
    <x v="138"/>
    <s v="Google Pay &amp; Apple Pay provider"/>
    <m/>
    <s v="GC Global Cards"/>
    <s v="S"/>
    <n v="300"/>
    <s v="auto"/>
    <s v="OK"/>
    <m/>
    <m/>
    <n v="300"/>
    <m/>
    <s v="P1"/>
    <n v="300"/>
    <s v="Stanley Macnack"/>
    <s v="Product"/>
    <s v="ONLINE"/>
    <s v="Improve User Experience"/>
    <m/>
    <n v="153.9"/>
    <x v="0"/>
    <x v="5"/>
    <s v="Single Project"/>
    <s v="BAU"/>
  </r>
  <r>
    <s v="Google Pay &amp; Apple Pay adding partner and/or functionality"/>
    <x v="138"/>
    <s v="Google Pay &amp; Apple Pay provider"/>
    <m/>
    <s v="GC Global Cards"/>
    <s v="S"/>
    <n v="300"/>
    <s v="auto"/>
    <s v="OK"/>
    <m/>
    <m/>
    <n v="300"/>
    <m/>
    <s v="P1"/>
    <n v="300"/>
    <s v="Stanley Macnack"/>
    <s v="Product"/>
    <s v="ONLINE"/>
    <s v="Improve User Experience"/>
    <m/>
    <n v="153.9"/>
    <x v="0"/>
    <x v="5"/>
    <s v="Single Project"/>
    <s v="BAU"/>
  </r>
  <r>
    <s v="Google Pay &amp; Apple Pay adding partner and/or functionality"/>
    <x v="138"/>
    <s v="Google Pay &amp; Apple Pay recurring"/>
    <m/>
    <s v="GC Global Cards"/>
    <s v="S"/>
    <n v="300"/>
    <s v="auto"/>
    <s v="OK"/>
    <m/>
    <m/>
    <n v="300"/>
    <m/>
    <s v="P1"/>
    <n v="300"/>
    <s v="Stanley Macnack"/>
    <s v="Product"/>
    <s v="ONLINE"/>
    <s v="Improve User Experience"/>
    <m/>
    <n v="153.9"/>
    <x v="0"/>
    <x v="5"/>
    <s v="Single Project"/>
    <s v="BAU"/>
  </r>
  <r>
    <s v="GSS - Incidents"/>
    <x v="139"/>
    <s v="Incident/Problem Handling"/>
    <m/>
    <s v="GC Supp1"/>
    <s v="XXXL"/>
    <n v="600"/>
    <s v="auto"/>
    <s v="OK"/>
    <n v="150"/>
    <n v="100"/>
    <n v="150"/>
    <n v="200"/>
    <s v="P1"/>
    <n v="600"/>
    <s v="Zlatko Bralic"/>
    <s v="Maintenance &amp; Incidents"/>
    <s v="ONLINE"/>
    <s v="Get Basics Right"/>
    <m/>
    <n v="307.8"/>
    <x v="0"/>
    <x v="5"/>
    <s v="Run"/>
    <s v="RUN"/>
  </r>
  <r>
    <s v="GSS - Spilover 2021"/>
    <x v="140"/>
    <s v="Spilover for WF and Prefinance"/>
    <m/>
    <s v="GC Supp1"/>
    <s v="M"/>
    <n v="360"/>
    <s v="auto"/>
    <s v="OK"/>
    <n v="290"/>
    <n v="40"/>
    <n v="30"/>
    <m/>
    <s v="P1"/>
    <n v="360"/>
    <s v="Zlatko Bralic"/>
    <s v="Product"/>
    <s v="ONLINE"/>
    <s v="Regulation Compliance"/>
    <m/>
    <n v="184.68"/>
    <x v="0"/>
    <x v="5"/>
    <s v="Single Project"/>
    <s v="BAU"/>
  </r>
  <r>
    <s v="GSS - Tech Debt"/>
    <x v="141"/>
    <s v="Environment Setup: DR Move"/>
    <m/>
    <s v="GC Supp1"/>
    <s v="S"/>
    <n v="480"/>
    <s v="auto"/>
    <s v="OK"/>
    <n v="120"/>
    <n v="140"/>
    <n v="100"/>
    <n v="120"/>
    <s v="P1"/>
    <n v="480"/>
    <s v="Zlatko Bralic"/>
    <s v="Tech. Debt"/>
    <s v="ONLINE"/>
    <s v="Get Basics Right"/>
    <m/>
    <n v="246.24"/>
    <x v="0"/>
    <x v="5"/>
    <s v="Single Project"/>
    <s v="BAU"/>
  </r>
  <r>
    <s v="GSS - Tech Debt"/>
    <x v="141"/>
    <s v="FDS Tech Debt"/>
    <m/>
    <s v="GC Supp1"/>
    <s v="S"/>
    <n v="120"/>
    <s v="auto"/>
    <s v="OK"/>
    <n v="30"/>
    <n v="20"/>
    <n v="30"/>
    <n v="40"/>
    <s v="P1"/>
    <n v="120"/>
    <s v="Zlatko Bralic"/>
    <s v="Tech. Debt"/>
    <s v="ONLINE"/>
    <s v="Get Basics Right"/>
    <m/>
    <n v="61.56"/>
    <x v="0"/>
    <x v="5"/>
    <s v="Single Project"/>
    <s v="BAU"/>
  </r>
  <r>
    <s v="GSS - Tech Debt"/>
    <x v="141"/>
    <s v="TBM Technical Debt"/>
    <m/>
    <s v="GC Supp1"/>
    <s v="S"/>
    <n v="60"/>
    <s v="auto"/>
    <s v="OK"/>
    <n v="10"/>
    <n v="20"/>
    <n v="20"/>
    <n v="10"/>
    <s v="P1"/>
    <n v="60"/>
    <s v="Zlatko Bralic"/>
    <s v="Tech. Debt"/>
    <s v="ONLINE"/>
    <s v="Get Basics Right"/>
    <m/>
    <n v="30.78"/>
    <x v="0"/>
    <x v="5"/>
    <s v="Single Project"/>
    <s v="BAU"/>
  </r>
  <r>
    <s v="GSS - Tech Debt"/>
    <x v="141"/>
    <s v="LBO Technical Debt"/>
    <m/>
    <s v="GC Supp1"/>
    <s v="S"/>
    <n v="60"/>
    <s v="auto"/>
    <s v="OK"/>
    <n v="10"/>
    <n v="10"/>
    <n v="20"/>
    <n v="20"/>
    <s v="P1"/>
    <n v="60"/>
    <s v="Zlatko Bralic"/>
    <s v="Tech. Debt"/>
    <s v="ONLINE"/>
    <s v="Get Basics Right"/>
    <m/>
    <n v="30.78"/>
    <x v="0"/>
    <x v="5"/>
    <s v="Single Project"/>
    <s v="BAU"/>
  </r>
  <r>
    <s v="GSS - Tech Debt"/>
    <x v="141"/>
    <s v="Postgress replacement Ingres/Oracle "/>
    <m/>
    <s v="GC Supp1"/>
    <s v="S"/>
    <n v="60"/>
    <s v="auto"/>
    <s v="OK"/>
    <n v="10"/>
    <n v="10"/>
    <n v="20"/>
    <n v="20"/>
    <s v="P1"/>
    <n v="60"/>
    <s v="Zlatko Bralic"/>
    <s v="Tech. Debt"/>
    <s v="ONLINE"/>
    <s v="Get Basics Right"/>
    <m/>
    <n v="30.78"/>
    <x v="0"/>
    <x v="5"/>
    <s v="Single Project"/>
    <s v="BAU"/>
  </r>
  <r>
    <s v="GSS - Tech Debt"/>
    <x v="141"/>
    <s v="FDS - BO Transformation Tech Debt"/>
    <m/>
    <s v="GC Supp1"/>
    <s v="S"/>
    <n v="120"/>
    <s v="auto"/>
    <s v="OK"/>
    <n v="30"/>
    <n v="30"/>
    <n v="30"/>
    <n v="30"/>
    <s v="P1"/>
    <n v="120"/>
    <s v="Zlatko Bralic"/>
    <s v="Tech. Debt"/>
    <s v="ONLINE"/>
    <s v="Get Basics Right"/>
    <m/>
    <n v="61.56"/>
    <x v="0"/>
    <x v="5"/>
    <s v="Single Project"/>
    <s v="BAU"/>
  </r>
  <r>
    <s v="GSS - Tech Debt"/>
    <x v="141"/>
    <s v="E2E Encryption/Uniface Replacement"/>
    <m/>
    <s v="GC Supp1"/>
    <s v="S"/>
    <n v="300"/>
    <s v="auto"/>
    <s v="OK"/>
    <n v="30"/>
    <n v="40"/>
    <n v="80"/>
    <n v="150"/>
    <s v="P1"/>
    <n v="300"/>
    <s v="Zlatko Bralic"/>
    <s v="Tech. Debt"/>
    <s v="ONLINE"/>
    <s v="Regulation Compliance"/>
    <m/>
    <n v="153.9"/>
    <x v="0"/>
    <x v="5"/>
    <s v="Single Project"/>
    <s v="BAU"/>
  </r>
  <r>
    <s v="GSS - Tech Debt"/>
    <x v="141"/>
    <s v="Audit compliancy LBO (enc. CC, Hash CC,…)"/>
    <m/>
    <s v="GC Supp1"/>
    <s v="S"/>
    <n v="120"/>
    <s v="auto"/>
    <s v="OK"/>
    <n v="30"/>
    <n v="30"/>
    <n v="30"/>
    <n v="30"/>
    <s v="P1"/>
    <n v="120"/>
    <s v="Zlatko Bralic"/>
    <s v="Tech. Debt"/>
    <s v="ONLINE"/>
    <s v="Regulation Compliance"/>
    <m/>
    <n v="61.56"/>
    <x v="0"/>
    <x v="5"/>
    <s v="Single Project"/>
    <s v="BAU"/>
  </r>
  <r>
    <s v="GSS - Tech Debt"/>
    <x v="141"/>
    <s v="Merchant Specific Requests"/>
    <m/>
    <s v="GC Supp1"/>
    <s v="S"/>
    <n v="120"/>
    <s v="auto"/>
    <s v="OK"/>
    <n v="40"/>
    <n v="20"/>
    <n v="30"/>
    <n v="30"/>
    <s v="P1"/>
    <n v="120"/>
    <s v="Zlatko Bralic"/>
    <s v="Tech. Debt"/>
    <s v="ONLINE"/>
    <s v="Get Basics Right"/>
    <m/>
    <n v="61.56"/>
    <x v="0"/>
    <x v="5"/>
    <s v="Single Project"/>
    <s v="BAU"/>
  </r>
  <r>
    <s v="GSS - Tech Debt"/>
    <x v="141"/>
    <s v="Ttools Tech Debt/Migration"/>
    <m/>
    <s v="GC Supp1"/>
    <s v="S"/>
    <n v="120"/>
    <s v="auto"/>
    <s v="OK"/>
    <n v="40"/>
    <n v="30"/>
    <n v="20"/>
    <n v="30"/>
    <s v="P1"/>
    <n v="120"/>
    <s v="Zlatko Bralic"/>
    <s v="Tech. Debt"/>
    <s v="ONLINE"/>
    <s v="Get Basics Right"/>
    <m/>
    <n v="61.56"/>
    <x v="0"/>
    <x v="5"/>
    <s v="Single Project"/>
    <s v="BAU"/>
  </r>
  <r>
    <s v="GSV Ecom Unexpected customer project"/>
    <x v="142"/>
    <s v="GSV Customer project"/>
    <s v="Unexpected GSV customer project "/>
    <s v="Above"/>
    <s v="M"/>
    <n v="150"/>
    <s v="override"/>
    <s v="OK"/>
    <n v="25"/>
    <n v="50"/>
    <n v="50"/>
    <n v="25"/>
    <s v="P3"/>
    <n v="150"/>
    <s v="Pierre Riat"/>
    <s v="Product"/>
    <s v="ECOM"/>
    <m/>
    <m/>
    <n v="72.45"/>
    <x v="1"/>
    <x v="4"/>
    <n v="0"/>
    <s v="BAU"/>
  </r>
  <r>
    <s v="GSV Ecom Unexpected customer project"/>
    <x v="142"/>
    <s v="GSV Customer project"/>
    <s v="Unexpected GSV customer project "/>
    <s v="Beyond"/>
    <s v="M"/>
    <n v="150"/>
    <s v="override"/>
    <s v="OK"/>
    <n v="25"/>
    <n v="50"/>
    <n v="50"/>
    <n v="25"/>
    <s v="P3"/>
    <n v="150"/>
    <s v="Pierre Riat"/>
    <s v="Product"/>
    <s v="ECOM"/>
    <m/>
    <m/>
    <n v="72.45"/>
    <x v="1"/>
    <x v="4"/>
    <n v="0"/>
    <s v="BAU"/>
  </r>
  <r>
    <s v="Ideal compliance"/>
    <x v="143"/>
    <s v="Connect - Upgrade Ideal 2.0"/>
    <s v="New checkout flows"/>
    <s v="Caradhas"/>
    <s v="S"/>
    <n v="100"/>
    <s v="auto"/>
    <s v="OK"/>
    <m/>
    <m/>
    <m/>
    <n v="100"/>
    <s v="P1"/>
    <n v="100"/>
    <s v="Stanley Macnack"/>
    <s v="Product"/>
    <s v="ONLINE"/>
    <s v="Regulation Compliance"/>
    <m/>
    <n v="51.3"/>
    <x v="0"/>
    <x v="5"/>
    <s v="Single Project"/>
    <s v="BAU"/>
  </r>
  <r>
    <s v="Ideal compliance"/>
    <x v="143"/>
    <s v="Upgrade Ideal 2.0 via LPM hup"/>
    <m/>
    <s v="GC Global LPM"/>
    <s v="S"/>
    <n v="225"/>
    <s v="auto"/>
    <s v="OK"/>
    <m/>
    <m/>
    <m/>
    <n v="225"/>
    <s v="P1"/>
    <n v="225"/>
    <s v="Stanley Macnack"/>
    <s v="Product"/>
    <s v="ONLINE"/>
    <s v="Regulation Compliance"/>
    <m/>
    <n v="115.425"/>
    <x v="0"/>
    <x v="5"/>
    <s v="Single Project"/>
    <s v="BAU"/>
  </r>
  <r>
    <s v="Ideal compliance"/>
    <x v="143"/>
    <s v="Upgrade Ideal 2.0 via LPM hup"/>
    <m/>
    <s v="Acq Hub_1"/>
    <s v="S"/>
    <n v="250"/>
    <s v="auto"/>
    <s v="OK"/>
    <m/>
    <m/>
    <m/>
    <n v="250"/>
    <s v="P1"/>
    <n v="250"/>
    <s v="Stanley Macnack"/>
    <s v="Product"/>
    <s v="OCH"/>
    <m/>
    <m/>
    <n v="128.25"/>
    <x v="0"/>
    <x v="2"/>
    <s v="Single Project"/>
    <s v="BAU"/>
  </r>
  <r>
    <s v="IFS - Productization (including Pricing) - TOP10-2020"/>
    <x v="144"/>
    <s v="RB Local - Benelux"/>
    <s v="IFS Generate Accounting files"/>
    <s v="WLOC_IFS"/>
    <s v="M"/>
    <n v="150"/>
    <s v="auto"/>
    <s v="OK"/>
    <n v="150"/>
    <n v="0"/>
    <n v="0"/>
    <n v="0"/>
    <s v="P1"/>
    <n v="150"/>
    <s v="Amaury Kervyn"/>
    <s v="Product"/>
    <s v="ECOM"/>
    <m/>
    <m/>
    <n v="72.45"/>
    <x v="0"/>
    <x v="4"/>
    <n v="0"/>
    <s v="BAU"/>
  </r>
  <r>
    <s v="IFS Compliancies"/>
    <x v="145"/>
    <s v="Compliance &amp; Regulatory"/>
    <s v="ING Bank Button reporting (scheme compliance)"/>
    <s v="WLOC_IFS"/>
    <s v="XS"/>
    <n v="5"/>
    <s v="auto"/>
    <s v="OK"/>
    <n v="5"/>
    <m/>
    <m/>
    <m/>
    <s v="P1"/>
    <n v="5"/>
    <s v="Amaury Kervyn"/>
    <s v="Product"/>
    <s v="ECOM"/>
    <s v="Regulation"/>
    <m/>
    <n v="2.415"/>
    <x v="0"/>
    <x v="4"/>
    <n v="0"/>
    <s v="BAU"/>
  </r>
  <r>
    <s v="IFS Compliancies"/>
    <x v="145"/>
    <s v="Compliance &amp; Regulatory"/>
    <s v="Compliance (BNB Reporting)"/>
    <s v="WLOC_IFS"/>
    <s v="S"/>
    <n v="50"/>
    <s v="auto"/>
    <s v="OK"/>
    <n v="50"/>
    <n v="0"/>
    <n v="0"/>
    <n v="0"/>
    <s v="P1"/>
    <n v="50"/>
    <s v="Amaury Kervyn"/>
    <s v="Product"/>
    <s v="ECOM"/>
    <s v="Regulation"/>
    <m/>
    <n v="24.15"/>
    <x v="0"/>
    <x v="4"/>
    <n v="0"/>
    <s v="BAU"/>
  </r>
  <r>
    <s v="IFS Compliancies"/>
    <x v="145"/>
    <s v="Compliance &amp; Regulatory"/>
    <s v="Compliance (AML and Audit)"/>
    <s v="WLOC_IFS"/>
    <s v="S"/>
    <n v="75"/>
    <s v="auto"/>
    <s v="OK"/>
    <n v="0"/>
    <n v="25"/>
    <n v="25"/>
    <n v="25"/>
    <s v="P1"/>
    <n v="75"/>
    <s v="Amaury Kervyn"/>
    <s v="Product"/>
    <s v="ECOM"/>
    <s v="Regulation"/>
    <m/>
    <n v="36.225000000000001"/>
    <x v="0"/>
    <x v="4"/>
    <n v="0"/>
    <s v="BAU"/>
  </r>
  <r>
    <s v="In house Acq"/>
    <x v="146"/>
    <s v="WL Acquiring Red"/>
    <s v="Reporting WL red"/>
    <s v="GC Supp1"/>
    <s v="XS"/>
    <n v="0"/>
    <s v="auto"/>
    <s v="OK"/>
    <n v="0"/>
    <n v="0"/>
    <m/>
    <m/>
    <s v="P1"/>
    <n v="0"/>
    <s v="Stanley Macnack"/>
    <s v="Product"/>
    <s v="ONLINE"/>
    <s v="Extend Geographical Footprint"/>
    <m/>
    <n v="0"/>
    <x v="0"/>
    <x v="5"/>
    <s v="Single Project"/>
    <s v="BAU"/>
  </r>
  <r>
    <s v="In house Acq"/>
    <x v="146"/>
    <s v="WL Acquiring Red"/>
    <m/>
    <s v="GC Global Cards"/>
    <s v="M"/>
    <n v="700"/>
    <s v="auto"/>
    <s v="OK"/>
    <n v="300"/>
    <n v="400"/>
    <m/>
    <m/>
    <s v="P1"/>
    <n v="700"/>
    <s v="Stanley Macnack"/>
    <s v="Product"/>
    <s v="ONLINE"/>
    <s v="Extend Geographical Footprint"/>
    <m/>
    <n v="359.1"/>
    <x v="0"/>
    <x v="5"/>
    <s v="Single Project"/>
    <s v="BAU"/>
  </r>
  <r>
    <s v="In house Acq"/>
    <x v="146"/>
    <s v="WL Acquiring Red"/>
    <m/>
    <s v="GC Supp1"/>
    <s v="S"/>
    <n v="300"/>
    <s v="auto"/>
    <s v="OK"/>
    <n v="150"/>
    <n v="150"/>
    <m/>
    <m/>
    <s v="P1"/>
    <n v="300"/>
    <s v="Stanley Macnack"/>
    <s v="Product"/>
    <s v="ONLINE"/>
    <s v="Extend Geographical Footprint"/>
    <m/>
    <n v="153.9"/>
    <x v="0"/>
    <x v="5"/>
    <s v="Single Project"/>
    <s v="BAU"/>
  </r>
  <r>
    <s v="In house Acq"/>
    <x v="146"/>
    <s v="WL Acquiring Red"/>
    <m/>
    <s v="Caradhas"/>
    <s v="XS"/>
    <n v="70"/>
    <s v="auto"/>
    <s v="OK"/>
    <n v="35"/>
    <n v="35"/>
    <m/>
    <m/>
    <s v="P1"/>
    <n v="70"/>
    <s v="Stanley Macnack"/>
    <s v="Product"/>
    <s v="ONLINE"/>
    <s v="Extend Geographical Footprint"/>
    <m/>
    <n v="35.909999999999997"/>
    <x v="0"/>
    <x v="5"/>
    <s v="Single Project"/>
    <s v="BAU"/>
  </r>
  <r>
    <s v="In house Acq"/>
    <x v="146"/>
    <s v="WL Acquiring Red"/>
    <m/>
    <s v="Acq Hub_1"/>
    <s v="XS"/>
    <n v="250"/>
    <s v="auto"/>
    <s v="OK"/>
    <n v="125"/>
    <n v="125"/>
    <m/>
    <m/>
    <s v="P1"/>
    <n v="250"/>
    <s v="Stanley Macnack"/>
    <s v="Product"/>
    <s v="OCH"/>
    <m/>
    <m/>
    <n v="128.25"/>
    <x v="0"/>
    <x v="2"/>
    <s v="Single Project"/>
    <s v="BAU"/>
  </r>
  <r>
    <s v="In house Acq"/>
    <x v="146"/>
    <s v="WL Acquiring Red"/>
    <m/>
    <s v="FS"/>
    <s v="S"/>
    <n v="133"/>
    <s v="auto"/>
    <s v="OK"/>
    <m/>
    <n v="100"/>
    <n v="33"/>
    <m/>
    <s v="P1"/>
    <n v="133"/>
    <s v="Stanley Macnack"/>
    <s v="Product"/>
    <s v="OTHER"/>
    <m/>
    <m/>
    <n v="66.5"/>
    <x v="0"/>
    <x v="6"/>
    <s v="Single Project"/>
    <s v="BAU"/>
  </r>
  <r>
    <s v="In house Acq"/>
    <x v="146"/>
    <s v="WL Acquiring Red"/>
    <m/>
    <s v="Ops DC-I"/>
    <s v="M"/>
    <n v="100"/>
    <s v="auto"/>
    <s v="OK"/>
    <n v="50"/>
    <n v="50"/>
    <m/>
    <m/>
    <s v="P1"/>
    <n v="100"/>
    <s v="Zlatko Bralic"/>
    <s v="Product"/>
    <s v="ONLINE"/>
    <m/>
    <m/>
    <n v="50"/>
    <x v="0"/>
    <x v="8"/>
    <s v="Single Project"/>
    <s v="BAU"/>
  </r>
  <r>
    <s v="In house Acq"/>
    <x v="146"/>
    <s v="WL Acquiring Red"/>
    <m/>
    <s v="Ops DC-R"/>
    <s v="M"/>
    <n v="100"/>
    <s v="auto"/>
    <s v="OK"/>
    <n v="30"/>
    <n v="30"/>
    <n v="20"/>
    <n v="20"/>
    <s v="P1"/>
    <n v="100"/>
    <s v="Zlatko Bralic"/>
    <s v="Product"/>
    <s v="ONLINE"/>
    <m/>
    <m/>
    <n v="50"/>
    <x v="0"/>
    <x v="8"/>
    <s v="Single Project"/>
    <s v="BAU"/>
  </r>
  <r>
    <s v="Incident / Problem Management PPS"/>
    <x v="147"/>
    <s v="Technology - Online"/>
    <m/>
    <s v="Hercules"/>
    <m/>
    <n v="229.20000000000002"/>
    <s v="auto"/>
    <s v="OK"/>
    <n v="57.300000000000004"/>
    <n v="57.300000000000004"/>
    <n v="57.300000000000004"/>
    <n v="57.300000000000004"/>
    <s v="P1"/>
    <n v="229.20000000000002"/>
    <s v="Arni Smit"/>
    <s v="Maintenance &amp; Incidents"/>
    <s v="ONLINE"/>
    <m/>
    <m/>
    <n v="117.5796"/>
    <x v="0"/>
    <x v="5"/>
    <s v="Run"/>
    <s v="RUN"/>
  </r>
  <r>
    <s v="Incident / Problem Management PPS"/>
    <x v="147"/>
    <s v="Technology - Online"/>
    <m/>
    <s v="Himalaya"/>
    <m/>
    <n v="152.80000000000001"/>
    <s v="auto"/>
    <s v="OK"/>
    <n v="38.200000000000003"/>
    <n v="38.200000000000003"/>
    <n v="38.200000000000003"/>
    <n v="38.200000000000003"/>
    <s v="P1"/>
    <n v="152.80000000000001"/>
    <s v="Arni Smit"/>
    <s v="Maintenance &amp; Incidents"/>
    <s v="ONLINE"/>
    <m/>
    <m/>
    <n v="78.386400000000009"/>
    <x v="0"/>
    <x v="5"/>
    <s v="Run"/>
    <s v="RUN"/>
  </r>
  <r>
    <s v="Incident / Problem Management PPS"/>
    <x v="147"/>
    <s v="Technology - Online"/>
    <m/>
    <s v="Sculpture"/>
    <m/>
    <n v="114.60000000000001"/>
    <s v="auto"/>
    <s v="OK"/>
    <n v="28.650000000000002"/>
    <n v="28.650000000000002"/>
    <n v="28.650000000000002"/>
    <n v="28.650000000000002"/>
    <s v="P1"/>
    <n v="114.60000000000001"/>
    <s v="Arni Smit"/>
    <s v="Maintenance &amp; Incidents"/>
    <s v="ONLINE"/>
    <m/>
    <m/>
    <n v="58.7898"/>
    <x v="0"/>
    <x v="5"/>
    <s v="Run"/>
    <s v="RUN"/>
  </r>
  <r>
    <s v="Incident / Problem Management PROS"/>
    <x v="148"/>
    <s v="Technology - Online"/>
    <m/>
    <s v="Centaurus"/>
    <m/>
    <n v="114.60000000000001"/>
    <s v="auto"/>
    <s v="OK"/>
    <n v="28.650000000000002"/>
    <n v="28.650000000000002"/>
    <n v="28.650000000000002"/>
    <n v="28.650000000000002"/>
    <s v="P1"/>
    <n v="114.60000000000001"/>
    <s v="Arni Smit"/>
    <s v="Maintenance &amp; Incidents"/>
    <s v="ONLINE"/>
    <m/>
    <m/>
    <n v="58.7898"/>
    <x v="0"/>
    <x v="5"/>
    <s v="Run"/>
    <s v="RUN"/>
  </r>
  <r>
    <s v="Incident / Problem Management PROS"/>
    <x v="148"/>
    <s v="Technology - Online"/>
    <m/>
    <s v="Gemini"/>
    <m/>
    <n v="191"/>
    <s v="auto"/>
    <s v="OK"/>
    <n v="47.75"/>
    <n v="47.75"/>
    <n v="47.75"/>
    <n v="47.75"/>
    <s v="P1"/>
    <n v="191"/>
    <s v="Arni Smit"/>
    <s v="Maintenance &amp; Incidents"/>
    <s v="ONLINE"/>
    <m/>
    <m/>
    <n v="97.983000000000004"/>
    <x v="0"/>
    <x v="5"/>
    <s v="Run"/>
    <s v="RUN"/>
  </r>
  <r>
    <s v="Incident / Problem Management UXT"/>
    <x v="149"/>
    <s v="Technology - Online"/>
    <m/>
    <s v="Caradhas"/>
    <m/>
    <n v="267.40000000000003"/>
    <s v="auto"/>
    <s v="OK"/>
    <n v="66.850000000000009"/>
    <n v="66.850000000000009"/>
    <n v="66.850000000000009"/>
    <n v="66.850000000000009"/>
    <s v="P1"/>
    <n v="267.40000000000003"/>
    <s v="Arni Smit"/>
    <s v="Maintenance &amp; Incidents"/>
    <s v="ONLINE"/>
    <m/>
    <m/>
    <n v="137.17620000000002"/>
    <x v="0"/>
    <x v="5"/>
    <s v="Run"/>
    <s v="RUN"/>
  </r>
  <r>
    <s v="Incident / Problem Management UXT"/>
    <x v="149"/>
    <s v="Technology - Online"/>
    <m/>
    <s v="Iron Hills"/>
    <m/>
    <n v="229.20000000000002"/>
    <s v="auto"/>
    <s v="OK"/>
    <n v="57.300000000000004"/>
    <n v="57.300000000000004"/>
    <n v="57.300000000000004"/>
    <n v="57.300000000000004"/>
    <s v="P1"/>
    <n v="229.20000000000002"/>
    <s v="Arni Smit"/>
    <s v="Maintenance &amp; Incidents"/>
    <s v="ONLINE"/>
    <m/>
    <m/>
    <n v="117.5796"/>
    <x v="0"/>
    <x v="5"/>
    <s v="Run"/>
    <s v="RUN"/>
  </r>
  <r>
    <s v="Incident / Problem Management UXT"/>
    <x v="149"/>
    <s v="Technology - Online"/>
    <m/>
    <s v="Targon"/>
    <m/>
    <n v="191"/>
    <s v="auto"/>
    <s v="OK"/>
    <n v="47.75"/>
    <n v="47.75"/>
    <n v="47.75"/>
    <n v="47.75"/>
    <s v="P1"/>
    <n v="191"/>
    <s v="Arni Smit"/>
    <s v="Maintenance &amp; Incidents"/>
    <s v="ONLINE"/>
    <m/>
    <m/>
    <n v="97.983000000000004"/>
    <x v="0"/>
    <x v="5"/>
    <s v="Run"/>
    <s v="RUN"/>
  </r>
  <r>
    <s v="Incidents / Problem Management Cards"/>
    <x v="150"/>
    <s v="Global Payments -Cards - Incident and Problems Management_x000a_"/>
    <s v="Global Payments -Cards - Incident and Problems Management_x000a_"/>
    <s v="GC Global Cards"/>
    <s v="XXXL"/>
    <n v="2024.6000000000001"/>
    <s v="auto"/>
    <s v="OK"/>
    <n v="506.15000000000003"/>
    <n v="506.15000000000003"/>
    <n v="506.15000000000003"/>
    <n v="506.15000000000003"/>
    <s v="P1"/>
    <n v="2024.6000000000001"/>
    <s v="Shekhar Kachole"/>
    <s v="Maintenance &amp; Incidents"/>
    <s v="ONLINE"/>
    <m/>
    <m/>
    <n v="1038.6197999999999"/>
    <x v="0"/>
    <x v="5"/>
    <n v="0"/>
    <s v="BAU"/>
  </r>
  <r>
    <s v="Incidents / Problem Management Fraud Prevention"/>
    <x v="151"/>
    <s v="Global Payments -Fraud Prevention - Incident and Problem Management_x000a_"/>
    <s v="Global Payments -Fraud Prevention - Incident and Problem Management_x000a_"/>
    <s v="GC Global Cards"/>
    <s v="XXL"/>
    <n v="611.20000000000005"/>
    <s v="auto"/>
    <s v="OK"/>
    <n v="152.80000000000001"/>
    <n v="152.80000000000001"/>
    <n v="152.80000000000001"/>
    <n v="152.80000000000001"/>
    <s v="P1"/>
    <n v="611.20000000000005"/>
    <s v="Shekhar Kachole"/>
    <s v="Maintenance &amp; Incidents"/>
    <s v="ONLINE"/>
    <m/>
    <m/>
    <n v="313.54560000000004"/>
    <x v="0"/>
    <x v="5"/>
    <n v="0"/>
    <s v="BAU"/>
  </r>
  <r>
    <s v="Incidents / Problem Management LPM"/>
    <x v="152"/>
    <s v="Global Payments -LPM - Incident and Problems Management_x000a_"/>
    <s v="Global Payments -LPM - Incident and Problems Management_x000a_"/>
    <s v="GC Global LPM"/>
    <s v="XXXL"/>
    <n v="573"/>
    <s v="auto"/>
    <s v="OK"/>
    <n v="143.25"/>
    <n v="143.25"/>
    <n v="143.25"/>
    <n v="143.25"/>
    <s v="P1"/>
    <n v="573"/>
    <s v="Shekhar Kachole"/>
    <s v="Maintenance &amp; Incidents"/>
    <s v="ONLINE"/>
    <m/>
    <m/>
    <n v="293.94900000000001"/>
    <x v="0"/>
    <x v="5"/>
    <n v="0"/>
    <s v="BAU"/>
  </r>
  <r>
    <s v="Incidents DevCode"/>
    <x v="153"/>
    <s v="Devcode Incident bucket 1"/>
    <m/>
    <s v="DevCode"/>
    <s v="XXXL"/>
    <n v="800"/>
    <s v="auto"/>
    <s v="OK"/>
    <n v="200"/>
    <n v="200"/>
    <n v="200"/>
    <n v="200"/>
    <s v="P1"/>
    <n v="800"/>
    <s v="Marco Hauff"/>
    <s v="Maintenance &amp; Incidents"/>
    <s v="ONLINE"/>
    <m/>
    <m/>
    <n v="410.4"/>
    <x v="0"/>
    <x v="19"/>
    <s v="Run"/>
    <s v="RUN"/>
  </r>
  <r>
    <s v="Incidents DevCode"/>
    <x v="153"/>
    <s v="Devcode Incident bucket 2"/>
    <m/>
    <s v="DevCode"/>
    <s v="XXL"/>
    <n v="400"/>
    <s v="auto"/>
    <s v="OK"/>
    <n v="100"/>
    <n v="100"/>
    <n v="100"/>
    <n v="100"/>
    <s v="P1"/>
    <n v="400"/>
    <s v="Marco Hauff"/>
    <s v="Maintenance &amp; Incidents"/>
    <s v="ONLINE"/>
    <m/>
    <m/>
    <n v="205.2"/>
    <x v="0"/>
    <x v="19"/>
    <s v="Run"/>
    <s v="RUN"/>
  </r>
  <r>
    <s v="Ingenico Direct - Payment Capabilities - Bancontact WIP"/>
    <x v="154"/>
    <s v="RB Local - Benelux"/>
    <s v="TUNZ Bancontact WIP"/>
    <s v="WLOC_IFS"/>
    <s v="M"/>
    <n v="120"/>
    <s v="auto"/>
    <s v="OK"/>
    <n v="120"/>
    <n v="0"/>
    <n v="0"/>
    <n v="0"/>
    <s v="P1"/>
    <n v="120"/>
    <s v="Amaury Kervyn"/>
    <s v="Product"/>
    <s v="ECOM"/>
    <m/>
    <m/>
    <n v="57.96"/>
    <x v="0"/>
    <x v="4"/>
    <n v="0"/>
    <s v="BAU"/>
  </r>
  <r>
    <s v="Ingenico Direct - Payment Capabilities - Bancontact WIP"/>
    <x v="154"/>
    <s v="RB Local - Benelux"/>
    <s v="BXAP change for Bancontact Refund &amp; WIP"/>
    <s v="WLOC_CARD_BE"/>
    <s v="XS"/>
    <n v="10"/>
    <s v="auto"/>
    <s v="OK"/>
    <n v="10"/>
    <m/>
    <m/>
    <m/>
    <s v="P1"/>
    <n v="10"/>
    <s v="Amaury Kervyn"/>
    <s v="Product"/>
    <s v="ECOM"/>
    <m/>
    <m/>
    <n v="4.83"/>
    <x v="0"/>
    <x v="4"/>
    <n v="0"/>
    <s v="BAU"/>
  </r>
  <r>
    <s v="Ingenico Direct - Payment Capabilities - Bancontact WIP"/>
    <x v="154"/>
    <s v="RB Local - Benelux"/>
    <s v="Bancontact Refund &amp; WIP on Ingenico Direct"/>
    <s v="WLOC_CARD_FE"/>
    <s v="L"/>
    <n v="200"/>
    <s v="auto"/>
    <s v="OK"/>
    <n v="180"/>
    <n v="20"/>
    <n v="0"/>
    <n v="0"/>
    <s v="P1"/>
    <n v="200"/>
    <s v="Amaury Kervyn"/>
    <s v="Product"/>
    <s v="ECOM"/>
    <m/>
    <m/>
    <n v="96.6"/>
    <x v="0"/>
    <x v="4"/>
    <n v="0"/>
    <s v="BAU"/>
  </r>
  <r>
    <s v="Ingenico One product changes to follow mandatory EU carve out"/>
    <x v="155"/>
    <s v="RB Omnichannel"/>
    <s v="TUNZ WL Blue in FS - Onboarding"/>
    <s v="WLOC_IFS"/>
    <s v="M"/>
    <n v="150"/>
    <s v="auto"/>
    <s v="OK"/>
    <n v="0"/>
    <n v="150"/>
    <n v="0"/>
    <n v="0"/>
    <s v="P1"/>
    <n v="150"/>
    <s v="Amaury Kervyn"/>
    <s v="Product"/>
    <s v="ECOM"/>
    <m/>
    <m/>
    <n v="72.45"/>
    <x v="0"/>
    <x v="4"/>
    <s v="United"/>
    <s v="U&amp;MP"/>
  </r>
  <r>
    <s v="Ingenico One product changes to follow mandatory EU carve out"/>
    <x v="155"/>
    <s v="RB Omnichannel"/>
    <s v="Carv-in/out remaining"/>
    <s v="WLOC_IFS"/>
    <s v="M"/>
    <n v="120"/>
    <s v="auto"/>
    <s v="OK"/>
    <n v="120"/>
    <n v="0"/>
    <n v="0"/>
    <n v="0"/>
    <s v="P1"/>
    <n v="120"/>
    <s v="Amaury Kervyn"/>
    <s v="Product"/>
    <s v="ECOM"/>
    <m/>
    <m/>
    <n v="57.96"/>
    <x v="0"/>
    <x v="4"/>
    <s v="United"/>
    <s v="U&amp;MP"/>
  </r>
  <r>
    <s v="Instant Payments"/>
    <x v="156"/>
    <m/>
    <m/>
    <s v="TechProcess"/>
    <s v="XXL"/>
    <n v="400"/>
    <s v="auto"/>
    <s v="OK"/>
    <n v="100"/>
    <n v="100"/>
    <n v="100"/>
    <n v="100"/>
    <s v="P1"/>
    <n v="400"/>
    <s v="Arvind Singh"/>
    <s v=" Product "/>
    <s v="ONLINE"/>
    <m/>
    <m/>
    <n v="205.2"/>
    <x v="0"/>
    <x v="9"/>
    <n v="0"/>
    <s v="BAU"/>
  </r>
  <r>
    <s v="Integration to datalake"/>
    <x v="157"/>
    <s v="Ready for review with FT/GB [2] (tech debt budget)"/>
    <m/>
    <s v="WOPA Supp"/>
    <s v="XXL"/>
    <n v="640"/>
    <s v="override"/>
    <s v="OK"/>
    <m/>
    <n v="150"/>
    <n v="350"/>
    <n v="140"/>
    <s v="P2"/>
    <n v="640"/>
    <s v="Teun Boer"/>
    <s v="Synergies"/>
    <s v="ONLINE"/>
    <s v="Make Data Talk"/>
    <m/>
    <n v="328.32"/>
    <x v="0"/>
    <x v="0"/>
    <s v="United"/>
    <s v="U&amp;MP"/>
  </r>
  <r>
    <s v="Integration to shared service Acq Hub"/>
    <x v="158"/>
    <s v="Integration to shared service Acq Hub"/>
    <m/>
    <s v="IPP"/>
    <s v="L"/>
    <n v="250"/>
    <s v="auto"/>
    <s v="OK"/>
    <m/>
    <m/>
    <n v="100"/>
    <n v="150"/>
    <s v="P1"/>
    <n v="250"/>
    <s v="Mike O'Halloran"/>
    <s v="Product"/>
    <s v="ECOM"/>
    <m/>
    <m/>
    <n v="128.25"/>
    <x v="0"/>
    <x v="7"/>
    <s v="United"/>
    <s v="U&amp;MP"/>
  </r>
  <r>
    <s v="IPG Consolidation"/>
    <x v="159"/>
    <m/>
    <m/>
    <s v="TechProcess"/>
    <s v="XXL"/>
    <n v="400"/>
    <s v="auto"/>
    <s v="OK"/>
    <n v="200"/>
    <n v="200"/>
    <n v="0"/>
    <n v="0"/>
    <s v="P1"/>
    <n v="400"/>
    <s v="Arvind Singh"/>
    <s v=" Synergies "/>
    <s v="ONLINE"/>
    <m/>
    <m/>
    <n v="205.2"/>
    <x v="0"/>
    <x v="9"/>
    <n v="0"/>
    <s v="BAU"/>
  </r>
  <r>
    <s v="IPP - Maintenance/BAU"/>
    <x v="160"/>
    <s v="Maintenance, incident response"/>
    <m/>
    <s v="IPP"/>
    <s v="XXXL"/>
    <n v="960"/>
    <s v="auto"/>
    <s v="OK"/>
    <n v="240"/>
    <n v="240"/>
    <n v="240"/>
    <n v="240"/>
    <s v="P1"/>
    <n v="960"/>
    <s v="Mike O'Halloran"/>
    <s v="Maintenance &amp; Incidents"/>
    <s v="ECOM"/>
    <m/>
    <m/>
    <n v="492.48"/>
    <x v="0"/>
    <x v="7"/>
    <s v="Run"/>
    <s v="RUN"/>
  </r>
  <r>
    <s v="Jsecure 2"/>
    <x v="161"/>
    <s v="Authentication"/>
    <s v="3DS V2 JCB"/>
    <s v="GC Supp2"/>
    <s v="S"/>
    <n v="120"/>
    <s v="auto"/>
    <s v="OK"/>
    <m/>
    <n v="120"/>
    <m/>
    <m/>
    <s v="P1"/>
    <n v="120"/>
    <s v="Paula Costa"/>
    <s v="Product"/>
    <s v="ONLINE"/>
    <s v="Regulation Compliance"/>
    <m/>
    <n v="61.56"/>
    <x v="0"/>
    <x v="5"/>
    <s v="Single Project"/>
    <s v="BAU"/>
  </r>
  <r>
    <s v="KBC new offer"/>
    <x v="162"/>
    <s v="Financial Institutions"/>
    <s v="MP White Labeling for KBC"/>
    <s v="WLOC_MXP"/>
    <s v="M"/>
    <n v="100"/>
    <s v="auto"/>
    <s v="OK"/>
    <m/>
    <m/>
    <m/>
    <n v="100"/>
    <s v="P1"/>
    <n v="100"/>
    <s v="Sebastien Fantone"/>
    <s v="Product"/>
    <s v="ECOM"/>
    <m/>
    <m/>
    <n v="48.3"/>
    <x v="0"/>
    <x v="4"/>
    <n v="0"/>
    <s v="BAU"/>
  </r>
  <r>
    <s v="KBC new offer"/>
    <x v="162"/>
    <s v="Financial Institutions"/>
    <s v="Ingenico Direct White Labeling for KBC "/>
    <s v="WLOC_APM"/>
    <s v="S"/>
    <n v="70"/>
    <s v="override"/>
    <s v="OK"/>
    <m/>
    <m/>
    <m/>
    <n v="70"/>
    <s v="P1"/>
    <n v="70"/>
    <s v="Sebastien Fantone"/>
    <s v="Product"/>
    <s v="ECOM"/>
    <m/>
    <m/>
    <n v="33.81"/>
    <x v="0"/>
    <x v="4"/>
    <n v="0"/>
    <s v="BAU"/>
  </r>
  <r>
    <s v="LATAM connection replacement"/>
    <x v="163"/>
    <m/>
    <s v="review done"/>
    <s v="Acq Hub_3"/>
    <s v="XXXL"/>
    <n v="950"/>
    <s v="override"/>
    <s v="OK"/>
    <n v="320"/>
    <n v="320"/>
    <n v="310"/>
    <m/>
    <s v="P1"/>
    <n v="950"/>
    <s v="Teun Boer"/>
    <s v="Synergies"/>
    <s v="OCH"/>
    <m/>
    <m/>
    <n v="487.35"/>
    <x v="0"/>
    <x v="2"/>
    <s v="United"/>
    <s v="U&amp;MP"/>
  </r>
  <r>
    <s v="Technical Debt / Global Infra"/>
    <x v="29"/>
    <s v="Training of teams with new way of working"/>
    <s v="AFC3"/>
    <s v="AFC3"/>
    <s v="XS"/>
    <n v="20"/>
    <s v="auto"/>
    <s v="OK"/>
    <n v="20"/>
    <m/>
    <m/>
    <m/>
    <s v="P1"/>
    <n v="20"/>
    <s v="Gilles Raymond"/>
    <s v="Tech. Debt"/>
    <s v="IN_STORE"/>
    <s v="Technical Leverage"/>
    <m/>
    <n v="10.26"/>
    <x v="0"/>
    <x v="1"/>
    <n v="0"/>
    <s v="BAU"/>
  </r>
  <r>
    <s v="Verticals - Parking/EV Charging / Vending Self/2-4-5000"/>
    <x v="99"/>
    <s v="[Self-Service] Introduction of SELF/7-8000 FR and Europe (including MDBv4.2)"/>
    <s v="SELF/7-8000 Package (FR &amp; CPA/MAP)"/>
    <s v="AFC3"/>
    <s v="XS"/>
    <n v="20"/>
    <s v="auto"/>
    <s v="OK"/>
    <n v="20"/>
    <m/>
    <m/>
    <m/>
    <s v="P1"/>
    <n v="20"/>
    <s v="Thierry Fortune"/>
    <s v="Product"/>
    <s v="IN_STORE"/>
    <s v="Get a Specific Approach per Vertical"/>
    <m/>
    <n v="10.26"/>
    <x v="0"/>
    <x v="1"/>
    <n v="0"/>
    <s v="BAU"/>
  </r>
  <r>
    <s v="Technical &amp; Functional Debt"/>
    <x v="12"/>
    <s v="API &amp; data"/>
    <s v="Including TPVnumber to 32 char ?"/>
    <s v="AFC3"/>
    <s v="M"/>
    <n v="100"/>
    <s v="auto"/>
    <s v="OK"/>
    <m/>
    <n v="40"/>
    <n v="25"/>
    <n v="35"/>
    <s v="P3"/>
    <n v="100"/>
    <s v="Gilles Raymond"/>
    <s v="Tech. Debt"/>
    <s v="IN_STORE"/>
    <s v="Technical Leverage"/>
    <m/>
    <n v="51.3"/>
    <x v="1"/>
    <x v="1"/>
    <n v="0"/>
    <s v="BAU"/>
  </r>
  <r>
    <s v="Maintenance"/>
    <x v="5"/>
    <s v="Onboarding Maintenance"/>
    <s v="Onboarding maintenance"/>
    <s v="SEA"/>
    <m/>
    <n v="132"/>
    <s v="auto"/>
    <s v="OK"/>
    <n v="33"/>
    <n v="33"/>
    <n v="33"/>
    <n v="33"/>
    <s v="P1"/>
    <n v="132"/>
    <s v="Charlotte Perraudin"/>
    <m/>
    <s v="IN_STORE"/>
    <m/>
    <m/>
    <n v="67.715999999999994"/>
    <x v="0"/>
    <x v="20"/>
    <s v="Run"/>
    <s v="RUN"/>
  </r>
  <r>
    <s v="Technical &amp; Functional Debt"/>
    <x v="12"/>
    <s v="C3 automated tests"/>
    <m/>
    <s v="AFC3"/>
    <s v="M"/>
    <n v="100"/>
    <s v="auto"/>
    <s v="OK"/>
    <n v="25"/>
    <n v="25"/>
    <n v="25"/>
    <n v="25"/>
    <s v="P3"/>
    <n v="100"/>
    <s v="Sylvain Marion"/>
    <s v="Tech. Debt"/>
    <s v="IN_STORE"/>
    <s v="Technical Leverage"/>
    <m/>
    <n v="51.3"/>
    <x v="1"/>
    <x v="1"/>
    <n v="0"/>
    <s v="BAU"/>
  </r>
  <r>
    <s v="Roadmap / Purchasing Experience"/>
    <x v="11"/>
    <s v="[Technical Debt] Terminal diagnostic improvement"/>
    <m/>
    <s v="AFC3"/>
    <s v="S"/>
    <n v="50"/>
    <s v="auto"/>
    <s v="OK"/>
    <m/>
    <m/>
    <n v="25"/>
    <n v="25"/>
    <s v="P3"/>
    <n v="50"/>
    <s v="Sylvain Marion"/>
    <s v="Tech. Debt"/>
    <s v="IN_STORE"/>
    <s v="Technical Leverage"/>
    <m/>
    <n v="25.65"/>
    <x v="1"/>
    <x v="1"/>
    <n v="0"/>
    <s v="BAU"/>
  </r>
  <r>
    <s v="Custom / Evolutions for MID TIERS"/>
    <x v="90"/>
    <s v="McDonald Protect acces to the user menu on Move500 (AXIN-1484)"/>
    <m/>
    <s v="AFC3"/>
    <s v="S"/>
    <n v="50"/>
    <s v="auto"/>
    <s v="OK"/>
    <m/>
    <n v="50"/>
    <m/>
    <m/>
    <s v="P4"/>
    <n v="50"/>
    <s v="Sylvain Marion"/>
    <s v="Product"/>
    <s v="IN_STORE"/>
    <s v="Support Customers' Projects"/>
    <m/>
    <n v="25.65"/>
    <x v="1"/>
    <x v="1"/>
    <n v="0"/>
    <s v="BAU"/>
  </r>
  <r>
    <s v="Roadmap / Purchasing Experience"/>
    <x v="11"/>
    <s v="Apple VAS improvements (metering, demo,…)"/>
    <s v="Other squad ? "/>
    <s v="AFC3"/>
    <s v="S"/>
    <n v="50"/>
    <s v="auto"/>
    <s v="OK"/>
    <m/>
    <n v="50"/>
    <m/>
    <m/>
    <s v="P4"/>
    <n v="50"/>
    <s v="Sylvain Marion"/>
    <s v="Product"/>
    <s v="IN_STORE"/>
    <s v="Simplify Experience"/>
    <m/>
    <n v="25.65"/>
    <x v="1"/>
    <x v="1"/>
    <n v="0"/>
    <s v="BAU"/>
  </r>
  <r>
    <s v="Roadmap / Purchasing Experience"/>
    <x v="11"/>
    <s v="Open/6xxx (July 2022): QA + new certif (EMV L1 -&gt; cless to 3.0)"/>
    <m/>
    <s v="AFC3"/>
    <s v="S"/>
    <n v="50"/>
    <s v="auto"/>
    <s v="OK"/>
    <m/>
    <m/>
    <n v="50"/>
    <m/>
    <s v="P4"/>
    <n v="50"/>
    <s v="Sylvain Marion"/>
    <s v="Product"/>
    <s v="IN_STORE"/>
    <s v="Simplify Experience"/>
    <m/>
    <n v="25.65"/>
    <x v="1"/>
    <x v="1"/>
    <n v="0"/>
    <s v="BAU"/>
  </r>
  <r>
    <s v="Custom / Evolutions for Carrefour"/>
    <x v="106"/>
    <s v="CRF FR: PAS Microdon + STC5"/>
    <m/>
    <s v="AFCAR-C3"/>
    <s v="XL"/>
    <n v="300"/>
    <s v="auto"/>
    <s v="OK"/>
    <n v="75"/>
    <n v="75"/>
    <n v="75"/>
    <n v="75"/>
    <s v="P1"/>
    <n v="300"/>
    <s v="Sarah Lamarque"/>
    <s v="Product"/>
    <s v="IN_STORE"/>
    <s v="Simplify Experience"/>
    <m/>
    <n v="153.9"/>
    <x v="0"/>
    <x v="1"/>
    <n v="0"/>
    <s v="BAU"/>
  </r>
  <r>
    <s v="Maintenance"/>
    <x v="5"/>
    <s v="Gram management"/>
    <m/>
    <s v="AFCAR-C3"/>
    <s v="L"/>
    <n v="200"/>
    <s v="auto"/>
    <s v="OK"/>
    <n v="50"/>
    <n v="50"/>
    <n v="50"/>
    <n v="50"/>
    <s v="P1"/>
    <n v="200"/>
    <s v="Sarah Lamarque"/>
    <s v="Maintenance &amp; Incidents"/>
    <s v="IN_STORE"/>
    <s v="Support Customers' Projects"/>
    <m/>
    <n v="102.6"/>
    <x v="0"/>
    <x v="1"/>
    <s v="Run"/>
    <s v="RUN"/>
  </r>
  <r>
    <s v="Custom / Evolutions for Carrefour"/>
    <x v="106"/>
    <s v="CRF FR &amp; IT: CPA Brandchoice"/>
    <m/>
    <s v="AFCAR-C3"/>
    <s v="L"/>
    <n v="150"/>
    <s v="override"/>
    <s v="OK"/>
    <n v="50"/>
    <n v="50"/>
    <n v="50"/>
    <m/>
    <s v="P1"/>
    <n v="150"/>
    <s v="Sarah Lamarque"/>
    <s v="Product"/>
    <s v="IN_STORE"/>
    <s v="Simplify Experience"/>
    <m/>
    <n v="76.95"/>
    <x v="0"/>
    <x v="1"/>
    <n v="0"/>
    <s v="BAU"/>
  </r>
  <r>
    <s v="Custom / Evolutions for Carrefour"/>
    <x v="106"/>
    <s v="CRF FR: Cancel in STC5"/>
    <m/>
    <s v="AFCAR-C3"/>
    <s v="M"/>
    <n v="100"/>
    <s v="auto"/>
    <s v="OK"/>
    <n v="25"/>
    <n v="25"/>
    <n v="25"/>
    <n v="25"/>
    <s v="P1"/>
    <n v="100"/>
    <s v="Sarah Lamarque"/>
    <s v="Product"/>
    <s v="IN_STORE"/>
    <s v="Simplify Experience"/>
    <m/>
    <n v="51.3"/>
    <x v="0"/>
    <x v="1"/>
    <n v="0"/>
    <s v="BAU"/>
  </r>
  <r>
    <s v="Custom / Evolutions for Carrefour"/>
    <x v="106"/>
    <s v="CRF: Transaction Timing"/>
    <m/>
    <s v="AFCAR-C3"/>
    <s v="S"/>
    <n v="50"/>
    <s v="auto"/>
    <s v="OK"/>
    <n v="25"/>
    <n v="25"/>
    <m/>
    <m/>
    <s v="P1"/>
    <n v="50"/>
    <s v="Sarah Lamarque"/>
    <s v="Product"/>
    <s v="IN_STORE"/>
    <s v="Technical Leverage"/>
    <m/>
    <n v="25.65"/>
    <x v="0"/>
    <x v="1"/>
    <n v="0"/>
    <s v="BAU"/>
  </r>
  <r>
    <s v="Regulation / 6 to 8 BIN Mgt"/>
    <x v="14"/>
    <s v="Extension BIN from 6 to 8"/>
    <s v="multiple applications"/>
    <s v="AFCAR-C3"/>
    <s v="XS"/>
    <n v="20"/>
    <s v="auto"/>
    <s v="OK"/>
    <n v="6"/>
    <n v="6"/>
    <n v="6"/>
    <n v="2"/>
    <s v="P1"/>
    <n v="20"/>
    <s v="Sebastien Letniowski"/>
    <s v="Product"/>
    <s v="IN_STORE"/>
    <s v="Regulation"/>
    <m/>
    <n v="10.26"/>
    <x v="0"/>
    <x v="1"/>
    <n v="0"/>
    <s v="BAU"/>
  </r>
  <r>
    <s v="Technical &amp; Functional Debt"/>
    <x v="12"/>
    <s v="API &amp; data"/>
    <s v="PaymentID as UUID"/>
    <s v="AFCAR-C3"/>
    <s v="XS"/>
    <n v="20"/>
    <s v="auto"/>
    <s v="OK"/>
    <n v="5"/>
    <n v="5"/>
    <n v="5"/>
    <n v="5"/>
    <s v="P1"/>
    <n v="20"/>
    <s v="Sebastien Letniowski"/>
    <s v="Tech. Debt"/>
    <s v="IN_STORE"/>
    <s v="Technical Leverage"/>
    <m/>
    <n v="10.26"/>
    <x v="0"/>
    <x v="1"/>
    <n v="0"/>
    <s v="BAU"/>
  </r>
  <r>
    <s v="Technical &amp; Functional Debt"/>
    <x v="12"/>
    <s v="Refactoring"/>
    <s v="PostgresQL 13 migration"/>
    <s v="AFCAR-C3"/>
    <s v="XS"/>
    <n v="20"/>
    <s v="auto"/>
    <s v="OK"/>
    <m/>
    <n v="10"/>
    <n v="10"/>
    <m/>
    <s v="P1"/>
    <n v="20"/>
    <s v="Sebastien Letniowski"/>
    <s v="Product"/>
    <s v="IN_STORE"/>
    <s v="Technical Leverage"/>
    <m/>
    <n v="10.26"/>
    <x v="0"/>
    <x v="1"/>
    <n v="0"/>
    <s v="BAU"/>
  </r>
  <r>
    <s v="Technical &amp; Functional Debt"/>
    <x v="12"/>
    <s v="Robustness"/>
    <s v="Remove Log table (SAVELOG=0)"/>
    <s v="AFCAR-C3"/>
    <s v="XS"/>
    <n v="20"/>
    <s v="auto"/>
    <s v="OK"/>
    <n v="5"/>
    <n v="5"/>
    <n v="5"/>
    <n v="5"/>
    <s v="P1"/>
    <n v="20"/>
    <s v="Sebastien Letniowski"/>
    <s v="Tech. Debt"/>
    <s v="IN_STORE"/>
    <s v="Technical Leverage"/>
    <m/>
    <n v="10.26"/>
    <x v="0"/>
    <x v="1"/>
    <n v="0"/>
    <s v="BAU"/>
  </r>
  <r>
    <s v="Maintenance - OCH (One Commerce Hub)"/>
    <x v="164"/>
    <s v="OCH Maintenance"/>
    <s v="Online Maintenance (10%)"/>
    <s v="Omn_Core"/>
    <s v="L"/>
    <n v="208"/>
    <s v="override"/>
    <s v="OK"/>
    <n v="49"/>
    <n v="53"/>
    <n v="53"/>
    <n v="53"/>
    <s v="P1"/>
    <n v="208"/>
    <s v="Joakim Wettby"/>
    <s v=" Maintenance &amp; Incidents "/>
    <s v="OCH"/>
    <m/>
    <m/>
    <n v="106.70399999999999"/>
    <x v="0"/>
    <x v="2"/>
    <s v="Run"/>
    <s v="RUN"/>
  </r>
  <r>
    <s v="Maintenance - OCH (One Commerce Hub)"/>
    <x v="164"/>
    <s v="OCH Maintenance"/>
    <s v="OmniChannel Maintenance (10%)"/>
    <s v="Omn_Core"/>
    <s v="L"/>
    <n v="244"/>
    <s v="override"/>
    <s v="OK"/>
    <n v="58"/>
    <n v="62"/>
    <n v="62"/>
    <n v="62"/>
    <s v="P1"/>
    <n v="244"/>
    <s v="Joakim Wettby"/>
    <s v=" Maintenance &amp; Incidents "/>
    <s v="OCH"/>
    <m/>
    <m/>
    <n v="125.172"/>
    <x v="0"/>
    <x v="2"/>
    <s v="Run"/>
    <s v="RUN"/>
  </r>
  <r>
    <s v="Maintenance - OCH (One Commerce Hub)"/>
    <x v="164"/>
    <s v="BAU"/>
    <m/>
    <s v="Omn_Cash"/>
    <s v="L"/>
    <n v="200"/>
    <s v="auto"/>
    <s v="OK"/>
    <n v="50"/>
    <n v="50"/>
    <n v="50"/>
    <n v="50"/>
    <s v="P1"/>
    <n v="200"/>
    <s v="Anders Öhlander"/>
    <s v="Maintenance &amp; Incidents"/>
    <s v="OCH"/>
    <m/>
    <m/>
    <n v="102.6"/>
    <x v="0"/>
    <x v="2"/>
    <s v="Run"/>
    <s v="RUN"/>
  </r>
  <r>
    <s v="Maintenance - OCH (One Commerce Hub)"/>
    <x v="164"/>
    <s v="BAU"/>
    <m/>
    <s v="Omn_On"/>
    <s v="L"/>
    <n v="200"/>
    <s v="auto"/>
    <s v="OK"/>
    <n v="50"/>
    <n v="50"/>
    <n v="50"/>
    <n v="50"/>
    <s v="P1"/>
    <n v="200"/>
    <s v="Anders Öhlander"/>
    <s v="Maintenance &amp; Incidents"/>
    <s v="OCH"/>
    <m/>
    <m/>
    <n v="102.6"/>
    <x v="0"/>
    <x v="2"/>
    <s v="Run"/>
    <s v="RUN"/>
  </r>
  <r>
    <s v="Marco Polo - Acq AU config set up"/>
    <x v="165"/>
    <s v="Marco Polo"/>
    <s v="WLOC connection to Acq hub for Acq AU"/>
    <s v="Marco Polo"/>
    <s v="S"/>
    <n v="20"/>
    <s v="auto"/>
    <s v="OK"/>
    <m/>
    <m/>
    <n v="20"/>
    <m/>
    <s v="P1"/>
    <n v="20"/>
    <s v="Mike O'Halloran"/>
    <s v="Synergies"/>
    <s v="ECOM"/>
    <m/>
    <m/>
    <n v="9.66"/>
    <x v="2"/>
    <x v="4"/>
    <s v="Marco Polo"/>
    <s v="U&amp;MP"/>
  </r>
  <r>
    <s v="Marco Polo - APM Hub eCommerce"/>
    <x v="166"/>
    <s v="Marco Polo"/>
    <s v="AliPay and WeChatPay"/>
    <s v="Marco Polo"/>
    <s v="M"/>
    <n v="120"/>
    <s v="auto"/>
    <s v="OK"/>
    <m/>
    <n v="120"/>
    <m/>
    <m/>
    <s v="P1"/>
    <n v="120"/>
    <s v="Mike O'Halloran"/>
    <s v="Synergies"/>
    <s v="ECOM"/>
    <m/>
    <m/>
    <n v="57.96"/>
    <x v="2"/>
    <x v="4"/>
    <s v="Marco Polo"/>
    <s v="U&amp;MP"/>
  </r>
  <r>
    <s v="Marco Polo - DCC"/>
    <x v="167"/>
    <s v="Marco Polo"/>
    <s v="eDCC on Ingenico Direct - FE adaptations"/>
    <s v="Marco Polo"/>
    <s v="M"/>
    <n v="120"/>
    <s v="auto"/>
    <s v="OK"/>
    <n v="120"/>
    <n v="0"/>
    <n v="0"/>
    <n v="0"/>
    <s v="P1"/>
    <n v="120"/>
    <s v="Emmanuel Blumel"/>
    <s v="Product"/>
    <s v="ECOM"/>
    <m/>
    <m/>
    <n v="57.96"/>
    <x v="2"/>
    <x v="4"/>
    <s v="Marco Polo"/>
    <s v="U&amp;MP"/>
  </r>
  <r>
    <s v="Marco Polo - DCC"/>
    <x v="167"/>
    <s v="Marco Polo"/>
    <s v="eDCC on Ingenico Direct - BE adaptations"/>
    <s v="WLOC_CARD_BE"/>
    <s v="L"/>
    <n v="150"/>
    <s v="auto"/>
    <s v="OK"/>
    <n v="150"/>
    <m/>
    <m/>
    <m/>
    <s v="P1"/>
    <n v="150"/>
    <s v="Emmanuel Blumel"/>
    <s v="Product"/>
    <s v="ECOM"/>
    <m/>
    <m/>
    <n v="72.45"/>
    <x v="2"/>
    <x v="4"/>
    <s v="Marco Polo"/>
    <s v="U&amp;MP"/>
  </r>
  <r>
    <s v="Marco Polo - DCC"/>
    <x v="167"/>
    <s v="Compliance &amp; Regulatory"/>
    <s v="eDCC adaptations for existing ME"/>
    <s v="WLOC_CARD_FE"/>
    <s v="S"/>
    <n v="40"/>
    <s v="auto"/>
    <s v="OK"/>
    <n v="40"/>
    <m/>
    <m/>
    <m/>
    <s v="P1"/>
    <n v="40"/>
    <s v="Emmanuel Blumel"/>
    <s v="Product"/>
    <s v="ECOM"/>
    <s v="Regulation"/>
    <m/>
    <n v="19.32"/>
    <x v="2"/>
    <x v="4"/>
    <s v="Marco Polo"/>
    <s v="U&amp;MP"/>
  </r>
  <r>
    <s v="Marco Polo - Feature complete"/>
    <x v="168"/>
    <s v="Marco Polo"/>
    <s v="Delivery of Feature Complete requirements"/>
    <s v="Marco Polo"/>
    <s v="XXL"/>
    <n v="400"/>
    <s v="auto"/>
    <s v="OK"/>
    <m/>
    <m/>
    <n v="200"/>
    <n v="200"/>
    <s v="P1"/>
    <n v="400"/>
    <s v="Mike O'Halloran"/>
    <s v="Synergies"/>
    <s v="ECOM"/>
    <m/>
    <m/>
    <n v="193.2"/>
    <x v="2"/>
    <x v="4"/>
    <s v="Marco Polo"/>
    <s v="U&amp;MP"/>
  </r>
  <r>
    <s v="Marco Polo - Integration Layer"/>
    <x v="169"/>
    <s v="Marco Polo"/>
    <s v="Ingenico Direct White Labeling for Marco Polo "/>
    <s v="WLOC_APM"/>
    <s v="S"/>
    <n v="70"/>
    <s v="override"/>
    <s v="OK"/>
    <m/>
    <m/>
    <m/>
    <n v="70"/>
    <s v="P1"/>
    <n v="70"/>
    <s v="Sebastien Fantone"/>
    <s v="Product"/>
    <s v="ECOM"/>
    <m/>
    <m/>
    <n v="33.81"/>
    <x v="2"/>
    <x v="4"/>
    <s v="Marco Polo"/>
    <s v="U&amp;MP"/>
  </r>
  <r>
    <s v="Marco Polo - Merchant Portal"/>
    <x v="170"/>
    <s v="Marco Polo"/>
    <s v="MP White Labeling for Marco Polo "/>
    <s v="WLOC_MXP"/>
    <s v="M"/>
    <n v="100"/>
    <s v="auto"/>
    <s v="OK"/>
    <n v="100"/>
    <m/>
    <m/>
    <m/>
    <s v="P1"/>
    <n v="100"/>
    <s v="Sebastien Fantone"/>
    <s v="Product"/>
    <s v="ECOM"/>
    <m/>
    <m/>
    <n v="48.3"/>
    <x v="2"/>
    <x v="4"/>
    <s v="Marco Polo"/>
    <s v="U&amp;MP"/>
  </r>
  <r>
    <s v="Marco Polo - Merchant Portal"/>
    <x v="170"/>
    <s v="Marco Polo"/>
    <s v="Billing adaptation for Marco Polo "/>
    <s v="WLOC_MXP"/>
    <s v="M"/>
    <n v="100"/>
    <s v="auto"/>
    <s v="OK"/>
    <m/>
    <n v="100"/>
    <m/>
    <m/>
    <s v="P1"/>
    <n v="100"/>
    <s v="Sebastien Fantone"/>
    <s v="Product"/>
    <s v="ECOM"/>
    <m/>
    <m/>
    <n v="48.3"/>
    <x v="2"/>
    <x v="4"/>
    <s v="Marco Polo"/>
    <s v="U&amp;MP"/>
  </r>
  <r>
    <s v="Marco Polo - Omnichannel"/>
    <x v="171"/>
    <s v="Marco Polo"/>
    <s v="E2E testing for Omnichannel"/>
    <s v="OCH_E2E"/>
    <m/>
    <n v="120"/>
    <s v="override"/>
    <s v="OK"/>
    <n v="30"/>
    <n v="30"/>
    <n v="30"/>
    <n v="30"/>
    <s v="P1"/>
    <n v="120"/>
    <s v="Anders Eckersand"/>
    <m/>
    <s v="OCH"/>
    <m/>
    <m/>
    <n v="61.56"/>
    <x v="2"/>
    <x v="2"/>
    <s v="Marco Polo"/>
    <s v="U&amp;MP"/>
  </r>
  <r>
    <s v="Marco Polo - Pay by Link"/>
    <x v="172"/>
    <s v="Marco Polo"/>
    <s v="PaybyLink via Saferpay"/>
    <s v="SaferPay"/>
    <s v="XXL"/>
    <n v="555"/>
    <s v="auto"/>
    <s v="OK"/>
    <n v="425"/>
    <n v="130"/>
    <m/>
    <m/>
    <s v="P1"/>
    <n v="555"/>
    <s v="Amaury Kervyn"/>
    <s v="Product"/>
    <s v="ECOM"/>
    <m/>
    <m/>
    <n v="555"/>
    <x v="2"/>
    <x v="10"/>
    <s v="Marco Polo"/>
    <s v="U&amp;MP"/>
  </r>
  <r>
    <s v="Marco Polo - SAGE"/>
    <x v="173"/>
    <s v="Marco Polo"/>
    <s v="SAGE"/>
    <s v="WLOC_IFS"/>
    <s v="M"/>
    <n v="100"/>
    <s v="auto"/>
    <s v="OK"/>
    <n v="100"/>
    <n v="0"/>
    <n v="0"/>
    <n v="0"/>
    <s v="P1"/>
    <n v="100"/>
    <s v="Amaury Kervyn"/>
    <s v="Product"/>
    <s v="ECOM"/>
    <m/>
    <m/>
    <n v="48.3"/>
    <x v="2"/>
    <x v="4"/>
    <s v="Marco Polo"/>
    <s v="U&amp;MP"/>
  </r>
  <r>
    <s v="Marco Polo - Surcharge"/>
    <x v="174"/>
    <s v="Marco Polo"/>
    <s v="Surcharging on WLOC"/>
    <s v="Marco Polo"/>
    <s v="XL"/>
    <n v="200"/>
    <s v="auto"/>
    <s v="OK"/>
    <n v="100"/>
    <n v="100"/>
    <m/>
    <m/>
    <s v="P1"/>
    <n v="200"/>
    <s v="Mike O'Halloran"/>
    <s v="Synergies"/>
    <s v="ECOM"/>
    <m/>
    <m/>
    <n v="96.6"/>
    <x v="2"/>
    <x v="4"/>
    <s v="Marco Polo"/>
    <s v="U&amp;MP"/>
  </r>
  <r>
    <s v="Marco Polo | Portal | Feature complete"/>
    <x v="175"/>
    <m/>
    <m/>
    <s v="Omnibus_STK"/>
    <m/>
    <n v="50"/>
    <s v="override"/>
    <s v="OK"/>
    <n v="12"/>
    <n v="12"/>
    <n v="12"/>
    <n v="14"/>
    <s v="P1"/>
    <n v="50"/>
    <s v="Anne-Claude Tichauer"/>
    <s v="Product"/>
    <s v="OCH"/>
    <m/>
    <m/>
    <n v="25.65"/>
    <x v="2"/>
    <x v="2"/>
    <s v="Marco Polo"/>
    <s v="U&amp;MP"/>
  </r>
  <r>
    <s v="Marco Polo | Portal | Feature complete"/>
    <x v="175"/>
    <m/>
    <m/>
    <s v="Datalake"/>
    <m/>
    <n v="50"/>
    <s v="override"/>
    <s v="OK"/>
    <n v="12"/>
    <n v="12"/>
    <n v="12"/>
    <n v="14"/>
    <s v="P4"/>
    <n v="50"/>
    <s v="Anne-Claude Tichauer"/>
    <s v="Product"/>
    <s v="OCH"/>
    <m/>
    <s v="Already taken into account by Charlotte"/>
    <n v="25.65"/>
    <x v="2"/>
    <x v="2"/>
    <s v="Marco Polo"/>
    <s v="U&amp;MP"/>
  </r>
  <r>
    <s v="Marco Polo | Portal | Feature complete"/>
    <x v="175"/>
    <m/>
    <s v="IAM for Marco Polo"/>
    <s v="WLOC_MXP"/>
    <m/>
    <n v="50"/>
    <s v="override"/>
    <s v="OK"/>
    <n v="12"/>
    <n v="12"/>
    <n v="12"/>
    <n v="14"/>
    <s v="P1"/>
    <n v="50"/>
    <s v="Anne-Claude Tichauer"/>
    <s v="Marco Polo"/>
    <s v="ECOM"/>
    <m/>
    <m/>
    <n v="24.15"/>
    <x v="2"/>
    <x v="4"/>
    <s v="Marco Polo"/>
    <s v="U&amp;MP"/>
  </r>
  <r>
    <s v="Market place models 1 &amp; 2 according to schemes"/>
    <x v="176"/>
    <m/>
    <m/>
    <s v="Saferpay"/>
    <m/>
    <n v="39"/>
    <s v="override"/>
    <s v="OK"/>
    <n v="10"/>
    <n v="10"/>
    <n v="10"/>
    <n v="9"/>
    <s v="P1"/>
    <n v="39"/>
    <s v="Olivier Choquet"/>
    <s v="Product"/>
    <s v="ECOM"/>
    <m/>
    <m/>
    <n v="39"/>
    <x v="2"/>
    <x v="10"/>
    <s v="Not Acceptance"/>
    <s v="BAU"/>
  </r>
  <r>
    <s v="MCP as a service (FX)"/>
    <x v="177"/>
    <s v="Phase 1 only"/>
    <s v="review done Reporting"/>
    <s v="GC Supp1"/>
    <s v="M"/>
    <n v="140"/>
    <s v="override"/>
    <s v="OK"/>
    <n v="50"/>
    <n v="50"/>
    <n v="40"/>
    <m/>
    <s v="P1"/>
    <n v="140"/>
    <s v="Teun Boer"/>
    <s v="Synergies"/>
    <s v="ONLINE"/>
    <s v="Vertical Solutions"/>
    <m/>
    <n v="71.819999999999993"/>
    <x v="0"/>
    <x v="5"/>
    <s v="United"/>
    <s v="U&amp;MP"/>
  </r>
  <r>
    <s v="MCP as a service (FX)"/>
    <x v="177"/>
    <s v="Phase 1 only"/>
    <s v="review done FinOps"/>
    <s v="GC Supp1"/>
    <s v="L"/>
    <n v="280"/>
    <s v="override"/>
    <s v="OK"/>
    <n v="90"/>
    <n v="100"/>
    <n v="90"/>
    <m/>
    <s v="P1"/>
    <n v="280"/>
    <s v="Teun Boer"/>
    <s v="Synergies"/>
    <s v="ONLINE"/>
    <s v="Vertical Solutions"/>
    <m/>
    <n v="143.63999999999999"/>
    <x v="0"/>
    <x v="5"/>
    <s v="United"/>
    <s v="U&amp;MP"/>
  </r>
  <r>
    <s v="MCP as a service (FX)"/>
    <x v="177"/>
    <s v="Phase 1 only"/>
    <s v="review done"/>
    <s v="Himalaya"/>
    <s v="L"/>
    <n v="220"/>
    <s v="override"/>
    <s v="OK"/>
    <n v="80"/>
    <n v="80"/>
    <n v="60"/>
    <m/>
    <s v="P1"/>
    <n v="220"/>
    <s v="Teun Boer"/>
    <s v="Product"/>
    <s v="ONLINE"/>
    <m/>
    <m/>
    <n v="112.86"/>
    <x v="0"/>
    <x v="5"/>
    <s v="United"/>
    <s v="U&amp;MP"/>
  </r>
  <r>
    <s v="MCP as a service (FX)"/>
    <x v="177"/>
    <s v="Phase 1 only"/>
    <s v="review done"/>
    <s v="Hercules"/>
    <s v="L"/>
    <n v="200"/>
    <s v="override"/>
    <s v="OK"/>
    <n v="70"/>
    <n v="70"/>
    <n v="60"/>
    <m/>
    <s v="P1"/>
    <n v="200"/>
    <s v="Teun Boer"/>
    <s v="Synergies"/>
    <s v="ONLINE"/>
    <m/>
    <m/>
    <n v="102.6"/>
    <x v="0"/>
    <x v="5"/>
    <s v="United"/>
    <s v="U&amp;MP"/>
  </r>
  <r>
    <s v="ME Portal - Reporting  improvements"/>
    <x v="178"/>
    <s v="Merchant Portal"/>
    <s v="Merchant Portal - reconciliation and reporting enhancements"/>
    <s v="WLOC_IFS"/>
    <s v="L"/>
    <n v="250"/>
    <s v="auto"/>
    <s v="OK"/>
    <n v="0"/>
    <n v="130"/>
    <n v="120"/>
    <n v="0"/>
    <s v="P1"/>
    <n v="250"/>
    <s v="Amaury Kervyn"/>
    <s v="Product"/>
    <s v="ECOM"/>
    <m/>
    <m/>
    <n v="120.75"/>
    <x v="0"/>
    <x v="4"/>
    <n v="0"/>
    <s v="BAU"/>
  </r>
  <r>
    <s v="ME Portal - Reporting  improvements"/>
    <x v="178"/>
    <s v="Merchant Portal"/>
    <s v="Dispute module operations"/>
    <s v="WLOC_IFS"/>
    <s v="S"/>
    <n v="50"/>
    <s v="auto"/>
    <s v="OK"/>
    <m/>
    <m/>
    <n v="30"/>
    <n v="20"/>
    <s v="P1"/>
    <n v="50"/>
    <s v="Amaury Kervyn"/>
    <s v="Product"/>
    <s v="ECOM"/>
    <m/>
    <m/>
    <n v="24.15"/>
    <x v="0"/>
    <x v="4"/>
    <n v="0"/>
    <s v="BAU"/>
  </r>
  <r>
    <s v="Merchant On-Boarding &amp; Management "/>
    <x v="179"/>
    <m/>
    <m/>
    <s v="TechProcess"/>
    <s v="XXL"/>
    <n v="400"/>
    <s v="auto"/>
    <s v="OK"/>
    <n v="100"/>
    <n v="100"/>
    <n v="100"/>
    <n v="100"/>
    <s v="P1"/>
    <n v="400"/>
    <s v="Arvind Singh"/>
    <s v=" Product "/>
    <s v="ONLINE"/>
    <m/>
    <m/>
    <n v="205.2"/>
    <x v="0"/>
    <x v="9"/>
    <n v="0"/>
    <s v="BAU"/>
  </r>
  <r>
    <s v="Merchant Risk prevention - Exemption Engine"/>
    <x v="180"/>
    <s v="RB Local - Western"/>
    <s v="Exemption engine on Ingenico Direct"/>
    <s v="WLOC_CARD_FE"/>
    <s v="S"/>
    <n v="90"/>
    <s v="auto"/>
    <s v="OK"/>
    <n v="90"/>
    <n v="0"/>
    <n v="0"/>
    <n v="0"/>
    <s v="P1"/>
    <n v="90"/>
    <s v="Emmanuel Blumel"/>
    <s v="Product"/>
    <s v="ECOM"/>
    <m/>
    <m/>
    <n v="43.47"/>
    <x v="0"/>
    <x v="4"/>
    <n v="0"/>
    <s v="BAU"/>
  </r>
  <r>
    <s v="Technical Debt / Global Infra"/>
    <x v="29"/>
    <s v="Source code &amp; CI migration"/>
    <s v="other teams"/>
    <s v="AFCAR-C3"/>
    <s v="XS"/>
    <n v="20"/>
    <s v="auto"/>
    <s v="OK"/>
    <n v="5"/>
    <n v="5"/>
    <n v="5"/>
    <n v="5"/>
    <s v="P1"/>
    <n v="20"/>
    <s v="Sebastien Letniowski"/>
    <s v="Tech. Debt"/>
    <s v="IN_STORE"/>
    <s v="Technical Leverage"/>
    <m/>
    <n v="10.26"/>
    <x v="0"/>
    <x v="1"/>
    <n v="0"/>
    <s v="BAU"/>
  </r>
  <r>
    <s v="Technical Debt / Global Infra"/>
    <x v="29"/>
    <s v="Training of teams with new way of working"/>
    <s v="other teams"/>
    <s v="AFCAR-C3"/>
    <s v="XS"/>
    <n v="20"/>
    <s v="auto"/>
    <s v="OK"/>
    <n v="5"/>
    <n v="5"/>
    <n v="5"/>
    <n v="5"/>
    <s v="P1"/>
    <n v="20"/>
    <s v="Sebastien Letniowski"/>
    <s v="Tech. Debt"/>
    <s v="IN_STORE"/>
    <s v="Technical Leverage"/>
    <m/>
    <n v="10.26"/>
    <x v="0"/>
    <x v="1"/>
    <n v="0"/>
    <s v="BAU"/>
  </r>
  <r>
    <s v="Mini pool - IPP Customer requests"/>
    <x v="181"/>
    <s v="Enterprise customer Change Requests"/>
    <m/>
    <s v="IPP"/>
    <s v="L"/>
    <n v="640"/>
    <s v="auto"/>
    <s v="OK"/>
    <n v="160"/>
    <n v="160"/>
    <n v="160"/>
    <n v="160"/>
    <s v="P1"/>
    <n v="640"/>
    <s v="Mike O'Halloran"/>
    <s v="Product"/>
    <s v="ECOM"/>
    <m/>
    <m/>
    <n v="328.32"/>
    <x v="0"/>
    <x v="7"/>
    <n v="0"/>
    <s v="BAU"/>
  </r>
  <r>
    <s v="MobilePay/Vipps on Ingenico Direct"/>
    <x v="182"/>
    <s v="RB Local - Nordics"/>
    <s v="MobilePay/Vipps implementation on WLOC FE"/>
    <s v="WLOC_APM"/>
    <s v="S"/>
    <n v="60"/>
    <s v="auto"/>
    <s v="OK"/>
    <m/>
    <m/>
    <n v="60"/>
    <m/>
    <s v="P1"/>
    <n v="60"/>
    <s v="Emmanuel Blumel"/>
    <s v="Product"/>
    <s v="ECOM"/>
    <m/>
    <m/>
    <n v="28.98"/>
    <x v="0"/>
    <x v="4"/>
    <s v="United"/>
    <s v="U&amp;MP"/>
  </r>
  <r>
    <s v="MobilePay/Vipps on Ingenico Direct"/>
    <x v="182"/>
    <s v="RB Local - Nordics"/>
    <s v="MobilePay/Vipps implementation on APM Hub"/>
    <s v="APM_Hub"/>
    <s v="L"/>
    <n v="160"/>
    <s v="auto"/>
    <s v="OK"/>
    <m/>
    <m/>
    <n v="160"/>
    <m/>
    <s v="P1"/>
    <n v="160"/>
    <s v="Emmanuel Blumel"/>
    <s v="Product"/>
    <s v="OCH"/>
    <m/>
    <m/>
    <n v="82.08"/>
    <x v="0"/>
    <x v="2"/>
    <s v="United"/>
    <s v="U&amp;MP"/>
  </r>
  <r>
    <s v="New product initiatives for Devcode"/>
    <x v="183"/>
    <s v="Devcode New Initiatives 1"/>
    <m/>
    <s v="DevCode"/>
    <s v="XXXL"/>
    <n v="800"/>
    <s v="auto"/>
    <s v="OK"/>
    <n v="200"/>
    <n v="200"/>
    <n v="200"/>
    <n v="200"/>
    <s v="P1"/>
    <n v="800"/>
    <s v="Marco Hauff"/>
    <s v="Product"/>
    <s v="ONLINE"/>
    <m/>
    <m/>
    <n v="410.4"/>
    <x v="0"/>
    <x v="19"/>
    <n v="0"/>
    <s v="BAU"/>
  </r>
  <r>
    <s v="New product initiatives for Devcode"/>
    <x v="183"/>
    <s v="Devcode New Initiatives 2"/>
    <m/>
    <s v="DevCode"/>
    <s v="XXXL"/>
    <n v="800"/>
    <s v="auto"/>
    <s v="OK"/>
    <n v="200"/>
    <n v="200"/>
    <n v="200"/>
    <n v="200"/>
    <s v="P1"/>
    <n v="800"/>
    <s v="Marco Hauff"/>
    <s v="Product"/>
    <s v="ONLINE"/>
    <m/>
    <m/>
    <n v="410.4"/>
    <x v="0"/>
    <x v="19"/>
    <n v="0"/>
    <s v="BAU"/>
  </r>
  <r>
    <s v="New product initiatives for Devcode"/>
    <x v="183"/>
    <s v="Devcode New Initiatives 3"/>
    <m/>
    <s v="Devcode"/>
    <s v="XXXL"/>
    <n v="800"/>
    <s v="auto"/>
    <s v="OK"/>
    <n v="200"/>
    <n v="200"/>
    <n v="200"/>
    <n v="200"/>
    <s v="P1"/>
    <n v="800"/>
    <s v="Marco Hauff"/>
    <s v="Product"/>
    <s v="ONLINE"/>
    <m/>
    <m/>
    <n v="410.4"/>
    <x v="0"/>
    <x v="19"/>
    <n v="0"/>
    <s v="BAU"/>
  </r>
  <r>
    <s v="New product initiatives for Devcode"/>
    <x v="183"/>
    <s v="Devcode New Initiatives 4"/>
    <m/>
    <s v="DevCode"/>
    <s v="XXL"/>
    <n v="400"/>
    <s v="auto"/>
    <s v="OK"/>
    <n v="100"/>
    <n v="100"/>
    <n v="100"/>
    <n v="100"/>
    <s v="P1"/>
    <n v="400"/>
    <s v="Marco Hauff"/>
    <s v="Product"/>
    <s v="ONLINE"/>
    <m/>
    <m/>
    <n v="205.2"/>
    <x v="0"/>
    <x v="19"/>
    <n v="0"/>
    <s v="BAU"/>
  </r>
  <r>
    <s v="Security &amp; Risks"/>
    <x v="72"/>
    <s v="Compiance PCI"/>
    <s v="security bug fixing"/>
    <s v="AFCAR-C3"/>
    <s v="XS"/>
    <n v="10"/>
    <s v="override"/>
    <s v="OK"/>
    <m/>
    <n v="10"/>
    <m/>
    <m/>
    <s v="P1"/>
    <n v="0"/>
    <s v="Sebastien Letniowski"/>
    <m/>
    <s v="IN_STORE"/>
    <s v="Regulation"/>
    <m/>
    <n v="5.13"/>
    <x v="0"/>
    <x v="1"/>
    <n v="0"/>
    <s v="BAU"/>
  </r>
  <r>
    <s v="Conexflow migration"/>
    <x v="8"/>
    <s v="Migration to the advanced environment"/>
    <s v="Remaining customers that will be migrated from legacy environment to the advance Conexflow one."/>
    <s v="Cnx eCom VAS"/>
    <s v="S"/>
    <n v="75"/>
    <s v="auto"/>
    <s v="OK"/>
    <n v="50"/>
    <n v="25"/>
    <m/>
    <m/>
    <s v="P1"/>
    <n v="75"/>
    <s v="Jorge Tarlea"/>
    <s v="Tech. Debt"/>
    <s v="IN_STORE"/>
    <s v="Technical Leverage"/>
    <s v="Customers whose migration plan will be ended after 2021: TUI, AIRSHOP, PARADORES BALEARIA"/>
    <n v="38.475000000000001"/>
    <x v="0"/>
    <x v="18"/>
    <n v="0"/>
    <s v="BAU"/>
  </r>
  <r>
    <s v="New regulations on Conexflow"/>
    <x v="184"/>
    <s v="Bucket for new regulations"/>
    <s v="PSD2, schemes, etc."/>
    <s v="Cnx eCom VAS"/>
    <s v="S"/>
    <n v="50"/>
    <s v="auto"/>
    <s v="OK"/>
    <n v="14"/>
    <n v="12"/>
    <n v="12"/>
    <n v="12"/>
    <s v="P1"/>
    <n v="50"/>
    <s v="Jorge Tarlea"/>
    <s v="Product"/>
    <s v="IN_STORE"/>
    <s v="Regulation"/>
    <m/>
    <n v="25.65"/>
    <x v="0"/>
    <x v="18"/>
    <n v="0"/>
    <s v="BAU"/>
  </r>
  <r>
    <s v="New regulations on Conexflow"/>
    <x v="184"/>
    <s v="8-digit BIN/IIN support for international schemes"/>
    <s v="e-Comm part (e-ComBankCard / PaymenHub)"/>
    <s v="Cnx eCom VAS"/>
    <s v="XS"/>
    <n v="0"/>
    <s v="auto"/>
    <s v="OK"/>
    <n v="0"/>
    <n v="0"/>
    <n v="0"/>
    <n v="0"/>
    <s v="P1"/>
    <n v="0"/>
    <s v="Jorge Tarlea"/>
    <s v="Product"/>
    <s v="IN_STORE"/>
    <s v="Regulation"/>
    <s v="No impact expected on e-comm Conexflow-related solutions according to Pablo Pardo"/>
    <n v="0"/>
    <x v="0"/>
    <x v="18"/>
    <n v="0"/>
    <s v="BAU"/>
  </r>
  <r>
    <s v="Reservation Hub"/>
    <x v="185"/>
    <s v="Bucket for reservation Hub evolutions"/>
    <s v="Evolutions for Reservation Hub (Channel Managers, hotel integrations, etc)"/>
    <s v="Cnx eCom VAS"/>
    <s v="S"/>
    <n v="50"/>
    <s v="auto"/>
    <s v="OK"/>
    <m/>
    <m/>
    <n v="25"/>
    <n v="25"/>
    <s v="P1"/>
    <n v="50"/>
    <s v="Jorge Tarlea"/>
    <s v="Product"/>
    <s v="IN_STORE"/>
    <s v="Complete Value Chain"/>
    <m/>
    <n v="25.65"/>
    <x v="0"/>
    <x v="18"/>
    <n v="0"/>
    <s v="BAU"/>
  </r>
  <r>
    <s v="Roadmap / Purchasing Experience"/>
    <x v="11"/>
    <s v="Wereables solution for hospitality &amp; travel"/>
    <s v="Paying with a wearable study and POC"/>
    <s v="Cnx eCom VAS"/>
    <s v="M"/>
    <n v="75"/>
    <s v="auto"/>
    <s v="OK"/>
    <m/>
    <n v="25"/>
    <n v="25"/>
    <n v="25"/>
    <s v="P3"/>
    <n v="75"/>
    <s v="Jorge Tarlea"/>
    <s v="Product"/>
    <s v="IN_STORE"/>
    <s v="Simplify Experience"/>
    <m/>
    <n v="38.475000000000001"/>
    <x v="1"/>
    <x v="18"/>
    <n v="0"/>
    <s v="BAU"/>
  </r>
  <r>
    <s v="RUN Conexflow + CSACT"/>
    <x v="186"/>
    <s v="RUN and support activities for Conexflow"/>
    <s v="30% of the capacity of this team is dedicated to BAU activities and maintenance, as opposite to CSACT which it has its own dedicated BAU team"/>
    <s v="Cnx eCom VAS"/>
    <s v="XXL"/>
    <n v="377"/>
    <s v="auto"/>
    <s v="OK"/>
    <n v="94"/>
    <n v="94"/>
    <n v="94"/>
    <n v="95"/>
    <s v="P1"/>
    <n v="377"/>
    <s v="Jorge Tarlea"/>
    <s v="Maintenance &amp; Incidents"/>
    <s v="IN_STORE"/>
    <m/>
    <s v="Based on 30% of the total capacity (this was a given by Mohamed Lachguer)"/>
    <n v="193.40100000000001"/>
    <x v="0"/>
    <x v="18"/>
    <s v="Run"/>
    <s v="RUN"/>
  </r>
  <r>
    <s v="Smart Routing / shared service"/>
    <x v="98"/>
    <s v="Integration support for other platforms (GC, Ogone, CSACT…)"/>
    <s v="Support integrations for three platforms (Global Collect, Ogone, CSACT,…)"/>
    <s v="Cnx eCom VAS"/>
    <s v="S"/>
    <n v="60"/>
    <s v="auto"/>
    <s v="OK"/>
    <n v="20"/>
    <n v="20"/>
    <n v="20"/>
    <m/>
    <s v="P1"/>
    <n v="60"/>
    <s v="Jorge Tarlea"/>
    <s v="Product"/>
    <s v="IN_STORE"/>
    <s v="Complete Value Chain"/>
    <m/>
    <n v="30.78"/>
    <x v="0"/>
    <x v="18"/>
    <n v="0"/>
    <s v="BAU"/>
  </r>
  <r>
    <s v="Smart Routing / shared service"/>
    <x v="98"/>
    <s v="Smart Routing Shared Service evolutions"/>
    <m/>
    <s v="Cnx eCom VAS"/>
    <s v="M"/>
    <n v="100"/>
    <s v="auto"/>
    <s v="OK"/>
    <n v="25"/>
    <n v="25"/>
    <n v="25"/>
    <n v="25"/>
    <s v="P1"/>
    <n v="100"/>
    <s v="Jorge Tarlea"/>
    <s v="Product"/>
    <s v="IN_STORE"/>
    <s v="Complete Value Chain"/>
    <m/>
    <n v="51.3"/>
    <x v="0"/>
    <x v="18"/>
    <n v="0"/>
    <s v="BAU"/>
  </r>
  <r>
    <s v="Technical &amp; Functional Debt"/>
    <x v="12"/>
    <s v="Continous integration"/>
    <m/>
    <s v="Cnx eCom VAS"/>
    <s v="S"/>
    <n v="50"/>
    <s v="auto"/>
    <s v="OK"/>
    <n v="14"/>
    <n v="12"/>
    <n v="12"/>
    <n v="12"/>
    <s v="P1"/>
    <n v="50"/>
    <s v="Jorge Tarlea"/>
    <s v="Tech. Debt"/>
    <s v="IN_STORE"/>
    <m/>
    <m/>
    <n v="25.65"/>
    <x v="0"/>
    <x v="18"/>
    <n v="0"/>
    <s v="BAU"/>
  </r>
  <r>
    <s v="No Cost EMI / BNPL"/>
    <x v="187"/>
    <m/>
    <m/>
    <s v="TechProcess"/>
    <s v="XXL"/>
    <n v="400"/>
    <s v="auto"/>
    <s v="OK"/>
    <n v="100"/>
    <n v="100"/>
    <n v="100"/>
    <n v="100"/>
    <s v="P1"/>
    <n v="400"/>
    <s v="Arvind Singh"/>
    <s v=" Product "/>
    <s v="ONLINE"/>
    <m/>
    <m/>
    <n v="205.2"/>
    <x v="0"/>
    <x v="9"/>
    <n v="0"/>
    <s v="BAU"/>
  </r>
  <r>
    <s v="OCT risk counter-measure"/>
    <x v="188"/>
    <m/>
    <m/>
    <s v="Saferpay"/>
    <m/>
    <n v="10"/>
    <s v="override"/>
    <s v="OK"/>
    <n v="2"/>
    <n v="3"/>
    <n v="2"/>
    <n v="3"/>
    <s v="P1"/>
    <n v="10"/>
    <m/>
    <s v="Product"/>
    <s v="ECOM"/>
    <m/>
    <m/>
    <n v="10"/>
    <x v="2"/>
    <x v="10"/>
    <s v="Not Acceptance"/>
    <s v="BAU"/>
  </r>
  <r>
    <s v="Omnibus Portal platform | Maintenance &amp; bug fixing"/>
    <x v="189"/>
    <m/>
    <m/>
    <s v="Omnibus_NL"/>
    <m/>
    <n v="385"/>
    <s v="override"/>
    <s v="OK"/>
    <n v="96"/>
    <n v="96"/>
    <n v="96"/>
    <n v="97"/>
    <s v="P1"/>
    <n v="385"/>
    <s v="Anne-Claude Tichauer"/>
    <s v="Maintenance &amp; Incidents"/>
    <s v="OCH"/>
    <m/>
    <m/>
    <n v="197.505"/>
    <x v="2"/>
    <x v="2"/>
    <s v="Not Acceptance"/>
    <s v="BAU"/>
  </r>
  <r>
    <s v="Omnibus Portal platform | Maintenance &amp; bug fixing"/>
    <x v="189"/>
    <m/>
    <m/>
    <s v="Omnibus_STK"/>
    <m/>
    <n v="385"/>
    <s v="override"/>
    <s v="OK"/>
    <n v="96"/>
    <n v="96"/>
    <n v="96"/>
    <n v="97"/>
    <s v="P1"/>
    <n v="385"/>
    <s v="Anne-Claude Tichauer"/>
    <s v="Maintenance &amp; Incidents"/>
    <s v="OCH"/>
    <m/>
    <m/>
    <n v="197.505"/>
    <x v="2"/>
    <x v="2"/>
    <s v="Not Acceptance"/>
    <s v="BAU"/>
  </r>
  <r>
    <s v="Omnibus Portal platform | New features"/>
    <x v="190"/>
    <m/>
    <m/>
    <s v="Omnibus_NL"/>
    <m/>
    <n v="220"/>
    <s v="override"/>
    <s v="OK"/>
    <n v="55"/>
    <n v="55"/>
    <n v="55"/>
    <n v="55"/>
    <s v="P2"/>
    <n v="220"/>
    <s v="Anne-Claude Tichauer"/>
    <s v="Product"/>
    <s v="OCH"/>
    <m/>
    <m/>
    <n v="112.86"/>
    <x v="2"/>
    <x v="2"/>
    <s v="Not Acceptance"/>
    <s v="BAU"/>
  </r>
  <r>
    <s v="Omnibus Portal platform | New features"/>
    <x v="190"/>
    <m/>
    <m/>
    <s v="Omnibus_STK"/>
    <m/>
    <n v="220"/>
    <s v="override"/>
    <s v="OK"/>
    <n v="55"/>
    <n v="55"/>
    <n v="55"/>
    <n v="55"/>
    <s v="P2"/>
    <n v="220"/>
    <s v="Anne-Claude Tichauer"/>
    <s v="Product"/>
    <s v="OCH"/>
    <m/>
    <m/>
    <n v="112.86"/>
    <x v="2"/>
    <x v="2"/>
    <s v="Not Acceptance"/>
    <s v="BAU"/>
  </r>
  <r>
    <s v="Omnibus Portal platform | Foundation"/>
    <x v="191"/>
    <s v="Platform"/>
    <m/>
    <s v="Omnibus_NL"/>
    <m/>
    <n v="220"/>
    <s v="override"/>
    <s v="OK"/>
    <n v="55"/>
    <n v="55"/>
    <n v="55"/>
    <n v="55"/>
    <s v="P1"/>
    <n v="220"/>
    <s v="Anne-Claude Tichauer"/>
    <s v="Tech. Debt"/>
    <s v="OCH"/>
    <m/>
    <m/>
    <n v="112.86"/>
    <x v="2"/>
    <x v="2"/>
    <s v="Not Acceptance"/>
    <s v="BAU"/>
  </r>
  <r>
    <s v="Omnibus United  | Wave 1"/>
    <x v="192"/>
    <s v="Platform + OneSource"/>
    <m/>
    <s v="Omnibus_NL"/>
    <m/>
    <n v="1536"/>
    <s v="override"/>
    <s v="OK"/>
    <n v="384"/>
    <n v="384"/>
    <n v="384"/>
    <n v="384"/>
    <s v="P1"/>
    <n v="1536"/>
    <s v="Anne-Claude Tichauer"/>
    <s v="Synergies"/>
    <s v="OCH"/>
    <m/>
    <m/>
    <n v="787.96799999999996"/>
    <x v="2"/>
    <x v="2"/>
    <s v="Not Acceptance"/>
    <s v="BAU"/>
  </r>
  <r>
    <s v="Omnibus United  | Wave 1"/>
    <x v="192"/>
    <s v="Platform + OneSource"/>
    <m/>
    <s v="Omnibus_STK"/>
    <m/>
    <n v="978"/>
    <s v="override"/>
    <s v="OK"/>
    <n v="244"/>
    <n v="244"/>
    <n v="244"/>
    <n v="246"/>
    <s v="P1"/>
    <n v="978"/>
    <s v="Anne-Claude Tichauer"/>
    <s v="Synergies"/>
    <s v="OCH"/>
    <m/>
    <m/>
    <n v="501.714"/>
    <x v="2"/>
    <x v="2"/>
    <s v="Not Acceptance"/>
    <s v="BAU"/>
  </r>
  <r>
    <s v="Omnibus United  | Wave 1"/>
    <x v="192"/>
    <s v="Platform + OneSource"/>
    <s v="Platform + OneSource"/>
    <s v="Datalake"/>
    <m/>
    <n v="295"/>
    <s v="override"/>
    <s v="OK"/>
    <n v="73"/>
    <n v="73"/>
    <n v="73"/>
    <n v="76"/>
    <s v="P4"/>
    <n v="295"/>
    <s v="Anne-Claude Tichauer"/>
    <s v="Synergies"/>
    <s v="OCH"/>
    <m/>
    <s v="Already taken into account by Charlotte"/>
    <n v="151.33500000000001"/>
    <x v="2"/>
    <x v="2"/>
    <s v="Not Acceptance"/>
    <s v="BAU"/>
  </r>
  <r>
    <s v="Omnibus United  | Wave 1"/>
    <x v="192"/>
    <s v="Ogone MP + myPortal in Omnibus"/>
    <m/>
    <s v="Omnibus_STK"/>
    <m/>
    <n v="1410"/>
    <s v="override"/>
    <s v="OK"/>
    <n v="352"/>
    <n v="352"/>
    <n v="352"/>
    <n v="354"/>
    <s v="P1"/>
    <n v="1410"/>
    <s v="Anne-Claude Tichauer"/>
    <s v="Synergies"/>
    <s v="???"/>
    <m/>
    <m/>
    <n v="723.33"/>
    <x v="2"/>
    <x v="2"/>
    <s v="Not Acceptance"/>
    <s v="BAU"/>
  </r>
  <r>
    <s v="Omnibus United | Wave 2"/>
    <x v="193"/>
    <s v="Ogone MP + myPortal in Omnibus"/>
    <m/>
    <s v="Omnibus_NL"/>
    <m/>
    <n v="643"/>
    <s v="override"/>
    <s v="OK"/>
    <n v="160"/>
    <n v="160"/>
    <n v="160"/>
    <n v="163"/>
    <s v="P1"/>
    <n v="643"/>
    <s v="Anne-Claude Tichauer"/>
    <s v="Synergies"/>
    <s v="OCH"/>
    <m/>
    <m/>
    <n v="329.85899999999998"/>
    <x v="2"/>
    <x v="2"/>
    <s v="Not Acceptance"/>
    <s v="BAU"/>
  </r>
  <r>
    <s v="Omnibus United | Wave 2"/>
    <x v="193"/>
    <s v="Ogone MP + myPortal in Omnibus"/>
    <m/>
    <s v="Omnibus_STK"/>
    <m/>
    <n v="404"/>
    <s v="override"/>
    <s v="OK"/>
    <n v="101"/>
    <n v="101"/>
    <n v="101"/>
    <n v="101"/>
    <s v="P1"/>
    <n v="404"/>
    <s v="Anne-Claude Tichauer"/>
    <s v="Synergies"/>
    <s v="OCH"/>
    <m/>
    <m/>
    <n v="207.25200000000001"/>
    <x v="2"/>
    <x v="2"/>
    <s v="Not Acceptance"/>
    <s v="BAU"/>
  </r>
  <r>
    <s v="Omnibus United | Wave 2"/>
    <x v="193"/>
    <m/>
    <s v="Ogone MP + myPortal in Omnibus"/>
    <s v="Datalake"/>
    <m/>
    <n v="370"/>
    <s v="override"/>
    <s v="OK"/>
    <n v="92"/>
    <n v="92"/>
    <n v="92"/>
    <n v="94"/>
    <s v="P4"/>
    <n v="370"/>
    <s v="Anne-Claude Tichauer"/>
    <s v="Synergies"/>
    <s v="OCH"/>
    <m/>
    <s v="Already taken into account by Charlotte"/>
    <n v="189.81"/>
    <x v="2"/>
    <x v="2"/>
    <s v="Not Acceptance"/>
    <s v="BAU"/>
  </r>
  <r>
    <s v="Omnibus United | Wave 2"/>
    <x v="193"/>
    <s v="Ogone MP + myPortal in Omnibus"/>
    <m/>
    <s v="Omnibus_STK"/>
    <m/>
    <n v="470"/>
    <s v="override"/>
    <s v="OK"/>
    <n v="117"/>
    <n v="117"/>
    <n v="117"/>
    <n v="119"/>
    <s v="P1"/>
    <n v="470"/>
    <s v="Anne-Claude Tichauer"/>
    <s v="Synergies"/>
    <s v="???"/>
    <m/>
    <m/>
    <n v="241.11"/>
    <x v="2"/>
    <x v="2"/>
    <s v="Not Acceptance"/>
    <s v="BAU"/>
  </r>
  <r>
    <s v="Omnibus United | Wave 2"/>
    <x v="193"/>
    <m/>
    <s v="IAM for Omnibus"/>
    <s v="WLOC_MXP"/>
    <m/>
    <n v="142"/>
    <s v="override"/>
    <s v="OK"/>
    <n v="35"/>
    <n v="35"/>
    <n v="35"/>
    <n v="37"/>
    <s v="P1"/>
    <n v="142"/>
    <s v="Anne-Claude Tichauer"/>
    <s v="Synergies"/>
    <s v="ECOM"/>
    <m/>
    <m/>
    <n v="68.585999999999999"/>
    <x v="2"/>
    <x v="4"/>
    <s v="Not Acceptance"/>
    <s v="BAU"/>
  </r>
  <r>
    <s v="Onboarding"/>
    <x v="80"/>
    <s v="Onboarding Acquiring"/>
    <s v="Acquiring Worldline Red/blue"/>
    <s v="SEA"/>
    <m/>
    <n v="300"/>
    <s v="auto"/>
    <s v="OK"/>
    <n v="75"/>
    <n v="75"/>
    <n v="75"/>
    <n v="75"/>
    <s v="P3"/>
    <n v="300"/>
    <s v="Charlotte Perraudin"/>
    <m/>
    <s v="IN_STORE"/>
    <m/>
    <m/>
    <n v="153.9"/>
    <x v="1"/>
    <x v="20"/>
    <n v="0"/>
    <s v="BAU"/>
  </r>
  <r>
    <s v="Onboarding"/>
    <x v="80"/>
    <s v="Onboarding API"/>
    <s v="Onboarding External API"/>
    <s v="SEA"/>
    <m/>
    <n v="195"/>
    <s v="auto"/>
    <s v="OK"/>
    <n v="50"/>
    <n v="50"/>
    <n v="50"/>
    <n v="45"/>
    <s v="P1"/>
    <n v="195"/>
    <s v="Charlotte Perraudin"/>
    <m/>
    <s v="IN_STORE"/>
    <m/>
    <m/>
    <n v="100.035"/>
    <x v="0"/>
    <x v="20"/>
    <n v="0"/>
    <s v="BAU"/>
  </r>
  <r>
    <s v="Onboarding"/>
    <x v="80"/>
    <s v="Onboarding Axis &amp; Omnichannel "/>
    <s v="Axis consumer, xchannel, generic profile, mass mod° &amp;updates"/>
    <s v="ODY"/>
    <m/>
    <n v="600"/>
    <s v="auto"/>
    <s v="OK"/>
    <n v="150"/>
    <n v="150"/>
    <n v="150"/>
    <n v="150"/>
    <s v="P1"/>
    <n v="600"/>
    <s v="Charlotte Perraudin"/>
    <m/>
    <s v="IN_STORE"/>
    <m/>
    <m/>
    <n v="307.8"/>
    <x v="0"/>
    <x v="20"/>
    <n v="0"/>
    <s v="BAU"/>
  </r>
  <r>
    <s v="Onboarding"/>
    <x v="80"/>
    <s v="Onboarding Axis global "/>
    <s v="CB6, MAP, Move POS, migrate POS"/>
    <s v="SEA"/>
    <m/>
    <n v="450"/>
    <s v="auto"/>
    <s v="OK"/>
    <n v="110"/>
    <n v="110"/>
    <n v="110"/>
    <n v="120"/>
    <s v="P1"/>
    <n v="450"/>
    <s v="Charlotte Perraudin"/>
    <m/>
    <s v="IN_STORE"/>
    <m/>
    <m/>
    <n v="230.85"/>
    <x v="0"/>
    <x v="20"/>
    <n v="0"/>
    <s v="BAU"/>
  </r>
  <r>
    <s v="Onboarding"/>
    <x v="80"/>
    <s v="Onboarding Axis Smart Routing "/>
    <s v="Smart Routing lot2"/>
    <s v="ODY"/>
    <m/>
    <n v="100"/>
    <s v="auto"/>
    <s v="OK"/>
    <n v="25"/>
    <n v="25"/>
    <n v="25"/>
    <n v="25"/>
    <s v="P1"/>
    <n v="100"/>
    <s v="Charlotte Perraudin"/>
    <m/>
    <s v="IN_STORE"/>
    <m/>
    <m/>
    <n v="51.3"/>
    <x v="0"/>
    <x v="20"/>
    <n v="0"/>
    <s v="BAU"/>
  </r>
  <r>
    <s v="Onboarding"/>
    <x v="80"/>
    <s v="Onboarding CSACT"/>
    <s v="Evrest provisioning API migration (CSACT/IPS)"/>
    <s v="SEA"/>
    <m/>
    <n v="200"/>
    <s v="auto"/>
    <s v="OK"/>
    <n v="50"/>
    <n v="50"/>
    <n v="50"/>
    <n v="50"/>
    <s v="P1"/>
    <n v="200"/>
    <s v="Charlotte Perraudin"/>
    <m/>
    <s v="IN_STORE"/>
    <m/>
    <m/>
    <n v="102.6"/>
    <x v="0"/>
    <x v="20"/>
    <n v="0"/>
    <s v="BAU"/>
  </r>
  <r>
    <s v="Onboarding"/>
    <x v="80"/>
    <s v="Onboarding Everest decomissioning"/>
    <s v="Everest decomisionning"/>
    <s v="ODY"/>
    <m/>
    <n v="152"/>
    <s v="auto"/>
    <s v="OK"/>
    <n v="38"/>
    <n v="38"/>
    <n v="38"/>
    <n v="38"/>
    <s v="P1"/>
    <n v="152"/>
    <s v="Charlotte Perraudin"/>
    <m/>
    <s v="IN_STORE"/>
    <m/>
    <m/>
    <n v="77.975999999999999"/>
    <x v="0"/>
    <x v="20"/>
    <n v="0"/>
    <s v="BAU"/>
  </r>
  <r>
    <s v="Onboarding"/>
    <x v="80"/>
    <s v="Onboarding Ogone"/>
    <s v="Ogone integration"/>
    <s v="ODY"/>
    <m/>
    <n v="400"/>
    <s v="auto"/>
    <s v="OK"/>
    <n v="100"/>
    <n v="100"/>
    <n v="100"/>
    <n v="100"/>
    <s v="P3"/>
    <n v="400"/>
    <s v="Charlotte Perraudin"/>
    <m/>
    <s v="IN_STORE"/>
    <m/>
    <m/>
    <n v="205.2"/>
    <x v="1"/>
    <x v="20"/>
    <n v="0"/>
    <s v="BAU"/>
  </r>
  <r>
    <s v="Onboarding"/>
    <x v="80"/>
    <s v="Onboarding Project "/>
    <s v="Project life cycle (unique set-up for UAT, pprod &amp; prod) "/>
    <s v="ODY"/>
    <m/>
    <n v="100"/>
    <s v="auto"/>
    <s v="OK"/>
    <n v="25"/>
    <n v="25"/>
    <n v="25"/>
    <n v="25"/>
    <s v="P1"/>
    <n v="100"/>
    <s v="Charlotte Perraudin"/>
    <m/>
    <s v="IN_STORE"/>
    <m/>
    <m/>
    <n v="51.3"/>
    <x v="0"/>
    <x v="20"/>
    <n v="0"/>
    <s v="BAU"/>
  </r>
  <r>
    <s v="[UNITED SYNERGIES] SACC Decomissionning"/>
    <x v="7"/>
    <s v="Onboarding SACC"/>
    <s v="SACC integration"/>
    <s v="SEA"/>
    <m/>
    <n v="105"/>
    <s v="override"/>
    <s v="OK"/>
    <n v="25"/>
    <n v="25"/>
    <n v="25"/>
    <n v="30"/>
    <s v="P1"/>
    <n v="105"/>
    <s v="Charlotte Perraudin"/>
    <m/>
    <s v="IN_STORE"/>
    <m/>
    <m/>
    <n v="53.865000000000002"/>
    <x v="0"/>
    <x v="20"/>
    <s v="United"/>
    <s v="U&amp;MP"/>
  </r>
  <r>
    <s v="Onboarding"/>
    <x v="80"/>
    <s v="Onboarding Shared Services (BIN, acquirer, ..) "/>
    <s v="BIN management, acquirer management"/>
    <s v="ODY"/>
    <m/>
    <n v="200"/>
    <s v="auto"/>
    <s v="OK"/>
    <n v="50"/>
    <n v="50"/>
    <n v="50"/>
    <n v="50"/>
    <s v="P1"/>
    <n v="200"/>
    <s v="Charlotte Perraudin"/>
    <m/>
    <s v="IN_STORE"/>
    <m/>
    <m/>
    <n v="102.6"/>
    <x v="0"/>
    <x v="20"/>
    <n v="0"/>
    <s v="BAU"/>
  </r>
  <r>
    <s v="Onboarding"/>
    <x v="80"/>
    <s v="Onboarding SNCF"/>
    <s v="SNCF Lot2"/>
    <s v="ODY"/>
    <m/>
    <n v="100"/>
    <s v="auto"/>
    <s v="OK"/>
    <n v="25"/>
    <n v="25"/>
    <n v="25"/>
    <n v="25"/>
    <s v="P1"/>
    <n v="100"/>
    <s v="Charlotte Perraudin"/>
    <m/>
    <s v="IN_STORE"/>
    <m/>
    <m/>
    <n v="51.3"/>
    <x v="0"/>
    <x v="20"/>
    <n v="0"/>
    <s v="BAU"/>
  </r>
  <r>
    <s v="Onboarding"/>
    <x v="80"/>
    <s v="Onboarding Technical Debt"/>
    <s v="CustomerPortal Microservices refactoring"/>
    <s v="SEA"/>
    <m/>
    <n v="75"/>
    <s v="auto"/>
    <s v="OK"/>
    <m/>
    <m/>
    <m/>
    <n v="75"/>
    <s v="P1"/>
    <n v="75"/>
    <s v="Charlotte Perraudin"/>
    <m/>
    <s v="IN_STORE"/>
    <m/>
    <m/>
    <n v="38.475000000000001"/>
    <x v="0"/>
    <x v="20"/>
    <n v="0"/>
    <s v="BAU"/>
  </r>
  <r>
    <s v="Onboarding"/>
    <x v="80"/>
    <s v="Onboarding Technical Debt"/>
    <s v="E2E Automatic Tests"/>
    <s v="SEA"/>
    <m/>
    <n v="50"/>
    <s v="auto"/>
    <s v="OK"/>
    <m/>
    <m/>
    <n v="25"/>
    <n v="25"/>
    <s v="P1"/>
    <n v="50"/>
    <s v="Charlotte Perraudin"/>
    <m/>
    <s v="IN_STORE"/>
    <m/>
    <m/>
    <n v="25.65"/>
    <x v="0"/>
    <x v="20"/>
    <n v="0"/>
    <s v="BAU"/>
  </r>
  <r>
    <s v="Onboarding"/>
    <x v="80"/>
    <s v="Onboarding Technical Debt"/>
    <s v="Kafka Partition Split"/>
    <s v="SEA"/>
    <m/>
    <n v="50"/>
    <s v="auto"/>
    <s v="OK"/>
    <m/>
    <m/>
    <n v="25"/>
    <n v="25"/>
    <s v="P1"/>
    <n v="50"/>
    <s v="Charlotte Perraudin"/>
    <m/>
    <s v="IN_STORE"/>
    <m/>
    <m/>
    <n v="25.65"/>
    <x v="0"/>
    <x v="20"/>
    <n v="0"/>
    <s v="BAU"/>
  </r>
  <r>
    <s v="Onboarding"/>
    <x v="80"/>
    <s v="Onboarding Technical Debt"/>
    <s v="Libraries Upgrade (Java, Angular, SpringBoot)"/>
    <s v="SEA"/>
    <m/>
    <n v="50"/>
    <s v="auto"/>
    <s v="OK"/>
    <m/>
    <n v="50"/>
    <m/>
    <m/>
    <s v="P1"/>
    <n v="50"/>
    <s v="Charlotte Perraudin"/>
    <m/>
    <s v="IN_STORE"/>
    <m/>
    <m/>
    <n v="25.65"/>
    <x v="0"/>
    <x v="20"/>
    <n v="0"/>
    <s v="BAU"/>
  </r>
  <r>
    <s v="Onboarding Automation"/>
    <x v="194"/>
    <s v="RB Global - Digitalization"/>
    <s v="Paypal Onboarding"/>
    <s v="WLOC_MXP"/>
    <s v="M"/>
    <n v="100"/>
    <s v="auto"/>
    <s v="OK"/>
    <m/>
    <m/>
    <m/>
    <n v="100"/>
    <s v="P1"/>
    <n v="100"/>
    <s v="Sebastien Fantone"/>
    <s v="Product"/>
    <s v="ECOM"/>
    <m/>
    <m/>
    <n v="48.3"/>
    <x v="0"/>
    <x v="4"/>
    <n v="0"/>
    <s v="BAU"/>
  </r>
  <r>
    <s v="Onboarding Automation"/>
    <x v="194"/>
    <s v="RB Global - Digitalization"/>
    <s v="Onboarding E2E (payment, reporting, recon...) "/>
    <s v="WLOC_MXP"/>
    <s v="XL"/>
    <n v="300"/>
    <s v="auto"/>
    <s v="OK"/>
    <m/>
    <m/>
    <n v="150"/>
    <n v="150"/>
    <s v="P1"/>
    <n v="300"/>
    <s v="Sebastien Fantone"/>
    <s v="Product"/>
    <s v="ECOM"/>
    <m/>
    <m/>
    <n v="144.9"/>
    <x v="0"/>
    <x v="4"/>
    <n v="0"/>
    <s v="BAU"/>
  </r>
  <r>
    <s v="Onboarding Automation"/>
    <x v="194"/>
    <s v="RB Global - Digitalization"/>
    <s v="eCom Target Platform Onboarding"/>
    <s v="DS"/>
    <s v="XXL"/>
    <n v="400"/>
    <s v="auto"/>
    <s v="OK"/>
    <m/>
    <m/>
    <n v="200"/>
    <n v="200"/>
    <s v="P1"/>
    <n v="400"/>
    <s v="Sebastien Fantone"/>
    <s v="Product"/>
    <s v="OTHER"/>
    <m/>
    <m/>
    <n v="0"/>
    <x v="0"/>
    <x v="21"/>
    <n v="0"/>
    <s v="BAU"/>
  </r>
  <r>
    <s v="Onboarding Automation"/>
    <x v="194"/>
    <s v="RB Global - Digitalization"/>
    <s v="Demo site Front End"/>
    <s v="WLOC_MXP"/>
    <s v="XS"/>
    <n v="10"/>
    <s v="override"/>
    <s v="OK"/>
    <m/>
    <m/>
    <n v="10"/>
    <m/>
    <s v="P1"/>
    <n v="10"/>
    <s v="Sebastien Fantone"/>
    <s v="Product"/>
    <s v="ECOM"/>
    <m/>
    <m/>
    <n v="4.83"/>
    <x v="0"/>
    <x v="4"/>
    <n v="0"/>
    <s v="BAU"/>
  </r>
  <r>
    <s v="Online Acquirer Hub"/>
    <x v="195"/>
    <s v="Acquirer Hub"/>
    <s v="[Latam] Acquirer Hub - Sub1 5 connections migration"/>
    <s v="Acq Hub_1"/>
    <s v="XXXL"/>
    <n v="1200"/>
    <s v="override"/>
    <s v="OK"/>
    <n v="300"/>
    <n v="300"/>
    <n v="300"/>
    <n v="300"/>
    <s v="P1"/>
    <n v="1200"/>
    <s v="Teun Boer"/>
    <s v="Synergies"/>
    <s v="OCH"/>
    <m/>
    <m/>
    <n v="615.6"/>
    <x v="0"/>
    <x v="2"/>
    <s v="United"/>
    <s v="U&amp;MP"/>
  </r>
  <r>
    <s v="Open Banking"/>
    <x v="196"/>
    <s v="Open Banking A2A integration "/>
    <s v="Open Banking A2A integration "/>
    <s v="FS"/>
    <s v="S"/>
    <n v="75"/>
    <s v="auto"/>
    <s v="OK"/>
    <m/>
    <n v="75"/>
    <m/>
    <m/>
    <s v="P1"/>
    <n v="75"/>
    <s v="Stanley Macnack"/>
    <s v="Product"/>
    <s v="OTHER"/>
    <m/>
    <m/>
    <n v="37.5"/>
    <x v="0"/>
    <x v="6"/>
    <s v="Single Project"/>
    <s v="BAU"/>
  </r>
  <r>
    <s v="Open Banking"/>
    <x v="196"/>
    <s v="Open Banking phase 2 AISP/PISP"/>
    <m/>
    <s v="GC Global LPM"/>
    <s v="L"/>
    <n v="600"/>
    <s v="auto"/>
    <s v="OK"/>
    <n v="200"/>
    <n v="200"/>
    <n v="200"/>
    <m/>
    <s v="P1"/>
    <n v="600"/>
    <s v="Stanley Macnack"/>
    <s v="Product"/>
    <s v="ONLINE"/>
    <s v="Extend Geographical Footprint"/>
    <m/>
    <n v="307.8"/>
    <x v="0"/>
    <x v="5"/>
    <s v="Single Project"/>
    <s v="BAU"/>
  </r>
  <r>
    <s v="Open Banking"/>
    <x v="196"/>
    <s v="Open Banking phase 2 AISP/PISP"/>
    <m/>
    <s v="GC Supp1"/>
    <s v="S"/>
    <n v="120"/>
    <s v="auto"/>
    <s v="OK"/>
    <n v="20"/>
    <n v="40"/>
    <n v="60"/>
    <m/>
    <s v="P1"/>
    <n v="120"/>
    <s v="Stanley Macnack"/>
    <s v="Product"/>
    <s v="ONLINE"/>
    <s v="Extend Geographical Footprint"/>
    <m/>
    <n v="61.56"/>
    <x v="0"/>
    <x v="5"/>
    <s v="Single Project"/>
    <s v="BAU"/>
  </r>
  <r>
    <s v="Open Banking"/>
    <x v="196"/>
    <s v="Connect - Open Banking phase 2 AISP/PISP"/>
    <m/>
    <s v="Caradhas"/>
    <s v="S"/>
    <n v="140"/>
    <s v="auto"/>
    <s v="OK"/>
    <n v="10"/>
    <n v="60"/>
    <n v="70"/>
    <m/>
    <s v="P1"/>
    <n v="140"/>
    <s v="Stanley Macnack"/>
    <s v="Product"/>
    <s v="ONLINE"/>
    <s v="Extend Geographical Footprint"/>
    <m/>
    <n v="71.819999999999993"/>
    <x v="0"/>
    <x v="5"/>
    <s v="Single Project"/>
    <s v="BAU"/>
  </r>
  <r>
    <s v="Open Banking"/>
    <x v="196"/>
    <m/>
    <m/>
    <s v="Ops DC-I"/>
    <s v="XS"/>
    <n v="20"/>
    <s v="auto"/>
    <s v="OK"/>
    <n v="10"/>
    <n v="10"/>
    <m/>
    <m/>
    <s v="P1"/>
    <n v="20"/>
    <s v="Zlatko Bralic"/>
    <s v="Product"/>
    <s v="ONLINE"/>
    <m/>
    <m/>
    <n v="10"/>
    <x v="0"/>
    <x v="8"/>
    <s v="Single Project"/>
    <s v="BAU"/>
  </r>
  <r>
    <s v="Open Banking"/>
    <x v="196"/>
    <m/>
    <m/>
    <s v="Ops DC-R"/>
    <s v="M"/>
    <n v="100"/>
    <s v="auto"/>
    <s v="OK"/>
    <n v="30"/>
    <n v="30"/>
    <n v="20"/>
    <n v="20"/>
    <s v="P1"/>
    <n v="100"/>
    <s v="Zlatko Bralic"/>
    <s v="Product"/>
    <s v="ONLINE"/>
    <m/>
    <m/>
    <n v="50"/>
    <x v="0"/>
    <x v="8"/>
    <s v="Single Project"/>
    <s v="BAU"/>
  </r>
  <r>
    <s v="OPGSP (Prop2 and Prop3)"/>
    <x v="197"/>
    <m/>
    <m/>
    <s v="TechProcess"/>
    <s v="L"/>
    <n v="300"/>
    <s v="auto"/>
    <s v="OK"/>
    <n v="150"/>
    <n v="150"/>
    <n v="0"/>
    <n v="0"/>
    <s v="P2"/>
    <n v="300"/>
    <s v="Arvind Singh"/>
    <s v=" Product "/>
    <s v="ONLINE"/>
    <m/>
    <m/>
    <n v="153.9"/>
    <x v="0"/>
    <x v="9"/>
    <n v="0"/>
    <s v="BAU"/>
  </r>
  <r>
    <s v="PayGlobe new offer"/>
    <x v="198"/>
    <s v="Financial Institutions"/>
    <s v="MP White Labeling for PayGlobe"/>
    <s v="WLOC_MXP"/>
    <s v="M"/>
    <n v="100"/>
    <s v="auto"/>
    <s v="OK"/>
    <m/>
    <m/>
    <m/>
    <n v="100"/>
    <s v="P1"/>
    <n v="100"/>
    <s v="Sebastien Fantone"/>
    <s v="Product"/>
    <s v="ECOM"/>
    <m/>
    <m/>
    <n v="48.3"/>
    <x v="0"/>
    <x v="4"/>
    <n v="0"/>
    <s v="BAU"/>
  </r>
  <r>
    <s v="PayGlobe new offer"/>
    <x v="198"/>
    <s v="Financial Institutions"/>
    <s v="Ingenico Direct White Labeling for PayGlobe "/>
    <s v="WLOC_APM"/>
    <s v="S"/>
    <n v="70"/>
    <s v="override"/>
    <s v="OK"/>
    <m/>
    <m/>
    <m/>
    <n v="70"/>
    <s v="P1"/>
    <n v="70"/>
    <s v="Sebastien Fantone"/>
    <s v="Product"/>
    <s v="ECOM"/>
    <m/>
    <m/>
    <n v="33.81"/>
    <x v="0"/>
    <x v="4"/>
    <n v="0"/>
    <s v="BAU"/>
  </r>
  <r>
    <s v="Payment Orchestration Platform &amp; Experience"/>
    <x v="199"/>
    <m/>
    <m/>
    <s v="TechProcess"/>
    <s v="XXL"/>
    <n v="400"/>
    <s v="auto"/>
    <s v="OK"/>
    <n v="100"/>
    <n v="100"/>
    <n v="100"/>
    <n v="100"/>
    <s v="P2"/>
    <n v="400"/>
    <s v="Arvind Singh"/>
    <s v=" Product "/>
    <s v="ONLINE"/>
    <m/>
    <m/>
    <n v="205.2"/>
    <x v="0"/>
    <x v="9"/>
    <n v="0"/>
    <s v="BAU"/>
  </r>
  <r>
    <s v="Paytipper (New Whitelabel)"/>
    <x v="200"/>
    <s v="Financial Institutions"/>
    <s v="MP White Labeling for Paytipper"/>
    <s v="WLOC_MXP"/>
    <s v="M"/>
    <n v="100"/>
    <s v="auto"/>
    <s v="OK"/>
    <m/>
    <m/>
    <n v="100"/>
    <m/>
    <s v="P1"/>
    <n v="100"/>
    <s v="Sebastien Fantone"/>
    <s v="Product"/>
    <s v="ECOM"/>
    <m/>
    <m/>
    <n v="48.3"/>
    <x v="0"/>
    <x v="4"/>
    <n v="0"/>
    <s v="BAU"/>
  </r>
  <r>
    <s v="Paytipper (New Whitelabel)"/>
    <x v="200"/>
    <s v="Financial Institutions"/>
    <s v="Ingenico Direct White Labeling for Paytipper "/>
    <s v="WLOC_APM"/>
    <s v="S"/>
    <n v="70"/>
    <s v="override"/>
    <s v="OK"/>
    <m/>
    <m/>
    <m/>
    <n v="70"/>
    <s v="P1"/>
    <n v="70"/>
    <s v="Sebastien Fantone"/>
    <s v="Product"/>
    <s v="ECOM"/>
    <m/>
    <m/>
    <n v="33.81"/>
    <x v="0"/>
    <x v="4"/>
    <n v="0"/>
    <s v="BAU"/>
  </r>
  <r>
    <s v="PCI-DSS regulatory requirements"/>
    <x v="201"/>
    <s v="Compliance &amp; Regulatory"/>
    <s v="Audit Trail, 2FA (Factor Authentication"/>
    <s v="WLOC_MXP"/>
    <s v="M"/>
    <n v="100"/>
    <s v="auto"/>
    <s v="OK"/>
    <n v="100"/>
    <m/>
    <m/>
    <m/>
    <s v="P1"/>
    <n v="100"/>
    <s v="Sebastien Fantone"/>
    <s v="Product"/>
    <s v="ECOM"/>
    <s v="Regulation"/>
    <m/>
    <n v="48.3"/>
    <x v="0"/>
    <x v="4"/>
    <n v="0"/>
    <s v="BAU"/>
  </r>
  <r>
    <s v="Technical &amp; Functional Debt"/>
    <x v="12"/>
    <s v="Bucket for technical debt and rationalization "/>
    <m/>
    <s v="Cnx eCom VAS"/>
    <s v="S"/>
    <n v="50"/>
    <s v="auto"/>
    <s v="OK"/>
    <n v="14"/>
    <n v="12"/>
    <n v="12"/>
    <n v="12"/>
    <s v="P1"/>
    <n v="50"/>
    <s v="Jorge Tarlea"/>
    <s v="Tech. Debt"/>
    <s v="IN_STORE"/>
    <s v="Technical Leverage"/>
    <m/>
    <n v="25.65"/>
    <x v="0"/>
    <x v="18"/>
    <n v="0"/>
    <s v="BAU"/>
  </r>
  <r>
    <s v="Conexflow migration"/>
    <x v="8"/>
    <s v="Migration to the advanced environment"/>
    <s v="Remaining customers that will be migrated from legacy environment to the advance Conexflow one."/>
    <s v="Cnx non GW"/>
    <s v="M"/>
    <n v="100"/>
    <s v="auto"/>
    <s v="OK"/>
    <n v="50"/>
    <n v="50"/>
    <n v="0"/>
    <n v="0"/>
    <s v="P1"/>
    <n v="100"/>
    <s v="Jorge Tarlea"/>
    <s v="Tech. Debt"/>
    <s v="IN_STORE"/>
    <s v="Technical Leverage"/>
    <s v="Customers whose migration plan will be ended after 2021: PARADORES DE TURISMO DE ESPAÑA, BALEARIA EUROLINEAS, COMPUDATA, JUAN FORNES FORNES...."/>
    <n v="51.3"/>
    <x v="0"/>
    <x v="22"/>
    <n v="0"/>
    <s v="BAU"/>
  </r>
  <r>
    <s v="Evolutions for El Corte Inglés (ECI)"/>
    <x v="202"/>
    <s v="Signature capture on iSC350"/>
    <s v="To use the iSC350 as a digitalisation signature device (not related to the payment)"/>
    <s v="Cnx non GW"/>
    <s v="S"/>
    <n v="50"/>
    <s v="auto"/>
    <s v="OK"/>
    <n v="25"/>
    <n v="25"/>
    <m/>
    <m/>
    <s v="P1"/>
    <n v="50"/>
    <s v="Jorge Tarlea"/>
    <s v="Product"/>
    <s v="IN_STORE"/>
    <s v="Simplify Experience"/>
    <s v="CSACT-9636"/>
    <n v="25.65"/>
    <x v="0"/>
    <x v="22"/>
    <n v="0"/>
    <s v="BAU"/>
  </r>
  <r>
    <s v="Evolutions for El Corte Inglés (ECI)"/>
    <x v="202"/>
    <s v="Sephora project"/>
    <s v="Support for Evolve (includes removing connection with Conexflow in-house from Sephora)"/>
    <s v="Cnx non GW"/>
    <s v="L"/>
    <n v="200"/>
    <s v="auto"/>
    <s v="OK"/>
    <n v="50"/>
    <n v="50"/>
    <n v="50"/>
    <n v="50"/>
    <s v="P1"/>
    <n v="200"/>
    <s v="Jorge Tarlea"/>
    <s v="Product"/>
    <s v="IN_STORE"/>
    <s v="Support Customers' Projects"/>
    <m/>
    <n v="102.6"/>
    <x v="0"/>
    <x v="22"/>
    <n v="0"/>
    <s v="BAU"/>
  </r>
  <r>
    <s v="Evolutions for El Corte Inglés (ECI)"/>
    <x v="202"/>
    <s v="CUP/UPI Cards Standarization"/>
    <m/>
    <s v="Cnx non GW"/>
    <s v="XS"/>
    <n v="20"/>
    <s v="auto"/>
    <s v="OK"/>
    <m/>
    <m/>
    <n v="20"/>
    <m/>
    <s v="P1"/>
    <n v="20"/>
    <s v="Jorge Tarlea"/>
    <s v="Product"/>
    <s v="IN_STORE"/>
    <s v="Regulation"/>
    <s v="CSACT-2618"/>
    <n v="10.26"/>
    <x v="0"/>
    <x v="22"/>
    <n v="0"/>
    <s v="BAU"/>
  </r>
  <r>
    <s v="Evolutions for El Corte Inglés (ECI)"/>
    <x v="202"/>
    <s v="Android terminals (EX8000)"/>
    <m/>
    <s v="Cnx non GW"/>
    <s v="XXXL"/>
    <n v="1500"/>
    <s v="auto"/>
    <s v="OK"/>
    <n v="400"/>
    <n v="400"/>
    <n v="400"/>
    <n v="300"/>
    <s v="P4"/>
    <n v="1500"/>
    <s v="Jorge Tarlea"/>
    <s v="Product"/>
    <s v="IN_STORE"/>
    <s v="Simplify Experience"/>
    <m/>
    <n v="769.5"/>
    <x v="1"/>
    <x v="22"/>
    <n v="0"/>
    <s v="BAU"/>
  </r>
  <r>
    <s v="Evolutions for El Corte Inglés (ECI)"/>
    <x v="202"/>
    <s v="Lane/7000 Portugal"/>
    <m/>
    <s v="Cnx non GW"/>
    <s v="M"/>
    <n v="80"/>
    <s v="auto"/>
    <s v="OK"/>
    <n v="40"/>
    <n v="40"/>
    <m/>
    <m/>
    <s v="P1"/>
    <n v="80"/>
    <s v="Jorge Tarlea"/>
    <s v="Product"/>
    <s v="IN_STORE"/>
    <s v="Extend Geographical Footprint"/>
    <s v="CSACT-4725"/>
    <n v="41.04"/>
    <x v="0"/>
    <x v="22"/>
    <n v="0"/>
    <s v="BAU"/>
  </r>
  <r>
    <s v="Evolutions for El Corte Inglés (ECI)"/>
    <x v="202"/>
    <s v="Migration to Linux POS"/>
    <m/>
    <s v="Cnx non GW"/>
    <s v="XXL"/>
    <n v="600"/>
    <s v="auto"/>
    <s v="OK"/>
    <m/>
    <n v="200"/>
    <n v="200"/>
    <n v="200"/>
    <s v="P3"/>
    <n v="600"/>
    <s v="Jorge Tarlea"/>
    <s v="Product"/>
    <s v="IN_STORE"/>
    <s v="Support Customers' Projects"/>
    <m/>
    <n v="307.8"/>
    <x v="1"/>
    <x v="22"/>
    <n v="0"/>
    <s v="BAU"/>
  </r>
  <r>
    <s v="Evolutions for El Corte Inglés (ECI)"/>
    <x v="202"/>
    <s v="Bucket for additional ECI evolutions"/>
    <m/>
    <s v="Cnx non GW"/>
    <s v="M"/>
    <n v="100"/>
    <s v="auto"/>
    <s v="OK"/>
    <n v="25"/>
    <n v="25"/>
    <n v="25"/>
    <n v="25"/>
    <s v="P1"/>
    <n v="100"/>
    <s v="Jorge Tarlea"/>
    <s v="Product"/>
    <s v="IN_STORE"/>
    <s v="Support Customers' Projects"/>
    <m/>
    <n v="51.3"/>
    <x v="0"/>
    <x v="22"/>
    <n v="0"/>
    <s v="BAU"/>
  </r>
  <r>
    <s v="New regulations on Conexflow"/>
    <x v="184"/>
    <s v="Bucket for new regulations"/>
    <s v="PCI PTS EOL, schemes regulations…"/>
    <s v="Cnx non GW"/>
    <s v="S"/>
    <n v="50"/>
    <s v="auto"/>
    <s v="OK"/>
    <n v="14"/>
    <n v="12"/>
    <n v="12"/>
    <n v="12"/>
    <s v="P1"/>
    <n v="50"/>
    <s v="Jorge Tarlea"/>
    <s v="Product"/>
    <s v="IN_STORE"/>
    <s v="Regulation"/>
    <m/>
    <n v="25.65"/>
    <x v="0"/>
    <x v="22"/>
    <n v="0"/>
    <s v="BAU"/>
  </r>
  <r>
    <s v="New regulations on Conexflow"/>
    <x v="184"/>
    <s v="8-digit BIN/IIN support for international schemes"/>
    <s v="In-store part. Server side + per-client PED software (in some cases). 30 customers considered (those that are live in Cnx Advance on Apr'22)"/>
    <s v="Cnx non GW"/>
    <s v="L"/>
    <n v="200"/>
    <s v="auto"/>
    <s v="OK"/>
    <n v="100"/>
    <n v="100"/>
    <m/>
    <m/>
    <s v="P1"/>
    <n v="200"/>
    <s v="Jorge Tarlea"/>
    <s v="Product"/>
    <s v="IN_STORE"/>
    <s v="Regulation"/>
    <s v="CSACT-9066"/>
    <n v="102.6"/>
    <x v="0"/>
    <x v="22"/>
    <n v="0"/>
    <s v="BAU"/>
  </r>
  <r>
    <s v="RUN Conexflow + CSACT"/>
    <x v="186"/>
    <s v="RUN and support activities for Conexflow"/>
    <s v="30% of the capacity of this team is dedicated to BAU activities and maintenance, as opposite to CSACT which it has its own dedicated BAU team"/>
    <s v="Cnx non GW"/>
    <s v="XXXL"/>
    <n v="700"/>
    <s v="auto"/>
    <s v="OK"/>
    <n v="175"/>
    <n v="175"/>
    <n v="175"/>
    <n v="175"/>
    <s v="P1"/>
    <n v="700"/>
    <s v="Jorge Tarlea"/>
    <s v="Maintenance &amp; Incidents"/>
    <s v="IN_STORE"/>
    <m/>
    <s v="Based on 30% of the total capacity (this was a given by Mohamed Lachguer)"/>
    <n v="359.1"/>
    <x v="0"/>
    <x v="22"/>
    <s v="Run"/>
    <s v="RUN"/>
  </r>
  <r>
    <s v="CSACT evolutions for TSS customers"/>
    <x v="203"/>
    <s v="Bucket 1 for evolutions for Comercia, Santander and other TSS customers"/>
    <s v="Carried out by the dedicated TSS squad"/>
    <s v="CSACT B&amp;A"/>
    <s v="XXL"/>
    <n v="400"/>
    <s v="auto"/>
    <s v="OK"/>
    <n v="100"/>
    <n v="100"/>
    <n v="100"/>
    <n v="100"/>
    <s v="P1"/>
    <n v="400"/>
    <s v="Jorge Tarlea"/>
    <m/>
    <s v="IN_STORE"/>
    <s v="Regulation"/>
    <m/>
    <n v="205.2"/>
    <x v="0"/>
    <x v="18"/>
    <n v="0"/>
    <s v="BAU"/>
  </r>
  <r>
    <s v="CSACT evolutions for TSS customers"/>
    <x v="203"/>
    <s v="Bucket 2 for evolutions for Comercia, Santander and other TSS customers"/>
    <s v="Carried out by the dedicated TSS squad"/>
    <s v="CSACT B&amp;A"/>
    <s v="XXL"/>
    <n v="319"/>
    <s v="auto"/>
    <s v="OK"/>
    <n v="75"/>
    <n v="75"/>
    <n v="75"/>
    <n v="94"/>
    <s v="P1"/>
    <n v="319"/>
    <s v="Jorge Tarlea"/>
    <m/>
    <s v="IN_STORE"/>
    <m/>
    <m/>
    <n v="163.64699999999999"/>
    <x v="0"/>
    <x v="18"/>
    <n v="0"/>
    <s v="BAU"/>
  </r>
  <r>
    <s v="Android for CSACT"/>
    <x v="204"/>
    <s v="H24 porting to Android"/>
    <m/>
    <s v="CSACT BO"/>
    <s v="XS"/>
    <n v="20"/>
    <s v="auto"/>
    <s v="OK"/>
    <m/>
    <m/>
    <m/>
    <n v="20"/>
    <s v="P1"/>
    <n v="20"/>
    <s v="Ismael Jaafar"/>
    <s v="Product"/>
    <s v="IN_STORE"/>
    <m/>
    <m/>
    <n v="10.26"/>
    <x v="0"/>
    <x v="18"/>
    <n v="0"/>
    <s v="BAU"/>
  </r>
  <r>
    <s v="BP project on CSACT"/>
    <x v="205"/>
    <s v="[2021's target (i.e. tetra migration)] BP: new Diebold solution or Tetra migration"/>
    <s v="Reporting and billing"/>
    <s v="CSACT BO"/>
    <s v="S"/>
    <n v="50"/>
    <s v="auto"/>
    <s v="OK"/>
    <n v="20"/>
    <n v="30"/>
    <m/>
    <m/>
    <s v="P1"/>
    <n v="50"/>
    <s v="Ismael Jaafar"/>
    <s v="Product"/>
    <s v="IN_STORE"/>
    <m/>
    <m/>
    <n v="25.65"/>
    <x v="0"/>
    <x v="18"/>
    <n v="0"/>
    <s v="BAU"/>
  </r>
  <r>
    <s v="CEPSA project on CSACT"/>
    <x v="206"/>
    <s v="Cepsa: Bucket for devs reports and billing"/>
    <m/>
    <s v="CSACT BO"/>
    <s v="S"/>
    <n v="50"/>
    <s v="auto"/>
    <s v="OK"/>
    <m/>
    <n v="25"/>
    <n v="25"/>
    <m/>
    <s v="P1"/>
    <n v="50"/>
    <s v="Ismael Jaafar"/>
    <s v="Product"/>
    <s v="IN_STORE"/>
    <m/>
    <m/>
    <n v="25.65"/>
    <x v="0"/>
    <x v="18"/>
    <n v="0"/>
    <s v="BAU"/>
  </r>
  <r>
    <s v="Conexflow migration"/>
    <x v="8"/>
    <s v="Contingency for Conexflow migration"/>
    <s v="Unexpected works on Stratus/AS400 (change request, unidentifed gaps, new keep customers)"/>
    <s v="CSACT BO"/>
    <s v="XS"/>
    <n v="20"/>
    <s v="auto"/>
    <s v="OK"/>
    <n v="5"/>
    <n v="5"/>
    <n v="5"/>
    <n v="5"/>
    <s v="P1"/>
    <n v="20"/>
    <s v="Jorge Tarlea"/>
    <s v="Tech. Debt"/>
    <s v="IN_STORE"/>
    <s v="Technical Leverage"/>
    <m/>
    <n v="10.26"/>
    <x v="0"/>
    <x v="18"/>
    <n v="0"/>
    <s v="BAU"/>
  </r>
  <r>
    <s v="Conexflow migration"/>
    <x v="8"/>
    <s v="[2021's target] Euroshell card acceptance (CSACT-836)(CSACT-1093)"/>
    <s v="Euroshell (AS400/Stratus)"/>
    <s v="CSACT BO"/>
    <s v="XS"/>
    <n v="20"/>
    <s v="auto"/>
    <s v="OK"/>
    <n v="5"/>
    <n v="5"/>
    <n v="5"/>
    <n v="5"/>
    <s v="P1"/>
    <n v="20"/>
    <s v="Ismael Jaafar"/>
    <s v="Tech. Debt"/>
    <s v="IN_STORE"/>
    <s v="Technical Leverage"/>
    <m/>
    <n v="10.26"/>
    <x v="0"/>
    <x v="18"/>
    <n v="0"/>
    <s v="BAU"/>
  </r>
  <r>
    <s v="Conexflow migration"/>
    <x v="8"/>
    <s v="[2021's target] Club Smart for DISA migration (CSACT-4410)"/>
    <s v="ClubSmart (AS400/Stratus)"/>
    <s v="CSACT BO"/>
    <s v="S"/>
    <n v="50"/>
    <s v="auto"/>
    <s v="OK"/>
    <m/>
    <n v="15"/>
    <n v="15"/>
    <n v="20"/>
    <s v="P1"/>
    <n v="50"/>
    <s v="Ismael Jaafar"/>
    <s v="Tech. Debt"/>
    <s v="IN_STORE"/>
    <s v="Technical Leverage"/>
    <m/>
    <n v="25.65"/>
    <x v="0"/>
    <x v="18"/>
    <n v="0"/>
    <s v="BAU"/>
  </r>
  <r>
    <s v="CSACT – Acquirer Hub connection"/>
    <x v="207"/>
    <s v="Acquirer HUB connection --&gt; Worldline RED connection"/>
    <m/>
    <s v="CSACT BO"/>
    <s v="XS"/>
    <n v="20"/>
    <s v="auto"/>
    <s v="OK"/>
    <m/>
    <m/>
    <m/>
    <n v="20"/>
    <s v="P3"/>
    <n v="20"/>
    <s v="Ismael Jaafar"/>
    <s v="Product"/>
    <s v="IN_STORE"/>
    <m/>
    <s v="Target is to get it in 2023"/>
    <n v="10.26"/>
    <x v="1"/>
    <x v="18"/>
    <n v="0"/>
    <s v="BAU"/>
  </r>
  <r>
    <s v="CSACT Migration to Global Infra"/>
    <x v="208"/>
    <s v="GI migration (AS400&amp;Stratus)"/>
    <m/>
    <s v="CSACT BO"/>
    <s v="S"/>
    <n v="50"/>
    <s v="auto"/>
    <s v="OK"/>
    <n v="25"/>
    <n v="25"/>
    <n v="0"/>
    <m/>
    <s v="P1"/>
    <n v="50"/>
    <s v="Ismael Jaafar"/>
    <s v="Product"/>
    <s v="IN_STORE"/>
    <m/>
    <m/>
    <n v="25.65"/>
    <x v="0"/>
    <x v="18"/>
    <n v="0"/>
    <s v="BAU"/>
  </r>
  <r>
    <s v="CSACT Technical debt / Rationalization"/>
    <x v="100"/>
    <s v="Bucket for AS400&amp;Stratus"/>
    <s v="Technical debt, documentation, financial improvements demands…"/>
    <s v="CSACT BO"/>
    <s v="M"/>
    <n v="100"/>
    <s v="auto"/>
    <s v="OK"/>
    <n v="25"/>
    <n v="25"/>
    <n v="25"/>
    <n v="25"/>
    <s v="P1"/>
    <n v="100"/>
    <s v="Ismael Jaafar"/>
    <s v="Product"/>
    <s v="IN_STORE"/>
    <m/>
    <m/>
    <n v="51.3"/>
    <x v="0"/>
    <x v="18"/>
    <n v="0"/>
    <s v="BAU"/>
  </r>
  <r>
    <s v="CSACT Technical debt / Rationalization"/>
    <x v="100"/>
    <s v="CSACT continuous integration"/>
    <s v="Putting tool &amp; process in place"/>
    <s v="CSACT BO"/>
    <s v="XS"/>
    <n v="20"/>
    <s v="auto"/>
    <s v="OK"/>
    <n v="5"/>
    <n v="5"/>
    <n v="10"/>
    <m/>
    <s v="P1"/>
    <n v="20"/>
    <s v="Ismael Jaafar"/>
    <s v="Product"/>
    <s v="IN_STORE"/>
    <m/>
    <m/>
    <n v="10.26"/>
    <x v="0"/>
    <x v="18"/>
    <n v="0"/>
    <s v="BAU"/>
  </r>
  <r>
    <s v="CSACT Technical debt / Rationalization"/>
    <x v="100"/>
    <s v="Standardise terminal parameters tables &amp; parameterisation of all configurations (files, etc)"/>
    <m/>
    <s v="CSACT BO"/>
    <s v="L"/>
    <n v="200"/>
    <s v="auto"/>
    <s v="OK"/>
    <m/>
    <n v="50"/>
    <n v="50"/>
    <n v="100"/>
    <s v="P3"/>
    <n v="200"/>
    <s v="Ismael Jaafar"/>
    <s v="Product"/>
    <s v="IN_STORE"/>
    <m/>
    <m/>
    <n v="102.6"/>
    <x v="1"/>
    <x v="18"/>
    <n v="0"/>
    <s v="BAU"/>
  </r>
  <r>
    <s v="CSACT Technical debt / Rationalization"/>
    <x v="100"/>
    <s v="[Roadmap] [GITEC] Billing process automatization"/>
    <m/>
    <s v="CSACT BO"/>
    <s v="XS"/>
    <n v="20"/>
    <s v="auto"/>
    <s v="OK"/>
    <m/>
    <n v="10"/>
    <n v="10"/>
    <m/>
    <s v="P3"/>
    <n v="20"/>
    <s v="Ismael Jaafar"/>
    <s v="Product"/>
    <s v="IN_STORE"/>
    <m/>
    <m/>
    <n v="10.26"/>
    <x v="1"/>
    <x v="18"/>
    <n v="0"/>
    <s v="BAU"/>
  </r>
  <r>
    <s v="Petrol / CSACT evolutions for mid-customers"/>
    <x v="209"/>
    <s v="[Forax] TEM Forax card acceptance petrol"/>
    <m/>
    <s v="Petrol"/>
    <s v="S"/>
    <n v="50"/>
    <s v="auto"/>
    <s v="OK"/>
    <m/>
    <n v="25"/>
    <n v="25"/>
    <m/>
    <s v="P1"/>
    <n v="50"/>
    <s v="Ismael Jaafar"/>
    <s v="Product"/>
    <s v="IN_STORE"/>
    <m/>
    <m/>
    <n v="25.65"/>
    <x v="0"/>
    <x v="18"/>
    <n v="0"/>
    <s v="BAU"/>
  </r>
  <r>
    <s v="Petrol / CSACT evolutions for mid-customers"/>
    <x v="209"/>
    <s v="[Forax] TEM Forax card acceptance reports and billing"/>
    <m/>
    <s v="CSACT BO"/>
    <s v="XS"/>
    <n v="20"/>
    <s v="auto"/>
    <s v="OK"/>
    <m/>
    <m/>
    <n v="20"/>
    <m/>
    <s v="P1"/>
    <n v="20"/>
    <s v="Ismael Jaafar"/>
    <s v="Product"/>
    <s v="IN_STORE"/>
    <m/>
    <m/>
    <n v="10.26"/>
    <x v="0"/>
    <x v="18"/>
    <n v="0"/>
    <s v="BAU"/>
  </r>
  <r>
    <s v="Galp project on CSACT"/>
    <x v="210"/>
    <s v="Galp: Bucket for devs reports and billing"/>
    <m/>
    <s v="CSACT BO"/>
    <s v="S"/>
    <n v="50"/>
    <s v="auto"/>
    <s v="OK"/>
    <m/>
    <n v="25"/>
    <m/>
    <n v="25"/>
    <s v="P1"/>
    <n v="50"/>
    <s v="Ismael Jaafar"/>
    <s v="Product"/>
    <s v="IN_STORE"/>
    <m/>
    <m/>
    <n v="25.65"/>
    <x v="0"/>
    <x v="18"/>
    <n v="0"/>
    <s v="BAU"/>
  </r>
  <r>
    <s v="Galp project on CSACT"/>
    <x v="210"/>
    <s v="[2021's target] Galp: Caser loyalty program reports and billing"/>
    <m/>
    <s v="CSACT BO"/>
    <s v="XS"/>
    <n v="20"/>
    <s v="auto"/>
    <s v="OK"/>
    <m/>
    <n v="20"/>
    <m/>
    <m/>
    <s v="P1"/>
    <n v="20"/>
    <s v="Ismael Jaafar"/>
    <s v="Product"/>
    <s v="IN_STORE"/>
    <m/>
    <m/>
    <n v="10.26"/>
    <x v="0"/>
    <x v="18"/>
    <n v="0"/>
    <s v="BAU"/>
  </r>
  <r>
    <s v="Galp project on CSACT"/>
    <x v="210"/>
    <s v="[2021's target] Galp: WS for prepaid cards reports and billing"/>
    <m/>
    <s v="CSACT BO"/>
    <s v="XS"/>
    <n v="20"/>
    <s v="auto"/>
    <s v="OK"/>
    <n v="10"/>
    <n v="10"/>
    <m/>
    <m/>
    <s v="P1"/>
    <n v="20"/>
    <s v="Ismael Jaafar"/>
    <s v="Product"/>
    <s v="IN_STORE"/>
    <m/>
    <m/>
    <n v="10.26"/>
    <x v="0"/>
    <x v="18"/>
    <n v="0"/>
    <s v="BAU"/>
  </r>
  <r>
    <s v="New regulations on CSACT"/>
    <x v="211"/>
    <s v="New energy protocol adaptations"/>
    <s v="Related to EV Charging"/>
    <s v="CSACT BO"/>
    <s v="S"/>
    <n v="50"/>
    <s v="auto"/>
    <s v="OK"/>
    <n v="10"/>
    <n v="15"/>
    <n v="15"/>
    <n v="10"/>
    <s v="P1"/>
    <n v="50"/>
    <s v="Ismael Jaafar"/>
    <s v="Product"/>
    <s v="IN_STORE"/>
    <m/>
    <m/>
    <n v="25.65"/>
    <x v="0"/>
    <x v="18"/>
    <n v="0"/>
    <s v="BAU"/>
  </r>
  <r>
    <s v="New regulations on CSACT"/>
    <x v="211"/>
    <s v="[2021's target] 8-digit BIN/IIN support for international schemes"/>
    <s v="Changes on AS400/Stratus"/>
    <s v="CSACT BO"/>
    <s v="M"/>
    <n v="100"/>
    <s v="auto"/>
    <s v="OK"/>
    <n v="30"/>
    <n v="35"/>
    <n v="35"/>
    <m/>
    <s v="P1"/>
    <n v="100"/>
    <s v="Ismael Jaafar"/>
    <s v="Product"/>
    <s v="IN_STORE"/>
    <m/>
    <m/>
    <n v="51.3"/>
    <x v="0"/>
    <x v="18"/>
    <n v="0"/>
    <s v="BAU"/>
  </r>
  <r>
    <s v="Petrol / Acceptance of new international issuers on CSACT"/>
    <x v="212"/>
    <s v="Bucket for devs (AS400&amp;Stratus)"/>
    <s v="New customers requests"/>
    <s v="CSACT BO"/>
    <s v="M"/>
    <n v="100"/>
    <s v="auto"/>
    <s v="OK"/>
    <m/>
    <n v="30"/>
    <n v="30"/>
    <n v="40"/>
    <s v="P1"/>
    <n v="100"/>
    <s v="Ismael Jaafar"/>
    <s v="Product"/>
    <s v="IN_STORE"/>
    <m/>
    <m/>
    <n v="51.3"/>
    <x v="0"/>
    <x v="18"/>
    <n v="0"/>
    <s v="BAU"/>
  </r>
  <r>
    <s v="Petrol / Acceptance of new international issuers on CSACT"/>
    <x v="212"/>
    <s v="[2021's target] Diesel 24 card acceptance"/>
    <m/>
    <s v="CSACT BO"/>
    <s v="XS"/>
    <n v="20"/>
    <s v="auto"/>
    <s v="OK"/>
    <m/>
    <m/>
    <m/>
    <n v="20"/>
    <s v="P4"/>
    <n v="20"/>
    <s v="Ismael Jaafar"/>
    <s v="Product"/>
    <s v="IN_STORE"/>
    <m/>
    <s v="Confirmed by Tomas F. (210903) --&gt; to remove"/>
    <n v="10.26"/>
    <x v="1"/>
    <x v="18"/>
    <n v="0"/>
    <s v="BAU"/>
  </r>
  <r>
    <s v="Petrol / Acceptance of new international issuers on CSACT"/>
    <x v="212"/>
    <s v="[2021's target] Intrapresa cards acceptance"/>
    <m/>
    <s v="CSACT BO"/>
    <s v="XS"/>
    <n v="20"/>
    <s v="auto"/>
    <s v="OK"/>
    <m/>
    <m/>
    <m/>
    <n v="20"/>
    <s v="P4"/>
    <n v="20"/>
    <s v="Ismael Jaafar"/>
    <s v="Product"/>
    <s v="IN_STORE"/>
    <m/>
    <s v="Confirmed by Tomas F. (210903) --&gt; to remove"/>
    <n v="10.26"/>
    <x v="1"/>
    <x v="18"/>
    <n v="0"/>
    <s v="BAU"/>
  </r>
  <r>
    <s v="Petrol / CSACT evolutions for mid-customers"/>
    <x v="209"/>
    <s v="[Efibat] Reporting and Billing"/>
    <s v="EV Charging"/>
    <s v="CSACT BO"/>
    <s v="XS"/>
    <n v="20"/>
    <s v="auto"/>
    <s v="OK"/>
    <m/>
    <n v="20"/>
    <m/>
    <m/>
    <s v="P1"/>
    <n v="20"/>
    <s v="Ismael Jaafar"/>
    <s v="Product"/>
    <s v="IN_STORE"/>
    <m/>
    <m/>
    <n v="10.26"/>
    <x v="0"/>
    <x v="18"/>
    <n v="0"/>
    <s v="BAU"/>
  </r>
  <r>
    <s v="Petrol / CSACT evolutions for mid-customers"/>
    <x v="209"/>
    <s v="Offline for fuel cards"/>
    <m/>
    <s v="CSACT BO"/>
    <s v="S"/>
    <n v="50"/>
    <s v="auto"/>
    <s v="OK"/>
    <m/>
    <m/>
    <n v="25"/>
    <n v="25"/>
    <s v="P3"/>
    <n v="50"/>
    <s v="Ismael Jaafar"/>
    <s v="Product"/>
    <s v="IN_STORE"/>
    <m/>
    <m/>
    <n v="25.65"/>
    <x v="1"/>
    <x v="18"/>
    <n v="0"/>
    <s v="BAU"/>
  </r>
  <r>
    <s v="Petrol / CSACT evolutions for mid-customers"/>
    <x v="209"/>
    <s v="IFSF POS TO FEP protocol implementation"/>
    <m/>
    <s v="CSACT BO"/>
    <s v="XS"/>
    <n v="20"/>
    <s v="auto"/>
    <s v="OK"/>
    <m/>
    <m/>
    <n v="10"/>
    <n v="10"/>
    <s v="P3"/>
    <n v="20"/>
    <s v="Ismael Jaafar"/>
    <s v="Product"/>
    <s v="IN_STORE"/>
    <m/>
    <s v="Wait for Tomas feedback (discussion with Mirko)"/>
    <n v="10.26"/>
    <x v="1"/>
    <x v="18"/>
    <n v="0"/>
    <s v="BAU"/>
  </r>
  <r>
    <s v="Petrol / CSACT evolutions for mid-customers"/>
    <x v="209"/>
    <s v="[2021's target]  H24/CSACT - Offline processing [Phase 2]"/>
    <m/>
    <s v="CSACT BO"/>
    <s v="XS"/>
    <n v="20"/>
    <s v="auto"/>
    <s v="OK"/>
    <m/>
    <m/>
    <m/>
    <n v="20"/>
    <s v="P3"/>
    <n v="20"/>
    <s v="Ismael Jaafar"/>
    <s v="Product"/>
    <s v="IN_STORE"/>
    <m/>
    <m/>
    <n v="10.26"/>
    <x v="1"/>
    <x v="18"/>
    <n v="0"/>
    <s v="BAU"/>
  </r>
  <r>
    <s v="Petrol / CSACT evolutions for mid-customers"/>
    <x v="209"/>
    <s v="MS Pricing &amp; Revenue analytics - CSACT data integration"/>
    <m/>
    <s v="CSACT BO"/>
    <s v="L"/>
    <n v="200"/>
    <s v="auto"/>
    <s v="OK"/>
    <n v="100"/>
    <n v="100"/>
    <m/>
    <m/>
    <s v="P3"/>
    <n v="200"/>
    <s v="Ismael Jaafar"/>
    <s v="Product"/>
    <s v="IN_STORE"/>
    <m/>
    <m/>
    <n v="102.6"/>
    <x v="1"/>
    <x v="18"/>
    <n v="0"/>
    <s v="BAU"/>
  </r>
  <r>
    <s v="Petrol / CSACT evolutions for mid-customers"/>
    <x v="209"/>
    <s v="JCB support in H24/CSACT through Redsys"/>
    <m/>
    <s v="CSACT BO"/>
    <s v="XS"/>
    <n v="20"/>
    <s v="auto"/>
    <s v="OK"/>
    <m/>
    <m/>
    <n v="10"/>
    <n v="10"/>
    <s v="P3"/>
    <n v="20"/>
    <s v="Ismael Jaafar"/>
    <s v="Product"/>
    <s v="IN_STORE"/>
    <m/>
    <m/>
    <n v="10.26"/>
    <x v="1"/>
    <x v="18"/>
    <n v="0"/>
    <s v="BAU"/>
  </r>
  <r>
    <s v="Petrol / CSACT evolutions for mid-customers"/>
    <x v="209"/>
    <s v="[Roadmap] PinOn Multibox Routing-based Look-up (Yellow)"/>
    <m/>
    <s v="CSACT BO"/>
    <s v="S"/>
    <n v="50"/>
    <s v="auto"/>
    <s v="OK"/>
    <m/>
    <m/>
    <n v="20"/>
    <n v="30"/>
    <s v="P3"/>
    <n v="50"/>
    <s v="Ismael Jaafar"/>
    <s v="Product"/>
    <s v="IN_STORE"/>
    <m/>
    <s v="Redsys + CECA at the same time"/>
    <n v="25.65"/>
    <x v="1"/>
    <x v="18"/>
    <n v="0"/>
    <s v="BAU"/>
  </r>
  <r>
    <s v="Petrol / CSACT evolutions for mid-customers"/>
    <x v="209"/>
    <s v="Bip&amp;Drive: Bucket for solutions reporting and billing"/>
    <m/>
    <s v="CSACT BO"/>
    <s v="XS"/>
    <n v="20"/>
    <s v="auto"/>
    <s v="OK"/>
    <m/>
    <m/>
    <m/>
    <n v="20"/>
    <s v="P1"/>
    <n v="20"/>
    <s v="Ismael Jaafar"/>
    <s v="Product"/>
    <s v="IN_STORE"/>
    <m/>
    <m/>
    <n v="10.26"/>
    <x v="0"/>
    <x v="18"/>
    <n v="0"/>
    <s v="BAU"/>
  </r>
  <r>
    <s v="Petrol / CSACT evolutions for mid-customers"/>
    <x v="209"/>
    <s v="Bip&amp;Drive: Pay@Pump reports and billing"/>
    <m/>
    <s v="CSACT BO"/>
    <s v="XS"/>
    <n v="20"/>
    <s v="auto"/>
    <s v="OK"/>
    <m/>
    <m/>
    <n v="20"/>
    <m/>
    <s v="P1"/>
    <n v="20"/>
    <s v="Ismael Jaafar"/>
    <s v="Product"/>
    <s v="IN_STORE"/>
    <m/>
    <m/>
    <n v="10.26"/>
    <x v="0"/>
    <x v="18"/>
    <n v="0"/>
    <s v="BAU"/>
  </r>
  <r>
    <s v="Petrol / CSACT evolutions for mid-customers"/>
    <x v="209"/>
    <s v="Products management: Multilanguage improvement"/>
    <m/>
    <s v="CSACT BO"/>
    <s v="XS"/>
    <n v="20"/>
    <s v="auto"/>
    <s v="OK"/>
    <m/>
    <n v="10"/>
    <n v="10"/>
    <m/>
    <s v="P1"/>
    <n v="20"/>
    <s v="Ismael Jaafar"/>
    <s v="Product"/>
    <s v="IN_STORE"/>
    <m/>
    <s v="Minimum is to support Portuguese (CEPSA / Hybrid sol…)"/>
    <n v="10.26"/>
    <x v="0"/>
    <x v="18"/>
    <n v="0"/>
    <s v="BAU"/>
  </r>
  <r>
    <s v="Petrol / CSACT evolutions for mid-customers"/>
    <x v="209"/>
    <s v="Istobal UK (car wash)"/>
    <m/>
    <s v="CSACT BO"/>
    <s v="XS"/>
    <n v="20"/>
    <s v="auto"/>
    <s v="OK"/>
    <n v="20"/>
    <m/>
    <m/>
    <m/>
    <s v="P1"/>
    <n v="20"/>
    <s v="Ismael Jaafar"/>
    <s v="Product"/>
    <s v="IN_STORE"/>
    <m/>
    <m/>
    <n v="10.26"/>
    <x v="0"/>
    <x v="18"/>
    <n v="0"/>
    <s v="BAU"/>
  </r>
  <r>
    <s v="Petrol / CSACT evolutions for mid-customers"/>
    <x v="209"/>
    <s v="DISA: Bucket for devs reports and billing"/>
    <m/>
    <s v="CSACT BO"/>
    <s v="XS"/>
    <n v="25"/>
    <s v="override"/>
    <s v="OK"/>
    <m/>
    <m/>
    <n v="15"/>
    <n v="10"/>
    <s v="P1"/>
    <n v="25"/>
    <s v="Ismael Jaafar"/>
    <s v="Product"/>
    <s v="IN_STORE"/>
    <m/>
    <m/>
    <n v="12.824999999999999"/>
    <x v="0"/>
    <x v="18"/>
    <n v="0"/>
    <s v="BAU"/>
  </r>
  <r>
    <s v="Petrol / CSACT evolutions for mid-customers"/>
    <x v="209"/>
    <s v="Q8: Bucket for devs reports and billing"/>
    <m/>
    <s v="CSACT BO"/>
    <s v="XS"/>
    <n v="20"/>
    <s v="auto"/>
    <s v="OK"/>
    <m/>
    <m/>
    <n v="10"/>
    <n v="10"/>
    <s v="P1"/>
    <n v="20"/>
    <s v="Ismael Jaafar"/>
    <s v="Product"/>
    <s v="IN_STORE"/>
    <m/>
    <m/>
    <n v="10.26"/>
    <x v="0"/>
    <x v="18"/>
    <n v="0"/>
    <s v="BAU"/>
  </r>
  <r>
    <s v="Petrol / CSACT evolutions for mid-customers"/>
    <x v="209"/>
    <s v="Q8: EDC, DKV, UTA, Eurowag connections reports and billing"/>
    <m/>
    <s v="CSACT BO"/>
    <s v="XS"/>
    <n v="20"/>
    <s v="auto"/>
    <s v="OK"/>
    <n v="5"/>
    <n v="15"/>
    <m/>
    <m/>
    <s v="P1"/>
    <n v="20"/>
    <s v="Ismael Jaafar"/>
    <s v="Product"/>
    <s v="IN_STORE"/>
    <m/>
    <m/>
    <n v="10.26"/>
    <x v="0"/>
    <x v="18"/>
    <n v="0"/>
    <s v="BAU"/>
  </r>
  <r>
    <s v="Petrol / CSACT evolutions for mid-customers"/>
    <x v="209"/>
    <s v="Provisioning portal (CSACT configuration)"/>
    <m/>
    <s v="CSACT BO"/>
    <s v="M"/>
    <n v="100"/>
    <s v="auto"/>
    <s v="OK"/>
    <m/>
    <m/>
    <n v="50"/>
    <n v="50"/>
    <s v="P4"/>
    <n v="100"/>
    <s v="Ismael Jaafar"/>
    <s v="Product"/>
    <s v="IN_STORE"/>
    <m/>
    <m/>
    <n v="51.3"/>
    <x v="1"/>
    <x v="18"/>
    <n v="0"/>
    <s v="BAU"/>
  </r>
  <r>
    <s v="Petrol / CSACT geo expansion in Europe"/>
    <x v="213"/>
    <s v="[2021's target] Hybrid solution for Portugal"/>
    <m/>
    <s v="CSACT BO"/>
    <s v="M"/>
    <n v="100"/>
    <s v="auto"/>
    <s v="OK"/>
    <m/>
    <m/>
    <n v="50"/>
    <n v="50"/>
    <s v="P3"/>
    <n v="100"/>
    <s v="Ismael Jaafar"/>
    <s v="Product"/>
    <s v="IN_STORE"/>
    <m/>
    <m/>
    <n v="51.3"/>
    <x v="1"/>
    <x v="18"/>
    <n v="0"/>
    <s v="BAU"/>
  </r>
  <r>
    <s v="Petrol / CSACT geo expansion in Europe"/>
    <x v="213"/>
    <s v="CENAT replacement"/>
    <m/>
    <s v="CSACT BO"/>
    <s v="S"/>
    <n v="50"/>
    <s v="auto"/>
    <s v="OK"/>
    <n v="20"/>
    <n v="30"/>
    <m/>
    <m/>
    <s v="P1"/>
    <n v="50"/>
    <s v="Ismael Jaafar"/>
    <s v="Product"/>
    <s v="IN_STORE"/>
    <m/>
    <m/>
    <n v="25.65"/>
    <x v="0"/>
    <x v="18"/>
    <n v="0"/>
    <s v="BAU"/>
  </r>
  <r>
    <s v="Roadmap / Purchasing Experience"/>
    <x v="11"/>
    <s v="Bizum in-store"/>
    <s v="Reporting and billing"/>
    <s v="CSACT BO"/>
    <s v="S"/>
    <n v="50"/>
    <s v="auto"/>
    <s v="OK"/>
    <m/>
    <n v="25"/>
    <n v="25"/>
    <m/>
    <s v="P1"/>
    <n v="50"/>
    <s v="Ismael Jaafar"/>
    <s v="Product"/>
    <s v="IN_STORE"/>
    <m/>
    <m/>
    <n v="25.65"/>
    <x v="0"/>
    <x v="18"/>
    <n v="0"/>
    <s v="BAU"/>
  </r>
  <r>
    <s v="CSACT Migration to Global Infra"/>
    <x v="208"/>
    <s v="CSACT migration from Oracle 12 to Oracle 19"/>
    <m/>
    <s v="CSACT Core"/>
    <s v="S"/>
    <n v="50"/>
    <s v="auto"/>
    <s v="OK"/>
    <n v="50"/>
    <m/>
    <m/>
    <m/>
    <s v="P1"/>
    <n v="50"/>
    <s v="Ismael Jaafar"/>
    <s v="Product"/>
    <s v="IN_STORE"/>
    <m/>
    <m/>
    <n v="25.65"/>
    <x v="0"/>
    <x v="18"/>
    <n v="0"/>
    <s v="BAU"/>
  </r>
  <r>
    <s v="CSACT Migration to Global Infra"/>
    <x v="208"/>
    <s v="CSACT HSM migration to GI"/>
    <m/>
    <s v="CSACT Core"/>
    <s v="XXL"/>
    <n v="350"/>
    <s v="override"/>
    <s v="OK"/>
    <n v="125"/>
    <n v="125"/>
    <n v="100"/>
    <m/>
    <s v="P1"/>
    <n v="350"/>
    <s v="Ismael Jaafar"/>
    <s v="Product"/>
    <s v="IN_STORE"/>
    <m/>
    <m/>
    <n v="179.55"/>
    <x v="0"/>
    <x v="18"/>
    <n v="0"/>
    <s v="BAU"/>
  </r>
  <r>
    <s v="CSACT Migration to Global Infra"/>
    <x v="208"/>
    <s v="CSACT Full MAT NRT (Minimum Acceptance Test ; Non Regression Tests) in GI"/>
    <m/>
    <s v="CSACT Core"/>
    <s v="M"/>
    <n v="110"/>
    <s v="override"/>
    <s v="OK"/>
    <n v="50"/>
    <n v="50"/>
    <n v="10"/>
    <m/>
    <s v="P1"/>
    <n v="110"/>
    <s v="Ismael Jaafar"/>
    <s v="Product"/>
    <s v="IN_STORE"/>
    <m/>
    <m/>
    <n v="56.43"/>
    <x v="0"/>
    <x v="18"/>
    <n v="0"/>
    <s v="BAU"/>
  </r>
  <r>
    <s v="CSACT Migration to Global Infra"/>
    <x v="208"/>
    <s v="CSACT validation on target OS and Middleware in GI"/>
    <m/>
    <s v="CSACT Core"/>
    <s v="M"/>
    <n v="130"/>
    <s v="override"/>
    <s v="OK"/>
    <m/>
    <n v="50"/>
    <n v="50"/>
    <n v="30"/>
    <s v="P1"/>
    <n v="130"/>
    <s v="Ismael Jaafar"/>
    <s v="Tech. Debt"/>
    <s v="IN_STORE"/>
    <m/>
    <m/>
    <n v="66.69"/>
    <x v="0"/>
    <x v="18"/>
    <n v="0"/>
    <s v="BAU"/>
  </r>
  <r>
    <s v="Technical &amp; Functional Debt"/>
    <x v="12"/>
    <s v="Refactoring"/>
    <s v="Axis Service / Spring Boot or Jboss 7"/>
    <s v="AFCAR-C3"/>
    <m/>
    <n v="0"/>
    <s v="auto"/>
    <s v="OK"/>
    <m/>
    <m/>
    <m/>
    <m/>
    <s v="P1"/>
    <n v="0"/>
    <s v="Sebastien Letniowski"/>
    <m/>
    <s v="IN_STORE"/>
    <s v="Technical Leverage"/>
    <m/>
    <n v="0"/>
    <x v="0"/>
    <x v="1"/>
    <n v="0"/>
    <s v="BAU"/>
  </r>
  <r>
    <s v="Custom / Evolutions for Carrefour"/>
    <x v="106"/>
    <s v="CRF BE &amp; IT: refund &amp; rework ticket"/>
    <m/>
    <s v="AFCAR-C3"/>
    <s v="L"/>
    <n v="200"/>
    <s v="auto"/>
    <s v="OK"/>
    <n v="50"/>
    <n v="50"/>
    <n v="50"/>
    <n v="50"/>
    <s v="P2"/>
    <n v="200"/>
    <s v="Sarah Lamarque"/>
    <s v="Product"/>
    <s v="IN_STORE"/>
    <s v="Extend Geographical Footprint"/>
    <m/>
    <n v="102.6"/>
    <x v="0"/>
    <x v="1"/>
    <n v="0"/>
    <s v="BAU"/>
  </r>
  <r>
    <s v="Custom / Evolutions for Carrefour"/>
    <x v="106"/>
    <s v="CRF FR: CB2A (CB6 &amp; TLP Robustness)"/>
    <m/>
    <s v="AFCAR-C3"/>
    <s v="M"/>
    <n v="150"/>
    <s v="override"/>
    <s v="OK"/>
    <n v="40"/>
    <n v="40"/>
    <n v="40"/>
    <n v="30"/>
    <s v="P2"/>
    <n v="150"/>
    <s v="Sarah Lamarque"/>
    <s v="Product"/>
    <s v="IN_STORE"/>
    <s v="Regulation"/>
    <m/>
    <n v="76.95"/>
    <x v="0"/>
    <x v="1"/>
    <n v="0"/>
    <s v="BAU"/>
  </r>
  <r>
    <s v="Custom / Evolutions for Carrefour"/>
    <x v="106"/>
    <s v="CRF: DCC FCC"/>
    <m/>
    <s v="AFCAR-C3"/>
    <s v="M"/>
    <n v="100"/>
    <s v="auto"/>
    <s v="OK"/>
    <n v="25"/>
    <n v="25"/>
    <n v="25"/>
    <n v="25"/>
    <s v="P2"/>
    <n v="100"/>
    <s v="Sarah Lamarque"/>
    <s v="Product"/>
    <s v="IN_STORE"/>
    <s v="Support Customers' Projects"/>
    <m/>
    <n v="51.3"/>
    <x v="0"/>
    <x v="1"/>
    <n v="0"/>
    <s v="BAU"/>
  </r>
  <r>
    <s v="Custom / Evolutions for Carrefour"/>
    <x v="106"/>
    <s v="CRF: Dematerialisation ticket embarqué"/>
    <m/>
    <s v="AFCAR-C3"/>
    <s v="S"/>
    <n v="50"/>
    <s v="auto"/>
    <s v="OK"/>
    <n v="15"/>
    <n v="15"/>
    <n v="10"/>
    <n v="10"/>
    <s v="P2"/>
    <n v="50"/>
    <s v="Sarah Lamarque"/>
    <s v="Product"/>
    <s v="IN_STORE"/>
    <s v="Simplify Experience"/>
    <m/>
    <n v="25.65"/>
    <x v="0"/>
    <x v="1"/>
    <n v="0"/>
    <s v="BAU"/>
  </r>
  <r>
    <s v="Custom / Evolutions for Carrefour"/>
    <x v="106"/>
    <s v="refactoring PAS"/>
    <m/>
    <s v="AFCAR-C3"/>
    <s v="L"/>
    <n v="200"/>
    <s v="auto"/>
    <s v="OK"/>
    <n v="50"/>
    <n v="50"/>
    <n v="50"/>
    <n v="50"/>
    <s v="P3"/>
    <n v="200"/>
    <s v="Sarah Lamarque"/>
    <s v="Tech. Debt"/>
    <s v="IN_STORE"/>
    <s v="Technical Leverage"/>
    <m/>
    <n v="102.6"/>
    <x v="1"/>
    <x v="1"/>
    <n v="0"/>
    <s v="BAU"/>
  </r>
  <r>
    <s v="Custom / Evolutions for Carrefour"/>
    <x v="106"/>
    <s v="CFR BE: Payconiq"/>
    <m/>
    <s v="AFCAR-C3"/>
    <s v="M"/>
    <n v="100"/>
    <s v="auto"/>
    <s v="OK"/>
    <n v="25"/>
    <n v="25"/>
    <n v="25"/>
    <n v="25"/>
    <s v="P3"/>
    <n v="100"/>
    <s v="Sarah Lamarque"/>
    <s v="Product"/>
    <s v="IN_STORE"/>
    <s v="Extend Geographical Footprint"/>
    <m/>
    <n v="51.3"/>
    <x v="1"/>
    <x v="1"/>
    <n v="0"/>
    <s v="BAU"/>
  </r>
  <r>
    <s v="Technical &amp; Functional Debt"/>
    <x v="12"/>
    <s v="API &amp; data"/>
    <s v="Including TPVnumber to 32 char ?"/>
    <s v="AFCAR-C3"/>
    <s v="XS"/>
    <n v="20"/>
    <s v="auto"/>
    <s v="OK"/>
    <n v="5"/>
    <n v="5"/>
    <n v="5"/>
    <n v="5"/>
    <s v="P3"/>
    <n v="0"/>
    <s v="Sebastien Letniowski"/>
    <s v="Tech. Debt"/>
    <s v="IN_STORE"/>
    <s v="Technical Leverage"/>
    <m/>
    <n v="10.26"/>
    <x v="1"/>
    <x v="1"/>
    <n v="0"/>
    <s v="BAU"/>
  </r>
  <r>
    <s v="Platform Maintenance"/>
    <x v="214"/>
    <m/>
    <m/>
    <s v="TechProcess"/>
    <s v="XXXL"/>
    <n v="1528"/>
    <s v="auto"/>
    <s v="OK"/>
    <n v="400"/>
    <n v="400"/>
    <n v="400"/>
    <n v="328"/>
    <s v="P1"/>
    <n v="1528"/>
    <s v="Arvind Singh"/>
    <s v=" Maintenance &amp; Incidents "/>
    <s v="ONLINE"/>
    <m/>
    <m/>
    <n v="783.86400000000003"/>
    <x v="0"/>
    <x v="9"/>
    <s v="Run"/>
    <s v="RUN"/>
  </r>
  <r>
    <s v="Plugins - Development &amp; Support - of shopping cart plugins"/>
    <x v="215"/>
    <s v="Shopping Carts Vertical Team"/>
    <m/>
    <s v="ME_Plugin"/>
    <s v="XXXL"/>
    <n v="800"/>
    <s v="auto"/>
    <s v="OK"/>
    <n v="200"/>
    <n v="200"/>
    <n v="200"/>
    <n v="200"/>
    <s v="P1"/>
    <n v="800"/>
    <m/>
    <m/>
    <s v="OCH"/>
    <m/>
    <m/>
    <n v="410.4"/>
    <x v="0"/>
    <x v="2"/>
    <n v="0"/>
    <s v="BAU"/>
  </r>
  <r>
    <s v="Product enhancement"/>
    <x v="216"/>
    <s v="Paypal enhancements"/>
    <m/>
    <s v="GC Global LPM"/>
    <s v="S"/>
    <n v="200"/>
    <s v="auto"/>
    <s v="OK"/>
    <m/>
    <n v="50"/>
    <n v="100"/>
    <n v="50"/>
    <s v="P1"/>
    <n v="200"/>
    <s v="Stanley Macnack"/>
    <s v="Product"/>
    <s v="ONLINE"/>
    <s v="Get Basics Right"/>
    <m/>
    <n v="102.6"/>
    <x v="0"/>
    <x v="5"/>
    <s v="Single Project"/>
    <s v="BAU"/>
  </r>
  <r>
    <s v="product enhancement"/>
    <x v="216"/>
    <s v="Paypal enhancements"/>
    <m/>
    <s v="GC Supp1"/>
    <s v="S"/>
    <n v="180"/>
    <s v="auto"/>
    <s v="OK"/>
    <m/>
    <n v="40"/>
    <n v="50"/>
    <n v="90"/>
    <s v="P1"/>
    <n v="180"/>
    <s v="Stanley Macnack"/>
    <s v="Product"/>
    <s v="ONLINE"/>
    <s v="Get Basics Right"/>
    <m/>
    <n v="92.34"/>
    <x v="0"/>
    <x v="5"/>
    <s v="Single Project"/>
    <s v="BAU"/>
  </r>
  <r>
    <s v="Provisioning API"/>
    <x v="217"/>
    <s v="Provisioning API"/>
    <m/>
    <s v="Gemini"/>
    <s v="XL"/>
    <n v="420"/>
    <s v="auto"/>
    <s v="OK"/>
    <m/>
    <n v="60"/>
    <n v="160"/>
    <n v="200"/>
    <s v="P1"/>
    <n v="420"/>
    <s v="Rik van 't Hof"/>
    <s v="Product"/>
    <s v="ONLINE"/>
    <m/>
    <m/>
    <n v="215.46"/>
    <x v="0"/>
    <x v="5"/>
    <s v="Single Project"/>
    <s v="BAU"/>
  </r>
  <r>
    <s v="Provisioning automation"/>
    <x v="218"/>
    <s v="API to provision merchants into IPP platform"/>
    <m/>
    <s v="IPP"/>
    <s v="M"/>
    <n v="100"/>
    <s v="auto"/>
    <s v="OK"/>
    <n v="100"/>
    <m/>
    <m/>
    <m/>
    <s v="P1"/>
    <n v="100"/>
    <s v="Mike O'Halloran"/>
    <s v="Product"/>
    <s v="ECOM"/>
    <m/>
    <m/>
    <n v="51.3"/>
    <x v="0"/>
    <x v="7"/>
    <n v="0"/>
    <s v="BAU"/>
  </r>
  <r>
    <s v="RB Onmichannel"/>
    <x v="219"/>
    <s v="RB Omnichannel"/>
    <s v="Reduce instore settlement delay"/>
    <s v="WLOC_IFS"/>
    <s v="L"/>
    <n v="250"/>
    <s v="auto"/>
    <s v="OK"/>
    <m/>
    <m/>
    <n v="100"/>
    <n v="150"/>
    <s v="P2"/>
    <n v="250"/>
    <m/>
    <m/>
    <s v="ECOM"/>
    <m/>
    <m/>
    <n v="120.75"/>
    <x v="0"/>
    <x v="4"/>
    <n v="0"/>
    <s v="BAU"/>
  </r>
  <r>
    <s v="RB Onmichannel"/>
    <x v="219"/>
    <s v="RB Omnichannel"/>
    <s v="Be able to charge Auth and Pre-Auth "/>
    <s v="WLOC_IFS"/>
    <s v="XL"/>
    <n v="300"/>
    <s v="auto"/>
    <s v="OK"/>
    <m/>
    <n v="150"/>
    <n v="150"/>
    <m/>
    <s v="P2"/>
    <n v="300"/>
    <m/>
    <m/>
    <s v="ECOM"/>
    <m/>
    <m/>
    <n v="144.9"/>
    <x v="0"/>
    <x v="4"/>
    <n v="0"/>
    <s v="BAU"/>
  </r>
  <r>
    <s v="Rebranding"/>
    <x v="220"/>
    <s v="Merchant Portal"/>
    <s v="MP Rebranding "/>
    <s v="WLOC_MXP"/>
    <s v="S"/>
    <n v="50"/>
    <s v="auto"/>
    <s v="OK"/>
    <m/>
    <n v="50"/>
    <m/>
    <m/>
    <s v="P1"/>
    <n v="50"/>
    <s v="Sebastien Fantone"/>
    <s v="Product"/>
    <s v="ECOM"/>
    <m/>
    <m/>
    <n v="24.15"/>
    <x v="0"/>
    <x v="4"/>
    <s v="United"/>
    <s v="U&amp;MP"/>
  </r>
  <r>
    <s v="Rebranding"/>
    <x v="220"/>
    <s v="Rebranding"/>
    <s v="API Rebranding "/>
    <s v="WLOC_APM"/>
    <s v="L"/>
    <n v="170"/>
    <s v="override"/>
    <s v="OK"/>
    <m/>
    <n v="170"/>
    <m/>
    <m/>
    <s v="P1"/>
    <n v="170"/>
    <s v="Sebastien Fantone"/>
    <s v="Product"/>
    <s v="ECOM"/>
    <m/>
    <m/>
    <n v="82.11"/>
    <x v="0"/>
    <x v="4"/>
    <s v="United"/>
    <s v="U&amp;MP"/>
  </r>
  <r>
    <s v="Rebranding"/>
    <x v="220"/>
    <s v="Reporting and Back Office"/>
    <m/>
    <s v="GC Supp1"/>
    <s v="S"/>
    <n v="50"/>
    <s v="auto"/>
    <s v="OK"/>
    <n v="30"/>
    <n v="20"/>
    <m/>
    <m/>
    <s v="P1"/>
    <n v="50"/>
    <s v="Zlatko Bralic"/>
    <s v="Product"/>
    <s v="ONLINE"/>
    <s v="Regulation Compliance"/>
    <m/>
    <n v="25.65"/>
    <x v="0"/>
    <x v="5"/>
    <s v="United"/>
    <s v="U&amp;MP"/>
  </r>
  <r>
    <s v="Rebranding"/>
    <x v="220"/>
    <s v="Fraud"/>
    <m/>
    <s v="GC Supp2"/>
    <s v="S"/>
    <n v="50"/>
    <s v="auto"/>
    <s v="OK"/>
    <n v="30"/>
    <n v="20"/>
    <m/>
    <m/>
    <s v="P1"/>
    <n v="50"/>
    <s v="Zlatko Bralic"/>
    <s v="Product"/>
    <s v="ONLINE"/>
    <s v="Regulation Compliance"/>
    <m/>
    <n v="25.65"/>
    <x v="0"/>
    <x v="5"/>
    <s v="United"/>
    <s v="U&amp;MP"/>
  </r>
  <r>
    <s v="CSACT Technical debt / Rationalization"/>
    <x v="100"/>
    <s v="CSACT continuous integration"/>
    <s v="Putting tool &amp; process in place"/>
    <s v="CSACT Core"/>
    <s v="S"/>
    <n v="50"/>
    <s v="auto"/>
    <s v="OK"/>
    <n v="10"/>
    <n v="10"/>
    <n v="15"/>
    <n v="15"/>
    <s v="P1"/>
    <n v="50"/>
    <s v="Ismael Jaafar"/>
    <s v="Product"/>
    <s v="IN_STORE"/>
    <m/>
    <m/>
    <n v="25.65"/>
    <x v="0"/>
    <x v="18"/>
    <n v="0"/>
    <s v="BAU"/>
  </r>
  <r>
    <s v="Security &amp; Risks"/>
    <x v="72"/>
    <s v="Decommission TDES algorithm"/>
    <m/>
    <s v="AFCAR-C3"/>
    <s v="XS"/>
    <n v="10"/>
    <s v="override"/>
    <s v="OK"/>
    <m/>
    <m/>
    <n v="10"/>
    <m/>
    <s v="P3"/>
    <n v="0"/>
    <s v="Sebastien Letniowski"/>
    <m/>
    <s v="IN_STORE"/>
    <s v="Regulation"/>
    <m/>
    <n v="5.13"/>
    <x v="1"/>
    <x v="1"/>
    <n v="0"/>
    <s v="BAU"/>
  </r>
  <r>
    <s v="Custom / Evolutions for Carrefour"/>
    <x v="106"/>
    <s v="CRF FR: RTC Blackhawk"/>
    <m/>
    <s v="AFCAR-Dual"/>
    <s v="XL"/>
    <n v="300"/>
    <s v="auto"/>
    <s v="OK"/>
    <n v="75"/>
    <n v="75"/>
    <n v="75"/>
    <n v="75"/>
    <s v="P1"/>
    <n v="300"/>
    <s v="Sarah Lamarque"/>
    <s v="Product"/>
    <s v="IN_STORE"/>
    <s v="Support Customers' Projects"/>
    <m/>
    <n v="153.9"/>
    <x v="0"/>
    <x v="1"/>
    <n v="0"/>
    <s v="BAU"/>
  </r>
  <r>
    <s v="CSACT Technical debt / Rationalization"/>
    <x v="100"/>
    <s v="Standardise terminal parameters tables &amp; parameterisation of all configurations (files, etc)"/>
    <m/>
    <s v="CSACT Core"/>
    <s v="XXL"/>
    <n v="400"/>
    <s v="auto"/>
    <s v="OK"/>
    <m/>
    <n v="100"/>
    <n v="150"/>
    <n v="150"/>
    <s v="P3"/>
    <n v="400"/>
    <s v="Ismael Jaafar"/>
    <s v="Product"/>
    <s v="IN_STORE"/>
    <m/>
    <m/>
    <n v="205.2"/>
    <x v="1"/>
    <x v="18"/>
    <n v="0"/>
    <s v="BAU"/>
  </r>
  <r>
    <s v="Regulation / 6 to 8 BIN Mgt"/>
    <x v="14"/>
    <s v="BIN 8 digits Reporting tool evolution (PAN search, display…) (AXIN-1012)"/>
    <m/>
    <s v="CHA"/>
    <s v="XS"/>
    <n v="20"/>
    <s v="auto"/>
    <s v="OK"/>
    <n v="5"/>
    <n v="5"/>
    <n v="5"/>
    <n v="5"/>
    <s v="P1"/>
    <n v="20"/>
    <s v="Sylvain Marion"/>
    <m/>
    <s v="IN_STORE"/>
    <m/>
    <m/>
    <n v="10.26"/>
    <x v="0"/>
    <x v="20"/>
    <n v="0"/>
    <s v="BAU"/>
  </r>
  <r>
    <s v="Maintenance"/>
    <x v="5"/>
    <s v="Maintenance Axis"/>
    <m/>
    <s v="AFCAR-Dual"/>
    <s v="M"/>
    <n v="100"/>
    <s v="auto"/>
    <s v="OK"/>
    <n v="25"/>
    <n v="25"/>
    <n v="25"/>
    <n v="25"/>
    <s v="P1"/>
    <n v="100"/>
    <s v="Sarah Lamarque"/>
    <s v="Maintenance &amp; Incidents"/>
    <s v="IN_STORE"/>
    <s v="Support Customers' Projects"/>
    <m/>
    <n v="51.3"/>
    <x v="0"/>
    <x v="1"/>
    <s v="Run"/>
    <s v="RUN"/>
  </r>
  <r>
    <s v="Custom / Evolutions for Carrefour"/>
    <x v="106"/>
    <s v="Datalake/ePortal V6 migration"/>
    <m/>
    <s v="AFCAR-Dual"/>
    <s v="S"/>
    <n v="50"/>
    <s v="auto"/>
    <s v="OK"/>
    <n v="15"/>
    <n v="10"/>
    <n v="15"/>
    <n v="10"/>
    <s v="P1"/>
    <n v="50"/>
    <s v="Sarah Lamarque"/>
    <s v="Product"/>
    <s v="IN_STORE"/>
    <s v="Technical Leverage"/>
    <m/>
    <n v="25.65"/>
    <x v="0"/>
    <x v="1"/>
    <n v="0"/>
    <s v="BAU"/>
  </r>
  <r>
    <s v="Maintenance"/>
    <x v="5"/>
    <s v="Test Benches for Perf"/>
    <m/>
    <s v="AFCAR-Dual"/>
    <s v="S"/>
    <n v="50"/>
    <s v="auto"/>
    <s v="OK"/>
    <n v="15"/>
    <n v="10"/>
    <n v="15"/>
    <n v="10"/>
    <s v="P1"/>
    <n v="50"/>
    <s v="Sarah Lamarque"/>
    <s v="Maintenance &amp; Incidents"/>
    <s v="IN_STORE"/>
    <s v="Support Customers' Projects"/>
    <m/>
    <n v="25.65"/>
    <x v="0"/>
    <x v="1"/>
    <s v="Run"/>
    <s v="RUN"/>
  </r>
  <r>
    <s v="Technical Debt / Global Infra"/>
    <x v="29"/>
    <s v="Source code &amp; CI migration"/>
    <s v="other teams"/>
    <s v="AFCAR-Dual"/>
    <s v="S"/>
    <n v="50"/>
    <s v="auto"/>
    <s v="OK"/>
    <n v="10"/>
    <n v="15"/>
    <n v="15"/>
    <n v="10"/>
    <s v="P1"/>
    <n v="50"/>
    <s v="Sebastien Letniowski"/>
    <s v="Tech. Debt"/>
    <s v="IN_STORE"/>
    <s v="Technical Leverage"/>
    <m/>
    <n v="25.65"/>
    <x v="0"/>
    <x v="1"/>
    <n v="0"/>
    <s v="BAU"/>
  </r>
  <r>
    <s v="Regulation / 6 to 8 BIN Mgt"/>
    <x v="14"/>
    <s v="Extension BIN from 6 to 8"/>
    <s v="multiple applications"/>
    <s v="AFCAR-Dual"/>
    <s v="XS"/>
    <n v="20"/>
    <s v="auto"/>
    <s v="OK"/>
    <n v="5"/>
    <n v="5"/>
    <n v="5"/>
    <n v="5"/>
    <s v="P1"/>
    <n v="20"/>
    <s v="Sebastien Letniowski"/>
    <s v="Product"/>
    <s v="IN_STORE"/>
    <s v="Regulation"/>
    <m/>
    <n v="10.26"/>
    <x v="0"/>
    <x v="1"/>
    <n v="0"/>
    <s v="BAU"/>
  </r>
  <r>
    <s v="CSACT Technical debt / Rationalization"/>
    <x v="100"/>
    <s v="[TECH] Standarize Host code responses"/>
    <m/>
    <s v="CSACT Core"/>
    <s v="M"/>
    <n v="100"/>
    <s v="auto"/>
    <s v="OK"/>
    <m/>
    <m/>
    <n v="50"/>
    <n v="50"/>
    <s v="P4"/>
    <n v="100"/>
    <s v="Ismael Jaafar"/>
    <s v="Product"/>
    <s v="IN_STORE"/>
    <m/>
    <m/>
    <n v="51.3"/>
    <x v="1"/>
    <x v="18"/>
    <n v="0"/>
    <s v="BAU"/>
  </r>
  <r>
    <s v="Conexflow migration"/>
    <x v="8"/>
    <s v="Contingency for Conexflow migration"/>
    <s v="Unexpected works on CSACT/H24 (change request, unidentifed gaps, new keep customers)"/>
    <s v="CSACT DSA"/>
    <s v="S"/>
    <n v="50"/>
    <s v="auto"/>
    <s v="OK"/>
    <n v="14"/>
    <n v="12"/>
    <n v="12"/>
    <n v="12"/>
    <s v="P1"/>
    <n v="50"/>
    <s v="Jorge Tarlea"/>
    <s v="Tech. Debt"/>
    <s v="IN_STORE"/>
    <s v="Technical Leverage"/>
    <m/>
    <n v="25.65"/>
    <x v="0"/>
    <x v="18"/>
    <n v="0"/>
    <s v="BAU"/>
  </r>
  <r>
    <s v="Technical &amp; Functional Debt"/>
    <x v="12"/>
    <s v="API &amp; data"/>
    <s v="PaymentID as UUID"/>
    <s v="AFCAR-Dual"/>
    <s v="XS"/>
    <n v="20"/>
    <s v="auto"/>
    <s v="OK"/>
    <n v="5"/>
    <n v="5"/>
    <n v="5"/>
    <n v="5"/>
    <s v="P1"/>
    <n v="20"/>
    <s v="Sebastien Letniowski"/>
    <s v="Tech. Debt"/>
    <s v="IN_STORE"/>
    <s v="Technical Leverage"/>
    <m/>
    <n v="10.26"/>
    <x v="0"/>
    <x v="1"/>
    <n v="0"/>
    <s v="BAU"/>
  </r>
  <r>
    <s v="Technical &amp; Functional Debt"/>
    <x v="12"/>
    <s v="Refactoring"/>
    <s v="PostgresQL 13 migration"/>
    <s v="AFCAR-Dual"/>
    <s v="XS"/>
    <n v="20"/>
    <s v="auto"/>
    <s v="OK"/>
    <m/>
    <n v="10"/>
    <n v="10"/>
    <m/>
    <s v="P1"/>
    <n v="20"/>
    <s v="Sebastien Letniowski"/>
    <s v="Tech. Debt"/>
    <s v="IN_STORE"/>
    <s v="Technical Leverage"/>
    <m/>
    <n v="10.26"/>
    <x v="0"/>
    <x v="1"/>
    <n v="0"/>
    <s v="BAU"/>
  </r>
  <r>
    <s v="Technical &amp; Functional Debt"/>
    <x v="12"/>
    <s v="Robustness"/>
    <s v="Remove Log table (SAVELOG=0)"/>
    <s v="AFCAR-Dual"/>
    <s v="XS"/>
    <n v="20"/>
    <s v="auto"/>
    <s v="OK"/>
    <n v="5"/>
    <n v="5"/>
    <n v="5"/>
    <n v="5"/>
    <s v="P1"/>
    <n v="20"/>
    <s v="Sebastien Letniowski"/>
    <s v="Tech. Debt"/>
    <s v="IN_STORE"/>
    <s v="Technical Leverage"/>
    <m/>
    <n v="10.26"/>
    <x v="0"/>
    <x v="1"/>
    <n v="0"/>
    <s v="BAU"/>
  </r>
  <r>
    <s v="Technical Debt / Global Infra"/>
    <x v="29"/>
    <s v="Training of teams with new way of working"/>
    <s v="other teams"/>
    <s v="AFCAR-Dual"/>
    <s v="XS"/>
    <n v="20"/>
    <s v="auto"/>
    <s v="OK"/>
    <n v="5"/>
    <n v="5"/>
    <n v="5"/>
    <n v="5"/>
    <s v="P1"/>
    <n v="20"/>
    <s v="Sebastien Letniowski"/>
    <s v="Tech. Debt"/>
    <s v="IN_STORE"/>
    <s v="Technical Leverage"/>
    <m/>
    <n v="10.26"/>
    <x v="0"/>
    <x v="1"/>
    <n v="0"/>
    <s v="BAU"/>
  </r>
  <r>
    <s v="Security &amp; Risks"/>
    <x v="72"/>
    <s v="Compiance PCI"/>
    <s v="security bug fixing"/>
    <s v="AFCAR-Dual"/>
    <s v="XS"/>
    <n v="10"/>
    <s v="override"/>
    <s v="OK"/>
    <m/>
    <n v="10"/>
    <m/>
    <m/>
    <s v="P1"/>
    <n v="10"/>
    <s v="Sebastien Letniowski"/>
    <m/>
    <s v="IN_STORE"/>
    <s v="Regulation"/>
    <m/>
    <n v="5.13"/>
    <x v="0"/>
    <x v="1"/>
    <n v="0"/>
    <s v="BAU"/>
  </r>
  <r>
    <s v="Technical &amp; Functional Debt"/>
    <x v="12"/>
    <s v="Refactoring"/>
    <s v="Axis Service / Spring Boot or Jboss 7"/>
    <s v="AFCAR-Dual"/>
    <m/>
    <n v="0"/>
    <s v="auto"/>
    <s v="OK"/>
    <m/>
    <m/>
    <m/>
    <m/>
    <s v="P1"/>
    <n v="0"/>
    <s v="Sebastien Letniowski"/>
    <m/>
    <s v="IN_STORE"/>
    <s v="Technical Leverage"/>
    <m/>
    <n v="0"/>
    <x v="0"/>
    <x v="1"/>
    <n v="0"/>
    <s v="BAU"/>
  </r>
  <r>
    <s v="Custom / Evolutions for Carrefour"/>
    <x v="106"/>
    <s v="CRF FR: MAP Brandchoice"/>
    <m/>
    <s v="AFCAR-Dual"/>
    <s v="S"/>
    <n v="50"/>
    <s v="auto"/>
    <s v="OK"/>
    <m/>
    <n v="25"/>
    <n v="25"/>
    <m/>
    <s v="P2"/>
    <n v="50"/>
    <s v="Sarah Lamarque"/>
    <s v="Product"/>
    <s v="IN_STORE"/>
    <s v="Technical Leverage"/>
    <m/>
    <n v="25.65"/>
    <x v="0"/>
    <x v="1"/>
    <n v="0"/>
    <s v="BAU"/>
  </r>
  <r>
    <s v="Custom / Evolutions for Carrefour"/>
    <x v="106"/>
    <s v="CRF IT: Other payments (ML, etc)"/>
    <m/>
    <s v="AFCAR-Dual"/>
    <s v="M"/>
    <n v="100"/>
    <s v="auto"/>
    <s v="OK"/>
    <n v="25"/>
    <n v="25"/>
    <n v="25"/>
    <n v="25"/>
    <s v="P3"/>
    <n v="100"/>
    <s v="Sarah Lamarque"/>
    <s v="Product"/>
    <s v="IN_STORE"/>
    <s v="Technical Leverage"/>
    <m/>
    <n v="51.3"/>
    <x v="1"/>
    <x v="1"/>
    <n v="0"/>
    <s v="BAU"/>
  </r>
  <r>
    <s v="Custom / Evolutions for Carrefour"/>
    <x v="106"/>
    <s v="CRF: Map Pre-auth"/>
    <m/>
    <s v="AFCAR-Dual"/>
    <s v="S"/>
    <n v="50"/>
    <s v="auto"/>
    <s v="OK"/>
    <n v="15"/>
    <n v="10"/>
    <n v="15"/>
    <n v="10"/>
    <s v="P3"/>
    <n v="50"/>
    <s v="Sarah Lamarque"/>
    <s v="Product"/>
    <s v="IN_STORE"/>
    <s v="Technical Leverage"/>
    <m/>
    <n v="25.65"/>
    <x v="1"/>
    <x v="1"/>
    <n v="0"/>
    <s v="BAU"/>
  </r>
  <r>
    <s v="Technical &amp; Functional Debt"/>
    <x v="12"/>
    <s v="API &amp; data"/>
    <s v="Including TPVnumber to 32 char ?"/>
    <s v="AFCAR-Dual"/>
    <s v="XS"/>
    <n v="20"/>
    <s v="auto"/>
    <s v="OK"/>
    <n v="5"/>
    <n v="5"/>
    <n v="5"/>
    <n v="5"/>
    <s v="P3"/>
    <n v="20"/>
    <s v="Sebastien Letniowski"/>
    <s v="Tech. Debt"/>
    <s v="IN_STORE"/>
    <s v="Technical Leverage"/>
    <m/>
    <n v="10.26"/>
    <x v="1"/>
    <x v="1"/>
    <n v="0"/>
    <s v="BAU"/>
  </r>
  <r>
    <s v="Security &amp; Risks"/>
    <x v="72"/>
    <s v="Decommission TDES algorithm"/>
    <m/>
    <s v="AFCAR-Dual"/>
    <s v="XS"/>
    <n v="10"/>
    <s v="override"/>
    <s v="OK"/>
    <m/>
    <m/>
    <n v="10"/>
    <m/>
    <s v="P3"/>
    <n v="10"/>
    <s v="Sebastien Letniowski"/>
    <m/>
    <s v="IN_STORE"/>
    <s v="Regulation"/>
    <m/>
    <n v="5.13"/>
    <x v="1"/>
    <x v="1"/>
    <n v="0"/>
    <s v="BAU"/>
  </r>
  <r>
    <s v="Custom / Evolutions for Carrefour"/>
    <x v="106"/>
    <s v="PASS ACQ. Data integration"/>
    <m/>
    <s v="AFCAR-TA"/>
    <s v="XL"/>
    <n v="300"/>
    <s v="auto"/>
    <s v="OK"/>
    <n v="75"/>
    <n v="75"/>
    <n v="75"/>
    <n v="75"/>
    <s v="P1"/>
    <n v="300"/>
    <s v="Sarah Lamarque"/>
    <s v="Tech. Debt"/>
    <s v="IN_STORE"/>
    <s v="Support Customers' Projects"/>
    <m/>
    <n v="153.9"/>
    <x v="0"/>
    <x v="1"/>
    <n v="0"/>
    <s v="BAU"/>
  </r>
  <r>
    <s v="Custom / Evolutions for Carrefour"/>
    <x v="106"/>
    <s v="MAP Migration MAP on SP / BE / FR / IT"/>
    <m/>
    <s v="AFCAR-TA"/>
    <s v="L"/>
    <n v="200"/>
    <s v="auto"/>
    <s v="OK"/>
    <n v="50"/>
    <n v="50"/>
    <n v="50"/>
    <n v="50"/>
    <s v="P1"/>
    <n v="200"/>
    <s v="Sarah Lamarque"/>
    <s v="Tech. Debt"/>
    <s v="IN_STORE"/>
    <s v="Support Customers' Projects"/>
    <m/>
    <n v="102.6"/>
    <x v="0"/>
    <x v="1"/>
    <n v="0"/>
    <s v="BAU"/>
  </r>
  <r>
    <s v="[UNITED SYNERGIES] SACC Decomissionning"/>
    <x v="7"/>
    <s v="CUP Casino (based on CB 5.5) (AXIN-1586)"/>
    <m/>
    <s v="AFH"/>
    <s v="XL"/>
    <n v="350"/>
    <s v="override"/>
    <s v="OK"/>
    <n v="50"/>
    <n v="100"/>
    <n v="100"/>
    <n v="100"/>
    <s v="P1"/>
    <n v="350"/>
    <s v="Sylvain Marion"/>
    <s v="Synergies"/>
    <s v="IN_STORE"/>
    <s v="Support Customers' Projects"/>
    <m/>
    <n v="179.55"/>
    <x v="0"/>
    <x v="1"/>
    <s v="United"/>
    <s v="U&amp;MP"/>
  </r>
  <r>
    <s v="Maintenance"/>
    <x v="5"/>
    <s v="Maintenance Axis"/>
    <m/>
    <s v="AFH"/>
    <s v="L"/>
    <n v="150"/>
    <s v="override"/>
    <s v="OK"/>
    <n v="25"/>
    <n v="50"/>
    <n v="50"/>
    <n v="25"/>
    <s v="P1"/>
    <n v="150"/>
    <s v="Sylvain Marion"/>
    <s v="Maintenance &amp; Incidents"/>
    <s v="IN_STORE"/>
    <s v="Technical Leverage"/>
    <m/>
    <n v="76.95"/>
    <x v="0"/>
    <x v="1"/>
    <s v="Run"/>
    <s v="RUN"/>
  </r>
  <r>
    <s v="Regulation / 6 to 8 BIN Mgt"/>
    <x v="14"/>
    <s v="Extension BIN from 6 to 8"/>
    <s v="multiple applications"/>
    <s v="AFH"/>
    <s v="XS"/>
    <n v="20"/>
    <s v="auto"/>
    <s v="OK"/>
    <n v="5"/>
    <n v="5"/>
    <n v="5"/>
    <n v="5"/>
    <s v="P1"/>
    <n v="20"/>
    <s v="Sebastien Letniowski"/>
    <s v="Product"/>
    <s v="IN_STORE"/>
    <s v="Regulation"/>
    <m/>
    <n v="10.26"/>
    <x v="0"/>
    <x v="1"/>
    <n v="0"/>
    <s v="BAU"/>
  </r>
  <r>
    <s v="Technical &amp; Functional Debt"/>
    <x v="12"/>
    <s v="API &amp; data"/>
    <s v="PaymentID as UUID"/>
    <s v="AFH"/>
    <s v="XS"/>
    <n v="20"/>
    <s v="auto"/>
    <s v="OK"/>
    <n v="5"/>
    <n v="5"/>
    <n v="5"/>
    <n v="5"/>
    <s v="P1"/>
    <n v="20"/>
    <s v="Sebastien Letniowski"/>
    <m/>
    <s v="IN_STORE"/>
    <s v="Technical Leverage"/>
    <m/>
    <n v="10.26"/>
    <x v="0"/>
    <x v="1"/>
    <n v="0"/>
    <s v="BAU"/>
  </r>
  <r>
    <s v="Technical &amp; Functional Debt"/>
    <x v="12"/>
    <s v="Refactoring"/>
    <s v="PostgresQL 13 migration"/>
    <s v="AFH"/>
    <s v="XS"/>
    <n v="20"/>
    <s v="auto"/>
    <s v="OK"/>
    <m/>
    <n v="10"/>
    <n v="10"/>
    <m/>
    <s v="P1"/>
    <n v="20"/>
    <s v="Sebastien Letniowski"/>
    <m/>
    <s v="IN_STORE"/>
    <s v="Technical Leverage"/>
    <m/>
    <n v="10.26"/>
    <x v="0"/>
    <x v="1"/>
    <n v="0"/>
    <s v="BAU"/>
  </r>
  <r>
    <s v="Technical &amp; Functional Debt"/>
    <x v="12"/>
    <s v="Robustness"/>
    <s v="Remove Log table (SAVELOG=0)"/>
    <s v="AFH"/>
    <s v="XS"/>
    <n v="20"/>
    <s v="auto"/>
    <s v="OK"/>
    <n v="5"/>
    <n v="5"/>
    <n v="5"/>
    <n v="5"/>
    <s v="P1"/>
    <n v="20"/>
    <s v="Sebastien Letniowski"/>
    <m/>
    <s v="IN_STORE"/>
    <s v="Technical Leverage"/>
    <m/>
    <n v="10.26"/>
    <x v="0"/>
    <x v="1"/>
    <n v="0"/>
    <s v="BAU"/>
  </r>
  <r>
    <s v="Technical Debt / Global Infra"/>
    <x v="29"/>
    <s v="Source code &amp; CI migration"/>
    <s v="other teams"/>
    <s v="AFH"/>
    <s v="XS"/>
    <n v="20"/>
    <s v="auto"/>
    <s v="OK"/>
    <n v="5"/>
    <n v="5"/>
    <n v="5"/>
    <n v="5"/>
    <s v="P1"/>
    <n v="20"/>
    <s v="Sebastien Letniowski"/>
    <m/>
    <s v="IN_STORE"/>
    <s v="Technical Leverage"/>
    <m/>
    <n v="10.26"/>
    <x v="0"/>
    <x v="1"/>
    <n v="0"/>
    <s v="BAU"/>
  </r>
  <r>
    <s v="Technical Debt / Global Infra"/>
    <x v="29"/>
    <s v="Training of teams with new way of working"/>
    <s v="other teams"/>
    <s v="AFH"/>
    <s v="XS"/>
    <n v="20"/>
    <s v="auto"/>
    <s v="OK"/>
    <n v="5"/>
    <n v="5"/>
    <n v="5"/>
    <n v="5"/>
    <s v="P1"/>
    <n v="20"/>
    <s v="Sebastien Letniowski"/>
    <m/>
    <s v="IN_STORE"/>
    <s v="Technical Leverage"/>
    <m/>
    <n v="10.26"/>
    <x v="0"/>
    <x v="1"/>
    <n v="0"/>
    <s v="BAU"/>
  </r>
  <r>
    <s v="Security &amp; Risks"/>
    <x v="72"/>
    <s v="Compiance PCI"/>
    <s v="security bug fixing"/>
    <s v="AFH"/>
    <s v="XS"/>
    <n v="10"/>
    <s v="override"/>
    <s v="OK"/>
    <m/>
    <n v="10"/>
    <m/>
    <m/>
    <s v="P1"/>
    <n v="10"/>
    <s v="Sebastien Letniowski"/>
    <m/>
    <s v="IN_STORE"/>
    <s v="Regulation"/>
    <m/>
    <n v="5.13"/>
    <x v="0"/>
    <x v="1"/>
    <n v="0"/>
    <s v="BAU"/>
  </r>
  <r>
    <s v="Technical &amp; Functional Debt"/>
    <x v="12"/>
    <s v="Refactoring"/>
    <s v="Axis Service / Spring Boot or Jboss 7"/>
    <s v="AFH"/>
    <m/>
    <n v="0"/>
    <s v="auto"/>
    <s v="OK"/>
    <m/>
    <m/>
    <m/>
    <m/>
    <s v="P1"/>
    <n v="0"/>
    <s v="Sebastien Letniowski"/>
    <m/>
    <s v="IN_STORE"/>
    <s v="Technical Leverage"/>
    <m/>
    <n v="0"/>
    <x v="0"/>
    <x v="1"/>
    <n v="0"/>
    <s v="BAU"/>
  </r>
  <r>
    <s v="Custom / Evolutions for Auchan"/>
    <x v="221"/>
    <s v="Bucket support + Bucket CRs"/>
    <m/>
    <s v="AFH"/>
    <s v="M"/>
    <n v="150"/>
    <s v="override"/>
    <s v="OK"/>
    <n v="25"/>
    <n v="50"/>
    <n v="50"/>
    <n v="25"/>
    <s v="P2"/>
    <n v="150"/>
    <s v="Sylvain Marion"/>
    <s v="Product"/>
    <s v="IN_STORE"/>
    <s v="Support Customers' Projects"/>
    <m/>
    <n v="76.95"/>
    <x v="0"/>
    <x v="1"/>
    <n v="0"/>
    <s v="BAU"/>
  </r>
  <r>
    <s v="Technical &amp; Functional Debt"/>
    <x v="12"/>
    <s v="API &amp; data"/>
    <s v="Including TPVnumber to 32 char ?"/>
    <s v="AFH"/>
    <s v="XS"/>
    <n v="20"/>
    <s v="auto"/>
    <s v="OK"/>
    <n v="5"/>
    <n v="5"/>
    <n v="5"/>
    <n v="5"/>
    <s v="P3"/>
    <n v="20"/>
    <s v="Sebastien Letniowski"/>
    <m/>
    <s v="IN_STORE"/>
    <s v="Technical Leverage"/>
    <m/>
    <n v="10.26"/>
    <x v="1"/>
    <x v="1"/>
    <n v="0"/>
    <s v="BAU"/>
  </r>
  <r>
    <s v="Regulation / VAS &amp; Issuers"/>
    <x v="222"/>
    <s v="Improve spanish footprint"/>
    <s v="ProtectBuy 2.0 support (3DSv2 for Discover)"/>
    <s v="Beyond"/>
    <s v="S"/>
    <n v="20"/>
    <s v="override"/>
    <s v="OK"/>
    <m/>
    <m/>
    <m/>
    <n v="20"/>
    <s v="P5"/>
    <n v="20"/>
    <s v="Pierre Riat"/>
    <m/>
    <s v="ECOM"/>
    <m/>
    <m/>
    <n v="9.66"/>
    <x v="1"/>
    <x v="4"/>
    <n v="0"/>
    <s v="BAU"/>
  </r>
  <r>
    <s v="Security &amp; Risks"/>
    <x v="72"/>
    <s v="Decommission TDES algorithm"/>
    <m/>
    <s v="AFH"/>
    <s v="XS"/>
    <n v="10"/>
    <s v="override"/>
    <s v="OK"/>
    <m/>
    <m/>
    <n v="10"/>
    <m/>
    <s v="P3"/>
    <n v="10"/>
    <s v="Sebastien Letniowski"/>
    <m/>
    <s v="IN_STORE"/>
    <s v="Regulation"/>
    <m/>
    <n v="5.13"/>
    <x v="1"/>
    <x v="1"/>
    <n v="0"/>
    <s v="BAU"/>
  </r>
  <r>
    <s v="[UNITED SYNERGIES] SACC Decomissionning"/>
    <x v="7"/>
    <s v="United - SACC Decomissionning Casino Contingency"/>
    <m/>
    <s v="AFH"/>
    <s v="XL"/>
    <n v="300"/>
    <s v="auto"/>
    <s v="OK"/>
    <m/>
    <m/>
    <n v="100"/>
    <n v="200"/>
    <s v="P4"/>
    <n v="300"/>
    <s v="Sylvain Marion"/>
    <s v="Synergies"/>
    <s v="IN_STORE"/>
    <s v="Support Customers' Projects"/>
    <m/>
    <n v="153.9"/>
    <x v="1"/>
    <x v="1"/>
    <s v="United"/>
    <s v="U&amp;MP"/>
  </r>
  <r>
    <s v="Maintenance"/>
    <x v="5"/>
    <s v="Maintenance Axis"/>
    <m/>
    <s v="AFI"/>
    <s v="L"/>
    <n v="200"/>
    <s v="auto"/>
    <s v="OK"/>
    <n v="50"/>
    <n v="50"/>
    <n v="50"/>
    <n v="50"/>
    <s v="P1"/>
    <n v="200"/>
    <s v="Sylvain Marion"/>
    <s v="Maintenance &amp; Incidents"/>
    <s v="IN_STORE"/>
    <s v="Technical Leverage"/>
    <m/>
    <n v="102.6"/>
    <x v="0"/>
    <x v="1"/>
    <s v="Run"/>
    <s v="RUN"/>
  </r>
  <r>
    <s v="Regulation / VAS &amp; Issuers"/>
    <x v="222"/>
    <s v="Amex (pre-auth clss, file generation, receipt &amp; settl improvements,…) + Bucket"/>
    <m/>
    <s v="AFI"/>
    <s v="L"/>
    <n v="200"/>
    <s v="auto"/>
    <s v="OK"/>
    <n v="50"/>
    <n v="50"/>
    <n v="50"/>
    <n v="50"/>
    <s v="P1"/>
    <n v="200"/>
    <s v="Sylvain Marion"/>
    <s v="Product"/>
    <s v="IN_STORE"/>
    <s v="Simplify Experience"/>
    <m/>
    <n v="102.6"/>
    <x v="0"/>
    <x v="1"/>
    <n v="0"/>
    <s v="BAU"/>
  </r>
  <r>
    <s v="Regulation / VAS &amp; Issuers"/>
    <x v="222"/>
    <s v="Planet (Self, Online eligibility, online refund, BIN 8 digits…) + Bucket"/>
    <m/>
    <s v="AFI"/>
    <s v="L"/>
    <n v="200"/>
    <s v="auto"/>
    <s v="OK"/>
    <n v="50"/>
    <n v="50"/>
    <n v="50"/>
    <n v="50"/>
    <s v="P1"/>
    <n v="200"/>
    <s v="Sylvain Marion"/>
    <s v="Product"/>
    <s v="IN_STORE"/>
    <s v="Simplify Experience"/>
    <m/>
    <n v="102.6"/>
    <x v="0"/>
    <x v="1"/>
    <n v="0"/>
    <s v="BAU"/>
  </r>
  <r>
    <s v="Regulation Axis France CB 6"/>
    <x v="223"/>
    <s v="AXIS – Terminal Parametrization CB6 "/>
    <m/>
    <s v="FRSACOP"/>
    <s v="L"/>
    <n v="150"/>
    <s v="override"/>
    <s v="OK"/>
    <n v="37.5"/>
    <n v="37.5"/>
    <n v="37.5"/>
    <n v="37.5"/>
    <s v="P1"/>
    <n v="150"/>
    <s v="Michael Amsellem"/>
    <m/>
    <s v="COO-PTM"/>
    <m/>
    <m/>
    <n v="73.5"/>
    <x v="0"/>
    <x v="3"/>
    <n v="0"/>
    <s v="BAU"/>
  </r>
  <r>
    <s v="Regulation Axis France CB 6"/>
    <x v="223"/>
    <s v="SACC - Ops/Test - UNITED - Automatisation  Axis"/>
    <m/>
    <s v="FRSACOP"/>
    <s v="S"/>
    <m/>
    <s v="override"/>
    <s v="OK"/>
    <m/>
    <m/>
    <m/>
    <m/>
    <s v="P1"/>
    <n v="0"/>
    <s v="Michael Amsellem"/>
    <m/>
    <s v="COO-PTM"/>
    <m/>
    <m/>
    <n v="0"/>
    <x v="0"/>
    <x v="3"/>
    <n v="0"/>
    <s v="BAU"/>
  </r>
  <r>
    <s v="Remittance &amp; Matching"/>
    <x v="224"/>
    <m/>
    <s v="review done"/>
    <s v="GC Supp1"/>
    <s v="XXXL"/>
    <n v="1680"/>
    <s v="override"/>
    <s v="OK"/>
    <n v="420"/>
    <n v="420"/>
    <n v="420"/>
    <n v="420"/>
    <s v="P5"/>
    <n v="1680"/>
    <s v="Teun Boer"/>
    <s v="Synergies"/>
    <s v="ONLINE"/>
    <s v="Improve User Experience"/>
    <m/>
    <n v="861.84"/>
    <x v="1"/>
    <x v="5"/>
    <s v="United"/>
    <s v="U&amp;MP"/>
  </r>
  <r>
    <s v="Reporting - Incidents"/>
    <x v="225"/>
    <s v="Incident/Problem Handling"/>
    <m/>
    <s v="GC Supp1"/>
    <s v="XXXL"/>
    <n v="600"/>
    <s v="auto"/>
    <s v="OK"/>
    <n v="150"/>
    <n v="150"/>
    <n v="200"/>
    <n v="100"/>
    <s v="P1"/>
    <n v="600"/>
    <s v="Zlatko Bralic"/>
    <s v="Maintenance &amp; Incidents"/>
    <s v="ONLINE"/>
    <s v="Get Basics Right"/>
    <m/>
    <n v="307.8"/>
    <x v="0"/>
    <x v="5"/>
    <s v="Run"/>
    <s v="RUN"/>
  </r>
  <r>
    <s v="Reporting - Tech Debt"/>
    <x v="226"/>
    <s v="Move DR from Miami to Paris"/>
    <m/>
    <s v="GC Supp1"/>
    <s v="M"/>
    <n v="60"/>
    <s v="auto"/>
    <s v="OK"/>
    <n v="10"/>
    <n v="20"/>
    <n v="10"/>
    <n v="20"/>
    <s v="P1"/>
    <n v="60"/>
    <s v="Zlatko Bralic"/>
    <s v="Tech. Debt"/>
    <s v="ONLINE"/>
    <s v="Get Basics Right"/>
    <m/>
    <n v="30.78"/>
    <x v="0"/>
    <x v="5"/>
    <s v="Single Project"/>
    <s v="BAU"/>
  </r>
  <r>
    <s v="Reporting - Tech Debt"/>
    <x v="226"/>
    <s v="Move DC to Global Infra"/>
    <m/>
    <s v="GC Supp1"/>
    <s v="M"/>
    <n v="180"/>
    <s v="auto"/>
    <s v="OK"/>
    <n v="40"/>
    <n v="30"/>
    <n v="50"/>
    <n v="60"/>
    <s v="P1"/>
    <n v="180"/>
    <s v="Zlatko Bralic"/>
    <s v="Tech. Debt"/>
    <s v="ONLINE"/>
    <s v="Get Basics Right"/>
    <m/>
    <n v="92.34"/>
    <x v="0"/>
    <x v="5"/>
    <s v="Single Project"/>
    <s v="BAU"/>
  </r>
  <r>
    <s v="Reporting - Tech Debt"/>
    <x v="226"/>
    <s v="DB optimization for EXA Decom"/>
    <m/>
    <s v="GC Supp1"/>
    <s v="M"/>
    <n v="180"/>
    <s v="auto"/>
    <s v="OK"/>
    <n v="20"/>
    <n v="50"/>
    <n v="50"/>
    <n v="60"/>
    <s v="P1"/>
    <n v="180"/>
    <s v="Zlatko Bralic"/>
    <s v="Tech. Debt"/>
    <s v="ONLINE"/>
    <s v="Get Basics Right"/>
    <m/>
    <n v="92.34"/>
    <x v="0"/>
    <x v="5"/>
    <s v="Single Project"/>
    <s v="BAU"/>
  </r>
  <r>
    <s v="Reporting - Tech Debt"/>
    <x v="226"/>
    <s v="AML Maintenance"/>
    <m/>
    <s v="GC Supp1"/>
    <s v="S"/>
    <n v="60"/>
    <s v="auto"/>
    <s v="OK"/>
    <n v="10"/>
    <n v="20"/>
    <n v="20"/>
    <n v="10"/>
    <s v="P1"/>
    <n v="60"/>
    <s v="Zlatko Bralic"/>
    <s v="Tech. Debt"/>
    <s v="ONLINE"/>
    <s v="Get Basics Right"/>
    <m/>
    <n v="30.78"/>
    <x v="0"/>
    <x v="5"/>
    <s v="Single Project"/>
    <s v="BAU"/>
  </r>
  <r>
    <s v="Reporting - Tech Debt"/>
    <x v="226"/>
    <s v="IO Maintenance"/>
    <m/>
    <s v="GC Supp1"/>
    <s v="S"/>
    <n v="60"/>
    <s v="auto"/>
    <s v="OK"/>
    <n v="10"/>
    <n v="20"/>
    <n v="20"/>
    <n v="10"/>
    <s v="P1"/>
    <n v="60"/>
    <s v="Zlatko Bralic"/>
    <s v="Tech. Debt"/>
    <s v="ONLINE"/>
    <s v="Get Basics Right"/>
    <m/>
    <n v="30.78"/>
    <x v="0"/>
    <x v="5"/>
    <s v="Single Project"/>
    <s v="BAU"/>
  </r>
  <r>
    <s v="Reporting - Tech Debt"/>
    <x v="226"/>
    <s v="Test automation"/>
    <m/>
    <s v="GC Supp1"/>
    <s v="S"/>
    <n v="60"/>
    <s v="auto"/>
    <s v="OK"/>
    <n v="20"/>
    <n v="10"/>
    <n v="20"/>
    <n v="10"/>
    <s v="P1"/>
    <n v="60"/>
    <s v="Zlatko Bralic"/>
    <s v="Tech. Debt"/>
    <s v="ONLINE"/>
    <s v="Get Basics Right"/>
    <m/>
    <n v="30.78"/>
    <x v="0"/>
    <x v="5"/>
    <s v="Single Project"/>
    <s v="BAU"/>
  </r>
  <r>
    <s v="Reporting - Tech Debt"/>
    <x v="226"/>
    <s v="Direct Integration Finance"/>
    <m/>
    <s v="GC Supp1"/>
    <s v="S"/>
    <n v="60"/>
    <s v="auto"/>
    <s v="OK"/>
    <n v="20"/>
    <n v="10"/>
    <n v="20"/>
    <n v="10"/>
    <s v="P1"/>
    <n v="60"/>
    <s v="Zlatko Bralic"/>
    <s v="Tech. Debt"/>
    <s v="ONLINE"/>
    <s v="Get Basics Right"/>
    <m/>
    <n v="30.78"/>
    <x v="0"/>
    <x v="5"/>
    <s v="Single Project"/>
    <s v="BAU"/>
  </r>
  <r>
    <s v="Conexflow migration"/>
    <x v="8"/>
    <s v="[2021's target] Euroshell card acceptance (CSACT-836)(CSACT-1093)"/>
    <s v="Euroshell (CSACT)"/>
    <s v="CSACT DSA"/>
    <s v="M"/>
    <n v="150"/>
    <s v="override"/>
    <s v="OK"/>
    <n v="50"/>
    <n v="50"/>
    <n v="50"/>
    <m/>
    <s v="P1"/>
    <n v="150"/>
    <s v="Ismael Jaafar"/>
    <s v="Tech. Debt"/>
    <s v="IN_STORE"/>
    <s v="Technical Leverage"/>
    <m/>
    <n v="76.95"/>
    <x v="0"/>
    <x v="18"/>
    <n v="0"/>
    <s v="BAU"/>
  </r>
  <r>
    <s v="Roadmap - BSP Improvements"/>
    <x v="227"/>
    <s v="Routing capability in BSP"/>
    <s v="This is part of the 3 year plan of Travel vertical. We can only do this development if we have 3.5 dev in total in the Fiji team."/>
    <s v="GC Vertical"/>
    <s v="L"/>
    <n v="200"/>
    <s v="auto"/>
    <s v="OK"/>
    <m/>
    <n v="50"/>
    <n v="50"/>
    <n v="100"/>
    <s v="P5"/>
    <n v="200"/>
    <s v="KP"/>
    <s v="Product"/>
    <s v="ONLINE"/>
    <m/>
    <s v="We can only do this if we have approval for 1FTE"/>
    <n v="102.6"/>
    <x v="1"/>
    <x v="5"/>
    <s v="Single Project"/>
    <s v="BAU"/>
  </r>
  <r>
    <s v="Roadmap - BSP Improvements"/>
    <x v="227"/>
    <s v="Remittance based on itinerary data"/>
    <s v="Remit to airlines based on flight ticket changes to increase risk apetite"/>
    <s v="GC Supp1"/>
    <s v="M"/>
    <n v="240"/>
    <s v="auto"/>
    <s v="OK"/>
    <n v="80"/>
    <m/>
    <n v="60"/>
    <n v="100"/>
    <s v="P1"/>
    <n v="240"/>
    <s v="Zlatko Bralic"/>
    <s v="Product"/>
    <s v="ONLINE"/>
    <s v="Vertical Solutions"/>
    <m/>
    <n v="123.12"/>
    <x v="0"/>
    <x v="5"/>
    <s v="Single Project"/>
    <s v="BAU"/>
  </r>
  <r>
    <s v="Roadmap - BSP Improvements"/>
    <x v="227"/>
    <s v="Remittance based on itinerary data"/>
    <s v="Remit to airlines based on flight ticket changes to increase risk apetite"/>
    <s v="GC Vertical"/>
    <s v="L"/>
    <n v="200"/>
    <s v="auto"/>
    <s v="OK"/>
    <m/>
    <m/>
    <n v="100"/>
    <n v="100"/>
    <s v="P1"/>
    <n v="200"/>
    <s v="KP"/>
    <s v="Product"/>
    <s v="ONLINE"/>
    <s v="Vertical Solutions"/>
    <m/>
    <n v="102.6"/>
    <x v="0"/>
    <x v="5"/>
    <s v="Single Project"/>
    <s v="BAU"/>
  </r>
  <r>
    <s v="Roadmap - BSP Improvements"/>
    <x v="227"/>
    <s v="BSP direct connection to IATA"/>
    <s v="Direct connection will help reduce cost of inbetween partner"/>
    <s v="GC Vertical"/>
    <s v="M"/>
    <n v="100"/>
    <s v="auto"/>
    <s v="OK"/>
    <m/>
    <n v="100"/>
    <m/>
    <m/>
    <s v="P1"/>
    <n v="100"/>
    <s v="KP"/>
    <s v="Product"/>
    <s v="ONLINE"/>
    <s v="Vertical Solutions"/>
    <m/>
    <n v="51.3"/>
    <x v="0"/>
    <x v="5"/>
    <s v="Single Project"/>
    <s v="BAU"/>
  </r>
  <r>
    <s v="Roadmap - BSP Improvements"/>
    <x v="227"/>
    <s v="DISH23 for Bambora (to send 3DS data)"/>
    <s v="Compliance and BSP related upgraders"/>
    <s v="GC Vertical"/>
    <s v="M"/>
    <n v="100"/>
    <s v="auto"/>
    <s v="OK"/>
    <n v="100"/>
    <m/>
    <m/>
    <m/>
    <s v="P1"/>
    <n v="100"/>
    <s v="KP"/>
    <s v="Product"/>
    <s v="ONLINE"/>
    <s v="Regulation Compliance"/>
    <m/>
    <n v="51.3"/>
    <x v="0"/>
    <x v="5"/>
    <s v="Single Project"/>
    <s v="BAU"/>
  </r>
  <r>
    <s v="Roadmap - BSP Improvements"/>
    <x v="227"/>
    <s v="DISH23 for Bambora (to send 3DS data)"/>
    <s v="Compliance and BSP related upgraders"/>
    <s v="GC Supp1"/>
    <s v="S"/>
    <n v="120"/>
    <s v="auto"/>
    <s v="OK"/>
    <n v="120"/>
    <m/>
    <m/>
    <m/>
    <s v="P1"/>
    <n v="120"/>
    <s v="Zlatko Bralic"/>
    <s v="Product"/>
    <s v="ONLINE"/>
    <s v="Vertical Solutions"/>
    <m/>
    <n v="61.56"/>
    <x v="0"/>
    <x v="5"/>
    <s v="Single Project"/>
    <s v="BAU"/>
  </r>
  <r>
    <s v="Roadmap - Fraud as Service"/>
    <x v="228"/>
    <s v="Fraud as a Service_x000a_"/>
    <m/>
    <s v="GC Supp2"/>
    <s v="M"/>
    <n v="210"/>
    <s v="auto"/>
    <s v="OK"/>
    <m/>
    <n v="140"/>
    <m/>
    <n v="70"/>
    <s v="P1"/>
    <n v="210"/>
    <s v="Zlatko Bralic"/>
    <s v="Synergies"/>
    <s v="ONLINE"/>
    <s v="Make Data Talk"/>
    <m/>
    <n v="107.73"/>
    <x v="0"/>
    <x v="5"/>
    <s v="Single Project"/>
    <s v="BAU"/>
  </r>
  <r>
    <s v="Roadmap - Fraud as Service"/>
    <x v="228"/>
    <s v="Microsoft DFP"/>
    <m/>
    <s v="GC Supp2"/>
    <s v="M"/>
    <n v="180"/>
    <s v="auto"/>
    <s v="OK"/>
    <n v="90"/>
    <n v="90"/>
    <m/>
    <m/>
    <s v="P1"/>
    <n v="180"/>
    <s v="Zlatko Bralic"/>
    <s v="Product"/>
    <s v="ONLINE"/>
    <s v="Improve User Experience"/>
    <m/>
    <n v="92.34"/>
    <x v="0"/>
    <x v="5"/>
    <s v="Single Project"/>
    <s v="BAU"/>
  </r>
  <r>
    <s v="Roadmap - Fraud as Service"/>
    <x v="228"/>
    <s v="Microsoft DFP"/>
    <m/>
    <s v="Ops DC-I"/>
    <s v="XXS"/>
    <n v="10"/>
    <s v="auto"/>
    <s v="OK"/>
    <n v="5"/>
    <n v="3"/>
    <n v="2"/>
    <m/>
    <s v="P1"/>
    <n v="10"/>
    <s v="Zlatko Bralic"/>
    <s v="Product"/>
    <s v="ONLINE"/>
    <m/>
    <m/>
    <n v="5"/>
    <x v="0"/>
    <x v="8"/>
    <s v="Single Project"/>
    <s v="BAU"/>
  </r>
  <r>
    <s v="Roadmap - Fraud Tools"/>
    <x v="229"/>
    <s v="RED upgrade/enhancements"/>
    <m/>
    <s v="GC Supp2"/>
    <s v="M"/>
    <n v="145"/>
    <s v="auto"/>
    <s v="OK"/>
    <n v="100"/>
    <n v="45"/>
    <n v="0"/>
    <m/>
    <s v="P1"/>
    <n v="145"/>
    <s v="Zlatko Bralic"/>
    <s v="Product"/>
    <s v="ONLINE"/>
    <s v="Improve User Experience"/>
    <m/>
    <n v="74.385000000000005"/>
    <x v="0"/>
    <x v="5"/>
    <s v="Single Project"/>
    <s v="BAU"/>
  </r>
  <r>
    <s v="Roadmap - Fraud Tools"/>
    <x v="229"/>
    <s v="FraudFree Upgrade"/>
    <m/>
    <s v="GC Supp2"/>
    <s v="M"/>
    <n v="175"/>
    <s v="auto"/>
    <s v="OK"/>
    <m/>
    <m/>
    <n v="175"/>
    <m/>
    <s v="P1"/>
    <n v="175"/>
    <s v="Zlatko Bralic"/>
    <s v="Product"/>
    <s v="ONLINE"/>
    <s v="Improve User Experience"/>
    <m/>
    <n v="89.775000000000006"/>
    <x v="0"/>
    <x v="5"/>
    <s v="Single Project"/>
    <s v="BAU"/>
  </r>
  <r>
    <s v="Roadmap - Fraud Tools"/>
    <x v="229"/>
    <s v="Enabling LPMs for Fraud Screening"/>
    <m/>
    <s v="GC Supp2"/>
    <s v="M"/>
    <n v="180"/>
    <s v="auto"/>
    <s v="OK"/>
    <m/>
    <m/>
    <n v="180"/>
    <m/>
    <s v="P1"/>
    <n v="180"/>
    <s v="Zlatko Bralic"/>
    <s v="Product"/>
    <s v="ONLINE"/>
    <s v="Improve User Experience"/>
    <m/>
    <n v="92.34"/>
    <x v="0"/>
    <x v="5"/>
    <s v="Single Project"/>
    <s v="BAU"/>
  </r>
  <r>
    <s v="Roadmap - Insight - Dispute Management"/>
    <x v="230"/>
    <s v="Insight - Dispute Management"/>
    <m/>
    <s v="Omnibus_NL"/>
    <s v="M"/>
    <n v="0"/>
    <s v="auto"/>
    <s v="OK"/>
    <m/>
    <m/>
    <m/>
    <m/>
    <s v="P1"/>
    <n v="0"/>
    <s v="Zlatko Bralic"/>
    <s v="Product"/>
    <s v="OCH"/>
    <m/>
    <m/>
    <n v="0"/>
    <x v="0"/>
    <x v="2"/>
    <n v="0"/>
    <s v="BAU"/>
  </r>
  <r>
    <s v="Roadmap - Insight - Functional improvements Part I"/>
    <x v="231"/>
    <s v="Insight - Landing Page V2"/>
    <m/>
    <s v="Omnibus_NL"/>
    <s v="M"/>
    <n v="0"/>
    <s v="auto"/>
    <s v="OK"/>
    <m/>
    <m/>
    <m/>
    <m/>
    <s v="P1"/>
    <n v="0"/>
    <s v="Zlatko Bralic"/>
    <s v="Product"/>
    <s v="OCH"/>
    <m/>
    <m/>
    <n v="0"/>
    <x v="0"/>
    <x v="2"/>
    <n v="0"/>
    <s v="BAU"/>
  </r>
  <r>
    <s v="Roadmap - Insight - Functional improvements Part I"/>
    <x v="231"/>
    <s v="Insight - Audit Trail"/>
    <m/>
    <s v="Omnibus_NL"/>
    <s v="M"/>
    <n v="0"/>
    <s v="auto"/>
    <s v="OK"/>
    <m/>
    <m/>
    <m/>
    <m/>
    <s v="P1"/>
    <n v="0"/>
    <s v="Zlatko Bralic"/>
    <s v="Product"/>
    <s v="OCH"/>
    <m/>
    <m/>
    <n v="0"/>
    <x v="0"/>
    <x v="2"/>
    <n v="0"/>
    <s v="BAU"/>
  </r>
  <r>
    <s v="Roadmap - Insight - Refunds"/>
    <x v="232"/>
    <s v="Insight - Bulk Refunds"/>
    <m/>
    <s v="Omnibus_NL"/>
    <s v="M"/>
    <n v="0"/>
    <s v="auto"/>
    <s v="OK"/>
    <m/>
    <m/>
    <m/>
    <m/>
    <s v="P1"/>
    <n v="0"/>
    <s v="Zlatko Bralic"/>
    <s v="Product"/>
    <s v="OCH"/>
    <m/>
    <m/>
    <n v="0"/>
    <x v="0"/>
    <x v="2"/>
    <n v="0"/>
    <s v="BAU"/>
  </r>
  <r>
    <s v="Roadmap - Reports - Functional Improvements"/>
    <x v="233"/>
    <s v="TC40/SAFE"/>
    <m/>
    <s v="GC Supp1"/>
    <s v="L"/>
    <n v="240"/>
    <s v="auto"/>
    <s v="OK"/>
    <n v="120"/>
    <n v="50"/>
    <n v="50"/>
    <n v="20"/>
    <s v="P1"/>
    <n v="240"/>
    <s v="Zlatko Bralic"/>
    <s v="Product"/>
    <s v="ONLINE"/>
    <s v="Regulation Compliance"/>
    <m/>
    <n v="123.12"/>
    <x v="0"/>
    <x v="5"/>
    <s v="Single Project"/>
    <s v="BAU"/>
  </r>
  <r>
    <s v="Roadmap - Reverse API"/>
    <x v="234"/>
    <s v="Google"/>
    <s v="Google"/>
    <s v="GC Supp1"/>
    <s v="S"/>
    <n v="240"/>
    <s v="auto"/>
    <s v="OK"/>
    <n v="240"/>
    <n v="0"/>
    <n v="0"/>
    <n v="0"/>
    <s v="P1"/>
    <n v="240"/>
    <s v="Zlatko Bralic"/>
    <s v="Product"/>
    <s v="ONLINE"/>
    <s v="Key Client Projects"/>
    <m/>
    <n v="123.12"/>
    <x v="0"/>
    <x v="5"/>
    <s v="Single Project"/>
    <s v="BAU"/>
  </r>
  <r>
    <s v="Roadmap - Sub1 - Compliance"/>
    <x v="235"/>
    <s v="Sub1 Product"/>
    <s v="Compliance"/>
    <s v="Sub1"/>
    <s v="S"/>
    <n v="140"/>
    <s v="auto"/>
    <s v="OK"/>
    <n v="60"/>
    <n v="80"/>
    <n v="0"/>
    <n v="0"/>
    <s v="P1"/>
    <n v="140"/>
    <s v="Shekhar Kachole"/>
    <s v="Product"/>
    <s v="ONLINE"/>
    <m/>
    <m/>
    <n v="71.819999999999993"/>
    <x v="0"/>
    <x v="23"/>
    <n v="0"/>
    <s v="BAU"/>
  </r>
  <r>
    <s v="Roadmap - Sub1 - Product Improvements"/>
    <x v="236"/>
    <s v="Sub1 Product"/>
    <s v="Product Improvements"/>
    <s v="Sub1"/>
    <s v="S"/>
    <n v="176"/>
    <s v="auto"/>
    <s v="OK"/>
    <n v="38"/>
    <n v="42"/>
    <n v="48"/>
    <n v="48"/>
    <s v="P1"/>
    <n v="176"/>
    <s v="Shekhar Kachole"/>
    <s v="Product"/>
    <s v="ONLINE"/>
    <m/>
    <m/>
    <n v="90.287999999999997"/>
    <x v="0"/>
    <x v="23"/>
    <n v="0"/>
    <s v="BAU"/>
  </r>
  <r>
    <s v="Roadmap - Travel Linkplus integration"/>
    <x v="237"/>
    <s v="LinkPlus SMS/WhatsApp"/>
    <s v="LinkPlus SMS/WhatsApp"/>
    <s v="GC Vertical"/>
    <s v="M"/>
    <n v="100"/>
    <s v="auto"/>
    <s v="OK"/>
    <m/>
    <n v="25"/>
    <n v="75"/>
    <m/>
    <s v="P1"/>
    <n v="100"/>
    <s v="KP"/>
    <s v="Product"/>
    <s v="ONLINE"/>
    <s v="Improve User Experience"/>
    <m/>
    <n v="51.3"/>
    <x v="0"/>
    <x v="5"/>
    <s v="Single Project"/>
    <s v="BAU"/>
  </r>
  <r>
    <s v="Roadmap - Travel Linkplus integration"/>
    <x v="237"/>
    <s v="LinkPlus self-service improvement (user management)"/>
    <s v="LinkPlus self-service improvement (user management)"/>
    <s v="GC Vertical"/>
    <s v="M"/>
    <n v="100"/>
    <s v="auto"/>
    <s v="OK"/>
    <m/>
    <m/>
    <n v="25"/>
    <n v="75"/>
    <s v="P1"/>
    <n v="100"/>
    <s v="KP"/>
    <s v="Product"/>
    <s v="ONLINE"/>
    <s v="Improve User Experience"/>
    <m/>
    <n v="51.3"/>
    <x v="0"/>
    <x v="5"/>
    <s v="Single Project"/>
    <s v="BAU"/>
  </r>
  <r>
    <s v="Roadmap - Travel Linkplus integration"/>
    <x v="237"/>
    <s v="Default template and template managements for new merchants"/>
    <s v="Default template and template managements for new merchants"/>
    <s v="GC Vertical"/>
    <s v="S"/>
    <n v="50"/>
    <s v="auto"/>
    <s v="OK"/>
    <n v="50"/>
    <m/>
    <m/>
    <m/>
    <s v="P1"/>
    <n v="50"/>
    <s v="KP"/>
    <s v="Product"/>
    <s v="ONLINE"/>
    <s v="Improve User Experience"/>
    <m/>
    <n v="25.65"/>
    <x v="0"/>
    <x v="5"/>
    <s v="Single Project"/>
    <s v="BAU"/>
  </r>
  <r>
    <s v="Roadmap - Travel Linkplus integration"/>
    <x v="237"/>
    <s v="airline data, lodging data"/>
    <s v="airline data, lodging data"/>
    <s v="GC Vertical"/>
    <s v="S"/>
    <n v="50"/>
    <s v="auto"/>
    <s v="OK"/>
    <m/>
    <n v="50"/>
    <m/>
    <m/>
    <s v="P1"/>
    <n v="50"/>
    <s v="KP"/>
    <s v="Product"/>
    <s v="ONLINE"/>
    <s v="Make Data Talk"/>
    <m/>
    <n v="25.65"/>
    <x v="0"/>
    <x v="5"/>
    <s v="Single Project"/>
    <s v="BAU"/>
  </r>
  <r>
    <s v="Roadmap - Travelhub Improvements"/>
    <x v="238"/>
    <s v="Scheme tokenization on TravelHub_x000a_"/>
    <s v="Scheme tokenization on TravelHub_x000a_"/>
    <s v="GC Vertical"/>
    <s v="M"/>
    <n v="100"/>
    <s v="auto"/>
    <s v="OK"/>
    <n v="100"/>
    <m/>
    <m/>
    <m/>
    <s v="P1"/>
    <n v="100"/>
    <s v="KP"/>
    <s v="Product"/>
    <s v="ONLINE"/>
    <s v="Vertical Solutions"/>
    <m/>
    <n v="51.3"/>
    <x v="0"/>
    <x v="5"/>
    <s v="Single Project"/>
    <s v="BAU"/>
  </r>
  <r>
    <s v="Roadmap - Travelhub Improvements"/>
    <x v="238"/>
    <s v="Local payment methods on TravelHub"/>
    <s v="Open banking (or somethings else)"/>
    <s v="GC Vertical"/>
    <s v="S"/>
    <n v="50"/>
    <s v="auto"/>
    <s v="OK"/>
    <m/>
    <m/>
    <n v="50"/>
    <m/>
    <s v="P1"/>
    <n v="50"/>
    <s v="KP"/>
    <s v="Product"/>
    <s v="ONLINE"/>
    <s v="Vertical Solutions"/>
    <m/>
    <n v="25.65"/>
    <x v="0"/>
    <x v="5"/>
    <s v="Single Project"/>
    <s v="BAU"/>
  </r>
  <r>
    <s v="Roadmap - Travelhub Improvements"/>
    <x v="238"/>
    <s v="Guarantee FX on travelHub_x000a_"/>
    <s v="Guarantee FX on travelHub TPA_x000a_"/>
    <s v="GC Vertical"/>
    <s v="M"/>
    <n v="100"/>
    <s v="auto"/>
    <s v="OK"/>
    <m/>
    <n v="100"/>
    <m/>
    <m/>
    <s v="P1"/>
    <n v="100"/>
    <s v="KP"/>
    <s v="Product"/>
    <s v="ONLINE"/>
    <s v="Vertical Solutions"/>
    <m/>
    <n v="51.3"/>
    <x v="0"/>
    <x v="5"/>
    <s v="Single Project"/>
    <s v="BAU"/>
  </r>
  <r>
    <s v="Roadmap - Travelhub Improvements"/>
    <x v="238"/>
    <s v="Fraud as a standalone service on TravelHub_x000a_"/>
    <s v="Fraud as a standalone service on TravelHub_x000a_"/>
    <s v="GC Vertical"/>
    <s v="L"/>
    <n v="200"/>
    <s v="auto"/>
    <s v="OK"/>
    <m/>
    <m/>
    <n v="50"/>
    <n v="150"/>
    <s v="P1"/>
    <n v="200"/>
    <s v="KP"/>
    <s v="Product"/>
    <s v="ONLINE"/>
    <s v="Vertical Solutions"/>
    <m/>
    <n v="102.6"/>
    <x v="0"/>
    <x v="5"/>
    <s v="Single Project"/>
    <s v="BAU"/>
  </r>
  <r>
    <s v="Roadmap - Travelhub Improvements"/>
    <x v="238"/>
    <s v="Local payment methods on TravelHub"/>
    <s v="BNPL"/>
    <s v="GC Vertical"/>
    <s v="S"/>
    <n v="50"/>
    <s v="auto"/>
    <s v="OK"/>
    <m/>
    <m/>
    <n v="50"/>
    <m/>
    <s v="P1"/>
    <n v="50"/>
    <s v="KP"/>
    <s v="Product"/>
    <s v="ONLINE"/>
    <s v="Vertical Solutions"/>
    <m/>
    <n v="25.65"/>
    <x v="0"/>
    <x v="5"/>
    <s v="Single Project"/>
    <s v="BAU"/>
  </r>
  <r>
    <s v="Roadmap - Travelhub Improvements"/>
    <x v="238"/>
    <s v="Small feature enhancement"/>
    <s v="3DSv2 update for Synxis, lodging data on TravelHub, invoicing logic"/>
    <s v="GC Vertical"/>
    <s v="M"/>
    <n v="100"/>
    <s v="auto"/>
    <s v="OK"/>
    <n v="25"/>
    <n v="25"/>
    <n v="25"/>
    <n v="25"/>
    <s v="P1"/>
    <n v="100"/>
    <s v="KP"/>
    <s v="Product"/>
    <s v="ONLINE"/>
    <s v="Get Basics Right"/>
    <m/>
    <n v="51.3"/>
    <x v="0"/>
    <x v="5"/>
    <s v="Single Project"/>
    <s v="BAU"/>
  </r>
  <r>
    <s v="Roadmap - UXT - Data analytics improvements"/>
    <x v="239"/>
    <s v="Spill-over - Data collection and dashboards on integration/HPP"/>
    <s v="GO-601 &amp; GO-126"/>
    <s v="Gemini"/>
    <s v="M"/>
    <n v="100"/>
    <s v="auto"/>
    <s v="OK"/>
    <n v="50"/>
    <n v="50"/>
    <m/>
    <m/>
    <s v="P1"/>
    <n v="100"/>
    <s v="Rik van 't Hof"/>
    <s v="Product"/>
    <s v="ONLINE"/>
    <m/>
    <m/>
    <n v="51.3"/>
    <x v="0"/>
    <x v="5"/>
    <s v="Single Project"/>
    <s v="BAU"/>
  </r>
  <r>
    <s v="Roadmap - UXT - Functional improvements Part I"/>
    <x v="240"/>
    <s v="Spill-over - Tagging of transactions"/>
    <s v="GO-600"/>
    <s v="Iron Hills"/>
    <s v="S"/>
    <n v="70"/>
    <s v="auto"/>
    <s v="OK"/>
    <n v="50"/>
    <n v="20"/>
    <m/>
    <m/>
    <s v="P1"/>
    <n v="70"/>
    <s v="Rik van 't Hof"/>
    <s v="Product"/>
    <s v="ONLINE"/>
    <m/>
    <m/>
    <n v="35.909999999999997"/>
    <x v="0"/>
    <x v="5"/>
    <s v="Single Project"/>
    <s v="BAU"/>
  </r>
  <r>
    <s v="Roadmap - UXT - Merchant Portal"/>
    <x v="241"/>
    <s v="Spill-over - Merchant Portal"/>
    <s v="To do done by shared services team"/>
    <s v="Omnibus_NL"/>
    <s v="M"/>
    <n v="150"/>
    <s v="auto"/>
    <s v="OK"/>
    <n v="100"/>
    <n v="50"/>
    <m/>
    <m/>
    <s v="P1"/>
    <n v="150"/>
    <s v="Rik van 't Hof"/>
    <s v="Product"/>
    <s v="OCH"/>
    <m/>
    <m/>
    <n v="76.95"/>
    <x v="0"/>
    <x v="2"/>
    <s v="Single Project"/>
    <s v="BAU"/>
  </r>
  <r>
    <s v="Roadmap - WOPA - BO Functional Improvements"/>
    <x v="242"/>
    <s v="Product/Synergies TBD"/>
    <m/>
    <s v="WOPA Supp"/>
    <s v="XXXL"/>
    <n v="569"/>
    <s v="auto"/>
    <s v="OK"/>
    <n v="82"/>
    <n v="100"/>
    <n v="100"/>
    <n v="287"/>
    <s v="P1"/>
    <n v="569"/>
    <s v="Zlatko Bralic"/>
    <s v="Synergies"/>
    <s v="ONLINE"/>
    <s v="Get Basics Right"/>
    <m/>
    <n v="291.89699999999999"/>
    <x v="0"/>
    <x v="0"/>
    <s v="Single Project"/>
    <s v="BAU"/>
  </r>
  <r>
    <s v="Roadmap - WOPA - Tech Debt"/>
    <x v="243"/>
    <s v="Tech Debt"/>
    <m/>
    <s v="WOPA Supp"/>
    <s v="XXXL"/>
    <n v="220"/>
    <s v="auto"/>
    <s v="OK"/>
    <n v="50"/>
    <n v="50"/>
    <n v="50"/>
    <n v="70"/>
    <s v="P1"/>
    <n v="220"/>
    <s v="Zlatko Bralic"/>
    <s v="Tech. Debt"/>
    <s v="ONLINE"/>
    <s v="Get Basics Right"/>
    <m/>
    <n v="112.86"/>
    <x v="0"/>
    <x v="0"/>
    <s v="Single Project"/>
    <s v="BAU"/>
  </r>
  <r>
    <s v="Regulation / VAS &amp; Issuers"/>
    <x v="222"/>
    <s v="Cetelem (CETNCB Digital, Duplicate mgt) + Bucket"/>
    <m/>
    <s v="AFI"/>
    <s v="M"/>
    <n v="100"/>
    <s v="auto"/>
    <s v="OK"/>
    <n v="50"/>
    <n v="50"/>
    <m/>
    <m/>
    <s v="P1"/>
    <n v="100"/>
    <s v="Sylvain Marion"/>
    <s v="Product"/>
    <s v="IN_STORE"/>
    <s v="Simplify Experience"/>
    <m/>
    <n v="51.3"/>
    <x v="0"/>
    <x v="1"/>
    <n v="0"/>
    <s v="BAU"/>
  </r>
  <r>
    <s v="Regulation / VAS &amp; Issuers"/>
    <x v="222"/>
    <s v="Global Blue (Self, MLv3, BIN 8 digits...) + Bucket"/>
    <m/>
    <s v="AFI"/>
    <s v="M"/>
    <n v="100"/>
    <s v="auto"/>
    <s v="OK"/>
    <n v="50"/>
    <n v="50"/>
    <m/>
    <m/>
    <s v="P1"/>
    <n v="100"/>
    <s v="Sylvain Marion"/>
    <s v="Product"/>
    <s v="IN_STORE"/>
    <s v="Simplify Experience"/>
    <m/>
    <n v="51.3"/>
    <x v="0"/>
    <x v="1"/>
    <n v="0"/>
    <s v="BAU"/>
  </r>
  <r>
    <s v="Technical &amp; Functional Debt"/>
    <x v="12"/>
    <s v="Maintenance and BAU support"/>
    <s v="20% support"/>
    <s v="AFI"/>
    <s v="M"/>
    <n v="100"/>
    <s v="auto"/>
    <s v="OK"/>
    <n v="25"/>
    <n v="25"/>
    <n v="25"/>
    <n v="25"/>
    <s v="P1"/>
    <n v="100"/>
    <s v="Pierre-Olivier chaplain"/>
    <s v="Maintenance &amp; Incidents"/>
    <s v="IN_STORE"/>
    <s v="Technical Leverage"/>
    <m/>
    <n v="51.3"/>
    <x v="0"/>
    <x v="1"/>
    <n v="0"/>
    <s v="BAU"/>
  </r>
  <r>
    <s v="Verticals - Parking/EV Charging / Vending Self/2-4-5000"/>
    <x v="99"/>
    <s v="[Self-Service] AMEX on SELF/2-4-5-7&amp;8000 with MT/MR for EV Charging &amp; Parking "/>
    <s v="AMEX in EV Charging, parking &amp; Pay On foot"/>
    <s v="AFI"/>
    <s v="M"/>
    <n v="100"/>
    <s v="auto"/>
    <s v="OK"/>
    <n v="50"/>
    <n v="50"/>
    <m/>
    <m/>
    <s v="P1"/>
    <n v="100"/>
    <s v="Thierry Fortune"/>
    <s v="Product"/>
    <s v="IN_STORE"/>
    <m/>
    <m/>
    <n v="51.3"/>
    <x v="0"/>
    <x v="1"/>
    <n v="0"/>
    <s v="BAU"/>
  </r>
  <r>
    <s v="Technical &amp; Functional Debt"/>
    <x v="12"/>
    <s v="Robustness"/>
    <s v="Rework Axis payment application logs to allow easy access to production log for developers &amp; project manager"/>
    <s v="AFI"/>
    <s v="S"/>
    <n v="50"/>
    <s v="auto"/>
    <s v="OK"/>
    <n v="20"/>
    <n v="20"/>
    <n v="10"/>
    <m/>
    <s v="P1"/>
    <n v="50"/>
    <s v="Pierre-Olivier chaplain"/>
    <s v="Tech. Debt"/>
    <s v="IN_STORE"/>
    <s v="Technical Leverage"/>
    <m/>
    <n v="25.65"/>
    <x v="0"/>
    <x v="1"/>
    <n v="0"/>
    <s v="BAU"/>
  </r>
  <r>
    <s v="Security &amp; Risks"/>
    <x v="72"/>
    <s v="Decommission TDES algorithm"/>
    <s v="Bug fixing"/>
    <s v="AFI"/>
    <s v="XS"/>
    <n v="20"/>
    <s v="auto"/>
    <s v="OK"/>
    <m/>
    <m/>
    <n v="20"/>
    <m/>
    <s v="P1"/>
    <n v="20"/>
    <s v="Pierre-Olivier chaplain"/>
    <s v="Tech. Debt"/>
    <s v="IN_STORE"/>
    <s v="Regulation"/>
    <m/>
    <n v="10.26"/>
    <x v="0"/>
    <x v="1"/>
    <n v="0"/>
    <s v="BAU"/>
  </r>
  <r>
    <s v="Technical &amp; Functional Debt"/>
    <x v="12"/>
    <s v="API &amp; data"/>
    <s v="PaymentID as UUID (list applicatins)"/>
    <s v="AFI"/>
    <s v="XS"/>
    <n v="20"/>
    <s v="auto"/>
    <s v="OK"/>
    <m/>
    <m/>
    <n v="20"/>
    <m/>
    <s v="P1"/>
    <n v="20"/>
    <s v="Pierre-Olivier chaplain"/>
    <s v="Tech. Debt"/>
    <s v="IN_STORE"/>
    <s v="Technical Leverage"/>
    <m/>
    <n v="10.26"/>
    <x v="0"/>
    <x v="1"/>
    <n v="0"/>
    <s v="BAU"/>
  </r>
  <r>
    <s v="Technical &amp; Functional Debt"/>
    <x v="12"/>
    <s v="API &amp; data"/>
    <s v="Including TPVnumber to 32 char (list applications)"/>
    <s v="AFI"/>
    <s v="XS"/>
    <n v="20"/>
    <s v="auto"/>
    <s v="OK"/>
    <m/>
    <n v="20"/>
    <m/>
    <m/>
    <s v="P1"/>
    <n v="20"/>
    <s v="Pierre-Olivier chaplain"/>
    <s v="Tech. Debt"/>
    <s v="IN_STORE"/>
    <s v="Technical Leverage"/>
    <m/>
    <n v="10.26"/>
    <x v="0"/>
    <x v="1"/>
    <n v="0"/>
    <s v="BAU"/>
  </r>
  <r>
    <s v="Technical &amp; Functional Debt"/>
    <x v="12"/>
    <s v="Refactoring"/>
    <s v="PostgresQL 13 migration"/>
    <s v="AFI"/>
    <s v="XS"/>
    <n v="20"/>
    <s v="auto"/>
    <s v="OK"/>
    <m/>
    <m/>
    <m/>
    <n v="20"/>
    <s v="P1"/>
    <n v="20"/>
    <s v="Pierre-Olivier chaplain"/>
    <s v="Tech. Debt"/>
    <s v="IN_STORE"/>
    <s v="Technical Leverage"/>
    <m/>
    <n v="10.26"/>
    <x v="0"/>
    <x v="1"/>
    <n v="0"/>
    <s v="BAU"/>
  </r>
  <r>
    <s v="Technical &amp; Functional Debt"/>
    <x v="12"/>
    <s v="Robustness"/>
    <s v="Remove Log table (SAVELOG=0)"/>
    <s v="AFI"/>
    <s v="XS"/>
    <n v="20"/>
    <s v="auto"/>
    <s v="OK"/>
    <m/>
    <m/>
    <n v="20"/>
    <m/>
    <s v="P1"/>
    <n v="20"/>
    <s v="Pierre-Olivier chaplain"/>
    <s v="Tech. Debt"/>
    <s v="IN_STORE"/>
    <s v="Technical Leverage"/>
    <m/>
    <n v="10.26"/>
    <x v="0"/>
    <x v="1"/>
    <n v="0"/>
    <s v="BAU"/>
  </r>
  <r>
    <s v="Technical &amp; Functional Debt"/>
    <x v="12"/>
    <s v="Robustness"/>
    <s v="Duplicate management rework &amp; standardization (multiple application)"/>
    <s v="AFI"/>
    <s v="XS"/>
    <n v="20"/>
    <s v="auto"/>
    <s v="OK"/>
    <m/>
    <m/>
    <n v="20"/>
    <m/>
    <s v="P1"/>
    <n v="20"/>
    <s v="Pierre-Olivier chaplain"/>
    <s v="Tech. Debt"/>
    <s v="IN_STORE"/>
    <s v="Technical Leverage"/>
    <m/>
    <n v="10.26"/>
    <x v="0"/>
    <x v="1"/>
    <n v="0"/>
    <s v="BAU"/>
  </r>
  <r>
    <s v="Technical &amp; Functional Debt"/>
    <x v="12"/>
    <s v="Source code &amp; CI migration"/>
    <s v="AFI"/>
    <s v="AFI"/>
    <s v="XS"/>
    <n v="20"/>
    <s v="auto"/>
    <s v="OK"/>
    <n v="20"/>
    <m/>
    <m/>
    <m/>
    <s v="P1"/>
    <n v="20"/>
    <s v="Pierre-Olivier chaplain"/>
    <s v="Tech. Debt"/>
    <s v="IN_STORE"/>
    <s v="Technical Leverage"/>
    <m/>
    <n v="10.26"/>
    <x v="0"/>
    <x v="1"/>
    <n v="0"/>
    <s v="BAU"/>
  </r>
  <r>
    <s v="Technical &amp; Functional Debt"/>
    <x v="12"/>
    <s v="Training of teams with new way of working"/>
    <s v="AFI"/>
    <s v="AFI"/>
    <s v="XS"/>
    <n v="20"/>
    <s v="auto"/>
    <s v="OK"/>
    <n v="20"/>
    <m/>
    <m/>
    <m/>
    <s v="P1"/>
    <n v="20"/>
    <s v="Pierre-Olivier chaplain"/>
    <s v="Tech. Debt"/>
    <s v="IN_STORE"/>
    <s v="Technical Leverage"/>
    <m/>
    <n v="10.26"/>
    <x v="0"/>
    <x v="1"/>
    <n v="0"/>
    <s v="BAU"/>
  </r>
  <r>
    <s v="Technical &amp; Functional Debt"/>
    <x v="12"/>
    <s v="Refactoring"/>
    <s v="RHEL8 Migration"/>
    <s v="AFI"/>
    <s v="XS"/>
    <n v="20"/>
    <s v="auto"/>
    <s v="OK"/>
    <m/>
    <m/>
    <m/>
    <n v="20"/>
    <s v="P2"/>
    <n v="20"/>
    <s v="Pierre-Olivier chaplain"/>
    <s v="Tech. Debt"/>
    <s v="IN_STORE"/>
    <s v="Technical Leverage"/>
    <m/>
    <n v="10.26"/>
    <x v="0"/>
    <x v="1"/>
    <n v="0"/>
    <s v="BAU"/>
  </r>
  <r>
    <s v="Roadmap / Purchasing Experience"/>
    <x v="11"/>
    <s v="Duplicate management evolution (new criteria &amp; UX display to reinject via e-Portal) (AXIN-1331)"/>
    <s v="AME/AMS"/>
    <s v="AFI"/>
    <s v="S"/>
    <n v="50"/>
    <s v="auto"/>
    <s v="OK"/>
    <n v="50"/>
    <m/>
    <m/>
    <m/>
    <s v="P3"/>
    <n v="50"/>
    <s v="Sylvain Marion"/>
    <s v="Product"/>
    <s v="IN_STORE"/>
    <s v="Simplify Experience"/>
    <m/>
    <n v="25.65"/>
    <x v="1"/>
    <x v="1"/>
    <n v="0"/>
    <s v="BAU"/>
  </r>
  <r>
    <s v="Onboarding"/>
    <x v="80"/>
    <s v="Reminder applications impact with Everest Next Gen"/>
    <s v="To be splitted across squads"/>
    <m/>
    <s v="M"/>
    <n v="60"/>
    <s v="override"/>
    <s v="OK"/>
    <m/>
    <m/>
    <m/>
    <n v="60"/>
    <s v="P1"/>
    <n v="60"/>
    <s v="Sylvain Marion"/>
    <s v="Tech. Debt"/>
    <n v="0"/>
    <s v="Technical Leverage"/>
    <m/>
    <n v="0"/>
    <x v="3"/>
    <x v="14"/>
    <n v="0"/>
    <s v="BAU"/>
  </r>
  <r>
    <s v="Regulation / VAS &amp; Issuers"/>
    <x v="222"/>
    <s v="Contactless kernel for FTX &amp; DCC according to product strategy (WL only strategy tbc)"/>
    <m/>
    <s v="AFI"/>
    <s v="XL"/>
    <n v="300"/>
    <s v="auto"/>
    <s v="OK"/>
    <m/>
    <m/>
    <m/>
    <n v="300"/>
    <s v="P4"/>
    <n v="300"/>
    <s v="Sylvain Marion"/>
    <s v="Product"/>
    <s v="IN_STORE"/>
    <s v="Simplify Experience"/>
    <m/>
    <n v="153.9"/>
    <x v="1"/>
    <x v="1"/>
    <n v="0"/>
    <s v="BAU"/>
  </r>
  <r>
    <s v="Technical &amp; Functional Debt"/>
    <x v="12"/>
    <s v="Support to project launch (small technical / functionnal gaps identified during implementation)"/>
    <m/>
    <s v="AFI"/>
    <s v="S"/>
    <n v="50"/>
    <s v="auto"/>
    <s v="OK"/>
    <n v="10"/>
    <n v="10"/>
    <n v="10"/>
    <n v="20"/>
    <s v="P4"/>
    <n v="50"/>
    <s v="Sylvain Marion"/>
    <s v="Tech. Debt"/>
    <s v="IN_STORE"/>
    <s v="Support Customers' Projects"/>
    <m/>
    <n v="25.65"/>
    <x v="1"/>
    <x v="1"/>
    <n v="0"/>
    <s v="BAU"/>
  </r>
  <r>
    <s v="Technical &amp; Functional Debt"/>
    <x v="12"/>
    <s v="HSM as a Service"/>
    <s v="SecServ internalization + Kernel librairie update"/>
    <s v="AFK"/>
    <s v="L"/>
    <n v="200"/>
    <s v="auto"/>
    <s v="OK"/>
    <m/>
    <n v="70"/>
    <n v="70"/>
    <n v="60"/>
    <s v="P1"/>
    <n v="200"/>
    <s v="Gilles Raymond"/>
    <s v="Tech. Debt"/>
    <s v="IN_STORE"/>
    <s v="Technical Leverage"/>
    <m/>
    <n v="102.6"/>
    <x v="0"/>
    <x v="1"/>
    <n v="0"/>
    <s v="BAU"/>
  </r>
  <r>
    <s v="Token - GTS Shared Services"/>
    <x v="244"/>
    <s v="Product Update"/>
    <s v="Activity report / Fetch / PAR DB / Customer Support (Carrefour/MarcoPolo…) / New certificate Provider"/>
    <s v="AFK"/>
    <s v="M"/>
    <n v="150"/>
    <s v="override"/>
    <s v="OK"/>
    <n v="25"/>
    <n v="25"/>
    <n v="50"/>
    <n v="50"/>
    <s v="P1"/>
    <n v="150"/>
    <s v="Thierry Fortune"/>
    <s v="Product"/>
    <s v="IN_STORE"/>
    <s v="Technical Leverage"/>
    <m/>
    <n v="76.95"/>
    <x v="0"/>
    <x v="1"/>
    <n v="0"/>
    <s v="BAU"/>
  </r>
  <r>
    <s v="Maintenance"/>
    <x v="5"/>
    <s v="Maintenance Axis"/>
    <m/>
    <s v="AFK"/>
    <s v="L"/>
    <n v="120"/>
    <s v="override"/>
    <s v="OK"/>
    <n v="30"/>
    <n v="30"/>
    <n v="30"/>
    <n v="30"/>
    <s v="P1"/>
    <n v="120"/>
    <s v="Sylvain Marion"/>
    <s v="Maintenance &amp; Incidents"/>
    <s v="IN_STORE"/>
    <s v="Technical Leverage"/>
    <m/>
    <n v="61.56"/>
    <x v="0"/>
    <x v="1"/>
    <s v="Run"/>
    <s v="RUN"/>
  </r>
  <r>
    <s v="Token - GTS Shared Services"/>
    <x v="244"/>
    <s v="Product Update"/>
    <s v="BIN extension 6 to 8/10 (double DB?)"/>
    <s v="AFK"/>
    <s v="M"/>
    <n v="100"/>
    <s v="auto"/>
    <s v="OK"/>
    <m/>
    <m/>
    <n v="50"/>
    <n v="50"/>
    <s v="P1"/>
    <n v="100"/>
    <s v="Thierry Fortune"/>
    <s v="Product"/>
    <s v="IN_STORE"/>
    <s v="Regulation"/>
    <m/>
    <n v="51.3"/>
    <x v="0"/>
    <x v="1"/>
    <n v="0"/>
    <s v="BAU"/>
  </r>
  <r>
    <s v="Conexflow migration"/>
    <x v="8"/>
    <s v="[2021's target] Club Smart for DISA migration (CSACT-4410)"/>
    <s v="ClubSmart (CSACT)"/>
    <s v="CSACT DSA"/>
    <s v="XXL"/>
    <n v="400"/>
    <s v="auto"/>
    <s v="OK"/>
    <n v="50"/>
    <n v="125"/>
    <n v="150"/>
    <n v="75"/>
    <s v="P1"/>
    <n v="400"/>
    <s v="Ismael Jaafar"/>
    <s v="Tech. Debt"/>
    <s v="IN_STORE"/>
    <s v="Technical Leverage"/>
    <m/>
    <n v="205.2"/>
    <x v="0"/>
    <x v="18"/>
    <n v="0"/>
    <s v="BAU"/>
  </r>
  <r>
    <s v="Android for CSACT"/>
    <x v="204"/>
    <s v="H24 porting to Android"/>
    <m/>
    <s v="CSACT Rdmp"/>
    <s v="XXXL"/>
    <n v="800"/>
    <s v="auto"/>
    <s v="OK"/>
    <n v="200"/>
    <n v="200"/>
    <n v="200"/>
    <n v="200"/>
    <s v="P1"/>
    <n v="800"/>
    <s v="Ismael Jaafar"/>
    <s v="Product"/>
    <s v="IN_STORE"/>
    <m/>
    <m/>
    <n v="410.4"/>
    <x v="0"/>
    <x v="18"/>
    <n v="0"/>
    <s v="BAU"/>
  </r>
  <r>
    <s v="CEPSA project on CSACT"/>
    <x v="206"/>
    <s v="Cepsa: Digitalize signature capture"/>
    <m/>
    <s v="CSACT Rdmp"/>
    <s v="M"/>
    <n v="100"/>
    <s v="auto"/>
    <s v="OK"/>
    <m/>
    <m/>
    <n v="50"/>
    <n v="50"/>
    <s v="P3"/>
    <n v="100"/>
    <s v="Ismael Jaafar"/>
    <s v="Product"/>
    <s v="IN_STORE"/>
    <m/>
    <m/>
    <n v="51.3"/>
    <x v="1"/>
    <x v="18"/>
    <n v="0"/>
    <s v="BAU"/>
  </r>
  <r>
    <s v="Conexflow migration"/>
    <x v="8"/>
    <s v="Contingency for Conexflow migration"/>
    <s v="Unexpected works on CSACT/H24 (change request, unidentifed gaps, new keep customers)"/>
    <s v="CSACT Rdmp"/>
    <s v="S"/>
    <n v="50"/>
    <s v="auto"/>
    <s v="OK"/>
    <n v="14"/>
    <n v="12"/>
    <n v="12"/>
    <n v="12"/>
    <s v="P1"/>
    <n v="50"/>
    <s v="Jorge Tarlea"/>
    <s v="Tech. Debt"/>
    <s v="IN_STORE"/>
    <s v="Technical Leverage"/>
    <m/>
    <n v="25.65"/>
    <x v="0"/>
    <x v="18"/>
    <n v="0"/>
    <s v="BAU"/>
  </r>
  <r>
    <s v="Conexflow migration"/>
    <x v="8"/>
    <s v="[TMB] Cancel transaction on the fly"/>
    <m/>
    <s v="CSACT Rdmp"/>
    <s v="S"/>
    <n v="40"/>
    <s v="override"/>
    <s v="OK"/>
    <n v="30"/>
    <n v="10"/>
    <n v="0"/>
    <n v="0"/>
    <s v="P1"/>
    <n v="40"/>
    <s v="Jorge Tarlea"/>
    <s v="Tech. Debt"/>
    <s v="IN_STORE"/>
    <s v="Technical Leverage"/>
    <s v="Already commited with the customer for Q1'22"/>
    <n v="20.52"/>
    <x v="0"/>
    <x v="18"/>
    <n v="0"/>
    <s v="BAU"/>
  </r>
  <r>
    <s v="CSACT – Acquirer Hub connection"/>
    <x v="207"/>
    <s v="Acquirer HUB connection --&gt; Worldline RED connection"/>
    <m/>
    <s v="CSACT Rdmp"/>
    <s v="L"/>
    <n v="200"/>
    <s v="auto"/>
    <s v="OK"/>
    <n v="50"/>
    <n v="50"/>
    <n v="50"/>
    <n v="50"/>
    <s v="P3"/>
    <n v="200"/>
    <s v="Ismael Jaafar"/>
    <s v="Product"/>
    <s v="IN_STORE"/>
    <m/>
    <m/>
    <n v="102.6"/>
    <x v="1"/>
    <x v="18"/>
    <n v="0"/>
    <s v="BAU"/>
  </r>
  <r>
    <s v="[UNITED SYNERGY] Mass Transit"/>
    <x v="13"/>
    <s v="[Transport] Mass Transit United Acceptance - VISA/MC/CB - Yoneo + Open + Link"/>
    <s v="GTS update to support cyphered PAN as entry (TDES, AES ?)"/>
    <s v="AFK"/>
    <s v="S"/>
    <n v="50"/>
    <s v="auto"/>
    <s v="OK"/>
    <n v="50"/>
    <m/>
    <m/>
    <m/>
    <s v="P1"/>
    <n v="50"/>
    <s v="Thierry Fortune"/>
    <s v="Synergies"/>
    <s v="IN_STORE"/>
    <s v="Get a Specific Approach per Vertical"/>
    <m/>
    <n v="25.65"/>
    <x v="0"/>
    <x v="1"/>
    <s v="United"/>
    <s v="U&amp;MP"/>
  </r>
  <r>
    <s v="Regulation / 6 to 8 BIN Mgt"/>
    <x v="14"/>
    <s v="BIN 8 digits Bin Analysis Tool evolution (AXIN-1012)"/>
    <s v="Minor impact per app so per squad"/>
    <s v="AFK"/>
    <s v="S"/>
    <n v="50"/>
    <s v="auto"/>
    <s v="OK"/>
    <n v="25"/>
    <n v="25"/>
    <m/>
    <m/>
    <s v="P1"/>
    <n v="50"/>
    <s v="Sylvain Marion"/>
    <s v="Product"/>
    <s v="IN_STORE"/>
    <s v="Regulation"/>
    <m/>
    <n v="25.65"/>
    <x v="0"/>
    <x v="1"/>
    <n v="0"/>
    <s v="BAU"/>
  </r>
  <r>
    <s v="Security &amp; Risks"/>
    <x v="72"/>
    <s v="Compliance PCI"/>
    <s v="security bug fixing"/>
    <s v="AFK"/>
    <s v="S"/>
    <n v="50"/>
    <s v="auto"/>
    <s v="OK"/>
    <n v="10"/>
    <n v="10"/>
    <n v="15"/>
    <n v="15"/>
    <s v="P1"/>
    <n v="50"/>
    <s v="Gilles Raymond"/>
    <s v="Maintenance &amp; Incidents"/>
    <s v="IN_STORE"/>
    <s v="Regulation"/>
    <m/>
    <n v="25.65"/>
    <x v="0"/>
    <x v="1"/>
    <n v="0"/>
    <s v="BAU"/>
  </r>
  <r>
    <s v="Security &amp; Risks"/>
    <x v="72"/>
    <s v="Decommission TDES algorithm"/>
    <m/>
    <s v="AFK"/>
    <s v="S"/>
    <n v="50"/>
    <s v="auto"/>
    <s v="OK"/>
    <n v="10"/>
    <n v="10"/>
    <n v="15"/>
    <n v="15"/>
    <s v="P1"/>
    <n v="50"/>
    <s v="Gilles Raymond"/>
    <s v="Maintenance &amp; Incidents"/>
    <s v="IN_STORE"/>
    <s v="Regulation"/>
    <m/>
    <n v="25.65"/>
    <x v="0"/>
    <x v="1"/>
    <n v="0"/>
    <s v="BAU"/>
  </r>
  <r>
    <s v="Security &amp; Risks"/>
    <x v="72"/>
    <s v="P2PE v2"/>
    <s v="Kernel librairies"/>
    <s v="AFK"/>
    <s v="S"/>
    <n v="50"/>
    <s v="auto"/>
    <s v="OK"/>
    <m/>
    <n v="20"/>
    <n v="30"/>
    <m/>
    <s v="P1"/>
    <n v="50"/>
    <s v="Gilles Raymond"/>
    <s v="Product"/>
    <s v="IN_STORE"/>
    <s v="Regulation"/>
    <m/>
    <n v="25.65"/>
    <x v="0"/>
    <x v="1"/>
    <n v="0"/>
    <s v="BAU"/>
  </r>
  <r>
    <s v="Technical &amp; Functional Debt"/>
    <x v="12"/>
    <s v="Refactoring"/>
    <s v="RHEL8 compliation for binary"/>
    <s v="AFK"/>
    <s v="S"/>
    <n v="50"/>
    <s v="auto"/>
    <s v="OK"/>
    <m/>
    <m/>
    <n v="50"/>
    <m/>
    <s v="P1"/>
    <n v="50"/>
    <s v="Gilles Raymond"/>
    <s v="Tech. Debt"/>
    <s v="IN_STORE"/>
    <s v="Technical Leverage"/>
    <m/>
    <n v="25.65"/>
    <x v="0"/>
    <x v="1"/>
    <n v="0"/>
    <s v="BAU"/>
  </r>
  <r>
    <s v="Technical &amp; Functional Debt"/>
    <x v="12"/>
    <s v="Refactoring"/>
    <s v="PostgresQL 13 migration : preparation and kernel librairies"/>
    <s v="AFK"/>
    <s v="S"/>
    <n v="50"/>
    <s v="auto"/>
    <s v="OK"/>
    <n v="50"/>
    <m/>
    <m/>
    <m/>
    <s v="P1"/>
    <n v="50"/>
    <s v="Gilles Raymond"/>
    <s v="Tech. Debt"/>
    <s v="IN_STORE"/>
    <s v="Technical Leverage"/>
    <m/>
    <n v="25.65"/>
    <x v="0"/>
    <x v="1"/>
    <n v="0"/>
    <s v="BAU"/>
  </r>
  <r>
    <s v="CSACT – Acquirer Hub connection"/>
    <x v="207"/>
    <s v="Acquirer HUB connection"/>
    <m/>
    <s v="CSACT Rdmp"/>
    <s v="S"/>
    <n v="50"/>
    <s v="auto"/>
    <s v="OK"/>
    <m/>
    <m/>
    <m/>
    <n v="50"/>
    <s v="P1"/>
    <n v="50"/>
    <s v="Ismael Jaafar"/>
    <s v="Product"/>
    <s v="IN_STORE"/>
    <m/>
    <s v="Target is to get it in 2023"/>
    <n v="25.65"/>
    <x v="0"/>
    <x v="18"/>
    <n v="0"/>
    <s v="BAU"/>
  </r>
  <r>
    <s v="Technical &amp; Functional Debt"/>
    <x v="12"/>
    <s v="Robustness"/>
    <s v="Rework Axis payment application logs to allow easy access to production log for developers &amp; project manager"/>
    <s v="AFK"/>
    <s v="S"/>
    <n v="50"/>
    <s v="auto"/>
    <s v="OK"/>
    <n v="10"/>
    <n v="10"/>
    <n v="10"/>
    <n v="20"/>
    <s v="P1"/>
    <n v="50"/>
    <s v="Gilles Raymond"/>
    <s v="Tech. Debt"/>
    <s v="IN_STORE"/>
    <s v="Technical Leverage"/>
    <m/>
    <n v="25.65"/>
    <x v="0"/>
    <x v="1"/>
    <n v="0"/>
    <s v="BAU"/>
  </r>
  <r>
    <s v="Technical Debt / Global Infra"/>
    <x v="29"/>
    <s v="Source code &amp; CI migration"/>
    <s v="AFK"/>
    <s v="AFK"/>
    <s v="XS"/>
    <n v="40"/>
    <s v="override"/>
    <s v="OK"/>
    <n v="40"/>
    <m/>
    <m/>
    <m/>
    <s v="P1"/>
    <n v="40"/>
    <s v="Gilles Raymond"/>
    <s v="Tech. Debt"/>
    <s v="IN_STORE"/>
    <s v="Technical Leverage"/>
    <m/>
    <n v="20.52"/>
    <x v="0"/>
    <x v="1"/>
    <n v="0"/>
    <s v="BAU"/>
  </r>
  <r>
    <s v="Technical &amp; Functional Debt"/>
    <x v="12"/>
    <s v="Refactoring"/>
    <s v="Axis Services migration to AIS (using AIS jboss as a service)"/>
    <s v="AFK"/>
    <s v="XS"/>
    <n v="20"/>
    <s v="auto"/>
    <s v="OK"/>
    <n v="20"/>
    <m/>
    <m/>
    <m/>
    <s v="P1"/>
    <n v="20"/>
    <s v="Gilles Raymond"/>
    <s v="Tech. Debt"/>
    <s v="IN_STORE"/>
    <s v="Technical Leverage"/>
    <m/>
    <n v="10.26"/>
    <x v="0"/>
    <x v="1"/>
    <n v="0"/>
    <s v="BAU"/>
  </r>
  <r>
    <s v="Technical Debt / Global Infra"/>
    <x v="29"/>
    <s v="Training of teams with new way of working"/>
    <s v="AFK"/>
    <s v="AFK"/>
    <s v="XS"/>
    <n v="20"/>
    <s v="auto"/>
    <s v="OK"/>
    <n v="20"/>
    <m/>
    <m/>
    <m/>
    <s v="P1"/>
    <n v="20"/>
    <s v="Gilles Raymond"/>
    <s v="Tech. Debt"/>
    <s v="IN_STORE"/>
    <s v="Technical Leverage"/>
    <m/>
    <n v="10.26"/>
    <x v="0"/>
    <x v="1"/>
    <n v="0"/>
    <s v="BAU"/>
  </r>
  <r>
    <s v="Token - GTS Shared Services"/>
    <x v="244"/>
    <s v="Product Update"/>
    <s v="DB Scalability (no SQL) study"/>
    <s v="AFK"/>
    <s v="XS"/>
    <n v="20"/>
    <s v="auto"/>
    <s v="OK"/>
    <m/>
    <n v="10"/>
    <n v="10"/>
    <m/>
    <s v="P1"/>
    <n v="20"/>
    <s v="Thierry Fortune"/>
    <s v="Product"/>
    <s v="IN_STORE"/>
    <s v="Technical Leverage"/>
    <m/>
    <n v="10.26"/>
    <x v="0"/>
    <x v="1"/>
    <n v="0"/>
    <s v="BAU"/>
  </r>
  <r>
    <s v="Technical &amp; Functional Debt"/>
    <x v="12"/>
    <s v="Refactoring"/>
    <s v="Kernel dynamic libraries &quot;phase 3&quot;"/>
    <s v="AFK"/>
    <s v="L"/>
    <n v="400"/>
    <s v="override"/>
    <s v="OK"/>
    <m/>
    <n v="100"/>
    <n v="200"/>
    <n v="100"/>
    <s v="P3"/>
    <n v="400"/>
    <s v="Gilles Raymond"/>
    <s v="Tech. Debt"/>
    <s v="IN_STORE"/>
    <s v="Technical Leverage"/>
    <m/>
    <n v="205.2"/>
    <x v="1"/>
    <x v="1"/>
    <n v="0"/>
    <s v="BAU"/>
  </r>
  <r>
    <s v="Technical &amp; Functional Debt"/>
    <x v="12"/>
    <s v="Refactoring"/>
    <s v="Axis Services move to Springboot"/>
    <s v="AFK"/>
    <s v="XXL"/>
    <n v="400"/>
    <s v="auto"/>
    <s v="OK"/>
    <n v="200"/>
    <n v="200"/>
    <m/>
    <m/>
    <s v="P3"/>
    <n v="400"/>
    <s v="Gilles Raymond"/>
    <s v="Tech. Debt"/>
    <s v="IN_STORE"/>
    <s v="Technical Leverage"/>
    <m/>
    <n v="205.2"/>
    <x v="1"/>
    <x v="1"/>
    <n v="0"/>
    <s v="BAU"/>
  </r>
  <r>
    <s v="Maintenance"/>
    <x v="5"/>
    <s v="Maintenance Axis"/>
    <m/>
    <s v="AFM"/>
    <s v="L"/>
    <n v="200"/>
    <s v="auto"/>
    <s v="OK"/>
    <n v="50"/>
    <n v="50"/>
    <n v="50"/>
    <n v="50"/>
    <s v="P1"/>
    <n v="200"/>
    <s v="Sylvain Marion"/>
    <s v="Maintenance &amp; Incidents"/>
    <s v="IN_STORE"/>
    <s v="Technical Leverage"/>
    <m/>
    <n v="102.6"/>
    <x v="0"/>
    <x v="1"/>
    <s v="Run"/>
    <s v="RUN"/>
  </r>
  <r>
    <s v="CSACT Technical debt / Rationalization"/>
    <x v="100"/>
    <s v="Terminals configuration data (remote reporting)"/>
    <s v="requested by infra team - Need to be done to be able to move in GI"/>
    <s v="CSACT Rdmp"/>
    <s v="S"/>
    <n v="50"/>
    <s v="auto"/>
    <s v="OK"/>
    <n v="25"/>
    <n v="25"/>
    <m/>
    <m/>
    <s v="P1"/>
    <n v="50"/>
    <s v="Ismael Jaafar"/>
    <s v="Product"/>
    <s v="IN_STORE"/>
    <m/>
    <m/>
    <n v="25.65"/>
    <x v="0"/>
    <x v="18"/>
    <n v="0"/>
    <s v="BAU"/>
  </r>
  <r>
    <s v="Custom / Evolutions for Inditex"/>
    <x v="245"/>
    <s v="Bucket support + Bucket CRs"/>
    <m/>
    <s v="AFM"/>
    <s v="M"/>
    <n v="100"/>
    <s v="auto"/>
    <s v="OK"/>
    <n v="25"/>
    <n v="25"/>
    <n v="25"/>
    <n v="25"/>
    <s v="P1"/>
    <n v="100"/>
    <s v="Sylvain Marion"/>
    <s v="Product"/>
    <s v="IN_STORE"/>
    <s v="Support Customers' Projects"/>
    <m/>
    <n v="51.3"/>
    <x v="0"/>
    <x v="1"/>
    <n v="0"/>
    <s v="BAU"/>
  </r>
  <r>
    <s v="Migration C3I UK"/>
    <x v="246"/>
    <s v="Project migration support"/>
    <m/>
    <s v="AFM"/>
    <s v="M"/>
    <n v="100"/>
    <s v="auto"/>
    <s v="OK"/>
    <n v="25"/>
    <n v="25"/>
    <n v="25"/>
    <n v="25"/>
    <s v="P1"/>
    <n v="100"/>
    <s v="Sylvain Marion"/>
    <s v="Synergies"/>
    <s v="IN_STORE"/>
    <s v="Technical Leverage"/>
    <m/>
    <n v="51.3"/>
    <x v="0"/>
    <x v="1"/>
    <n v="0"/>
    <s v="BAU"/>
  </r>
  <r>
    <s v="Conexflow migration"/>
    <x v="8"/>
    <s v="[Alcampo] [Conexflow migration] Card ID to identify extended BIN (AXIN-1487)"/>
    <s v="Remaining from '21"/>
    <s v="AFM"/>
    <s v="S"/>
    <n v="50"/>
    <s v="auto"/>
    <s v="OK"/>
    <n v="40"/>
    <n v="10"/>
    <m/>
    <m/>
    <s v="P1"/>
    <n v="50"/>
    <s v="Jorge Tarlea"/>
    <s v="Product"/>
    <s v="IN_STORE"/>
    <s v="Simplify Experience"/>
    <m/>
    <n v="25.65"/>
    <x v="0"/>
    <x v="1"/>
    <n v="0"/>
    <s v="BAU"/>
  </r>
  <r>
    <s v="Conexflow migration"/>
    <x v="8"/>
    <s v="[Alcampo] [Conexflow migration] Pay with plate (AXIN-1485)"/>
    <s v="Remaining from '21"/>
    <s v="AFM"/>
    <s v="S"/>
    <n v="50"/>
    <s v="auto"/>
    <s v="OK"/>
    <n v="50"/>
    <m/>
    <m/>
    <m/>
    <s v="P1"/>
    <n v="50"/>
    <s v="Jorge Tarlea"/>
    <s v="Product"/>
    <s v="IN_STORE"/>
    <s v="Simplify Experience"/>
    <m/>
    <n v="25.65"/>
    <x v="0"/>
    <x v="1"/>
    <n v="0"/>
    <s v="BAU"/>
  </r>
  <r>
    <s v="Conexflow migration"/>
    <x v="8"/>
    <s v="[Pikolin] [Conexflow migration] Pay with reference (AXIN-1582)"/>
    <s v="Remaining from '21"/>
    <s v="AFM"/>
    <s v="S"/>
    <n v="50"/>
    <s v="auto"/>
    <s v="OK"/>
    <n v="40"/>
    <n v="10"/>
    <n v="0"/>
    <m/>
    <s v="P1"/>
    <n v="50"/>
    <s v="Jorge Tarlea"/>
    <s v="Product"/>
    <s v="IN_STORE"/>
    <s v="Get a Specific Approach per Vertical"/>
    <m/>
    <n v="25.65"/>
    <x v="0"/>
    <x v="1"/>
    <n v="0"/>
    <s v="BAU"/>
  </r>
  <r>
    <s v="Regulation / Europe w/o France"/>
    <x v="78"/>
    <s v="[Certifications] [2022] Axis (Spanish market) (CSACT-5970)"/>
    <s v="Just support"/>
    <s v="AFM"/>
    <s v="S"/>
    <n v="50"/>
    <s v="auto"/>
    <s v="OK"/>
    <n v="14"/>
    <n v="12"/>
    <n v="12"/>
    <n v="12"/>
    <s v="P1"/>
    <n v="50"/>
    <s v="Jorge Tarlea"/>
    <s v="Product"/>
    <s v="IN_STORE"/>
    <s v="Regulation"/>
    <m/>
    <n v="25.65"/>
    <x v="0"/>
    <x v="1"/>
    <n v="0"/>
    <s v="BAU"/>
  </r>
  <r>
    <s v="Regulation / Europe w/o France"/>
    <x v="78"/>
    <s v="Lane/5000v3 - Italy Bancomat renewal (if not finalized) (AXIN to create considering issue)"/>
    <m/>
    <s v="AFM"/>
    <s v="S"/>
    <n v="50"/>
    <s v="auto"/>
    <s v="OK"/>
    <n v="50"/>
    <m/>
    <m/>
    <m/>
    <s v="P1"/>
    <n v="50"/>
    <s v="Sylvain Marion"/>
    <s v="Product"/>
    <s v="IN_STORE"/>
    <s v="Regulation"/>
    <m/>
    <n v="25.65"/>
    <x v="0"/>
    <x v="1"/>
    <n v="0"/>
    <s v="BAU"/>
  </r>
  <r>
    <s v="Regulation / Europe w/o France"/>
    <x v="78"/>
    <s v="PAR management support (all CPA plug-ins excepted APACS), à splitter entre owner plug-in (core ready) (AXIN-778)"/>
    <s v="AFM"/>
    <s v="AFM"/>
    <s v="S"/>
    <n v="50"/>
    <s v="auto"/>
    <s v="OK"/>
    <n v="50"/>
    <m/>
    <m/>
    <m/>
    <s v="P1"/>
    <n v="50"/>
    <s v="Sylvain Marion"/>
    <s v="Product"/>
    <s v="IN_STORE"/>
    <s v="Regulation"/>
    <m/>
    <n v="25.65"/>
    <x v="0"/>
    <x v="1"/>
    <n v="0"/>
    <s v="BAU"/>
  </r>
  <r>
    <s v="Regulation / Europe w/o France"/>
    <x v="78"/>
    <s v="Visa refusal code (AXIN-1665, AXIN-1426))"/>
    <m/>
    <s v="AFM"/>
    <s v="S"/>
    <n v="50"/>
    <s v="auto"/>
    <s v="OK"/>
    <m/>
    <n v="50"/>
    <m/>
    <m/>
    <s v="P1"/>
    <n v="50"/>
    <s v="Sylvain Marion"/>
    <s v="Product"/>
    <s v="IN_STORE"/>
    <s v="Regulation"/>
    <m/>
    <n v="25.65"/>
    <x v="0"/>
    <x v="1"/>
    <n v="0"/>
    <s v="BAU"/>
  </r>
  <r>
    <s v="Security &amp; Risks"/>
    <x v="72"/>
    <s v="Keyinjection renewal AXIS Spain (AXIN-1374)"/>
    <m/>
    <s v="AFM"/>
    <s v="S"/>
    <n v="50"/>
    <s v="auto"/>
    <s v="OK"/>
    <n v="50"/>
    <m/>
    <m/>
    <m/>
    <s v="P1"/>
    <n v="50"/>
    <s v="Sylvain Marion"/>
    <s v="Tech. Debt"/>
    <s v="IN_STORE"/>
    <s v="Technical Leverage"/>
    <m/>
    <n v="25.65"/>
    <x v="0"/>
    <x v="1"/>
    <n v="0"/>
    <s v="BAU"/>
  </r>
  <r>
    <s v="Technical &amp; Functional Debt"/>
    <x v="12"/>
    <s v="Support to project launch (small technical / functionnal gaps identified during implementation)"/>
    <m/>
    <s v="AFM"/>
    <s v="S"/>
    <n v="50"/>
    <s v="auto"/>
    <s v="OK"/>
    <n v="10"/>
    <n v="10"/>
    <n v="10"/>
    <n v="20"/>
    <s v="P1"/>
    <n v="50"/>
    <s v="Sylvain Marion"/>
    <s v="Tech. Debt"/>
    <s v="IN_STORE"/>
    <s v="Support Customers' Projects"/>
    <m/>
    <n v="25.65"/>
    <x v="0"/>
    <x v="1"/>
    <n v="0"/>
    <s v="BAU"/>
  </r>
  <r>
    <s v="Technical Debt / Global Infra"/>
    <x v="29"/>
    <s v="Front office"/>
    <s v="Support to the migration"/>
    <s v="AFM"/>
    <s v="S"/>
    <n v="50"/>
    <s v="auto"/>
    <s v="OK"/>
    <n v="10"/>
    <n v="10"/>
    <n v="10"/>
    <n v="20"/>
    <s v="P1"/>
    <n v="50"/>
    <s v="Gilles Raymond"/>
    <s v="Tech. Debt"/>
    <s v="IN_STORE"/>
    <s v="Technical Leverage"/>
    <m/>
    <n v="25.65"/>
    <x v="0"/>
    <x v="1"/>
    <n v="0"/>
    <s v="BAU"/>
  </r>
  <r>
    <s v="Verticals - Parking/EV Charging / Vending Self/2-4-5000"/>
    <x v="99"/>
    <s v="[Self-Service] Tetra unattended terminals 'Axis' certified with RedSys : Pay-on-Foot, Vending use cases"/>
    <s v="SELF/2-4-5000 &amp; Self/7-8000 RedSys certification"/>
    <s v="AFM"/>
    <s v="S"/>
    <n v="50"/>
    <s v="auto"/>
    <s v="OK"/>
    <m/>
    <n v="25"/>
    <n v="25"/>
    <m/>
    <s v="P1"/>
    <n v="50"/>
    <s v="Thierry Fortune"/>
    <s v="Product"/>
    <s v="IN_STORE"/>
    <m/>
    <m/>
    <n v="25.65"/>
    <x v="0"/>
    <x v="1"/>
    <n v="0"/>
    <s v="BAU"/>
  </r>
  <r>
    <s v="Onboarding"/>
    <x v="80"/>
    <s v="Reminder applications impact with Everest Next Gen"/>
    <s v="All applications"/>
    <s v="AFM"/>
    <s v="XS"/>
    <n v="20"/>
    <s v="auto"/>
    <s v="OK"/>
    <m/>
    <m/>
    <n v="20"/>
    <m/>
    <s v="P1"/>
    <n v="20"/>
    <s v="Sylvain Marion"/>
    <s v="Tech. Debt"/>
    <s v="IN_STORE"/>
    <s v="Technical Leverage"/>
    <m/>
    <n v="10.26"/>
    <x v="0"/>
    <x v="1"/>
    <n v="0"/>
    <s v="BAU"/>
  </r>
  <r>
    <s v="Regulation / Europe w/o France"/>
    <x v="78"/>
    <s v="Italy Bancomat Digit (if not finalized) (AXIN-1325)"/>
    <m/>
    <s v="AFM"/>
    <s v="XS"/>
    <n v="20"/>
    <s v="auto"/>
    <s v="OK"/>
    <n v="20"/>
    <m/>
    <m/>
    <m/>
    <s v="P1"/>
    <n v="20"/>
    <s v="Sylvain Marion"/>
    <s v="Product"/>
    <s v="IN_STORE"/>
    <s v="Simplify Experience"/>
    <m/>
    <n v="10.26"/>
    <x v="0"/>
    <x v="1"/>
    <n v="0"/>
    <s v="BAU"/>
  </r>
  <r>
    <s v="Security &amp; Risks"/>
    <x v="72"/>
    <s v="Compliance PCI"/>
    <s v="security bug fixing"/>
    <s v="AFM"/>
    <s v="XS"/>
    <n v="20"/>
    <s v="auto"/>
    <s v="OK"/>
    <n v="5"/>
    <n v="5"/>
    <n v="5"/>
    <n v="5"/>
    <s v="P1"/>
    <n v="20"/>
    <s v="Gilles Raymond"/>
    <s v="Maintenance &amp; Incidents"/>
    <s v="IN_STORE"/>
    <s v="Regulation"/>
    <m/>
    <n v="10.26"/>
    <x v="0"/>
    <x v="1"/>
    <n v="0"/>
    <s v="BAU"/>
  </r>
  <r>
    <s v="Security &amp; Risks"/>
    <x v="72"/>
    <s v="Decommission TDES algorithm"/>
    <m/>
    <s v="AFM"/>
    <s v="XS"/>
    <n v="20"/>
    <s v="auto"/>
    <s v="OK"/>
    <n v="5"/>
    <n v="5"/>
    <n v="5"/>
    <n v="5"/>
    <s v="P1"/>
    <n v="20"/>
    <s v="Gilles Raymond"/>
    <s v="Maintenance &amp; Incidents"/>
    <s v="IN_STORE"/>
    <s v="Regulation"/>
    <m/>
    <n v="10.26"/>
    <x v="0"/>
    <x v="1"/>
    <n v="0"/>
    <s v="BAU"/>
  </r>
  <r>
    <s v="Technical &amp; Functional Debt"/>
    <x v="12"/>
    <s v="API &amp; data"/>
    <s v="PaymentID as UUID"/>
    <s v="AFM"/>
    <s v="XS"/>
    <n v="20"/>
    <s v="auto"/>
    <s v="OK"/>
    <m/>
    <n v="20"/>
    <m/>
    <m/>
    <s v="P1"/>
    <n v="20"/>
    <s v="Gilles Raymond"/>
    <s v="Tech. Debt"/>
    <s v="IN_STORE"/>
    <s v="Technical Leverage"/>
    <m/>
    <n v="10.26"/>
    <x v="0"/>
    <x v="1"/>
    <n v="0"/>
    <s v="BAU"/>
  </r>
  <r>
    <s v="Technical &amp; Functional Debt"/>
    <x v="12"/>
    <s v="Refactoring"/>
    <s v="PostgresQL 13 migration"/>
    <s v="AFM"/>
    <s v="XS"/>
    <n v="20"/>
    <s v="auto"/>
    <s v="OK"/>
    <m/>
    <n v="20"/>
    <m/>
    <m/>
    <s v="P1"/>
    <n v="20"/>
    <s v="Gilles Raymond"/>
    <s v="Tech. Debt"/>
    <s v="IN_STORE"/>
    <s v="Technical Leverage"/>
    <m/>
    <n v="10.26"/>
    <x v="0"/>
    <x v="1"/>
    <n v="0"/>
    <s v="BAU"/>
  </r>
  <r>
    <s v="ROAM - Acquirer Connections - TSYS"/>
    <x v="247"/>
    <m/>
    <s v="Update TSYS connection"/>
    <s v="Roam"/>
    <m/>
    <n v="200"/>
    <s v="auto"/>
    <s v="OK"/>
    <m/>
    <n v="66.67"/>
    <n v="66.67"/>
    <n v="66.66"/>
    <s v="P1"/>
    <n v="200"/>
    <s v="Michael Huffman"/>
    <s v="Product"/>
    <s v="ECOM"/>
    <m/>
    <m/>
    <n v="102.6"/>
    <x v="0"/>
    <x v="15"/>
    <n v="0"/>
    <s v="BAU"/>
  </r>
  <r>
    <s v="ROAM - Acquirer Connections / Certifications"/>
    <x v="248"/>
    <m/>
    <s v="Update processor certications, enter new veriticals"/>
    <s v="Roam"/>
    <m/>
    <n v="591.00000000000011"/>
    <s v="auto"/>
    <s v="OK"/>
    <n v="113"/>
    <n v="159.33000000000001"/>
    <n v="159.33000000000001"/>
    <n v="159.34"/>
    <s v="P1"/>
    <n v="591.00000000000011"/>
    <s v="Michael Huffman"/>
    <s v="Product"/>
    <s v="ECOM"/>
    <m/>
    <m/>
    <n v="303.18300000000005"/>
    <x v="0"/>
    <x v="15"/>
    <n v="0"/>
    <s v="BAU"/>
  </r>
  <r>
    <s v="ROAM - Acquirer Connections / Certifications"/>
    <x v="248"/>
    <m/>
    <s v="8 Digit BIN support"/>
    <s v="Roam"/>
    <m/>
    <n v="113"/>
    <s v="auto"/>
    <s v="OK"/>
    <n v="113"/>
    <m/>
    <m/>
    <m/>
    <s v="P1"/>
    <n v="113"/>
    <s v="Michael Huffman"/>
    <s v="Product"/>
    <s v="ECOM"/>
    <m/>
    <m/>
    <n v="57.969000000000001"/>
    <x v="0"/>
    <x v="15"/>
    <n v="0"/>
    <s v="BAU"/>
  </r>
  <r>
    <s v="ROAM - Fraud Management Tools"/>
    <x v="249"/>
    <m/>
    <s v="Merchant tools for fraud, eg. Mobile Pay, velocity controls, AVS reversals"/>
    <s v="Roam"/>
    <m/>
    <n v="113"/>
    <s v="auto"/>
    <s v="OK"/>
    <n v="28.25"/>
    <n v="28.25"/>
    <n v="28.25"/>
    <n v="28.25"/>
    <s v="P1"/>
    <n v="113"/>
    <s v="Michael Huffman"/>
    <s v="Product"/>
    <s v="ECOM"/>
    <m/>
    <m/>
    <n v="57.969000000000001"/>
    <x v="0"/>
    <x v="15"/>
    <n v="0"/>
    <s v="BAU"/>
  </r>
  <r>
    <s v="ROAM - Full Service"/>
    <x v="250"/>
    <m/>
    <s v="Support Full Service business model on Roam platform"/>
    <s v="Roam"/>
    <m/>
    <n v="851"/>
    <s v="auto"/>
    <s v="OK"/>
    <n v="197.75"/>
    <n v="257.75"/>
    <n v="197.75"/>
    <n v="197.75"/>
    <s v="P1"/>
    <n v="851"/>
    <s v="Michael Huffman"/>
    <s v="Product"/>
    <s v="ECOM"/>
    <m/>
    <m/>
    <n v="436.56299999999999"/>
    <x v="0"/>
    <x v="15"/>
    <n v="0"/>
    <s v="BAU"/>
  </r>
  <r>
    <s v="ROAM - Hardware Enhancements and Support"/>
    <x v="251"/>
    <m/>
    <s v="Update hardware certifications, certify new hardware"/>
    <s v="Roam"/>
    <m/>
    <n v="452"/>
    <s v="auto"/>
    <s v="OK"/>
    <n v="113"/>
    <n v="113"/>
    <n v="113"/>
    <n v="113"/>
    <s v="P1"/>
    <n v="452"/>
    <s v="Michael Huffman"/>
    <s v="Product"/>
    <s v="ECOM"/>
    <m/>
    <m/>
    <n v="231.876"/>
    <x v="0"/>
    <x v="15"/>
    <n v="0"/>
    <s v="BAU"/>
  </r>
  <r>
    <s v="ROAM - Mobile Enhancements and Support - mPOS SDK"/>
    <x v="252"/>
    <m/>
    <s v="Feature enhancements to mPOS SDK"/>
    <s v="Roam"/>
    <m/>
    <n v="504"/>
    <s v="auto"/>
    <s v="OK"/>
    <n v="126"/>
    <n v="126"/>
    <n v="126"/>
    <n v="126"/>
    <s v="P1"/>
    <n v="504"/>
    <s v="Michael Huffman"/>
    <s v="Product"/>
    <s v="ECOM"/>
    <m/>
    <m/>
    <n v="258.55200000000002"/>
    <x v="0"/>
    <x v="15"/>
    <n v="0"/>
    <s v="BAU"/>
  </r>
  <r>
    <s v="ROAM - Mobile Enhancements and Support - ROAMpay X"/>
    <x v="253"/>
    <m/>
    <s v="UX / Feature enhancements to ROAMpay X"/>
    <s v="Roam"/>
    <m/>
    <n v="400"/>
    <s v="auto"/>
    <s v="OK"/>
    <n v="100"/>
    <n v="100"/>
    <n v="100"/>
    <n v="100"/>
    <s v="P1"/>
    <n v="400"/>
    <s v="Michael Huffman"/>
    <s v="Product"/>
    <s v="ECOM"/>
    <m/>
    <m/>
    <n v="205.2"/>
    <x v="0"/>
    <x v="15"/>
    <n v="0"/>
    <s v="BAU"/>
  </r>
  <r>
    <s v="ROAM - Online Payments - eComm and Wallet Enhancements"/>
    <x v="254"/>
    <m/>
    <s v="Support for ecomm feature set eg. tokenization, hosted checkout, wallet support"/>
    <s v="Roam"/>
    <m/>
    <n v="339"/>
    <s v="auto"/>
    <s v="OK"/>
    <m/>
    <m/>
    <n v="169.5"/>
    <n v="169.5"/>
    <s v="P2"/>
    <n v="339"/>
    <s v="Michael Huffman"/>
    <s v="Product"/>
    <s v="ECOM"/>
    <m/>
    <m/>
    <n v="173.90700000000001"/>
    <x v="0"/>
    <x v="15"/>
    <n v="0"/>
    <s v="BAU"/>
  </r>
  <r>
    <s v="ROAM - Portals Enhancements"/>
    <x v="255"/>
    <m/>
    <s v="Improve UX on ROAMsupport, ROAMmerchant, Developer portal, and onboarding processes"/>
    <s v="Roam"/>
    <m/>
    <n v="452"/>
    <s v="auto"/>
    <s v="OK"/>
    <n v="113"/>
    <n v="113"/>
    <n v="113"/>
    <n v="113"/>
    <s v="P1"/>
    <n v="452"/>
    <s v="Michael Huffman"/>
    <s v="Product"/>
    <s v="ECOM"/>
    <m/>
    <m/>
    <n v="231.876"/>
    <x v="0"/>
    <x v="15"/>
    <n v="0"/>
    <s v="BAU"/>
  </r>
  <r>
    <s v="CSACT Technical debt / Rationalization"/>
    <x v="100"/>
    <s v="CSACT continuous integration"/>
    <s v="Putting tool &amp; process in place"/>
    <s v="CSACT Rdmp"/>
    <s v="S"/>
    <n v="50"/>
    <s v="auto"/>
    <s v="OK"/>
    <n v="10"/>
    <n v="10"/>
    <n v="15"/>
    <n v="15"/>
    <s v="P1"/>
    <n v="50"/>
    <s v="Ismael Jaafar"/>
    <s v="Product"/>
    <s v="IN_STORE"/>
    <m/>
    <m/>
    <n v="25.65"/>
    <x v="0"/>
    <x v="18"/>
    <n v="0"/>
    <s v="BAU"/>
  </r>
  <r>
    <s v="CSACT Technical debt / Rationalization"/>
    <x v="100"/>
    <s v="Report improvements (shift and daily reports), dynamic ticket templates and journals improvements"/>
    <s v="Datahub team request"/>
    <s v="CSACT Rdmp"/>
    <s v="M"/>
    <n v="100"/>
    <s v="auto"/>
    <s v="OK"/>
    <m/>
    <n v="35"/>
    <n v="35"/>
    <n v="30"/>
    <s v="P3"/>
    <n v="100"/>
    <s v="Ismael Jaafar"/>
    <s v="Product"/>
    <s v="IN_STORE"/>
    <m/>
    <m/>
    <n v="51.3"/>
    <x v="1"/>
    <x v="18"/>
    <n v="0"/>
    <s v="BAU"/>
  </r>
  <r>
    <s v="RUN Conexflow + CSACT"/>
    <x v="186"/>
    <s v="Maintenance and BAU support"/>
    <s v="30% support"/>
    <s v="Cnx non GW"/>
    <s v="XXL"/>
    <n v="400"/>
    <s v="auto"/>
    <s v="OK"/>
    <n v="100"/>
    <n v="100"/>
    <n v="100"/>
    <n v="100"/>
    <s v="P1"/>
    <n v="400"/>
    <s v="Pierre-Olivier chaplain"/>
    <s v="Maintenance &amp; Incidents"/>
    <s v="IN_STORE"/>
    <m/>
    <m/>
    <n v="205.2"/>
    <x v="0"/>
    <x v="22"/>
    <s v="Run"/>
    <s v="RUN"/>
  </r>
  <r>
    <s v="RUN Conexflow + CSACT"/>
    <x v="186"/>
    <s v="Maintenance and BAU support"/>
    <s v="20% support"/>
    <s v="CSACT Rdmp"/>
    <s v="XL"/>
    <n v="300"/>
    <s v="auto"/>
    <s v="OK"/>
    <n v="75"/>
    <n v="75"/>
    <n v="75"/>
    <n v="75"/>
    <s v="P1"/>
    <n v="300"/>
    <s v="Pierre-Olivier chaplain"/>
    <s v="Maintenance &amp; Incidents"/>
    <s v="IN_STORE"/>
    <m/>
    <m/>
    <n v="153.9"/>
    <x v="0"/>
    <x v="18"/>
    <s v="Run"/>
    <s v="RUN"/>
  </r>
  <r>
    <s v="RUN Conexflow + CSACT"/>
    <x v="186"/>
    <s v="Maintenance and BAU support"/>
    <s v="20% support"/>
    <s v="CSACT BO"/>
    <s v="M"/>
    <n v="100"/>
    <s v="auto"/>
    <s v="OK"/>
    <n v="25"/>
    <n v="25"/>
    <n v="25"/>
    <n v="25"/>
    <s v="P1"/>
    <n v="100"/>
    <s v="Pierre-Olivier chaplain"/>
    <s v="Maintenance &amp; Incidents"/>
    <s v="IN_STORE"/>
    <m/>
    <m/>
    <n v="51.3"/>
    <x v="0"/>
    <x v="18"/>
    <s v="Run"/>
    <s v="RUN"/>
  </r>
  <r>
    <s v="RUN Conexflow + CSACT"/>
    <x v="186"/>
    <s v="Maintenance and BAU support"/>
    <s v="10% support ==&gt; DISA"/>
    <s v="CSACT DSA"/>
    <s v="S"/>
    <n v="50"/>
    <s v="auto"/>
    <s v="OK"/>
    <n v="10"/>
    <n v="10"/>
    <n v="10"/>
    <n v="20"/>
    <s v="P1"/>
    <n v="50"/>
    <s v="Pierre-Olivier chaplain"/>
    <s v="Maintenance &amp; Incidents"/>
    <s v="IN_STORE"/>
    <m/>
    <m/>
    <n v="25.65"/>
    <x v="0"/>
    <x v="18"/>
    <s v="Run"/>
    <s v="RUN"/>
  </r>
  <r>
    <s v="RUN Conexflow + CSACT"/>
    <x v="186"/>
    <s v="Maintenance and BAU support"/>
    <s v="10% support"/>
    <s v="CSACT Core"/>
    <s v="M"/>
    <n v="100"/>
    <s v="auto"/>
    <s v="OK"/>
    <n v="25"/>
    <n v="25"/>
    <n v="25"/>
    <n v="25"/>
    <s v="P1"/>
    <n v="100"/>
    <s v="Pierre-Olivier chaplain"/>
    <s v="Maintenance &amp; Incidents"/>
    <s v="IN_STORE"/>
    <m/>
    <m/>
    <n v="51.3"/>
    <x v="0"/>
    <x v="18"/>
    <s v="Run"/>
    <s v="RUN"/>
  </r>
  <r>
    <s v="Rusian Payment method"/>
    <x v="256"/>
    <s v="Sberpay"/>
    <m/>
    <s v="GC Global Cards"/>
    <s v="S"/>
    <n v="300"/>
    <s v="auto"/>
    <s v="OK"/>
    <n v="100"/>
    <n v="200"/>
    <m/>
    <m/>
    <s v="P1"/>
    <n v="300"/>
    <s v="Stanley Macnack"/>
    <s v="Product"/>
    <s v="ONLINE"/>
    <s v="Vertical Solutions"/>
    <m/>
    <n v="153.9"/>
    <x v="0"/>
    <x v="5"/>
    <s v="Single Project"/>
    <s v="BAU"/>
  </r>
  <r>
    <s v="Rusian Payment method"/>
    <x v="256"/>
    <s v="Sberpay"/>
    <m/>
    <s v="GC Supp1"/>
    <s v="S"/>
    <n v="180"/>
    <s v="auto"/>
    <s v="OK"/>
    <n v="90"/>
    <n v="90"/>
    <m/>
    <m/>
    <s v="P1"/>
    <n v="180"/>
    <s v="Stanley Macnack"/>
    <s v="Product"/>
    <s v="ONLINE"/>
    <s v="Vertical Solutions"/>
    <m/>
    <n v="92.34"/>
    <x v="0"/>
    <x v="5"/>
    <s v="Single Project"/>
    <s v="BAU"/>
  </r>
  <r>
    <s v="Rusian Payment method"/>
    <x v="256"/>
    <s v="Sberpay"/>
    <m/>
    <s v="Acq Hub_2"/>
    <s v="S"/>
    <n v="125"/>
    <s v="auto"/>
    <s v="OK"/>
    <n v="25"/>
    <n v="100"/>
    <m/>
    <m/>
    <s v="P1"/>
    <n v="125"/>
    <s v="Stanley Macnack"/>
    <s v="Product"/>
    <s v="OCH"/>
    <m/>
    <m/>
    <n v="64.125"/>
    <x v="0"/>
    <x v="2"/>
    <s v="Single Project"/>
    <s v="BAU"/>
  </r>
  <r>
    <s v="Rusian Payment method"/>
    <x v="256"/>
    <s v="Sberpay"/>
    <m/>
    <s v="Ops DC-I"/>
    <s v="S"/>
    <n v="50"/>
    <s v="auto"/>
    <s v="OK"/>
    <m/>
    <n v="30"/>
    <n v="20"/>
    <m/>
    <s v="P1"/>
    <n v="50"/>
    <s v="Zlatko Bralic"/>
    <s v="Product"/>
    <s v="ONLINE"/>
    <m/>
    <m/>
    <n v="25"/>
    <x v="0"/>
    <x v="8"/>
    <s v="Single Project"/>
    <s v="BAU"/>
  </r>
  <r>
    <s v="Rusian Payment method"/>
    <x v="256"/>
    <m/>
    <m/>
    <s v="Ops DC-R"/>
    <s v="M"/>
    <n v="100"/>
    <s v="auto"/>
    <s v="OK"/>
    <n v="30"/>
    <n v="30"/>
    <n v="20"/>
    <n v="20"/>
    <s v="P1"/>
    <n v="100"/>
    <s v="Zlatko Bralic"/>
    <s v="Product"/>
    <s v="ONLINE"/>
    <m/>
    <m/>
    <n v="50"/>
    <x v="0"/>
    <x v="8"/>
    <s v="Single Project"/>
    <s v="BAU"/>
  </r>
  <r>
    <s v="SACC - Build"/>
    <x v="257"/>
    <s v="CB5.5 Banks Migration - Build"/>
    <m/>
    <s v="FRSACOP"/>
    <m/>
    <n v="250"/>
    <s v="override"/>
    <s v="OK"/>
    <n v="62.5"/>
    <n v="62.5"/>
    <n v="62.5"/>
    <n v="62.5"/>
    <s v="P1"/>
    <n v="250"/>
    <s v="Michael Amsellem"/>
    <m/>
    <s v="COO-PTM"/>
    <m/>
    <m/>
    <n v="122.5"/>
    <x v="0"/>
    <x v="3"/>
    <n v="0"/>
    <s v="BAU"/>
  </r>
  <r>
    <s v="SACC - Build"/>
    <x v="257"/>
    <s v="CB5.5 Banks Migration - Build"/>
    <m/>
    <s v="ARM"/>
    <m/>
    <n v="175"/>
    <s v="override"/>
    <s v="OK"/>
    <n v="43.75"/>
    <n v="43.75"/>
    <n v="43.75"/>
    <n v="43.75"/>
    <s v="P1"/>
    <n v="175"/>
    <s v="Michael Amsellem"/>
    <m/>
    <s v="COO-PTM"/>
    <m/>
    <m/>
    <n v="35"/>
    <x v="0"/>
    <x v="24"/>
    <n v="0"/>
    <s v="BAU"/>
  </r>
  <r>
    <s v="SACC - Build"/>
    <x v="257"/>
    <s v="EPAS V6"/>
    <m/>
    <s v="FRSACOP"/>
    <s v="S"/>
    <n v="50"/>
    <s v="auto"/>
    <s v="OK"/>
    <n v="12.5"/>
    <n v="12.5"/>
    <n v="12.5"/>
    <n v="12.5"/>
    <s v="P1"/>
    <n v="50"/>
    <s v="Michael Amsellem"/>
    <m/>
    <s v="COO-PTM"/>
    <m/>
    <m/>
    <n v="24.5"/>
    <x v="0"/>
    <x v="3"/>
    <n v="0"/>
    <s v="BAU"/>
  </r>
  <r>
    <s v="SACC - Build"/>
    <x v="257"/>
    <s v="EPAS V6"/>
    <m/>
    <s v="ARM"/>
    <s v="XS"/>
    <n v="25"/>
    <s v="override"/>
    <s v="OK"/>
    <n v="6.25"/>
    <n v="6.25"/>
    <n v="6.25"/>
    <n v="6.25"/>
    <s v="P1"/>
    <n v="25"/>
    <s v="Michael Amsellem"/>
    <m/>
    <s v="COO-PTM"/>
    <m/>
    <m/>
    <n v="5"/>
    <x v="0"/>
    <x v="24"/>
    <n v="0"/>
    <s v="BAU"/>
  </r>
  <r>
    <s v="SACC - Build"/>
    <x v="257"/>
    <s v="CUP/Cheque Migration "/>
    <m/>
    <s v="FRSACOP"/>
    <s v="M"/>
    <n v="100"/>
    <s v="auto"/>
    <s v="OK"/>
    <n v="25"/>
    <n v="25"/>
    <n v="25"/>
    <n v="25"/>
    <s v="P1"/>
    <n v="100"/>
    <s v="Michael Amsellem"/>
    <m/>
    <s v="COO-PTM"/>
    <m/>
    <m/>
    <n v="49"/>
    <x v="0"/>
    <x v="3"/>
    <n v="0"/>
    <s v="BAU"/>
  </r>
  <r>
    <s v="SACC - Build"/>
    <x v="257"/>
    <s v="CUP/Cheque Migration "/>
    <m/>
    <s v="ARM"/>
    <m/>
    <n v="75"/>
    <s v="override"/>
    <s v="OK"/>
    <n v="18.75"/>
    <n v="18.75"/>
    <n v="18.75"/>
    <n v="18.75"/>
    <s v="P1"/>
    <n v="75"/>
    <s v="Michael Amsellem"/>
    <m/>
    <s v="COO-PTM"/>
    <m/>
    <m/>
    <n v="15"/>
    <x v="0"/>
    <x v="24"/>
    <n v="0"/>
    <s v="BAU"/>
  </r>
  <r>
    <s v="SACC - Build"/>
    <x v="257"/>
    <s v="SACC – Conduent"/>
    <m/>
    <s v="FRSACOP"/>
    <s v="M"/>
    <n v="100"/>
    <s v="auto"/>
    <s v="OK"/>
    <n v="25"/>
    <n v="25"/>
    <n v="25"/>
    <n v="25"/>
    <s v="P1"/>
    <n v="100"/>
    <s v="Michael Amsellem"/>
    <m/>
    <s v="COO-PTM"/>
    <m/>
    <m/>
    <n v="49"/>
    <x v="0"/>
    <x v="3"/>
    <n v="0"/>
    <s v="BAU"/>
  </r>
  <r>
    <s v="SACC - Build"/>
    <x v="257"/>
    <s v="SACC – Conduent"/>
    <m/>
    <s v="ARM"/>
    <m/>
    <n v="75"/>
    <s v="override"/>
    <s v="OK"/>
    <n v="18.75"/>
    <n v="18.75"/>
    <n v="18.75"/>
    <n v="18.75"/>
    <s v="P1"/>
    <n v="75"/>
    <s v="Michael Amsellem"/>
    <m/>
    <s v="COO-PTM"/>
    <m/>
    <m/>
    <n v="15"/>
    <x v="0"/>
    <x v="24"/>
    <n v="0"/>
    <s v="BAU"/>
  </r>
  <r>
    <s v="SACC - Build"/>
    <x v="257"/>
    <s v="SACC – MTS Tap2use Envelop Projects "/>
    <m/>
    <s v="FRSACOP"/>
    <m/>
    <n v="150"/>
    <s v="override"/>
    <s v="OK"/>
    <n v="37.5"/>
    <n v="37.5"/>
    <n v="37.5"/>
    <n v="37.5"/>
    <s v="P1"/>
    <n v="150"/>
    <s v="Michael Amsellem"/>
    <m/>
    <s v="COO-PTM"/>
    <m/>
    <m/>
    <n v="73.5"/>
    <x v="0"/>
    <x v="3"/>
    <n v="0"/>
    <s v="BAU"/>
  </r>
  <r>
    <s v="SACC - Build"/>
    <x v="257"/>
    <s v="SACC – MTS Tap2use Envelop Projects "/>
    <m/>
    <s v="ARM"/>
    <s v="M"/>
    <n v="100"/>
    <s v="auto"/>
    <s v="OK"/>
    <n v="25"/>
    <n v="25"/>
    <n v="25"/>
    <n v="25"/>
    <s v="P1"/>
    <n v="100"/>
    <s v="Michael Amsellem"/>
    <m/>
    <s v="COO-PTM"/>
    <m/>
    <m/>
    <n v="20"/>
    <x v="0"/>
    <x v="24"/>
    <n v="0"/>
    <s v="BAU"/>
  </r>
  <r>
    <s v="SACC - Build"/>
    <x v="257"/>
    <s v="SACC – Retail Envelop Customer Projects"/>
    <m/>
    <s v="FRSACOP"/>
    <s v="M"/>
    <n v="100"/>
    <s v="auto"/>
    <s v="OK"/>
    <n v="25"/>
    <n v="25"/>
    <n v="25"/>
    <n v="25"/>
    <s v="P1"/>
    <n v="100"/>
    <s v="Michael Amsellem"/>
    <m/>
    <s v="COO-PTM"/>
    <m/>
    <m/>
    <n v="49"/>
    <x v="0"/>
    <x v="3"/>
    <n v="0"/>
    <s v="BAU"/>
  </r>
  <r>
    <s v="SACC - Build"/>
    <x v="257"/>
    <s v="SACC – Retail Envelop Customer Projects"/>
    <m/>
    <s v="ARM"/>
    <m/>
    <n v="75"/>
    <s v="override"/>
    <s v="OK"/>
    <n v="18.75"/>
    <n v="18.75"/>
    <n v="18.75"/>
    <n v="18.75"/>
    <s v="P1"/>
    <n v="75"/>
    <s v="Michael Amsellem"/>
    <m/>
    <s v="COO-PTM"/>
    <m/>
    <m/>
    <n v="15"/>
    <x v="0"/>
    <x v="24"/>
    <n v="0"/>
    <s v="BAU"/>
  </r>
  <r>
    <s v="SACC - Build"/>
    <x v="257"/>
    <s v="Shared Services Envelop Development"/>
    <m/>
    <s v="FRSACOP"/>
    <s v="XL"/>
    <n v="300"/>
    <s v="auto"/>
    <s v="OK"/>
    <n v="75"/>
    <n v="75"/>
    <n v="75"/>
    <n v="75"/>
    <s v="P1"/>
    <n v="300"/>
    <s v="Michael Amsellem"/>
    <m/>
    <s v="COO-PTM"/>
    <m/>
    <m/>
    <n v="147"/>
    <x v="0"/>
    <x v="3"/>
    <n v="0"/>
    <s v="BAU"/>
  </r>
  <r>
    <s v="SACC - Build"/>
    <x v="257"/>
    <s v="Shared Services Envelop Development"/>
    <m/>
    <s v="ARM"/>
    <s v="L"/>
    <n v="1025"/>
    <s v="override"/>
    <s v="OK"/>
    <n v="256.25"/>
    <n v="256.25"/>
    <n v="256.25"/>
    <n v="256.25"/>
    <s v="P1"/>
    <n v="1025"/>
    <s v="Michael Amsellem"/>
    <m/>
    <s v="COO-PTM"/>
    <m/>
    <m/>
    <n v="205"/>
    <x v="0"/>
    <x v="24"/>
    <n v="0"/>
    <s v="BAU"/>
  </r>
  <r>
    <s v="SACC - Opps"/>
    <x v="258"/>
    <s v="CB5.5 - E2E Tests banks"/>
    <m/>
    <s v="FRSACOP"/>
    <m/>
    <n v="0"/>
    <s v="auto"/>
    <s v="OK"/>
    <m/>
    <m/>
    <m/>
    <m/>
    <s v="P1"/>
    <n v="0"/>
    <s v="Michael Amsellem"/>
    <m/>
    <s v="COO-PTM"/>
    <m/>
    <m/>
    <n v="0"/>
    <x v="0"/>
    <x v="3"/>
    <s v="Run"/>
    <s v="RUN"/>
  </r>
  <r>
    <s v="SACC - Run"/>
    <x v="259"/>
    <s v="SACC - Non-productive "/>
    <m/>
    <s v="FRSACOP"/>
    <s v="XL"/>
    <n v="300"/>
    <s v="auto"/>
    <s v="OK"/>
    <n v="75"/>
    <n v="75"/>
    <n v="75"/>
    <n v="75"/>
    <s v="P1"/>
    <n v="300"/>
    <s v="Michael Amsellem"/>
    <m/>
    <s v="COO-PTM"/>
    <m/>
    <m/>
    <n v="147"/>
    <x v="0"/>
    <x v="3"/>
    <s v="Run"/>
    <s v="RUN"/>
  </r>
  <r>
    <s v="SACC - Run"/>
    <x v="259"/>
    <s v="SACC - Maintenance"/>
    <m/>
    <s v="FRSACOP"/>
    <m/>
    <n v="975"/>
    <s v="override"/>
    <s v="OK"/>
    <n v="243.75"/>
    <n v="243.75"/>
    <n v="243.75"/>
    <n v="243.75"/>
    <s v="P1"/>
    <n v="975"/>
    <s v="Michael Amsellem"/>
    <m/>
    <s v="COO-PTM"/>
    <m/>
    <m/>
    <n v="477.75"/>
    <x v="0"/>
    <x v="3"/>
    <s v="Run"/>
    <s v="RUN"/>
  </r>
  <r>
    <s v="SACC - Run"/>
    <x v="259"/>
    <s v="SACC - Maintenance"/>
    <m/>
    <s v="ARM"/>
    <s v="L"/>
    <n v="200"/>
    <s v="auto"/>
    <s v="OK"/>
    <n v="50"/>
    <n v="50"/>
    <n v="50"/>
    <n v="50"/>
    <s v="P1"/>
    <n v="200"/>
    <s v="Michael Amsellem"/>
    <m/>
    <s v="COO-PTM"/>
    <m/>
    <m/>
    <n v="40"/>
    <x v="0"/>
    <x v="24"/>
    <s v="Run"/>
    <s v="RUN"/>
  </r>
  <r>
    <s v="SACC - Run"/>
    <x v="259"/>
    <s v="SACC POS PCI (each year)"/>
    <m/>
    <s v="FRSACOP"/>
    <s v="M"/>
    <n v="100"/>
    <s v="auto"/>
    <s v="OK"/>
    <n v="25"/>
    <n v="25"/>
    <n v="25"/>
    <n v="25"/>
    <s v="P1"/>
    <n v="100"/>
    <s v="Michael Amsellem"/>
    <m/>
    <s v="COO-PTM"/>
    <m/>
    <m/>
    <n v="49"/>
    <x v="0"/>
    <x v="3"/>
    <s v="Run"/>
    <s v="RUN"/>
  </r>
  <r>
    <s v="SACC - Run"/>
    <x v="259"/>
    <s v="SACC POS PCI (each year)"/>
    <m/>
    <s v="ARM"/>
    <s v="S"/>
    <n v="50"/>
    <s v="auto"/>
    <s v="OK"/>
    <n v="12.5"/>
    <n v="12.5"/>
    <n v="12.5"/>
    <n v="12.5"/>
    <s v="P1"/>
    <n v="50"/>
    <s v="Michael Amsellem"/>
    <m/>
    <s v="COO-PTM"/>
    <m/>
    <m/>
    <n v="10"/>
    <x v="0"/>
    <x v="24"/>
    <s v="Run"/>
    <s v="RUN"/>
  </r>
  <r>
    <s v="Saferpay - BackOffice Enhancements"/>
    <x v="260"/>
    <s v="Saferpay"/>
    <s v="Back office improvements (Saferpay)"/>
    <s v="SaferPay"/>
    <s v="S"/>
    <n v="50"/>
    <s v="auto"/>
    <s v="OK"/>
    <m/>
    <m/>
    <n v="50"/>
    <m/>
    <s v="P1"/>
    <n v="50"/>
    <s v="Amaury Kervyn"/>
    <s v="Product"/>
    <s v="ECOM"/>
    <m/>
    <m/>
    <n v="50"/>
    <x v="0"/>
    <x v="10"/>
    <n v="0"/>
    <s v="BAU"/>
  </r>
  <r>
    <s v="Saferpay - BO login compliancy"/>
    <x v="261"/>
    <s v="Saferpay"/>
    <s v="Login compliancy Saferpay Backoffice"/>
    <s v="SaferPay"/>
    <s v="S"/>
    <n v="50"/>
    <s v="auto"/>
    <s v="OK"/>
    <m/>
    <n v="50"/>
    <m/>
    <m/>
    <s v="P1"/>
    <n v="50"/>
    <s v="Amaury Kervyn"/>
    <s v="Product"/>
    <s v="ECOM"/>
    <s v="Regulation"/>
    <m/>
    <n v="50"/>
    <x v="0"/>
    <x v="10"/>
    <n v="0"/>
    <s v="BAU"/>
  </r>
  <r>
    <s v="Saferpay - Click to Pay (SRC)"/>
    <x v="262"/>
    <s v="Saferpay"/>
    <s v="Click to Pay (SRC)"/>
    <s v="SaferPay"/>
    <s v="L"/>
    <n v="200"/>
    <s v="auto"/>
    <s v="OK"/>
    <m/>
    <m/>
    <m/>
    <n v="200"/>
    <s v="P2"/>
    <n v="200"/>
    <s v="Amaury Kervyn"/>
    <s v="Product"/>
    <s v="ECOM"/>
    <m/>
    <m/>
    <n v="200"/>
    <x v="0"/>
    <x v="10"/>
    <n v="0"/>
    <s v="BAU"/>
  </r>
  <r>
    <s v="Saferpay - Extend marketplace with BNPL for Payone"/>
    <x v="263"/>
    <s v="Saferpay"/>
    <s v="Extend marketplace with BNPL for Payone"/>
    <s v="SaferPay"/>
    <s v="M"/>
    <n v="100"/>
    <s v="auto"/>
    <s v="OK"/>
    <m/>
    <m/>
    <n v="100"/>
    <m/>
    <s v="P1"/>
    <n v="100"/>
    <s v="Amaury Kervyn"/>
    <s v="Product"/>
    <s v="ECOM"/>
    <m/>
    <m/>
    <n v="100"/>
    <x v="0"/>
    <x v="10"/>
    <n v="0"/>
    <s v="BAU"/>
  </r>
  <r>
    <s v="Saferpay - Google Pay"/>
    <x v="264"/>
    <s v="Saferpay"/>
    <s v="Google Pay "/>
    <s v="SaferPay"/>
    <s v="XS"/>
    <n v="20"/>
    <s v="auto"/>
    <s v="OK"/>
    <n v="20"/>
    <m/>
    <m/>
    <m/>
    <s v="P1"/>
    <n v="20"/>
    <s v="Amaury Kervyn"/>
    <s v="Product"/>
    <s v="ECOM"/>
    <m/>
    <m/>
    <n v="20"/>
    <x v="0"/>
    <x v="10"/>
    <n v="0"/>
    <s v="BAU"/>
  </r>
  <r>
    <s v="SaferPay - iDeal 2.0"/>
    <x v="265"/>
    <s v="Saferpay"/>
    <s v="iDeal 2.0"/>
    <s v="SaferPay"/>
    <s v="M"/>
    <n v="150"/>
    <s v="auto"/>
    <s v="OK"/>
    <m/>
    <m/>
    <m/>
    <n v="150"/>
    <s v="P1"/>
    <n v="150"/>
    <s v="Amaury Kervyn"/>
    <s v="Product"/>
    <s v="ECOM"/>
    <m/>
    <s v="via APM Hub?"/>
    <n v="150"/>
    <x v="0"/>
    <x v="10"/>
    <n v="0"/>
    <s v="BAU"/>
  </r>
  <r>
    <s v="Saferpay - Klarna in FS"/>
    <x v="266"/>
    <s v="Saferpay"/>
    <s v="Klarna in FS"/>
    <s v="SaferPay"/>
    <s v="M"/>
    <n v="100"/>
    <s v="auto"/>
    <s v="OK"/>
    <m/>
    <n v="100"/>
    <m/>
    <m/>
    <s v="P1"/>
    <n v="100"/>
    <s v="Amaury Kervyn"/>
    <s v="Product"/>
    <s v="ECOM"/>
    <m/>
    <m/>
    <n v="100"/>
    <x v="0"/>
    <x v="10"/>
    <n v="0"/>
    <s v="BAU"/>
  </r>
  <r>
    <s v="Saferpay - Limonetik ecovoucher + Swissbiling"/>
    <x v="267"/>
    <s v="Saferpay"/>
    <s v="Limonetik ecovoucher + Swissbiling"/>
    <s v="SaferPay"/>
    <s v="M"/>
    <n v="150"/>
    <s v="auto"/>
    <s v="OK"/>
    <m/>
    <m/>
    <m/>
    <n v="150"/>
    <s v="P1"/>
    <n v="150"/>
    <s v="Amaury Kervyn"/>
    <s v="Product"/>
    <s v="ECOM"/>
    <m/>
    <m/>
    <n v="150"/>
    <x v="0"/>
    <x v="10"/>
    <n v="0"/>
    <s v="BAU"/>
  </r>
  <r>
    <s v="Saferpay - P24"/>
    <x v="268"/>
    <s v="Saferpay"/>
    <s v="P24"/>
    <s v="SaferPay"/>
    <s v="M"/>
    <n v="100"/>
    <s v="auto"/>
    <s v="OK"/>
    <m/>
    <m/>
    <n v="100"/>
    <m/>
    <s v="P1"/>
    <n v="100"/>
    <s v="Amaury Kervyn"/>
    <s v="Product"/>
    <s v="ECOM"/>
    <m/>
    <m/>
    <n v="100"/>
    <x v="0"/>
    <x v="10"/>
    <n v="0"/>
    <s v="BAU"/>
  </r>
  <r>
    <s v="Saferpay - PayPal Recurring"/>
    <x v="269"/>
    <s v="Saferpay"/>
    <s v="PayPal recurring"/>
    <s v="SaferPay"/>
    <s v="S"/>
    <n v="50"/>
    <s v="auto"/>
    <s v="OK"/>
    <m/>
    <m/>
    <n v="50"/>
    <m/>
    <s v="P1"/>
    <n v="50"/>
    <s v="Amaury Kervyn"/>
    <s v="Product"/>
    <s v="ECOM"/>
    <m/>
    <m/>
    <n v="50"/>
    <x v="0"/>
    <x v="10"/>
    <n v="0"/>
    <s v="BAU"/>
  </r>
  <r>
    <s v="Saferpay - PISP"/>
    <x v="270"/>
    <s v="Saferpay"/>
    <s v="OpenBanking"/>
    <s v="SaferPay"/>
    <s v="L"/>
    <n v="150"/>
    <s v="auto"/>
    <s v="OK"/>
    <m/>
    <m/>
    <m/>
    <n v="150"/>
    <s v="P2"/>
    <n v="150"/>
    <s v="Amaury Kervyn"/>
    <s v="Product"/>
    <s v="ECOM"/>
    <m/>
    <s v="via APM Hub?"/>
    <n v="150"/>
    <x v="0"/>
    <x v="10"/>
    <n v="0"/>
    <s v="BAU"/>
  </r>
  <r>
    <s v="Saferpay - Responsive Backoffice"/>
    <x v="271"/>
    <s v="Saferpay"/>
    <s v="Back Office responsive (Saferpay)"/>
    <s v="SaferPay"/>
    <s v="S"/>
    <n v="50"/>
    <s v="auto"/>
    <s v="OK"/>
    <m/>
    <n v="50"/>
    <m/>
    <m/>
    <s v="P1"/>
    <n v="50"/>
    <s v="Amaury Kervyn"/>
    <s v="Product"/>
    <s v="ECOM"/>
    <m/>
    <m/>
    <n v="50"/>
    <x v="0"/>
    <x v="10"/>
    <n v="0"/>
    <s v="BAU"/>
  </r>
  <r>
    <s v="Saferpay - Scheme Token"/>
    <x v="272"/>
    <s v="Saferpay"/>
    <s v="Scheme Token"/>
    <s v="SaferPay"/>
    <s v="M"/>
    <n v="150"/>
    <s v="auto"/>
    <s v="OK"/>
    <m/>
    <m/>
    <m/>
    <n v="150"/>
    <s v="P2"/>
    <n v="150"/>
    <s v="Amaury Kervyn"/>
    <s v="Product"/>
    <s v="ECOM"/>
    <m/>
    <m/>
    <n v="150"/>
    <x v="0"/>
    <x v="10"/>
    <n v="0"/>
    <s v="BAU"/>
  </r>
  <r>
    <s v="Saferpay - Worldline rebranding"/>
    <x v="273"/>
    <s v="Saferpay"/>
    <s v="Rebranding"/>
    <s v="SaferPay"/>
    <s v="M"/>
    <n v="100"/>
    <s v="auto"/>
    <s v="OK"/>
    <n v="25"/>
    <n v="75"/>
    <m/>
    <m/>
    <s v="P1"/>
    <n v="100"/>
    <s v="Amaury Kervyn"/>
    <s v="Product"/>
    <s v="ECOM"/>
    <m/>
    <m/>
    <n v="100"/>
    <x v="0"/>
    <x v="10"/>
    <n v="0"/>
    <s v="BAU"/>
  </r>
  <r>
    <s v="CSACT Technical debt / Rationalization"/>
    <x v="100"/>
    <s v="CCM improvements (CSACT consulta y monitorización)"/>
    <s v="CCM : tool to check terminal version / SIM / Operator… to backoffice team"/>
    <s v="CSACT Rdmp"/>
    <s v="S"/>
    <n v="50"/>
    <s v="auto"/>
    <s v="OK"/>
    <m/>
    <n v="20"/>
    <n v="20"/>
    <n v="10"/>
    <s v="P3"/>
    <n v="50"/>
    <s v="Ismael Jaafar"/>
    <s v="Product"/>
    <s v="IN_STORE"/>
    <m/>
    <m/>
    <n v="25.65"/>
    <x v="1"/>
    <x v="18"/>
    <n v="0"/>
    <s v="BAU"/>
  </r>
  <r>
    <s v="CSACT Technical debt / Rationalization"/>
    <x v="100"/>
    <s v="CSACT PIN online translation improvement"/>
    <m/>
    <s v="CSACT Rdmp"/>
    <s v="S"/>
    <n v="50"/>
    <s v="auto"/>
    <s v="OK"/>
    <m/>
    <m/>
    <m/>
    <n v="50"/>
    <s v="P3"/>
    <n v="50"/>
    <s v="Ismael Jaafar"/>
    <s v="Product"/>
    <s v="IN_STORE"/>
    <m/>
    <m/>
    <n v="25.65"/>
    <x v="1"/>
    <x v="18"/>
    <n v="0"/>
    <s v="BAU"/>
  </r>
  <r>
    <s v="Scheme tokenisation on ecommerce"/>
    <x v="274"/>
    <s v="Scheme tokenization on ecommerce_x000a_"/>
    <m/>
    <s v="Above"/>
    <s v="XL"/>
    <n v="300"/>
    <s v="auto"/>
    <s v="OK"/>
    <m/>
    <m/>
    <n v="150"/>
    <n v="150"/>
    <s v="P5"/>
    <n v="300"/>
    <s v="Pierre Riat"/>
    <s v="Product"/>
    <s v="ECOM"/>
    <m/>
    <m/>
    <n v="144.9"/>
    <x v="1"/>
    <x v="4"/>
    <n v="0"/>
    <s v="BAU"/>
  </r>
  <r>
    <s v="Scheme Tokens"/>
    <x v="275"/>
    <s v="Scheme tokens phase 2"/>
    <m/>
    <s v="GC Global Cards"/>
    <s v="S"/>
    <n v="300"/>
    <s v="auto"/>
    <s v="OK"/>
    <m/>
    <m/>
    <n v="50"/>
    <n v="250"/>
    <s v="P1"/>
    <n v="300"/>
    <s v="Stanley Macnack"/>
    <s v="Product"/>
    <s v="ONLINE"/>
    <s v="Get Basics Right"/>
    <m/>
    <n v="153.9"/>
    <x v="0"/>
    <x v="5"/>
    <s v="Single Project"/>
    <s v="BAU"/>
  </r>
  <r>
    <s v="Scheme Tokens"/>
    <x v="275"/>
    <s v="Scheme tokens phase 2"/>
    <m/>
    <s v="Himalaya"/>
    <s v="S"/>
    <n v="200"/>
    <s v="auto"/>
    <s v="OK"/>
    <m/>
    <m/>
    <n v="60"/>
    <n v="140"/>
    <s v="P1"/>
    <n v="200"/>
    <s v="Stanley Macnack"/>
    <s v="Product"/>
    <s v="ONLINE"/>
    <s v="Get Basics Right"/>
    <m/>
    <n v="102.6"/>
    <x v="0"/>
    <x v="5"/>
    <s v="Single Project"/>
    <s v="BAU"/>
  </r>
  <r>
    <s v="Scheme Tokens"/>
    <x v="275"/>
    <s v="Scheme tokens phase 2"/>
    <m/>
    <s v="FS"/>
    <s v="S"/>
    <n v="200"/>
    <s v="auto"/>
    <s v="OK"/>
    <m/>
    <m/>
    <n v="100"/>
    <n v="100"/>
    <s v="P1"/>
    <n v="200"/>
    <s v="Stanley Macnack"/>
    <s v="Product"/>
    <s v="OTHER"/>
    <m/>
    <m/>
    <n v="100"/>
    <x v="0"/>
    <x v="6"/>
    <s v="Single Project"/>
    <s v="BAU"/>
  </r>
  <r>
    <s v="SDK annual compliance"/>
    <x v="276"/>
    <s v="SDK annual compliance"/>
    <m/>
    <s v="IPP"/>
    <s v="S"/>
    <n v="40"/>
    <s v="auto"/>
    <s v="OK"/>
    <m/>
    <m/>
    <m/>
    <n v="40"/>
    <s v="P1"/>
    <n v="40"/>
    <s v="Mike O'Halloran"/>
    <s v="Tech. Debt"/>
    <s v="ECOM"/>
    <s v="Regulation"/>
    <m/>
    <n v="20.52"/>
    <x v="0"/>
    <x v="7"/>
    <n v="0"/>
    <s v="BAU"/>
  </r>
  <r>
    <s v="Technical Debt / Global Infra"/>
    <x v="29"/>
    <s v="Source code &amp; CI migration"/>
    <s v="AFM"/>
    <s v="AFM"/>
    <s v="XS"/>
    <n v="20"/>
    <s v="auto"/>
    <s v="OK"/>
    <n v="20"/>
    <m/>
    <m/>
    <m/>
    <s v="P1"/>
    <n v="20"/>
    <s v="Gilles Raymond"/>
    <s v="Tech. Debt"/>
    <s v="IN_STORE"/>
    <s v="Technical Leverage"/>
    <m/>
    <n v="10.26"/>
    <x v="0"/>
    <x v="1"/>
    <n v="0"/>
    <s v="BAU"/>
  </r>
  <r>
    <s v="Technical Debt / Global Infra"/>
    <x v="29"/>
    <s v="Training of teams with new way of working"/>
    <s v="AFM"/>
    <s v="AFM"/>
    <s v="XS"/>
    <n v="20"/>
    <s v="auto"/>
    <s v="OK"/>
    <n v="20"/>
    <m/>
    <m/>
    <m/>
    <s v="P1"/>
    <n v="20"/>
    <s v="Gilles Raymond"/>
    <s v="Tech. Debt"/>
    <s v="IN_STORE"/>
    <s v="Technical Leverage"/>
    <m/>
    <n v="10.26"/>
    <x v="0"/>
    <x v="1"/>
    <n v="0"/>
    <s v="BAU"/>
  </r>
  <r>
    <s v="Conexflow migration"/>
    <x v="8"/>
    <s v="[PUC][CECA][MAP] Link/2500v2 certification support for Customer (AXIN-1409)"/>
    <m/>
    <s v="AFM"/>
    <s v="XS"/>
    <n v="10"/>
    <s v="override"/>
    <s v="OK"/>
    <n v="10"/>
    <m/>
    <m/>
    <m/>
    <s v="P1"/>
    <n v="10"/>
    <s v="Jorge Tarlea"/>
    <s v="Product"/>
    <s v="IN_STORE"/>
    <s v="Regulation"/>
    <s v="To support V2 (V1 already supported but EOL). Needed by Inditex, not just for Conexflow migration"/>
    <n v="5.13"/>
    <x v="0"/>
    <x v="1"/>
    <n v="0"/>
    <s v="BAU"/>
  </r>
  <r>
    <s v="Roadmap / Purchasing Experience"/>
    <x v="11"/>
    <s v="Offline improvement (!= Flight Mode Conexflow)"/>
    <s v="Offline mode activation from a central point"/>
    <s v="AFM"/>
    <s v="L"/>
    <n v="200"/>
    <s v="auto"/>
    <s v="OK"/>
    <m/>
    <n v="100"/>
    <n v="100"/>
    <m/>
    <s v="P2"/>
    <n v="200"/>
    <s v="Jorge Tarlea"/>
    <s v="Product"/>
    <s v="IN_STORE"/>
    <s v="Simplify Experience"/>
    <m/>
    <n v="102.6"/>
    <x v="0"/>
    <x v="1"/>
    <n v="0"/>
    <s v="BAU"/>
  </r>
  <r>
    <s v="Migration C3I UK"/>
    <x v="246"/>
    <s v="Fujistsu Rail migration (xchannel,…)"/>
    <m/>
    <s v="AFM"/>
    <s v="M"/>
    <n v="100"/>
    <s v="auto"/>
    <s v="OK"/>
    <m/>
    <m/>
    <n v="50"/>
    <n v="50"/>
    <s v="P2"/>
    <n v="100"/>
    <s v="Sylvain Marion"/>
    <s v="Synergies"/>
    <s v="IN_STORE"/>
    <s v="Technical Leverage"/>
    <m/>
    <n v="51.3"/>
    <x v="0"/>
    <x v="1"/>
    <n v="0"/>
    <s v="BAU"/>
  </r>
  <r>
    <s v="Technical &amp; Functional Debt"/>
    <x v="12"/>
    <s v="API &amp; data"/>
    <s v="Axis / alignment with CSACT on CP API (1.5 to 1.x)"/>
    <s v="AFM"/>
    <s v="M"/>
    <n v="100"/>
    <s v="auto"/>
    <s v="OK"/>
    <m/>
    <n v="50"/>
    <n v="50"/>
    <m/>
    <s v="P2"/>
    <n v="100"/>
    <s v="Gilles Raymond"/>
    <s v="Tech. Debt"/>
    <s v="IN_STORE"/>
    <s v="Technical Leverage"/>
    <m/>
    <n v="51.3"/>
    <x v="0"/>
    <x v="1"/>
    <n v="0"/>
    <s v="BAU"/>
  </r>
  <r>
    <s v="Regulation / Europe w/o France"/>
    <x v="78"/>
    <s v="Partial Approval for Mastercard/VISA (forthcoming mandate) (AXIN-1252)"/>
    <m/>
    <s v="AFM"/>
    <s v="S"/>
    <n v="50"/>
    <s v="auto"/>
    <s v="OK"/>
    <m/>
    <m/>
    <m/>
    <n v="50"/>
    <s v="P2"/>
    <n v="50"/>
    <s v="Sylvain Marion"/>
    <s v="Product"/>
    <s v="IN_STORE"/>
    <s v="Regulation"/>
    <m/>
    <n v="25.65"/>
    <x v="0"/>
    <x v="1"/>
    <n v="0"/>
    <s v="BAU"/>
  </r>
  <r>
    <s v="Technical &amp; Functional Debt"/>
    <x v="12"/>
    <s v="Robustness"/>
    <s v="Rework Axis payment application logs to allow easy access to production log for developers &amp; project manager"/>
    <s v="AFM"/>
    <s v="S"/>
    <n v="50"/>
    <s v="auto"/>
    <s v="OK"/>
    <n v="10"/>
    <n v="10"/>
    <n v="10"/>
    <n v="20"/>
    <s v="P2"/>
    <n v="50"/>
    <s v="Gilles Raymond"/>
    <s v="Tech. Debt"/>
    <s v="IN_STORE"/>
    <s v="Technical Leverage"/>
    <m/>
    <n v="25.65"/>
    <x v="0"/>
    <x v="1"/>
    <n v="0"/>
    <s v="BAU"/>
  </r>
  <r>
    <s v="Technical &amp; Functional Debt"/>
    <x v="12"/>
    <s v="API &amp; data"/>
    <s v="Including TPVnumber to 32 char ?"/>
    <s v="AFM"/>
    <s v="XS"/>
    <n v="20"/>
    <s v="auto"/>
    <s v="OK"/>
    <m/>
    <m/>
    <n v="10"/>
    <n v="10"/>
    <s v="P2"/>
    <n v="20"/>
    <s v="Gilles Raymond"/>
    <s v="Tech. Debt"/>
    <s v="IN_STORE"/>
    <s v="Technical Leverage"/>
    <m/>
    <n v="10.26"/>
    <x v="0"/>
    <x v="1"/>
    <n v="0"/>
    <s v="BAU"/>
  </r>
  <r>
    <s v="Technical &amp; Functional Debt"/>
    <x v="12"/>
    <s v="Refactoring"/>
    <s v="Rework replication to remove PGQ"/>
    <s v="AFM"/>
    <s v="XS"/>
    <n v="15"/>
    <s v="override"/>
    <s v="OK"/>
    <m/>
    <m/>
    <n v="15"/>
    <m/>
    <s v="P2"/>
    <n v="15"/>
    <s v="Gilles Raymond"/>
    <s v="Tech. Debt"/>
    <s v="IN_STORE"/>
    <s v="Technical Leverage"/>
    <m/>
    <n v="7.6950000000000003"/>
    <x v="0"/>
    <x v="1"/>
    <n v="0"/>
    <s v="BAU"/>
  </r>
  <r>
    <s v="Custom / Evolutions for MID TIERS"/>
    <x v="90"/>
    <s v="Zonal Premier In business card dependency with AH (AXIN-803)"/>
    <m/>
    <s v="AFM"/>
    <s v="S"/>
    <n v="50"/>
    <s v="auto"/>
    <s v="OK"/>
    <m/>
    <m/>
    <n v="50"/>
    <m/>
    <s v="P4"/>
    <n v="50"/>
    <s v="Sylvain Marion"/>
    <s v="Product"/>
    <s v="IN_STORE"/>
    <s v="Support Customers' Projects"/>
    <m/>
    <n v="25.65"/>
    <x v="1"/>
    <x v="1"/>
    <n v="0"/>
    <s v="BAU"/>
  </r>
  <r>
    <s v="Regulation / Europe w/o France"/>
    <x v="78"/>
    <s v="[Europe][Visa Mandate] - Remove MID and TID information from customer receipts (AXIN-1465)"/>
    <m/>
    <s v="AFM"/>
    <s v="S"/>
    <n v="50"/>
    <s v="auto"/>
    <s v="OK"/>
    <m/>
    <m/>
    <m/>
    <n v="50"/>
    <s v="P4"/>
    <n v="50"/>
    <s v="Sylvain Marion"/>
    <s v="Product"/>
    <s v="IN_STORE"/>
    <s v="Regulation"/>
    <m/>
    <n v="25.65"/>
    <x v="1"/>
    <x v="1"/>
    <n v="0"/>
    <s v="BAU"/>
  </r>
  <r>
    <s v="Roadmap / Purchasing Experience"/>
    <x v="11"/>
    <s v="C3Agent evolutions (BAU) Java/C#"/>
    <m/>
    <s v="AFMOB"/>
    <s v="XL"/>
    <n v="300"/>
    <s v="auto"/>
    <s v="OK"/>
    <n v="50"/>
    <n v="50"/>
    <n v="100"/>
    <n v="100"/>
    <s v="P1"/>
    <n v="300"/>
    <s v="Sylvain Marion"/>
    <s v="Product"/>
    <s v="IN_STORE"/>
    <s v="Simplify Experience"/>
    <m/>
    <n v="153.9"/>
    <x v="0"/>
    <x v="1"/>
    <n v="0"/>
    <s v="BAU"/>
  </r>
  <r>
    <s v="Roadmap / Integration"/>
    <x v="277"/>
    <s v="Web2PoS"/>
    <m/>
    <s v="AFMOB"/>
    <s v="M"/>
    <n v="100"/>
    <s v="auto"/>
    <s v="OK"/>
    <m/>
    <n v="50"/>
    <n v="50"/>
    <m/>
    <s v="P1"/>
    <n v="100"/>
    <s v="Sylvain Marion"/>
    <s v="Product"/>
    <s v="IN_STORE"/>
    <s v="Simplify Experience"/>
    <m/>
    <n v="51.3"/>
    <x v="0"/>
    <x v="1"/>
    <n v="0"/>
    <s v="BAU"/>
  </r>
  <r>
    <s v="Security &amp; Risks"/>
    <x v="72"/>
    <s v="Cashier-C3Driver-Terminal security enhancement (AXIN-1293)"/>
    <m/>
    <s v="AFMOB"/>
    <s v="M"/>
    <n v="100"/>
    <s v="auto"/>
    <s v="OK"/>
    <n v="50"/>
    <n v="50"/>
    <m/>
    <m/>
    <s v="P1"/>
    <n v="100"/>
    <s v="Sylvain Marion"/>
    <s v="Tech. Debt"/>
    <s v="IN_STORE"/>
    <s v="Simplify Experience"/>
    <m/>
    <n v="51.3"/>
    <x v="0"/>
    <x v="1"/>
    <n v="0"/>
    <s v="BAU"/>
  </r>
  <r>
    <s v="Maintenance"/>
    <x v="5"/>
    <s v="Maintenance Axis"/>
    <m/>
    <s v="AFMOB"/>
    <s v="M"/>
    <n v="80"/>
    <s v="override"/>
    <s v="OK"/>
    <n v="20"/>
    <n v="20"/>
    <n v="20"/>
    <n v="20"/>
    <s v="P1"/>
    <n v="80"/>
    <s v="Sylvain Marion"/>
    <s v="Maintenance &amp; Incidents"/>
    <s v="IN_STORE"/>
    <s v="Technical Leverage"/>
    <m/>
    <n v="41.04"/>
    <x v="0"/>
    <x v="1"/>
    <s v="Run"/>
    <s v="RUN"/>
  </r>
  <r>
    <s v="Technical &amp; Functional Debt"/>
    <x v="12"/>
    <s v="API &amp; data"/>
    <s v="PaymentID as UUID"/>
    <s v="AFMOB"/>
    <s v="XS"/>
    <n v="20"/>
    <s v="auto"/>
    <s v="OK"/>
    <m/>
    <n v="20"/>
    <m/>
    <m/>
    <s v="P1"/>
    <n v="20"/>
    <s v="Gilles Raymond"/>
    <s v="Tech. Debt"/>
    <s v="IN_STORE"/>
    <s v="Technical Leverage"/>
    <m/>
    <n v="10.26"/>
    <x v="0"/>
    <x v="1"/>
    <n v="0"/>
    <s v="BAU"/>
  </r>
  <r>
    <s v="Technical Debt / Global Infra"/>
    <x v="29"/>
    <s v="Source code &amp; CI migration"/>
    <s v="AFMOB"/>
    <s v="AFMOB"/>
    <s v="XS"/>
    <n v="20"/>
    <s v="auto"/>
    <s v="OK"/>
    <n v="20"/>
    <m/>
    <m/>
    <m/>
    <s v="P1"/>
    <n v="20"/>
    <s v="Gilles Raymond"/>
    <s v="Tech. Debt"/>
    <s v="IN_STORE"/>
    <s v="Technical Leverage"/>
    <m/>
    <n v="10.26"/>
    <x v="0"/>
    <x v="1"/>
    <n v="0"/>
    <s v="BAU"/>
  </r>
  <r>
    <s v="Technical Debt / Global Infra"/>
    <x v="29"/>
    <s v="Training of teams with new way of working"/>
    <s v="AFMOB"/>
    <s v="AFMOB"/>
    <s v="XS"/>
    <n v="20"/>
    <s v="auto"/>
    <s v="OK"/>
    <n v="20"/>
    <m/>
    <m/>
    <m/>
    <s v="P1"/>
    <n v="20"/>
    <s v="Gilles Raymond"/>
    <s v="Tech. Debt"/>
    <s v="IN_STORE"/>
    <s v="Technical Leverage"/>
    <m/>
    <n v="10.26"/>
    <x v="0"/>
    <x v="1"/>
    <n v="0"/>
    <s v="BAU"/>
  </r>
  <r>
    <s v="Roadmap / Integration"/>
    <x v="277"/>
    <s v="Merchant Portal / API Renewal"/>
    <m/>
    <s v="AFMOB"/>
    <s v="M"/>
    <n v="100"/>
    <s v="auto"/>
    <s v="OK"/>
    <m/>
    <n v="50"/>
    <n v="50"/>
    <m/>
    <s v="P2"/>
    <n v="100"/>
    <s v="Sylvain Marion"/>
    <s v="Product"/>
    <s v="IN_STORE"/>
    <s v="Simplify Experience"/>
    <m/>
    <n v="51.3"/>
    <x v="0"/>
    <x v="1"/>
    <n v="0"/>
    <s v="BAU"/>
  </r>
  <r>
    <s v="Roadmap / Integration"/>
    <x v="277"/>
    <s v="Concert v3"/>
    <m/>
    <s v="AFMOB"/>
    <s v="M"/>
    <n v="100"/>
    <s v="auto"/>
    <s v="OK"/>
    <m/>
    <m/>
    <m/>
    <n v="100"/>
    <s v="P4"/>
    <n v="100"/>
    <s v="Sylvain Marion"/>
    <s v="Product"/>
    <s v="IN_STORE"/>
    <s v="Simplify Experience"/>
    <m/>
    <n v="51.3"/>
    <x v="1"/>
    <x v="1"/>
    <n v="0"/>
    <s v="BAU"/>
  </r>
  <r>
    <s v="CSACT Technical debt / Rationalization"/>
    <x v="100"/>
    <s v="Terminal data reset after allocating it in a new merchant/commerce"/>
    <m/>
    <s v="CSACT Rdmp"/>
    <s v="S"/>
    <n v="50"/>
    <s v="auto"/>
    <s v="OK"/>
    <n v="25"/>
    <n v="25"/>
    <m/>
    <m/>
    <s v="P3"/>
    <n v="50"/>
    <s v="Ismael Jaafar"/>
    <s v="Product"/>
    <s v="IN_STORE"/>
    <m/>
    <m/>
    <n v="25.65"/>
    <x v="1"/>
    <x v="18"/>
    <n v="0"/>
    <s v="BAU"/>
  </r>
  <r>
    <s v="CSACT Technical debt / Rationalization"/>
    <x v="100"/>
    <s v="H24 modularization improvements"/>
    <m/>
    <s v="CSACT Rdmp"/>
    <s v="M"/>
    <n v="100"/>
    <s v="auto"/>
    <s v="OK"/>
    <n v="25"/>
    <n v="25"/>
    <n v="25"/>
    <n v="25"/>
    <s v="P1"/>
    <n v="100"/>
    <s v="Ismael Jaafar"/>
    <s v="Product"/>
    <s v="IN_STORE"/>
    <m/>
    <m/>
    <n v="51.3"/>
    <x v="0"/>
    <x v="18"/>
    <n v="0"/>
    <s v="BAU"/>
  </r>
  <r>
    <s v="CSACT Technical debt / Rationalization"/>
    <x v="100"/>
    <s v="[2021's target] DUKPT"/>
    <m/>
    <s v="CSACT Rdmp"/>
    <s v="L"/>
    <n v="200"/>
    <s v="auto"/>
    <s v="OK"/>
    <n v="100"/>
    <n v="80"/>
    <n v="20"/>
    <m/>
    <s v="P1"/>
    <n v="200"/>
    <s v="Ismael Jaafar"/>
    <s v="Product"/>
    <s v="IN_STORE"/>
    <m/>
    <m/>
    <n v="102.6"/>
    <x v="0"/>
    <x v="18"/>
    <n v="0"/>
    <s v="BAU"/>
  </r>
  <r>
    <s v="CSACT Technical debt / Rationalization"/>
    <x v="100"/>
    <s v="CSACT : Automation &amp; Industrialisation"/>
    <m/>
    <s v="CSACT Rdmp"/>
    <s v="S"/>
    <n v="50"/>
    <s v="auto"/>
    <s v="OK"/>
    <n v="10"/>
    <n v="10"/>
    <n v="15"/>
    <n v="15"/>
    <s v="P1"/>
    <n v="50"/>
    <s v="Ismael Jaafar"/>
    <s v="Tech. Debt"/>
    <s v="IN_STORE"/>
    <m/>
    <m/>
    <n v="25.65"/>
    <x v="0"/>
    <x v="18"/>
    <n v="0"/>
    <s v="BAU"/>
  </r>
  <r>
    <s v="Roadmap / Integration"/>
    <x v="277"/>
    <s v="Nexo retail"/>
    <m/>
    <s v="AFMOB"/>
    <s v="M"/>
    <n v="100"/>
    <s v="auto"/>
    <s v="OK"/>
    <m/>
    <m/>
    <m/>
    <n v="100"/>
    <s v="P4"/>
    <n v="100"/>
    <s v="Sylvain Marion"/>
    <s v="Product"/>
    <s v="IN_STORE"/>
    <s v="Simplify Experience"/>
    <m/>
    <n v="51.3"/>
    <x v="1"/>
    <x v="1"/>
    <n v="0"/>
    <s v="BAU"/>
  </r>
  <r>
    <s v="Onboarding"/>
    <x v="80"/>
    <s v="MAP profil industrialization (AXIN-1675)"/>
    <s v="Core tool"/>
    <s v="AFNEXT"/>
    <s v="L"/>
    <n v="200"/>
    <s v="auto"/>
    <s v="OK"/>
    <n v="100"/>
    <n v="100"/>
    <m/>
    <m/>
    <s v="P1"/>
    <n v="200"/>
    <s v="Sylvain Marion"/>
    <s v="Tech. Debt"/>
    <s v="IN_STORE"/>
    <s v="Technical Leverage"/>
    <m/>
    <n v="102.6"/>
    <x v="0"/>
    <x v="1"/>
    <n v="0"/>
    <s v="BAU"/>
  </r>
  <r>
    <s v="Smart Routing / Shared service"/>
    <x v="98"/>
    <s v="New smart routing engine with nexo application CPA/MAP"/>
    <m/>
    <s v="AFNEXT"/>
    <s v="L"/>
    <n v="200"/>
    <s v="auto"/>
    <s v="OK"/>
    <m/>
    <n v="100"/>
    <n v="100"/>
    <m/>
    <s v="P1"/>
    <n v="200"/>
    <s v="Sylvain Marion"/>
    <s v="Product"/>
    <s v="IN_STORE"/>
    <s v="Complete Value Chain"/>
    <m/>
    <n v="102.6"/>
    <x v="0"/>
    <x v="1"/>
    <n v="0"/>
    <s v="BAU"/>
  </r>
  <r>
    <s v="Technical &amp; Functional Debt"/>
    <x v="12"/>
    <s v="Service increment support to all CPA/MAP squads"/>
    <m/>
    <s v="AFNEXT"/>
    <s v="L"/>
    <n v="200"/>
    <s v="auto"/>
    <s v="OK"/>
    <n v="50"/>
    <n v="50"/>
    <n v="50"/>
    <n v="50"/>
    <s v="P1"/>
    <n v="200"/>
    <s v="Sylvain Marion"/>
    <s v="Tech. Debt"/>
    <s v="IN_STORE"/>
    <s v="Technical Leverage"/>
    <m/>
    <n v="102.6"/>
    <x v="0"/>
    <x v="1"/>
    <n v="0"/>
    <s v="BAU"/>
  </r>
  <r>
    <s v="Custom / Evolutions for Amadeus"/>
    <x v="278"/>
    <s v="Bucket support + Bucket CRs"/>
    <m/>
    <s v="AFNEXT"/>
    <s v="M"/>
    <n v="100"/>
    <s v="auto"/>
    <s v="OK"/>
    <n v="50"/>
    <n v="50"/>
    <m/>
    <m/>
    <s v="P1"/>
    <n v="100"/>
    <s v="Sylvain Marion"/>
    <s v="Product"/>
    <s v="IN_STORE"/>
    <s v="Support Customers' Projects"/>
    <m/>
    <n v="51.3"/>
    <x v="0"/>
    <x v="1"/>
    <n v="0"/>
    <s v="BAU"/>
  </r>
  <r>
    <s v="Roadmap / Android device"/>
    <x v="279"/>
    <s v="Android DX/EX8000 support on nexo WL acquiring"/>
    <s v="AFNEXT support (nexo expertise)"/>
    <s v="AFNEXT"/>
    <s v="M"/>
    <n v="100"/>
    <s v="auto"/>
    <s v="OK"/>
    <n v="50"/>
    <n v="25"/>
    <n v="25"/>
    <m/>
    <s v="P1"/>
    <n v="100"/>
    <s v="Gilles Raymond"/>
    <s v="Product"/>
    <s v="IN_STORE"/>
    <s v="Simplify Experience"/>
    <m/>
    <n v="51.3"/>
    <x v="0"/>
    <x v="1"/>
    <n v="0"/>
    <s v="BAU"/>
  </r>
  <r>
    <s v="Technical Debt / Global Infra"/>
    <x v="29"/>
    <s v="Front office"/>
    <s v="Support to the migration"/>
    <s v="AFNEXT"/>
    <s v="M"/>
    <n v="100"/>
    <s v="auto"/>
    <s v="OK"/>
    <n v="25"/>
    <n v="25"/>
    <n v="25"/>
    <n v="25"/>
    <s v="P1"/>
    <n v="100"/>
    <s v="Gilles Raymond"/>
    <s v="Tech. Debt"/>
    <s v="IN_STORE"/>
    <s v="Technical Leverage"/>
    <m/>
    <n v="51.3"/>
    <x v="0"/>
    <x v="1"/>
    <n v="0"/>
    <s v="BAU"/>
  </r>
  <r>
    <s v="Maintenance"/>
    <x v="5"/>
    <s v="Maintenance Axis"/>
    <m/>
    <s v="AFNEXT"/>
    <s v="S"/>
    <n v="50"/>
    <s v="auto"/>
    <s v="OK"/>
    <n v="10"/>
    <n v="10"/>
    <n v="10"/>
    <n v="20"/>
    <s v="P1"/>
    <n v="50"/>
    <s v="Sylvain Marion"/>
    <s v="Maintenance &amp; Incidents"/>
    <s v="IN_STORE"/>
    <s v="Technical Leverage"/>
    <m/>
    <n v="25.65"/>
    <x v="0"/>
    <x v="1"/>
    <s v="Run"/>
    <s v="RUN"/>
  </r>
  <r>
    <s v="Onboarding"/>
    <x v="80"/>
    <s v="Reminder applications impact with Everest Next Gen"/>
    <s v="All applications"/>
    <s v="AFNEXT"/>
    <s v="S"/>
    <n v="50"/>
    <s v="auto"/>
    <s v="OK"/>
    <m/>
    <m/>
    <n v="50"/>
    <m/>
    <s v="P1"/>
    <n v="50"/>
    <s v="Sylvain Marion"/>
    <s v="Tech. Debt"/>
    <s v="IN_STORE"/>
    <s v="Technical Leverage"/>
    <m/>
    <n v="25.65"/>
    <x v="0"/>
    <x v="1"/>
    <n v="0"/>
    <s v="BAU"/>
  </r>
  <r>
    <s v="Security &amp; Risks"/>
    <x v="72"/>
    <s v="P2PE v2"/>
    <s v="CPA/MAP application"/>
    <s v="AFNEXT"/>
    <s v="S"/>
    <n v="50"/>
    <s v="auto"/>
    <s v="OK"/>
    <m/>
    <m/>
    <n v="20"/>
    <n v="30"/>
    <s v="P1"/>
    <n v="50"/>
    <s v="Gilles Raymond"/>
    <s v="Product"/>
    <s v="IN_STORE"/>
    <s v="Regulation"/>
    <m/>
    <n v="25.65"/>
    <x v="0"/>
    <x v="1"/>
    <n v="0"/>
    <s v="BAU"/>
  </r>
  <r>
    <s v="Technical &amp; Functional Debt"/>
    <x v="12"/>
    <s v="Refactoring"/>
    <s v="Finalize MAP datamodel rework and remove deprecated code (all plugins …)"/>
    <s v="AFNEXT"/>
    <s v="S"/>
    <n v="50"/>
    <s v="auto"/>
    <s v="OK"/>
    <n v="50"/>
    <m/>
    <m/>
    <m/>
    <s v="P1"/>
    <n v="50"/>
    <s v="Gilles Raymond"/>
    <s v="Tech. Debt"/>
    <s v="IN_STORE"/>
    <s v="Technical Leverage"/>
    <m/>
    <n v="25.65"/>
    <x v="0"/>
    <x v="1"/>
    <n v="0"/>
    <s v="BAU"/>
  </r>
  <r>
    <s v="Technical &amp; Functional Debt"/>
    <x v="12"/>
    <s v="Robustness"/>
    <s v="Remove Log table (SAVELOG=0) for CPA"/>
    <s v="AFNEXT"/>
    <s v="S"/>
    <n v="50"/>
    <s v="auto"/>
    <s v="OK"/>
    <n v="50"/>
    <m/>
    <m/>
    <m/>
    <s v="P1"/>
    <n v="50"/>
    <s v="Gilles Raymond"/>
    <s v="Tech. Debt"/>
    <s v="IN_STORE"/>
    <s v="Technical Leverage"/>
    <m/>
    <n v="25.65"/>
    <x v="0"/>
    <x v="1"/>
    <n v="0"/>
    <s v="BAU"/>
  </r>
  <r>
    <s v="Shared Services - Scheme Tokenization"/>
    <x v="280"/>
    <s v="Shared Services - Scheme Tokenization"/>
    <m/>
    <s v="WOPA Global"/>
    <s v="XL"/>
    <n v="650"/>
    <s v="auto"/>
    <s v="OK"/>
    <m/>
    <m/>
    <n v="300"/>
    <n v="350"/>
    <s v="P3"/>
    <n v="650"/>
    <s v="Paula Costa"/>
    <s v="Product"/>
    <s v="ONLINE"/>
    <s v="Get Basics Right"/>
    <m/>
    <n v="333.45"/>
    <x v="1"/>
    <x v="0"/>
    <s v="United"/>
    <s v="U&amp;MP"/>
  </r>
  <r>
    <s v="Single API, ongoing"/>
    <x v="281"/>
    <s v="Single Reporting"/>
    <s v="review done"/>
    <s v="GC Supp1"/>
    <s v="XXXL"/>
    <n v="630"/>
    <s v="override"/>
    <s v="OK"/>
    <n v="150"/>
    <n v="150"/>
    <n v="150"/>
    <n v="180"/>
    <s v="P1"/>
    <n v="630"/>
    <s v="Teun Boer"/>
    <s v="Synergies"/>
    <s v="ONLINE"/>
    <s v="Get Basics Right"/>
    <m/>
    <n v="323.19"/>
    <x v="0"/>
    <x v="5"/>
    <s v="United"/>
    <s v="U&amp;MP"/>
  </r>
  <r>
    <s v="Single API, ongoing"/>
    <x v="281"/>
    <s v="Single Integration (API, HPP, SDK, documentation)"/>
    <s v="review done"/>
    <s v="Paramount"/>
    <s v="XXXL"/>
    <n v="760"/>
    <s v="override"/>
    <s v="OK"/>
    <n v="220"/>
    <n v="220"/>
    <n v="220"/>
    <n v="100"/>
    <s v="P1"/>
    <n v="760"/>
    <s v="Teun Boer"/>
    <s v="Synergies"/>
    <s v="ONLINE"/>
    <m/>
    <m/>
    <n v="389.88"/>
    <x v="0"/>
    <x v="5"/>
    <s v="United"/>
    <s v="U&amp;MP"/>
  </r>
  <r>
    <s v="Single API, ongoing"/>
    <x v="281"/>
    <s v="Single Integration (API, HPP, SDK, documentation)"/>
    <s v="review done"/>
    <s v="WOPA Supp"/>
    <s v="M"/>
    <n v="100"/>
    <s v="override"/>
    <s v="OK"/>
    <n v="100"/>
    <m/>
    <m/>
    <m/>
    <s v="P2"/>
    <n v="100"/>
    <s v="Teun Boer"/>
    <s v="Synergies"/>
    <s v="ONLINE"/>
    <s v="Get Basics Right"/>
    <m/>
    <n v="51.3"/>
    <x v="0"/>
    <x v="0"/>
    <s v="United"/>
    <s v="U&amp;MP"/>
  </r>
  <r>
    <s v="Single identity &amp; access mgt"/>
    <x v="282"/>
    <s v="Ready for review with AS/GB"/>
    <m/>
    <s v="GC Supp1"/>
    <s v="L"/>
    <n v="240"/>
    <s v="override"/>
    <s v="OK"/>
    <n v="60"/>
    <n v="60"/>
    <n v="60"/>
    <n v="60"/>
    <s v="P2"/>
    <n v="240"/>
    <s v="Teun Boer"/>
    <s v="Synergies"/>
    <s v="ONLINE"/>
    <s v="Get Basics Right"/>
    <m/>
    <n v="123.12"/>
    <x v="0"/>
    <x v="5"/>
    <s v="United"/>
    <s v="U&amp;MP"/>
  </r>
  <r>
    <s v="Single identity &amp; access mgt as shared service"/>
    <x v="283"/>
    <s v="Shared Services "/>
    <m/>
    <s v="Omn_Core"/>
    <s v="XXXL"/>
    <n v="800"/>
    <s v="auto"/>
    <s v="OK"/>
    <n v="300"/>
    <n v="300"/>
    <n v="100"/>
    <n v="100"/>
    <s v="P1"/>
    <n v="800"/>
    <s v="Anders Öhlander"/>
    <s v="Product"/>
    <s v="OCH"/>
    <m/>
    <m/>
    <n v="410.4"/>
    <x v="0"/>
    <x v="2"/>
    <s v="Single Project"/>
    <s v="BAU"/>
  </r>
  <r>
    <s v="Single identity &amp; access mgt as shared service"/>
    <x v="283"/>
    <s v="Shared Services "/>
    <m/>
    <s v="OCH_BA"/>
    <m/>
    <n v="80"/>
    <s v="override"/>
    <s v="OK"/>
    <n v="40"/>
    <n v="30"/>
    <n v="5"/>
    <n v="5"/>
    <s v="P1"/>
    <n v="80"/>
    <s v="Anders Eckersand"/>
    <m/>
    <s v="OCH"/>
    <m/>
    <m/>
    <n v="41.04"/>
    <x v="0"/>
    <x v="2"/>
    <s v="Single Project"/>
    <s v="BAU"/>
  </r>
  <r>
    <s v="Single Intergration WOPA"/>
    <x v="284"/>
    <s v="Close connection or move to AH"/>
    <s v="Move connection to AH"/>
    <s v="Acq Hub_1"/>
    <m/>
    <n v="400"/>
    <s v="auto"/>
    <s v="OK"/>
    <n v="100"/>
    <n v="100"/>
    <n v="100"/>
    <n v="100"/>
    <s v="P2"/>
    <n v="400"/>
    <s v="Stanley Macnack"/>
    <s v="Product"/>
    <s v="OCH"/>
    <m/>
    <m/>
    <n v="205.2"/>
    <x v="0"/>
    <x v="2"/>
    <s v="United"/>
    <s v="U&amp;MP"/>
  </r>
  <r>
    <s v="Single Intergration WOPA"/>
    <x v="284"/>
    <s v="Close connection or move to AH"/>
    <m/>
    <s v="WOPA Global"/>
    <m/>
    <n v="320"/>
    <s v="auto"/>
    <s v="OK"/>
    <n v="80"/>
    <n v="80"/>
    <n v="80"/>
    <n v="80"/>
    <s v="P2"/>
    <n v="320"/>
    <s v="Stanley Macnack"/>
    <s v="Product"/>
    <s v="ONLINE"/>
    <s v="Get Basics Right"/>
    <m/>
    <n v="164.16"/>
    <x v="0"/>
    <x v="0"/>
    <s v="United"/>
    <s v="U&amp;MP"/>
  </r>
  <r>
    <s v="SIPS - Product improvments"/>
    <x v="285"/>
    <s v="SIPS"/>
    <s v="Product improvments (can be detailled if required)"/>
    <s v="SIPS"/>
    <m/>
    <n v="1900"/>
    <s v="override"/>
    <s v="OK"/>
    <n v="475"/>
    <n v="475"/>
    <n v="475"/>
    <n v="475"/>
    <s v="P1"/>
    <n v="1900"/>
    <s v="Emmanuel Blumel"/>
    <s v="Product"/>
    <s v="ECOM"/>
    <m/>
    <m/>
    <n v="925.3"/>
    <x v="0"/>
    <x v="17"/>
    <s v="Single Project"/>
    <s v="BAU"/>
  </r>
  <r>
    <s v="Small changes &amp; improvements"/>
    <x v="286"/>
    <s v="Connect - Bucket to handle small changes &amp; improvements"/>
    <m/>
    <s v="Caradhas"/>
    <s v="M"/>
    <n v="150"/>
    <s v="auto"/>
    <s v="OK"/>
    <n v="45"/>
    <n v="35"/>
    <n v="35"/>
    <n v="35"/>
    <s v="P2"/>
    <n v="150"/>
    <s v="Rik van 't Hof"/>
    <s v="Product"/>
    <s v="ONLINE"/>
    <m/>
    <m/>
    <n v="76.95"/>
    <x v="0"/>
    <x v="5"/>
    <s v="Single Project"/>
    <s v="BAU"/>
  </r>
  <r>
    <s v="Smart Routing"/>
    <x v="287"/>
    <m/>
    <m/>
    <s v="TechProcess"/>
    <s v="XXL"/>
    <n v="400"/>
    <s v="auto"/>
    <s v="OK"/>
    <n v="100"/>
    <n v="100"/>
    <n v="100"/>
    <n v="100"/>
    <s v="P1"/>
    <n v="400"/>
    <s v="Arvind Singh"/>
    <s v=" Product "/>
    <s v="ONLINE"/>
    <m/>
    <m/>
    <n v="205.2"/>
    <x v="0"/>
    <x v="9"/>
    <n v="0"/>
    <s v="BAU"/>
  </r>
  <r>
    <s v="Smart Routing / shared service"/>
    <x v="98"/>
    <s v="Smart Routing on ecommerce"/>
    <m/>
    <s v="Above"/>
    <s v="XL"/>
    <n v="300"/>
    <s v="auto"/>
    <s v="OK"/>
    <n v="150"/>
    <n v="150"/>
    <m/>
    <m/>
    <s v="P1"/>
    <n v="300"/>
    <s v="Pierre Riat"/>
    <s v="Product"/>
    <s v="ECOM"/>
    <m/>
    <m/>
    <n v="144.9"/>
    <x v="0"/>
    <x v="4"/>
    <n v="0"/>
    <s v="BAU"/>
  </r>
  <r>
    <s v="e-Portal for CSACT"/>
    <x v="288"/>
    <s v="ePortal for fuel cards"/>
    <s v="ePortal for VAS products for CSACT"/>
    <s v="CSACT Rdmp"/>
    <s v="L"/>
    <n v="200"/>
    <s v="auto"/>
    <s v="OK"/>
    <n v="50"/>
    <n v="50"/>
    <n v="75"/>
    <n v="25"/>
    <s v="P1"/>
    <n v="200"/>
    <s v="Ismael Jaafar"/>
    <s v="Product"/>
    <s v="IN_STORE"/>
    <s v="Complete Value Chain"/>
    <s v="Linked to Tescto project (but to other Petrol customers as well)"/>
    <n v="102.6"/>
    <x v="0"/>
    <x v="18"/>
    <n v="0"/>
    <s v="BAU"/>
  </r>
  <r>
    <s v="e-Portal for CSACT"/>
    <x v="288"/>
    <s v="ePortal for VAS products"/>
    <m/>
    <s v="CSACT Rdmp"/>
    <s v="L"/>
    <n v="200"/>
    <s v="auto"/>
    <s v="OK"/>
    <m/>
    <m/>
    <n v="100"/>
    <n v="100"/>
    <s v="P4"/>
    <n v="200"/>
    <s v="Ismael Jaafar"/>
    <s v="Product"/>
    <s v="IN_STORE"/>
    <s v="Complete Value Chain"/>
    <m/>
    <n v="102.6"/>
    <x v="1"/>
    <x v="18"/>
    <n v="0"/>
    <s v="BAU"/>
  </r>
  <r>
    <s v="New regulations on CSACT"/>
    <x v="211"/>
    <s v="New energy protocol adaptations"/>
    <s v="Related to EV Charging"/>
    <s v="CSACT Rdmp"/>
    <s v="S"/>
    <n v="50"/>
    <s v="auto"/>
    <s v="OK"/>
    <m/>
    <n v="10"/>
    <n v="20"/>
    <n v="20"/>
    <s v="P1"/>
    <n v="50"/>
    <s v="Ismael Jaafar"/>
    <s v="Product"/>
    <s v="IN_STORE"/>
    <m/>
    <m/>
    <n v="25.65"/>
    <x v="0"/>
    <x v="18"/>
    <n v="0"/>
    <s v="BAU"/>
  </r>
  <r>
    <s v="Smart routing, Global Collect"/>
    <x v="289"/>
    <s v="Ready for review with CT/SK/OB/ARo _ GC"/>
    <s v="review done"/>
    <s v="GC Global Cards"/>
    <s v="XXXL"/>
    <n v="900"/>
    <s v="override"/>
    <s v="OK"/>
    <n v="225"/>
    <n v="225"/>
    <n v="225"/>
    <n v="225"/>
    <s v="P1"/>
    <n v="900"/>
    <s v="Teun Boer"/>
    <s v="Synergies"/>
    <s v="ONLINE"/>
    <m/>
    <m/>
    <n v="461.7"/>
    <x v="0"/>
    <x v="5"/>
    <s v="United"/>
    <s v="U&amp;MP"/>
  </r>
  <r>
    <s v="Smart routing, WOPA"/>
    <x v="290"/>
    <s v="Ready for review with CT/SK/OB/ARo _ WOPA"/>
    <s v="review done"/>
    <s v="WOPA Global"/>
    <s v="XL"/>
    <n v="300"/>
    <s v="override"/>
    <s v="OK"/>
    <n v="100"/>
    <n v="200"/>
    <m/>
    <m/>
    <s v="P1"/>
    <n v="300"/>
    <s v="Teun Boer"/>
    <s v="Synergies"/>
    <s v="ONLINE"/>
    <m/>
    <m/>
    <n v="153.9"/>
    <x v="0"/>
    <x v="0"/>
    <s v="United"/>
    <s v="U&amp;MP"/>
  </r>
  <r>
    <s v="Smart Routing/ Adapt for full service (shared service)"/>
    <x v="291"/>
    <s v="Ready for review with ARo,OB"/>
    <s v="review done"/>
    <s v="ISO_1"/>
    <s v="XXL"/>
    <n v="600"/>
    <s v="override"/>
    <s v="OK"/>
    <n v="200"/>
    <n v="200"/>
    <n v="200"/>
    <m/>
    <s v="P1"/>
    <n v="600"/>
    <s v="Teun Boer"/>
    <s v="Synergies"/>
    <s v="OCH"/>
    <m/>
    <m/>
    <n v="307.8"/>
    <x v="0"/>
    <x v="2"/>
    <s v="United"/>
    <s v="U&amp;MP"/>
  </r>
  <r>
    <s v="Smarthub(Education &amp; Government) and P4B"/>
    <x v="292"/>
    <m/>
    <m/>
    <s v="TechProcess"/>
    <s v="L"/>
    <n v="200"/>
    <s v="auto"/>
    <s v="OK"/>
    <n v="50"/>
    <n v="50"/>
    <n v="50"/>
    <n v="50"/>
    <s v="P2"/>
    <n v="200"/>
    <s v="Arvind Singh"/>
    <s v=" Maintenance &amp; Incidents "/>
    <s v="ONLINE"/>
    <m/>
    <m/>
    <n v="102.6"/>
    <x v="0"/>
    <x v="9"/>
    <n v="0"/>
    <s v="BAU"/>
  </r>
  <r>
    <s v="Sub1 - Tech Debt"/>
    <x v="293"/>
    <s v="SUB1 Tech Intiatives &amp; Tech Debt"/>
    <s v="SUB1 Tech Intiatives &amp; Tech Debt"/>
    <s v="Sub1"/>
    <s v="M"/>
    <n v="528"/>
    <s v="auto"/>
    <s v="OK"/>
    <n v="114"/>
    <n v="128"/>
    <n v="143"/>
    <n v="143"/>
    <s v="P1"/>
    <n v="528"/>
    <s v="Shekhar Kachole"/>
    <s v="Tech. Debt"/>
    <s v="ONLINE"/>
    <m/>
    <m/>
    <n v="270.86399999999998"/>
    <x v="0"/>
    <x v="23"/>
    <n v="0"/>
    <s v="BAU"/>
  </r>
  <r>
    <s v="Sub1 Incidents and Problems"/>
    <x v="294"/>
    <s v="Sub1 Incidents and Problems"/>
    <s v="Sub1 Incidents and Problems"/>
    <s v="Sub1"/>
    <s v="S"/>
    <n v="354"/>
    <s v="auto"/>
    <s v="OK"/>
    <n v="76"/>
    <n v="86"/>
    <n v="96"/>
    <n v="96"/>
    <s v="P1"/>
    <n v="354"/>
    <s v="Shekhar Kachole"/>
    <s v="Maintenance &amp; Incidents"/>
    <s v="ONLINE"/>
    <m/>
    <m/>
    <n v="181.602"/>
    <x v="0"/>
    <x v="23"/>
    <s v="Run"/>
    <s v="RUN"/>
  </r>
  <r>
    <s v="Sub1 migration to Acquirer Hub"/>
    <x v="295"/>
    <s v="Sub1 Product"/>
    <s v="Sub1 migration to Acquirer Hub"/>
    <s v="Sub1"/>
    <s v="XL"/>
    <n v="569"/>
    <s v="auto"/>
    <s v="OK"/>
    <n v="123"/>
    <n v="136"/>
    <n v="155"/>
    <n v="155"/>
    <s v="P1"/>
    <n v="569"/>
    <s v="Shekhar Kachole"/>
    <s v="Synergies"/>
    <s v="ONLINE"/>
    <m/>
    <m/>
    <n v="291.89699999999999"/>
    <x v="0"/>
    <x v="23"/>
    <n v="0"/>
    <s v="BAU"/>
  </r>
  <r>
    <s v="Sub1 Transition"/>
    <x v="296"/>
    <m/>
    <m/>
    <s v="Sub1"/>
    <s v="XL"/>
    <n v="340"/>
    <s v="override"/>
    <s v="OK"/>
    <m/>
    <m/>
    <n v="170"/>
    <n v="170"/>
    <s v="P1"/>
    <n v="340"/>
    <s v="Teun Boer"/>
    <s v="Synergies"/>
    <s v="ONLINE"/>
    <m/>
    <m/>
    <n v="174.42"/>
    <x v="0"/>
    <x v="23"/>
    <s v="United"/>
    <s v="U&amp;MP"/>
  </r>
  <r>
    <s v="Swish on Ingenico Direct"/>
    <x v="297"/>
    <s v="RB Local - Nordics"/>
    <s v="Swish implementation on WLOC FE"/>
    <s v="WLOC_APM"/>
    <s v="S"/>
    <n v="60"/>
    <s v="auto"/>
    <s v="OK"/>
    <n v="0"/>
    <n v="0"/>
    <n v="0"/>
    <n v="60"/>
    <s v="P4"/>
    <n v="60"/>
    <s v="Emmanuel Blumel"/>
    <s v="Product"/>
    <s v="ECOM"/>
    <m/>
    <m/>
    <n v="28.98"/>
    <x v="1"/>
    <x v="4"/>
    <s v="United"/>
    <s v="U&amp;MP"/>
  </r>
  <r>
    <s v="Swish on Ingenico Direct"/>
    <x v="297"/>
    <s v="RB Local - Nordics"/>
    <s v="Swish implementation on APM Hub"/>
    <s v="APM_Hub"/>
    <s v="L"/>
    <n v="160"/>
    <s v="auto"/>
    <s v="OK"/>
    <m/>
    <m/>
    <m/>
    <n v="160"/>
    <s v="P4"/>
    <n v="160"/>
    <s v="Emmanuel Blumel"/>
    <s v="Product"/>
    <s v="OCH"/>
    <m/>
    <m/>
    <n v="82.08"/>
    <x v="1"/>
    <x v="2"/>
    <s v="United"/>
    <s v="U&amp;MP"/>
  </r>
  <r>
    <s v="TechDebt - Simplification"/>
    <x v="298"/>
    <s v="SIPS"/>
    <s v="Decommisionning of SIPS 1.0"/>
    <s v="SIPS"/>
    <m/>
    <n v="500"/>
    <s v="override"/>
    <s v="OK"/>
    <n v="125"/>
    <n v="125"/>
    <n v="125"/>
    <n v="125"/>
    <s v="P1"/>
    <n v="500"/>
    <s v="Emmanuel Blumel"/>
    <s v="Maintenance &amp; Incidents"/>
    <s v="ECOM"/>
    <m/>
    <m/>
    <n v="243.5"/>
    <x v="0"/>
    <x v="17"/>
    <s v="Single Project"/>
    <s v="BAU"/>
  </r>
  <r>
    <s v="TechDebt IFS - platform scalability"/>
    <x v="299"/>
    <s v="Platform Scalability"/>
    <s v="TUNZ Scalability"/>
    <s v="WLOC_IFS"/>
    <s v="XL"/>
    <n v="600"/>
    <s v="auto"/>
    <s v="OK"/>
    <n v="50"/>
    <n v="150"/>
    <n v="150"/>
    <n v="250"/>
    <s v="P1"/>
    <n v="600"/>
    <s v="Amaury Kervyn"/>
    <s v="Product"/>
    <s v="ECOM"/>
    <m/>
    <m/>
    <n v="289.8"/>
    <x v="0"/>
    <x v="4"/>
    <n v="0"/>
    <s v="BAU"/>
  </r>
  <r>
    <s v="TechDebt IFS - platform scalability"/>
    <x v="299"/>
    <s v="Platform Scalability"/>
    <s v="Tunz Back-Office in React"/>
    <s v="WLOC_IFS"/>
    <s v="S"/>
    <n v="60"/>
    <s v="auto"/>
    <s v="OK"/>
    <m/>
    <m/>
    <m/>
    <n v="60"/>
    <s v="P2"/>
    <n v="60"/>
    <s v="Amaury Kervyn"/>
    <s v="Product"/>
    <s v="ECOM"/>
    <m/>
    <m/>
    <n v="28.98"/>
    <x v="0"/>
    <x v="4"/>
    <n v="0"/>
    <s v="BAU"/>
  </r>
  <r>
    <s v="TechDebt IFS - platform scalability"/>
    <x v="299"/>
    <s v="Platform Scalability"/>
    <s v="TUNZ Archiving"/>
    <s v="WLOC_IFS"/>
    <s v="M"/>
    <n v="150"/>
    <s v="auto"/>
    <s v="OK"/>
    <n v="75"/>
    <n v="75"/>
    <n v="0"/>
    <n v="0"/>
    <s v="P1"/>
    <n v="150"/>
    <s v="Amaury Kervyn"/>
    <s v="Product"/>
    <s v="ECOM"/>
    <m/>
    <m/>
    <n v="72.45"/>
    <x v="0"/>
    <x v="4"/>
    <n v="0"/>
    <s v="BAU"/>
  </r>
  <r>
    <s v="TechDebt IFS - platform scalability"/>
    <x v="299"/>
    <s v="Platform Scalability"/>
    <s v="IFS authorization refactor + IAM"/>
    <s v="WLOC_IFS"/>
    <s v="S"/>
    <n v="60"/>
    <s v="auto"/>
    <s v="OK"/>
    <n v="60"/>
    <n v="0"/>
    <n v="0"/>
    <n v="0"/>
    <s v="P1"/>
    <n v="60"/>
    <s v="Amaury Kervyn"/>
    <s v="Product"/>
    <s v="ECOM"/>
    <m/>
    <m/>
    <n v="28.98"/>
    <x v="0"/>
    <x v="4"/>
    <n v="0"/>
    <s v="BAU"/>
  </r>
  <r>
    <s v="TechDebt Ogone - ECOM Global : Scalability Evolution"/>
    <x v="300"/>
    <s v="Platform scalability"/>
    <s v="Transaction maintenance migration"/>
    <s v="WLOC_CARD_FE"/>
    <s v="XXL"/>
    <n v="450"/>
    <s v="auto"/>
    <s v="OK"/>
    <n v="0"/>
    <n v="100"/>
    <n v="100"/>
    <n v="250"/>
    <s v="P2"/>
    <n v="450"/>
    <s v="Cedric Donkels"/>
    <s v="Tech. Debt"/>
    <s v="ECOM"/>
    <m/>
    <m/>
    <n v="217.35"/>
    <x v="0"/>
    <x v="4"/>
    <n v="0"/>
    <s v="BAU"/>
  </r>
  <r>
    <s v="TechDebt Ogone - ECOM Global : Scalability Evolution"/>
    <x v="300"/>
    <s v="Platform scalability"/>
    <s v="Paypal flow migration (+BE =&gt; FE refactorization)"/>
    <s v="WLOC_APM"/>
    <s v="XXL"/>
    <n v="460"/>
    <s v="auto"/>
    <s v="OK"/>
    <n v="0"/>
    <n v="270"/>
    <n v="190"/>
    <n v="0"/>
    <s v="P1"/>
    <n v="460"/>
    <s v="Cedric Donkels"/>
    <s v="Tech. Debt"/>
    <s v="ECOM"/>
    <m/>
    <s v="to be checked if PayPal need to be ported on APM Hub"/>
    <n v="222.18"/>
    <x v="0"/>
    <x v="4"/>
    <n v="0"/>
    <s v="BAU"/>
  </r>
  <r>
    <s v="TechDebt Ogone - ECOM Global : Scalability Evolution"/>
    <x v="300"/>
    <s v="Platform scalability"/>
    <s v="Migrate OGMDS to OGMNS"/>
    <s v="WLOC_CARD_FE"/>
    <s v="L"/>
    <n v="200"/>
    <s v="auto"/>
    <s v="OK"/>
    <m/>
    <m/>
    <m/>
    <n v="200"/>
    <s v="P3"/>
    <n v="200"/>
    <s v="Cedric Donkels"/>
    <s v="Tech. Debt"/>
    <s v="ECOM"/>
    <m/>
    <m/>
    <n v="96.6"/>
    <x v="1"/>
    <x v="4"/>
    <n v="0"/>
    <s v="BAU"/>
  </r>
  <r>
    <s v="TechDebt Ogone - ECOM Global : Scalability Evolution"/>
    <x v="300"/>
    <s v="Platform scalability"/>
    <s v="Offline flow migration"/>
    <s v="WLOC_CARD_FE"/>
    <s v="XXXL"/>
    <n v="880"/>
    <s v="auto"/>
    <s v="OK"/>
    <n v="220"/>
    <n v="220"/>
    <n v="220"/>
    <n v="220"/>
    <s v="P1"/>
    <n v="880"/>
    <s v="Cedric Donkels"/>
    <s v="Tech. Debt"/>
    <s v="ECOM"/>
    <m/>
    <m/>
    <n v="425.04"/>
    <x v="0"/>
    <x v="4"/>
    <n v="0"/>
    <s v="BAU"/>
  </r>
  <r>
    <s v="TechDebt Ogone - ECOM Global : Scalability Evolution"/>
    <x v="300"/>
    <s v="Platform scalability"/>
    <s v="iDeal flow migration"/>
    <s v="WLOC_APM"/>
    <s v="M"/>
    <n v="120"/>
    <s v="auto"/>
    <s v="OK"/>
    <n v="120"/>
    <n v="0"/>
    <n v="0"/>
    <n v="0"/>
    <s v="P1"/>
    <n v="120"/>
    <s v="Cedric Donkels"/>
    <s v="Tech. Debt"/>
    <s v="ECOM"/>
    <m/>
    <m/>
    <n v="57.96"/>
    <x v="0"/>
    <x v="4"/>
    <n v="0"/>
    <s v="BAU"/>
  </r>
  <r>
    <s v="TechDebt Ogone - ECOM Global : Scalability Evolution"/>
    <x v="300"/>
    <s v="Platform scalability"/>
    <s v="ESF Backend"/>
    <s v="WLOC_CARD_BE"/>
    <s v="XXXL"/>
    <n v="600"/>
    <s v="auto"/>
    <s v="OK"/>
    <m/>
    <n v="180"/>
    <n v="180"/>
    <n v="240"/>
    <s v="P1"/>
    <n v="600"/>
    <s v="Cedric Donkels"/>
    <s v="Tech. Debt"/>
    <s v="ECOM"/>
    <m/>
    <m/>
    <n v="289.8"/>
    <x v="0"/>
    <x v="4"/>
    <n v="0"/>
    <s v="BAU"/>
  </r>
  <r>
    <s v="TechDebt Ogone - ECOM Global : Scalability Evolution"/>
    <x v="300"/>
    <s v="Platform scalability"/>
    <s v="eCom Credit Card migration"/>
    <s v="WLOC_CARD_FE"/>
    <s v="XXXL"/>
    <n v="800"/>
    <s v="auto"/>
    <s v="OK"/>
    <n v="0"/>
    <n v="100"/>
    <n v="350"/>
    <n v="350"/>
    <s v="P1"/>
    <n v="800"/>
    <s v="Cedric Donkels"/>
    <s v="Tech. Debt"/>
    <s v="ECOM"/>
    <m/>
    <m/>
    <n v="386.4"/>
    <x v="0"/>
    <x v="4"/>
    <n v="0"/>
    <s v="BAU"/>
  </r>
  <r>
    <s v="TechDebt Ogone - ECOM Global : Scalability Evolution"/>
    <x v="300"/>
    <s v="Platform scalability"/>
    <s v="Concardis on Acquirer Hub"/>
    <s v="Acq Hub_1"/>
    <s v="L"/>
    <n v="150"/>
    <s v="auto"/>
    <s v="OK"/>
    <m/>
    <m/>
    <n v="75"/>
    <n v="75"/>
    <s v="P4"/>
    <n v="150"/>
    <s v="Emmanuel Blumel"/>
    <s v="Tech. Debt"/>
    <s v="OCH"/>
    <m/>
    <m/>
    <n v="76.95"/>
    <x v="1"/>
    <x v="2"/>
    <n v="0"/>
    <s v="BAU"/>
  </r>
  <r>
    <s v="TechDebt Ogone - ECOM Global : Scalability Evolution"/>
    <x v="300"/>
    <s v="Platform scalability"/>
    <s v="Concardis migration to AH"/>
    <s v="WLOC_CARD_BE"/>
    <s v="S"/>
    <n v="20"/>
    <s v="auto"/>
    <s v="OK"/>
    <n v="0"/>
    <n v="0"/>
    <n v="0"/>
    <n v="20"/>
    <s v="P4"/>
    <n v="20"/>
    <s v="Emmanuel Blumel"/>
    <s v="Tech. Debt"/>
    <s v="ECOM"/>
    <m/>
    <m/>
    <n v="9.66"/>
    <x v="1"/>
    <x v="4"/>
    <n v="0"/>
    <s v="BAU"/>
  </r>
  <r>
    <s v="TechDebt Ogone - ECOM Global : Scalability Evolution"/>
    <x v="300"/>
    <s v="Platform Scalability"/>
    <s v="Collect report migration"/>
    <s v="WLOC_IFS"/>
    <s v="M"/>
    <n v="170"/>
    <s v="auto"/>
    <s v="OK"/>
    <n v="150"/>
    <n v="20"/>
    <n v="0"/>
    <n v="0"/>
    <s v="P1"/>
    <n v="170"/>
    <s v="Amaury Kervyn"/>
    <s v="Product"/>
    <s v="ECOM"/>
    <m/>
    <m/>
    <n v="82.11"/>
    <x v="0"/>
    <x v="4"/>
    <n v="0"/>
    <s v="BAU"/>
  </r>
  <r>
    <s v="TechDebt Ogone - ECOM Global : Scalability Evolution"/>
    <x v="300"/>
    <s v="Platform scalability"/>
    <s v="CardComplete on Acquirer Hub"/>
    <s v="Acq Hub_1"/>
    <s v="L"/>
    <n v="150"/>
    <s v="auto"/>
    <s v="OK"/>
    <m/>
    <m/>
    <n v="75"/>
    <n v="75"/>
    <s v="P4"/>
    <n v="150"/>
    <s v="Emmanuel Blumel"/>
    <s v="Tech. Debt"/>
    <s v="OCH"/>
    <m/>
    <m/>
    <n v="76.95"/>
    <x v="1"/>
    <x v="2"/>
    <n v="0"/>
    <s v="BAU"/>
  </r>
  <r>
    <s v="TechDebt Ogone - ECOM Global : Scalability Evolution"/>
    <x v="300"/>
    <s v="Platform scalability"/>
    <s v="CardComplete migration to AH"/>
    <s v="WLOC_CARD_BE"/>
    <s v="S"/>
    <n v="20"/>
    <s v="auto"/>
    <s v="OK"/>
    <m/>
    <m/>
    <m/>
    <n v="20"/>
    <s v="P4"/>
    <n v="20"/>
    <s v="Emmanuel Blumel"/>
    <s v="Tech. Debt"/>
    <s v="ECOM"/>
    <m/>
    <m/>
    <n v="9.66"/>
    <x v="1"/>
    <x v="4"/>
    <n v="0"/>
    <s v="BAU"/>
  </r>
  <r>
    <s v="TechDebt Ogone - ECOM Global : Scalability Evolution"/>
    <x v="300"/>
    <s v="Platform scalability"/>
    <s v="BE Testing tool and automation"/>
    <s v="WLOC_CARD_BE"/>
    <s v="S"/>
    <n v="60"/>
    <s v="auto"/>
    <s v="OK"/>
    <m/>
    <m/>
    <m/>
    <n v="60"/>
    <s v="P1"/>
    <n v="60"/>
    <s v="Cedric Donkels"/>
    <s v="Tech. Debt"/>
    <s v="ECOM"/>
    <m/>
    <m/>
    <n v="28.98"/>
    <x v="0"/>
    <x v="4"/>
    <n v="0"/>
    <s v="BAU"/>
  </r>
  <r>
    <s v="TechDebt Ogone - ECOM Global : Scalability Evolution"/>
    <x v="300"/>
    <s v="Platform scalability"/>
    <s v="BE Console Refatoring"/>
    <s v="WLOC_CARD_BE"/>
    <s v="M"/>
    <n v="100"/>
    <s v="auto"/>
    <s v="OK"/>
    <m/>
    <m/>
    <m/>
    <n v="100"/>
    <s v="P2"/>
    <n v="100"/>
    <s v="Cedric Donkels"/>
    <s v="Tech. Debt"/>
    <s v="ECOM"/>
    <m/>
    <m/>
    <n v="48.3"/>
    <x v="0"/>
    <x v="4"/>
    <n v="0"/>
    <s v="BAU"/>
  </r>
  <r>
    <s v="TechDebt Ogone - ECOM Global : Scalability Evolution"/>
    <x v="300"/>
    <s v="Platform Scalability"/>
    <s v="Batch Refactoring_x000a_"/>
    <s v="WLOC_MXP"/>
    <s v="XXL"/>
    <n v="400"/>
    <s v="auto"/>
    <s v="OK"/>
    <m/>
    <n v="200"/>
    <n v="200"/>
    <m/>
    <s v="P1"/>
    <n v="400"/>
    <s v="Geoffroy Gueulette"/>
    <s v="Tech. Debt"/>
    <s v="ECOM"/>
    <m/>
    <m/>
    <n v="193.2"/>
    <x v="0"/>
    <x v="4"/>
    <n v="0"/>
    <s v="BAU"/>
  </r>
  <r>
    <s v="Technical &amp; Functional Debt"/>
    <x v="12"/>
    <s v="Database upgrade"/>
    <s v="Upgrade MariaDB 10.3 to later version"/>
    <s v="Bambora I"/>
    <s v="S"/>
    <n v="50"/>
    <s v="auto"/>
    <s v="OK"/>
    <m/>
    <n v="50"/>
    <m/>
    <m/>
    <s v="P2"/>
    <n v="50"/>
    <s v="Peter Tellram"/>
    <s v="Tech. Debt"/>
    <s v="ECOM"/>
    <m/>
    <m/>
    <n v="25.65"/>
    <x v="0"/>
    <x v="11"/>
    <n v="0"/>
    <s v="BAU"/>
  </r>
  <r>
    <s v="Technical &amp; Functional Debt"/>
    <x v="12"/>
    <s v="Robustness"/>
    <s v="Rework Axis payment application logs to allow easy access to production log for developers &amp; project manager"/>
    <s v="AFNEXT"/>
    <s v="S"/>
    <n v="50"/>
    <s v="auto"/>
    <s v="OK"/>
    <n v="10"/>
    <n v="10"/>
    <n v="10"/>
    <n v="20"/>
    <s v="P1"/>
    <n v="50"/>
    <s v="Gilles Raymond"/>
    <s v="Tech. Debt"/>
    <s v="IN_STORE"/>
    <s v="Technical Leverage"/>
    <m/>
    <n v="25.65"/>
    <x v="0"/>
    <x v="1"/>
    <n v="0"/>
    <s v="BAU"/>
  </r>
  <r>
    <s v="Technical &amp; Functional Debt"/>
    <x v="12"/>
    <s v="Robustness"/>
    <s v="Duplicate management rework &amp; standardization (MAP)"/>
    <s v="AFNEXT"/>
    <s v="S"/>
    <n v="50"/>
    <s v="auto"/>
    <s v="OK"/>
    <m/>
    <n v="50"/>
    <m/>
    <m/>
    <s v="P1"/>
    <n v="50"/>
    <s v="Gilles Raymond"/>
    <s v="Tech. Debt"/>
    <s v="IN_STORE"/>
    <s v="Technical Leverage"/>
    <m/>
    <n v="25.65"/>
    <x v="0"/>
    <x v="1"/>
    <n v="0"/>
    <s v="BAU"/>
  </r>
  <r>
    <s v="Technical &amp; Functional Debt"/>
    <x v="12"/>
    <s v="Support to project launch (small technical / functionnal gaps identified during implementation)"/>
    <m/>
    <s v="AFNEXT"/>
    <s v="S"/>
    <n v="50"/>
    <s v="auto"/>
    <s v="OK"/>
    <n v="10"/>
    <n v="10"/>
    <n v="10"/>
    <n v="20"/>
    <s v="P1"/>
    <n v="50"/>
    <s v="Sylvain Marion"/>
    <s v="Tech. Debt"/>
    <s v="IN_STORE"/>
    <s v="Support Customers' Projects"/>
    <m/>
    <n v="25.65"/>
    <x v="0"/>
    <x v="1"/>
    <n v="0"/>
    <s v="BAU"/>
  </r>
  <r>
    <s v="Security &amp; Risks"/>
    <x v="72"/>
    <s v="Compliance PCI"/>
    <s v="security bug fixing"/>
    <s v="AFNEXT"/>
    <s v="XS"/>
    <n v="20"/>
    <s v="auto"/>
    <s v="OK"/>
    <n v="5"/>
    <n v="5"/>
    <n v="5"/>
    <n v="5"/>
    <s v="P1"/>
    <n v="20"/>
    <s v="Gilles Raymond"/>
    <s v="Maintenance &amp; Incidents"/>
    <s v="IN_STORE"/>
    <s v="Regulation"/>
    <m/>
    <n v="10.26"/>
    <x v="0"/>
    <x v="1"/>
    <n v="0"/>
    <s v="BAU"/>
  </r>
  <r>
    <s v="Security &amp; Risks"/>
    <x v="72"/>
    <s v="Decommission TDES algorithm"/>
    <m/>
    <s v="AFNEXT"/>
    <s v="XS"/>
    <n v="20"/>
    <s v="auto"/>
    <s v="OK"/>
    <n v="5"/>
    <n v="5"/>
    <n v="5"/>
    <n v="5"/>
    <s v="P1"/>
    <n v="20"/>
    <s v="Gilles Raymond"/>
    <s v="Maintenance &amp; Incidents"/>
    <s v="IN_STORE"/>
    <s v="Regulation"/>
    <m/>
    <n v="10.26"/>
    <x v="0"/>
    <x v="1"/>
    <n v="0"/>
    <s v="BAU"/>
  </r>
  <r>
    <s v="Technical &amp; Functional Debt"/>
    <x v="12"/>
    <s v="Cleanup of decommissioned features"/>
    <s v="Remove connections and code for unused features"/>
    <s v="Bambora I"/>
    <s v="M"/>
    <n v="100"/>
    <s v="auto"/>
    <s v="OK"/>
    <n v="80"/>
    <n v="20"/>
    <m/>
    <m/>
    <s v="P1"/>
    <n v="100"/>
    <s v="Peter Tellram"/>
    <s v="Tech. Debt"/>
    <s v="ECOM"/>
    <m/>
    <m/>
    <n v="51.3"/>
    <x v="0"/>
    <x v="11"/>
    <n v="0"/>
    <s v="BAU"/>
  </r>
  <r>
    <s v="Technical &amp; Functional Debt"/>
    <x v="12"/>
    <s v="API &amp; data"/>
    <s v="PaymentID as UUID"/>
    <s v="AFNEXT"/>
    <s v="XS"/>
    <n v="20"/>
    <s v="auto"/>
    <s v="OK"/>
    <m/>
    <n v="20"/>
    <m/>
    <m/>
    <s v="P1"/>
    <n v="20"/>
    <s v="Gilles Raymond"/>
    <s v="Tech. Debt"/>
    <s v="IN_STORE"/>
    <s v="Technical Leverage"/>
    <m/>
    <n v="10.26"/>
    <x v="0"/>
    <x v="1"/>
    <n v="0"/>
    <s v="BAU"/>
  </r>
  <r>
    <s v="Technical &amp; Functional Debt"/>
    <x v="12"/>
    <s v="Refactoring"/>
    <s v="PostgresQL 13 migration"/>
    <s v="AFNEXT"/>
    <s v="XS"/>
    <n v="20"/>
    <s v="auto"/>
    <s v="OK"/>
    <m/>
    <n v="20"/>
    <m/>
    <m/>
    <s v="P1"/>
    <n v="20"/>
    <s v="Gilles Raymond"/>
    <s v="Tech. Debt"/>
    <s v="IN_STORE"/>
    <s v="Technical Leverage"/>
    <m/>
    <n v="10.26"/>
    <x v="0"/>
    <x v="1"/>
    <n v="0"/>
    <s v="BAU"/>
  </r>
  <r>
    <s v="Technical Debt / Global Infra"/>
    <x v="29"/>
    <s v="Source code &amp; CI migration"/>
    <s v="AFNEXT"/>
    <s v="AFNEXT"/>
    <s v="XS"/>
    <n v="20"/>
    <s v="auto"/>
    <s v="OK"/>
    <n v="20"/>
    <m/>
    <m/>
    <m/>
    <s v="P1"/>
    <n v="20"/>
    <s v="Gilles Raymond"/>
    <s v="Tech. Debt"/>
    <s v="IN_STORE"/>
    <s v="Technical Leverage"/>
    <m/>
    <n v="10.26"/>
    <x v="0"/>
    <x v="1"/>
    <n v="0"/>
    <s v="BAU"/>
  </r>
  <r>
    <s v="Technical Debt / Global Infra"/>
    <x v="29"/>
    <s v="Training of teams with new way of working"/>
    <s v="AFNEXT"/>
    <s v="AFNEXT"/>
    <s v="XS"/>
    <n v="20"/>
    <s v="auto"/>
    <s v="OK"/>
    <n v="20"/>
    <m/>
    <m/>
    <m/>
    <s v="P1"/>
    <n v="20"/>
    <s v="Gilles Raymond"/>
    <s v="Tech. Debt"/>
    <s v="IN_STORE"/>
    <s v="Technical Leverage"/>
    <m/>
    <n v="10.26"/>
    <x v="0"/>
    <x v="1"/>
    <n v="0"/>
    <s v="BAU"/>
  </r>
  <r>
    <s v="Technical &amp; Functional Debt"/>
    <x v="12"/>
    <s v="Refactoring"/>
    <s v="Rework replication to remove PGQ"/>
    <s v="AFNEXT"/>
    <s v="XS"/>
    <n v="15"/>
    <s v="override"/>
    <s v="OK"/>
    <m/>
    <m/>
    <n v="15"/>
    <m/>
    <s v="P1"/>
    <n v="15"/>
    <s v="Gilles Raymond"/>
    <s v="Tech. Debt"/>
    <s v="IN_STORE"/>
    <s v="Technical Leverage"/>
    <m/>
    <n v="7.6950000000000003"/>
    <x v="0"/>
    <x v="1"/>
    <n v="0"/>
    <s v="BAU"/>
  </r>
  <r>
    <s v="Regulation / nexo IS v5"/>
    <x v="105"/>
    <s v="nexo IS v5 full (only first part in 2022): nexofast, nexo acquirer, nexo TMS update (AXIN-316)"/>
    <m/>
    <s v="AFNEXT"/>
    <s v="XXL"/>
    <n v="500"/>
    <s v="override"/>
    <s v="OK"/>
    <m/>
    <n v="100"/>
    <n v="200"/>
    <n v="200"/>
    <s v="P3"/>
    <n v="500"/>
    <s v="Sylvain Marion"/>
    <s v="Product"/>
    <s v="IN_STORE"/>
    <s v="Regulation"/>
    <m/>
    <n v="256.5"/>
    <x v="1"/>
    <x v="1"/>
    <n v="0"/>
    <s v="BAU"/>
  </r>
  <r>
    <s v="Regulation / Europe w/o France"/>
    <x v="78"/>
    <s v="Online nexo Cancellation Service support (AXIN-1345)"/>
    <m/>
    <s v="AFNEXT"/>
    <s v="M"/>
    <n v="100"/>
    <s v="auto"/>
    <s v="OK"/>
    <m/>
    <n v="50"/>
    <n v="50"/>
    <m/>
    <s v="P3"/>
    <n v="100"/>
    <s v="Sylvain Marion"/>
    <s v="Product"/>
    <s v="IN_STORE"/>
    <s v="Regulation"/>
    <m/>
    <n v="51.3"/>
    <x v="1"/>
    <x v="1"/>
    <n v="0"/>
    <s v="BAU"/>
  </r>
  <r>
    <s v="Technical &amp; Functional Debt"/>
    <x v="12"/>
    <s v="API &amp; data"/>
    <s v="Including TPVnumber to 32 char ?"/>
    <s v="AFNEXT"/>
    <s v="S"/>
    <n v="50"/>
    <s v="auto"/>
    <s v="OK"/>
    <m/>
    <m/>
    <n v="25"/>
    <n v="25"/>
    <s v="P3"/>
    <n v="50"/>
    <s v="Gilles Raymond"/>
    <s v="Tech. Debt"/>
    <s v="IN_STORE"/>
    <s v="Technical Leverage"/>
    <m/>
    <n v="25.65"/>
    <x v="1"/>
    <x v="1"/>
    <n v="0"/>
    <s v="BAU"/>
  </r>
  <r>
    <s v="Petrol with Axis"/>
    <x v="301"/>
    <s v="[Petrol FR] Amex support - Auchan"/>
    <s v="Lafon (NTA) &amp; Tokheim (TKA)"/>
    <s v="AFP"/>
    <s v="XXL"/>
    <n v="400"/>
    <s v="auto"/>
    <s v="OK"/>
    <n v="150"/>
    <n v="150"/>
    <n v="100"/>
    <m/>
    <s v="P1"/>
    <n v="400"/>
    <s v="Thierry Fortune"/>
    <s v="Product"/>
    <s v="IN_STORE"/>
    <m/>
    <m/>
    <n v="205.2"/>
    <x v="0"/>
    <x v="1"/>
    <n v="0"/>
    <s v="BAU"/>
  </r>
  <r>
    <s v="Petrol with Axis"/>
    <x v="301"/>
    <s v="[Petrol FR] EMV-FR"/>
    <s v="NTE/TKE/SDM/CTD/PASS etc... applications updates (token, P2PE, settlements…)"/>
    <s v="AFP"/>
    <s v="XL"/>
    <n v="300"/>
    <s v="auto"/>
    <s v="OK"/>
    <n v="75"/>
    <n v="75"/>
    <n v="75"/>
    <n v="75"/>
    <s v="P1"/>
    <n v="300"/>
    <s v="Thierry Fortune"/>
    <s v="Product"/>
    <s v="IN_STORE"/>
    <m/>
    <m/>
    <n v="153.9"/>
    <x v="0"/>
    <x v="1"/>
    <n v="0"/>
    <s v="BAU"/>
  </r>
  <r>
    <s v="Technical &amp; Functional Debt"/>
    <x v="12"/>
    <s v="Platform robustness &amp; availability"/>
    <s v="Increase HA of Samport and Toolbox"/>
    <s v="Bambora I"/>
    <s v="XL"/>
    <n v="300"/>
    <s v="auto"/>
    <s v="OK"/>
    <n v="125"/>
    <n v="50"/>
    <n v="25"/>
    <n v="100"/>
    <s v="P1"/>
    <n v="300"/>
    <s v="Peter Tellram"/>
    <s v="Tech. Debt"/>
    <s v="ECOM"/>
    <m/>
    <m/>
    <n v="153.9"/>
    <x v="0"/>
    <x v="11"/>
    <n v="0"/>
    <s v="BAU"/>
  </r>
  <r>
    <s v="Technical &amp; Functional Debt"/>
    <x v="12"/>
    <s v="Security PEN test fixes"/>
    <s v="Improve on results from findings"/>
    <s v="Bambora I"/>
    <s v="S"/>
    <n v="50"/>
    <s v="auto"/>
    <s v="OK"/>
    <m/>
    <n v="50"/>
    <m/>
    <m/>
    <s v="P1"/>
    <n v="50"/>
    <s v="Peter Tellram"/>
    <s v="Tech. Debt"/>
    <s v="ECOM"/>
    <m/>
    <m/>
    <n v="25.65"/>
    <x v="0"/>
    <x v="11"/>
    <n v="0"/>
    <s v="BAU"/>
  </r>
  <r>
    <s v="Petrol with Axis"/>
    <x v="301"/>
    <s v="[Parking/Petrol-FR] TOTAL GR (ELF) EMV-FR (AXIN-858)"/>
    <s v="Contact &amp; Contactless (offline) support"/>
    <s v="AFP"/>
    <s v="L"/>
    <n v="200"/>
    <s v="auto"/>
    <s v="OK"/>
    <m/>
    <m/>
    <n v="100"/>
    <n v="100"/>
    <s v="P1"/>
    <n v="200"/>
    <s v="Thierry Fortune"/>
    <s v="Product"/>
    <s v="IN_STORE"/>
    <m/>
    <m/>
    <n v="102.6"/>
    <x v="0"/>
    <x v="1"/>
    <n v="0"/>
    <s v="BAU"/>
  </r>
  <r>
    <s v="Technical &amp; Functional Debt"/>
    <x v="12"/>
    <s v="Maintenance"/>
    <s v="Fixing GRAMs"/>
    <s v="AFP"/>
    <s v="M"/>
    <n v="100"/>
    <s v="auto"/>
    <s v="OK"/>
    <n v="25"/>
    <n v="25"/>
    <n v="25"/>
    <n v="25"/>
    <s v="P1"/>
    <n v="100"/>
    <s v=" Mohamed LACHGUER "/>
    <s v="Maintenance &amp; Incidents"/>
    <s v="IN_STORE"/>
    <s v="Technical Leverage"/>
    <m/>
    <n v="51.3"/>
    <x v="0"/>
    <x v="1"/>
    <n v="0"/>
    <s v="BAU"/>
  </r>
  <r>
    <s v="Technical &amp; Functional Debt"/>
    <x v="12"/>
    <s v="Robustness"/>
    <s v="Rework Axis payment application logs to allow easy access to production log for developers &amp; project manager"/>
    <s v="AFP"/>
    <s v="S"/>
    <n v="50"/>
    <s v="auto"/>
    <s v="OK"/>
    <n v="15"/>
    <n v="10"/>
    <n v="15"/>
    <n v="10"/>
    <s v="P1"/>
    <n v="50"/>
    <s v="Thierry Fortune"/>
    <s v="Product"/>
    <s v="IN_STORE"/>
    <s v="Technical Leverage"/>
    <m/>
    <n v="25.65"/>
    <x v="0"/>
    <x v="1"/>
    <n v="0"/>
    <s v="BAU"/>
  </r>
  <r>
    <s v="Technical &amp; Functional Debt"/>
    <x v="12"/>
    <s v="Key Management system replacement"/>
    <s v="Find replacement for AKM"/>
    <s v="Bambora I"/>
    <s v="M"/>
    <n v="100"/>
    <s v="auto"/>
    <s v="OK"/>
    <m/>
    <m/>
    <n v="60"/>
    <n v="40"/>
    <s v="P1"/>
    <n v="100"/>
    <s v="Peter Tellram"/>
    <s v="Tech. Debt"/>
    <s v="ECOM"/>
    <m/>
    <m/>
    <n v="51.3"/>
    <x v="0"/>
    <x v="11"/>
    <n v="0"/>
    <s v="BAU"/>
  </r>
  <r>
    <s v="Petrol with Axis"/>
    <x v="301"/>
    <s v="Automation &amp; Industrialisation"/>
    <s v="Profile Industrialisation and test automation"/>
    <s v="AFP"/>
    <s v="XS"/>
    <n v="20"/>
    <s v="auto"/>
    <s v="OK"/>
    <n v="5"/>
    <n v="5"/>
    <n v="5"/>
    <n v="5"/>
    <s v="P1"/>
    <n v="20"/>
    <s v=" Mohamed LACHGUER "/>
    <s v="Tech. Debt"/>
    <s v="IN_STORE"/>
    <m/>
    <m/>
    <n v="10.26"/>
    <x v="0"/>
    <x v="1"/>
    <n v="0"/>
    <s v="BAU"/>
  </r>
  <r>
    <s v="Regulation / 6 to 8 BIN Mgt"/>
    <x v="14"/>
    <s v="Bin Number 6 to 8 digits"/>
    <s v="Dvpt"/>
    <s v="AFP"/>
    <s v="XS"/>
    <n v="20"/>
    <s v="auto"/>
    <s v="OK"/>
    <n v="5"/>
    <n v="5"/>
    <n v="5"/>
    <n v="5"/>
    <s v="P1"/>
    <n v="20"/>
    <s v=" Mohamed LACHGUER "/>
    <s v="Tech. Debt"/>
    <s v="IN_STORE"/>
    <s v="Regulation"/>
    <m/>
    <n v="10.26"/>
    <x v="0"/>
    <x v="1"/>
    <n v="0"/>
    <s v="BAU"/>
  </r>
  <r>
    <s v="Technical &amp; Functional Debt"/>
    <x v="12"/>
    <s v="API &amp; data"/>
    <s v="Including TPVnumber to 32 char (list applications)"/>
    <s v="AFP"/>
    <s v="XS"/>
    <n v="20"/>
    <s v="auto"/>
    <s v="OK"/>
    <n v="5"/>
    <n v="5"/>
    <n v="5"/>
    <n v="5"/>
    <s v="P1"/>
    <n v="20"/>
    <s v="Thierry Fortune"/>
    <s v="Product"/>
    <s v="IN_STORE"/>
    <s v="Technical Leverage"/>
    <m/>
    <n v="10.26"/>
    <x v="0"/>
    <x v="1"/>
    <n v="0"/>
    <s v="BAU"/>
  </r>
  <r>
    <s v="Technical &amp; Functional Debt"/>
    <x v="12"/>
    <s v="API &amp; data"/>
    <s v="PaymentID as UUID"/>
    <s v="AFP"/>
    <s v="XS"/>
    <n v="20"/>
    <s v="auto"/>
    <s v="OK"/>
    <n v="5"/>
    <n v="5"/>
    <n v="5"/>
    <n v="5"/>
    <s v="P1"/>
    <n v="20"/>
    <s v=" Mohamed LACHGUER "/>
    <s v="Tech. Debt"/>
    <s v="IN_STORE"/>
    <s v="Technical Leverage"/>
    <m/>
    <n v="10.26"/>
    <x v="0"/>
    <x v="1"/>
    <n v="0"/>
    <s v="BAU"/>
  </r>
  <r>
    <s v="Technical &amp; Functional Debt"/>
    <x v="12"/>
    <s v="Refactoring"/>
    <s v="PostgresQL 13 Migration"/>
    <s v="AFP"/>
    <s v="XS"/>
    <n v="20"/>
    <s v="auto"/>
    <s v="OK"/>
    <n v="5"/>
    <n v="5"/>
    <n v="5"/>
    <n v="5"/>
    <s v="P1"/>
    <n v="20"/>
    <s v=" Mohamed LACHGUER "/>
    <s v="Tech. Debt"/>
    <s v="IN_STORE"/>
    <s v="Technical Leverage"/>
    <m/>
    <n v="10.26"/>
    <x v="0"/>
    <x v="1"/>
    <n v="0"/>
    <s v="BAU"/>
  </r>
  <r>
    <s v="Technical &amp; Functional Debt"/>
    <x v="12"/>
    <s v="Refactoring"/>
    <s v="RHEL8 Migration"/>
    <s v="AFP"/>
    <s v="M"/>
    <n v="100"/>
    <s v="auto"/>
    <s v="OK"/>
    <n v="25"/>
    <n v="25"/>
    <n v="25"/>
    <n v="25"/>
    <s v="P2"/>
    <n v="100"/>
    <s v=" Mohamed LACHGUER "/>
    <s v="Tech. Debt"/>
    <s v="IN_STORE"/>
    <s v="Technical Leverage"/>
    <m/>
    <n v="51.3"/>
    <x v="0"/>
    <x v="1"/>
    <n v="0"/>
    <s v="BAU"/>
  </r>
  <r>
    <s v="Petrol with Axis"/>
    <x v="301"/>
    <s v="[Petrol FR] CB6"/>
    <m/>
    <s v="AFP"/>
    <s v="XXL"/>
    <n v="400"/>
    <s v="auto"/>
    <s v="OK"/>
    <n v="100"/>
    <n v="100"/>
    <n v="100"/>
    <n v="100"/>
    <s v="P3"/>
    <n v="400"/>
    <s v="Thierry Fortune"/>
    <s v="Product"/>
    <s v="IN_STORE"/>
    <m/>
    <m/>
    <n v="205.2"/>
    <x v="1"/>
    <x v="1"/>
    <n v="0"/>
    <s v="BAU"/>
  </r>
  <r>
    <s v="Petrol with Axis"/>
    <x v="301"/>
    <s v="[Petrol FR] Smartrouting for TKE"/>
    <s v="Aligned with NTE"/>
    <s v="AFP"/>
    <s v="M"/>
    <n v="100"/>
    <s v="auto"/>
    <s v="OK"/>
    <n v="25"/>
    <n v="25"/>
    <n v="25"/>
    <n v="25"/>
    <s v="P3"/>
    <n v="100"/>
    <s v="Thierry Fortune"/>
    <s v="Product"/>
    <s v="IN_STORE"/>
    <m/>
    <m/>
    <n v="51.3"/>
    <x v="1"/>
    <x v="1"/>
    <n v="0"/>
    <s v="BAU"/>
  </r>
  <r>
    <s v="Petrol with Axis"/>
    <x v="301"/>
    <s v="[Petrol] PASS application with P2PE (DAC side) - Carrefour"/>
    <m/>
    <s v="AFP"/>
    <s v="M"/>
    <n v="100"/>
    <s v="auto"/>
    <s v="OK"/>
    <n v="25"/>
    <n v="25"/>
    <n v="25"/>
    <n v="25"/>
    <s v="P3"/>
    <n v="100"/>
    <s v="Thierry Fortune"/>
    <s v="Product"/>
    <s v="IN_STORE"/>
    <m/>
    <s v="Voir avec Sylvain pr PASS sans Petrol"/>
    <n v="51.3"/>
    <x v="1"/>
    <x v="1"/>
    <n v="0"/>
    <s v="BAU"/>
  </r>
  <r>
    <s v="Petrol with Axis"/>
    <x v="301"/>
    <s v="[Petrol] Deferred Sales &amp; Extra Data with CPA/MAP"/>
    <s v="Dvpt team support / Tests &amp; finalisation"/>
    <s v="AFP"/>
    <s v="S"/>
    <n v="50"/>
    <s v="auto"/>
    <s v="OK"/>
    <m/>
    <n v="20"/>
    <n v="10"/>
    <n v="20"/>
    <s v="P3"/>
    <n v="50"/>
    <s v="Thierry Fortune"/>
    <s v="Product"/>
    <s v="IN_STORE"/>
    <m/>
    <m/>
    <n v="25.65"/>
    <x v="1"/>
    <x v="1"/>
    <n v="0"/>
    <s v="BAU"/>
  </r>
  <r>
    <s v="Petrol with Axis"/>
    <x v="301"/>
    <s v="[Petrol FR] Smartrouting for NTE"/>
    <s v="Smartrouting (with no virtual TPV)"/>
    <s v="AFP"/>
    <s v="L"/>
    <n v="200"/>
    <s v="auto"/>
    <s v="OK"/>
    <n v="50"/>
    <n v="50"/>
    <n v="50"/>
    <n v="50"/>
    <s v="P4"/>
    <n v="200"/>
    <s v="Thierry Fortune"/>
    <s v="Product"/>
    <s v="IN_STORE"/>
    <m/>
    <s v="voir Martin : sur 2023 --&gt; pb ?"/>
    <n v="102.6"/>
    <x v="1"/>
    <x v="1"/>
    <n v="0"/>
    <s v="BAU"/>
  </r>
  <r>
    <s v="Maintenance"/>
    <x v="5"/>
    <s v="Maintenance Axis"/>
    <m/>
    <s v="AFR"/>
    <s v="XL"/>
    <n v="300"/>
    <s v="auto"/>
    <s v="OK"/>
    <n v="75"/>
    <n v="75"/>
    <n v="75"/>
    <n v="75"/>
    <s v="P1"/>
    <n v="300"/>
    <s v="Sylvain Marion"/>
    <s v="Maintenance &amp; Incidents"/>
    <s v="IN_STORE"/>
    <s v="Technical Leverage"/>
    <m/>
    <n v="153.9"/>
    <x v="0"/>
    <x v="1"/>
    <s v="Run"/>
    <s v="RUN"/>
  </r>
  <r>
    <s v="Roadmap / Purchasing Experience"/>
    <x v="11"/>
    <s v="Smart Engage MTS Webservice (AXIN 1260)"/>
    <m/>
    <s v="AFR"/>
    <s v="L"/>
    <n v="200"/>
    <s v="auto"/>
    <s v="OK"/>
    <m/>
    <n v="100"/>
    <n v="100"/>
    <m/>
    <s v="P1"/>
    <n v="200"/>
    <s v="Sylvain Marion"/>
    <s v="Product"/>
    <s v="IN_STORE"/>
    <s v="Simplify Experience"/>
    <m/>
    <n v="102.6"/>
    <x v="0"/>
    <x v="1"/>
    <n v="0"/>
    <s v="BAU"/>
  </r>
  <r>
    <s v="Custom / Evolutions for Adeo"/>
    <x v="302"/>
    <s v="Bucket support + Bucket CRs"/>
    <s v="Few visibility"/>
    <s v="AFR"/>
    <s v="M"/>
    <n v="100"/>
    <s v="auto"/>
    <s v="OK"/>
    <m/>
    <n v="50"/>
    <n v="50"/>
    <m/>
    <s v="P1"/>
    <n v="100"/>
    <s v="Sylvain Marion"/>
    <s v="Product"/>
    <s v="IN_STORE"/>
    <s v="Support Customers' Projects"/>
    <m/>
    <n v="51.3"/>
    <x v="0"/>
    <x v="1"/>
    <n v="0"/>
    <s v="BAU"/>
  </r>
  <r>
    <s v="Custom / Evolutions for Ikea"/>
    <x v="96"/>
    <s v="Bucket support + Bucket CRs"/>
    <m/>
    <s v="AFR"/>
    <s v="M"/>
    <n v="100"/>
    <s v="auto"/>
    <s v="OK"/>
    <n v="25"/>
    <n v="25"/>
    <n v="25"/>
    <n v="25"/>
    <s v="P1"/>
    <n v="100"/>
    <s v="Sylvain Marion"/>
    <s v="Product"/>
    <s v="IN_STORE"/>
    <s v="Support Customers' Projects"/>
    <m/>
    <n v="51.3"/>
    <x v="0"/>
    <x v="1"/>
    <n v="0"/>
    <s v="BAU"/>
  </r>
  <r>
    <s v="Petrol with Axis"/>
    <x v="301"/>
    <s v="[Petrol] Deferred Sales &amp; Extra Data with CPA/MAP"/>
    <s v="Dvpt"/>
    <s v="AFR"/>
    <s v="M"/>
    <n v="100"/>
    <s v="auto"/>
    <s v="OK"/>
    <m/>
    <n v="50"/>
    <n v="50"/>
    <m/>
    <s v="P1"/>
    <n v="100"/>
    <s v="Thierry Fortune"/>
    <s v="Product"/>
    <s v="IN_STORE"/>
    <s v="Get a Specific Approach per Vertical"/>
    <m/>
    <n v="51.3"/>
    <x v="0"/>
    <x v="1"/>
    <n v="0"/>
    <s v="BAU"/>
  </r>
  <r>
    <s v="Regulation / Europe w/o France"/>
    <x v="78"/>
    <s v="Lane/3000 + Lane/5000v3 certification extension (NETS, Evry, RBI) (AXIN to be created)"/>
    <m/>
    <s v="AFR"/>
    <s v="M"/>
    <n v="100"/>
    <s v="auto"/>
    <s v="OK"/>
    <n v="50"/>
    <n v="50"/>
    <m/>
    <m/>
    <s v="P1"/>
    <n v="100"/>
    <s v="Sylvain Marion"/>
    <s v="Product"/>
    <s v="IN_STORE"/>
    <s v="Regulation"/>
    <m/>
    <n v="51.3"/>
    <x v="0"/>
    <x v="1"/>
    <n v="0"/>
    <s v="BAU"/>
  </r>
  <r>
    <s v="Technical Debt / Global Infra"/>
    <x v="29"/>
    <s v="Front office"/>
    <s v="Support to the migration"/>
    <s v="AFR"/>
    <s v="M"/>
    <n v="100"/>
    <s v="auto"/>
    <s v="OK"/>
    <n v="25"/>
    <n v="25"/>
    <n v="25"/>
    <n v="25"/>
    <s v="P1"/>
    <n v="100"/>
    <s v="Gilles Raymond"/>
    <s v="Tech. Debt"/>
    <s v="IN_STORE"/>
    <s v="Technical Leverage"/>
    <m/>
    <n v="51.3"/>
    <x v="0"/>
    <x v="1"/>
    <n v="0"/>
    <s v="BAU"/>
  </r>
  <r>
    <s v="New regulations on CSACT"/>
    <x v="211"/>
    <s v="[2021's target] 8-digit BIN/IIN support for international schemes"/>
    <s v="Changes on CSACT/H24"/>
    <s v="CSACT Rdmp"/>
    <s v="M"/>
    <n v="100"/>
    <s v="auto"/>
    <s v="OK"/>
    <n v="60"/>
    <n v="40"/>
    <m/>
    <m/>
    <s v="P1"/>
    <n v="100"/>
    <s v="Ismael Jaafar"/>
    <s v="Product"/>
    <s v="IN_STORE"/>
    <m/>
    <m/>
    <n v="51.3"/>
    <x v="0"/>
    <x v="18"/>
    <n v="0"/>
    <s v="BAU"/>
  </r>
  <r>
    <s v="New regulations on CSACT"/>
    <x v="211"/>
    <s v="Camera management in TETRA safety 2020 terminals"/>
    <m/>
    <s v="CSACT Rdmp"/>
    <s v="XS"/>
    <n v="20"/>
    <s v="auto"/>
    <s v="OK"/>
    <n v="20"/>
    <m/>
    <m/>
    <m/>
    <s v="P1"/>
    <n v="20"/>
    <s v="Ismael Jaafar"/>
    <s v="Product"/>
    <s v="IN_STORE"/>
    <m/>
    <m/>
    <n v="10.26"/>
    <x v="0"/>
    <x v="18"/>
    <n v="0"/>
    <s v="BAU"/>
  </r>
  <r>
    <s v="Verticals - Parking/EV Charging / Vending Self/2-4-5000"/>
    <x v="99"/>
    <s v="[Vending] Pago bancomat scheme rule implementation for Vending"/>
    <s v="Pago Bancomat for vending"/>
    <s v="AFR"/>
    <s v="M"/>
    <n v="100"/>
    <s v="auto"/>
    <s v="OK"/>
    <m/>
    <n v="50"/>
    <n v="50"/>
    <m/>
    <s v="P1"/>
    <n v="100"/>
    <s v="Thierry Fortune"/>
    <s v="Product"/>
    <s v="IN_STORE"/>
    <m/>
    <s v="Voir avec Maria ou Fadila"/>
    <n v="51.3"/>
    <x v="0"/>
    <x v="1"/>
    <n v="0"/>
    <s v="BAU"/>
  </r>
  <r>
    <s v="Onboarding"/>
    <x v="80"/>
    <s v="Reminder applications impact with Everest Next Gen"/>
    <m/>
    <s v="AFR"/>
    <s v="S"/>
    <n v="50"/>
    <s v="auto"/>
    <s v="OK"/>
    <m/>
    <m/>
    <n v="50"/>
    <m/>
    <s v="P1"/>
    <n v="50"/>
    <s v="Sylvain Marion"/>
    <s v="Tech. Debt"/>
    <s v="IN_STORE"/>
    <s v="Technical Leverage"/>
    <m/>
    <n v="25.65"/>
    <x v="0"/>
    <x v="1"/>
    <n v="0"/>
    <s v="BAU"/>
  </r>
  <r>
    <s v="Regulation / Europe w/o France"/>
    <x v="78"/>
    <s v="Bankaxept evolution (signature+voice referral for offline) (AXIN-1253)"/>
    <m/>
    <s v="AFR"/>
    <s v="S"/>
    <n v="50"/>
    <s v="auto"/>
    <s v="OK"/>
    <n v="50"/>
    <m/>
    <m/>
    <m/>
    <s v="P1"/>
    <n v="50"/>
    <s v="Sylvain Marion"/>
    <s v="Product"/>
    <s v="IN_STORE"/>
    <s v="Regulation"/>
    <m/>
    <n v="25.65"/>
    <x v="0"/>
    <x v="1"/>
    <n v="0"/>
    <s v="BAU"/>
  </r>
  <r>
    <s v="Regulation / Europe w/o France"/>
    <x v="78"/>
    <s v="PAR management support (all CPA plug-ins excepted APACS), à splitter entre owner plug-in (core ready) (AXIN-778)"/>
    <s v="AFR"/>
    <s v="AFR"/>
    <s v="S"/>
    <n v="50"/>
    <s v="auto"/>
    <s v="OK"/>
    <n v="50"/>
    <m/>
    <m/>
    <m/>
    <s v="P1"/>
    <n v="50"/>
    <s v="Sylvain Marion"/>
    <s v="Product"/>
    <s v="IN_STORE"/>
    <s v="Regulation"/>
    <m/>
    <n v="25.65"/>
    <x v="0"/>
    <x v="1"/>
    <n v="0"/>
    <s v="BAU"/>
  </r>
  <r>
    <s v="Roadmap / Purchasing Experience"/>
    <x v="11"/>
    <s v="PSD2: Store original CIT &amp; force an autorisation with deposit command in order to recover the scheme referenceID (AXIN-1446)"/>
    <m/>
    <s v="AFR"/>
    <s v="S"/>
    <n v="50"/>
    <s v="auto"/>
    <s v="OK"/>
    <n v="50"/>
    <m/>
    <m/>
    <m/>
    <s v="P1"/>
    <n v="50"/>
    <s v="Sylvain Marion"/>
    <s v="Product"/>
    <s v="IN_STORE"/>
    <s v="Simplify Experience"/>
    <m/>
    <n v="25.65"/>
    <x v="0"/>
    <x v="1"/>
    <n v="0"/>
    <s v="BAU"/>
  </r>
  <r>
    <s v="Roadmap / Purchasing Experience"/>
    <x v="11"/>
    <s v="Smart Engage enhancements (change color, phone number, etc.)"/>
    <m/>
    <s v="AFR"/>
    <s v="S"/>
    <n v="50"/>
    <s v="auto"/>
    <s v="OK"/>
    <m/>
    <n v="50"/>
    <m/>
    <m/>
    <s v="P1"/>
    <n v="50"/>
    <s v="Sylvain Marion"/>
    <s v="Product"/>
    <s v="IN_STORE"/>
    <s v="Simplify Experience"/>
    <m/>
    <n v="25.65"/>
    <x v="0"/>
    <x v="1"/>
    <n v="0"/>
    <s v="BAU"/>
  </r>
  <r>
    <s v="Technical &amp; Functional Debt"/>
    <x v="12"/>
    <s v="Robustness"/>
    <s v="Rework Axis payment application logs to allow easy access to production log for developers &amp; project manager"/>
    <s v="AFR"/>
    <s v="S"/>
    <n v="50"/>
    <s v="auto"/>
    <s v="OK"/>
    <n v="10"/>
    <n v="10"/>
    <n v="10"/>
    <n v="20"/>
    <s v="P1"/>
    <n v="50"/>
    <s v="Gilles Raymond"/>
    <s v="Tech. Debt"/>
    <s v="IN_STORE"/>
    <s v="Technical Leverage"/>
    <m/>
    <n v="25.65"/>
    <x v="0"/>
    <x v="1"/>
    <n v="0"/>
    <s v="BAU"/>
  </r>
  <r>
    <s v="Technical &amp; Functional Debt"/>
    <x v="12"/>
    <s v="Support to project launch (small technical / functionnal gaps identified during implementation)"/>
    <s v="To be splitted across squads (XS or S depending on squads)"/>
    <s v="AFR"/>
    <s v="S"/>
    <n v="50"/>
    <s v="auto"/>
    <s v="OK"/>
    <n v="50"/>
    <m/>
    <m/>
    <m/>
    <s v="P1"/>
    <n v="50"/>
    <s v="Sylvain Marion"/>
    <s v="Tech. Debt"/>
    <s v="IN_STORE"/>
    <s v="Support Customers' Projects"/>
    <m/>
    <n v="25.65"/>
    <x v="0"/>
    <x v="1"/>
    <n v="0"/>
    <s v="BAU"/>
  </r>
  <r>
    <s v="Onboarding"/>
    <x v="80"/>
    <s v="Reminder applications impact with Everest Next Gen"/>
    <s v="All applications"/>
    <s v="AFR"/>
    <s v="XS"/>
    <n v="20"/>
    <s v="auto"/>
    <s v="OK"/>
    <m/>
    <m/>
    <n v="20"/>
    <m/>
    <s v="P1"/>
    <n v="20"/>
    <s v="Sylvain Marion"/>
    <s v="Tech. Debt"/>
    <s v="IN_STORE"/>
    <s v="Technical Leverage"/>
    <m/>
    <n v="10.26"/>
    <x v="0"/>
    <x v="1"/>
    <n v="0"/>
    <s v="BAU"/>
  </r>
  <r>
    <s v="Security &amp; Risks"/>
    <x v="72"/>
    <s v="Compliance PCI"/>
    <s v="security bug fixing"/>
    <s v="AFR"/>
    <s v="XS"/>
    <n v="20"/>
    <s v="auto"/>
    <s v="OK"/>
    <n v="5"/>
    <n v="5"/>
    <n v="5"/>
    <n v="5"/>
    <s v="P1"/>
    <n v="20"/>
    <s v="Gilles Raymond"/>
    <s v="Maintenance &amp; Incidents"/>
    <s v="IN_STORE"/>
    <s v="Regulation"/>
    <m/>
    <n v="10.26"/>
    <x v="0"/>
    <x v="1"/>
    <n v="0"/>
    <s v="BAU"/>
  </r>
  <r>
    <s v="Security &amp; Risks"/>
    <x v="72"/>
    <s v="Decommission TDES algorithm"/>
    <m/>
    <s v="AFR"/>
    <s v="XS"/>
    <n v="20"/>
    <s v="auto"/>
    <s v="OK"/>
    <n v="5"/>
    <n v="5"/>
    <n v="5"/>
    <n v="5"/>
    <s v="P1"/>
    <n v="20"/>
    <s v="Gilles Raymond"/>
    <s v="Maintenance &amp; Incidents"/>
    <s v="IN_STORE"/>
    <s v="Regulation"/>
    <m/>
    <n v="10.26"/>
    <x v="0"/>
    <x v="1"/>
    <n v="0"/>
    <s v="BAU"/>
  </r>
  <r>
    <s v="Technical &amp; Functional Debt"/>
    <x v="12"/>
    <s v="API &amp; data"/>
    <s v="PaymentID as UUID"/>
    <s v="AFR"/>
    <s v="XS"/>
    <n v="20"/>
    <s v="auto"/>
    <s v="OK"/>
    <m/>
    <n v="20"/>
    <m/>
    <m/>
    <s v="P1"/>
    <n v="20"/>
    <s v="Gilles Raymond"/>
    <s v="Tech. Debt"/>
    <s v="IN_STORE"/>
    <s v="Technical Leverage"/>
    <m/>
    <n v="10.26"/>
    <x v="0"/>
    <x v="1"/>
    <n v="0"/>
    <s v="BAU"/>
  </r>
  <r>
    <s v="Technical &amp; Functional Debt"/>
    <x v="12"/>
    <s v="Refactoring"/>
    <s v="PostgresQL 13 migration"/>
    <s v="AFR"/>
    <s v="XS"/>
    <n v="20"/>
    <s v="auto"/>
    <s v="OK"/>
    <m/>
    <n v="20"/>
    <m/>
    <m/>
    <s v="P1"/>
    <n v="20"/>
    <s v="Gilles Raymond"/>
    <s v="Tech. Debt"/>
    <s v="IN_STORE"/>
    <s v="Technical Leverage"/>
    <m/>
    <n v="10.26"/>
    <x v="0"/>
    <x v="1"/>
    <n v="0"/>
    <s v="BAU"/>
  </r>
  <r>
    <s v="Technical Debt / Global Infra"/>
    <x v="29"/>
    <s v="Source code &amp; CI migration"/>
    <s v="AFR"/>
    <s v="AFR"/>
    <s v="XS"/>
    <n v="20"/>
    <s v="auto"/>
    <s v="OK"/>
    <n v="20"/>
    <m/>
    <m/>
    <m/>
    <s v="P1"/>
    <n v="20"/>
    <s v="Gilles Raymond"/>
    <s v="Tech. Debt"/>
    <s v="IN_STORE"/>
    <s v="Technical Leverage"/>
    <m/>
    <n v="10.26"/>
    <x v="0"/>
    <x v="1"/>
    <n v="0"/>
    <s v="BAU"/>
  </r>
  <r>
    <s v="Technical &amp; Functional Debt"/>
    <x v="12"/>
    <s v="Refactoring"/>
    <s v="Rework replication to remove PGQ (To be splitted across squads)"/>
    <m/>
    <s v="L"/>
    <n v="70"/>
    <s v="override"/>
    <s v="OK"/>
    <m/>
    <m/>
    <m/>
    <n v="70"/>
    <s v="P2"/>
    <n v="70"/>
    <s v="Gilles Raymond"/>
    <s v="Tech. Debt"/>
    <n v="0"/>
    <s v="Technical Leverage"/>
    <m/>
    <n v="0"/>
    <x v="3"/>
    <x v="14"/>
    <n v="0"/>
    <s v="BAU"/>
  </r>
  <r>
    <s v="Petrol / Acceptance of new international issuers on CSACT"/>
    <x v="212"/>
    <s v="[2021's target] DKV EMV bucket (remaining of 2021) + improvement to process that card with IFSF"/>
    <m/>
    <s v="CSACT Rdmp"/>
    <s v="M"/>
    <n v="100"/>
    <s v="auto"/>
    <s v="OK"/>
    <n v="30"/>
    <n v="30"/>
    <n v="40"/>
    <m/>
    <s v="P1"/>
    <n v="100"/>
    <s v="Ismael Jaafar"/>
    <s v="Product"/>
    <s v="IN_STORE"/>
    <m/>
    <m/>
    <n v="51.3"/>
    <x v="0"/>
    <x v="18"/>
    <n v="0"/>
    <s v="BAU"/>
  </r>
  <r>
    <s v="Technical Debt / Global Infra"/>
    <x v="29"/>
    <s v="Training of teams with new way of working"/>
    <s v="AFR"/>
    <s v="AFR"/>
    <s v="XS"/>
    <n v="20"/>
    <s v="auto"/>
    <s v="OK"/>
    <n v="20"/>
    <m/>
    <m/>
    <m/>
    <s v="P1"/>
    <n v="20"/>
    <s v="Gilles Raymond"/>
    <s v="Tech. Debt"/>
    <s v="IN_STORE"/>
    <s v="Technical Leverage"/>
    <m/>
    <n v="10.26"/>
    <x v="0"/>
    <x v="1"/>
    <n v="0"/>
    <s v="BAU"/>
  </r>
  <r>
    <s v="Technical &amp; Functional Debt"/>
    <x v="12"/>
    <s v="API &amp; data"/>
    <s v="Including TPVnumber to 32 char ?"/>
    <s v="AFR"/>
    <s v="S"/>
    <n v="50"/>
    <s v="auto"/>
    <s v="OK"/>
    <m/>
    <m/>
    <n v="25"/>
    <n v="25"/>
    <s v="P2"/>
    <n v="50"/>
    <s v="Gilles Raymond"/>
    <s v="Tech. Debt"/>
    <s v="IN_STORE"/>
    <s v="Technical Leverage"/>
    <m/>
    <n v="25.65"/>
    <x v="0"/>
    <x v="1"/>
    <n v="0"/>
    <s v="BAU"/>
  </r>
  <r>
    <s v="Technical &amp; Functional Debt"/>
    <x v="12"/>
    <s v="Refactoring"/>
    <s v="Rework replication to remove PGQ"/>
    <s v="AFR"/>
    <s v="XS"/>
    <n v="15"/>
    <s v="override"/>
    <s v="OK"/>
    <m/>
    <m/>
    <n v="15"/>
    <m/>
    <s v="P2"/>
    <n v="15"/>
    <s v="Gilles Raymond"/>
    <s v="Tech. Debt"/>
    <s v="IN_STORE"/>
    <s v="Technical Leverage"/>
    <m/>
    <n v="7.6950000000000003"/>
    <x v="0"/>
    <x v="1"/>
    <n v="0"/>
    <s v="BAU"/>
  </r>
  <r>
    <s v="Roadmap / Purchasing Experience"/>
    <x v="11"/>
    <s v="BNPL on nexo (Europe) (AXIN to be created)"/>
    <m/>
    <s v="AFR"/>
    <s v="L"/>
    <n v="200"/>
    <s v="auto"/>
    <s v="OK"/>
    <m/>
    <m/>
    <m/>
    <n v="200"/>
    <s v="P3"/>
    <n v="200"/>
    <s v="Sylvain Marion"/>
    <s v="Product"/>
    <s v="IN_STORE"/>
    <s v="Simplify Experience"/>
    <m/>
    <n v="102.6"/>
    <x v="1"/>
    <x v="1"/>
    <n v="0"/>
    <s v="BAU"/>
  </r>
  <r>
    <s v="Petrol / Acceptance of new international issuers on CSACT"/>
    <x v="212"/>
    <s v="[2021's target] Diesel 24 card acceptance"/>
    <m/>
    <s v="CSACT Rdmp"/>
    <s v="S"/>
    <n v="50"/>
    <s v="auto"/>
    <s v="OK"/>
    <m/>
    <m/>
    <m/>
    <n v="50"/>
    <s v="P4"/>
    <n v="50"/>
    <s v="Ismael Jaafar"/>
    <s v="Product"/>
    <s v="IN_STORE"/>
    <m/>
    <s v="Confirmed by Tomas F. (210903) --&gt; to remove"/>
    <n v="25.65"/>
    <x v="1"/>
    <x v="18"/>
    <n v="0"/>
    <s v="BAU"/>
  </r>
  <r>
    <s v="Roadmap / Purchasing Experience"/>
    <x v="11"/>
    <s v="EPI Contingencies (CPACE, certification, APM,…)"/>
    <m/>
    <s v="AFR"/>
    <s v="M"/>
    <n v="100"/>
    <s v="auto"/>
    <s v="OK"/>
    <m/>
    <m/>
    <m/>
    <n v="100"/>
    <s v="P3"/>
    <n v="100"/>
    <s v="Sylvain Marion"/>
    <s v="Product"/>
    <s v="IN_STORE"/>
    <s v="Simplify Experience"/>
    <m/>
    <n v="51.3"/>
    <x v="1"/>
    <x v="1"/>
    <n v="0"/>
    <s v="BAU"/>
  </r>
  <r>
    <s v="Roadmap / Purchasing Experience"/>
    <x v="11"/>
    <s v="QTC feature evolution (IKEA &amp; other)"/>
    <m/>
    <s v="AFR"/>
    <s v="M"/>
    <n v="100"/>
    <s v="auto"/>
    <s v="OK"/>
    <m/>
    <m/>
    <n v="50"/>
    <n v="50"/>
    <s v="P3"/>
    <n v="100"/>
    <s v="Sylvain Marion"/>
    <s v="Product"/>
    <s v="IN_STORE"/>
    <s v="Simplify Experience"/>
    <m/>
    <n v="51.3"/>
    <x v="1"/>
    <x v="1"/>
    <n v="0"/>
    <s v="BAU"/>
  </r>
  <r>
    <s v="Smart Routing / Shared service"/>
    <x v="98"/>
    <s v="Fallback acquirer improvements (extension to Spain, internal acquiring, etc.)"/>
    <m/>
    <s v="AFR"/>
    <s v="M"/>
    <n v="100"/>
    <s v="auto"/>
    <s v="OK"/>
    <m/>
    <m/>
    <m/>
    <n v="100"/>
    <s v="P3"/>
    <n v="100"/>
    <s v="Sylvain Marion"/>
    <s v="Product"/>
    <s v="IN_STORE"/>
    <s v="Complete Value Chain"/>
    <s v="Needed for Inditex, Lidl. Others will come later too."/>
    <n v="51.3"/>
    <x v="1"/>
    <x v="1"/>
    <n v="0"/>
    <s v="BAU"/>
  </r>
  <r>
    <s v="Roadmap / Geo Expansion"/>
    <x v="89"/>
    <s v="CardLink Greece (tbc)"/>
    <m/>
    <s v="AFR"/>
    <s v="XL"/>
    <n v="300"/>
    <s v="auto"/>
    <s v="OK"/>
    <m/>
    <m/>
    <m/>
    <n v="300"/>
    <s v="P4"/>
    <n v="300"/>
    <s v="Sylvain Marion"/>
    <s v="Product"/>
    <s v="IN_STORE"/>
    <s v="Extend Geographical Footprint"/>
    <m/>
    <n v="153.9"/>
    <x v="1"/>
    <x v="1"/>
    <n v="0"/>
    <s v="BAU"/>
  </r>
  <r>
    <s v="Roadmap / Geo Expansion"/>
    <x v="89"/>
    <s v="SIBS Portugal (tbc)"/>
    <m/>
    <s v="AFR"/>
    <s v="XL"/>
    <n v="300"/>
    <s v="auto"/>
    <s v="OK"/>
    <m/>
    <m/>
    <m/>
    <n v="300"/>
    <s v="P4"/>
    <n v="300"/>
    <s v="Sylvain Marion"/>
    <s v="Product"/>
    <s v="IN_STORE"/>
    <s v="Extend Geographical Footprint"/>
    <m/>
    <n v="153.9"/>
    <x v="1"/>
    <x v="1"/>
    <n v="0"/>
    <s v="BAU"/>
  </r>
  <r>
    <s v="[UNITED SYNERGIES] SACC Decomissionning"/>
    <x v="7"/>
    <s v="Alphyra evolution Casino (tbc) (AXIN-1610)"/>
    <m/>
    <s v="AFR"/>
    <s v="L"/>
    <n v="200"/>
    <s v="auto"/>
    <s v="OK"/>
    <n v="100"/>
    <n v="100"/>
    <m/>
    <m/>
    <s v="P4"/>
    <n v="200"/>
    <s v="Sylvain Marion"/>
    <s v="Synergies"/>
    <s v="IN_STORE"/>
    <s v="Support Customers' Projects"/>
    <m/>
    <n v="102.6"/>
    <x v="1"/>
    <x v="1"/>
    <s v="United"/>
    <s v="U&amp;MP"/>
  </r>
  <r>
    <s v="Custom / Evolutions for Ikea"/>
    <x v="96"/>
    <s v="Austria Card Complete (via IFSF iso ING via Equens ?)"/>
    <m/>
    <s v="AFR"/>
    <s v="L"/>
    <n v="200"/>
    <s v="auto"/>
    <s v="OK"/>
    <n v="100"/>
    <n v="100"/>
    <m/>
    <m/>
    <s v="P4"/>
    <n v="200"/>
    <s v="Sylvain Marion"/>
    <s v="Product"/>
    <s v="IN_STORE"/>
    <s v="Support Customers' Projects"/>
    <m/>
    <n v="102.6"/>
    <x v="1"/>
    <x v="1"/>
    <n v="0"/>
    <s v="BAU"/>
  </r>
  <r>
    <s v="Roadmap / Billing"/>
    <x v="101"/>
    <s v="Billing interne"/>
    <m/>
    <s v="AFR"/>
    <s v="M"/>
    <n v="100"/>
    <s v="auto"/>
    <s v="OK"/>
    <m/>
    <m/>
    <m/>
    <n v="100"/>
    <s v="P4"/>
    <n v="100"/>
    <s v="Sylvain Marion"/>
    <s v="Product"/>
    <s v="IN_STORE"/>
    <s v="Simplify Experience"/>
    <m/>
    <n v="51.3"/>
    <x v="1"/>
    <x v="1"/>
    <n v="0"/>
    <s v="BAU"/>
  </r>
  <r>
    <s v="Technical &amp; Functional Debt"/>
    <x v="12"/>
    <s v="Maintenance"/>
    <s v="Fixing GRAMs"/>
    <s v="AFVP"/>
    <s v="M"/>
    <n v="100"/>
    <s v="auto"/>
    <s v="OK"/>
    <n v="25"/>
    <n v="25"/>
    <n v="25"/>
    <n v="25"/>
    <s v="P1"/>
    <n v="100"/>
    <s v=" Mohamed LACHGUER "/>
    <s v="Maintenance &amp; Incidents"/>
    <s v="IN_STORE"/>
    <s v="Technical Leverage"/>
    <m/>
    <n v="51.3"/>
    <x v="0"/>
    <x v="1"/>
    <n v="0"/>
    <s v="BAU"/>
  </r>
  <r>
    <s v="Technical &amp; Functional Debt"/>
    <x v="12"/>
    <s v="Refactoring"/>
    <s v="RHEL8 Migration"/>
    <m/>
    <s v="XXL"/>
    <n v="400"/>
    <s v="auto"/>
    <s v="OK"/>
    <n v="400"/>
    <m/>
    <m/>
    <m/>
    <s v="P2"/>
    <n v="400"/>
    <s v="Gilles Raymond"/>
    <s v="Tech. Debt"/>
    <n v="0"/>
    <s v="Technical Leverage"/>
    <m/>
    <n v="0"/>
    <x v="3"/>
    <x v="14"/>
    <n v="0"/>
    <s v="BAU"/>
  </r>
  <r>
    <s v="Technical &amp; Functional Debt"/>
    <x v="12"/>
    <s v="Refactoring"/>
    <s v="RHEL8 compliation for binary"/>
    <s v="CHA"/>
    <s v="XS"/>
    <n v="20"/>
    <s v="auto"/>
    <s v="OK"/>
    <n v="5"/>
    <n v="5"/>
    <n v="5"/>
    <n v="5"/>
    <s v="P1"/>
    <n v="20"/>
    <s v="Gilles Raymond"/>
    <s v="Tech. Debt"/>
    <s v="IN_STORE"/>
    <m/>
    <m/>
    <n v="10.26"/>
    <x v="0"/>
    <x v="20"/>
    <n v="0"/>
    <s v="BAU"/>
  </r>
  <r>
    <s v="Technical &amp; Functional Debt"/>
    <x v="12"/>
    <s v="Refactoring"/>
    <s v="RHEL8 compliation for binary"/>
    <s v="TOR"/>
    <s v="XS"/>
    <n v="20"/>
    <s v="auto"/>
    <s v="OK"/>
    <n v="5"/>
    <n v="5"/>
    <n v="5"/>
    <n v="5"/>
    <s v="P1"/>
    <n v="20"/>
    <s v="Gilles Raymond"/>
    <s v="Tech. Debt"/>
    <s v="IN_STORE"/>
    <m/>
    <m/>
    <n v="10.26"/>
    <x v="0"/>
    <x v="20"/>
    <n v="0"/>
    <s v="BAU"/>
  </r>
  <r>
    <s v="Technical &amp; Functional Debt"/>
    <x v="12"/>
    <s v="Robustness"/>
    <s v="Rework Axis payment application logs to allow easy access to production log for developers &amp; project manager"/>
    <m/>
    <s v="XL"/>
    <n v="300"/>
    <s v="auto"/>
    <s v="OK"/>
    <n v="60"/>
    <n v="80"/>
    <n v="80"/>
    <n v="80"/>
    <s v="P1"/>
    <n v="300"/>
    <s v="Gilles Raymond"/>
    <s v="Tech. Debt"/>
    <n v="0"/>
    <s v="Technical Leverage"/>
    <m/>
    <n v="0"/>
    <x v="3"/>
    <x v="14"/>
    <n v="0"/>
    <s v="BAU"/>
  </r>
  <r>
    <s v="Technical &amp; Functional Debt"/>
    <x v="12"/>
    <s v="OnDuty back office"/>
    <s v="Setup onDuty for back office"/>
    <m/>
    <m/>
    <n v="0"/>
    <s v="auto"/>
    <s v="OK"/>
    <m/>
    <m/>
    <m/>
    <m/>
    <s v="P1"/>
    <n v="0"/>
    <s v="Gilles Raymond"/>
    <s v="Tech. Debt"/>
    <n v="0"/>
    <s v="Technical Leverage"/>
    <m/>
    <n v="0"/>
    <x v="3"/>
    <x v="14"/>
    <n v="0"/>
    <s v="BAU"/>
  </r>
  <r>
    <s v="Technical &amp; Functional Debt"/>
    <x v="12"/>
    <s v="Refactoring"/>
    <s v="Re implementation of FPTPV tool (ECR simulator)"/>
    <m/>
    <s v="M"/>
    <n v="100"/>
    <s v="auto"/>
    <s v="OK"/>
    <n v="100"/>
    <m/>
    <m/>
    <m/>
    <s v="P1"/>
    <n v="100"/>
    <s v="Gilles Raymond"/>
    <s v="Tech. Debt"/>
    <n v="0"/>
    <s v="Technical Leverage"/>
    <m/>
    <n v="0"/>
    <x v="3"/>
    <x v="14"/>
    <n v="0"/>
    <s v="BAU"/>
  </r>
  <r>
    <s v="Technical &amp; Functional Debt"/>
    <x v="12"/>
    <m/>
    <s v="KeyMas V3 deployment"/>
    <m/>
    <s v="L"/>
    <n v="200"/>
    <s v="auto"/>
    <s v="OK"/>
    <m/>
    <n v="100"/>
    <n v="100"/>
    <m/>
    <s v="P1"/>
    <n v="200"/>
    <s v="Gilles Raymond"/>
    <s v="Tech. Debt"/>
    <n v="0"/>
    <s v="Technical Leverage"/>
    <m/>
    <n v="0"/>
    <x v="3"/>
    <x v="14"/>
    <n v="0"/>
    <s v="BAU"/>
  </r>
  <r>
    <s v="Technical &amp; Functional Debt"/>
    <x v="12"/>
    <s v="API &amp; data"/>
    <s v="ECR API Next Gen (rework C3API or TIM server)"/>
    <m/>
    <s v="XXL"/>
    <n v="400"/>
    <s v="auto"/>
    <s v="OK"/>
    <n v="50"/>
    <n v="50"/>
    <n v="100"/>
    <n v="200"/>
    <s v="P2"/>
    <n v="400"/>
    <s v="Gilles Raymond"/>
    <s v="Tech. Debt"/>
    <n v="0"/>
    <s v="Technical Leverage"/>
    <m/>
    <n v="0"/>
    <x v="3"/>
    <x v="14"/>
    <n v="0"/>
    <s v="BAU"/>
  </r>
  <r>
    <s v="Technical &amp; Functional Debt"/>
    <x v="12"/>
    <s v="Refactoring"/>
    <s v="PostgresQL 13 migration"/>
    <s v="TOR"/>
    <s v="XS"/>
    <n v="20"/>
    <s v="auto"/>
    <s v="OK"/>
    <n v="5"/>
    <n v="5"/>
    <n v="5"/>
    <n v="5"/>
    <s v="P1"/>
    <n v="20"/>
    <s v="Gilles Raymond"/>
    <s v="Tech. Debt"/>
    <s v="IN_STORE"/>
    <m/>
    <m/>
    <n v="10.26"/>
    <x v="0"/>
    <x v="20"/>
    <n v="0"/>
    <s v="BAU"/>
  </r>
  <r>
    <s v="Technical &amp; Functional Debt"/>
    <x v="12"/>
    <s v="Refactoring"/>
    <s v="PostgresQL 13 migration"/>
    <s v="CHA"/>
    <s v="XS"/>
    <n v="20"/>
    <s v="auto"/>
    <s v="OK"/>
    <n v="5"/>
    <n v="5"/>
    <n v="5"/>
    <n v="5"/>
    <s v="P1"/>
    <n v="20"/>
    <s v="Gilles Raymond"/>
    <s v="Tech. Debt"/>
    <s v="IN_STORE"/>
    <m/>
    <m/>
    <n v="10.26"/>
    <x v="0"/>
    <x v="20"/>
    <n v="0"/>
    <s v="BAU"/>
  </r>
  <r>
    <s v="Technical &amp; Functional Debt"/>
    <x v="12"/>
    <s v="Refactoring"/>
    <s v="integrate a service discovery middleware for backoffice micro services"/>
    <s v="TOR"/>
    <s v="M"/>
    <n v="100"/>
    <s v="auto"/>
    <s v="OK"/>
    <n v="25"/>
    <n v="25"/>
    <n v="25"/>
    <n v="25"/>
    <s v="P1"/>
    <n v="100"/>
    <s v="Gilles Raymond"/>
    <s v="Tech. Debt"/>
    <s v="IN_STORE"/>
    <m/>
    <m/>
    <n v="51.3"/>
    <x v="0"/>
    <x v="20"/>
    <n v="0"/>
    <s v="BAU"/>
  </r>
  <r>
    <s v="Technical &amp; Functional Debt"/>
    <x v="12"/>
    <s v="Robustness"/>
    <s v="Bench platform maintenance + adding reporting"/>
    <m/>
    <s v="S"/>
    <n v="50"/>
    <s v="auto"/>
    <s v="OK"/>
    <n v="14"/>
    <n v="12"/>
    <n v="12"/>
    <n v="12"/>
    <s v="P1"/>
    <n v="50"/>
    <s v="Gilles Raymond"/>
    <s v="Tech. Debt"/>
    <n v="0"/>
    <s v="Technical Leverage"/>
    <m/>
    <n v="0"/>
    <x v="3"/>
    <x v="14"/>
    <n v="0"/>
    <s v="BAU"/>
  </r>
  <r>
    <s v="Technical &amp; Functional Debt"/>
    <x v="12"/>
    <s v="Finalize ePortal V6 [2] "/>
    <s v="ONBO (provisioning Next Gen) integration in ePortal"/>
    <s v="CHA"/>
    <s v="M"/>
    <n v="100"/>
    <s v="auto"/>
    <s v="OK"/>
    <n v="25"/>
    <n v="25"/>
    <n v="25"/>
    <n v="25"/>
    <s v="P1"/>
    <n v="100"/>
    <s v="Gilles Raymond"/>
    <s v="Tech. Debt"/>
    <s v="IN_STORE"/>
    <m/>
    <m/>
    <n v="51.3"/>
    <x v="0"/>
    <x v="20"/>
    <n v="0"/>
    <s v="BAU"/>
  </r>
  <r>
    <s v="Technical &amp; Functional Debt"/>
    <x v="12"/>
    <s v="Refactoring"/>
    <s v="Integrate ePortal with I-AM shared services"/>
    <s v="CHA"/>
    <s v="L"/>
    <n v="200"/>
    <s v="auto"/>
    <s v="OK"/>
    <n v="50"/>
    <n v="50"/>
    <n v="50"/>
    <n v="50"/>
    <s v="P1"/>
    <n v="200"/>
    <s v="Gilles Raymond"/>
    <s v="Tech. Debt"/>
    <s v="IN_STORE"/>
    <m/>
    <m/>
    <n v="102.6"/>
    <x v="0"/>
    <x v="20"/>
    <n v="0"/>
    <s v="BAU"/>
  </r>
  <r>
    <s v="Technical &amp; Functional Debt"/>
    <x v="12"/>
    <s v="Refactoring"/>
    <s v="Backoffice technical stack update : Java + Angular + ES …"/>
    <s v="TOR"/>
    <s v="M"/>
    <n v="150"/>
    <s v="override"/>
    <s v="OK"/>
    <n v="37"/>
    <n v="37"/>
    <n v="37"/>
    <n v="39"/>
    <s v="P1"/>
    <n v="150"/>
    <s v="Gilles Raymond"/>
    <s v="Tech. Debt"/>
    <s v="IN_STORE"/>
    <m/>
    <m/>
    <n v="76.95"/>
    <x v="0"/>
    <x v="20"/>
    <n v="0"/>
    <s v="BAU"/>
  </r>
  <r>
    <s v="Technical &amp; Functional Debt"/>
    <x v="12"/>
    <s v="Refactoring"/>
    <s v="Backoffice technical stack update : Java + Angular + ES …"/>
    <s v="CHA"/>
    <s v="M"/>
    <n v="150"/>
    <s v="override"/>
    <s v="OK"/>
    <n v="25"/>
    <n v="25"/>
    <n v="50"/>
    <n v="50"/>
    <s v="P1"/>
    <n v="150"/>
    <s v="Gilles Raymond"/>
    <s v="Tech. Debt"/>
    <s v="IN_STORE"/>
    <m/>
    <m/>
    <n v="76.95"/>
    <x v="0"/>
    <x v="20"/>
    <n v="0"/>
    <s v="BAU"/>
  </r>
  <r>
    <s v="Verticals - Parking/EV Charging / Vending Self/2-4-5000"/>
    <x v="99"/>
    <s v="[Self-Service] Support Pilots"/>
    <s v="Project team / Customer supports"/>
    <s v="AFVP"/>
    <s v="M"/>
    <n v="100"/>
    <s v="auto"/>
    <s v="OK"/>
    <n v="25"/>
    <n v="25"/>
    <n v="25"/>
    <n v="25"/>
    <s v="P1"/>
    <n v="100"/>
    <s v="Thierry Fortune"/>
    <s v="Product"/>
    <s v="IN_STORE"/>
    <m/>
    <m/>
    <n v="51.3"/>
    <x v="0"/>
    <x v="1"/>
    <n v="0"/>
    <s v="BAU"/>
  </r>
  <r>
    <s v="Verticals - Parking/EV Charging / Vending Self/2-4-5000"/>
    <x v="99"/>
    <s v="[Self-Service] Tetra unattended terminals with WL Blue &amp; Red certifications for Europe Market : Pay-on-Foot, Vending, EV Charging, Parking use cases"/>
    <s v="WL Blue &amp; Red for Unattended - SELF/2-4-5-7-8000"/>
    <s v="AFVP"/>
    <s v="M"/>
    <n v="100"/>
    <s v="auto"/>
    <s v="OK"/>
    <n v="25"/>
    <n v="25"/>
    <n v="25"/>
    <n v="25"/>
    <s v="P1"/>
    <n v="100"/>
    <s v="Thierry Fortune"/>
    <s v="Product"/>
    <s v="IN_STORE"/>
    <m/>
    <s v="Partie AFAQ included in UNI21B06-01B"/>
    <n v="51.3"/>
    <x v="0"/>
    <x v="1"/>
    <n v="0"/>
    <s v="BAU"/>
  </r>
  <r>
    <s v="Verticals - Parking/EV Charging / Vending Self/2-4-5000"/>
    <x v="99"/>
    <s v="[Vending] Pago bancomat scheme rule implementation for Vending"/>
    <s v="Pago Bancomat for vending"/>
    <s v="AFVP"/>
    <s v="M"/>
    <n v="100"/>
    <s v="auto"/>
    <s v="OK"/>
    <m/>
    <n v="25"/>
    <n v="50"/>
    <n v="25"/>
    <s v="P1"/>
    <n v="100"/>
    <s v="Thierry Fortune"/>
    <s v="Product"/>
    <s v="IN_STORE"/>
    <m/>
    <s v="Voir avec Maria ou Fadila"/>
    <n v="51.3"/>
    <x v="0"/>
    <x v="1"/>
    <n v="0"/>
    <s v="BAU"/>
  </r>
  <r>
    <s v="Verticals - Parking/EV Charging / Vending Self/2-4-5000"/>
    <x v="99"/>
    <s v="[Pay On Foot] Pago Bancomat in Pay on Foot with SELF/2-4-5-7-8000"/>
    <s v="Pago Bancomat for Pay On Foot use case"/>
    <s v="AFVP"/>
    <s v="S"/>
    <n v="50"/>
    <s v="auto"/>
    <s v="OK"/>
    <m/>
    <n v="25"/>
    <n v="25"/>
    <m/>
    <s v="P1"/>
    <n v="50"/>
    <s v="Thierry Fortune"/>
    <s v="Product"/>
    <s v="IN_STORE"/>
    <m/>
    <m/>
    <n v="25.65"/>
    <x v="0"/>
    <x v="1"/>
    <n v="0"/>
    <s v="BAU"/>
  </r>
  <r>
    <s v="Verticals - Parking/EV Charging / Vending Self/2-4-5000"/>
    <x v="99"/>
    <s v="[Self-Service] AMEX with SELF/2-4-5-7&amp;8000  for EV Charging &amp; Parking "/>
    <s v="AMEX in EV Charging, parking &amp; Pay On foot"/>
    <s v="AFVP"/>
    <s v="S"/>
    <n v="50"/>
    <s v="auto"/>
    <s v="OK"/>
    <n v="25"/>
    <n v="25"/>
    <m/>
    <m/>
    <s v="P1"/>
    <n v="50"/>
    <s v="Thierry Fortune"/>
    <s v="Product"/>
    <s v="IN_STORE"/>
    <m/>
    <m/>
    <n v="25.65"/>
    <x v="0"/>
    <x v="1"/>
    <n v="0"/>
    <s v="BAU"/>
  </r>
  <r>
    <s v="Verticals - Parking/EV Charging / Vending Self/2-4-5000"/>
    <x v="99"/>
    <s v="[Self-Service] Self/2-5000 for partial sight people (end of CPA/MAP &amp; EMV/SCC ; start AMEX)"/>
    <s v="SELF/2-5000 for partial sight people"/>
    <s v="AFVP"/>
    <s v="S"/>
    <n v="50"/>
    <s v="auto"/>
    <s v="OK"/>
    <n v="25"/>
    <n v="25"/>
    <m/>
    <m/>
    <s v="P1"/>
    <n v="50"/>
    <s v="Thierry Fortune"/>
    <s v="Product"/>
    <s v="IN_STORE"/>
    <m/>
    <m/>
    <n v="25.65"/>
    <x v="0"/>
    <x v="1"/>
    <n v="0"/>
    <s v="BAU"/>
  </r>
  <r>
    <s v="Verticals - Parking/EV Charging / Vending Self/2-4-5000"/>
    <x v="99"/>
    <s v="[Self-Service] Tetra unattended terminals 'Axis' certified with RedSys : Pay-on-Foot, Vending use cases"/>
    <s v="SELF/2-4-5000 &amp; Self/7-8000 RedSys certification - Support squad AFM &amp; QA_AFAQ"/>
    <s v="AFVP"/>
    <s v="S"/>
    <n v="50"/>
    <s v="auto"/>
    <s v="OK"/>
    <m/>
    <n v="25"/>
    <n v="25"/>
    <m/>
    <s v="P1"/>
    <n v="50"/>
    <s v="Thierry Fortune"/>
    <s v="Product"/>
    <s v="IN_STORE"/>
    <m/>
    <m/>
    <n v="25.65"/>
    <x v="0"/>
    <x v="1"/>
    <n v="0"/>
    <s v="BAU"/>
  </r>
  <r>
    <s v="Verticals - Parking/EV Charging / Vending Self/2-4-5000"/>
    <x v="99"/>
    <s v="[Vending] Support of 3rd part applications (like Luxeo)"/>
    <m/>
    <s v="AFVP"/>
    <s v="S"/>
    <n v="50"/>
    <s v="auto"/>
    <s v="OK"/>
    <n v="15"/>
    <n v="15"/>
    <n v="20"/>
    <m/>
    <s v="P1"/>
    <n v="50"/>
    <s v="Thierry Fortune"/>
    <s v="Product"/>
    <s v="IN_STORE"/>
    <m/>
    <m/>
    <n v="25.65"/>
    <x v="0"/>
    <x v="1"/>
    <n v="0"/>
    <s v="BAU"/>
  </r>
  <r>
    <s v="Verticals - Parking/EV Charging / Vending Self/2-4-5000"/>
    <x v="99"/>
    <s v="[Self-Service] Introduction of SELF/7-8000 FR and Europe (including MDBv4.2)"/>
    <s v="SELF/7-8000 Package (FR &amp; CPA/MAP)"/>
    <s v="AFVP"/>
    <s v="XS"/>
    <n v="20"/>
    <s v="auto"/>
    <s v="OK"/>
    <n v="20"/>
    <m/>
    <m/>
    <m/>
    <s v="P1"/>
    <n v="20"/>
    <s v="Thierry Fortune"/>
    <s v="Product"/>
    <s v="IN_STORE"/>
    <m/>
    <m/>
    <n v="10.26"/>
    <x v="0"/>
    <x v="1"/>
    <n v="0"/>
    <s v="BAU"/>
  </r>
  <r>
    <s v="Verticals - Parking/EV Charging / Vending Self/2-4-5000"/>
    <x v="99"/>
    <s v="[Vending] Pre-autorisation implementation for vending MCC - CPA/MAP"/>
    <s v="pre-autho in Vending - CPA/MAP"/>
    <s v="AFVP"/>
    <s v="XS"/>
    <n v="20"/>
    <s v="auto"/>
    <s v="OK"/>
    <n v="20"/>
    <m/>
    <m/>
    <m/>
    <s v="P1"/>
    <n v="20"/>
    <s v="Thierry Fortune"/>
    <s v="Product"/>
    <s v="IN_STORE"/>
    <m/>
    <m/>
    <n v="10.26"/>
    <x v="0"/>
    <x v="1"/>
    <n v="0"/>
    <s v="BAU"/>
  </r>
  <r>
    <s v="Verticals - Parking/EV Charging / Vending Self/2-4-5000"/>
    <x v="99"/>
    <s v="[Vending][EV Charging] ECR interaction with Camera-SELF/2-4-5000"/>
    <s v="ECR interaction with Camera in SELF - EVC"/>
    <s v="AFVP"/>
    <s v="XS"/>
    <n v="20"/>
    <s v="auto"/>
    <s v="OK"/>
    <n v="20"/>
    <m/>
    <m/>
    <m/>
    <s v="P1"/>
    <n v="20"/>
    <s v="Thierry Fortune"/>
    <s v="Product"/>
    <s v="IN_STORE"/>
    <m/>
    <m/>
    <n v="10.26"/>
    <x v="0"/>
    <x v="1"/>
    <n v="0"/>
    <s v="BAU"/>
  </r>
  <r>
    <s v="Verticals - Transportation / OP2GO One FR"/>
    <x v="303"/>
    <s v="[Transport] OP2GO One solution FR - Open loop + Close loop card acceptance- FR-SSC"/>
    <s v="OPEN for both open &amp; close loop card -FR"/>
    <s v="AFVP"/>
    <s v="XS"/>
    <n v="20"/>
    <s v="auto"/>
    <s v="OK"/>
    <n v="20"/>
    <m/>
    <m/>
    <m/>
    <s v="P1"/>
    <n v="20"/>
    <s v="Thierry Fortune"/>
    <s v="Product"/>
    <s v="IN_STORE"/>
    <m/>
    <m/>
    <n v="10.26"/>
    <x v="0"/>
    <x v="1"/>
    <n v="0"/>
    <s v="BAU"/>
  </r>
  <r>
    <s v="Petrol / Acceptance of new international issuers on CSACT"/>
    <x v="212"/>
    <s v="[2021's target] Intrapresa cards acceptance"/>
    <m/>
    <s v="CSACT Rdmp"/>
    <s v="S"/>
    <n v="50"/>
    <s v="auto"/>
    <s v="OK"/>
    <m/>
    <m/>
    <n v="50"/>
    <m/>
    <s v="P4"/>
    <n v="50"/>
    <s v="Ismael Jaafar"/>
    <s v="Product"/>
    <s v="IN_STORE"/>
    <m/>
    <s v="Confirmed by Tomas F. (210903) --&gt; to remove"/>
    <n v="25.65"/>
    <x v="1"/>
    <x v="18"/>
    <n v="0"/>
    <s v="BAU"/>
  </r>
  <r>
    <s v="Verticals - Transportation / OP2GO One FR"/>
    <x v="303"/>
    <s v="[Transport] Provide support to CSACT Transport squad"/>
    <m/>
    <s v="AFVP"/>
    <s v="XS"/>
    <n v="20"/>
    <s v="auto"/>
    <s v="OK"/>
    <n v="10"/>
    <n v="10"/>
    <m/>
    <m/>
    <s v="P1"/>
    <n v="20"/>
    <s v="Thierry Fortune"/>
    <s v="Product"/>
    <s v="IN_STORE"/>
    <m/>
    <m/>
    <n v="10.26"/>
    <x v="0"/>
    <x v="1"/>
    <n v="0"/>
    <s v="BAU"/>
  </r>
  <r>
    <s v="Verticals - Parking/EV Charging / Vending Self/2-4-5000"/>
    <x v="99"/>
    <s v="[Vending] Implementation MDB v4.3 protocol (selection first &amp; credit first) in SELF/2-4-5-7-8000"/>
    <s v="MDB 4.3 implementation "/>
    <s v="AFVP"/>
    <s v="L"/>
    <n v="200"/>
    <s v="auto"/>
    <s v="OK"/>
    <m/>
    <n v="100"/>
    <n v="50"/>
    <n v="50"/>
    <s v="P3"/>
    <n v="200"/>
    <s v="Thierry Fortune"/>
    <s v="Product"/>
    <s v="IN_STORE"/>
    <m/>
    <s v="Don't know the estimated workload --&gt; Voir avec Elodie  &amp;Regis // Peut-etre à splitter sur 2022-23 (action Chloé)"/>
    <n v="102.6"/>
    <x v="1"/>
    <x v="1"/>
    <n v="0"/>
    <s v="BAU"/>
  </r>
  <r>
    <s v="Verticals - Transportation / OP2GO One FR"/>
    <x v="303"/>
    <s v="[Transport] European solution to design for Highway (Open/1-2500, freeflow, acquiring WL or other)"/>
    <s v="Pre-requisit : Offer Manager EU market study"/>
    <s v="AFVP"/>
    <s v="L"/>
    <n v="200"/>
    <s v="auto"/>
    <s v="OK"/>
    <n v="50"/>
    <n v="50"/>
    <n v="50"/>
    <n v="50"/>
    <s v="P3"/>
    <n v="200"/>
    <s v="Thierry Fortune"/>
    <s v="Product"/>
    <s v="IN_STORE"/>
    <m/>
    <m/>
    <n v="102.6"/>
    <x v="1"/>
    <x v="1"/>
    <n v="0"/>
    <s v="BAU"/>
  </r>
  <r>
    <s v="Verticals - Parking/EV Charging / Vending Self/2-4-5000"/>
    <x v="99"/>
    <s v="[Self-Service] Pre-autorisation completion with WebService WL Blue &amp; Red "/>
    <s v="pre-auto' completion with webservice"/>
    <s v="AFVP"/>
    <s v="M"/>
    <n v="100"/>
    <s v="auto"/>
    <s v="OK"/>
    <m/>
    <n v="50"/>
    <n v="50"/>
    <m/>
    <s v="P3"/>
    <n v="100"/>
    <s v="Thierry Fortune"/>
    <s v="Product"/>
    <s v="IN_STORE"/>
    <m/>
    <s v="Not sure AFVP is the relevant squad to handle this."/>
    <n v="51.3"/>
    <x v="1"/>
    <x v="1"/>
    <n v="0"/>
    <s v="BAU"/>
  </r>
  <r>
    <s v="Petrol / CSACT evolutions for mid-customers"/>
    <x v="209"/>
    <s v="Sensitive data exchange improvement (ECR-Terminal [K1 command])"/>
    <s v="Private cards improvement"/>
    <s v="CSACT Rdmp"/>
    <s v="XS"/>
    <n v="20"/>
    <s v="auto"/>
    <s v="OK"/>
    <m/>
    <n v="10"/>
    <n v="10"/>
    <m/>
    <s v="P1"/>
    <n v="20"/>
    <s v="Ismael Jaafar"/>
    <s v="Product"/>
    <s v="IN_STORE"/>
    <m/>
    <m/>
    <n v="10.26"/>
    <x v="0"/>
    <x v="18"/>
    <n v="0"/>
    <s v="BAU"/>
  </r>
  <r>
    <s v="Petrol / CSACT evolutions for mid-customers"/>
    <x v="209"/>
    <s v="Offline for fuel cards"/>
    <m/>
    <s v="CSACT Rdmp"/>
    <s v="XXL"/>
    <n v="400"/>
    <s v="auto"/>
    <s v="OK"/>
    <m/>
    <n v="125"/>
    <n v="125"/>
    <n v="150"/>
    <s v="P3"/>
    <n v="400"/>
    <s v="Ismael Jaafar"/>
    <s v="Product"/>
    <s v="IN_STORE"/>
    <m/>
    <m/>
    <n v="205.2"/>
    <x v="1"/>
    <x v="18"/>
    <n v="0"/>
    <s v="BAU"/>
  </r>
  <r>
    <s v="Petrol / CSACT evolutions for mid-customers"/>
    <x v="209"/>
    <s v="IFSF POS TO FEP protocol implementation"/>
    <m/>
    <s v="CSACT Rdmp"/>
    <s v="M"/>
    <n v="100"/>
    <s v="auto"/>
    <s v="OK"/>
    <m/>
    <n v="30"/>
    <n v="30"/>
    <n v="40"/>
    <s v="P3"/>
    <n v="100"/>
    <s v="Ismael Jaafar"/>
    <s v="Product"/>
    <s v="IN_STORE"/>
    <m/>
    <s v="Wait for Tomas feedback (discussion with Mirko)"/>
    <n v="51.3"/>
    <x v="1"/>
    <x v="18"/>
    <n v="0"/>
    <s v="BAU"/>
  </r>
  <r>
    <s v="Petrol / CSACT evolutions for mid-customers"/>
    <x v="209"/>
    <s v="[2021's target]  H24/CSACT for banking card - Offline processing [Phase 2]"/>
    <m/>
    <s v="CSACT Rdmp"/>
    <s v="L"/>
    <n v="200"/>
    <s v="auto"/>
    <s v="OK"/>
    <m/>
    <m/>
    <n v="100"/>
    <n v="100"/>
    <s v="P3"/>
    <n v="200"/>
    <s v="Ismael Jaafar"/>
    <s v="Product"/>
    <s v="IN_STORE"/>
    <m/>
    <m/>
    <n v="102.6"/>
    <x v="1"/>
    <x v="18"/>
    <n v="0"/>
    <s v="BAU"/>
  </r>
  <r>
    <s v="Verticals - Parking/EV Charging / Vending Self/2-4-5000"/>
    <x v="99"/>
    <s v="[Vending] Meal Voucher implementation for Vending - IT / Pago bancomat - with/without MDB"/>
    <s v="Meal Voucher in Vending - IT - Pago Bancomat"/>
    <s v="AFVP"/>
    <s v="M"/>
    <n v="100"/>
    <s v="auto"/>
    <s v="OK"/>
    <n v="25"/>
    <n v="25"/>
    <n v="25"/>
    <n v="25"/>
    <s v="P3"/>
    <n v="100"/>
    <s v="Thierry Fortune"/>
    <s v="Product"/>
    <s v="IN_STORE"/>
    <m/>
    <m/>
    <n v="51.3"/>
    <x v="1"/>
    <x v="1"/>
    <n v="0"/>
    <s v="BAU"/>
  </r>
  <r>
    <s v="Verticals - Parking/EV Charging / Vending Self/2-4-5000"/>
    <x v="99"/>
    <s v="[EV Charging] Pago Bancomat in EV Charging with SELF/2-4-5000"/>
    <s v="Pago Bancomat in EV Charging use case"/>
    <s v="AFVP"/>
    <s v="S"/>
    <n v="50"/>
    <s v="auto"/>
    <s v="OK"/>
    <n v="25"/>
    <n v="25"/>
    <m/>
    <m/>
    <s v="P3"/>
    <n v="50"/>
    <s v="Thierry Fortune"/>
    <s v="Product"/>
    <s v="IN_STORE"/>
    <m/>
    <m/>
    <n v="25.65"/>
    <x v="1"/>
    <x v="1"/>
    <n v="0"/>
    <s v="BAU"/>
  </r>
  <r>
    <s v="Verticals - Parking/EV Charging / Vending Self/2-4-5000"/>
    <x v="99"/>
    <s v="[Parking] Pago Bancomat in Parking with SELF/2-4-5-7-8000"/>
    <s v="Pago Bancomat for Parking use case"/>
    <s v="AFVP"/>
    <s v="S"/>
    <n v="50"/>
    <s v="auto"/>
    <s v="OK"/>
    <m/>
    <n v="50"/>
    <m/>
    <m/>
    <s v="P3"/>
    <n v="50"/>
    <s v="Thierry Fortune"/>
    <s v="Product"/>
    <s v="IN_STORE"/>
    <m/>
    <m/>
    <n v="25.65"/>
    <x v="1"/>
    <x v="1"/>
    <n v="0"/>
    <s v="BAU"/>
  </r>
  <r>
    <s v="Verticals - Parking/EV Charging / Vending Self/2-4-5000"/>
    <x v="99"/>
    <s v="[Vending] ECR (MDB) interaction with Camera-SELF/2-4-5000"/>
    <s v="ECR (MDB) interaction with Camera in SELF-Vending"/>
    <s v="AFVP"/>
    <s v="S"/>
    <n v="50"/>
    <s v="auto"/>
    <s v="OK"/>
    <n v="50"/>
    <m/>
    <m/>
    <m/>
    <s v="P3"/>
    <n v="50"/>
    <s v="Thierry Fortune"/>
    <s v="Product"/>
    <s v="IN_STORE"/>
    <m/>
    <m/>
    <n v="25.65"/>
    <x v="1"/>
    <x v="1"/>
    <n v="0"/>
    <s v="BAU"/>
  </r>
  <r>
    <s v="Verticals - Parking/EV Charging / Vending Self/2-4-5000"/>
    <x v="99"/>
    <s v="[Vending] Meal Voucher implementation for Vending - FR - with/without MDB"/>
    <s v="Meal Voucher in Vending - FR-CNS/CNX"/>
    <s v="AFVP"/>
    <s v="S"/>
    <n v="50"/>
    <s v="auto"/>
    <s v="OK"/>
    <m/>
    <n v="50"/>
    <m/>
    <m/>
    <s v="P3"/>
    <n v="50"/>
    <s v="Thierry Fortune"/>
    <s v="Product"/>
    <s v="IN_STORE"/>
    <m/>
    <m/>
    <n v="25.65"/>
    <x v="1"/>
    <x v="1"/>
    <n v="0"/>
    <s v="BAU"/>
  </r>
  <r>
    <s v="Verticals - Parking/EV Charging / Vending Self/2-4-5000"/>
    <x v="99"/>
    <s v="[Vending] Pre-autorisation implementation for vending MCC - Amex"/>
    <s v="MDB 4.2 with Amex - pre-autorisation"/>
    <s v="AFVP"/>
    <s v="S"/>
    <n v="50"/>
    <s v="auto"/>
    <s v="OK"/>
    <m/>
    <n v="50"/>
    <m/>
    <m/>
    <s v="P3"/>
    <n v="50"/>
    <s v="Thierry Fortune"/>
    <s v="Product"/>
    <s v="IN_STORE"/>
    <m/>
    <m/>
    <n v="25.65"/>
    <x v="1"/>
    <x v="1"/>
    <n v="0"/>
    <s v="BAU"/>
  </r>
  <r>
    <s v="Verticals - Parking/EV Charging / Vending Self/2-4-5000"/>
    <x v="99"/>
    <s v="[Vending] Re-process in online tx performed in offline &gt; 7 days after capture"/>
    <m/>
    <s v="AFVP"/>
    <s v="S"/>
    <n v="50"/>
    <s v="auto"/>
    <s v="OK"/>
    <m/>
    <m/>
    <n v="25"/>
    <n v="25"/>
    <s v="P3"/>
    <n v="50"/>
    <s v="Thierry Fortune"/>
    <s v="Product"/>
    <s v="IN_STORE"/>
    <m/>
    <m/>
    <n v="25.65"/>
    <x v="1"/>
    <x v="1"/>
    <n v="0"/>
    <s v="BAU"/>
  </r>
  <r>
    <s v="Verticals - Transportation / OP2GO One FR"/>
    <x v="303"/>
    <s v="[Transport] E-Receipt: dedicated webpage to generate token from PAN"/>
    <s v="E-Receipt: token from PAN through webpage"/>
    <s v="AFVP"/>
    <s v="S"/>
    <n v="50"/>
    <s v="auto"/>
    <s v="OK"/>
    <n v="50"/>
    <m/>
    <m/>
    <m/>
    <s v="P3"/>
    <n v="50"/>
    <s v="Thierry Fortune"/>
    <s v="Product"/>
    <s v="IN_STORE"/>
    <m/>
    <s v="Not sure AFVP is the relevant squad to handle this."/>
    <n v="25.65"/>
    <x v="1"/>
    <x v="1"/>
    <n v="0"/>
    <s v="BAU"/>
  </r>
  <r>
    <s v="Verticals - Transportation / OP2GO One FR"/>
    <x v="303"/>
    <s v="[Transport] MPA5.5 Parking SSC –no CVM - E2E test for bridge/Tunnel Only - OPEN/1-2500"/>
    <s v="OPEN/1-2500 for highway bridge/Tunnel - MPA-P 5.5 "/>
    <s v="AFVP"/>
    <s v="S"/>
    <n v="50"/>
    <s v="auto"/>
    <s v="OK"/>
    <n v="50"/>
    <m/>
    <m/>
    <m/>
    <s v="P3"/>
    <n v="50"/>
    <s v="Thierry Fortune"/>
    <s v="Product"/>
    <s v="IN_STORE"/>
    <m/>
    <s v="voir Adrien et Christophe voire AFA"/>
    <n v="25.65"/>
    <x v="1"/>
    <x v="1"/>
    <n v="0"/>
    <s v="BAU"/>
  </r>
  <r>
    <s v="Verticals - Parking/EV Charging / Vending Self/2-4-5000"/>
    <x v="99"/>
    <s v="[Vending] Terminal status recorded (in MDB) and display on e-Portal"/>
    <s v="Terminal to database"/>
    <s v="AFVP"/>
    <s v="XS"/>
    <n v="20"/>
    <s v="auto"/>
    <s v="OK"/>
    <n v="10"/>
    <n v="10"/>
    <m/>
    <m/>
    <s v="P3"/>
    <n v="20"/>
    <s v="Thierry Fortune"/>
    <s v="Product"/>
    <s v="IN_STORE"/>
    <m/>
    <s v="Not sure AFVP is the relevant squad to handle this."/>
    <n v="10.26"/>
    <x v="1"/>
    <x v="1"/>
    <n v="0"/>
    <s v="BAU"/>
  </r>
  <r>
    <s v="Verticals - Parking/EV Charging / Vending Self/2-4-5000"/>
    <x v="99"/>
    <s v="[Vending] Terminal status recorded (in MDB) and display on e-Portal"/>
    <s v="Display on e-Portal"/>
    <s v="AFVP"/>
    <s v="XS"/>
    <n v="20"/>
    <s v="auto"/>
    <n v="-10"/>
    <m/>
    <m/>
    <n v="10"/>
    <n v="20"/>
    <s v="P3"/>
    <n v="30"/>
    <s v="Thierry Fortune"/>
    <s v="Product"/>
    <s v="IN_STORE"/>
    <m/>
    <m/>
    <n v="10.26"/>
    <x v="4"/>
    <x v="1"/>
    <n v="0"/>
    <s v="BAU"/>
  </r>
  <r>
    <s v="Verticals - Transportation / OP2GO One FR"/>
    <x v="303"/>
    <s v="[Transport] OP2GO Basic solution FR - DESK/5000 - Update Bucket"/>
    <s v="Support / Update bucket"/>
    <s v="AFVP"/>
    <s v="XS"/>
    <n v="20"/>
    <s v="auto"/>
    <s v="OK"/>
    <m/>
    <n v="10"/>
    <n v="10"/>
    <m/>
    <s v="P3"/>
    <n v="20"/>
    <s v="Thierry Fortune"/>
    <s v="Product"/>
    <s v="IN_STORE"/>
    <m/>
    <s v="Voir avec Fred &amp; Bertrand"/>
    <n v="10.26"/>
    <x v="1"/>
    <x v="1"/>
    <n v="0"/>
    <s v="BAU"/>
  </r>
  <r>
    <s v="Verticals - Parking/EV Charging / Vending Self/2-4-5000"/>
    <x v="99"/>
    <s v="[Self-Service] CB6 for Unattended terminals"/>
    <s v="CB6 for Unattended terminals"/>
    <s v="AFVP"/>
    <s v="M"/>
    <n v="100"/>
    <s v="auto"/>
    <s v="OK"/>
    <n v="25"/>
    <n v="25"/>
    <n v="25"/>
    <n v="25"/>
    <s v="P4"/>
    <n v="100"/>
    <s v="Thierry Fortune"/>
    <s v="Product"/>
    <s v="IN_STORE"/>
    <m/>
    <s v="AFA cannot start before Q1.23"/>
    <n v="51.3"/>
    <x v="1"/>
    <x v="1"/>
    <n v="0"/>
    <s v="BAU"/>
  </r>
  <r>
    <s v="Technical &amp; Functional Debt"/>
    <x v="12"/>
    <s v="Automated testing improvements"/>
    <m/>
    <s v="Bambora I"/>
    <s v="M"/>
    <n v="100"/>
    <s v="auto"/>
    <s v="OK"/>
    <n v="40"/>
    <n v="30"/>
    <n v="25"/>
    <n v="5"/>
    <s v="P2"/>
    <n v="100"/>
    <s v="Peter Tellram"/>
    <s v="Tech. Debt"/>
    <s v="ECOM"/>
    <m/>
    <m/>
    <n v="51.3"/>
    <x v="0"/>
    <x v="11"/>
    <n v="0"/>
    <s v="BAU"/>
  </r>
  <r>
    <s v="Technical &amp; Functional Debt"/>
    <x v="12"/>
    <s v="Refactoring of core components"/>
    <m/>
    <s v="Bambora I"/>
    <s v="L"/>
    <n v="200"/>
    <s v="auto"/>
    <s v="OK"/>
    <n v="30"/>
    <n v="25"/>
    <n v="40"/>
    <n v="105"/>
    <s v="P1"/>
    <n v="200"/>
    <s v="Peter Tellram"/>
    <s v="Tech. Debt"/>
    <s v="ECOM"/>
    <m/>
    <m/>
    <n v="102.6"/>
    <x v="0"/>
    <x v="11"/>
    <n v="0"/>
    <s v="BAU"/>
  </r>
  <r>
    <s v="Technical &amp; Functional Debt"/>
    <x v="12"/>
    <s v="Bucket for Technical Debt"/>
    <m/>
    <s v="Bambora I"/>
    <s v="XL"/>
    <n v="300"/>
    <s v="auto"/>
    <s v="OK"/>
    <n v="105"/>
    <n v="70"/>
    <n v="40"/>
    <n v="85"/>
    <s v="P1"/>
    <n v="300"/>
    <s v="Peter Tellram"/>
    <s v="Tech. Debt"/>
    <s v="ECOM"/>
    <m/>
    <m/>
    <n v="153.9"/>
    <x v="0"/>
    <x v="11"/>
    <n v="0"/>
    <s v="BAU"/>
  </r>
  <r>
    <s v="Verticals - Parking/EV Charging / Vending Self/2-4-5000"/>
    <x v="99"/>
    <s v="[Self-Service] CPA/MAP- JCB + Diners with Self/2-4-5000 with/without MDB"/>
    <s v="CPA/MAP- JCB + Diners with Self/2-4-5000"/>
    <s v="AFVP"/>
    <s v="M"/>
    <n v="100"/>
    <s v="auto"/>
    <s v="OK"/>
    <m/>
    <m/>
    <n v="50"/>
    <n v="50"/>
    <s v="P4"/>
    <n v="100"/>
    <s v="Thierry Fortune"/>
    <s v="Product"/>
    <s v="IN_STORE"/>
    <m/>
    <m/>
    <n v="51.3"/>
    <x v="1"/>
    <x v="1"/>
    <n v="0"/>
    <s v="BAU"/>
  </r>
  <r>
    <s v="Verticals - Parking/EV Charging / Vending Self/2-4-5000"/>
    <x v="99"/>
    <s v="[Vending] Implement Amex with MDB v4.2 protocol in Tetra unattended terminals"/>
    <s v="MDB 4.2 with Amex-SELF/2-4-5000"/>
    <s v="AFVP"/>
    <s v="M"/>
    <n v="100"/>
    <s v="auto"/>
    <s v="OK"/>
    <n v="50"/>
    <n v="50"/>
    <m/>
    <m/>
    <s v="P4"/>
    <n v="100"/>
    <s v="Thierry Fortune"/>
    <s v="Product"/>
    <s v="IN_STORE"/>
    <m/>
    <m/>
    <n v="51.3"/>
    <x v="1"/>
    <x v="1"/>
    <n v="0"/>
    <s v="BAU"/>
  </r>
  <r>
    <s v="Verticals - Parking/EV Charging / Vending Self/2-4-5000"/>
    <x v="99"/>
    <s v="[Vending] Omnichannel CNP (--&gt; QR code capture by Terminal) to CP (to process payment) use case"/>
    <m/>
    <s v="AFVP"/>
    <s v="M"/>
    <n v="100"/>
    <s v="auto"/>
    <s v="OK"/>
    <n v="25"/>
    <n v="25"/>
    <n v="25"/>
    <n v="25"/>
    <s v="P4"/>
    <n v="100"/>
    <s v="Thierry Fortune"/>
    <s v="Product"/>
    <s v="IN_STORE"/>
    <m/>
    <m/>
    <n v="51.3"/>
    <x v="1"/>
    <x v="1"/>
    <n v="0"/>
    <s v="BAU"/>
  </r>
  <r>
    <s v="Verticals - Parking/EV Charging / Vending Self/2-4-5000"/>
    <x v="99"/>
    <s v="[Vending] Transactions aggregation with WL Red/Blue acquiring"/>
    <s v="Acceptance side (if no tool on acquiring side)"/>
    <s v="AFVP"/>
    <s v="M"/>
    <n v="100"/>
    <s v="auto"/>
    <s v="OK"/>
    <m/>
    <m/>
    <n v="50"/>
    <n v="50"/>
    <s v="P4"/>
    <n v="100"/>
    <s v="Thierry Fortune"/>
    <s v="Product"/>
    <s v="IN_STORE"/>
    <m/>
    <m/>
    <n v="51.3"/>
    <x v="1"/>
    <x v="1"/>
    <n v="0"/>
    <s v="BAU"/>
  </r>
  <r>
    <s v="Verticals - Parking/EV Charging / Vending Self/2-4-5000"/>
    <x v="99"/>
    <s v="[Vending] unattended Tetra terminal for partial sight people - MDBv4.2"/>
    <s v="SELF/2-5000 for partial sight people - MDBv4/2"/>
    <s v="AFVP"/>
    <s v="M"/>
    <n v="100"/>
    <s v="auto"/>
    <s v="OK"/>
    <n v="50"/>
    <n v="50"/>
    <m/>
    <m/>
    <s v="P4"/>
    <n v="100"/>
    <s v="Thierry Fortune"/>
    <s v="Product"/>
    <s v="IN_STORE"/>
    <m/>
    <s v="currently no other solution than enabling/disabling it by defautl"/>
    <n v="51.3"/>
    <x v="1"/>
    <x v="1"/>
    <n v="0"/>
    <s v="BAU"/>
  </r>
  <r>
    <s v="Verticals - Parking/EV Charging / Vending Self/2-4-5000"/>
    <x v="99"/>
    <s v="[Pay On Foot] Alipay&amp;Wechatpay acceptance in Vending - Barcode displayed by terminal"/>
    <s v="APM in Pay On Foot-barcode displayed on PED"/>
    <s v="AFVP"/>
    <s v="S"/>
    <n v="50"/>
    <s v="auto"/>
    <s v="OK"/>
    <n v="50"/>
    <m/>
    <m/>
    <m/>
    <s v="P4"/>
    <n v="50"/>
    <s v="Thierry Fortune"/>
    <s v="Product"/>
    <s v="IN_STORE"/>
    <m/>
    <m/>
    <n v="25.65"/>
    <x v="1"/>
    <x v="1"/>
    <n v="0"/>
    <s v="BAU"/>
  </r>
  <r>
    <s v="Verticals - Parking/EV Charging / Vending Self/2-4-5000"/>
    <x v="99"/>
    <s v="[Vending] Alipay&amp;Wechatpay acceptance in Vending - Barcode displayed by terminal"/>
    <s v="APM in vending - barcode displayed by PED"/>
    <s v="AFVP"/>
    <s v="S"/>
    <n v="50"/>
    <s v="auto"/>
    <s v="OK"/>
    <n v="50"/>
    <m/>
    <m/>
    <m/>
    <s v="P4"/>
    <n v="50"/>
    <s v="Thierry Fortune"/>
    <s v="Product"/>
    <s v="IN_STORE"/>
    <m/>
    <m/>
    <n v="25.65"/>
    <x v="1"/>
    <x v="1"/>
    <n v="0"/>
    <s v="BAU"/>
  </r>
  <r>
    <s v="Verticals - Parking/EV Charging / Vending Self/2-4-5000"/>
    <x v="99"/>
    <s v="[Vending] Smartrouting for local scheme (Pago/CB) and internationnal schemes"/>
    <m/>
    <s v="AFVP"/>
    <s v="XS"/>
    <n v="20"/>
    <s v="auto"/>
    <s v="OK"/>
    <n v="5"/>
    <n v="5"/>
    <n v="5"/>
    <n v="5"/>
    <s v="P4"/>
    <n v="20"/>
    <s v="Thierry Fortune"/>
    <s v="Product"/>
    <s v="IN_STORE"/>
    <m/>
    <m/>
    <n v="10.26"/>
    <x v="1"/>
    <x v="1"/>
    <n v="0"/>
    <s v="BAU"/>
  </r>
  <r>
    <s v="Verticals - Parking/EV Charging / Vending Self/2-4-5000"/>
    <x v="99"/>
    <s v="[Self-Service] VAS Charity-Microdon (FR), Pennies (UK),Worldcoo (SP) - Self/2-4-5000 with/without MDB"/>
    <s v="VAS Charity with SELF/2-4-5000"/>
    <s v="AFVP"/>
    <s v="L"/>
    <n v="200"/>
    <s v="auto"/>
    <s v="OK"/>
    <m/>
    <m/>
    <n v="100"/>
    <n v="100"/>
    <s v="P5"/>
    <n v="200"/>
    <s v="Thierry Fortune"/>
    <s v="Product"/>
    <s v="IN_STORE"/>
    <m/>
    <m/>
    <n v="102.6"/>
    <x v="1"/>
    <x v="1"/>
    <n v="0"/>
    <s v="BAU"/>
  </r>
  <r>
    <s v="Verticals - Parking/EV Charging / Vending Self/2-4-5000"/>
    <x v="99"/>
    <s v="[Vending] Connection N&amp;TS to Acq. Hub"/>
    <m/>
    <s v="AFVP"/>
    <s v="M"/>
    <n v="100"/>
    <s v="auto"/>
    <s v="OK"/>
    <n v="25"/>
    <n v="25"/>
    <n v="25"/>
    <n v="25"/>
    <s v="P5"/>
    <n v="100"/>
    <s v="Thierry Fortune"/>
    <s v="Product"/>
    <s v="IN_STORE"/>
    <m/>
    <s v="Finally, not requested by G2M (Nicolas D.)"/>
    <n v="51.3"/>
    <x v="1"/>
    <x v="1"/>
    <n v="0"/>
    <s v="BAU"/>
  </r>
  <r>
    <s v="Verticals - Parking/EV Charging / Vending Self/2-4-5000"/>
    <x v="99"/>
    <s v="[Pay On Foot] Alipay&amp;Wechatpay acceptance in Vending - Barcode captured by terminal"/>
    <s v="APM in Pay On Foot-barcode captured by PED"/>
    <s v="AFVP"/>
    <s v="S"/>
    <n v="50"/>
    <s v="auto"/>
    <s v="OK"/>
    <n v="50"/>
    <m/>
    <m/>
    <m/>
    <s v="P5"/>
    <n v="50"/>
    <s v="Thierry Fortune"/>
    <s v="Product"/>
    <s v="IN_STORE"/>
    <m/>
    <m/>
    <n v="25.65"/>
    <x v="1"/>
    <x v="1"/>
    <n v="0"/>
    <s v="BAU"/>
  </r>
  <r>
    <s v="Verticals - Parking/EV Charging / Vending Self/2-4-5000"/>
    <x v="99"/>
    <s v="[Pay On Foot] DCC in SELF/2-4-5000"/>
    <s v="DCC in SELF/2-4-5000"/>
    <s v="AFVP"/>
    <s v="S"/>
    <n v="50"/>
    <s v="auto"/>
    <s v="OK"/>
    <m/>
    <m/>
    <n v="50"/>
    <m/>
    <s v="P5"/>
    <n v="50"/>
    <s v="Thierry Fortune"/>
    <s v="Product"/>
    <s v="IN_STORE"/>
    <m/>
    <m/>
    <n v="25.65"/>
    <x v="1"/>
    <x v="1"/>
    <n v="0"/>
    <s v="BAU"/>
  </r>
  <r>
    <s v="Verticals - Parking/EV Charging / Vending Self/2-4-5000"/>
    <x v="99"/>
    <s v="[Self-Service] Store &amp; Forward deferred autorisation solution WL Blue &amp;Red"/>
    <s v="deferred autorisation solution - WL Blue&amp;Red"/>
    <s v="AFVP"/>
    <s v="S"/>
    <n v="50"/>
    <s v="auto"/>
    <s v="OK"/>
    <m/>
    <m/>
    <n v="50"/>
    <m/>
    <s v="P5"/>
    <n v="50"/>
    <s v="Thierry Fortune"/>
    <s v="Product"/>
    <s v="IN_STORE"/>
    <m/>
    <m/>
    <n v="25.65"/>
    <x v="1"/>
    <x v="1"/>
    <n v="0"/>
    <s v="BAU"/>
  </r>
  <r>
    <s v="Verticals - Parking/EV Charging / Vending Self/2-4-5000"/>
    <x v="99"/>
    <s v="[Vending] Alipay&amp;Wechatpay acceptance in Vending - Barcode captured by terminal"/>
    <s v="APM in vending - barcode captured by PED"/>
    <s v="AFVP"/>
    <s v="S"/>
    <n v="50"/>
    <s v="auto"/>
    <s v="OK"/>
    <n v="50"/>
    <m/>
    <m/>
    <m/>
    <s v="P5"/>
    <n v="50"/>
    <s v="Thierry Fortune"/>
    <s v="Product"/>
    <s v="IN_STORE"/>
    <m/>
    <m/>
    <n v="25.65"/>
    <x v="1"/>
    <x v="1"/>
    <n v="0"/>
    <s v="BAU"/>
  </r>
  <r>
    <s v="Verticals - Parking/EV Charging / Vending Self/2-4-5000"/>
    <x v="99"/>
    <s v="[Vending] VAS Tap&amp;Connect for Vending"/>
    <s v="VAS Tap&amp;Connect for Vending"/>
    <s v="AFVP"/>
    <s v="S"/>
    <n v="50"/>
    <s v="auto"/>
    <s v="OK"/>
    <m/>
    <m/>
    <m/>
    <n v="50"/>
    <s v="P5"/>
    <n v="50"/>
    <s v="Thierry Fortune"/>
    <s v="Product"/>
    <s v="IN_STORE"/>
    <m/>
    <m/>
    <n v="25.65"/>
    <x v="1"/>
    <x v="1"/>
    <n v="0"/>
    <s v="BAU"/>
  </r>
  <r>
    <s v="Verticals - Parking/EV Charging / Vending Self/2-4-5000"/>
    <x v="99"/>
    <s v="[Vending] Smartrouting for local scheme (Pago = N&amp;TS) and internationnal schemes (WL Red/Blue)"/>
    <m/>
    <s v="AFVP"/>
    <s v="XS"/>
    <n v="20"/>
    <s v="auto"/>
    <s v="OK"/>
    <n v="10"/>
    <n v="10"/>
    <m/>
    <m/>
    <s v="P5"/>
    <n v="20"/>
    <s v="Thierry Fortune"/>
    <s v="Product"/>
    <s v="IN_STORE"/>
    <m/>
    <s v="Finally, not requested by G2M (Nicolas D.)"/>
    <n v="10.26"/>
    <x v="1"/>
    <x v="1"/>
    <n v="0"/>
    <s v="BAU"/>
  </r>
  <r>
    <s v="Roadmap / Android device"/>
    <x v="279"/>
    <s v="Android DX/EX8000 support on nexo WL acquiring"/>
    <s v="MVP 1 Android squad "/>
    <s v="ANDROID"/>
    <s v="XXXL"/>
    <n v="1660"/>
    <s v="override"/>
    <s v="OK"/>
    <n v="140"/>
    <n v="230"/>
    <n v="230"/>
    <n v="1060"/>
    <s v="P1"/>
    <n v="1660"/>
    <s v="Sylvain Marion"/>
    <s v="Product"/>
    <s v="IN_STORE"/>
    <s v="Simplify Experience"/>
    <m/>
    <n v="851.58"/>
    <x v="0"/>
    <x v="1"/>
    <n v="0"/>
    <s v="BAU"/>
  </r>
  <r>
    <s v="Technical Debt / Global Infra"/>
    <x v="29"/>
    <s v="Source code &amp; CI migration"/>
    <s v="ANDROID"/>
    <s v="ANDROID"/>
    <s v="XS"/>
    <n v="20"/>
    <s v="auto"/>
    <s v="OK"/>
    <n v="20"/>
    <m/>
    <m/>
    <m/>
    <s v="P1"/>
    <n v="20"/>
    <s v="Gilles Raymond"/>
    <s v="Tech. Debt"/>
    <s v="IN_STORE"/>
    <s v="Technical Leverage"/>
    <m/>
    <n v="10.26"/>
    <x v="0"/>
    <x v="1"/>
    <n v="0"/>
    <s v="BAU"/>
  </r>
  <r>
    <s v="Technical Debt / Global Infra"/>
    <x v="29"/>
    <s v="Training of teams with new way of working"/>
    <s v="ANDROID"/>
    <s v="ANDROID"/>
    <s v="XS"/>
    <n v="20"/>
    <s v="auto"/>
    <s v="OK"/>
    <n v="20"/>
    <m/>
    <m/>
    <m/>
    <s v="P1"/>
    <n v="20"/>
    <s v="Gilles Raymond"/>
    <s v="Tech. Debt"/>
    <s v="IN_STORE"/>
    <s v="Technical Leverage"/>
    <m/>
    <n v="10.26"/>
    <x v="0"/>
    <x v="1"/>
    <n v="0"/>
    <s v="BAU"/>
  </r>
  <r>
    <s v="Regulation / France FRv6"/>
    <x v="130"/>
    <s v="FRv6 plan in-store (Axis, AH) to be splitted in 3/4 roadmap lines (FR6, AFC3,…)"/>
    <s v="CB6 AXIS/C3 TLV protocol for EMV/SSC, MPE Provisioning, MPE TLP &amp; migration features from CB5.5,  MPE CB2A 1.6 Auto with Online PIN &amp; TLC Stream + File, MPE Additional schemes JCB Discover UPI Wise Pure CPACE, MPE EMV PLBS + Transfer de fonds"/>
    <s v="CB6"/>
    <s v="XXXL"/>
    <n v="1400"/>
    <s v="override"/>
    <s v="OK"/>
    <n v="400"/>
    <n v="400"/>
    <n v="300"/>
    <n v="300"/>
    <s v="P1"/>
    <n v="1400"/>
    <s v="Sylvain Marion"/>
    <s v="Product"/>
    <s v="IN_STORE"/>
    <s v="Regulation"/>
    <m/>
    <n v="718.2"/>
    <x v="0"/>
    <x v="1"/>
    <n v="0"/>
    <s v="BAU"/>
  </r>
  <r>
    <s v="Security &amp; Risks"/>
    <x v="72"/>
    <s v="P2PE v2"/>
    <s v="CB6 Application"/>
    <s v="CB6"/>
    <s v="S"/>
    <n v="50"/>
    <s v="auto"/>
    <s v="OK"/>
    <m/>
    <m/>
    <n v="20"/>
    <n v="30"/>
    <s v="P1"/>
    <n v="50"/>
    <s v="Gilles Raymond"/>
    <s v="Product"/>
    <s v="IN_STORE"/>
    <s v="Regulation"/>
    <m/>
    <n v="25.65"/>
    <x v="0"/>
    <x v="1"/>
    <n v="0"/>
    <s v="BAU"/>
  </r>
  <r>
    <s v="Petrol / CSACT evolutions for mid-customers"/>
    <x v="209"/>
    <s v="MS Pricing &amp; Revenue analytics - CSACT data integration"/>
    <m/>
    <s v="CSACT Rdmp"/>
    <s v="S"/>
    <n v="50"/>
    <s v="auto"/>
    <s v="OK"/>
    <n v="50"/>
    <m/>
    <m/>
    <m/>
    <s v="P3"/>
    <n v="50"/>
    <s v="Ismael Jaafar"/>
    <s v="Product"/>
    <s v="IN_STORE"/>
    <m/>
    <m/>
    <n v="25.65"/>
    <x v="1"/>
    <x v="18"/>
    <n v="0"/>
    <s v="BAU"/>
  </r>
  <r>
    <s v="Technical &amp; Functional Debt"/>
    <x v="12"/>
    <s v="API &amp; data"/>
    <s v="PaymentID as UUID"/>
    <s v="CB6"/>
    <s v="XS"/>
    <n v="20"/>
    <s v="auto"/>
    <s v="OK"/>
    <m/>
    <n v="20"/>
    <m/>
    <m/>
    <s v="P1"/>
    <n v="20"/>
    <s v="Gilles Raymond"/>
    <s v="Tech. Debt"/>
    <s v="IN_STORE"/>
    <s v="Technical Leverage"/>
    <m/>
    <n v="10.26"/>
    <x v="0"/>
    <x v="1"/>
    <n v="0"/>
    <s v="BAU"/>
  </r>
  <r>
    <s v="Technical &amp; Functional Debt"/>
    <x v="12"/>
    <s v="Refactoring"/>
    <s v="PostgresQL 13 migration"/>
    <s v="CB6"/>
    <s v="XS"/>
    <n v="20"/>
    <s v="auto"/>
    <s v="OK"/>
    <m/>
    <n v="20"/>
    <m/>
    <m/>
    <s v="P1"/>
    <n v="20"/>
    <s v="Gilles Raymond"/>
    <s v="Tech. Debt"/>
    <s v="IN_STORE"/>
    <s v="Technical Leverage"/>
    <m/>
    <n v="10.26"/>
    <x v="0"/>
    <x v="1"/>
    <n v="0"/>
    <s v="BAU"/>
  </r>
  <r>
    <s v="Technical Debt / Global Infra"/>
    <x v="29"/>
    <s v="Source code &amp; CI migration"/>
    <s v="CB6"/>
    <s v="CB6"/>
    <s v="XS"/>
    <n v="20"/>
    <s v="auto"/>
    <s v="OK"/>
    <n v="20"/>
    <m/>
    <m/>
    <m/>
    <s v="P1"/>
    <n v="20"/>
    <s v="Gilles Raymond"/>
    <s v="Tech. Debt"/>
    <s v="IN_STORE"/>
    <s v="Technical Leverage"/>
    <m/>
    <n v="10.26"/>
    <x v="0"/>
    <x v="1"/>
    <n v="0"/>
    <s v="BAU"/>
  </r>
  <r>
    <s v="Technical Debt / Global Infra"/>
    <x v="29"/>
    <s v="Training of teams with new way of working"/>
    <s v="CB6"/>
    <s v="CB6"/>
    <s v="XS"/>
    <n v="20"/>
    <s v="auto"/>
    <s v="OK"/>
    <n v="20"/>
    <m/>
    <m/>
    <m/>
    <s v="P1"/>
    <n v="20"/>
    <s v="Gilles Raymond"/>
    <s v="Tech. Debt"/>
    <s v="IN_STORE"/>
    <s v="Technical Leverage"/>
    <m/>
    <n v="10.26"/>
    <x v="0"/>
    <x v="1"/>
    <n v="0"/>
    <s v="BAU"/>
  </r>
  <r>
    <s v="Petrol / CSACT evolutions for mid-customers"/>
    <x v="209"/>
    <s v="JCB support in H24/CSACT through Redsys"/>
    <m/>
    <s v="CSACT Rdmp"/>
    <s v="S"/>
    <n v="50"/>
    <s v="auto"/>
    <s v="OK"/>
    <m/>
    <n v="25"/>
    <n v="25"/>
    <m/>
    <s v="P3"/>
    <n v="50"/>
    <s v="Ismael Jaafar"/>
    <s v="Product"/>
    <s v="IN_STORE"/>
    <m/>
    <m/>
    <n v="25.65"/>
    <x v="1"/>
    <x v="18"/>
    <n v="0"/>
    <s v="BAU"/>
  </r>
  <r>
    <s v="Technical &amp; Functional Debt"/>
    <x v="12"/>
    <s v="API &amp; data"/>
    <s v="Including TPVnumber to 32 char ?"/>
    <s v="CB6"/>
    <s v="XS"/>
    <n v="20"/>
    <s v="auto"/>
    <s v="OK"/>
    <m/>
    <m/>
    <n v="10"/>
    <n v="10"/>
    <s v="P2"/>
    <n v="20"/>
    <s v="Gilles Raymond"/>
    <s v="Tech. Debt"/>
    <s v="IN_STORE"/>
    <s v="Technical Leverage"/>
    <m/>
    <n v="10.26"/>
    <x v="0"/>
    <x v="1"/>
    <n v="0"/>
    <s v="BAU"/>
  </r>
  <r>
    <s v="Verticals - Parking/EV Charging / Vending Self/2-4-5000"/>
    <x v="99"/>
    <s v="[Self-Service] CB6 for Unattended terminals"/>
    <s v="CB6 for Unattended terminals"/>
    <s v="CB6"/>
    <s v="XL"/>
    <n v="300"/>
    <s v="auto"/>
    <s v="OK"/>
    <m/>
    <m/>
    <m/>
    <n v="300"/>
    <s v="P3"/>
    <n v="300"/>
    <s v="Thierry Fortune"/>
    <s v="Product"/>
    <s v="IN_STORE"/>
    <m/>
    <s v="AFA cannot start before Q1.23"/>
    <n v="153.9"/>
    <x v="1"/>
    <x v="1"/>
    <n v="0"/>
    <s v="BAU"/>
  </r>
  <r>
    <s v="[UNITED SYNERGIES] SACC Decomissionning"/>
    <x v="7"/>
    <s v="Code Geode - Provisionning impact (not refined / no T-sizing)"/>
    <m/>
    <s v="FOX"/>
    <s v="M"/>
    <n v="100"/>
    <s v="auto"/>
    <s v="OK"/>
    <m/>
    <m/>
    <n v="100"/>
    <m/>
    <s v="P1"/>
    <n v="100"/>
    <s v="Sylvain Marion"/>
    <s v="Synergies"/>
    <s v="IN_STORE"/>
    <s v="Support Customers' Projects"/>
    <m/>
    <n v="51.3"/>
    <x v="0"/>
    <x v="1"/>
    <s v="United"/>
    <s v="U&amp;MP"/>
  </r>
  <r>
    <s v="[UNITED SYNERGIES] SACC Decomissionning"/>
    <x v="7"/>
    <s v="Customer report (if done by Axis team)"/>
    <m/>
    <s v="FOX"/>
    <s v="M"/>
    <n v="100"/>
    <s v="auto"/>
    <s v="OK"/>
    <m/>
    <m/>
    <n v="100"/>
    <m/>
    <s v="P1"/>
    <n v="100"/>
    <s v="Sylvain Marion"/>
    <s v="Synergies"/>
    <s v="IN_STORE"/>
    <s v="Support Customers' Projects"/>
    <m/>
    <n v="51.3"/>
    <x v="0"/>
    <x v="1"/>
    <s v="United"/>
    <s v="U&amp;MP"/>
  </r>
  <r>
    <s v="Onboarding"/>
    <x v="80"/>
    <s v="Reminder applications impact with Everest Next Gen"/>
    <s v="First implementation for MAP + support to other squads"/>
    <s v="FOX"/>
    <s v="M"/>
    <n v="70"/>
    <s v="override"/>
    <s v="OK"/>
    <n v="30"/>
    <n v="30"/>
    <n v="10"/>
    <m/>
    <s v="P1"/>
    <n v="70"/>
    <s v="Sylvain Marion"/>
    <s v="Tech. Debt"/>
    <s v="IN_STORE"/>
    <s v="Technical Leverage"/>
    <m/>
    <n v="35.909999999999997"/>
    <x v="0"/>
    <x v="1"/>
    <n v="0"/>
    <s v="BAU"/>
  </r>
  <r>
    <s v="Technical &amp; Functional Debt"/>
    <x v="12"/>
    <s v="Refactoring"/>
    <s v="Rework replication to remove PGQ"/>
    <s v="FOX"/>
    <s v="M"/>
    <n v="70"/>
    <s v="override"/>
    <s v="OK"/>
    <n v="30"/>
    <n v="30"/>
    <n v="10"/>
    <m/>
    <s v="P1"/>
    <n v="70"/>
    <s v="Gilles Raymond"/>
    <s v="Tech. Debt"/>
    <s v="IN_STORE"/>
    <s v="Technical Leverage"/>
    <m/>
    <n v="35.909999999999997"/>
    <x v="0"/>
    <x v="1"/>
    <n v="0"/>
    <s v="BAU"/>
  </r>
  <r>
    <s v="Maintenance"/>
    <x v="5"/>
    <s v="Maintenance Axis"/>
    <m/>
    <s v="FOX"/>
    <s v="S"/>
    <n v="50"/>
    <s v="auto"/>
    <s v="OK"/>
    <n v="10"/>
    <n v="10"/>
    <n v="10"/>
    <n v="20"/>
    <s v="P1"/>
    <n v="50"/>
    <s v="Sylvain Marion"/>
    <s v="Maintenance &amp; Incidents"/>
    <s v="IN_STORE"/>
    <s v="Technical Leverage"/>
    <m/>
    <n v="25.65"/>
    <x v="0"/>
    <x v="1"/>
    <s v="Run"/>
    <s v="RUN"/>
  </r>
  <r>
    <s v="Technical &amp; Functional Debt"/>
    <x v="12"/>
    <s v="8 Digits TPV workaround with Customer ID  (AXIN-714)"/>
    <m/>
    <s v="FOX"/>
    <s v="S"/>
    <n v="50"/>
    <s v="auto"/>
    <s v="OK"/>
    <n v="25"/>
    <n v="25"/>
    <m/>
    <m/>
    <s v="P1"/>
    <n v="50"/>
    <s v="Sylvain Marion"/>
    <s v="Tech. Debt"/>
    <s v="IN_STORE"/>
    <s v="Technical Leverage"/>
    <m/>
    <n v="25.65"/>
    <x v="0"/>
    <x v="1"/>
    <n v="0"/>
    <s v="BAU"/>
  </r>
  <r>
    <s v="Petrol / CSACT evolutions for mid-customers"/>
    <x v="209"/>
    <s v="[2021's target] IFSF POS TO ECR (remaining 2021)"/>
    <m/>
    <s v="CSACT Rdmp"/>
    <s v="XS"/>
    <n v="20"/>
    <s v="auto"/>
    <s v="OK"/>
    <n v="20"/>
    <m/>
    <m/>
    <m/>
    <s v="P1"/>
    <n v="20"/>
    <s v="Ismael Jaafar"/>
    <s v="Product"/>
    <s v="IN_STORE"/>
    <m/>
    <m/>
    <n v="10.26"/>
    <x v="0"/>
    <x v="18"/>
    <n v="0"/>
    <s v="BAU"/>
  </r>
  <r>
    <s v="Petrol / CSACT evolutions for mid-customers"/>
    <x v="209"/>
    <s v="Products management: Multilanguage improvement"/>
    <m/>
    <s v="CSACT Rdmp"/>
    <s v="S"/>
    <n v="50"/>
    <s v="auto"/>
    <s v="OK"/>
    <n v="25"/>
    <n v="25"/>
    <m/>
    <m/>
    <s v="P1"/>
    <n v="50"/>
    <s v="Ismael Jaafar"/>
    <s v="Product"/>
    <s v="IN_STORE"/>
    <m/>
    <s v="Minimum is to support Portuguese (CEPSA / Hybrid sol…)"/>
    <n v="25.65"/>
    <x v="0"/>
    <x v="18"/>
    <n v="0"/>
    <s v="BAU"/>
  </r>
  <r>
    <s v="Petrol / CSACT evolutions for mid-customers"/>
    <x v="209"/>
    <s v="[2021's target] H24 touch screen adaptations"/>
    <s v="Lane/3000 &amp; Lane/5000"/>
    <s v="CSACT Rdmp"/>
    <s v="XS"/>
    <n v="20"/>
    <s v="auto"/>
    <s v="OK"/>
    <n v="20"/>
    <m/>
    <m/>
    <m/>
    <s v="P4"/>
    <n v="20"/>
    <s v="Ismael Jaafar"/>
    <s v="Product"/>
    <s v="IN_STORE"/>
    <m/>
    <m/>
    <n v="10.26"/>
    <x v="1"/>
    <x v="18"/>
    <n v="0"/>
    <s v="BAU"/>
  </r>
  <r>
    <s v="Technical Debt / Global Infra"/>
    <x v="29"/>
    <s v="Source code &amp; CI migration"/>
    <s v="FOX"/>
    <s v="FOX"/>
    <s v="XS"/>
    <n v="20"/>
    <s v="auto"/>
    <s v="OK"/>
    <n v="20"/>
    <m/>
    <m/>
    <m/>
    <s v="P1"/>
    <n v="20"/>
    <s v="Gilles Raymond"/>
    <s v="Tech. Debt"/>
    <s v="IN_STORE"/>
    <s v="Technical Leverage"/>
    <m/>
    <n v="10.26"/>
    <x v="0"/>
    <x v="1"/>
    <n v="0"/>
    <s v="BAU"/>
  </r>
  <r>
    <s v="Petrol / CSACT evolutions for mid-customers"/>
    <x v="209"/>
    <s v="[2021's target] Manage SCA 1 tap 2 tap &amp; Redsys certification"/>
    <m/>
    <s v="CSACT Rdmp"/>
    <s v="M"/>
    <n v="100"/>
    <s v="auto"/>
    <s v="OK"/>
    <n v="40"/>
    <n v="20"/>
    <n v="20"/>
    <n v="20"/>
    <s v="P1"/>
    <n v="100"/>
    <s v="Ismael Jaafar"/>
    <s v="Product"/>
    <s v="IN_STORE"/>
    <m/>
    <s v="100md because nothing yet done with unattended terminals"/>
    <n v="51.3"/>
    <x v="0"/>
    <x v="18"/>
    <n v="0"/>
    <s v="BAU"/>
  </r>
  <r>
    <s v="Petrol / CSACT evolutions for mid-customers"/>
    <x v="209"/>
    <s v="Provisioning portal from the Group (CSACT configuration)"/>
    <m/>
    <s v="CSACT Rdmp"/>
    <s v="L"/>
    <n v="200"/>
    <s v="auto"/>
    <s v="OK"/>
    <n v="50"/>
    <n v="50"/>
    <n v="50"/>
    <n v="50"/>
    <s v="P4"/>
    <n v="200"/>
    <s v="Ismael Jaafar"/>
    <s v="Product"/>
    <s v="IN_STORE"/>
    <m/>
    <m/>
    <n v="102.6"/>
    <x v="1"/>
    <x v="18"/>
    <n v="0"/>
    <s v="BAU"/>
  </r>
  <r>
    <s v="Petrol / CSACT geo expansion in Europe"/>
    <x v="213"/>
    <s v="[2021's target] Hybrid solution for Portugal"/>
    <m/>
    <s v="CSACT Rdmp"/>
    <s v="L"/>
    <n v="200"/>
    <s v="auto"/>
    <s v="OK"/>
    <m/>
    <n v="50"/>
    <n v="75"/>
    <n v="75"/>
    <s v="P3"/>
    <n v="200"/>
    <s v="Ismael Jaafar"/>
    <s v="Product"/>
    <s v="IN_STORE"/>
    <m/>
    <m/>
    <n v="102.6"/>
    <x v="1"/>
    <x v="18"/>
    <n v="0"/>
    <s v="BAU"/>
  </r>
  <r>
    <s v="Roadmap / Purchasing Experience"/>
    <x v="11"/>
    <s v="Bizum in-store (via APM Hub)"/>
    <s v="QR-based Spanish APM for in-store environments"/>
    <s v="CSACT Rdmp"/>
    <s v="M"/>
    <n v="100"/>
    <s v="auto"/>
    <s v="OK"/>
    <m/>
    <m/>
    <n v="50"/>
    <n v="50"/>
    <s v="P3"/>
    <n v="100"/>
    <s v="Ismael Jaafar"/>
    <s v="Product"/>
    <s v="IN_STORE"/>
    <s v="Simplify Experience"/>
    <s v="Asumes that CSACT-9195 is done. Otherwise the sizing should be more"/>
    <n v="51.3"/>
    <x v="1"/>
    <x v="18"/>
    <n v="0"/>
    <s v="BAU"/>
  </r>
  <r>
    <s v="Technical Debt / Global Infra"/>
    <x v="29"/>
    <s v="Source code &amp; CI migration"/>
    <s v="Source code &amp; CI migration"/>
    <s v="CHA"/>
    <s v="XS"/>
    <n v="40"/>
    <s v="override"/>
    <s v="OK"/>
    <n v="10"/>
    <n v="10"/>
    <n v="10"/>
    <n v="10"/>
    <s v="P1"/>
    <n v="40"/>
    <s v="Gilles Raymond"/>
    <s v="Tech. Debt"/>
    <s v="IN_STORE"/>
    <m/>
    <m/>
    <n v="20.52"/>
    <x v="0"/>
    <x v="20"/>
    <n v="0"/>
    <s v="BAU"/>
  </r>
  <r>
    <s v="Technical Debt / Global Infra"/>
    <x v="29"/>
    <s v="Training of teams with new way of working"/>
    <s v="Training of teams with new way of working"/>
    <s v="TOR"/>
    <s v="XS"/>
    <n v="20"/>
    <s v="auto"/>
    <s v="OK"/>
    <n v="5"/>
    <n v="5"/>
    <n v="5"/>
    <n v="5"/>
    <s v="P1"/>
    <n v="20"/>
    <s v="Gilles Raymond"/>
    <s v="Tech. Debt"/>
    <s v="IN_STORE"/>
    <m/>
    <m/>
    <n v="10.26"/>
    <x v="0"/>
    <x v="20"/>
    <n v="0"/>
    <s v="BAU"/>
  </r>
  <r>
    <s v="Technical Debt / Global Infra"/>
    <x v="29"/>
    <s v="TSS services (SecServ, MassGKit, TEM)"/>
    <m/>
    <m/>
    <m/>
    <n v="0"/>
    <s v="auto"/>
    <s v="OK"/>
    <m/>
    <m/>
    <m/>
    <m/>
    <s v="P1"/>
    <n v="0"/>
    <s v="Gilles Raymond"/>
    <s v="Tech. Debt"/>
    <n v="0"/>
    <s v="Technical Leverage"/>
    <m/>
    <n v="0"/>
    <x v="3"/>
    <x v="14"/>
    <n v="0"/>
    <s v="BAU"/>
  </r>
  <r>
    <s v="Technical Debt / Global Infra"/>
    <x v="29"/>
    <s v="Source code &amp; CI migration"/>
    <s v="CHA"/>
    <s v="CHA"/>
    <s v="XS"/>
    <n v="40"/>
    <s v="override"/>
    <s v="OK"/>
    <n v="10"/>
    <n v="10"/>
    <n v="10"/>
    <n v="10"/>
    <s v="P1"/>
    <n v="40"/>
    <s v="Gilles Raymond"/>
    <s v="Tech. Debt"/>
    <s v="IN_STORE"/>
    <m/>
    <m/>
    <n v="20.52"/>
    <x v="0"/>
    <x v="20"/>
    <n v="0"/>
    <s v="BAU"/>
  </r>
  <r>
    <s v="Technical Debt / Global Infra"/>
    <x v="29"/>
    <s v="Training of teams with new way of working"/>
    <s v="CHA"/>
    <s v="CHA"/>
    <s v="XS"/>
    <n v="20"/>
    <s v="auto"/>
    <s v="OK"/>
    <n v="5"/>
    <n v="5"/>
    <n v="5"/>
    <n v="5"/>
    <s v="P1"/>
    <n v="20"/>
    <s v="Gilles Raymond"/>
    <s v="Tech. Debt"/>
    <s v="IN_STORE"/>
    <m/>
    <m/>
    <n v="10.26"/>
    <x v="0"/>
    <x v="20"/>
    <n v="0"/>
    <s v="BAU"/>
  </r>
  <r>
    <s v="Technical Debt / Global Infra"/>
    <x v="29"/>
    <s v="Onboarding Technical Debt"/>
    <s v="Migration to Global Infra"/>
    <s v="ODY"/>
    <m/>
    <n v="50"/>
    <s v="auto"/>
    <s v="OK"/>
    <m/>
    <n v="50"/>
    <m/>
    <m/>
    <s v="P1"/>
    <n v="50"/>
    <s v="Charlotte Perraudin"/>
    <m/>
    <s v="IN_STORE"/>
    <m/>
    <m/>
    <n v="25.65"/>
    <x v="0"/>
    <x v="20"/>
    <n v="0"/>
    <s v="BAU"/>
  </r>
  <r>
    <s v="Roadmap / Purchasing Experience"/>
    <x v="11"/>
    <s v="Bizum in-store (direct connection between CSACT and Bizum)"/>
    <s v="QR-based Spanish APM for in-store environments (direct connection between CSACT and Bizum)"/>
    <s v="CSACT Rdmp"/>
    <s v="XL"/>
    <n v="300"/>
    <s v="auto"/>
    <s v="OK"/>
    <n v="125"/>
    <n v="125"/>
    <n v="50"/>
    <m/>
    <s v="P1"/>
    <n v="300"/>
    <s v="Ismael Jaafar"/>
    <s v="Product"/>
    <s v="IN_STORE"/>
    <s v="Simplify Experience"/>
    <s v="CSACT-9195"/>
    <n v="153.9"/>
    <x v="0"/>
    <x v="18"/>
    <n v="0"/>
    <s v="BAU"/>
  </r>
  <r>
    <s v="Roadmap / Purchasing Experience"/>
    <x v="11"/>
    <s v="APM Hub &amp; CSACT integration "/>
    <s v="CSACT integration with APM Hub"/>
    <s v="CSACT Rdmp"/>
    <s v="L"/>
    <n v="200"/>
    <s v="auto"/>
    <s v="OK"/>
    <m/>
    <m/>
    <n v="100"/>
    <n v="100"/>
    <s v="P3"/>
    <n v="200"/>
    <s v="Ismael Jaafar"/>
    <s v="Product"/>
    <s v="IN_STORE"/>
    <m/>
    <m/>
    <n v="102.6"/>
    <x v="1"/>
    <x v="18"/>
    <n v="0"/>
    <s v="BAU"/>
  </r>
  <r>
    <s v="Technical Debt / Global Infra"/>
    <x v="29"/>
    <s v="Back office"/>
    <s v="Support the migration"/>
    <s v="CHA"/>
    <s v="L"/>
    <n v="200"/>
    <s v="auto"/>
    <s v="OK"/>
    <n v="50"/>
    <n v="50"/>
    <n v="50"/>
    <n v="50"/>
    <s v="P1"/>
    <n v="200"/>
    <s v="Gilles Raymond"/>
    <s v="Tech. Debt"/>
    <s v="IN_STORE"/>
    <s v="Technical Leverage"/>
    <m/>
    <n v="102.6"/>
    <x v="0"/>
    <x v="20"/>
    <n v="0"/>
    <s v="BAU"/>
  </r>
  <r>
    <s v="Roadmap / Purchasing Experience"/>
    <x v="11"/>
    <s v="Viacash"/>
    <s v="Cashback service and APM"/>
    <s v="CSACT Rdmp"/>
    <s v="M"/>
    <n v="100"/>
    <s v="auto"/>
    <s v="OK"/>
    <m/>
    <m/>
    <n v="50"/>
    <n v="50"/>
    <s v="P3"/>
    <n v="100"/>
    <s v="Jorge Tarlea"/>
    <s v="Product"/>
    <s v="IN_STORE"/>
    <s v="Simplify Experience"/>
    <s v="Viacash bought by Paysafecard. To check if they will merge the solutions"/>
    <n v="51.3"/>
    <x v="1"/>
    <x v="18"/>
    <n v="0"/>
    <s v="BAU"/>
  </r>
  <r>
    <s v="Smart routing, CSACT"/>
    <x v="304"/>
    <s v="CSACT integration with the Smart Routing Shared service"/>
    <m/>
    <s v="CSACT Rdmp"/>
    <s v="M"/>
    <n v="100"/>
    <s v="auto"/>
    <s v="OK"/>
    <m/>
    <m/>
    <n v="50"/>
    <n v="50"/>
    <s v="P4"/>
    <n v="100"/>
    <s v="Jorge Tarlea"/>
    <s v="Product"/>
    <s v="IN_STORE"/>
    <s v="Complete Value Chain"/>
    <m/>
    <n v="51.3"/>
    <x v="1"/>
    <x v="18"/>
    <n v="0"/>
    <s v="BAU"/>
  </r>
  <r>
    <s v="BP project on CSACT"/>
    <x v="205"/>
    <s v="BP: Bonus / loyalty project"/>
    <m/>
    <s v="Petrol"/>
    <s v="M"/>
    <n v="100"/>
    <s v="auto"/>
    <s v="OK"/>
    <m/>
    <n v="40"/>
    <n v="40"/>
    <n v="20"/>
    <s v="P1"/>
    <n v="100"/>
    <s v="Ismael Jaafar"/>
    <m/>
    <s v="IN_STORE"/>
    <m/>
    <m/>
    <n v="51.3"/>
    <x v="0"/>
    <x v="18"/>
    <n v="0"/>
    <s v="BAU"/>
  </r>
  <r>
    <s v="BP project on CSACT"/>
    <x v="205"/>
    <s v="[2021's target (i.e. tetra migration)] BP: new Diebold solution or Tetra migration"/>
    <s v="Spanish market"/>
    <s v="Petrol"/>
    <s v="M"/>
    <n v="150"/>
    <s v="override"/>
    <s v="OK"/>
    <n v="75"/>
    <n v="75"/>
    <m/>
    <m/>
    <s v="P1"/>
    <n v="150"/>
    <s v="Ismael Jaafar"/>
    <s v="Product"/>
    <s v="IN_STORE"/>
    <m/>
    <m/>
    <n v="76.95"/>
    <x v="0"/>
    <x v="18"/>
    <n v="0"/>
    <s v="BAU"/>
  </r>
  <r>
    <s v="Technical Debt and Application / Operational Maintenance PPS"/>
    <x v="305"/>
    <s v="Technology - Online"/>
    <m/>
    <s v="Hercules"/>
    <m/>
    <n v="343.8"/>
    <s v="auto"/>
    <s v="OK"/>
    <n v="85.95"/>
    <n v="85.95"/>
    <n v="85.95"/>
    <n v="85.95"/>
    <s v="P1"/>
    <n v="343.8"/>
    <s v="Arni Smit"/>
    <s v="Tech. Debt"/>
    <s v="ONLINE"/>
    <m/>
    <m/>
    <n v="176.36939999999998"/>
    <x v="0"/>
    <x v="5"/>
    <s v="Single Project"/>
    <s v="BAU"/>
  </r>
  <r>
    <s v="Technical Debt and Application / Operational Maintenance PPS"/>
    <x v="305"/>
    <s v="Technology - Online"/>
    <m/>
    <s v="Himalaya"/>
    <m/>
    <n v="229.2"/>
    <s v="auto"/>
    <s v="OK"/>
    <n v="57.3"/>
    <n v="57.3"/>
    <n v="57.3"/>
    <n v="57.3"/>
    <s v="P1"/>
    <n v="229.2"/>
    <s v="Arni Smit"/>
    <s v="Tech. Debt"/>
    <s v="ONLINE"/>
    <m/>
    <m/>
    <n v="117.57959999999999"/>
    <x v="0"/>
    <x v="5"/>
    <s v="Single Project"/>
    <s v="BAU"/>
  </r>
  <r>
    <s v="Technical Debt and Application / Operational Maintenance PPS"/>
    <x v="305"/>
    <s v="Technology - Online"/>
    <m/>
    <s v="Sculpture"/>
    <m/>
    <n v="171.9"/>
    <s v="auto"/>
    <s v="OK"/>
    <n v="42.975000000000001"/>
    <n v="42.975000000000001"/>
    <n v="42.975000000000001"/>
    <n v="42.975000000000001"/>
    <s v="P1"/>
    <n v="171.9"/>
    <s v="Arni Smit"/>
    <s v="Tech. Debt"/>
    <s v="ONLINE"/>
    <m/>
    <m/>
    <n v="88.184699999999992"/>
    <x v="0"/>
    <x v="5"/>
    <s v="Single Project"/>
    <s v="BAU"/>
  </r>
  <r>
    <s v="Technical Debt and Application / Operational Maintenance PROS"/>
    <x v="306"/>
    <s v="Technology - Online"/>
    <m/>
    <s v="Centaurus"/>
    <m/>
    <n v="171.9"/>
    <s v="auto"/>
    <s v="OK"/>
    <n v="42.975000000000001"/>
    <n v="42.975000000000001"/>
    <n v="42.975000000000001"/>
    <n v="42.975000000000001"/>
    <s v="P1"/>
    <n v="171.9"/>
    <s v="Arni Smit"/>
    <s v="Tech. Debt"/>
    <s v="ONLINE"/>
    <m/>
    <m/>
    <n v="88.184699999999992"/>
    <x v="0"/>
    <x v="5"/>
    <s v="Single Project"/>
    <s v="BAU"/>
  </r>
  <r>
    <s v="Technical Debt and Application / Operational Maintenance PROS"/>
    <x v="306"/>
    <s v="Technology - Online"/>
    <m/>
    <s v="Gemini"/>
    <m/>
    <n v="286.5"/>
    <s v="auto"/>
    <s v="OK"/>
    <n v="71.625"/>
    <n v="71.625"/>
    <n v="71.625"/>
    <n v="71.625"/>
    <s v="P1"/>
    <n v="286.5"/>
    <s v="Arni Smit"/>
    <s v="Tech. Debt"/>
    <s v="ONLINE"/>
    <m/>
    <m/>
    <n v="146.97450000000001"/>
    <x v="0"/>
    <x v="5"/>
    <s v="Single Project"/>
    <s v="BAU"/>
  </r>
  <r>
    <s v="Technical Debt and Application / Operational Maintenance UXT"/>
    <x v="307"/>
    <s v="Technology - Online"/>
    <m/>
    <s v="Caradhas"/>
    <m/>
    <n v="401.09999999999997"/>
    <s v="auto"/>
    <s v="OK"/>
    <n v="100.27499999999999"/>
    <n v="100.27499999999999"/>
    <n v="100.27499999999999"/>
    <n v="100.27499999999999"/>
    <s v="P1"/>
    <n v="401.09999999999997"/>
    <s v="Arni Smit"/>
    <s v="Tech. Debt"/>
    <s v="ONLINE"/>
    <m/>
    <m/>
    <n v="205.76429999999999"/>
    <x v="0"/>
    <x v="5"/>
    <s v="Single Project"/>
    <s v="BAU"/>
  </r>
  <r>
    <s v="Technical Debt and Application / Operational Maintenance UXT"/>
    <x v="307"/>
    <s v="Technology - Online"/>
    <m/>
    <s v="Iron Hills"/>
    <m/>
    <n v="343.8"/>
    <s v="auto"/>
    <s v="OK"/>
    <n v="85.95"/>
    <n v="85.95"/>
    <n v="85.95"/>
    <n v="85.95"/>
    <s v="P1"/>
    <n v="343.8"/>
    <s v="Arni Smit"/>
    <s v="Tech. Debt"/>
    <s v="ONLINE"/>
    <m/>
    <m/>
    <n v="176.36939999999998"/>
    <x v="0"/>
    <x v="5"/>
    <s v="Single Project"/>
    <s v="BAU"/>
  </r>
  <r>
    <s v="Technical Debt and Application / Operational Maintenance UXT"/>
    <x v="307"/>
    <s v="Technology - Online"/>
    <m/>
    <s v="Targon"/>
    <m/>
    <n v="286.5"/>
    <s v="auto"/>
    <s v="OK"/>
    <n v="71.625"/>
    <n v="71.625"/>
    <n v="71.625"/>
    <n v="71.625"/>
    <s v="P1"/>
    <n v="286.5"/>
    <s v="Arni Smit"/>
    <s v="Tech. Debt"/>
    <s v="ONLINE"/>
    <m/>
    <m/>
    <n v="146.97450000000001"/>
    <x v="0"/>
    <x v="5"/>
    <s v="Single Project"/>
    <s v="BAU"/>
  </r>
  <r>
    <s v="Technical Roadmap Platform Performance &amp; Stability"/>
    <x v="308"/>
    <s v="Technology - Online"/>
    <m/>
    <s v="Hercules"/>
    <m/>
    <n v="573"/>
    <s v="auto"/>
    <s v="OK"/>
    <n v="143.25"/>
    <n v="143.25"/>
    <n v="143.25"/>
    <n v="143.25"/>
    <s v="P1"/>
    <n v="573"/>
    <s v="Arni Smit"/>
    <s v="Maintenance &amp; Incidents"/>
    <s v="ONLINE"/>
    <m/>
    <m/>
    <n v="293.94900000000001"/>
    <x v="0"/>
    <x v="5"/>
    <s v="Single Project"/>
    <s v="BAU"/>
  </r>
  <r>
    <s v="Technical Roadmap Platform Performance &amp; Stability"/>
    <x v="308"/>
    <s v="Technology - Online"/>
    <m/>
    <s v="Sculpture"/>
    <m/>
    <n v="286.5"/>
    <s v="auto"/>
    <s v="OK"/>
    <n v="71.625"/>
    <n v="71.625"/>
    <n v="71.625"/>
    <n v="71.625"/>
    <s v="P1"/>
    <n v="286.5"/>
    <s v="Arni Smit"/>
    <s v="Maintenance &amp; Incidents"/>
    <s v="ONLINE"/>
    <m/>
    <m/>
    <n v="146.97450000000001"/>
    <x v="0"/>
    <x v="5"/>
    <s v="Single Project"/>
    <s v="BAU"/>
  </r>
  <r>
    <s v="Technical Roadmap SRE Team"/>
    <x v="309"/>
    <s v="Technology - Online"/>
    <m/>
    <s v="Centaurus"/>
    <m/>
    <n v="286.5"/>
    <s v="auto"/>
    <s v="OK"/>
    <n v="71.625"/>
    <n v="71.625"/>
    <n v="71.625"/>
    <n v="71.625"/>
    <s v="P1"/>
    <n v="286.5"/>
    <s v="Arni Smit"/>
    <s v="Tech. Debt"/>
    <s v="ONLINE"/>
    <m/>
    <m/>
    <n v="146.97450000000001"/>
    <x v="0"/>
    <x v="5"/>
    <s v="Single Project"/>
    <s v="BAU"/>
  </r>
  <r>
    <s v="Technology Transformation"/>
    <x v="310"/>
    <m/>
    <m/>
    <s v="TechProcess"/>
    <s v="XXXL"/>
    <n v="3192"/>
    <s v="auto"/>
    <s v="OK"/>
    <n v="800"/>
    <n v="800"/>
    <n v="800"/>
    <n v="792"/>
    <s v="P1"/>
    <n v="3192"/>
    <s v="Arvind Singh"/>
    <s v=" Tech. Debt "/>
    <s v="ONLINE"/>
    <m/>
    <m/>
    <n v="1637.4960000000001"/>
    <x v="0"/>
    <x v="9"/>
    <n v="0"/>
    <s v="BAU"/>
  </r>
  <r>
    <s v="CEPSA project on CSACT"/>
    <x v="206"/>
    <s v="Cepsa: Discount codes truncation"/>
    <m/>
    <s v="Petrol"/>
    <s v="S"/>
    <n v="50"/>
    <s v="auto"/>
    <s v="OK"/>
    <m/>
    <n v="50"/>
    <m/>
    <m/>
    <s v="P1"/>
    <n v="50"/>
    <s v="Ismael Jaafar"/>
    <s v="Product"/>
    <s v="IN_STORE"/>
    <m/>
    <m/>
    <n v="25.65"/>
    <x v="0"/>
    <x v="18"/>
    <n v="0"/>
    <s v="BAU"/>
  </r>
  <r>
    <s v="CEPSA project on CSACT"/>
    <x v="206"/>
    <s v="Cepsa: Bucket for devs Petrol"/>
    <m/>
    <s v="Petrol"/>
    <s v="M"/>
    <n v="180"/>
    <s v="override"/>
    <s v="OK"/>
    <m/>
    <n v="60"/>
    <n v="60"/>
    <n v="60"/>
    <s v="P1"/>
    <n v="180"/>
    <s v="Ismael Jaafar"/>
    <s v="Product"/>
    <s v="IN_STORE"/>
    <m/>
    <m/>
    <n v="92.34"/>
    <x v="0"/>
    <x v="18"/>
    <n v="0"/>
    <s v="BAU"/>
  </r>
  <r>
    <s v="CEPSA project on CSACT"/>
    <x v="206"/>
    <s v="Cepsa/Galp: Integration with DOMS (concentrator in Petrol station)"/>
    <m/>
    <s v="Petrol"/>
    <s v="XXL"/>
    <n v="400"/>
    <s v="auto"/>
    <s v="OK"/>
    <n v="100"/>
    <n v="100"/>
    <n v="100"/>
    <n v="100"/>
    <s v="P1"/>
    <n v="400"/>
    <s v="Ismael Jaafar"/>
    <s v="Product"/>
    <s v="IN_STORE"/>
    <m/>
    <m/>
    <n v="205.2"/>
    <x v="0"/>
    <x v="18"/>
    <n v="0"/>
    <s v="BAU"/>
  </r>
  <r>
    <s v="Travel - Incidents"/>
    <x v="311"/>
    <s v="Incident bucket Travel"/>
    <m/>
    <s v="GC Vertical"/>
    <s v="XXL"/>
    <n v="400"/>
    <s v="auto"/>
    <s v="OK"/>
    <n v="100"/>
    <n v="100"/>
    <n v="100"/>
    <n v="100"/>
    <s v="P1"/>
    <n v="400"/>
    <s v="Marco Hauff"/>
    <s v="Maintenance &amp; Incidents"/>
    <s v="ONLINE"/>
    <m/>
    <m/>
    <n v="205.2"/>
    <x v="0"/>
    <x v="5"/>
    <s v="Run"/>
    <s v="RUN"/>
  </r>
  <r>
    <s v="Travel - Tech Debt"/>
    <x v="312"/>
    <s v="Technical Debt Travel"/>
    <s v="TH Global Infra migration"/>
    <s v="GC Vertical"/>
    <s v="L"/>
    <n v="200"/>
    <s v="auto"/>
    <s v="OK"/>
    <n v="50"/>
    <n v="50"/>
    <n v="50"/>
    <n v="50"/>
    <s v="P1"/>
    <n v="200"/>
    <s v="Marco Hauff"/>
    <s v="Tech. Debt"/>
    <s v="ONLINE"/>
    <m/>
    <m/>
    <n v="102.6"/>
    <x v="0"/>
    <x v="5"/>
    <s v="Single Project"/>
    <s v="BAU"/>
  </r>
  <r>
    <s v="Travel - Tech Debt"/>
    <x v="312"/>
    <s v="Technical Debt Travel"/>
    <s v="TH Booking Financial Report"/>
    <s v="GC Vertical"/>
    <s v="M"/>
    <n v="100"/>
    <s v="auto"/>
    <s v="OK"/>
    <n v="25"/>
    <n v="25"/>
    <n v="25"/>
    <n v="25"/>
    <s v="P1"/>
    <n v="100"/>
    <s v="Marco Hauff"/>
    <s v="Tech. Debt"/>
    <s v="ONLINE"/>
    <m/>
    <m/>
    <n v="51.3"/>
    <x v="0"/>
    <x v="5"/>
    <s v="Single Project"/>
    <s v="BAU"/>
  </r>
  <r>
    <s v="Travel - Tech Debt"/>
    <x v="312"/>
    <s v="Technical Debt Travel"/>
    <s v="TH Batch Reporting for Merchants"/>
    <s v="GC Vertical"/>
    <s v="M"/>
    <n v="100"/>
    <s v="auto"/>
    <s v="OK"/>
    <m/>
    <n v="100"/>
    <m/>
    <m/>
    <s v="P1"/>
    <n v="100"/>
    <s v="Marco Hauff"/>
    <s v="Tech. Debt"/>
    <s v="ONLINE"/>
    <m/>
    <m/>
    <n v="51.3"/>
    <x v="0"/>
    <x v="5"/>
    <s v="Single Project"/>
    <s v="BAU"/>
  </r>
  <r>
    <s v="Travel - Tech Debt"/>
    <x v="312"/>
    <s v="Technical Debt Travel"/>
    <s v="TH API Gateway"/>
    <s v="GC Vertical"/>
    <s v="S"/>
    <n v="50"/>
    <s v="auto"/>
    <s v="OK"/>
    <n v="50"/>
    <m/>
    <m/>
    <m/>
    <s v="P1"/>
    <n v="50"/>
    <s v="Marco Hauff"/>
    <s v="Tech. Debt"/>
    <s v="ONLINE"/>
    <m/>
    <m/>
    <n v="25.65"/>
    <x v="0"/>
    <x v="5"/>
    <s v="Single Project"/>
    <s v="BAU"/>
  </r>
  <r>
    <s v="Travel - Tech Debt"/>
    <x v="312"/>
    <s v="Technical Debt Travel"/>
    <s v="LP Single API key between LinkPlus and Connect"/>
    <s v="GC Vertical"/>
    <s v="M"/>
    <n v="100"/>
    <s v="auto"/>
    <s v="OK"/>
    <n v="50"/>
    <m/>
    <m/>
    <n v="50"/>
    <s v="P1"/>
    <n v="100"/>
    <s v="Marco Hauff"/>
    <s v="Tech. Debt"/>
    <s v="ONLINE"/>
    <m/>
    <m/>
    <n v="51.3"/>
    <x v="0"/>
    <x v="5"/>
    <s v="Single Project"/>
    <s v="BAU"/>
  </r>
  <r>
    <s v="Travel - Tech Debt"/>
    <x v="312"/>
    <s v="Technical Debt Travel"/>
    <s v="LP Merchant API gateway solution"/>
    <s v="GC Vertical"/>
    <s v="S"/>
    <n v="50"/>
    <s v="auto"/>
    <s v="OK"/>
    <m/>
    <m/>
    <m/>
    <n v="50"/>
    <s v="P1"/>
    <n v="50"/>
    <s v="Marco Hauff"/>
    <s v="Tech. Debt"/>
    <s v="ONLINE"/>
    <m/>
    <m/>
    <n v="25.65"/>
    <x v="0"/>
    <x v="5"/>
    <s v="Single Project"/>
    <s v="BAU"/>
  </r>
  <r>
    <s v="Travel - Tech Debt"/>
    <x v="312"/>
    <s v="Technical Debt Travel"/>
    <s v="LP LinkPlus AWS on multiple geo location"/>
    <s v="GC Vertical"/>
    <s v="S"/>
    <n v="50"/>
    <s v="auto"/>
    <s v="OK"/>
    <m/>
    <m/>
    <n v="50"/>
    <m/>
    <s v="P1"/>
    <n v="50"/>
    <s v="Marco Hauff"/>
    <s v="Tech. Debt"/>
    <s v="ONLINE"/>
    <m/>
    <m/>
    <n v="25.65"/>
    <x v="0"/>
    <x v="5"/>
    <s v="Single Project"/>
    <s v="BAU"/>
  </r>
  <r>
    <s v="Travel - Tech Debt"/>
    <x v="312"/>
    <s v="Technical Debt Travel"/>
    <s v="BSP WDL decommissioned"/>
    <s v="GC Vertical"/>
    <s v="M"/>
    <n v="100"/>
    <s v="auto"/>
    <s v="OK"/>
    <n v="50"/>
    <m/>
    <n v="50"/>
    <m/>
    <s v="P1"/>
    <n v="100"/>
    <s v="Marco Hauff"/>
    <s v="Tech. Debt"/>
    <s v="ONLINE"/>
    <m/>
    <m/>
    <n v="51.3"/>
    <x v="0"/>
    <x v="5"/>
    <s v="Single Project"/>
    <s v="BAU"/>
  </r>
  <r>
    <s v="Travel - Tech Debt"/>
    <x v="312"/>
    <s v="Technical Debt Travel"/>
    <s v="BSP Global Infra migration"/>
    <s v="GC Vertical"/>
    <s v="M"/>
    <n v="100"/>
    <s v="auto"/>
    <s v="OK"/>
    <n v="30"/>
    <n v="50"/>
    <n v="20"/>
    <m/>
    <s v="P1"/>
    <n v="100"/>
    <s v="Marco Hauff"/>
    <s v="Tech. Debt"/>
    <s v="ONLINE"/>
    <m/>
    <m/>
    <n v="51.3"/>
    <x v="0"/>
    <x v="5"/>
    <s v="Single Project"/>
    <s v="BAU"/>
  </r>
  <r>
    <s v="Travel - Tech Debt"/>
    <x v="312"/>
    <s v="Technical Debt Travel"/>
    <s v="BSP Create Config tool for BSP"/>
    <s v="GC Vertical"/>
    <s v="S"/>
    <n v="50"/>
    <s v="auto"/>
    <s v="OK"/>
    <m/>
    <m/>
    <n v="50"/>
    <m/>
    <s v="P1"/>
    <n v="50"/>
    <s v="Marco Hauff"/>
    <s v="Tech. Debt"/>
    <s v="ONLINE"/>
    <m/>
    <m/>
    <n v="25.65"/>
    <x v="0"/>
    <x v="5"/>
    <s v="Single Project"/>
    <s v="BAU"/>
  </r>
  <r>
    <s v="Unified Payments Console"/>
    <x v="313"/>
    <m/>
    <m/>
    <s v="TechProcess"/>
    <s v="L"/>
    <n v="220"/>
    <s v="auto"/>
    <s v="OK"/>
    <n v="50"/>
    <n v="70"/>
    <n v="50"/>
    <n v="50"/>
    <s v="P1"/>
    <n v="220"/>
    <s v="Arvind Singh"/>
    <s v=" Product "/>
    <s v="ONLINE"/>
    <m/>
    <m/>
    <n v="112.86"/>
    <x v="0"/>
    <x v="9"/>
    <n v="0"/>
    <s v="BAU"/>
  </r>
  <r>
    <s v="United - APM Hub Shared Services"/>
    <x v="314"/>
    <m/>
    <s v="APM Hub Gateway"/>
    <s v="FS"/>
    <s v="L"/>
    <n v="270"/>
    <s v="auto"/>
    <s v="OK"/>
    <n v="120"/>
    <n v="75"/>
    <n v="75"/>
    <m/>
    <s v="P2"/>
    <n v="270"/>
    <s v="Olivier Blerot"/>
    <s v="Synergies"/>
    <s v="OTHER"/>
    <m/>
    <m/>
    <n v="135"/>
    <x v="0"/>
    <x v="6"/>
    <s v="United"/>
    <s v="U&amp;MP"/>
  </r>
  <r>
    <s v="CEPSA project on CSACT"/>
    <x v="206"/>
    <s v="[2021's target] Cepsa: VAS service through Telecor"/>
    <m/>
    <s v="Petrol"/>
    <s v="S"/>
    <n v="50"/>
    <s v="auto"/>
    <s v="OK"/>
    <m/>
    <n v="30"/>
    <n v="20"/>
    <m/>
    <s v="P1"/>
    <n v="50"/>
    <s v="Ismael Jaafar"/>
    <s v="Product"/>
    <s v="IN_STORE"/>
    <m/>
    <m/>
    <n v="25.65"/>
    <x v="0"/>
    <x v="18"/>
    <n v="0"/>
    <s v="BAU"/>
  </r>
  <r>
    <s v="United - DCC Hub (Shared Service Online Team)"/>
    <x v="315"/>
    <s v="WL DCC service and Fexco"/>
    <m/>
    <m/>
    <s v="S"/>
    <n v="75"/>
    <s v="auto"/>
    <s v="OK"/>
    <n v="25"/>
    <n v="25"/>
    <n v="25"/>
    <m/>
    <m/>
    <n v="75"/>
    <m/>
    <m/>
    <n v="0"/>
    <m/>
    <m/>
    <n v="0"/>
    <x v="3"/>
    <x v="14"/>
    <s v="United"/>
    <s v="U&amp;MP"/>
  </r>
  <r>
    <s v="United - Ecom - ogone legacy Back Office Jquery upgrade "/>
    <x v="316"/>
    <s v="Ogone Back-Office Jquery version upgrades "/>
    <s v="Jquery version upgrades "/>
    <s v="WLOC_MXP"/>
    <s v="L"/>
    <n v="300"/>
    <s v="override"/>
    <s v="OK"/>
    <m/>
    <n v="100"/>
    <n v="100"/>
    <n v="100"/>
    <s v="P2"/>
    <n v="300"/>
    <s v="Sebastien Fantone"/>
    <s v="Tech. Debt"/>
    <s v="ECOM"/>
    <s v="Maintain Legacy Product"/>
    <s v="Security requirements "/>
    <n v="144.9"/>
    <x v="0"/>
    <x v="4"/>
    <s v="United"/>
    <s v="U&amp;MP"/>
  </r>
  <r>
    <s v="United - Ecom - ogone Merchant Portal React Library enhancements"/>
    <x v="317"/>
    <s v="Ogone portals React FWK enhancements for easier tenant integrations"/>
    <s v="React FWK enhancements "/>
    <s v="WLOC_MXP"/>
    <s v="L"/>
    <n v="300"/>
    <s v="override"/>
    <s v="OK"/>
    <m/>
    <n v="100"/>
    <n v="100"/>
    <n v="100"/>
    <s v="P2"/>
    <n v="300"/>
    <s v="Sebastien Fantone"/>
    <s v="Tech. Debt"/>
    <s v="ECOM"/>
    <s v="New MP Portal continuous maintenance"/>
    <m/>
    <n v="144.9"/>
    <x v="0"/>
    <x v="4"/>
    <s v="United"/>
    <s v="U&amp;MP"/>
  </r>
  <r>
    <s v="United B2 - Datalake for eCom "/>
    <x v="318"/>
    <s v="Merchant Portal"/>
    <s v="DataLake data migration"/>
    <s v="WLOC_MXP"/>
    <s v="XL"/>
    <n v="300"/>
    <s v="auto"/>
    <s v="OK"/>
    <m/>
    <m/>
    <n v="300"/>
    <m/>
    <s v="P1"/>
    <n v="300"/>
    <s v="Sebastien Fantone"/>
    <s v="Synergies"/>
    <s v="ECOM"/>
    <m/>
    <m/>
    <n v="144.9"/>
    <x v="0"/>
    <x v="4"/>
    <s v="United"/>
    <s v="U&amp;MP"/>
  </r>
  <r>
    <s v="United B2 - eCom - Boarding AccountAPI-decommision"/>
    <x v="319"/>
    <s v="Changing merchant onboarding flows (not anymore using legacy Account API's)"/>
    <s v="Moving integrations to Provisioning API's"/>
    <s v="WLOC_IFS"/>
    <s v="L"/>
    <n v="100"/>
    <s v="override"/>
    <s v="OK"/>
    <m/>
    <n v="100"/>
    <m/>
    <m/>
    <s v="P2"/>
    <n v="100"/>
    <s v="Sebastien Fantone"/>
    <s v="Tech. Debt"/>
    <m/>
    <m/>
    <m/>
    <n v="48.3"/>
    <x v="0"/>
    <x v="4"/>
    <s v="United"/>
    <s v="U&amp;MP"/>
  </r>
  <r>
    <s v="United B2 - eCom - Boarding AccountAPI-decommision"/>
    <x v="319"/>
    <s v="Changing merchant onboarding flows (not anymore using legacy Account API's)"/>
    <s v="Moving integrations to Provisioning API's"/>
    <s v="WLOC_MXP"/>
    <s v="L"/>
    <n v="250"/>
    <s v="override"/>
    <s v="OK"/>
    <n v="150"/>
    <n v="100"/>
    <m/>
    <m/>
    <s v="P2"/>
    <n v="250"/>
    <s v="Sebastien Fantone"/>
    <s v=" Tech. Debt "/>
    <s v="ECOM"/>
    <m/>
    <m/>
    <n v="120.75"/>
    <x v="0"/>
    <x v="4"/>
    <s v="United"/>
    <s v="U&amp;MP"/>
  </r>
  <r>
    <s v="MyPerformance Integration of IAM module "/>
    <x v="320"/>
    <s v="Financial Institutions"/>
    <s v="MyPerformance Integration of IAM module "/>
    <s v="WLOC_MXP"/>
    <s v="XS"/>
    <n v="20"/>
    <s v="auto"/>
    <s v="OK"/>
    <m/>
    <n v="20"/>
    <m/>
    <m/>
    <s v="P1"/>
    <n v="20"/>
    <s v="Sebastien Fantone"/>
    <s v="Synergies"/>
    <s v="ECOM"/>
    <m/>
    <m/>
    <n v="9.66"/>
    <x v="0"/>
    <x v="4"/>
    <n v="0"/>
    <s v="BAU"/>
  </r>
  <r>
    <s v="United B2 - eCom - PAYONE phase out"/>
    <x v="321"/>
    <s v="[UNITED] Payone PM (Gateway)"/>
    <s v="Special customer features (Petrol use-cases (Partial approval)"/>
    <s v="WLOC_CARD_FE"/>
    <s v="M"/>
    <n v="100"/>
    <s v="auto"/>
    <s v="OK"/>
    <m/>
    <m/>
    <m/>
    <n v="100"/>
    <s v="P5"/>
    <n v="100"/>
    <s v="Emmanuel Blumel"/>
    <s v="Synergies"/>
    <s v="ECOM"/>
    <m/>
    <m/>
    <n v="48.3"/>
    <x v="1"/>
    <x v="4"/>
    <s v="United"/>
    <s v="U&amp;MP"/>
  </r>
  <r>
    <s v="United B2 - eCom - PAYONE phase out"/>
    <x v="321"/>
    <s v="PAYONE GTS connection"/>
    <s v="SAP"/>
    <m/>
    <m/>
    <n v="230"/>
    <s v="override"/>
    <s v="OK"/>
    <n v="100"/>
    <n v="130"/>
    <m/>
    <m/>
    <s v="P2"/>
    <n v="230"/>
    <s v=" Nils Herloff-Petersen "/>
    <m/>
    <n v="0"/>
    <m/>
    <m/>
    <n v="0"/>
    <x v="3"/>
    <x v="14"/>
    <s v="United"/>
    <s v="U&amp;MP"/>
  </r>
  <r>
    <s v="MS data integration (UNITED)"/>
    <x v="112"/>
    <s v="IGOR (PayOne)  migration &amp; phase out "/>
    <s v="Acceptance &amp; acquiring data"/>
    <s v="Datalake"/>
    <m/>
    <n v="0"/>
    <s v="auto"/>
    <s v="OK"/>
    <m/>
    <m/>
    <m/>
    <m/>
    <s v="P3"/>
    <n v="0"/>
    <s v="Claudia Johannes"/>
    <m/>
    <s v="OCH"/>
    <m/>
    <m/>
    <n v="0"/>
    <x v="1"/>
    <x v="2"/>
    <s v="United"/>
    <s v="U&amp;MP"/>
  </r>
  <r>
    <s v="United B2 - eCom - PAYONE phase out"/>
    <x v="321"/>
    <s v="PAYONE eCom specific reports (if not provided by Omnibus) "/>
    <s v="For large customers (Deutsche Bahn) "/>
    <s v="Datalake"/>
    <m/>
    <n v="230"/>
    <s v="override"/>
    <s v="OK"/>
    <n v="100"/>
    <n v="130"/>
    <m/>
    <m/>
    <s v="P3"/>
    <n v="230"/>
    <s v=" Nils Herloff-Petersen "/>
    <m/>
    <s v="OCH"/>
    <m/>
    <m/>
    <n v="117.99"/>
    <x v="1"/>
    <x v="2"/>
    <s v="United"/>
    <s v="U&amp;MP"/>
  </r>
  <r>
    <s v="United B2 - eCom - PAYONE phase out"/>
    <x v="321"/>
    <s v="[UNITED] Payone Shopping Cart plugins"/>
    <s v="Plugins (testing &amp; PM only) (tricoma)"/>
    <s v="ME_Plugin"/>
    <s v="S"/>
    <n v="25"/>
    <s v="override"/>
    <s v="OK"/>
    <n v="25"/>
    <m/>
    <m/>
    <m/>
    <s v="P1"/>
    <n v="25"/>
    <s v="Sebastien Fantone"/>
    <s v="Synergies"/>
    <s v="OCH"/>
    <m/>
    <m/>
    <n v="12.824999999999999"/>
    <x v="0"/>
    <x v="2"/>
    <s v="United"/>
    <s v="U&amp;MP"/>
  </r>
  <r>
    <s v="United B2 - eCom - PAYONE phase out"/>
    <x v="321"/>
    <s v="[UNITED] Payone Shopping Cart plugins"/>
    <s v="Plugins (testing &amp; PM only) (tradino)"/>
    <s v="ME_Plugin"/>
    <s v="S"/>
    <n v="25"/>
    <s v="override"/>
    <s v="OK"/>
    <n v="25"/>
    <m/>
    <m/>
    <m/>
    <s v="P1"/>
    <n v="25"/>
    <s v="Sebastien Fantone"/>
    <s v="Synergies"/>
    <s v="OCH"/>
    <m/>
    <m/>
    <n v="12.824999999999999"/>
    <x v="0"/>
    <x v="2"/>
    <s v="United"/>
    <s v="U&amp;MP"/>
  </r>
  <r>
    <s v="United B2 - eCom - PAYONE phase out"/>
    <x v="321"/>
    <s v="[UNITED] Payone Shopping Cart plugins"/>
    <s v="Plugins (testing &amp; PM only) (sy.lynx)"/>
    <s v="ME_Plugin"/>
    <s v="S"/>
    <n v="25"/>
    <s v="override"/>
    <s v="OK"/>
    <n v="25"/>
    <m/>
    <m/>
    <m/>
    <s v="P1"/>
    <n v="25"/>
    <s v="Sebastien Fantone"/>
    <s v="Synergies"/>
    <s v="OCH"/>
    <m/>
    <m/>
    <n v="12.824999999999999"/>
    <x v="0"/>
    <x v="2"/>
    <s v="United"/>
    <s v="U&amp;MP"/>
  </r>
  <r>
    <s v="United B2 - eCom - PAYONE phase out"/>
    <x v="321"/>
    <s v="[UNITED] Payone Shopping Cart plugins"/>
    <s v="Plugins (testing &amp; PM only) (Spryker)"/>
    <s v="ME_Plugin"/>
    <s v="S"/>
    <n v="25"/>
    <s v="override"/>
    <s v="OK"/>
    <m/>
    <n v="25"/>
    <m/>
    <m/>
    <s v="P1"/>
    <n v="25"/>
    <s v="Sebastien Fantone"/>
    <s v="Synergies"/>
    <s v="OCH"/>
    <m/>
    <m/>
    <n v="12.824999999999999"/>
    <x v="0"/>
    <x v="2"/>
    <s v="United"/>
    <s v="U&amp;MP"/>
  </r>
  <r>
    <s v="United B2 - eCom - PAYONE phase out"/>
    <x v="321"/>
    <s v="[UNITED] Payone Shopping Cart plugins"/>
    <s v="Plugins (testing &amp; PM only) (REOS)"/>
    <s v="ME_Plugin"/>
    <s v="S"/>
    <n v="25"/>
    <s v="override"/>
    <s v="OK"/>
    <m/>
    <n v="25"/>
    <m/>
    <m/>
    <s v="P1"/>
    <n v="25"/>
    <s v="Sebastien Fantone"/>
    <s v="Synergies"/>
    <s v="OCH"/>
    <m/>
    <m/>
    <n v="12.824999999999999"/>
    <x v="0"/>
    <x v="2"/>
    <s v="United"/>
    <s v="U&amp;MP"/>
  </r>
  <r>
    <s v="United B2 - eCom - PAYONE phase out"/>
    <x v="321"/>
    <s v="[UNITED] Payone Shopping Cart plugins"/>
    <s v="Plugins (testing &amp; PM only) (IBM websphere commerce)"/>
    <s v="ME_Plugin"/>
    <s v="S"/>
    <n v="25"/>
    <s v="override"/>
    <s v="OK"/>
    <m/>
    <n v="25"/>
    <m/>
    <m/>
    <s v="P1"/>
    <n v="25"/>
    <s v="Sebastien Fantone"/>
    <s v="Synergies"/>
    <s v="OCH"/>
    <m/>
    <m/>
    <n v="12.824999999999999"/>
    <x v="0"/>
    <x v="2"/>
    <s v="United"/>
    <s v="U&amp;MP"/>
  </r>
  <r>
    <s v="United B2 - eCom - PAYONE phase out"/>
    <x v="321"/>
    <s v="[UNITED] Payone Shopping Cart plugins"/>
    <s v="Plugins (testing &amp; PM only) (Hotel Netsolutions)"/>
    <s v="ME_Plugin"/>
    <s v="S"/>
    <n v="25"/>
    <s v="override"/>
    <s v="OK"/>
    <m/>
    <m/>
    <n v="25"/>
    <m/>
    <s v="P1"/>
    <n v="25"/>
    <s v="Sebastien Fantone"/>
    <s v="Synergies"/>
    <s v="OCH"/>
    <m/>
    <m/>
    <n v="12.824999999999999"/>
    <x v="0"/>
    <x v="2"/>
    <s v="United"/>
    <s v="U&amp;MP"/>
  </r>
  <r>
    <s v="United B2 - eCom - PAYONE phase out"/>
    <x v="321"/>
    <s v="[UNITED] Payone Shopping Cart plugins"/>
    <s v="Plugins (testing &amp; PM only) (HIS)"/>
    <s v="ME_Plugin"/>
    <s v="S"/>
    <n v="25"/>
    <s v="override"/>
    <s v="OK"/>
    <m/>
    <m/>
    <n v="25"/>
    <m/>
    <s v="P1"/>
    <n v="25"/>
    <s v="Sebastien Fantone"/>
    <s v="Synergies"/>
    <s v="OCH"/>
    <m/>
    <m/>
    <n v="12.824999999999999"/>
    <x v="0"/>
    <x v="2"/>
    <s v="United"/>
    <s v="U&amp;MP"/>
  </r>
  <r>
    <s v="United B2 - eCom - PAYONE phase out"/>
    <x v="321"/>
    <s v="[UNITED] Payone Shopping Cart plugins"/>
    <s v="Plugins (testing &amp; PM only) (Feripro)"/>
    <s v="ME_Plugin"/>
    <s v="S"/>
    <n v="25"/>
    <s v="override"/>
    <s v="OK"/>
    <m/>
    <m/>
    <n v="25"/>
    <m/>
    <s v="P1"/>
    <n v="25"/>
    <s v="Sebastien Fantone"/>
    <s v="Synergies"/>
    <s v="OCH"/>
    <m/>
    <m/>
    <n v="12.824999999999999"/>
    <x v="0"/>
    <x v="2"/>
    <s v="United"/>
    <s v="U&amp;MP"/>
  </r>
  <r>
    <s v="United B2 - eCom - PAYONE phase out"/>
    <x v="321"/>
    <s v="[UNITED] Payone Shopping Cart plugins"/>
    <s v="Plugins (testing &amp; PM only) (e-matters)"/>
    <s v="ME_Plugin"/>
    <s v="S"/>
    <n v="25"/>
    <s v="override"/>
    <s v="OK"/>
    <m/>
    <m/>
    <m/>
    <n v="25"/>
    <s v="P1"/>
    <n v="25"/>
    <s v="Sebastien Fantone"/>
    <s v="Synergies"/>
    <s v="OCH"/>
    <m/>
    <m/>
    <n v="12.824999999999999"/>
    <x v="0"/>
    <x v="2"/>
    <s v="United"/>
    <s v="U&amp;MP"/>
  </r>
  <r>
    <s v="United B2 - eCom - PAYONE phase out"/>
    <x v="321"/>
    <s v="[UNITED] Payone Shopping Cart plugins"/>
    <s v="Plugins (testing &amp; PM only) (DigiServe)"/>
    <s v="ME_Plugin"/>
    <s v="S"/>
    <n v="25"/>
    <s v="override"/>
    <s v="OK"/>
    <m/>
    <m/>
    <m/>
    <n v="25"/>
    <s v="P1"/>
    <n v="25"/>
    <s v="Sebastien Fantone"/>
    <s v="Synergies"/>
    <s v="OCH"/>
    <m/>
    <m/>
    <n v="12.824999999999999"/>
    <x v="0"/>
    <x v="2"/>
    <s v="United"/>
    <s v="U&amp;MP"/>
  </r>
  <r>
    <s v="United B2 - eCom - PAYONE phase out"/>
    <x v="321"/>
    <s v="[UNITED] Payone Shopping Cart plugins"/>
    <s v="Plugins (testing &amp; PM only) (Bilwerk)"/>
    <s v="ME_Plugin"/>
    <s v="S"/>
    <n v="25"/>
    <s v="override"/>
    <s v="OK"/>
    <m/>
    <m/>
    <m/>
    <n v="25"/>
    <s v="P1"/>
    <n v="25"/>
    <s v="Sebastien Fantone"/>
    <s v="Synergies"/>
    <s v="OCH"/>
    <m/>
    <m/>
    <n v="12.824999999999999"/>
    <x v="0"/>
    <x v="2"/>
    <s v="United"/>
    <s v="U&amp;MP"/>
  </r>
  <r>
    <s v="United B2 - eCom - PAYONE phase out"/>
    <x v="321"/>
    <s v="[UNITED] Payone Merchant Portal"/>
    <s v="MP White Labeling for Payone"/>
    <s v="WLOC_MXP"/>
    <s v="M"/>
    <n v="100"/>
    <s v="auto"/>
    <s v="OK"/>
    <n v="100"/>
    <m/>
    <m/>
    <m/>
    <s v="P1"/>
    <n v="100"/>
    <s v="Sebastien Fantone"/>
    <s v="Product"/>
    <s v="ECOM"/>
    <m/>
    <m/>
    <n v="48.3"/>
    <x v="0"/>
    <x v="4"/>
    <s v="United"/>
    <s v="U&amp;MP"/>
  </r>
  <r>
    <s v="United B2 - eCom - PAYONE phase out"/>
    <x v="321"/>
    <s v="PAYONE APM (Shared Services)"/>
    <s v="New APMs on WLOC"/>
    <s v="WLOC_APM"/>
    <m/>
    <n v="100"/>
    <s v="auto"/>
    <s v="OK"/>
    <m/>
    <m/>
    <m/>
    <n v="100"/>
    <s v="P5"/>
    <n v="100"/>
    <s v="Amaury Kervyn"/>
    <s v="Synergies"/>
    <s v="ECOM"/>
    <m/>
    <m/>
    <n v="48.3"/>
    <x v="1"/>
    <x v="4"/>
    <s v="United"/>
    <s v="U&amp;MP"/>
  </r>
  <r>
    <s v="United B2 - eCom - PAYONE phase out"/>
    <x v="321"/>
    <s v="[UNITED] Payone PM (Gateway)"/>
    <s v="New APMs on APM Hub"/>
    <s v="APM_Hub"/>
    <m/>
    <n v="400"/>
    <s v="auto"/>
    <s v="OK"/>
    <m/>
    <m/>
    <m/>
    <n v="400"/>
    <s v="P5"/>
    <n v="400"/>
    <s v="Amaury Kervyn"/>
    <s v="Synergies"/>
    <s v="OCH"/>
    <m/>
    <m/>
    <n v="205.2"/>
    <x v="1"/>
    <x v="2"/>
    <s v="United"/>
    <s v="U&amp;MP"/>
  </r>
  <r>
    <s v="United B2 - eCom - PAYONE phase out"/>
    <x v="321"/>
    <s v="[UNITED] Payone Shopping Cart plugins"/>
    <s v="Native shopping cart integration"/>
    <s v="ME_Plugin"/>
    <s v="S"/>
    <n v="50"/>
    <s v="auto"/>
    <s v="OK"/>
    <n v="25"/>
    <n v="25"/>
    <m/>
    <m/>
    <s v="P1"/>
    <n v="50"/>
    <s v="Sebastien Fantone"/>
    <s v="Synergies"/>
    <s v="OCH"/>
    <m/>
    <m/>
    <n v="25.65"/>
    <x v="0"/>
    <x v="2"/>
    <s v="United"/>
    <s v="U&amp;MP"/>
  </r>
  <r>
    <s v="United B2 - eCom - PAYONE phase out"/>
    <x v="321"/>
    <s v="PAYONE on WLOC Functional gap closure "/>
    <s v="Micropayments via aggregation"/>
    <s v="WLOC_CARD_FE"/>
    <s v="L"/>
    <n v="400"/>
    <s v="override"/>
    <s v="OK"/>
    <m/>
    <m/>
    <m/>
    <n v="400"/>
    <s v="P5"/>
    <n v="400"/>
    <s v="Amaury Kervyn"/>
    <s v="Synergies"/>
    <s v="ECOM"/>
    <m/>
    <m/>
    <n v="193.2"/>
    <x v="1"/>
    <x v="4"/>
    <s v="United"/>
    <s v="U&amp;MP"/>
  </r>
  <r>
    <s v="United B2 - eCom - PAYONE phase out"/>
    <x v="321"/>
    <s v="[UNITED] Payone Merchant Portal"/>
    <s v="Translation automation Integration "/>
    <s v="WLOC_MXP"/>
    <s v="L"/>
    <n v="200"/>
    <s v="auto"/>
    <s v="OK"/>
    <m/>
    <n v="200"/>
    <m/>
    <m/>
    <s v="P1"/>
    <n v="200"/>
    <s v="Sebastien Fantone"/>
    <s v="Synergies"/>
    <s v="ECOM"/>
    <m/>
    <m/>
    <n v="96.6"/>
    <x v="0"/>
    <x v="4"/>
    <s v="United"/>
    <s v="U&amp;MP"/>
  </r>
  <r>
    <s v="United B2 - eCom - PAYONE phase out"/>
    <x v="321"/>
    <s v="[UNITED] Payone Merchant Portal"/>
    <s v="PCI-DSS Sysnet migration"/>
    <s v="WLOC_MXP"/>
    <s v="XS"/>
    <n v="25"/>
    <s v="override"/>
    <s v="OK"/>
    <m/>
    <n v="25"/>
    <m/>
    <m/>
    <s v="P1"/>
    <n v="25"/>
    <s v="Sebastien Fantone"/>
    <s v="Product"/>
    <s v="ECOM"/>
    <s v="Regulation"/>
    <m/>
    <n v="12.074999999999999"/>
    <x v="0"/>
    <x v="4"/>
    <s v="United"/>
    <s v="U&amp;MP"/>
  </r>
  <r>
    <s v="United B2 - eCom - PAYONE phase out"/>
    <x v="321"/>
    <s v="[UNITED] Payone Merchant Portal"/>
    <s v="Light payment page editor"/>
    <s v="WLOC_MXP"/>
    <s v="L"/>
    <n v="200"/>
    <s v="auto"/>
    <s v="OK"/>
    <m/>
    <n v="200"/>
    <m/>
    <m/>
    <s v="P1"/>
    <n v="200"/>
    <s v="Sebastien Fantone"/>
    <s v="Synergies"/>
    <s v="ECOM"/>
    <m/>
    <m/>
    <n v="96.6"/>
    <x v="0"/>
    <x v="4"/>
    <s v="United"/>
    <s v="U&amp;MP"/>
  </r>
  <r>
    <s v="United B2 - eCom - PAYONE phase out"/>
    <x v="321"/>
    <s v="[UNITED] Payone Merchant Portal"/>
    <s v="Customise Payment Page copy"/>
    <s v="WLOC_APM"/>
    <s v="L"/>
    <n v="200"/>
    <s v="auto"/>
    <s v="OK"/>
    <m/>
    <n v="80"/>
    <n v="120"/>
    <m/>
    <s v="P1"/>
    <n v="200"/>
    <s v="Sebastien Fantone"/>
    <s v="Synergies"/>
    <s v="ECOM"/>
    <m/>
    <m/>
    <n v="96.6"/>
    <x v="0"/>
    <x v="4"/>
    <s v="United"/>
    <s v="U&amp;MP"/>
  </r>
  <r>
    <s v="United B2 - eCom - PAYONE phase out"/>
    <x v="321"/>
    <s v="[UNITED] Payone Merchant Portal"/>
    <s v="Application Drawer"/>
    <s v="WLOC_MXP"/>
    <s v="M"/>
    <n v="100"/>
    <s v="auto"/>
    <s v="OK"/>
    <m/>
    <n v="100"/>
    <m/>
    <m/>
    <s v="P1"/>
    <n v="100"/>
    <s v="Sebastien Fantone"/>
    <s v="Synergies"/>
    <s v="ECOM"/>
    <m/>
    <m/>
    <n v="48.3"/>
    <x v="0"/>
    <x v="4"/>
    <s v="United"/>
    <s v="U&amp;MP"/>
  </r>
  <r>
    <s v="United B2 - eCom - PAYONE phase out"/>
    <x v="321"/>
    <s v="[UNITED] Payone Collecting"/>
    <s v="WL Red in Full Service"/>
    <s v="WLOC_IFS"/>
    <s v="M"/>
    <n v="150"/>
    <s v="auto"/>
    <s v="OK"/>
    <m/>
    <n v="150"/>
    <n v="0"/>
    <n v="0"/>
    <s v="P1"/>
    <n v="150"/>
    <s v="Amaury Kervyn"/>
    <s v="Synergies"/>
    <s v="ECOM"/>
    <m/>
    <m/>
    <n v="72.45"/>
    <x v="0"/>
    <x v="4"/>
    <s v="United"/>
    <s v="U&amp;MP"/>
  </r>
  <r>
    <s v="United B2 - eCom - PAYONE phase out"/>
    <x v="321"/>
    <s v="[UNITED] Payone Collecting"/>
    <s v="WeChatPay in Full Service"/>
    <s v="WLOC_IFS"/>
    <s v="M"/>
    <n v="150"/>
    <s v="auto"/>
    <s v="OK"/>
    <n v="0"/>
    <n v="0"/>
    <n v="0"/>
    <n v="150"/>
    <s v="P4"/>
    <n v="150"/>
    <s v="Amaury Kervyn"/>
    <s v="Synergies"/>
    <s v="ECOM"/>
    <m/>
    <m/>
    <n v="72.45"/>
    <x v="1"/>
    <x v="4"/>
    <s v="United"/>
    <s v="U&amp;MP"/>
  </r>
  <r>
    <s v="United B2 - eCom - PAYONE phase out"/>
    <x v="321"/>
    <s v="[UNITED] Payone PM (Gateway)"/>
    <s v="Verkkopankki on WLOC FE"/>
    <s v="WLOC_APM"/>
    <m/>
    <n v="200"/>
    <s v="auto"/>
    <s v="OK"/>
    <m/>
    <m/>
    <m/>
    <n v="200"/>
    <s v="P5"/>
    <n v="200"/>
    <s v="Amaury Kervyn"/>
    <s v="Synergies"/>
    <s v="ECOM"/>
    <m/>
    <s v="Via PPRO?"/>
    <n v="96.6"/>
    <x v="1"/>
    <x v="4"/>
    <s v="United"/>
    <s v="U&amp;MP"/>
  </r>
  <r>
    <s v="United B2 - eCom - PAYONE phase out"/>
    <x v="321"/>
    <s v="[UNITED] Payone Merchant Portal"/>
    <s v="Usage tracker (e.g: Mixpanel"/>
    <s v="WLOC_MXP"/>
    <s v="S"/>
    <n v="50"/>
    <s v="auto"/>
    <s v="OK"/>
    <n v="50"/>
    <m/>
    <m/>
    <m/>
    <s v="P1"/>
    <n v="50"/>
    <s v="Sebastien Fantone"/>
    <s v="Synergies"/>
    <s v="ECOM"/>
    <m/>
    <m/>
    <n v="24.15"/>
    <x v="0"/>
    <x v="4"/>
    <s v="United"/>
    <s v="U&amp;MP"/>
  </r>
  <r>
    <s v="United B2 - eCom - PAYONE phase out"/>
    <x v="321"/>
    <s v="[UNITED] Payone Collecting"/>
    <s v="Tunz Licence agnostic"/>
    <s v="WLOC_IFS"/>
    <s v="XXXL"/>
    <n v="1040"/>
    <s v="auto"/>
    <s v="OK"/>
    <m/>
    <n v="240"/>
    <n v="400"/>
    <n v="400"/>
    <s v="P1"/>
    <n v="1040"/>
    <s v="Amaury Kervyn"/>
    <s v="Synergies"/>
    <s v="ECOM"/>
    <m/>
    <m/>
    <n v="502.32"/>
    <x v="0"/>
    <x v="4"/>
    <s v="United"/>
    <s v="U&amp;MP"/>
  </r>
  <r>
    <s v="United B2 - eCom - PAYONE phase out"/>
    <x v="321"/>
    <s v="[UNITED] Payone PM (Gateway)"/>
    <s v="TrustPay on WLOC FE"/>
    <s v="WLOC_APM"/>
    <m/>
    <n v="200"/>
    <s v="auto"/>
    <s v="OK"/>
    <m/>
    <m/>
    <m/>
    <n v="200"/>
    <s v="P5"/>
    <n v="200"/>
    <s v="Amaury Kervyn"/>
    <s v="Synergies"/>
    <s v="ECOM"/>
    <m/>
    <s v="Via PPRO?"/>
    <n v="96.6"/>
    <x v="1"/>
    <x v="4"/>
    <s v="United"/>
    <s v="U&amp;MP"/>
  </r>
  <r>
    <s v="United B2 - eCom - PAYONE phase out"/>
    <x v="321"/>
    <s v="[UNITED] Payone Collecting"/>
    <s v="Trustpay in Full Service"/>
    <s v="WLOC_IFS"/>
    <s v="M"/>
    <n v="150"/>
    <s v="auto"/>
    <s v="OK"/>
    <n v="0"/>
    <n v="0"/>
    <n v="0"/>
    <n v="150"/>
    <s v="P3"/>
    <n v="150"/>
    <s v="Amaury Kervyn"/>
    <s v="Synergies"/>
    <s v="ECOM"/>
    <m/>
    <m/>
    <n v="72.45"/>
    <x v="1"/>
    <x v="4"/>
    <s v="United"/>
    <s v="U&amp;MP"/>
  </r>
  <r>
    <s v="United B2 - eCom - PAYONE phase out"/>
    <x v="321"/>
    <s v="[UNITED] Payone PM (Gateway)"/>
    <s v="Trustly on WLOC FE"/>
    <s v="WLOC_APM"/>
    <m/>
    <n v="200"/>
    <s v="auto"/>
    <s v="OK"/>
    <m/>
    <m/>
    <m/>
    <n v="200"/>
    <s v="P5"/>
    <n v="200"/>
    <s v="Amaury Kervyn"/>
    <s v="Synergies"/>
    <s v="ECOM"/>
    <m/>
    <s v="Via PPRO?"/>
    <n v="96.6"/>
    <x v="1"/>
    <x v="4"/>
    <s v="United"/>
    <s v="U&amp;MP"/>
  </r>
  <r>
    <s v="United B2 - eCom - PAYONE phase out"/>
    <x v="321"/>
    <s v="[UNITED] Payone Collecting"/>
    <s v="Trustly in Full Service"/>
    <s v="WLOC_IFS"/>
    <s v="M"/>
    <n v="150"/>
    <s v="auto"/>
    <s v="OK"/>
    <n v="0"/>
    <n v="0"/>
    <n v="0"/>
    <n v="150"/>
    <s v="P3"/>
    <n v="150"/>
    <s v="Amaury Kervyn"/>
    <s v="Synergies"/>
    <s v="ECOM"/>
    <m/>
    <m/>
    <n v="72.45"/>
    <x v="1"/>
    <x v="4"/>
    <s v="United"/>
    <s v="U&amp;MP"/>
  </r>
  <r>
    <s v="United B2 - eCom - PAYONE phase out"/>
    <x v="321"/>
    <s v="[UNITED] Payone Merchant Portal"/>
    <s v="Technical settings configuration "/>
    <s v="WLOC_MXP"/>
    <s v="M"/>
    <n v="100"/>
    <s v="auto"/>
    <s v="OK"/>
    <n v="100"/>
    <m/>
    <m/>
    <m/>
    <s v="P1"/>
    <n v="100"/>
    <s v="Sebastien Fantone"/>
    <s v="Synergies"/>
    <s v="ECOM"/>
    <m/>
    <m/>
    <n v="48.3"/>
    <x v="0"/>
    <x v="4"/>
    <s v="United"/>
    <s v="U&amp;MP"/>
  </r>
  <r>
    <s v="United B2 - eCom - PAYONE phase out"/>
    <x v="321"/>
    <s v="[UNITED] Payone PM (Gateway)"/>
    <s v="Secured invoice on WLOC FE"/>
    <s v="WLOC_APM"/>
    <m/>
    <n v="245"/>
    <s v="auto"/>
    <s v="OK"/>
    <m/>
    <m/>
    <n v="125"/>
    <n v="120"/>
    <s v="P1"/>
    <n v="245"/>
    <s v="Amaury Kervyn"/>
    <s v="Synergies"/>
    <s v="ECOM"/>
    <m/>
    <m/>
    <n v="118.33499999999999"/>
    <x v="0"/>
    <x v="4"/>
    <s v="United"/>
    <s v="U&amp;MP"/>
  </r>
  <r>
    <s v="United B2 - eCom - PAYONE phase out"/>
    <x v="321"/>
    <s v="[UNITED] Payone Collecting"/>
    <s v="Secured invoice in Full Service"/>
    <s v="WLOC_IFS"/>
    <s v="M"/>
    <n v="150"/>
    <s v="auto"/>
    <s v="OK"/>
    <n v="0"/>
    <n v="0"/>
    <m/>
    <n v="150"/>
    <s v="P2"/>
    <n v="150"/>
    <s v="Amaury Kervyn"/>
    <s v="Synergies"/>
    <s v="ECOM"/>
    <m/>
    <m/>
    <n v="72.45"/>
    <x v="0"/>
    <x v="4"/>
    <s v="United"/>
    <s v="U&amp;MP"/>
  </r>
  <r>
    <s v="United B2 - eCom - PAYONE phase out"/>
    <x v="321"/>
    <s v="[UNITED] Payone Collecting"/>
    <s v="SDD v2 in Full Service"/>
    <s v="WLOC_IFS"/>
    <s v="M"/>
    <n v="100"/>
    <s v="auto"/>
    <s v="OK"/>
    <m/>
    <m/>
    <m/>
    <n v="100"/>
    <s v="P2"/>
    <n v="100"/>
    <s v="Amaury Kervyn"/>
    <s v="Synergies"/>
    <s v="ECOM"/>
    <m/>
    <m/>
    <n v="48.3"/>
    <x v="0"/>
    <x v="4"/>
    <s v="United"/>
    <s v="U&amp;MP"/>
  </r>
  <r>
    <s v="United B2 - eCom - PAYONE phase out"/>
    <x v="321"/>
    <s v="[UNITED] Payone PM (Gateway)"/>
    <s v="SDD (Gateway) implementation on WLOC FE"/>
    <s v="WLOC_APM"/>
    <s v="S"/>
    <n v="50"/>
    <s v="auto"/>
    <s v="OK"/>
    <n v="0"/>
    <n v="0"/>
    <n v="50"/>
    <n v="0"/>
    <s v="P1"/>
    <n v="50"/>
    <s v="Amaury Kervyn"/>
    <s v="Synergies"/>
    <s v="ECOM"/>
    <m/>
    <m/>
    <n v="24.15"/>
    <x v="0"/>
    <x v="4"/>
    <s v="United"/>
    <s v="U&amp;MP"/>
  </r>
  <r>
    <s v="United B2 - eCom - PAYONE phase out"/>
    <x v="321"/>
    <s v="[UNITED] Payone PM (Gateway)"/>
    <s v="SDD (Gateway) implementation on APM Hub"/>
    <s v="APM_Hub"/>
    <s v="M"/>
    <n v="150"/>
    <s v="auto"/>
    <s v="OK"/>
    <m/>
    <m/>
    <n v="150"/>
    <m/>
    <s v="P1"/>
    <n v="150"/>
    <s v="Amaury Kervyn"/>
    <s v="Synergies"/>
    <s v="OCH"/>
    <m/>
    <m/>
    <n v="76.95"/>
    <x v="0"/>
    <x v="2"/>
    <s v="United"/>
    <s v="U&amp;MP"/>
  </r>
  <r>
    <s v="United B2 - eCom - PAYONE phase out"/>
    <x v="321"/>
    <s v="[UNITED] Payone PM (Gateway)"/>
    <s v="SDD (Gateway) implementation on equensworldline"/>
    <s v="FS"/>
    <s v="L"/>
    <n v="300"/>
    <s v="auto"/>
    <s v="OK"/>
    <n v="100"/>
    <n v="150"/>
    <n v="50"/>
    <m/>
    <s v="P1"/>
    <n v="300"/>
    <s v="Amaury Kervyn"/>
    <s v="Synergies"/>
    <s v="OTHER"/>
    <m/>
    <m/>
    <n v="150"/>
    <x v="0"/>
    <x v="6"/>
    <s v="United"/>
    <s v="U&amp;MP"/>
  </r>
  <r>
    <s v="United B2 - eCom - PAYONE phase out"/>
    <x v="321"/>
    <s v="[UNITED] Payone PM (Gateway)"/>
    <s v="RatePay on WLOC FE"/>
    <s v="WLOC_APM"/>
    <m/>
    <n v="654"/>
    <s v="auto"/>
    <s v="OK"/>
    <m/>
    <m/>
    <m/>
    <n v="654"/>
    <s v="P4"/>
    <n v="654"/>
    <s v="Amaury Kervyn"/>
    <s v="Synergies"/>
    <s v="ECOM"/>
    <m/>
    <m/>
    <n v="315.88200000000001"/>
    <x v="1"/>
    <x v="4"/>
    <s v="United"/>
    <s v="U&amp;MP"/>
  </r>
  <r>
    <s v="United B2 - eCom - PAYONE phase out"/>
    <x v="321"/>
    <s v="[UNITED] Payone PM (Gateway)"/>
    <s v="PostFinance card/eFinance"/>
    <s v="WLOC_APM"/>
    <s v="L"/>
    <n v="200"/>
    <s v="auto"/>
    <s v="OK"/>
    <n v="0"/>
    <n v="0"/>
    <n v="0"/>
    <n v="200"/>
    <s v="P2"/>
    <n v="200"/>
    <s v="Amaury Kervyn"/>
    <s v="Synergies"/>
    <s v="ECOM"/>
    <m/>
    <m/>
    <n v="96.6"/>
    <x v="0"/>
    <x v="4"/>
    <s v="United"/>
    <s v="U&amp;MP"/>
  </r>
  <r>
    <s v="United B2 - eCom - PAYONE phase out"/>
    <x v="321"/>
    <s v="[UNITED] Payone PM (Gateway)"/>
    <s v="PayU on WLOC FE"/>
    <s v="WLOC_APM"/>
    <m/>
    <n v="200"/>
    <s v="auto"/>
    <s v="OK"/>
    <m/>
    <m/>
    <m/>
    <n v="200"/>
    <s v="P5"/>
    <n v="200"/>
    <s v="Amaury Kervyn"/>
    <s v="Synergies"/>
    <s v="ECOM"/>
    <m/>
    <s v="Via PPRO?"/>
    <n v="96.6"/>
    <x v="1"/>
    <x v="4"/>
    <s v="United"/>
    <s v="U&amp;MP"/>
  </r>
  <r>
    <s v="United B2 - eCom - PAYONE phase out"/>
    <x v="321"/>
    <s v="[UNITED] Payone Collecting"/>
    <s v="PayU in Full Service"/>
    <s v="WLOC_IFS"/>
    <s v="M"/>
    <n v="150"/>
    <s v="auto"/>
    <s v="OK"/>
    <n v="0"/>
    <n v="0"/>
    <n v="0"/>
    <n v="150"/>
    <s v="P3"/>
    <n v="150"/>
    <s v="Amaury Kervyn"/>
    <s v="Synergies"/>
    <s v="ECOM"/>
    <m/>
    <m/>
    <n v="72.45"/>
    <x v="1"/>
    <x v="4"/>
    <s v="United"/>
    <s v="U&amp;MP"/>
  </r>
  <r>
    <s v="United B2 - eCom - PAYONE phase out"/>
    <x v="321"/>
    <s v="[UNITED] Payone Collecting"/>
    <s v="PayPal in Full Service"/>
    <s v="WLOC_IFS"/>
    <s v="L"/>
    <n v="200"/>
    <s v="auto"/>
    <s v="OK"/>
    <m/>
    <m/>
    <m/>
    <n v="200"/>
    <s v="P2"/>
    <n v="200"/>
    <s v="Amaury Kervyn"/>
    <s v="Synergies"/>
    <s v="ECOM"/>
    <m/>
    <m/>
    <n v="96.6"/>
    <x v="0"/>
    <x v="4"/>
    <s v="United"/>
    <s v="U&amp;MP"/>
  </r>
  <r>
    <s v="United B2 - eCom - PAYONE phase out"/>
    <x v="321"/>
    <s v="[UNITED] Payone PM (Gateway)"/>
    <s v="PayPal Feature gap on WLOC FE"/>
    <s v="WLOC_APM"/>
    <m/>
    <n v="320"/>
    <s v="auto"/>
    <s v="OK"/>
    <m/>
    <m/>
    <m/>
    <n v="320"/>
    <s v="P4"/>
    <n v="320"/>
    <s v="Amaury Kervyn"/>
    <s v="Synergies"/>
    <s v="ECOM"/>
    <m/>
    <m/>
    <n v="154.56"/>
    <x v="1"/>
    <x v="4"/>
    <s v="United"/>
    <s v="U&amp;MP"/>
  </r>
  <r>
    <s v="United B2 - eCom - PAYONE phase out"/>
    <x v="321"/>
    <s v="[UNITED] Payone Collecting"/>
    <s v="Payone onboarding"/>
    <s v="WLOC_IFS"/>
    <s v="M"/>
    <n v="100"/>
    <s v="auto"/>
    <s v="OK"/>
    <n v="0"/>
    <n v="0"/>
    <n v="100"/>
    <n v="0"/>
    <s v="P1"/>
    <n v="100"/>
    <s v="Amaury Kervyn"/>
    <s v="Synergies"/>
    <s v="ECOM"/>
    <m/>
    <m/>
    <n v="48.3"/>
    <x v="0"/>
    <x v="4"/>
    <s v="United"/>
    <s v="U&amp;MP"/>
  </r>
  <r>
    <s v="United B2 - eCom - PAYONE phase out"/>
    <x v="321"/>
    <s v="[UNITED] Payone acquirer"/>
    <s v="PayOne AH migration"/>
    <s v="WLOC_CARD_BE"/>
    <s v="XS"/>
    <n v="20"/>
    <s v="auto"/>
    <s v="OK"/>
    <n v="0"/>
    <n v="20"/>
    <n v="0"/>
    <n v="0"/>
    <s v="P1"/>
    <n v="20"/>
    <s v="Emmanuel Blumel"/>
    <s v="Synergies"/>
    <s v="ECOM"/>
    <m/>
    <m/>
    <n v="9.66"/>
    <x v="0"/>
    <x v="4"/>
    <s v="United"/>
    <s v="U&amp;MP"/>
  </r>
  <r>
    <s v="United B2 - eCom - PAYONE phase out"/>
    <x v="321"/>
    <s v="[UNITED] Payone PM (Gateway)"/>
    <s v="Payment in Advance - Bank transfer on WLOC FE"/>
    <s v="WLOC_APM"/>
    <m/>
    <n v="200"/>
    <s v="auto"/>
    <s v="OK"/>
    <m/>
    <m/>
    <m/>
    <n v="200"/>
    <s v="P4"/>
    <n v="200"/>
    <s v="Amaury Kervyn"/>
    <s v="Synergies"/>
    <s v="ECOM"/>
    <m/>
    <m/>
    <n v="96.6"/>
    <x v="1"/>
    <x v="4"/>
    <s v="United"/>
    <s v="U&amp;MP"/>
  </r>
  <r>
    <s v="United B2 - eCom - PAYONE phase out"/>
    <x v="321"/>
    <s v="[UNITED] Payone PM (Gateway)"/>
    <s v="Paydirekt implementation on WLOC FE"/>
    <s v="WLOC_APM"/>
    <s v="M"/>
    <n v="80"/>
    <s v="auto"/>
    <s v="OK"/>
    <n v="0"/>
    <n v="0"/>
    <m/>
    <n v="80"/>
    <s v="P2"/>
    <n v="80"/>
    <s v="Amaury Kervyn"/>
    <s v="Synergies"/>
    <s v="ECOM"/>
    <m/>
    <m/>
    <n v="38.64"/>
    <x v="0"/>
    <x v="4"/>
    <s v="United"/>
    <s v="U&amp;MP"/>
  </r>
  <r>
    <s v="United B2 - eCom - PAYONE phase out"/>
    <x v="321"/>
    <s v="[UNITED] Payone PM (Gateway)"/>
    <s v="Paydirekt implementation on APM Hub"/>
    <s v="APM_Hub"/>
    <s v="XXL"/>
    <n v="320"/>
    <s v="auto"/>
    <s v="OK"/>
    <m/>
    <m/>
    <n v="200"/>
    <n v="120"/>
    <s v="P2"/>
    <n v="320"/>
    <s v="Amaury Kervyn"/>
    <s v="Synergies"/>
    <s v="OCH"/>
    <m/>
    <m/>
    <n v="164.16"/>
    <x v="0"/>
    <x v="2"/>
    <s v="United"/>
    <s v="U&amp;MP"/>
  </r>
  <r>
    <s v="United B2 - eCom - PAYONE phase out"/>
    <x v="321"/>
    <s v="[UNITED] Payone Collecting"/>
    <s v="Paydirect in Full Service"/>
    <s v="WLOC_IFS"/>
    <s v="M"/>
    <n v="150"/>
    <s v="auto"/>
    <s v="OK"/>
    <n v="0"/>
    <n v="0"/>
    <n v="150"/>
    <m/>
    <s v="P4"/>
    <n v="150"/>
    <s v="Amaury Kervyn"/>
    <s v="Synergies"/>
    <s v="ECOM"/>
    <m/>
    <m/>
    <n v="72.45"/>
    <x v="1"/>
    <x v="4"/>
    <s v="United"/>
    <s v="U&amp;MP"/>
  </r>
  <r>
    <s v="United B2 - eCom - PAYONE phase out"/>
    <x v="321"/>
    <s v="[UNITED] Payone Collecting"/>
    <s v="Pay in advance in Full Service"/>
    <s v="WLOC_IFS"/>
    <s v="M"/>
    <n v="150"/>
    <s v="auto"/>
    <s v="OK"/>
    <n v="0"/>
    <n v="0"/>
    <n v="150"/>
    <m/>
    <s v="P4"/>
    <n v="150"/>
    <s v="Amaury Kervyn"/>
    <s v="Synergies"/>
    <s v="ECOM"/>
    <m/>
    <m/>
    <n v="72.45"/>
    <x v="1"/>
    <x v="4"/>
    <s v="United"/>
    <s v="U&amp;MP"/>
  </r>
  <r>
    <s v="United B2 - eCom - PAYONE phase out"/>
    <x v="321"/>
    <s v="[UNITED] Payone PM (Gateway)"/>
    <s v="P24 on WLOC FE"/>
    <s v="WLOC_APM"/>
    <m/>
    <n v="200"/>
    <s v="auto"/>
    <s v="OK"/>
    <m/>
    <m/>
    <m/>
    <n v="200"/>
    <s v="P5"/>
    <n v="200"/>
    <s v="Amaury Kervyn"/>
    <s v="Synergies"/>
    <s v="ECOM"/>
    <m/>
    <s v="Via PPRO?"/>
    <n v="96.6"/>
    <x v="1"/>
    <x v="4"/>
    <s v="United"/>
    <s v="U&amp;MP"/>
  </r>
  <r>
    <s v="United B2 - eCom - PAYONE phase out"/>
    <x v="321"/>
    <s v="[UNITED] Payone PM (Gateway)"/>
    <s v="Open Invoice on WLOC FE"/>
    <s v="WLOC_APM"/>
    <s v="XXL"/>
    <n v="450"/>
    <s v="auto"/>
    <s v="OK"/>
    <n v="0"/>
    <n v="230"/>
    <n v="220"/>
    <n v="0"/>
    <s v="P2"/>
    <n v="450"/>
    <s v="Amaury Kervyn"/>
    <s v="Synergies"/>
    <s v="ECOM"/>
    <m/>
    <m/>
    <n v="217.35"/>
    <x v="0"/>
    <x v="4"/>
    <s v="United"/>
    <s v="U&amp;MP"/>
  </r>
  <r>
    <s v="United B2 - eCom - PAYONE phase out"/>
    <x v="321"/>
    <s v="[UNITED] Payone Collecting"/>
    <s v="Open Invoice in Full Service"/>
    <s v="WLOC_IFS"/>
    <s v="M"/>
    <n v="150"/>
    <s v="auto"/>
    <s v="OK"/>
    <m/>
    <m/>
    <n v="150"/>
    <m/>
    <s v="P4"/>
    <n v="150"/>
    <s v="Amaury Kervyn"/>
    <s v="Synergies"/>
    <s v="ECOM"/>
    <m/>
    <m/>
    <n v="72.45"/>
    <x v="1"/>
    <x v="4"/>
    <s v="United"/>
    <s v="U&amp;MP"/>
  </r>
  <r>
    <s v="United B2 - eCom - PAYONE phase out"/>
    <x v="321"/>
    <s v="[UNITED] Payone PM (Gateway)"/>
    <s v="Multibanco on WLOC FE"/>
    <s v="WLOC_APM"/>
    <m/>
    <n v="200"/>
    <s v="auto"/>
    <s v="OK"/>
    <m/>
    <m/>
    <m/>
    <n v="200"/>
    <s v="P5"/>
    <n v="200"/>
    <s v="Amaury Kervyn"/>
    <s v="Synergies"/>
    <s v="ECOM"/>
    <m/>
    <s v="Via PPRO?"/>
    <n v="96.6"/>
    <x v="1"/>
    <x v="4"/>
    <s v="United"/>
    <s v="U&amp;MP"/>
  </r>
  <r>
    <s v="United B2 - eCom - PAYONE phase out"/>
    <x v="321"/>
    <s v="[UNITED] Payone Collecting"/>
    <s v="Multibanco in Full Service"/>
    <s v="WLOC_IFS"/>
    <s v="M"/>
    <n v="150"/>
    <s v="auto"/>
    <s v="OK"/>
    <n v="0"/>
    <n v="0"/>
    <n v="0"/>
    <n v="150"/>
    <s v="P4"/>
    <n v="150"/>
    <s v="Amaury Kervyn"/>
    <s v="Synergies"/>
    <s v="ECOM"/>
    <m/>
    <m/>
    <n v="72.45"/>
    <x v="1"/>
    <x v="4"/>
    <s v="United"/>
    <s v="U&amp;MP"/>
  </r>
  <r>
    <s v="United B2 - eCom - PAYONE phase out"/>
    <x v="321"/>
    <s v="[UNITED] Payone Customer Care Interface"/>
    <s v="MP Customer Care Interface"/>
    <s v="WLOC_MXP"/>
    <s v="XL"/>
    <n v="250"/>
    <s v="override"/>
    <s v="OK"/>
    <m/>
    <m/>
    <m/>
    <n v="250"/>
    <s v="P1"/>
    <n v="250"/>
    <s v="Sebastien Fantone"/>
    <s v="Synergies"/>
    <s v="ECOM"/>
    <m/>
    <m/>
    <n v="120.75"/>
    <x v="0"/>
    <x v="4"/>
    <s v="United"/>
    <s v="U&amp;MP"/>
  </r>
  <r>
    <s v="United B2 - eCom - PAYONE phase out"/>
    <x v="321"/>
    <s v="[UNITED] Payone PM (Gateway)"/>
    <s v="Klarne feature gap on WLOC FE"/>
    <s v="WLOC_APM"/>
    <m/>
    <n v="574"/>
    <s v="auto"/>
    <s v="OK"/>
    <m/>
    <m/>
    <m/>
    <n v="574"/>
    <s v="P4"/>
    <n v="574"/>
    <s v="Amaury Kervyn"/>
    <s v="Synergies"/>
    <s v="ECOM"/>
    <m/>
    <m/>
    <n v="277.24200000000002"/>
    <x v="1"/>
    <x v="4"/>
    <s v="United"/>
    <s v="U&amp;MP"/>
  </r>
  <r>
    <s v="United B2 - eCom - PAYONE phase out"/>
    <x v="321"/>
    <s v="[UNITED] Payone Collecting"/>
    <s v="Gross Settlement"/>
    <s v="WLOC_IFS"/>
    <s v="XXL"/>
    <n v="600"/>
    <s v="auto"/>
    <s v="OK"/>
    <n v="0"/>
    <m/>
    <n v="250"/>
    <n v="350"/>
    <s v="P1"/>
    <n v="600"/>
    <s v="Amaury Kervyn"/>
    <s v="Synergies"/>
    <s v="ECOM"/>
    <m/>
    <m/>
    <n v="289.8"/>
    <x v="0"/>
    <x v="4"/>
    <s v="United"/>
    <s v="U&amp;MP"/>
  </r>
  <r>
    <s v="United B2 - eCom - PAYONE phase out"/>
    <x v="321"/>
    <s v="[UNITED] Payone PM (Gateway)"/>
    <s v="Giropay implementation on WLOC FE"/>
    <s v="WLOC_APM"/>
    <s v="S"/>
    <n v="50"/>
    <s v="auto"/>
    <s v="OK"/>
    <n v="0"/>
    <n v="0"/>
    <n v="0"/>
    <n v="50"/>
    <s v="P1"/>
    <n v="50"/>
    <s v="Amaury Kervyn"/>
    <s v="Synergies"/>
    <s v="ECOM"/>
    <m/>
    <m/>
    <n v="24.15"/>
    <x v="0"/>
    <x v="4"/>
    <s v="United"/>
    <s v="U&amp;MP"/>
  </r>
  <r>
    <s v="United B2 - eCom - PAYONE phase out"/>
    <x v="321"/>
    <s v="[UNITED] Payone PM (Gateway)"/>
    <s v="Giropay implementation on APM Hub"/>
    <s v="APM_Hub"/>
    <s v="L"/>
    <n v="150"/>
    <s v="auto"/>
    <s v="OK"/>
    <m/>
    <m/>
    <m/>
    <n v="150"/>
    <s v="P1"/>
    <n v="150"/>
    <s v="Amaury Kervyn"/>
    <s v="Synergies"/>
    <s v="OCH"/>
    <m/>
    <m/>
    <n v="76.95"/>
    <x v="0"/>
    <x v="2"/>
    <s v="United"/>
    <s v="U&amp;MP"/>
  </r>
  <r>
    <s v="United B2 - eCom - PAYONE phase out"/>
    <x v="321"/>
    <s v="[UNITED] Payone Fraud"/>
    <s v="Fraud PayOne gap - CC/Bank Acc. check"/>
    <s v="WLOC_CARD_FE"/>
    <s v="L"/>
    <n v="220"/>
    <s v="auto"/>
    <s v="OK"/>
    <n v="220"/>
    <n v="0"/>
    <n v="0"/>
    <n v="0"/>
    <s v="P1"/>
    <n v="220"/>
    <s v="Emmanuel Blumel"/>
    <s v="Synergies"/>
    <s v="ECOM"/>
    <m/>
    <m/>
    <n v="106.26"/>
    <x v="0"/>
    <x v="4"/>
    <s v="United"/>
    <s v="U&amp;MP"/>
  </r>
  <r>
    <s v="United B2 - eCom - PAYONE phase out"/>
    <x v="321"/>
    <s v="[UNITED] Payone Fraud"/>
    <s v="Fraud Passive Checks"/>
    <s v="WLOC_CARD_FE"/>
    <s v="XXL"/>
    <n v="600"/>
    <s v="auto"/>
    <s v="OK"/>
    <m/>
    <m/>
    <m/>
    <n v="600"/>
    <s v="P4"/>
    <n v="600"/>
    <s v="Emmanuel Blumel"/>
    <s v="Synergies"/>
    <s v="ECOM"/>
    <m/>
    <m/>
    <n v="289.8"/>
    <x v="1"/>
    <x v="4"/>
    <s v="United"/>
    <s v="U&amp;MP"/>
  </r>
  <r>
    <s v="United B2 - eCom - PAYONE phase out"/>
    <x v="321"/>
    <s v="[UNITED] Payone Fraud"/>
    <s v="Fraud - Trx risk category"/>
    <s v="WLOC_CARD_FE"/>
    <s v="L"/>
    <n v="200"/>
    <s v="auto"/>
    <s v="OK"/>
    <m/>
    <m/>
    <m/>
    <n v="200"/>
    <s v="P4"/>
    <n v="200"/>
    <s v="Emmanuel Blumel"/>
    <s v="Synergies"/>
    <s v="ECOM"/>
    <m/>
    <m/>
    <n v="96.6"/>
    <x v="1"/>
    <x v="4"/>
    <s v="United"/>
    <s v="U&amp;MP"/>
  </r>
  <r>
    <s v="United B2 - eCom - PAYONE phase out"/>
    <x v="321"/>
    <s v="[UNITED] Payone Fraud"/>
    <s v="Fraud - connection Fraud Hub to Iris by IBM"/>
    <s v="GC Supp2"/>
    <s v="XXXL"/>
    <n v="600"/>
    <s v="auto"/>
    <s v="OK"/>
    <m/>
    <m/>
    <m/>
    <n v="600"/>
    <s v="P5"/>
    <n v="600"/>
    <s v="Emmanuel Blumel"/>
    <s v="Synergies"/>
    <s v="ONLINE"/>
    <m/>
    <m/>
    <n v="307.8"/>
    <x v="1"/>
    <x v="5"/>
    <s v="United"/>
    <s v="U&amp;MP"/>
  </r>
  <r>
    <s v="United B2 - eCom - PAYONE phase out"/>
    <x v="321"/>
    <s v="[UNITED] Payone Collecting"/>
    <s v="EPS in Full Service"/>
    <s v="WLOC_IFS"/>
    <s v="M"/>
    <n v="150"/>
    <s v="auto"/>
    <s v="OK"/>
    <n v="0"/>
    <n v="0"/>
    <n v="0"/>
    <n v="150"/>
    <s v="P4"/>
    <n v="150"/>
    <s v="Amaury Kervyn"/>
    <s v="Synergies"/>
    <s v="ECOM"/>
    <m/>
    <m/>
    <n v="72.45"/>
    <x v="1"/>
    <x v="4"/>
    <s v="United"/>
    <s v="U&amp;MP"/>
  </r>
  <r>
    <s v="United B2 - eCom - PAYONE phase out"/>
    <x v="321"/>
    <s v="[UNITED] Payone VAS"/>
    <s v="Dunning Module"/>
    <s v="WLOC_MXP"/>
    <s v="M"/>
    <n v="100"/>
    <s v="auto"/>
    <s v="OK"/>
    <m/>
    <m/>
    <m/>
    <n v="100"/>
    <s v="P1"/>
    <n v="100"/>
    <s v="Sebastien Fantone"/>
    <s v="Synergies"/>
    <s v="ECOM"/>
    <m/>
    <m/>
    <n v="48.3"/>
    <x v="0"/>
    <x v="4"/>
    <s v="United"/>
    <s v="U&amp;MP"/>
  </r>
  <r>
    <s v="United B2 - eCom - PAYONE phase out"/>
    <x v="321"/>
    <s v="[UNITED] Payone Fraud"/>
    <s v="Connection to Fraud Hub"/>
    <s v="WLOC_CARD_FE"/>
    <s v="XXL"/>
    <n v="420"/>
    <s v="auto"/>
    <s v="OK"/>
    <n v="0"/>
    <n v="0"/>
    <n v="290"/>
    <n v="130"/>
    <s v="P1"/>
    <n v="420"/>
    <s v="Emmanuel Blumel"/>
    <s v="Synergies"/>
    <s v="ECOM"/>
    <m/>
    <m/>
    <n v="202.86"/>
    <x v="0"/>
    <x v="4"/>
    <s v="United"/>
    <s v="U&amp;MP"/>
  </r>
  <r>
    <s v="United B2 - eCom - PAYONE phase out"/>
    <x v="321"/>
    <s v="[UNITED] Payone PM (Gateway)"/>
    <s v="BLIK on WLOC FE"/>
    <s v="WLOC_APM"/>
    <m/>
    <n v="200"/>
    <s v="auto"/>
    <s v="OK"/>
    <m/>
    <m/>
    <m/>
    <n v="200"/>
    <s v="P5"/>
    <n v="200"/>
    <s v="Amaury Kervyn"/>
    <s v="Synergies"/>
    <s v="ECOM"/>
    <m/>
    <s v="Via PPRO?"/>
    <n v="96.6"/>
    <x v="1"/>
    <x v="4"/>
    <s v="United"/>
    <s v="U&amp;MP"/>
  </r>
  <r>
    <s v="United B2 - eCom - PAYONE phase out"/>
    <x v="321"/>
    <s v="[UNITED] Payone PM (Gateway)"/>
    <s v="apple pay via credit card / girocard"/>
    <s v="WLOC_APM"/>
    <m/>
    <n v="138"/>
    <s v="auto"/>
    <s v="OK"/>
    <m/>
    <n v="70"/>
    <n v="68"/>
    <m/>
    <s v="P1"/>
    <n v="138"/>
    <s v="Emmanuel Blumel"/>
    <s v="Synergies"/>
    <s v="ECOM"/>
    <m/>
    <m/>
    <n v="66.653999999999996"/>
    <x v="0"/>
    <x v="4"/>
    <s v="United"/>
    <s v="U&amp;MP"/>
  </r>
  <r>
    <s v="United B2 - eCom - PAYONE phase out"/>
    <x v="321"/>
    <s v="[UNITED] Payone Collecting"/>
    <s v="Blik in Full Service"/>
    <s v="WLOC_IFS"/>
    <s v="M"/>
    <n v="150"/>
    <s v="auto"/>
    <s v="OK"/>
    <n v="0"/>
    <n v="0"/>
    <n v="0"/>
    <n v="150"/>
    <s v="P5"/>
    <n v="150"/>
    <s v="Amaury Kervyn"/>
    <s v="Synergies"/>
    <s v="ECOM"/>
    <m/>
    <m/>
    <n v="72.45"/>
    <x v="1"/>
    <x v="4"/>
    <s v="United"/>
    <s v="U&amp;MP"/>
  </r>
  <r>
    <s v="United B2 - eCom - PAYONE phase out"/>
    <x v="321"/>
    <s v="[UNITED] Payone Merchant Portal"/>
    <s v="Billing adaptation for PayOne"/>
    <s v="WLOC_MXP"/>
    <s v="M"/>
    <n v="100"/>
    <s v="auto"/>
    <s v="OK"/>
    <m/>
    <m/>
    <m/>
    <n v="100"/>
    <s v="P1"/>
    <n v="100"/>
    <s v="Sebastien Fantone"/>
    <s v="Synergies"/>
    <s v="ECOM"/>
    <m/>
    <m/>
    <n v="48.3"/>
    <x v="0"/>
    <x v="4"/>
    <s v="United"/>
    <s v="U&amp;MP"/>
  </r>
  <r>
    <s v="United B2 - eCom - PAYONE phase out"/>
    <x v="321"/>
    <s v="[UNITED] Payone Collecting"/>
    <s v="Apple Pay in Full Service"/>
    <s v="WLOC_IFS"/>
    <s v="M"/>
    <n v="150"/>
    <s v="auto"/>
    <s v="OK"/>
    <n v="0"/>
    <n v="0"/>
    <n v="150"/>
    <n v="0"/>
    <s v="P2"/>
    <n v="150"/>
    <s v="Amaury Kervyn"/>
    <s v="Synergies"/>
    <s v="ECOM"/>
    <m/>
    <m/>
    <n v="72.45"/>
    <x v="0"/>
    <x v="4"/>
    <s v="United"/>
    <s v="U&amp;MP"/>
  </r>
  <r>
    <s v="United B2 - eCom - PAYONE phase out"/>
    <x v="321"/>
    <s v="[UNITED] Payone PM (Gateway)"/>
    <s v="Apple Pay for PayOne"/>
    <s v="WLOC_APM"/>
    <m/>
    <n v="80"/>
    <s v="auto"/>
    <s v="OK"/>
    <n v="80"/>
    <m/>
    <m/>
    <m/>
    <s v="P1"/>
    <n v="80"/>
    <s v="Emmanuel Blumel"/>
    <s v="Synergies"/>
    <s v="ECOM"/>
    <m/>
    <m/>
    <n v="38.64"/>
    <x v="0"/>
    <x v="4"/>
    <s v="United"/>
    <s v="U&amp;MP"/>
  </r>
  <r>
    <s v="United B2 - eCom - PAYONE phase out"/>
    <x v="321"/>
    <s v="[UNITED] Payone API Emulator"/>
    <s v="API Emulator"/>
    <s v="WLOC_APM"/>
    <s v="XXXL"/>
    <n v="800"/>
    <s v="auto"/>
    <s v="OK"/>
    <m/>
    <m/>
    <n v="400"/>
    <n v="400"/>
    <s v="P4"/>
    <n v="800"/>
    <s v="Sebastien Fantone"/>
    <s v="Synergies"/>
    <s v="ECOM"/>
    <m/>
    <m/>
    <n v="386.4"/>
    <x v="1"/>
    <x v="4"/>
    <s v="United"/>
    <s v="U&amp;MP"/>
  </r>
  <r>
    <s v="United B2 - eCom - PAYONE phase out"/>
    <x v="321"/>
    <s v="[UNITED] Payone Collecting"/>
    <s v="Alipay in Full Service"/>
    <s v="WLOC_IFS"/>
    <s v="M"/>
    <n v="150"/>
    <s v="auto"/>
    <s v="OK"/>
    <n v="0"/>
    <n v="0"/>
    <n v="0"/>
    <n v="150"/>
    <s v="P4"/>
    <n v="150"/>
    <s v="Amaury Kervyn"/>
    <s v="Synergies"/>
    <s v="ECOM"/>
    <m/>
    <m/>
    <n v="72.45"/>
    <x v="1"/>
    <x v="4"/>
    <s v="United"/>
    <s v="U&amp;MP"/>
  </r>
  <r>
    <s v="United B2 - eCom - PAYONE phase out"/>
    <x v="321"/>
    <s v="[UNITED] Payone Fraud"/>
    <s v="Address/consumer score check"/>
    <s v="WLOC_CARD_FE"/>
    <s v="L"/>
    <n v="290"/>
    <s v="auto"/>
    <s v="OK"/>
    <n v="0"/>
    <n v="290"/>
    <n v="0"/>
    <n v="0"/>
    <s v="P1"/>
    <n v="290"/>
    <s v="Emmanuel Blumel"/>
    <s v="Synergies"/>
    <s v="ECOM"/>
    <m/>
    <m/>
    <n v="140.07"/>
    <x v="0"/>
    <x v="4"/>
    <s v="United"/>
    <s v="U&amp;MP"/>
  </r>
  <r>
    <s v="United B2 - eCom - PAYONE phase out"/>
    <x v="321"/>
    <s v="[UNITED] Payone PM (Gateway)"/>
    <s v="amazon pay on WLOC FE"/>
    <s v="WLOC_APM"/>
    <m/>
    <n v="50"/>
    <s v="auto"/>
    <s v="OK"/>
    <m/>
    <m/>
    <m/>
    <n v="50"/>
    <s v="P4"/>
    <n v="50"/>
    <s v="Emmanuel Blumel"/>
    <s v="Synergies"/>
    <s v="ECOM"/>
    <m/>
    <m/>
    <n v="24.15"/>
    <x v="1"/>
    <x v="4"/>
    <s v="United"/>
    <s v="U&amp;MP"/>
  </r>
  <r>
    <s v="United B2 - eCom - PAYONE phase out"/>
    <x v="321"/>
    <s v="[UNITED] Payone PM (Gateway)"/>
    <s v="amazon pay on APM Hub"/>
    <s v="APM_Hub"/>
    <m/>
    <n v="150"/>
    <s v="auto"/>
    <s v="OK"/>
    <m/>
    <m/>
    <m/>
    <n v="150"/>
    <s v="P4"/>
    <n v="150"/>
    <s v="Emmanuel Blumel"/>
    <s v="Synergies"/>
    <s v="OCH"/>
    <m/>
    <m/>
    <n v="76.95"/>
    <x v="1"/>
    <x v="2"/>
    <s v="United"/>
    <s v="U&amp;MP"/>
  </r>
  <r>
    <s v="United B2 - eCom - PAYONE phase out"/>
    <x v="321"/>
    <s v="[UNITED] Payone PM (Gateway)"/>
    <s v="PayOne Accouns receivable"/>
    <s v="WLOC_MXP"/>
    <s v="L"/>
    <n v="200"/>
    <s v="auto"/>
    <s v="OK"/>
    <m/>
    <m/>
    <n v="100"/>
    <n v="100"/>
    <s v="P4"/>
    <n v="200"/>
    <s v="Sebastien Fantone"/>
    <s v="Synergies"/>
    <s v="ECOM"/>
    <m/>
    <m/>
    <n v="96.6"/>
    <x v="1"/>
    <x v="4"/>
    <s v="United"/>
    <s v="U&amp;MP"/>
  </r>
  <r>
    <s v="United B2 - eCom - PAYONE phase out"/>
    <x v="321"/>
    <s v="[UNITED] Payone PM (Gateway)"/>
    <s v="Connect 5 PayOne acquirers from WLOC to AH"/>
    <s v="WLOC_CARD_BE"/>
    <m/>
    <n v="100"/>
    <s v="override"/>
    <s v="OK"/>
    <n v="25"/>
    <n v="25"/>
    <n v="25"/>
    <n v="25"/>
    <s v="P4"/>
    <n v="100"/>
    <s v="Emmanuel Blumel"/>
    <s v="Synergies"/>
    <s v="ECOM"/>
    <m/>
    <m/>
    <n v="48.3"/>
    <x v="1"/>
    <x v="4"/>
    <s v="United"/>
    <s v="U&amp;MP"/>
  </r>
  <r>
    <s v="United B2 - eCom - PAYONE phase out"/>
    <x v="321"/>
    <s v="[UNITED] Payone PM (Gateway)"/>
    <s v="Integrate 5 PayOne acquirers on Acquirer Hub"/>
    <s v="Acq Hub_1"/>
    <m/>
    <n v="750"/>
    <s v="override"/>
    <s v="OK"/>
    <n v="187"/>
    <n v="188"/>
    <n v="187"/>
    <n v="188"/>
    <s v="P4"/>
    <n v="750"/>
    <s v="Emmanuel Blumel"/>
    <s v="Synergies"/>
    <s v="OCH"/>
    <m/>
    <m/>
    <n v="384.75"/>
    <x v="1"/>
    <x v="2"/>
    <s v="United"/>
    <s v="U&amp;MP"/>
  </r>
  <r>
    <s v="United B2 - eCom - PAYONE phase out"/>
    <x v="321"/>
    <s v="PAYONE Tokens migration (Shared Services)"/>
    <s v="Pseudo PAN to token"/>
    <m/>
    <m/>
    <n v="48"/>
    <s v="auto"/>
    <s v="OK"/>
    <m/>
    <n v="48"/>
    <m/>
    <m/>
    <s v="P1"/>
    <n v="48"/>
    <s v=" Nils Herloff-Petersen "/>
    <s v="Synergies"/>
    <n v="0"/>
    <m/>
    <m/>
    <n v="0"/>
    <x v="3"/>
    <x v="14"/>
    <s v="United"/>
    <s v="U&amp;MP"/>
  </r>
  <r>
    <s v="United B2 - eCom - PAYONE phase out"/>
    <x v="321"/>
    <s v="PAYONE on WLOC Functional gap closure "/>
    <s v="Connection of saving banks service data centers"/>
    <m/>
    <m/>
    <n v="35"/>
    <s v="auto"/>
    <s v="OK"/>
    <m/>
    <m/>
    <n v="35"/>
    <m/>
    <s v="P1"/>
    <n v="35"/>
    <s v=" Nils Herloff-Petersen "/>
    <s v="Synergies"/>
    <n v="0"/>
    <m/>
    <m/>
    <n v="0"/>
    <x v="3"/>
    <x v="14"/>
    <s v="United"/>
    <s v="U&amp;MP"/>
  </r>
  <r>
    <s v="United B2 - eCom - PayUnity phase out"/>
    <x v="322"/>
    <s v="[UNITED] PayUnity Merchant Portal"/>
    <s v="White Label Merchant Portal PayOne"/>
    <s v="WLOC_MXP"/>
    <m/>
    <n v="80"/>
    <s v="override"/>
    <s v="OK"/>
    <n v="80"/>
    <m/>
    <m/>
    <m/>
    <s v="P1"/>
    <n v="80"/>
    <s v="Sebastien Fantone"/>
    <s v="Synergies"/>
    <s v="ECOM"/>
    <m/>
    <m/>
    <n v="38.64"/>
    <x v="0"/>
    <x v="4"/>
    <s v="United"/>
    <s v="U&amp;MP"/>
  </r>
  <r>
    <s v="United B2 - eCom - PayUnity phase out"/>
    <x v="322"/>
    <s v="[UNITED] PayUnity PM (Gateway)"/>
    <s v="PaySaferCard on Gateway - WLOC FE"/>
    <s v="WLOC_APM"/>
    <s v="S"/>
    <n v="60"/>
    <s v="auto"/>
    <s v="OK"/>
    <m/>
    <n v="60"/>
    <m/>
    <m/>
    <s v="P1"/>
    <n v="60"/>
    <s v="Amaury Kervyn"/>
    <s v="Synergies"/>
    <s v="ECOM"/>
    <m/>
    <m/>
    <n v="28.98"/>
    <x v="0"/>
    <x v="4"/>
    <s v="United"/>
    <s v="U&amp;MP"/>
  </r>
  <r>
    <s v="United B2 - eCom - PayUnity phase out"/>
    <x v="322"/>
    <s v="[UNITED] PayUnity PM (Gateway)"/>
    <s v="PaySaferCard on Gateway - APM Hub"/>
    <s v="APM_Hub"/>
    <s v="M"/>
    <n v="140"/>
    <s v="auto"/>
    <s v="OK"/>
    <m/>
    <n v="140"/>
    <m/>
    <m/>
    <s v="P1"/>
    <n v="140"/>
    <s v="Amaury Kervyn"/>
    <s v="Synergies"/>
    <s v="OCH"/>
    <m/>
    <m/>
    <n v="71.819999999999993"/>
    <x v="0"/>
    <x v="2"/>
    <s v="United"/>
    <s v="U&amp;MP"/>
  </r>
  <r>
    <s v="United B2 - eCom - PayUnity phase out"/>
    <x v="322"/>
    <s v="[UNITED] PayUnity Merchant Portal"/>
    <s v="Payment Methods configuration"/>
    <s v="WLOC_MXP"/>
    <s v="XL"/>
    <n v="300"/>
    <s v="auto"/>
    <s v="OK"/>
    <m/>
    <m/>
    <m/>
    <n v="300"/>
    <s v="P1"/>
    <n v="300"/>
    <s v="Sebastien Fantone"/>
    <s v="Synergies"/>
    <s v="ECOM"/>
    <m/>
    <m/>
    <n v="144.9"/>
    <x v="0"/>
    <x v="4"/>
    <s v="United"/>
    <s v="U&amp;MP"/>
  </r>
  <r>
    <s v="United B2 - eCom - PayUnity phase out"/>
    <x v="322"/>
    <s v="[UNITED] PayUnity Merchant Portal"/>
    <s v="Invoice Status + Download Invoice "/>
    <s v="WLOC_MXP"/>
    <s v="XXL"/>
    <n v="400"/>
    <s v="auto"/>
    <s v="OK"/>
    <m/>
    <n v="200"/>
    <n v="200"/>
    <m/>
    <s v="P1"/>
    <n v="400"/>
    <s v="Sebastien Fantone"/>
    <s v="Synergies"/>
    <s v="ECOM"/>
    <m/>
    <m/>
    <n v="193.2"/>
    <x v="0"/>
    <x v="4"/>
    <s v="United"/>
    <s v="U&amp;MP"/>
  </r>
  <r>
    <s v="United B2 - eCom - PayUnity phase out"/>
    <x v="322"/>
    <s v="[UNITED] PayUnity PM (Gateway)"/>
    <s v="Acquirers First Data, Chase on AH from WLOC to AH"/>
    <s v="WLOC_CARD_BE"/>
    <s v="S"/>
    <n v="40"/>
    <s v="override"/>
    <s v="OK"/>
    <n v="20"/>
    <n v="20"/>
    <m/>
    <m/>
    <s v="P1"/>
    <n v="40"/>
    <s v="Emmanuel Blumel"/>
    <s v="Synergies"/>
    <s v="ECOM"/>
    <m/>
    <m/>
    <n v="19.32"/>
    <x v="0"/>
    <x v="4"/>
    <s v="United"/>
    <s v="U&amp;MP"/>
  </r>
  <r>
    <s v="United B2 - eCom - PayUnity phase out"/>
    <x v="322"/>
    <s v="[UNITED] PayUnity PM (Gateway)"/>
    <s v="Acquirers First Data, Chase on AH"/>
    <s v="Acq Hub_1"/>
    <m/>
    <n v="240"/>
    <s v="auto"/>
    <s v="OK"/>
    <n v="120"/>
    <n v="120"/>
    <m/>
    <m/>
    <s v="P1"/>
    <n v="240"/>
    <s v="Emmanuel Blumel"/>
    <s v="Synergies"/>
    <s v="OCH"/>
    <m/>
    <m/>
    <n v="123.12"/>
    <x v="0"/>
    <x v="2"/>
    <s v="United"/>
    <s v="U&amp;MP"/>
  </r>
  <r>
    <s v="United B2 - eCom - PayUnity phase out"/>
    <x v="322"/>
    <s v="[UNITED] PayUnity Merchant Portal"/>
    <s v="Admin and invoicing details screen"/>
    <s v="WLOC_MXP"/>
    <s v="M"/>
    <n v="150"/>
    <s v="override"/>
    <s v="OK"/>
    <m/>
    <m/>
    <n v="150"/>
    <m/>
    <s v="P1"/>
    <n v="150"/>
    <s v="Sebastien Fantone"/>
    <s v="Synergies"/>
    <s v="ECOM"/>
    <m/>
    <m/>
    <n v="72.45"/>
    <x v="0"/>
    <x v="4"/>
    <s v="United"/>
    <s v="U&amp;MP"/>
  </r>
  <r>
    <s v="United B2 - eCom - PayUnity phase out"/>
    <x v="322"/>
    <s v="[UNITED] PayUnity PM (Gateway)"/>
    <s v="Sofort implementation on WLOC FE"/>
    <s v="WLOC_APM"/>
    <s v="M"/>
    <n v="75"/>
    <s v="auto"/>
    <s v="OK"/>
    <m/>
    <n v="75"/>
    <n v="0"/>
    <n v="0"/>
    <s v="P1"/>
    <n v="75"/>
    <s v="Amaury Kervyn"/>
    <s v="Synergies"/>
    <s v="ECOM"/>
    <m/>
    <m/>
    <n v="36.225000000000001"/>
    <x v="0"/>
    <x v="4"/>
    <s v="United"/>
    <s v="U&amp;MP"/>
  </r>
  <r>
    <s v="United B2 - eCom - PayUnity phase out"/>
    <x v="322"/>
    <s v="[UNITED] PayUnity PM (Gateway)"/>
    <s v="Sofort implementation on APM Hub"/>
    <s v="APM_Hub"/>
    <s v="XL"/>
    <n v="230"/>
    <s v="auto"/>
    <s v="OK"/>
    <n v="200"/>
    <n v="30"/>
    <m/>
    <m/>
    <s v="P1"/>
    <n v="230"/>
    <s v="Amaury Kervyn"/>
    <s v="Synergies"/>
    <s v="OCH"/>
    <m/>
    <m/>
    <n v="117.99"/>
    <x v="0"/>
    <x v="2"/>
    <s v="United"/>
    <s v="U&amp;MP"/>
  </r>
  <r>
    <s v="United B2 - eCom - PayUnity phase out"/>
    <x v="322"/>
    <s v="[UNITED] Payone PM (Gateway)"/>
    <s v="Paysafe / Paylater implementation on WLOC FE"/>
    <s v="WLOC_APM"/>
    <s v="S"/>
    <n v="50"/>
    <s v="auto"/>
    <s v="OK"/>
    <n v="0"/>
    <n v="50"/>
    <n v="0"/>
    <n v="0"/>
    <s v="P1"/>
    <n v="50"/>
    <s v="Amaury Kervyn"/>
    <s v="Synergies"/>
    <s v="ECOM"/>
    <m/>
    <m/>
    <n v="24.15"/>
    <x v="0"/>
    <x v="4"/>
    <s v="United"/>
    <s v="U&amp;MP"/>
  </r>
  <r>
    <s v="United B2 - eCom - PayUnity phase out"/>
    <x v="322"/>
    <s v="[UNITED] Payone PM (Gateway)"/>
    <s v="Paysafe / Paylater implementation on APM Hub"/>
    <s v="APM_Hub"/>
    <s v="M"/>
    <n v="150"/>
    <s v="auto"/>
    <s v="OK"/>
    <m/>
    <n v="150"/>
    <m/>
    <m/>
    <s v="P1"/>
    <n v="150"/>
    <s v="Amaury Kervyn"/>
    <s v="Synergies"/>
    <s v="OCH"/>
    <m/>
    <m/>
    <n v="76.95"/>
    <x v="0"/>
    <x v="2"/>
    <s v="United"/>
    <s v="U&amp;MP"/>
  </r>
  <r>
    <s v="United B2 - eCom - PayUnity phase out"/>
    <x v="322"/>
    <s v="[UNITED] Payone PM (Gateway)"/>
    <s v="EPS implementation on APM HUB"/>
    <s v="APM_Hub"/>
    <s v="M"/>
    <n v="140"/>
    <s v="auto"/>
    <s v="OK"/>
    <n v="140"/>
    <m/>
    <m/>
    <m/>
    <s v="P1"/>
    <n v="140"/>
    <s v="Amaury Kervyn"/>
    <s v="Synergies"/>
    <s v="OCH"/>
    <m/>
    <m/>
    <n v="71.819999999999993"/>
    <x v="0"/>
    <x v="2"/>
    <s v="United"/>
    <s v="U&amp;MP"/>
  </r>
  <r>
    <s v="United B2 - eCom - PayUnity phase out"/>
    <x v="322"/>
    <s v="[UNITED] Payone PM (Gateway)"/>
    <s v="EPS implementation on  WLOC FE"/>
    <s v="WLOC_APM"/>
    <s v="S"/>
    <n v="60"/>
    <s v="auto"/>
    <s v="OK"/>
    <n v="60"/>
    <m/>
    <m/>
    <m/>
    <s v="P1"/>
    <n v="60"/>
    <s v="Amaury Kervyn"/>
    <s v="Synergies"/>
    <s v="ECOM"/>
    <m/>
    <m/>
    <n v="28.98"/>
    <x v="0"/>
    <x v="4"/>
    <s v="United"/>
    <s v="U&amp;MP"/>
  </r>
  <r>
    <s v="United B2 - eCom - PayUnity phase out"/>
    <x v="322"/>
    <s v="[UNITED] PayUnity Merchant Portal"/>
    <s v="Billing adaptation for PayUnity"/>
    <s v="WLOC_MXP"/>
    <s v="M"/>
    <n v="100"/>
    <s v="auto"/>
    <s v="OK"/>
    <m/>
    <m/>
    <n v="100"/>
    <m/>
    <s v="P1"/>
    <n v="100"/>
    <s v="Sebastien Fantone"/>
    <s v="Synergies"/>
    <s v="ECOM"/>
    <m/>
    <m/>
    <n v="48.3"/>
    <x v="0"/>
    <x v="4"/>
    <s v="United"/>
    <s v="U&amp;MP"/>
  </r>
  <r>
    <s v="United B2 - eCom - PayUnity phase out"/>
    <x v="322"/>
    <s v="[UNITED] PayUnity Merchant Portal"/>
    <s v="IAM - User Management (Role &amp; Permissions) + Login flows "/>
    <s v="WLOC_MXP"/>
    <s v="XL"/>
    <n v="300"/>
    <s v="auto"/>
    <s v="OK"/>
    <n v="300"/>
    <m/>
    <m/>
    <m/>
    <s v="P1"/>
    <n v="300"/>
    <s v="Sebastien Fantone"/>
    <s v="Synergies"/>
    <s v="ECOM"/>
    <m/>
    <m/>
    <n v="144.9"/>
    <x v="0"/>
    <x v="4"/>
    <s v="United"/>
    <s v="U&amp;MP"/>
  </r>
  <r>
    <s v="United B2 - eCom - SIPS consolidation"/>
    <x v="323"/>
    <s v="[UNITED] SIPS feature gap closing"/>
    <s v="SIPS feature gap closing Placeholder"/>
    <s v="WLOC_SIPS"/>
    <s v="XXXL"/>
    <n v="2618"/>
    <s v="auto"/>
    <s v="OK"/>
    <m/>
    <n v="308"/>
    <n v="1155"/>
    <n v="1155"/>
    <s v="P5"/>
    <n v="2618"/>
    <s v="Stephan van Gulck"/>
    <s v="Synergies"/>
    <s v="ECOM"/>
    <m/>
    <m/>
    <n v="1264.4939999999999"/>
    <x v="1"/>
    <x v="4"/>
    <s v="United"/>
    <s v="U&amp;MP"/>
  </r>
  <r>
    <s v="United B2 - eCom - SIPS consolidation"/>
    <x v="323"/>
    <s v="SIPS"/>
    <s v="Integration of SIPS into United - Placeholder"/>
    <s v="SIPS"/>
    <m/>
    <n v="1000"/>
    <s v="override"/>
    <s v="OK"/>
    <n v="250"/>
    <n v="250"/>
    <n v="250"/>
    <n v="250"/>
    <s v="P1"/>
    <n v="1000"/>
    <s v="Emmanuel Blumel"/>
    <s v="Synergies"/>
    <s v="ECOM"/>
    <m/>
    <m/>
    <n v="487"/>
    <x v="0"/>
    <x v="17"/>
    <s v="United"/>
    <s v="U&amp;MP"/>
  </r>
  <r>
    <s v="United B2 - eCom - SIPS consolidation"/>
    <x v="323"/>
    <s v="[UNITED] SIPS Acquirer scope"/>
    <s v="Build FR acquirer connections on Acquirer Hub"/>
    <s v="Acq Hub_1"/>
    <s v="XXXL"/>
    <n v="600"/>
    <s v="auto"/>
    <s v="OK"/>
    <n v="150"/>
    <n v="150"/>
    <n v="150"/>
    <n v="150"/>
    <s v="P1"/>
    <n v="600"/>
    <s v="Emmanuel Blumel"/>
    <s v="Synergies"/>
    <s v="OCH"/>
    <m/>
    <m/>
    <n v="307.8"/>
    <x v="0"/>
    <x v="2"/>
    <s v="United"/>
    <s v="U&amp;MP"/>
  </r>
  <r>
    <s v="United B2 - eCom - SIPS consolidation"/>
    <x v="323"/>
    <s v="[UNITED] SIPS Acquirer scope"/>
    <s v="  FR acquirer migration to  Acquirer Hub"/>
    <s v="WLOC_CARD_BE"/>
    <s v="M"/>
    <n v="100"/>
    <s v="auto"/>
    <s v="OK"/>
    <n v="0"/>
    <n v="0"/>
    <n v="50"/>
    <n v="50"/>
    <s v="P1"/>
    <n v="100"/>
    <s v="Emmanuel Blumel"/>
    <s v="Synergies"/>
    <s v="ECOM"/>
    <m/>
    <m/>
    <n v="48.3"/>
    <x v="0"/>
    <x v="4"/>
    <s v="United"/>
    <s v="U&amp;MP"/>
  </r>
  <r>
    <s v="United B2 - eCom - SIPS consolidation"/>
    <x v="323"/>
    <s v="GSV migration to Ingenico Direct"/>
    <s v="Oney card on Ingenico Direct"/>
    <s v="Beyond"/>
    <s v="XL"/>
    <n v="300"/>
    <s v="auto"/>
    <s v="OK"/>
    <m/>
    <m/>
    <n v="150"/>
    <n v="150"/>
    <s v="P2"/>
    <n v="300"/>
    <s v="Pierre Riat"/>
    <s v="Synergies"/>
    <s v="ECOM"/>
    <s v="Extend Payment Footprint"/>
    <s v="requested by Auchan France and Adeo"/>
    <n v="144.9"/>
    <x v="0"/>
    <x v="4"/>
    <s v="United"/>
    <s v="U&amp;MP"/>
  </r>
  <r>
    <s v="United DCC Automatic onboarding"/>
    <x v="324"/>
    <s v="United - GTM Synergy - B8"/>
    <s v="reduce manual boarding of DCC"/>
    <s v="Bambora H"/>
    <m/>
    <n v="25"/>
    <s v="override"/>
    <s v="OK"/>
    <m/>
    <m/>
    <n v="25"/>
    <m/>
    <s v="P1"/>
    <n v="25"/>
    <s v="Pernilla Grabner"/>
    <s v="Synergies"/>
    <s v="ECOM"/>
    <m/>
    <m/>
    <n v="12.824999999999999"/>
    <x v="0"/>
    <x v="12"/>
    <s v="United"/>
    <s v="U&amp;MP"/>
  </r>
  <r>
    <s v="United DCC Migration"/>
    <x v="325"/>
    <s v="United - GTM Synergy - B8"/>
    <s v="migration from Fexco to WL DCC"/>
    <s v="Bambora I"/>
    <m/>
    <n v="160"/>
    <s v="override"/>
    <s v="OK"/>
    <n v="100"/>
    <n v="60"/>
    <m/>
    <m/>
    <s v="P1"/>
    <n v="160"/>
    <s v="Pernilla Grabner"/>
    <s v="Synergies"/>
    <s v="ECOM"/>
    <m/>
    <m/>
    <n v="82.08"/>
    <x v="0"/>
    <x v="11"/>
    <s v="United"/>
    <s v="U&amp;MP"/>
  </r>
  <r>
    <s v="United GTM - eCom - GTM Synergy - RB Omnichannel"/>
    <x v="326"/>
    <s v="WL1C - Plug&amp;Play BeNeLux+Shared Developent (Regional Business Roadmap)"/>
    <s v="10% of P1 topics for e2e analysis"/>
    <s v="OCH_BA"/>
    <m/>
    <n v="157"/>
    <s v="override"/>
    <s v="OK"/>
    <n v="40"/>
    <n v="40"/>
    <n v="40"/>
    <n v="37"/>
    <s v="P1"/>
    <n v="157"/>
    <s v="Anders Eckersand"/>
    <s v="Synergies"/>
    <s v="OCH"/>
    <m/>
    <m/>
    <n v="80.540999999999997"/>
    <x v="0"/>
    <x v="2"/>
    <s v="United"/>
    <s v="U&amp;MP"/>
  </r>
  <r>
    <s v="United GTM - eCom - GTM Synergy - RB Omnichannel"/>
    <x v="326"/>
    <s v="RB Omnichannel"/>
    <s v="WL Red - Blended pricing in Full Service"/>
    <s v="WLOC_IFS"/>
    <s v="M"/>
    <n v="100"/>
    <s v="auto"/>
    <s v="OK"/>
    <n v="0"/>
    <n v="0"/>
    <n v="100"/>
    <n v="0"/>
    <s v="P4"/>
    <n v="100"/>
    <s v="Amaury Kervyn"/>
    <s v="Synergies"/>
    <s v="ECOM"/>
    <m/>
    <m/>
    <n v="48.3"/>
    <x v="1"/>
    <x v="4"/>
    <s v="United"/>
    <s v="U&amp;MP"/>
  </r>
  <r>
    <s v="United GTM - eCom - GTM Synergy - RB Omnichannel"/>
    <x v="326"/>
    <s v="RB Omnichannel"/>
    <s v="WL Blue - Blended pricing in Full Service"/>
    <s v="WLOC_IFS"/>
    <s v="M"/>
    <n v="100"/>
    <s v="auto"/>
    <s v="OK"/>
    <n v="0"/>
    <n v="100"/>
    <n v="0"/>
    <n v="0"/>
    <s v="P1"/>
    <n v="100"/>
    <s v="Amaury Kervyn"/>
    <s v="Synergies"/>
    <s v="ECOM"/>
    <m/>
    <m/>
    <n v="48.3"/>
    <x v="0"/>
    <x v="4"/>
    <s v="United"/>
    <s v="U&amp;MP"/>
  </r>
  <r>
    <s v="United GTM - eCom - GTM Synergy - RB Omnichannel"/>
    <x v="326"/>
    <s v="RB Omnichannel"/>
    <s v="Boarding adpaption for RB Omnichannel"/>
    <s v="DS"/>
    <s v="M"/>
    <n v="150"/>
    <s v="override"/>
    <s v="OK"/>
    <n v="75"/>
    <n v="75"/>
    <m/>
    <m/>
    <s v="P1"/>
    <n v="150"/>
    <s v="Amaury Kervyn"/>
    <s v="Synergies"/>
    <s v="OTHER"/>
    <m/>
    <m/>
    <n v="0"/>
    <x v="0"/>
    <x v="21"/>
    <s v="United"/>
    <s v="U&amp;MP"/>
  </r>
  <r>
    <s v="United GTM - eCom - GTM Synergy - RB Omnichannel"/>
    <x v="326"/>
    <s v="RB Omnichannel"/>
    <s v="Refund instore transactions by web"/>
    <s v="WLOC_IFS"/>
    <s v="L"/>
    <n v="250"/>
    <s v="auto"/>
    <s v="OK"/>
    <n v="0"/>
    <n v="0"/>
    <n v="125"/>
    <n v="125"/>
    <s v="P2"/>
    <n v="250"/>
    <s v="Amaury Kervyn"/>
    <s v="Synergies"/>
    <s v="ECOM"/>
    <m/>
    <m/>
    <n v="120.75"/>
    <x v="0"/>
    <x v="4"/>
    <s v="United"/>
    <s v="U&amp;MP"/>
  </r>
  <r>
    <s v="United GTM - eCom - GTM Synergy - RB Omnichannel"/>
    <x v="326"/>
    <s v="RB Omnichannel"/>
    <s v="Pricing - Low Value Payment in TUNZ"/>
    <s v="WLOC_IFS"/>
    <s v="L"/>
    <n v="200"/>
    <s v="auto"/>
    <s v="OK"/>
    <n v="0"/>
    <n v="0"/>
    <n v="0"/>
    <n v="200"/>
    <s v="P2"/>
    <n v="200"/>
    <s v="Amaury Kervyn"/>
    <s v="Synergies"/>
    <s v="ECOM"/>
    <m/>
    <m/>
    <n v="96.6"/>
    <x v="0"/>
    <x v="4"/>
    <s v="United"/>
    <s v="U&amp;MP"/>
  </r>
  <r>
    <s v="United GTM - eCom - GTM Synergy - RB Omnichannel"/>
    <x v="326"/>
    <s v="RB Omnichannel"/>
    <s v="Partner Sales"/>
    <s v="WLOC_IFS"/>
    <s v="M"/>
    <n v="150"/>
    <s v="auto"/>
    <s v="OK"/>
    <n v="0"/>
    <n v="0"/>
    <n v="0"/>
    <n v="150"/>
    <s v="P4"/>
    <n v="150"/>
    <s v="Amaury Kervyn"/>
    <s v="Synergies"/>
    <s v="ECOM"/>
    <m/>
    <m/>
    <n v="72.45"/>
    <x v="1"/>
    <x v="4"/>
    <s v="United"/>
    <s v="U&amp;MP"/>
  </r>
  <r>
    <s v="United GTM - eCom - GTM Synergy - RB Omnichannel"/>
    <x v="326"/>
    <s v="RB Omnichannel"/>
    <s v="Other RB Omnichannel (BI, portal adaptations, etc)"/>
    <s v="WLOC_IFS"/>
    <s v="S"/>
    <n v="100"/>
    <s v="auto"/>
    <s v="OK"/>
    <n v="0"/>
    <n v="0"/>
    <n v="100"/>
    <n v="0"/>
    <s v="P1"/>
    <n v="100"/>
    <s v="Amaury Kervyn"/>
    <s v="Synergies"/>
    <s v="ECOM"/>
    <m/>
    <m/>
    <n v="48.3"/>
    <x v="0"/>
    <x v="4"/>
    <s v="United"/>
    <s v="U&amp;MP"/>
  </r>
  <r>
    <s v="United GTM - eCom - GTM Synergy - RB Omnichannel"/>
    <x v="326"/>
    <s v="RB Omnichannel"/>
    <s v="Other local market specific needs (13 countries - EP2 Reach) placeholder 400 days (wild guess)"/>
    <s v="WLOC_IFS"/>
    <s v="XL"/>
    <n v="400"/>
    <s v="auto"/>
    <s v="OK"/>
    <n v="0"/>
    <n v="0"/>
    <n v="200"/>
    <n v="200"/>
    <s v="P5"/>
    <n v="400"/>
    <s v="Amaury Kervyn"/>
    <s v="Synergies"/>
    <s v="ECOM"/>
    <m/>
    <m/>
    <n v="193.2"/>
    <x v="1"/>
    <x v="4"/>
    <s v="United"/>
    <s v="U&amp;MP"/>
  </r>
  <r>
    <s v="United GTM - eCom - GTM Synergy - RB Omnichannel"/>
    <x v="326"/>
    <s v="RB Omnichannel"/>
    <s v="Omnichannel Single invoice"/>
    <s v="WLOC_IFS"/>
    <s v="M"/>
    <n v="200"/>
    <s v="auto"/>
    <s v="OK"/>
    <n v="0"/>
    <n v="0"/>
    <n v="50"/>
    <n v="150"/>
    <s v="P4"/>
    <n v="200"/>
    <s v="Amaury Kervyn"/>
    <s v="Synergies"/>
    <s v="ECOM"/>
    <m/>
    <m/>
    <n v="96.6"/>
    <x v="1"/>
    <x v="4"/>
    <s v="United"/>
    <s v="U&amp;MP"/>
  </r>
  <r>
    <s v="United GTM - eCom - GTM Synergy - RB Omnichannel"/>
    <x v="326"/>
    <s v="RB Omnichannel"/>
    <s v="New Pricing Bundles for Omnichannel RB"/>
    <s v="WLOC_IFS"/>
    <s v="XS"/>
    <n v="20"/>
    <s v="auto"/>
    <s v="OK"/>
    <n v="20"/>
    <n v="0"/>
    <n v="0"/>
    <n v="0"/>
    <s v="P1"/>
    <n v="20"/>
    <s v="Amaury Kervyn"/>
    <s v="Synergies"/>
    <s v="ECOM"/>
    <m/>
    <m/>
    <n v="9.66"/>
    <x v="0"/>
    <x v="4"/>
    <s v="United"/>
    <s v="U&amp;MP"/>
  </r>
  <r>
    <s v="United GTM - eCom - GTM Synergy - RB Omnichannel"/>
    <x v="326"/>
    <s v="RB Omnichannel"/>
    <s v="Mid-Market requirements - very rough"/>
    <s v="WLOC_IFS"/>
    <s v="XL"/>
    <n v="400"/>
    <s v="auto"/>
    <s v="OK"/>
    <n v="0"/>
    <n v="150"/>
    <n v="150"/>
    <n v="100"/>
    <s v="P4"/>
    <n v="400"/>
    <s v="Amaury Kervyn"/>
    <s v="Synergies"/>
    <s v="ECOM"/>
    <m/>
    <m/>
    <n v="193.2"/>
    <x v="1"/>
    <x v="4"/>
    <s v="United"/>
    <s v="U&amp;MP"/>
  </r>
  <r>
    <s v="United GTM - eCom - GTM Synergy - RB Omnichannel"/>
    <x v="326"/>
    <s v="RB Omnichannel"/>
    <s v="Dutch PIN (TUNZ)"/>
    <s v="WLOC_IFS"/>
    <s v="L"/>
    <n v="250"/>
    <s v="auto"/>
    <s v="OK"/>
    <n v="0"/>
    <m/>
    <n v="50"/>
    <n v="200"/>
    <s v="P1"/>
    <n v="250"/>
    <s v="Amaury Kervyn"/>
    <s v="Synergies"/>
    <s v="ECOM"/>
    <m/>
    <m/>
    <n v="120.75"/>
    <x v="0"/>
    <x v="4"/>
    <s v="United"/>
    <s v="U&amp;MP"/>
  </r>
  <r>
    <s v="United GTM - eCom - GTM Synergy - RB Omnichannel"/>
    <x v="326"/>
    <s v="RB Omnichannel"/>
    <s v="WL Red to integrate Tunz as PayFac"/>
    <s v="COM ACQ"/>
    <s v="S"/>
    <n v="70"/>
    <s v="override"/>
    <s v="OK"/>
    <n v="70"/>
    <m/>
    <m/>
    <m/>
    <s v="P1"/>
    <n v="70"/>
    <s v="Anders Eckersand"/>
    <m/>
    <s v="OTHER"/>
    <m/>
    <m/>
    <n v="0"/>
    <x v="0"/>
    <x v="25"/>
    <s v="United"/>
    <s v="U&amp;MP"/>
  </r>
  <r>
    <s v="United GTM - eCom - GTM Synergy - RB Omnichannel"/>
    <x v="326"/>
    <s v="RB Omnichannel"/>
    <s v="Boarding optimization (incl. upsell)"/>
    <s v="WLOC_IFS"/>
    <s v="L"/>
    <n v="250"/>
    <s v="auto"/>
    <s v="OK"/>
    <m/>
    <n v="75"/>
    <n v="75"/>
    <n v="100"/>
    <s v="P1"/>
    <n v="250"/>
    <s v="Amaury Kervyn"/>
    <s v="Synergies"/>
    <s v="ECOM"/>
    <m/>
    <m/>
    <n v="120.75"/>
    <x v="0"/>
    <x v="4"/>
    <s v="United"/>
    <s v="U&amp;MP"/>
  </r>
  <r>
    <s v="United GTM - eCom - GTM Synergy - RB Omnichannel"/>
    <x v="326"/>
    <s v="WL1C - Plug&amp;Play BeNeLux+Shared Developent (Regional Business Roadmap)"/>
    <s v="15% for e2e testing of p1 topic"/>
    <s v="OCH_E2E"/>
    <m/>
    <n v="235"/>
    <s v="override"/>
    <s v="OK"/>
    <n v="60"/>
    <n v="60"/>
    <n v="60"/>
    <n v="55"/>
    <s v="P1"/>
    <n v="235"/>
    <s v="Anders Eckersand"/>
    <m/>
    <s v="OCH"/>
    <m/>
    <m/>
    <n v="120.55500000000001"/>
    <x v="0"/>
    <x v="2"/>
    <s v="United"/>
    <s v="U&amp;MP"/>
  </r>
  <r>
    <s v="Upgrade of iDeal to v2.0 on WLOC"/>
    <x v="327"/>
    <s v="RB Local - Benelux"/>
    <s v="iDeal 2.0 implementation on WLOC FE"/>
    <s v="WLOC_APM"/>
    <s v="S"/>
    <n v="50"/>
    <s v="auto"/>
    <s v="OK"/>
    <m/>
    <m/>
    <n v="50"/>
    <m/>
    <s v="P1"/>
    <n v="50"/>
    <s v="Amaury Kervyn"/>
    <s v="Product"/>
    <s v="ECOM"/>
    <m/>
    <m/>
    <n v="24.15"/>
    <x v="0"/>
    <x v="4"/>
    <n v="0"/>
    <s v="BAU"/>
  </r>
  <r>
    <s v="Upgrade of iDeal to v2.0 on WLOC"/>
    <x v="327"/>
    <s v="RB Local - Benelux"/>
    <s v="iDeal 2.0 implementation on APM Hub"/>
    <s v="APM_Hub"/>
    <s v="L"/>
    <n v="150"/>
    <s v="auto"/>
    <s v="OK"/>
    <n v="0"/>
    <n v="0"/>
    <n v="150"/>
    <m/>
    <s v="P1"/>
    <n v="150"/>
    <s v="Amaury Kervyn"/>
    <s v="Product"/>
    <s v="OCH"/>
    <m/>
    <m/>
    <n v="76.95"/>
    <x v="0"/>
    <x v="2"/>
    <n v="0"/>
    <s v="BAU"/>
  </r>
  <r>
    <s v="Valhalla"/>
    <x v="328"/>
    <s v="Valhalla M&amp;A, Com Acq budget"/>
    <s v="Migrating Handelsbanken Acq to Bambora Acq, effort TBD"/>
    <s v="Bambora I"/>
    <m/>
    <n v="50"/>
    <s v="override"/>
    <s v="OK"/>
    <n v="50"/>
    <m/>
    <m/>
    <m/>
    <s v="P1"/>
    <n v="50"/>
    <s v="Pernilla Grabner"/>
    <s v="Product"/>
    <s v="ECOM"/>
    <m/>
    <m/>
    <n v="25.65"/>
    <x v="2"/>
    <x v="11"/>
    <s v="Not Acceptance"/>
    <s v="BAU"/>
  </r>
  <r>
    <s v="Valhalla"/>
    <x v="328"/>
    <s v="Valhalla M&amp;A, Com Acq budget"/>
    <s v="Migrating Handelsbanken Acq to Bambora Acq, effort TBD"/>
    <s v="Bambora F"/>
    <m/>
    <n v="50"/>
    <s v="override"/>
    <s v="OK"/>
    <n v="50"/>
    <m/>
    <m/>
    <m/>
    <s v="P1"/>
    <n v="50"/>
    <s v="Pernilla Grabner"/>
    <s v="Product"/>
    <s v="ECOM"/>
    <m/>
    <m/>
    <n v="25.65"/>
    <x v="2"/>
    <x v="12"/>
    <s v="Not Acceptance"/>
    <s v="BAU"/>
  </r>
  <r>
    <s v="Valhalla"/>
    <x v="328"/>
    <s v="Valhalla M&amp;A, Com Acq budget"/>
    <s v="Migrating Handelsbanken Acq to Bambora Acq, effort TBD"/>
    <s v="Bambora H"/>
    <m/>
    <n v="50"/>
    <s v="override"/>
    <s v="OK"/>
    <n v="50"/>
    <m/>
    <m/>
    <m/>
    <s v="P1"/>
    <n v="50"/>
    <s v="Pernilla Grabner"/>
    <s v="Product"/>
    <s v="ECOM"/>
    <m/>
    <m/>
    <n v="25.65"/>
    <x v="2"/>
    <x v="12"/>
    <s v="Not Acceptance"/>
    <s v="BAU"/>
  </r>
  <r>
    <s v="CEPSA project on CSACT"/>
    <x v="206"/>
    <s v="Cepsa: Marocco geographical extension"/>
    <m/>
    <s v="Petrol"/>
    <s v="XS"/>
    <n v="20"/>
    <s v="auto"/>
    <s v="OK"/>
    <m/>
    <n v="20"/>
    <m/>
    <m/>
    <s v="P1"/>
    <n v="20"/>
    <s v="Ismael Jaafar"/>
    <s v="Product"/>
    <s v="IN_STORE"/>
    <m/>
    <m/>
    <n v="10.26"/>
    <x v="0"/>
    <x v="18"/>
    <n v="0"/>
    <s v="BAU"/>
  </r>
  <r>
    <s v="CSACT Technical debt / Rationalization"/>
    <x v="100"/>
    <s v="CSACT continuous integration"/>
    <s v="Putting tool &amp; process in place"/>
    <s v="Petrol"/>
    <s v="S"/>
    <n v="50"/>
    <s v="auto"/>
    <s v="OK"/>
    <n v="10"/>
    <n v="10"/>
    <n v="15"/>
    <n v="15"/>
    <s v="P1"/>
    <n v="50"/>
    <s v="Ismael Jaafar"/>
    <s v="Tech. Debt"/>
    <s v="IN_STORE"/>
    <m/>
    <m/>
    <n v="25.65"/>
    <x v="0"/>
    <x v="18"/>
    <n v="0"/>
    <s v="BAU"/>
  </r>
  <r>
    <s v="CSACT Technical debt / Rationalization"/>
    <x v="100"/>
    <s v="H24 refactoring / merging / modular components - study only"/>
    <m/>
    <s v="Petrol"/>
    <s v="M"/>
    <n v="100"/>
    <s v="auto"/>
    <s v="OK"/>
    <n v="25"/>
    <n v="25"/>
    <n v="25"/>
    <n v="25"/>
    <s v="P1"/>
    <n v="100"/>
    <s v="Ismael Jaafar"/>
    <s v="Product"/>
    <s v="IN_STORE"/>
    <m/>
    <m/>
    <n v="51.3"/>
    <x v="0"/>
    <x v="18"/>
    <n v="0"/>
    <s v="BAU"/>
  </r>
  <r>
    <s v="CSACT Technical debt / Rationalization"/>
    <x v="100"/>
    <s v="CSACT : Automation &amp; Industrialisation"/>
    <m/>
    <s v="Petrol"/>
    <s v="S"/>
    <n v="50"/>
    <s v="auto"/>
    <s v="OK"/>
    <n v="10"/>
    <n v="15"/>
    <n v="15"/>
    <n v="10"/>
    <s v="P1"/>
    <n v="50"/>
    <s v="Ismael Jaafar"/>
    <s v="Tech. Debt"/>
    <s v="IN_STORE"/>
    <m/>
    <m/>
    <n v="25.65"/>
    <x v="0"/>
    <x v="18"/>
    <n v="0"/>
    <s v="BAU"/>
  </r>
  <r>
    <s v="Galp project on CSACT"/>
    <x v="210"/>
    <s v="[2021's target] Galp: Caser loyalty program"/>
    <m/>
    <s v="Petrol"/>
    <s v="XS"/>
    <n v="20"/>
    <s v="auto"/>
    <s v="OK"/>
    <n v="20"/>
    <m/>
    <m/>
    <m/>
    <s v="P1"/>
    <n v="20"/>
    <s v="Ismael Jaafar"/>
    <s v="Product"/>
    <s v="IN_STORE"/>
    <m/>
    <m/>
    <n v="10.26"/>
    <x v="0"/>
    <x v="18"/>
    <n v="0"/>
    <s v="BAU"/>
  </r>
  <r>
    <s v="Galp project on CSACT"/>
    <x v="210"/>
    <s v="[2021's target] Galp: WS for prepaid cards"/>
    <m/>
    <s v="Petrol"/>
    <s v="XS"/>
    <n v="20"/>
    <s v="auto"/>
    <s v="OK"/>
    <n v="20"/>
    <m/>
    <m/>
    <m/>
    <s v="P1"/>
    <n v="20"/>
    <s v="Ismael Jaafar"/>
    <s v="Product"/>
    <s v="IN_STORE"/>
    <m/>
    <m/>
    <n v="10.26"/>
    <x v="0"/>
    <x v="18"/>
    <n v="0"/>
    <s v="BAU"/>
  </r>
  <r>
    <s v="Galp project on CSACT"/>
    <x v="210"/>
    <s v="Galp: Bucket for devs petrol"/>
    <m/>
    <s v="Petrol"/>
    <s v="M"/>
    <n v="100"/>
    <s v="auto"/>
    <s v="OK"/>
    <n v="0"/>
    <n v="0"/>
    <n v="50"/>
    <n v="50"/>
    <s v="P1"/>
    <n v="100"/>
    <s v="Ismael Jaafar"/>
    <s v="Product"/>
    <s v="IN_STORE"/>
    <m/>
    <m/>
    <n v="51.3"/>
    <x v="0"/>
    <x v="18"/>
    <n v="0"/>
    <s v="BAU"/>
  </r>
  <r>
    <s v="Galp project on CSACT"/>
    <x v="210"/>
    <s v="Galp: DB replica phase 3"/>
    <m/>
    <s v="Petrol"/>
    <s v="XS"/>
    <n v="20"/>
    <s v="auto"/>
    <s v="OK"/>
    <m/>
    <m/>
    <n v="20"/>
    <m/>
    <s v="P1"/>
    <n v="20"/>
    <s v="Ismael Jaafar"/>
    <s v="Product"/>
    <s v="IN_STORE"/>
    <m/>
    <m/>
    <n v="10.26"/>
    <x v="0"/>
    <x v="18"/>
    <n v="0"/>
    <s v="BAU"/>
  </r>
  <r>
    <s v="Galp project on CSACT"/>
    <x v="210"/>
    <s v="[2021's target]Galp: GlobalTank"/>
    <m/>
    <s v="Petrol"/>
    <s v="XS"/>
    <n v="20"/>
    <s v="auto"/>
    <s v="OK"/>
    <n v="20"/>
    <m/>
    <m/>
    <m/>
    <s v="P1"/>
    <n v="20"/>
    <s v="Ismael Jaafar"/>
    <s v="Product"/>
    <s v="IN_STORE"/>
    <m/>
    <m/>
    <n v="10.26"/>
    <x v="0"/>
    <x v="18"/>
    <n v="0"/>
    <s v="BAU"/>
  </r>
  <r>
    <s v="Galp project on CSACT"/>
    <x v="210"/>
    <s v="Galp New loyalty program: Add payment capabilities"/>
    <m/>
    <s v="Petrol"/>
    <s v="S"/>
    <n v="80"/>
    <s v="override"/>
    <s v="OK"/>
    <m/>
    <n v="50"/>
    <n v="30"/>
    <m/>
    <s v="P1"/>
    <n v="80"/>
    <s v="Ismael Jaafar"/>
    <s v="Product"/>
    <s v="IN_STORE"/>
    <m/>
    <m/>
    <n v="41.04"/>
    <x v="0"/>
    <x v="18"/>
    <n v="0"/>
    <s v="BAU"/>
  </r>
  <r>
    <s v="Galp project on CSACT"/>
    <x v="210"/>
    <s v="Galp New loyalty program: Add payment capabilities"/>
    <m/>
    <s v="Petrol"/>
    <s v="XS"/>
    <n v="20"/>
    <s v="auto"/>
    <s v="OK"/>
    <m/>
    <m/>
    <n v="20"/>
    <m/>
    <s v="P1"/>
    <n v="20"/>
    <s v="Ismael Jaafar"/>
    <s v="Product"/>
    <s v="IN_STORE"/>
    <m/>
    <m/>
    <n v="10.26"/>
    <x v="0"/>
    <x v="18"/>
    <n v="0"/>
    <s v="BAU"/>
  </r>
  <r>
    <s v="Petrol / Acceptance of new international issuers on CSACT"/>
    <x v="212"/>
    <s v="HPNS-CSACT connection billing &amp; reports"/>
    <s v="LogPay, Eurowag, UTA, CEPSA cards provided to Q8 Belgium"/>
    <s v="CSACT BO"/>
    <s v="XS"/>
    <n v="20"/>
    <s v="auto"/>
    <s v="OK"/>
    <n v="20"/>
    <m/>
    <m/>
    <m/>
    <s v="P1"/>
    <n v="20"/>
    <s v="Ismael Jaafar"/>
    <s v="Product"/>
    <s v="IN_STORE"/>
    <m/>
    <m/>
    <n v="10.26"/>
    <x v="0"/>
    <x v="18"/>
    <n v="0"/>
    <s v="BAU"/>
  </r>
  <r>
    <s v="Petrol / Acceptance of new international issuers on CSACT"/>
    <x v="212"/>
    <s v="HPNS-CSACT connection petrol"/>
    <s v="LogPay, Eurowag, UTA, CEPSA cards provided to Q8 Belgium"/>
    <s v="Petrol"/>
    <s v="XS"/>
    <n v="20"/>
    <s v="auto"/>
    <s v="OK"/>
    <n v="20"/>
    <m/>
    <m/>
    <m/>
    <s v="P1"/>
    <n v="20"/>
    <s v="Ismael Jaafar"/>
    <s v="Product"/>
    <s v="IN_STORE"/>
    <m/>
    <m/>
    <n v="10.26"/>
    <x v="0"/>
    <x v="18"/>
    <n v="0"/>
    <s v="BAU"/>
  </r>
  <r>
    <s v="Petrol / Acceptance of new international issuers on CSACT"/>
    <x v="212"/>
    <s v="[2021's target] AS24 bucket (remaining of 2021)"/>
    <m/>
    <s v="Petrol"/>
    <s v="S"/>
    <n v="50"/>
    <s v="auto"/>
    <s v="OK"/>
    <n v="50"/>
    <m/>
    <m/>
    <m/>
    <s v="P1"/>
    <n v="50"/>
    <s v="Ismael Jaafar"/>
    <s v="Product"/>
    <s v="IN_STORE"/>
    <m/>
    <m/>
    <n v="25.65"/>
    <x v="0"/>
    <x v="18"/>
    <n v="0"/>
    <s v="BAU"/>
  </r>
  <r>
    <s v="Petrol / Acceptance of new international issuers on CSACT"/>
    <x v="212"/>
    <s v="[2021's target] FAI Service bucket (remaining of 2021)"/>
    <m/>
    <s v="Petrol"/>
    <s v="XS"/>
    <n v="20"/>
    <s v="auto"/>
    <s v="OK"/>
    <n v="20"/>
    <m/>
    <m/>
    <m/>
    <s v="P1"/>
    <n v="20"/>
    <s v="Ismael Jaafar"/>
    <s v="Product"/>
    <s v="IN_STORE"/>
    <m/>
    <m/>
    <n v="10.26"/>
    <x v="0"/>
    <x v="18"/>
    <n v="0"/>
    <s v="BAU"/>
  </r>
  <r>
    <s v="Petrol / CSACT evolutions for mid-customers"/>
    <x v="209"/>
    <s v="H24: Initiate transaction by the contactless reader"/>
    <m/>
    <s v="Petrol"/>
    <s v="M"/>
    <n v="100"/>
    <s v="auto"/>
    <s v="OK"/>
    <m/>
    <n v="50"/>
    <n v="50"/>
    <m/>
    <s v="P3"/>
    <n v="100"/>
    <s v="Ismael Jaafar"/>
    <s v="Product"/>
    <s v="IN_STORE"/>
    <m/>
    <s v="Wait for Tomas feedback"/>
    <n v="51.3"/>
    <x v="1"/>
    <x v="18"/>
    <n v="0"/>
    <s v="BAU"/>
  </r>
  <r>
    <s v="Petrol / CSACT evolutions for mid-customers"/>
    <x v="209"/>
    <s v="Bip&amp;Drive: Pay@Pump petrol"/>
    <m/>
    <s v="Petrol"/>
    <s v="S"/>
    <n v="80"/>
    <s v="override"/>
    <s v="OK"/>
    <m/>
    <n v="30"/>
    <n v="50"/>
    <m/>
    <s v="P1"/>
    <n v="80"/>
    <s v="Ismael Jaafar"/>
    <s v="Product"/>
    <s v="IN_STORE"/>
    <m/>
    <m/>
    <n v="41.04"/>
    <x v="0"/>
    <x v="18"/>
    <n v="0"/>
    <s v="BAU"/>
  </r>
  <r>
    <s v="Petrol / CSACT evolutions for mid-customers"/>
    <x v="209"/>
    <s v="Bip&amp;Drive: Bucket for solutions petrol"/>
    <m/>
    <s v="Petrol"/>
    <s v="XS"/>
    <n v="30"/>
    <s v="override"/>
    <s v="OK"/>
    <m/>
    <m/>
    <m/>
    <n v="30"/>
    <s v="P1"/>
    <n v="30"/>
    <s v="Ismael Jaafar"/>
    <s v="Product"/>
    <s v="IN_STORE"/>
    <m/>
    <m/>
    <n v="15.39"/>
    <x v="0"/>
    <x v="18"/>
    <n v="0"/>
    <s v="BAU"/>
  </r>
  <r>
    <s v="Petrol / CSACT evolutions for mid-customers"/>
    <x v="209"/>
    <s v="Paysafecard: Upgrade protocol"/>
    <m/>
    <s v="Petrol"/>
    <s v="S"/>
    <n v="50"/>
    <s v="auto"/>
    <s v="OK"/>
    <n v="30"/>
    <n v="20"/>
    <m/>
    <m/>
    <s v="P1"/>
    <n v="50"/>
    <s v="Ismael Jaafar"/>
    <s v="Product"/>
    <s v="IN_STORE"/>
    <m/>
    <m/>
    <n v="25.65"/>
    <x v="0"/>
    <x v="18"/>
    <n v="0"/>
    <s v="BAU"/>
  </r>
  <r>
    <s v="Petrol / CSACT evolutions for mid-customers"/>
    <x v="209"/>
    <s v="DISA: Bucket for devs petrol"/>
    <m/>
    <s v="Petrol"/>
    <s v="L"/>
    <n v="200"/>
    <s v="auto"/>
    <s v="OK"/>
    <n v="50"/>
    <n v="50"/>
    <n v="50"/>
    <n v="50"/>
    <s v="P1"/>
    <n v="200"/>
    <s v="Ismael Jaafar"/>
    <s v="Product"/>
    <s v="IN_STORE"/>
    <m/>
    <m/>
    <n v="102.6"/>
    <x v="0"/>
    <x v="18"/>
    <n v="0"/>
    <s v="BAU"/>
  </r>
  <r>
    <s v="Petrol / CSACT evolutions for mid-customers"/>
    <x v="209"/>
    <s v="Q8: EDC, DKV, UTA, Eurowag connections petrol"/>
    <m/>
    <s v="Petrol"/>
    <s v="S"/>
    <n v="50"/>
    <s v="auto"/>
    <s v="OK"/>
    <n v="30"/>
    <n v="20"/>
    <m/>
    <m/>
    <s v="P1"/>
    <n v="50"/>
    <s v="Ismael Jaafar"/>
    <s v="Product"/>
    <s v="IN_STORE"/>
    <m/>
    <m/>
    <n v="25.65"/>
    <x v="0"/>
    <x v="18"/>
    <n v="0"/>
    <s v="BAU"/>
  </r>
  <r>
    <s v="Petrol / CSACT evolutions for mid-customers"/>
    <x v="209"/>
    <s v="Q8: Discount coupons printing petrol"/>
    <m/>
    <s v="Petrol"/>
    <s v="S"/>
    <n v="40"/>
    <s v="override"/>
    <s v="OK"/>
    <m/>
    <m/>
    <n v="20"/>
    <n v="20"/>
    <s v="P1"/>
    <n v="40"/>
    <s v="Ismael Jaafar"/>
    <s v="Product"/>
    <s v="IN_STORE"/>
    <m/>
    <m/>
    <n v="20.52"/>
    <x v="0"/>
    <x v="18"/>
    <n v="0"/>
    <s v="BAU"/>
  </r>
  <r>
    <s v="Petrol / CSACT evolutions for mid-customers"/>
    <x v="209"/>
    <s v="Q8: Bucket for devs petrol"/>
    <m/>
    <s v="Petrol"/>
    <s v="XS"/>
    <n v="20"/>
    <s v="auto"/>
    <s v="OK"/>
    <m/>
    <m/>
    <m/>
    <n v="20"/>
    <s v="P1"/>
    <n v="20"/>
    <s v="Ismael Jaafar"/>
    <s v="Product"/>
    <s v="IN_STORE"/>
    <m/>
    <m/>
    <n v="10.26"/>
    <x v="0"/>
    <x v="18"/>
    <n v="0"/>
    <s v="BAU"/>
  </r>
  <r>
    <s v="Petrol / CSACT evolutions for mid-customers"/>
    <x v="209"/>
    <s v="Others: Bucket for devs (New issuers, Repsol...)"/>
    <m/>
    <s v="Petrol"/>
    <s v="S"/>
    <n v="50"/>
    <s v="auto"/>
    <s v="OK"/>
    <m/>
    <n v="15"/>
    <n v="15"/>
    <n v="20"/>
    <s v="P1"/>
    <n v="50"/>
    <s v="Ismael Jaafar"/>
    <s v="Product"/>
    <s v="IN_STORE"/>
    <m/>
    <m/>
    <n v="25.65"/>
    <x v="0"/>
    <x v="18"/>
    <n v="0"/>
    <s v="BAU"/>
  </r>
  <r>
    <s v="Petrol / CSACT geo expansion in Europe"/>
    <x v="213"/>
    <s v="CENAT replacement"/>
    <m/>
    <s v="Petrol"/>
    <s v="M"/>
    <n v="100"/>
    <s v="auto"/>
    <s v="OK"/>
    <n v="50"/>
    <n v="50"/>
    <m/>
    <m/>
    <s v="P1"/>
    <n v="100"/>
    <s v="Ismael Jaafar"/>
    <s v="Product"/>
    <s v="IN_STORE"/>
    <m/>
    <m/>
    <n v="51.3"/>
    <x v="0"/>
    <x v="18"/>
    <n v="0"/>
    <s v="BAU"/>
  </r>
  <r>
    <s v="Petrol / CSACT geo expansion in Europe"/>
    <x v="213"/>
    <s v="Bucket for unknown customer (eg: opportunity with get TESCO Petrol solution - SB's like with Axis)"/>
    <m/>
    <s v="Petrol"/>
    <s v="L"/>
    <n v="200"/>
    <s v="auto"/>
    <s v="OK"/>
    <n v="75"/>
    <n v="75"/>
    <n v="50"/>
    <m/>
    <s v="P1"/>
    <n v="200"/>
    <s v="Ismael Jaafar"/>
    <s v="Product"/>
    <s v="IN_STORE"/>
    <m/>
    <m/>
    <n v="102.6"/>
    <x v="0"/>
    <x v="18"/>
    <n v="0"/>
    <s v="BAU"/>
  </r>
  <r>
    <s v="Sainsbury's project on CSACT"/>
    <x v="329"/>
    <s v="[2021's target] Sainsbury's: Tetra migration"/>
    <s v="Remaining from 2021"/>
    <s v="Petrol"/>
    <s v="S"/>
    <n v="50"/>
    <s v="auto"/>
    <s v="OK"/>
    <n v="30"/>
    <n v="20"/>
    <m/>
    <m/>
    <s v="P1"/>
    <n v="50"/>
    <s v="Ismael Jaafar"/>
    <s v="Product"/>
    <s v="IN_STORE"/>
    <m/>
    <m/>
    <n v="25.65"/>
    <x v="0"/>
    <x v="18"/>
    <n v="0"/>
    <s v="BAU"/>
  </r>
  <r>
    <s v="Sainsbury's project on CSACT"/>
    <x v="329"/>
    <s v="Sainsbury's: Bucket for devs"/>
    <m/>
    <s v="Petrol"/>
    <s v="L"/>
    <n v="200"/>
    <s v="auto"/>
    <s v="OK"/>
    <n v="50"/>
    <n v="50"/>
    <n v="50"/>
    <n v="50"/>
    <s v="P1"/>
    <n v="200"/>
    <s v="Ismael Jaafar"/>
    <s v="Product"/>
    <s v="IN_STORE"/>
    <m/>
    <m/>
    <n v="102.6"/>
    <x v="0"/>
    <x v="18"/>
    <n v="0"/>
    <s v="BAU"/>
  </r>
  <r>
    <s v="CSACT Technical debt / Rationalization"/>
    <x v="100"/>
    <s v="GIT Migratin and GIT CI"/>
    <s v="Implement a full GIT Pipeline on CSACT and H24"/>
    <s v="Petrol"/>
    <s v="S"/>
    <n v="50"/>
    <s v="auto"/>
    <s v="OK"/>
    <n v="15"/>
    <n v="15"/>
    <n v="10"/>
    <n v="10"/>
    <s v="P1"/>
    <n v="50"/>
    <s v=" Mohamed LACHGUER "/>
    <s v="Tech. Debt"/>
    <s v="IN_STORE"/>
    <m/>
    <m/>
    <n v="25.65"/>
    <x v="0"/>
    <x v="18"/>
    <n v="0"/>
    <s v="BAU"/>
  </r>
  <r>
    <s v="CSACT Technical debt / Rationalization"/>
    <x v="100"/>
    <s v="H24 NRT for new APP  versions"/>
    <m/>
    <s v="Petrol"/>
    <s v="M"/>
    <n v="70"/>
    <s v="override"/>
    <s v="OK"/>
    <m/>
    <n v="50"/>
    <m/>
    <n v="20"/>
    <s v="P1"/>
    <n v="70"/>
    <s v=" Mohamed LACHGUER "/>
    <s v="Tech. Debt"/>
    <s v="IN_STORE"/>
    <s v="Technical Leverage"/>
    <m/>
    <n v="35.909999999999997"/>
    <x v="0"/>
    <x v="18"/>
    <n v="0"/>
    <s v="BAU"/>
  </r>
  <r>
    <s v="Verticals - Parking/EV Charging / Vending Self/2-4-5000"/>
    <x v="99"/>
    <s v="[Parking] support CSACT fuel card in Axis"/>
    <s v="support CSACT fuel card in Axis"/>
    <s v="Petrol"/>
    <s v="M"/>
    <n v="100"/>
    <s v="auto"/>
    <s v="OK"/>
    <m/>
    <m/>
    <m/>
    <n v="100"/>
    <s v="P4"/>
    <n v="100"/>
    <s v="Thierry Fortune"/>
    <s v="Product"/>
    <s v="IN_STORE"/>
    <m/>
    <m/>
    <n v="51.3"/>
    <x v="1"/>
    <x v="18"/>
    <n v="0"/>
    <s v="BAU"/>
  </r>
  <r>
    <s v="New regulations on Conexflow"/>
    <x v="184"/>
    <s v="[Certifications] [2022] Conexflow (CSACT-7459)"/>
    <m/>
    <s v="QA - AFAQ"/>
    <s v="XS"/>
    <n v="5"/>
    <s v="auto"/>
    <s v="OK"/>
    <n v="5"/>
    <m/>
    <m/>
    <m/>
    <s v="P1"/>
    <n v="5"/>
    <s v="Jorge Tarlea"/>
    <s v="Product"/>
    <s v="IN_STORE"/>
    <m/>
    <m/>
    <n v="2.5649999999999999"/>
    <x v="0"/>
    <x v="18"/>
    <n v="0"/>
    <s v="BAU"/>
  </r>
  <r>
    <s v="Regulation / Europe w/o France"/>
    <x v="78"/>
    <s v="[Certifications] [2022] CSACT (CSACT-5918 )"/>
    <s v="Open / Self2-4-5000 / Self/7-8000"/>
    <s v="QA - AFAQ"/>
    <s v="M"/>
    <n v="160"/>
    <s v="auto"/>
    <s v="OK"/>
    <n v="40"/>
    <n v="40"/>
    <n v="40"/>
    <n v="40"/>
    <s v="P1"/>
    <n v="160"/>
    <s v="Jorge Tarlea"/>
    <s v="Product"/>
    <s v="IN_STORE"/>
    <m/>
    <m/>
    <n v="82.08"/>
    <x v="0"/>
    <x v="18"/>
    <n v="0"/>
    <s v="BAU"/>
  </r>
  <r>
    <s v="Regulation / Europe w/o France"/>
    <x v="78"/>
    <s v="[Certifications] [2022] Axis (Spanish market) (CSACT-5970)"/>
    <s v="Execution (Self/2-4-5000 &amp; Self/7-8000)"/>
    <s v="QA - AFAQ"/>
    <s v="L"/>
    <n v="270"/>
    <s v="auto"/>
    <s v="OK"/>
    <n v="60"/>
    <n v="60"/>
    <n v="60"/>
    <n v="90"/>
    <s v="P1"/>
    <n v="270"/>
    <s v="Jorge Tarlea"/>
    <s v="Product"/>
    <s v="IN_STORE"/>
    <m/>
    <m/>
    <n v="138.51"/>
    <x v="0"/>
    <x v="18"/>
    <n v="0"/>
    <s v="BAU"/>
  </r>
  <r>
    <s v="Self Service on CSACT"/>
    <x v="330"/>
    <s v="Self/2-4-5000 CECA certification (Pay on Foot)"/>
    <m/>
    <s v="QA - AFAQ"/>
    <s v="XS"/>
    <n v="20"/>
    <s v="auto"/>
    <s v="OK"/>
    <m/>
    <m/>
    <m/>
    <n v="20"/>
    <s v="P3"/>
    <n v="20"/>
    <s v="Thierry Fortune"/>
    <s v="Product"/>
    <s v="IN_STORE"/>
    <m/>
    <m/>
    <n v="10.26"/>
    <x v="1"/>
    <x v="18"/>
    <n v="0"/>
    <s v="BAU"/>
  </r>
  <r>
    <s v="Self Service on CSACT"/>
    <x v="330"/>
    <s v="Self/7-8000 CECA certification (Pay on Foot)"/>
    <m/>
    <s v="QA - AFAQ"/>
    <s v="XS"/>
    <n v="20"/>
    <s v="auto"/>
    <s v="OK"/>
    <m/>
    <m/>
    <m/>
    <n v="20"/>
    <s v="P3"/>
    <n v="20"/>
    <s v="Thierry Fortune"/>
    <s v="Product"/>
    <s v="IN_STORE"/>
    <m/>
    <m/>
    <n v="10.26"/>
    <x v="1"/>
    <x v="18"/>
    <n v="0"/>
    <s v="BAU"/>
  </r>
  <r>
    <s v="Self Service on CSACT"/>
    <x v="330"/>
    <s v="Self/2-4-5000 eService certification (Pay on Foot)"/>
    <m/>
    <s v="QA - AFAQ"/>
    <s v="XS"/>
    <n v="20"/>
    <s v="auto"/>
    <s v="OK"/>
    <m/>
    <m/>
    <m/>
    <n v="20"/>
    <s v="P3"/>
    <n v="20"/>
    <s v="Thierry Fortune"/>
    <s v="Product"/>
    <s v="IN_STORE"/>
    <m/>
    <m/>
    <n v="10.26"/>
    <x v="1"/>
    <x v="18"/>
    <n v="0"/>
    <s v="BAU"/>
  </r>
  <r>
    <s v="Self Service on CSACT"/>
    <x v="330"/>
    <s v="Self/7-8000 eService certification (Pay on Foot)"/>
    <m/>
    <s v="QA - AFAQ"/>
    <s v="XS"/>
    <n v="20"/>
    <s v="auto"/>
    <s v="OK"/>
    <m/>
    <m/>
    <m/>
    <n v="20"/>
    <s v="P3"/>
    <n v="20"/>
    <s v="Thierry Fortune"/>
    <s v="Product"/>
    <s v="IN_STORE"/>
    <m/>
    <m/>
    <n v="10.26"/>
    <x v="1"/>
    <x v="18"/>
    <n v="0"/>
    <s v="BAU"/>
  </r>
  <r>
    <s v="CSACT evolutions for TSS customers"/>
    <x v="203"/>
    <s v="Bucket for EMT Madrid"/>
    <m/>
    <s v="Transport"/>
    <s v="S"/>
    <n v="50"/>
    <s v="auto"/>
    <s v="OK"/>
    <n v="10"/>
    <n v="15"/>
    <n v="15"/>
    <n v="10"/>
    <s v="P1"/>
    <n v="50"/>
    <s v="Thierry Fortune"/>
    <s v="Product"/>
    <s v="IN_STORE"/>
    <m/>
    <m/>
    <n v="25.65"/>
    <x v="0"/>
    <x v="18"/>
    <n v="0"/>
    <s v="BAU"/>
  </r>
  <r>
    <s v="Petrol / CSACT evolutions for mid-customers"/>
    <x v="209"/>
    <s v="Self/7-8000 (EMV+Amex) for Petrol &amp; EV Charging"/>
    <s v="Self/7-8000 RedSys certification"/>
    <s v="Transport"/>
    <s v="S"/>
    <n v="75"/>
    <s v="override"/>
    <s v="OK"/>
    <m/>
    <n v="50"/>
    <n v="25"/>
    <m/>
    <s v="P1"/>
    <n v="75"/>
    <s v="Thierry Fortune"/>
    <s v="Product"/>
    <s v="IN_STORE"/>
    <m/>
    <s v="Voir Martin pr la certif' / May be to balance with Petrol squad"/>
    <n v="38.475000000000001"/>
    <x v="0"/>
    <x v="18"/>
    <n v="0"/>
    <s v="BAU"/>
  </r>
  <r>
    <s v="Petrol / CSACT evolutions for mid-customers"/>
    <x v="209"/>
    <s v="Self/2-4-5000 (EMV &amp; Amex) for Petrol &amp; EV Charging"/>
    <s v="Self/2-4-5000 RedSys certification"/>
    <s v="Transport"/>
    <s v="S"/>
    <n v="75"/>
    <s v="override"/>
    <s v="OK"/>
    <n v="50"/>
    <n v="25"/>
    <m/>
    <m/>
    <s v="P1"/>
    <n v="75"/>
    <s v="Thierry Fortune"/>
    <s v="Product"/>
    <s v="IN_STORE"/>
    <m/>
    <m/>
    <n v="38.475000000000001"/>
    <x v="0"/>
    <x v="18"/>
    <n v="0"/>
    <s v="BAU"/>
  </r>
  <r>
    <s v="Petrol / CSACT evolutions for mid-customers"/>
    <x v="209"/>
    <s v="Token GTS in EV Charging solutions"/>
    <s v="Connection to GTS, Update solution Transports (H24/ECR)"/>
    <s v="Transport"/>
    <s v="S"/>
    <n v="50"/>
    <s v="auto"/>
    <s v="OK"/>
    <m/>
    <m/>
    <n v="25"/>
    <n v="25"/>
    <s v="P1"/>
    <n v="50"/>
    <s v="Thierry Fortune"/>
    <s v="Product"/>
    <s v="IN_STORE"/>
    <m/>
    <m/>
    <n v="25.65"/>
    <x v="0"/>
    <x v="18"/>
    <n v="0"/>
    <s v="BAU"/>
  </r>
  <r>
    <s v="Petrol / CSACT evolutions for mid-customers"/>
    <x v="209"/>
    <s v="Self/7-8000 for Petrol &amp; Pay on Foot + Amex"/>
    <s v="Self/7-8000 eService certification"/>
    <s v="Transport"/>
    <s v="M"/>
    <n v="100"/>
    <s v="auto"/>
    <s v="OK"/>
    <m/>
    <m/>
    <n v="50"/>
    <n v="50"/>
    <s v="P3"/>
    <n v="100"/>
    <s v="Thierry Fortune"/>
    <s v="Product"/>
    <s v="IN_STORE"/>
    <m/>
    <m/>
    <n v="51.3"/>
    <x v="1"/>
    <x v="18"/>
    <n v="0"/>
    <s v="BAU"/>
  </r>
  <r>
    <s v="Petrol / CSACT evolutions for mid-customers"/>
    <x v="209"/>
    <s v="Self/2-4-5000 EMV &amp; Amex for Petrol &amp; EV Charging"/>
    <s v="Self/2-4-5000 eService certification"/>
    <s v="Transport"/>
    <s v="M"/>
    <n v="100"/>
    <s v="auto"/>
    <s v="OK"/>
    <m/>
    <m/>
    <n v="50"/>
    <n v="50"/>
    <s v="P3"/>
    <n v="100"/>
    <s v="Thierry Fortune"/>
    <s v="Product"/>
    <s v="IN_STORE"/>
    <m/>
    <m/>
    <n v="51.3"/>
    <x v="1"/>
    <x v="18"/>
    <n v="0"/>
    <s v="BAU"/>
  </r>
  <r>
    <s v="Self Service on CSACT"/>
    <x v="330"/>
    <s v="Self/2-4-5000 (EMV &amp; Amex) for Vending &amp; Pay-on-Foot (TVM)"/>
    <s v="Self/2-4-5000 RedSys certification"/>
    <s v="Transport"/>
    <s v="S"/>
    <n v="50"/>
    <s v="auto"/>
    <s v="OK"/>
    <n v="25"/>
    <n v="25"/>
    <m/>
    <m/>
    <s v="P1"/>
    <n v="50"/>
    <s v="Thierry Fortune"/>
    <s v="Product"/>
    <s v="IN_STORE"/>
    <m/>
    <m/>
    <n v="25.65"/>
    <x v="0"/>
    <x v="18"/>
    <n v="0"/>
    <s v="BAU"/>
  </r>
  <r>
    <s v="Self Service on CSACT"/>
    <x v="330"/>
    <s v="[Transport] Remaining 2021 commitments"/>
    <m/>
    <s v="Transport"/>
    <s v="S"/>
    <n v="50"/>
    <s v="auto"/>
    <s v="OK"/>
    <n v="50"/>
    <m/>
    <m/>
    <m/>
    <s v="P1"/>
    <n v="50"/>
    <s v="Thierry Fortune"/>
    <s v="Product"/>
    <s v="IN_STORE"/>
    <m/>
    <m/>
    <n v="25.65"/>
    <x v="0"/>
    <x v="18"/>
    <n v="0"/>
    <s v="BAU"/>
  </r>
  <r>
    <s v="Self Service on CSACT"/>
    <x v="330"/>
    <s v="Self/7-8000 (EMV &amp; Amex) for Vending &amp; Pay-on-Foot (TVM)"/>
    <s v="Self/7-8000 RedSys certification"/>
    <s v="Transport"/>
    <s v="S"/>
    <n v="50"/>
    <s v="auto"/>
    <s v="OK"/>
    <m/>
    <n v="25"/>
    <n v="25"/>
    <m/>
    <s v="P1"/>
    <n v="50"/>
    <s v="Thierry Fortune"/>
    <s v="Product"/>
    <s v="IN_STORE"/>
    <m/>
    <m/>
    <n v="25.65"/>
    <x v="0"/>
    <x v="18"/>
    <n v="0"/>
    <s v="BAU"/>
  </r>
  <r>
    <s v="Self Service on CSACT"/>
    <x v="330"/>
    <s v="Bucket for certification supports"/>
    <m/>
    <s v="Transport"/>
    <s v="S"/>
    <n v="50"/>
    <s v="auto"/>
    <s v="OK"/>
    <n v="20"/>
    <n v="20"/>
    <n v="10"/>
    <m/>
    <s v="P1"/>
    <n v="50"/>
    <s v="Thierry Fortune"/>
    <s v="Product"/>
    <s v="IN_STORE"/>
    <m/>
    <m/>
    <n v="25.65"/>
    <x v="0"/>
    <x v="18"/>
    <n v="0"/>
    <s v="BAU"/>
  </r>
  <r>
    <s v="Self Service on CSACT"/>
    <x v="330"/>
    <s v="Bucket for transportation incoming requests (Highways P1)"/>
    <m/>
    <s v="Transport"/>
    <s v="S"/>
    <n v="50"/>
    <s v="auto"/>
    <s v="OK"/>
    <n v="10"/>
    <n v="15"/>
    <n v="15"/>
    <n v="10"/>
    <s v="P1"/>
    <n v="50"/>
    <s v="Thierry Fortune"/>
    <s v="Product"/>
    <s v="IN_STORE"/>
    <m/>
    <m/>
    <n v="25.65"/>
    <x v="0"/>
    <x v="18"/>
    <n v="0"/>
    <s v="BAU"/>
  </r>
  <r>
    <s v="Self Service on CSACT"/>
    <x v="330"/>
    <s v="Bucket for transportation incoming requests (Highways P2)"/>
    <m/>
    <s v="Transport"/>
    <s v="XXL"/>
    <n v="400"/>
    <s v="auto"/>
    <s v="OK"/>
    <m/>
    <n v="125"/>
    <n v="150"/>
    <n v="125"/>
    <s v="P3"/>
    <n v="400"/>
    <s v="Thierry Fortune"/>
    <s v="Product"/>
    <s v="IN_STORE"/>
    <m/>
    <m/>
    <n v="205.2"/>
    <x v="1"/>
    <x v="18"/>
    <n v="0"/>
    <s v="BAU"/>
  </r>
  <r>
    <s v="Technical &amp; Functional Debt"/>
    <x v="12"/>
    <s v="Automation &amp; Industrialisation"/>
    <s v="Generalise test automation"/>
    <s v="Transport"/>
    <s v="S"/>
    <n v="50"/>
    <s v="auto"/>
    <s v="OK"/>
    <n v="15"/>
    <n v="10"/>
    <n v="15"/>
    <n v="10"/>
    <s v="P1"/>
    <n v="50"/>
    <s v=" Mohamed LACHGUER "/>
    <s v="Tech. Debt"/>
    <s v="IN_STORE"/>
    <m/>
    <m/>
    <n v="25.65"/>
    <x v="0"/>
    <x v="18"/>
    <n v="0"/>
    <s v="BAU"/>
  </r>
  <r>
    <s v="Technical &amp; Functional Debt"/>
    <x v="12"/>
    <s v="Maintenance"/>
    <s v="Fixing GRAMs"/>
    <s v="Transport"/>
    <s v="M"/>
    <n v="100"/>
    <s v="auto"/>
    <s v="OK"/>
    <n v="25"/>
    <n v="25"/>
    <n v="25"/>
    <n v="25"/>
    <s v="P1"/>
    <n v="100"/>
    <s v=" Mohamed LACHGUER "/>
    <s v="Maintenance &amp; Incidents"/>
    <s v="IN_STORE"/>
    <m/>
    <m/>
    <n v="51.3"/>
    <x v="0"/>
    <x v="18"/>
    <n v="0"/>
    <s v="BAU"/>
  </r>
  <r>
    <s v="Verticals - Parking/EV Charging / Vending Self/2-4-5000"/>
    <x v="99"/>
    <s v="[Vending] MDBv 4.2 implementation in SELF/2-4-5000 in Spain with Redsys -Payment + Private badge"/>
    <s v="Vending MDB v4.2 with Redsys-SELF/2-4-5000"/>
    <s v="Transport"/>
    <s v="M"/>
    <n v="100"/>
    <s v="auto"/>
    <s v="OK"/>
    <m/>
    <m/>
    <n v="50"/>
    <n v="50"/>
    <s v="P3"/>
    <n v="100"/>
    <s v="Thierry Fortune"/>
    <s v="Product"/>
    <s v="IN_STORE"/>
    <m/>
    <s v="??? What's that ? Pas CSACT ?"/>
    <n v="51.3"/>
    <x v="1"/>
    <x v="18"/>
    <n v="0"/>
    <s v="BAU"/>
  </r>
  <r>
    <s v="Verticals - Transportation / OP2GO One FR"/>
    <x v="303"/>
    <s v="[Transport] OP2GO One solution SP - Open loop + Close loop cards acceptance - CPA/MAP ES-Redsys certification"/>
    <s v="OPEN/1-2500 for open &amp; close loop cards -ES-Redsys (based on AXIS)"/>
    <s v="Transport"/>
    <s v="M"/>
    <n v="100"/>
    <s v="auto"/>
    <s v="OK"/>
    <n v="50"/>
    <n v="50"/>
    <m/>
    <m/>
    <s v="P1"/>
    <n v="100"/>
    <s v="Thierry Fortune"/>
    <s v="Product"/>
    <s v="IN_STORE"/>
    <m/>
    <m/>
    <n v="51.3"/>
    <x v="0"/>
    <x v="18"/>
    <n v="0"/>
    <s v="BAU"/>
  </r>
  <r>
    <s v="Verticals - Transportation / OP2GO One FR"/>
    <x v="303"/>
    <s v="[Transport] OP2GO Basic solution Europe - DESK/5000 - Embedded ECR System - Europe market (based on Axis)"/>
    <s v="Dvpt &amp; RedSys certification for Spain"/>
    <s v="Transport"/>
    <s v="S"/>
    <n v="50"/>
    <s v="auto"/>
    <s v="OK"/>
    <n v="25"/>
    <n v="25"/>
    <m/>
    <m/>
    <s v="P3"/>
    <n v="50"/>
    <s v="Thierry Fortune"/>
    <s v="Product"/>
    <s v="IN_STORE"/>
    <m/>
    <s v="Voir avec Martin pr la certif' ; Voir avec Fred &amp; Bertrand"/>
    <n v="25.65"/>
    <x v="1"/>
    <x v="18"/>
    <n v="0"/>
    <s v="BAU"/>
  </r>
  <r>
    <s v="Viveum new offer"/>
    <x v="331"/>
    <s v="Financial Institutions"/>
    <s v="MP White Labeling for Viveum"/>
    <s v="WLOC_MXP"/>
    <s v="M"/>
    <n v="100"/>
    <s v="auto"/>
    <s v="OK"/>
    <m/>
    <m/>
    <m/>
    <n v="100"/>
    <s v="P1"/>
    <n v="100"/>
    <s v="Sebastien Fantone"/>
    <s v="Product"/>
    <s v="ECOM"/>
    <m/>
    <m/>
    <n v="48.3"/>
    <x v="0"/>
    <x v="4"/>
    <n v="0"/>
    <s v="BAU"/>
  </r>
  <r>
    <s v="Viveum new offer"/>
    <x v="331"/>
    <s v="Financial Institutions"/>
    <s v="Ingenico Direct White Labeling for Viveum "/>
    <s v="WLOC_APM"/>
    <s v="S"/>
    <n v="70"/>
    <s v="override"/>
    <s v="OK"/>
    <m/>
    <m/>
    <m/>
    <n v="70"/>
    <s v="P1"/>
    <n v="70"/>
    <s v="Sebastien Fantone"/>
    <s v="Product"/>
    <s v="ECOM"/>
    <m/>
    <m/>
    <n v="33.81"/>
    <x v="0"/>
    <x v="4"/>
    <n v="0"/>
    <s v="BAU"/>
  </r>
  <r>
    <s v="WL Rebranding"/>
    <x v="332"/>
    <s v="Rebranding"/>
    <s v="Changing all the URLs to remove Ingenico"/>
    <s v="Iron Hills"/>
    <s v="S"/>
    <n v="80"/>
    <s v="auto"/>
    <s v="OK"/>
    <n v="80"/>
    <m/>
    <m/>
    <m/>
    <s v="P1"/>
    <n v="80"/>
    <s v="Rik van 't Hof"/>
    <s v="Product"/>
    <s v="ONLINE"/>
    <m/>
    <m/>
    <n v="41.04"/>
    <x v="0"/>
    <x v="5"/>
    <s v="Single Project"/>
    <s v="BAU"/>
  </r>
  <r>
    <s v="WL Subscription Pay"/>
    <x v="333"/>
    <m/>
    <m/>
    <s v="TechProcess"/>
    <s v="XXL"/>
    <n v="400"/>
    <s v="auto"/>
    <s v="OK"/>
    <n v="100"/>
    <n v="100"/>
    <n v="100"/>
    <n v="100"/>
    <s v="P1"/>
    <n v="400"/>
    <s v="Arvind Singh"/>
    <s v=" Product "/>
    <s v="ONLINE"/>
    <m/>
    <m/>
    <n v="205.2"/>
    <x v="0"/>
    <x v="9"/>
    <n v="0"/>
    <s v="BAU"/>
  </r>
  <r>
    <s v="WL Switch Integration"/>
    <x v="334"/>
    <m/>
    <m/>
    <s v="TechProcess"/>
    <s v="XXL"/>
    <n v="400"/>
    <s v="auto"/>
    <s v="OK"/>
    <n v="130"/>
    <n v="130"/>
    <n v="140"/>
    <n v="0"/>
    <s v="P1"/>
    <n v="400"/>
    <s v="Arvind Singh"/>
    <s v=" Synergies "/>
    <s v="ONLINE"/>
    <m/>
    <m/>
    <n v="205.2"/>
    <x v="0"/>
    <x v="9"/>
    <n v="0"/>
    <s v="BAU"/>
  </r>
  <r>
    <s v="WL Tokenization Service"/>
    <x v="335"/>
    <m/>
    <m/>
    <s v="TechProcess"/>
    <s v="XXL"/>
    <n v="400"/>
    <s v="auto"/>
    <s v="OK"/>
    <n v="200"/>
    <n v="200"/>
    <n v="0"/>
    <n v="0"/>
    <s v="P1"/>
    <n v="400"/>
    <s v="Arvind Singh"/>
    <s v=" Product "/>
    <s v="ONLINE"/>
    <m/>
    <m/>
    <n v="205.2"/>
    <x v="0"/>
    <x v="9"/>
    <n v="0"/>
    <s v="BAU"/>
  </r>
  <r>
    <s v="WL1C - Axis-Ogone Maintenance &amp; Cont. Enhancements (Axis-Ogone Roadmap)"/>
    <x v="336"/>
    <s v="SHADOW ITEM: WL1C - Axis-Ogone Maintenance &amp; Cont. Enhancements (Axis-Ogone Roadmap)"/>
    <m/>
    <m/>
    <m/>
    <n v="0"/>
    <s v="override"/>
    <s v="OK"/>
    <m/>
    <m/>
    <m/>
    <m/>
    <s v="P1"/>
    <n v="0"/>
    <s v="Niklas Rosvall"/>
    <m/>
    <n v="0"/>
    <m/>
    <s v="Shadow Item (for completeness) Pointer at X-channel/eCom items in budget of Pierre Riat"/>
    <n v="0"/>
    <x v="3"/>
    <x v="14"/>
    <n v="0"/>
    <s v="BAU"/>
  </r>
  <r>
    <s v="WL1C - Contract Type ID support for Unified Reconciliation, WL Acq POS CTAP"/>
    <x v="337"/>
    <m/>
    <m/>
    <s v="Omn_Cash"/>
    <m/>
    <n v="80"/>
    <s v="auto"/>
    <s v="OK"/>
    <n v="80"/>
    <m/>
    <m/>
    <m/>
    <s v="P3"/>
    <n v="80"/>
    <s v="Rashmita Pradhan"/>
    <m/>
    <s v="OCH"/>
    <m/>
    <m/>
    <n v="41.04"/>
    <x v="1"/>
    <x v="2"/>
    <s v="Single Project"/>
    <s v="BAU"/>
  </r>
  <r>
    <s v="WL1C - Contract Type ID support for Unified Reconciliation, WL Acq POS CTAP"/>
    <x v="337"/>
    <m/>
    <m/>
    <s v="Omn_Core"/>
    <s v="XS"/>
    <n v="20"/>
    <s v="auto"/>
    <s v="OK"/>
    <n v="20"/>
    <m/>
    <m/>
    <m/>
    <s v="P3"/>
    <n v="20"/>
    <s v="Rashmita Pradhan"/>
    <m/>
    <s v="OCH"/>
    <m/>
    <m/>
    <n v="10.26"/>
    <x v="1"/>
    <x v="2"/>
    <s v="Single Project"/>
    <s v="BAU"/>
  </r>
  <r>
    <s v="WL1C - CTAP-WOPA Maintenance (for eWL)"/>
    <x v="338"/>
    <s v="WL1C - CTAP-WOPA Maintenance (for eWL)"/>
    <m/>
    <s v="FS"/>
    <m/>
    <n v="105"/>
    <s v="override"/>
    <s v="OK"/>
    <n v="25"/>
    <n v="30"/>
    <n v="25"/>
    <n v="25"/>
    <s v="P1"/>
    <n v="105"/>
    <s v="Niklas Rosvall"/>
    <m/>
    <s v="OTHER"/>
    <m/>
    <s v="Equence Worldline support of CTAP integration to WL1C"/>
    <n v="52.5"/>
    <x v="0"/>
    <x v="6"/>
    <s v="Single Project"/>
    <s v="BAU"/>
  </r>
  <r>
    <s v="WL1C - Customer Implementations"/>
    <x v="339"/>
    <s v="WL1C - Customer Implementations"/>
    <m/>
    <s v="Ops OCH"/>
    <s v="M"/>
    <n v="100"/>
    <s v="auto"/>
    <s v="OK"/>
    <m/>
    <m/>
    <n v="50"/>
    <n v="50"/>
    <s v="P1"/>
    <n v="100"/>
    <s v="Niklas Rosvall"/>
    <m/>
    <s v="OCH"/>
    <m/>
    <m/>
    <n v="51.3"/>
    <x v="0"/>
    <x v="2"/>
    <s v="Single Project"/>
    <s v="BAU"/>
  </r>
  <r>
    <s v="WL1C - Developer Portal Work: Documentation for Merchant Integration (reduced)"/>
    <x v="340"/>
    <m/>
    <m/>
    <s v="Omn_On"/>
    <s v="M"/>
    <n v="100"/>
    <s v="auto"/>
    <s v="OK"/>
    <n v="25"/>
    <n v="25"/>
    <n v="25"/>
    <n v="25"/>
    <s v="P2"/>
    <n v="100"/>
    <s v="Rashmita Pradhan"/>
    <m/>
    <s v="OCH"/>
    <m/>
    <m/>
    <n v="51.3"/>
    <x v="0"/>
    <x v="2"/>
    <s v="Single Project"/>
    <s v="BAU"/>
  </r>
  <r>
    <s v="WL1C - Developer Portal Work: Documentation for Merchant Integration (reduced)"/>
    <x v="340"/>
    <m/>
    <m/>
    <s v="Omn_Cash"/>
    <s v="M"/>
    <n v="100"/>
    <s v="auto"/>
    <s v="OK"/>
    <n v="25"/>
    <n v="25"/>
    <n v="25"/>
    <n v="25"/>
    <s v="P2"/>
    <n v="100"/>
    <s v="Rashmita Pradhan"/>
    <m/>
    <s v="OCH"/>
    <m/>
    <m/>
    <n v="51.3"/>
    <x v="0"/>
    <x v="2"/>
    <s v="Single Project"/>
    <s v="BAU"/>
  </r>
  <r>
    <s v="WL1C - Growth-driven efficiency investments (Tooling, Outsourcing)"/>
    <x v="341"/>
    <s v="WL1C - Growth-driven efficiency investments (Tooling, Outsourcing)"/>
    <m/>
    <s v="Ops OCH"/>
    <s v="M"/>
    <n v="100"/>
    <s v="auto"/>
    <s v="OK"/>
    <n v="25"/>
    <n v="25"/>
    <n v="25"/>
    <n v="25"/>
    <s v="P1"/>
    <n v="100"/>
    <s v="Niklas Rosvall"/>
    <m/>
    <s v="OCH"/>
    <m/>
    <m/>
    <n v="51.3"/>
    <x v="0"/>
    <x v="2"/>
    <s v="Single Project"/>
    <s v="BAU"/>
  </r>
  <r>
    <s v="WL1C - Incremental Authorization"/>
    <x v="342"/>
    <s v="WL1C - Incremental Authorization"/>
    <m/>
    <s v="Omn_Core"/>
    <s v="L"/>
    <n v="200"/>
    <s v="auto"/>
    <s v="OK"/>
    <m/>
    <n v="80"/>
    <n v="40"/>
    <n v="80"/>
    <s v="P1"/>
    <n v="200"/>
    <s v="Niklas Rosvall"/>
    <m/>
    <s v="OCH"/>
    <m/>
    <m/>
    <n v="102.6"/>
    <x v="0"/>
    <x v="2"/>
    <s v="Single Project"/>
    <s v="BAU"/>
  </r>
  <r>
    <s v="WL1C - Incremental Authorization"/>
    <x v="342"/>
    <s v="WL1C - Incremental Authorization"/>
    <m/>
    <s v="OCH_BA"/>
    <s v="XS"/>
    <n v="20"/>
    <s v="auto"/>
    <s v="OK"/>
    <m/>
    <n v="15"/>
    <n v="5"/>
    <m/>
    <s v="P1"/>
    <n v="20"/>
    <s v="Anders Eckersand"/>
    <m/>
    <s v="OCH"/>
    <m/>
    <m/>
    <n v="10.26"/>
    <x v="0"/>
    <x v="2"/>
    <s v="Single Project"/>
    <s v="BAU"/>
  </r>
  <r>
    <s v="WL1C - Incremental Authorization"/>
    <x v="342"/>
    <s v="WL1C - Incremental Authorization"/>
    <m/>
    <s v="OCH_PDM"/>
    <s v="XS"/>
    <n v="20"/>
    <s v="auto"/>
    <s v="OK"/>
    <m/>
    <n v="5"/>
    <n v="10"/>
    <n v="5"/>
    <s v="P1"/>
    <n v="20"/>
    <s v="Anders Eckersand"/>
    <m/>
    <s v="OCH"/>
    <m/>
    <m/>
    <n v="10.26"/>
    <x v="0"/>
    <x v="2"/>
    <s v="Single Project"/>
    <s v="BAU"/>
  </r>
  <r>
    <s v="WL1C - Incremental Authorization"/>
    <x v="342"/>
    <s v="WL1C - Incremental Authorization"/>
    <m/>
    <s v="OCH_E2E"/>
    <m/>
    <n v="30"/>
    <s v="override"/>
    <s v="OK"/>
    <m/>
    <n v="5"/>
    <n v="5"/>
    <n v="20"/>
    <s v="P1"/>
    <n v="30"/>
    <s v="Anders Eckersand"/>
    <m/>
    <s v="OCH"/>
    <m/>
    <m/>
    <n v="15.39"/>
    <x v="0"/>
    <x v="2"/>
    <s v="Single Project"/>
    <s v="BAU"/>
  </r>
  <r>
    <s v="WL1C - Onboarding for Shared Services (Synergy Consequence)"/>
    <x v="343"/>
    <m/>
    <m/>
    <s v="Omn_Core"/>
    <s v="M"/>
    <n v="100"/>
    <s v="auto"/>
    <s v="OK"/>
    <m/>
    <m/>
    <n v="50"/>
    <n v="50"/>
    <s v="P3"/>
    <n v="100"/>
    <s v="Rashmita Pradhan"/>
    <m/>
    <s v="OCH"/>
    <m/>
    <m/>
    <n v="51.3"/>
    <x v="1"/>
    <x v="2"/>
    <s v="Single Project"/>
    <s v="BAU"/>
  </r>
  <r>
    <s v="WL1C - Onboarding for Shared Services (Synergy Consequence)"/>
    <x v="343"/>
    <m/>
    <m/>
    <s v="Ops OCH"/>
    <s v="XS"/>
    <n v="20"/>
    <s v="auto"/>
    <s v="OK"/>
    <m/>
    <m/>
    <n v="20"/>
    <m/>
    <s v="P3"/>
    <n v="20"/>
    <s v="Rashmita Pradhan"/>
    <m/>
    <s v="OCH"/>
    <m/>
    <m/>
    <n v="10.26"/>
    <x v="1"/>
    <x v="2"/>
    <s v="Single Project"/>
    <s v="BAU"/>
  </r>
  <r>
    <s v="WL1C - Pan-EU Tier 2-3 (EP2 Integration to Service Hub)"/>
    <x v="344"/>
    <s v="WL1C - Pan-EU Tier 2-3 (EP2 Integration to Service Hub)"/>
    <m/>
    <s v="OCH_BA"/>
    <s v="XS"/>
    <n v="20"/>
    <s v="auto"/>
    <s v="OK"/>
    <m/>
    <m/>
    <n v="15"/>
    <n v="5"/>
    <s v="P2"/>
    <n v="20"/>
    <s v="Anders Eckersand"/>
    <m/>
    <s v="OCH"/>
    <m/>
    <m/>
    <n v="10.26"/>
    <x v="0"/>
    <x v="2"/>
    <s v="Single Project"/>
    <s v="BAU"/>
  </r>
  <r>
    <s v="WL1C - Pan-EU Tier 2-3 (EP2 Integration to Service Hub)"/>
    <x v="344"/>
    <s v="WL1C - Pan-EU Tier 2-3 (EP2 Integration to Service Hub)"/>
    <m/>
    <s v="OCH_PDM"/>
    <s v="XS"/>
    <n v="20"/>
    <s v="auto"/>
    <s v="OK"/>
    <m/>
    <m/>
    <n v="10"/>
    <n v="10"/>
    <s v="P2"/>
    <n v="20"/>
    <s v="Anders Eckersand"/>
    <m/>
    <s v="OCH"/>
    <m/>
    <m/>
    <n v="10.26"/>
    <x v="0"/>
    <x v="2"/>
    <s v="Single Project"/>
    <s v="BAU"/>
  </r>
  <r>
    <s v="WL1C - Pan-EU Tier 2-3 (EP2 Integration to Service Hub)"/>
    <x v="344"/>
    <s v="WL1C - Pan-EU Tier 2-3 (EP2 Integration to Service Hub)"/>
    <m/>
    <s v="OCH_E2E"/>
    <m/>
    <n v="20"/>
    <s v="override"/>
    <s v="OK"/>
    <m/>
    <m/>
    <n v="10"/>
    <n v="10"/>
    <s v="P2"/>
    <n v="20"/>
    <s v="Anders Eckersand"/>
    <m/>
    <s v="OCH"/>
    <m/>
    <m/>
    <n v="10.26"/>
    <x v="0"/>
    <x v="2"/>
    <s v="Single Project"/>
    <s v="BAU"/>
  </r>
  <r>
    <s v="WL1C - Pan-EU Tier 2-3 (EP2 Integration to Service Hub)"/>
    <x v="344"/>
    <s v="WL1C - Pan-EU Tier 2-3 (EP2 Integration to Service Hub)"/>
    <m/>
    <s v="SPS"/>
    <s v="L"/>
    <n v="200"/>
    <s v="auto"/>
    <s v="OK"/>
    <m/>
    <m/>
    <n v="80"/>
    <n v="120"/>
    <s v="P2"/>
    <n v="200"/>
    <s v="Niklas Rosvall"/>
    <m/>
    <s v="???"/>
    <m/>
    <s v="EP2 integration with WL1C (handled by SPS)"/>
    <n v="97.4"/>
    <x v="0"/>
    <x v="26"/>
    <s v="Single Project"/>
    <s v="BAU"/>
  </r>
  <r>
    <s v="WL1C - Platform Integration Support (OCH)"/>
    <x v="345"/>
    <s v="WL1C - Platform Integration Support (OCH)"/>
    <m/>
    <s v="Omn_Core"/>
    <m/>
    <n v="100"/>
    <s v="override"/>
    <s v="OK"/>
    <n v="25"/>
    <n v="25"/>
    <n v="25"/>
    <n v="25"/>
    <s v="P1"/>
    <n v="100"/>
    <s v="Niklas Rosvall"/>
    <m/>
    <s v="OCH"/>
    <m/>
    <m/>
    <n v="51.3"/>
    <x v="0"/>
    <x v="2"/>
    <s v="Single Project"/>
    <s v="BAU"/>
  </r>
  <r>
    <s v="WL1C - Platform Integration Support (Operations)"/>
    <x v="346"/>
    <s v="WL1C - Platform Integration Support (Operations)"/>
    <m/>
    <s v="Ops OCH"/>
    <m/>
    <n v="200"/>
    <s v="override"/>
    <s v="OK"/>
    <n v="50"/>
    <n v="50"/>
    <n v="50"/>
    <n v="50"/>
    <s v="P1"/>
    <n v="200"/>
    <s v="Niklas Rosvall"/>
    <m/>
    <s v="OCH"/>
    <m/>
    <m/>
    <n v="102.6"/>
    <x v="0"/>
    <x v="2"/>
    <s v="Single Project"/>
    <s v="BAU"/>
  </r>
  <r>
    <s v="WL1C - Plug&amp;Play BeNeLux+Shared Developent (Regional Business Roadmap)"/>
    <x v="347"/>
    <s v="SHADOW ITEM: WL1C - Plug&amp;Play BeNeLux+Shared Developent (Regional Business Roadmap)"/>
    <m/>
    <m/>
    <m/>
    <n v="0"/>
    <s v="override"/>
    <s v="OK"/>
    <m/>
    <m/>
    <m/>
    <m/>
    <s v="P1"/>
    <n v="0"/>
    <s v="Niklas Rosvall"/>
    <m/>
    <n v="0"/>
    <m/>
    <s v="Shadow Item (for completeness) Pointer at multichannel items in budget of Amarury Kervyn"/>
    <n v="0"/>
    <x v="3"/>
    <x v="14"/>
    <n v="0"/>
    <s v="BAU"/>
  </r>
  <r>
    <s v="WL1C - Plug&amp;Play DE Launch"/>
    <x v="348"/>
    <s v="WL1C - Plug&amp;Play DE Launch"/>
    <m/>
    <s v="OCH_BA"/>
    <m/>
    <n v="50"/>
    <s v="override"/>
    <s v="OK"/>
    <n v="30"/>
    <n v="10"/>
    <n v="5"/>
    <n v="5"/>
    <s v="P1"/>
    <n v="50"/>
    <s v="Anders Eckersand"/>
    <m/>
    <s v="OCH"/>
    <m/>
    <m/>
    <n v="25.65"/>
    <x v="0"/>
    <x v="2"/>
    <s v="Single Project"/>
    <s v="BAU"/>
  </r>
  <r>
    <s v="WL1C - Plug&amp;Play DE Launch"/>
    <x v="348"/>
    <s v="WL1C - Plug&amp;Play DE Launch"/>
    <m/>
    <s v="OCH_E2E"/>
    <m/>
    <n v="75"/>
    <s v="override"/>
    <s v="OK"/>
    <n v="10"/>
    <n v="10"/>
    <n v="5"/>
    <n v="50"/>
    <s v="P1"/>
    <n v="75"/>
    <s v="Anders Eckersand"/>
    <m/>
    <s v="OCH"/>
    <m/>
    <m/>
    <n v="38.475000000000001"/>
    <x v="0"/>
    <x v="2"/>
    <s v="Single Project"/>
    <s v="BAU"/>
  </r>
  <r>
    <s v="WL1C - Plug&amp;Play DE Launch"/>
    <x v="348"/>
    <s v="WL1C - Plug&amp;Play DE Launch"/>
    <m/>
    <s v="Payone"/>
    <m/>
    <n v="500"/>
    <s v="override"/>
    <s v="OK"/>
    <n v="200"/>
    <n v="200"/>
    <n v="50"/>
    <n v="50"/>
    <s v="P1"/>
    <n v="500"/>
    <s v="Niklas Rosvall"/>
    <m/>
    <s v="Payone"/>
    <m/>
    <m/>
    <n v="246"/>
    <x v="0"/>
    <x v="27"/>
    <s v="Single Project"/>
    <s v="BAU"/>
  </r>
  <r>
    <s v="WL1C - SaferPay Notification: Remaining Payment methods "/>
    <x v="349"/>
    <m/>
    <m/>
    <s v="SaferPay"/>
    <s v="M"/>
    <n v="100"/>
    <s v="auto"/>
    <s v="OK"/>
    <m/>
    <m/>
    <n v="50"/>
    <n v="50"/>
    <s v="P5"/>
    <n v="100"/>
    <s v="Rashmita Pradhan"/>
    <m/>
    <s v="ECOM"/>
    <m/>
    <m/>
    <n v="100"/>
    <x v="1"/>
    <x v="10"/>
    <n v="0"/>
    <s v="BAU"/>
  </r>
  <r>
    <s v="WL1C - SaferPay Notification: Remaining Payment methods "/>
    <x v="349"/>
    <m/>
    <m/>
    <s v="OCH_E2E"/>
    <s v="XS"/>
    <n v="20"/>
    <s v="auto"/>
    <s v="OK"/>
    <m/>
    <m/>
    <m/>
    <n v="20"/>
    <s v="P5"/>
    <n v="20"/>
    <s v="Rashmita Pradhan"/>
    <m/>
    <s v="OCH"/>
    <m/>
    <m/>
    <n v="10.26"/>
    <x v="1"/>
    <x v="2"/>
    <n v="0"/>
    <s v="BAU"/>
  </r>
  <r>
    <s v="WL1C - SaferPay Notification: Remaining Payment methods "/>
    <x v="349"/>
    <m/>
    <m/>
    <s v="OCH_PDM"/>
    <s v="XS"/>
    <n v="20"/>
    <s v="auto"/>
    <s v="OK"/>
    <m/>
    <m/>
    <m/>
    <n v="20"/>
    <s v="P5"/>
    <n v="20"/>
    <s v="Rashmita Pradhan"/>
    <m/>
    <s v="OCH"/>
    <m/>
    <m/>
    <n v="10.26"/>
    <x v="1"/>
    <x v="2"/>
    <n v="0"/>
    <s v="BAU"/>
  </r>
  <r>
    <s v="WL1C - Target Operating Model (TOM), Product Acceptance Testing (PAT) for new platform integations"/>
    <x v="350"/>
    <s v="WL1C - Target Operating Model (TOM), Product Acceptance Testing (PAT) for new platform integations"/>
    <m/>
    <s v="Ops OCH"/>
    <s v="XXL"/>
    <n v="400"/>
    <s v="auto"/>
    <s v="OK"/>
    <n v="100"/>
    <n v="100"/>
    <n v="100"/>
    <n v="100"/>
    <s v="P1"/>
    <n v="400"/>
    <s v="Niklas Rosvall"/>
    <m/>
    <s v="OCH"/>
    <m/>
    <m/>
    <n v="205.2"/>
    <x v="0"/>
    <x v="2"/>
    <s v="Single Project"/>
    <s v="BAU"/>
  </r>
  <r>
    <s v="WL1C - Unified Reporting"/>
    <x v="351"/>
    <s v="WL1C - Unified Reporting"/>
    <m/>
    <s v="WOPA Sup4SS"/>
    <m/>
    <n v="600"/>
    <s v="override"/>
    <s v="OK"/>
    <m/>
    <n v="200"/>
    <n v="200"/>
    <n v="200"/>
    <s v="P1"/>
    <n v="600"/>
    <s v="Niklas Rosvall"/>
    <s v="Product"/>
    <s v="ONLINE"/>
    <s v="Improve User Experience"/>
    <m/>
    <n v="307.8"/>
    <x v="0"/>
    <x v="0"/>
    <s v="Single Project"/>
    <s v="BAU"/>
  </r>
  <r>
    <s v="WL1C - Unified Reporting"/>
    <x v="351"/>
    <s v="WL1C - Unified Reporting"/>
    <m/>
    <s v="OCH_BA"/>
    <m/>
    <n v="60"/>
    <s v="override"/>
    <s v="OK"/>
    <m/>
    <n v="30"/>
    <n v="20"/>
    <n v="10"/>
    <s v="P1"/>
    <n v="60"/>
    <s v="Anders Eckersand"/>
    <m/>
    <s v="OCH"/>
    <m/>
    <m/>
    <n v="30.78"/>
    <x v="0"/>
    <x v="2"/>
    <s v="Single Project"/>
    <s v="BAU"/>
  </r>
  <r>
    <s v="WL1C - Unified Reporting"/>
    <x v="351"/>
    <s v="WL1C - Unified Reporting"/>
    <m/>
    <s v="OCH_PDM"/>
    <m/>
    <n v="60"/>
    <s v="override"/>
    <s v="OK"/>
    <m/>
    <n v="20"/>
    <n v="20"/>
    <n v="20"/>
    <s v="P1"/>
    <n v="60"/>
    <s v="Anders Eckersand"/>
    <m/>
    <s v="OCH"/>
    <m/>
    <m/>
    <n v="30.78"/>
    <x v="0"/>
    <x v="2"/>
    <s v="Single Project"/>
    <s v="BAU"/>
  </r>
  <r>
    <s v="WL1C - Unified Reporting"/>
    <x v="351"/>
    <s v="WL1C - Unified Reporting"/>
    <m/>
    <s v="OCH_E2E"/>
    <m/>
    <n v="90"/>
    <s v="override"/>
    <s v="OK"/>
    <m/>
    <n v="10"/>
    <n v="20"/>
    <n v="60"/>
    <s v="P1"/>
    <n v="90"/>
    <s v="Anders Eckersand"/>
    <m/>
    <s v="OCH"/>
    <m/>
    <m/>
    <n v="46.17"/>
    <x v="0"/>
    <x v="2"/>
    <s v="Single Project"/>
    <s v="BAU"/>
  </r>
  <r>
    <s v="WOPA global compliance"/>
    <x v="352"/>
    <m/>
    <m/>
    <s v="WOPA Global"/>
    <s v="XL"/>
    <n v="600"/>
    <s v="auto"/>
    <s v="OK"/>
    <n v="150"/>
    <n v="150"/>
    <n v="150"/>
    <n v="150"/>
    <s v="P1"/>
    <n v="600"/>
    <s v="Stanley Macnack"/>
    <s v="Product"/>
    <s v="ONLINE"/>
    <s v="regulation and compliance"/>
    <m/>
    <n v="307.8"/>
    <x v="0"/>
    <x v="0"/>
    <s v="Single Project"/>
    <s v="BAU"/>
  </r>
  <r>
    <s v="WOPA Maintenance"/>
    <x v="353"/>
    <s v="WOPA Maintenance"/>
    <s v="WOPA Maintenance"/>
    <s v="WOPA Global"/>
    <s v="XXXL"/>
    <n v="1069.6000000000001"/>
    <s v="auto"/>
    <s v="OK"/>
    <n v="267.40000000000003"/>
    <n v="267.40000000000003"/>
    <n v="267.40000000000003"/>
    <n v="267.40000000000003"/>
    <s v="P1"/>
    <n v="1069.6000000000001"/>
    <s v="Shekhar Kachole"/>
    <s v="Maintenance &amp; Incidents"/>
    <s v="ONLINE"/>
    <m/>
    <m/>
    <n v="548.70480000000009"/>
    <x v="0"/>
    <x v="0"/>
    <s v="Run"/>
    <s v="RUN"/>
  </r>
  <r>
    <s v="WOPA Tech Intiatives &amp; Tech Debt"/>
    <x v="354"/>
    <s v="WOPA Tech Intiatives &amp; Tech Debt"/>
    <s v="WOPA Tech Intiatives &amp; Tech Debt"/>
    <s v="WOPA Global"/>
    <s v="XXXL"/>
    <n v="1600"/>
    <s v="auto"/>
    <s v="OK"/>
    <n v="400"/>
    <n v="400"/>
    <n v="400"/>
    <n v="400"/>
    <s v="P1"/>
    <n v="1600"/>
    <s v="Shekhar Kachole"/>
    <s v="Tech. Debt"/>
    <s v="ONLINE"/>
    <m/>
    <m/>
    <n v="820.8"/>
    <x v="0"/>
    <x v="0"/>
    <s v="Single Project"/>
    <s v="BAU"/>
  </r>
  <r>
    <s v="WOPA Tech Intiatives &amp; Tech Debt"/>
    <x v="354"/>
    <s v="OCH Tech Debt"/>
    <s v="TOS - TTL based on last usage instead of general 7 year"/>
    <s v="Omn_Core"/>
    <s v="S"/>
    <n v="50"/>
    <s v="auto"/>
    <s v="OK"/>
    <n v="50"/>
    <m/>
    <m/>
    <m/>
    <s v="P3"/>
    <n v="50"/>
    <s v="Joakim Wettby"/>
    <s v=" Tech. Debt "/>
    <s v="OCH"/>
    <m/>
    <m/>
    <n v="25.65"/>
    <x v="1"/>
    <x v="2"/>
    <s v="Single Project"/>
    <s v="BAU"/>
  </r>
  <r>
    <s v="WOPA Tech Intiatives &amp; Tech Debt"/>
    <x v="354"/>
    <s v="OCH Tech Debt"/>
    <s v="TOS - Identify usage of unique card numbers"/>
    <s v="Omn_Core"/>
    <s v="M"/>
    <n v="100"/>
    <s v="auto"/>
    <s v="OK"/>
    <n v="50"/>
    <n v="50"/>
    <m/>
    <m/>
    <s v="P3"/>
    <n v="100"/>
    <s v="Joakim Wettby"/>
    <s v=" Tech. Debt "/>
    <s v="OCH"/>
    <m/>
    <m/>
    <n v="51.3"/>
    <x v="1"/>
    <x v="2"/>
    <s v="Single Project"/>
    <s v="BAU"/>
  </r>
  <r>
    <s v="WOPA Tech Intiatives &amp; Tech Debt"/>
    <x v="354"/>
    <s v="OCH Tech Debt"/>
    <s v="TOS - Datamodel alteration"/>
    <s v="Omn_Core"/>
    <s v="M"/>
    <n v="100"/>
    <s v="auto"/>
    <s v="OK"/>
    <m/>
    <m/>
    <n v="50"/>
    <n v="50"/>
    <s v="P3"/>
    <n v="100"/>
    <s v="Joakim Wettby"/>
    <s v=" Tech. Debt "/>
    <s v="OCH"/>
    <m/>
    <m/>
    <n v="51.3"/>
    <x v="1"/>
    <x v="2"/>
    <s v="Single Project"/>
    <s v="BAU"/>
  </r>
  <r>
    <s v="WOPA Tech Intiatives &amp; Tech Debt"/>
    <x v="354"/>
    <s v="OCH Tech Debt"/>
    <s v="Standard Cassandra Cluster - Module Migration (IinService)_x000a_"/>
    <s v="Omn_Core"/>
    <s v="XS"/>
    <n v="20"/>
    <s v="auto"/>
    <s v="OK"/>
    <m/>
    <m/>
    <m/>
    <n v="20"/>
    <s v="P2"/>
    <n v="20"/>
    <s v="Joakim Wettby"/>
    <s v=" Tech. Debt "/>
    <s v="OCH"/>
    <m/>
    <m/>
    <n v="10.26"/>
    <x v="0"/>
    <x v="2"/>
    <s v="Single Project"/>
    <s v="BAU"/>
  </r>
  <r>
    <s v="WOPA Tech Intiatives &amp; Tech Debt"/>
    <x v="354"/>
    <s v="OCH Tech Debt"/>
    <s v="Standard Cassandra Cluster - Cassandra Migration_x000a__x000a_"/>
    <s v="Omn_Core"/>
    <s v="M"/>
    <n v="100"/>
    <s v="auto"/>
    <s v="OK"/>
    <m/>
    <m/>
    <n v="50"/>
    <n v="50"/>
    <s v="P2"/>
    <n v="100"/>
    <s v="Joakim Wettby"/>
    <s v=" Tech. Debt "/>
    <s v="OCH"/>
    <m/>
    <m/>
    <n v="51.3"/>
    <x v="0"/>
    <x v="2"/>
    <s v="Single Project"/>
    <s v="BAU"/>
  </r>
  <r>
    <s v="WOPA Tech Intiatives &amp; Tech Debt"/>
    <x v="354"/>
    <s v="OCH Tech Debt"/>
    <s v="Security Service - Audit Server and Monitoring"/>
    <s v="Omn_Core"/>
    <s v="M"/>
    <n v="100"/>
    <s v="auto"/>
    <s v="OK"/>
    <n v="50"/>
    <n v="50"/>
    <m/>
    <m/>
    <s v="P2"/>
    <n v="100"/>
    <s v="Joakim Wettby"/>
    <s v=" Tech. Debt "/>
    <s v="OCH"/>
    <m/>
    <m/>
    <n v="51.3"/>
    <x v="0"/>
    <x v="2"/>
    <s v="Single Project"/>
    <s v="BAU"/>
  </r>
  <r>
    <s v="WOPA Tech Intiatives &amp; Tech Debt"/>
    <x v="354"/>
    <s v="OCH Tech Debt"/>
    <s v="Security Cassandra Cluster - Module Migration (9 core modules)_x000a_"/>
    <s v="Omn_Core"/>
    <s v="L"/>
    <n v="200"/>
    <s v="auto"/>
    <s v="OK"/>
    <m/>
    <n v="50"/>
    <n v="50"/>
    <n v="100"/>
    <s v="P1"/>
    <n v="200"/>
    <s v="Joakim Wettby"/>
    <s v=" Tech. Debt "/>
    <s v="OCH"/>
    <m/>
    <m/>
    <n v="102.6"/>
    <x v="0"/>
    <x v="2"/>
    <s v="Single Project"/>
    <s v="BAU"/>
  </r>
  <r>
    <s v="WOPA Tech Intiatives &amp; Tech Debt"/>
    <x v="354"/>
    <s v="OCH Tech Debt"/>
    <s v="Security Cassandra Cluster - Cassandra Migration_x000a__x000a_"/>
    <s v="Omn_Core"/>
    <s v="M"/>
    <n v="100"/>
    <s v="auto"/>
    <s v="OK"/>
    <n v="50"/>
    <n v="50"/>
    <m/>
    <m/>
    <s v="P1"/>
    <n v="100"/>
    <s v="Joakim Wettby"/>
    <s v=" Tech. Debt "/>
    <s v="OCH"/>
    <m/>
    <m/>
    <n v="51.3"/>
    <x v="0"/>
    <x v="2"/>
    <s v="Single Project"/>
    <s v="BAU"/>
  </r>
  <r>
    <s v="WOPA Tech Intiatives &amp; Tech Debt"/>
    <x v="354"/>
    <s v="OCH Tech Debt"/>
    <s v="SAML Support - Investigation + POC"/>
    <s v="Omn_Core"/>
    <s v="M"/>
    <n v="100"/>
    <s v="auto"/>
    <s v="OK"/>
    <m/>
    <n v="50"/>
    <n v="50"/>
    <m/>
    <s v="P2"/>
    <n v="100"/>
    <s v="Joakim Wettby"/>
    <s v=" Tech. Debt "/>
    <s v="OCH"/>
    <m/>
    <m/>
    <n v="51.3"/>
    <x v="0"/>
    <x v="2"/>
    <s v="Single Project"/>
    <s v="BAU"/>
  </r>
  <r>
    <s v="WOPA Tech Intiatives &amp; Tech Debt"/>
    <x v="354"/>
    <s v="OCH Tech Debt"/>
    <s v="Open JDK - Module Migration"/>
    <s v="Omn_Core"/>
    <s v="L"/>
    <n v="200"/>
    <s v="auto"/>
    <s v="OK"/>
    <n v="50"/>
    <n v="50"/>
    <n v="50"/>
    <n v="50"/>
    <s v="P2"/>
    <n v="200"/>
    <s v="Joakim Wettby"/>
    <s v=" Tech. Debt "/>
    <s v="OCH"/>
    <m/>
    <m/>
    <n v="102.6"/>
    <x v="0"/>
    <x v="2"/>
    <s v="Single Project"/>
    <s v="BAU"/>
  </r>
  <r>
    <s v="WOPA Tech Intiatives &amp; Tech Debt"/>
    <x v="354"/>
    <s v="OCH Tech Debt"/>
    <s v="Key Store Service - Enhancements"/>
    <s v="Omn_Core"/>
    <s v="S"/>
    <n v="50"/>
    <s v="auto"/>
    <s v="OK"/>
    <n v="50"/>
    <m/>
    <m/>
    <m/>
    <s v="P1"/>
    <n v="50"/>
    <s v="Joakim Wettby"/>
    <s v=" Tech. Debt "/>
    <s v="OCH"/>
    <m/>
    <m/>
    <n v="25.65"/>
    <x v="0"/>
    <x v="2"/>
    <s v="Single Project"/>
    <s v="BAU"/>
  </r>
  <r>
    <s v="WOPA Tech Intiatives &amp; Tech Debt"/>
    <x v="354"/>
    <s v="OCH Tech Debt"/>
    <s v="HSM Upgrade"/>
    <s v="Omn_Core"/>
    <s v="XL"/>
    <n v="300"/>
    <s v="auto"/>
    <s v="OK"/>
    <n v="100"/>
    <n v="100"/>
    <n v="100"/>
    <m/>
    <s v="P1"/>
    <n v="300"/>
    <s v="Joakim Wettby"/>
    <s v=" Tech. Debt "/>
    <s v="OCH"/>
    <m/>
    <m/>
    <n v="153.9"/>
    <x v="0"/>
    <x v="2"/>
    <s v="Single Project"/>
    <s v="BAU"/>
  </r>
  <r>
    <s v="WOPA Tech Intiatives &amp; Tech Debt"/>
    <x v="354"/>
    <s v="OCH Tech Debt"/>
    <s v="BinUpdater - Enhancements_x000a_"/>
    <s v="Omn_Core"/>
    <s v="S"/>
    <n v="50"/>
    <s v="auto"/>
    <s v="OK"/>
    <m/>
    <m/>
    <n v="50"/>
    <m/>
    <s v="P2"/>
    <n v="50"/>
    <s v="Joakim Wettby"/>
    <s v=" Tech. Debt "/>
    <s v="OCH"/>
    <m/>
    <m/>
    <n v="25.65"/>
    <x v="0"/>
    <x v="2"/>
    <s v="Single Project"/>
    <s v="BAU"/>
  </r>
  <r>
    <s v="WOPA Tech Intiatives &amp; Tech Debt"/>
    <x v="354"/>
    <s v="OCH Tech Debt"/>
    <s v="BIMDS - Enhancements"/>
    <s v="Omn_Core"/>
    <s v="S"/>
    <n v="50"/>
    <s v="auto"/>
    <s v="OK"/>
    <m/>
    <m/>
    <n v="50"/>
    <m/>
    <s v="P1"/>
    <n v="50"/>
    <s v="Joakim Wettby"/>
    <s v=" Tech. Debt "/>
    <s v="OCH"/>
    <m/>
    <m/>
    <n v="25.65"/>
    <x v="0"/>
    <x v="2"/>
    <s v="Single Project"/>
    <s v="BAU"/>
  </r>
  <r>
    <s v="WOPA Tech Intiatives &amp; Tech Debt"/>
    <x v="354"/>
    <s v="OCH Tech Debt"/>
    <s v="Standard Cassandra Cluster - Module Migration (FTS, MIS, LIM, ERS, FLIG, PSS)"/>
    <s v="WOPA Sup4SS"/>
    <s v="M"/>
    <n v="120"/>
    <s v="override"/>
    <s v="OK"/>
    <m/>
    <m/>
    <n v="60"/>
    <n v="60"/>
    <s v="P2"/>
    <n v="120"/>
    <s v="Joakim Wettby"/>
    <s v=" Tech. Debt "/>
    <s v="ONLINE"/>
    <m/>
    <m/>
    <n v="61.56"/>
    <x v="0"/>
    <x v="0"/>
    <s v="Single Project"/>
    <s v="BAU"/>
  </r>
  <r>
    <s v="WOPA Tech Intiatives &amp; Tech Debt"/>
    <x v="354"/>
    <s v="OCH Tech Debt"/>
    <s v="Standard Cassandra Cluster - Module Migration (CBS, JPMOFF)"/>
    <s v="WOPA Global"/>
    <s v="S"/>
    <n v="40"/>
    <s v="override"/>
    <s v="OK"/>
    <m/>
    <m/>
    <n v="20"/>
    <n v="20"/>
    <s v="P2"/>
    <n v="40"/>
    <s v="Joakim Wettby"/>
    <s v=" Tech. Debt "/>
    <s v="ONLINE"/>
    <m/>
    <m/>
    <n v="20.52"/>
    <x v="0"/>
    <x v="0"/>
    <s v="Single Project"/>
    <s v="BAU"/>
  </r>
  <r>
    <s v="Xchannel for GSV"/>
    <x v="355"/>
    <s v="Xchannel for GSV"/>
    <s v="Xchannel provisionning improvements"/>
    <s v="Beyond"/>
    <s v="M"/>
    <n v="100"/>
    <s v="auto"/>
    <s v="OK"/>
    <n v="0"/>
    <n v="50"/>
    <n v="25"/>
    <n v="25"/>
    <s v="P3"/>
    <n v="100"/>
    <s v="Pierre Riat"/>
    <s v="Product"/>
    <s v="ECOM"/>
    <m/>
    <s v="Improve Xchannel provisionning in order to avoid human error"/>
    <n v="48.3"/>
    <x v="1"/>
    <x v="4"/>
    <n v="0"/>
    <s v="BAU"/>
  </r>
  <r>
    <s v="Xchannel for GSV"/>
    <x v="355"/>
    <s v="Xchannel for GSV"/>
    <s v="Xchannel with multiacquirer "/>
    <s v="Beyond"/>
    <s v="M"/>
    <n v="100"/>
    <s v="auto"/>
    <s v="OK"/>
    <m/>
    <m/>
    <n v="50"/>
    <n v="50"/>
    <s v="P3"/>
    <n v="100"/>
    <s v="Pierre Riat"/>
    <s v="Product"/>
    <s v="ECOM"/>
    <m/>
    <s v="Allow to refund on the same acquirer than the one used for the debit transaction"/>
    <n v="48.3"/>
    <x v="1"/>
    <x v="4"/>
    <n v="0"/>
    <s v="BAU"/>
  </r>
  <r>
    <s v="Xchannel for GSV"/>
    <x v="355"/>
    <s v="Xchannel for GSV"/>
    <s v="Xchannel compliance with new Carte bancaire omnichannel specifications"/>
    <s v="Beyond"/>
    <s v="M"/>
    <n v="150"/>
    <s v="override"/>
    <s v="OK"/>
    <m/>
    <m/>
    <n v="75"/>
    <n v="75"/>
    <s v="P3"/>
    <n v="150"/>
    <s v="Pierre Riat"/>
    <s v="Product"/>
    <s v="ECOM"/>
    <m/>
    <s v="Carte bancaire is working on a new spec for omnichannel use case. We will have to put our solution in compliance with this specification"/>
    <n v="72.45"/>
    <x v="1"/>
    <x v="4"/>
    <n v="0"/>
    <s v="BAU"/>
  </r>
  <r>
    <s v="Xchannel for GSV"/>
    <x v="355"/>
    <s v="Xchannel for GSV"/>
    <s v="Xchannel With DCC"/>
    <s v="Beyond"/>
    <s v="L"/>
    <n v="200"/>
    <s v="auto"/>
    <s v="OK"/>
    <m/>
    <m/>
    <n v="100"/>
    <n v="100"/>
    <s v="P4"/>
    <n v="200"/>
    <s v="Pierre Riat"/>
    <s v="Product"/>
    <s v="ECOM"/>
    <m/>
    <m/>
    <n v="96.6"/>
    <x v="1"/>
    <x v="4"/>
    <n v="0"/>
    <s v="BAU"/>
  </r>
  <r>
    <s v="In house Acq"/>
    <x v="146"/>
    <s v="WL Red Acquirer"/>
    <s v="Migration Efforts"/>
    <s v="Ops DC-M"/>
    <s v="L"/>
    <n v="680"/>
    <s v="override"/>
    <s v="OK"/>
    <m/>
    <n v="200"/>
    <n v="240"/>
    <n v="240"/>
    <s v="P1"/>
    <n v="680"/>
    <s v="Zlatko Bralic"/>
    <s v="Product"/>
    <s v="ONLINE"/>
    <m/>
    <m/>
    <n v="340"/>
    <x v="0"/>
    <x v="8"/>
    <s v="Single Project"/>
    <s v="BAU"/>
  </r>
  <r>
    <s v="Adding ACQ connection Northam"/>
    <x v="25"/>
    <s v="Chase"/>
    <s v="Migration Efforts"/>
    <s v="Ops DC-M"/>
    <s v="XXL"/>
    <n v="1200"/>
    <s v="override"/>
    <s v="OK"/>
    <m/>
    <n v="240"/>
    <n v="480"/>
    <n v="480"/>
    <s v="P1"/>
    <n v="1200"/>
    <s v="Zlatko Bralic"/>
    <s v="Product"/>
    <s v="ONLINE"/>
    <m/>
    <m/>
    <n v="600"/>
    <x v="0"/>
    <x v="8"/>
    <s v="Single Project"/>
    <s v="BAU"/>
  </r>
  <r>
    <s v="3Y Vertical plan"/>
    <x v="21"/>
    <s v="BSP synergy accross platform"/>
    <m/>
    <s v="GC Vertical"/>
    <s v="L"/>
    <n v="200"/>
    <s v="auto"/>
    <s v="OK"/>
    <n v="50"/>
    <n v="50"/>
    <n v="50"/>
    <n v="50"/>
    <s v="P5"/>
    <n v="200"/>
    <s v="KP"/>
    <s v="Product"/>
    <s v="ONLINE"/>
    <m/>
    <m/>
    <n v="102.6"/>
    <x v="1"/>
    <x v="5"/>
    <s v="Single Project"/>
    <s v="BAU"/>
  </r>
  <r>
    <s v="Single API, ongoing"/>
    <x v="281"/>
    <s v="Migration effort placeholder"/>
    <s v="Migration efforts"/>
    <s v="Ops DC-M"/>
    <s v="XL"/>
    <n v="576"/>
    <s v="override"/>
    <s v="OK"/>
    <n v="144"/>
    <n v="144"/>
    <n v="144"/>
    <n v="144"/>
    <s v="P1"/>
    <n v="576"/>
    <s v="Zlatko Bralic"/>
    <s v="Product"/>
    <s v="ONLINE"/>
    <m/>
    <m/>
    <n v="288"/>
    <x v="0"/>
    <x v="8"/>
    <s v="United"/>
    <s v="U&amp;MP"/>
  </r>
  <r>
    <s v="Roadmap - Reports - Functional Improvements"/>
    <x v="233"/>
    <s v="Migration effort placeholder"/>
    <s v="Migration efforts"/>
    <s v="Ops DC-M"/>
    <s v="XL"/>
    <n v="384"/>
    <s v="override"/>
    <s v="OK"/>
    <n v="96"/>
    <n v="96"/>
    <n v="96"/>
    <n v="96"/>
    <s v="P1"/>
    <n v="384"/>
    <s v="Zlatko Bralic"/>
    <s v="Product"/>
    <s v="ONLINE"/>
    <m/>
    <m/>
    <n v="192"/>
    <x v="0"/>
    <x v="8"/>
    <s v="Single Project"/>
    <s v="BAU"/>
  </r>
  <r>
    <s v="DC - Table Stake requirements"/>
    <x v="356"/>
    <s v="Table stake requirements placeholder"/>
    <s v="Latency improvements"/>
    <s v="Volcano"/>
    <s v="XXXL"/>
    <n v="1200"/>
    <s v="override"/>
    <s v="OK"/>
    <n v="300"/>
    <n v="300"/>
    <n v="300"/>
    <n v="300"/>
    <s v="P5"/>
    <n v="1200"/>
    <s v="Zlatko Bralic"/>
    <s v="Product"/>
    <s v="ONLINE"/>
    <m/>
    <m/>
    <n v="615.6"/>
    <x v="1"/>
    <x v="5"/>
    <n v="0"/>
    <s v="BAU"/>
  </r>
  <r>
    <s v="DC - Table Stake requirements"/>
    <x v="356"/>
    <s v="Table stake requirements placeholder"/>
    <s v="Multiple partial capture"/>
    <s v="Volcano"/>
    <s v="XXXL"/>
    <n v="1200"/>
    <s v="override"/>
    <s v="OK"/>
    <n v="300"/>
    <n v="300"/>
    <n v="300"/>
    <n v="300"/>
    <s v="P5"/>
    <n v="1200"/>
    <s v="Zlatko Bralic"/>
    <s v="Product"/>
    <s v="ONLINE"/>
    <m/>
    <m/>
    <n v="615.6"/>
    <x v="1"/>
    <x v="5"/>
    <n v="0"/>
    <s v="BAU"/>
  </r>
  <r>
    <s v="DC - Table Stake requirements"/>
    <x v="356"/>
    <s v="Table stake requirements placeholder"/>
    <s v="TBM, Cost Reporting, Net Remittance"/>
    <s v="GC Supp1"/>
    <s v="XXL"/>
    <n v="2000"/>
    <s v="override"/>
    <s v="OK"/>
    <n v="500"/>
    <n v="500"/>
    <n v="500"/>
    <n v="500"/>
    <s v="P5"/>
    <n v="2000"/>
    <s v="Zlatko Bralic"/>
    <s v="Product"/>
    <s v="ONLINE"/>
    <s v="Key Client Projects"/>
    <m/>
    <n v="1026"/>
    <x v="1"/>
    <x v="5"/>
    <n v="0"/>
    <s v="BAU"/>
  </r>
  <r>
    <s v="cCredit – Hospitality "/>
    <x v="76"/>
    <s v="BAU Activities"/>
    <m/>
    <s v="cCredit"/>
    <s v="XXL"/>
    <n v="660"/>
    <s v="override"/>
    <s v="OK"/>
    <n v="160"/>
    <n v="160"/>
    <n v="160"/>
    <n v="180"/>
    <s v="P1"/>
    <n v="660"/>
    <m/>
    <m/>
    <s v="IN_STORE"/>
    <m/>
    <m/>
    <n v="528"/>
    <x v="2"/>
    <x v="16"/>
    <s v="Not Acceptance"/>
    <s v="BAU"/>
  </r>
  <r>
    <s v="cCredit – Hospitality "/>
    <x v="76"/>
    <s v="cC P49 ep2 7.0 / 7.x / …"/>
    <m/>
    <s v="cCredit"/>
    <s v="M"/>
    <n v="100"/>
    <s v="override"/>
    <s v="OK"/>
    <n v="25"/>
    <n v="25"/>
    <n v="25"/>
    <n v="25"/>
    <s v="P1"/>
    <n v="100"/>
    <m/>
    <m/>
    <s v="IN_STORE"/>
    <m/>
    <m/>
    <n v="80"/>
    <x v="2"/>
    <x v="16"/>
    <s v="Not Acceptance"/>
    <s v="BAU"/>
  </r>
  <r>
    <s v="cCredit – Hospitality "/>
    <x v="76"/>
    <s v="cC P60 P2PE - SRED (ep2)                                     "/>
    <m/>
    <s v="cCredit"/>
    <s v="M"/>
    <n v="130"/>
    <s v="override"/>
    <s v="OK"/>
    <n v="30"/>
    <n v="40"/>
    <n v="30"/>
    <n v="30"/>
    <s v="P1"/>
    <n v="130"/>
    <m/>
    <m/>
    <s v="IN_STORE"/>
    <m/>
    <m/>
    <n v="104"/>
    <x v="2"/>
    <x v="16"/>
    <s v="Not Acceptance"/>
    <s v="BAU"/>
  </r>
  <r>
    <s v="cCredit – Hospitality "/>
    <x v="76"/>
    <s v="Small Projects cCredit (ZVT &amp; ep2)"/>
    <m/>
    <s v="cCredit"/>
    <s v="XS"/>
    <n v="20"/>
    <s v="auto"/>
    <s v="OK"/>
    <n v="5"/>
    <n v="5"/>
    <n v="5"/>
    <n v="5"/>
    <s v="P1"/>
    <n v="20"/>
    <m/>
    <m/>
    <s v="IN_STORE"/>
    <m/>
    <m/>
    <n v="16"/>
    <x v="2"/>
    <x v="16"/>
    <s v="Not Acceptance"/>
    <s v="BAU"/>
  </r>
  <r>
    <s v="cCredit – Hospitality "/>
    <x v="76"/>
    <s v="Maintenance cCredit (ZVT &amp; ep2)                            "/>
    <m/>
    <s v="cCredit"/>
    <s v="L"/>
    <n v="200"/>
    <s v="auto"/>
    <s v="OK"/>
    <n v="50"/>
    <n v="50"/>
    <n v="50"/>
    <n v="50"/>
    <s v="P1"/>
    <n v="200"/>
    <m/>
    <m/>
    <s v="IN_STORE"/>
    <m/>
    <m/>
    <n v="160"/>
    <x v="2"/>
    <x v="16"/>
    <s v="Not Acceptance"/>
    <s v="BAU"/>
  </r>
  <r>
    <s v="Run activities WLOC"/>
    <x v="357"/>
    <s v="Run and Maintenance WLOC"/>
    <s v="WLOC APM Run &amp; Maintenance"/>
    <s v="WLOC_APM"/>
    <m/>
    <n v="1474"/>
    <s v="override"/>
    <s v="OK"/>
    <n v="319"/>
    <n v="352"/>
    <n v="385"/>
    <n v="418"/>
    <s v="P1"/>
    <n v="1474"/>
    <s v="Lefras Coetzee"/>
    <s v="Maintenance &amp; Incidents"/>
    <s v="ECOM"/>
    <m/>
    <m/>
    <n v="711.94200000000001"/>
    <x v="0"/>
    <x v="4"/>
    <s v="Run"/>
    <s v="RUN"/>
  </r>
  <r>
    <s v="Run activities WLOC"/>
    <x v="358"/>
    <s v="Run and Maintenance WLOC"/>
    <s v="WLOC BE Card Run &amp; Maintenance"/>
    <s v="WLOC_CARD_BE"/>
    <m/>
    <n v="418"/>
    <s v="override"/>
    <s v="OK"/>
    <n v="88"/>
    <n v="99"/>
    <n v="110"/>
    <n v="121"/>
    <s v="P1"/>
    <n v="418"/>
    <s v="Lefras Coetzee"/>
    <s v="Maintenance &amp; Incidents"/>
    <s v="ECOM"/>
    <m/>
    <m/>
    <n v="201.89400000000001"/>
    <x v="0"/>
    <x v="4"/>
    <s v="???"/>
    <s v="BAU"/>
  </r>
  <r>
    <s v="Run activities WLOC"/>
    <x v="359"/>
    <s v="Run and Maintenance WLOC"/>
    <s v="WLOC FE Card Run &amp; Maintenance"/>
    <s v="WLOC_CARD_FE"/>
    <m/>
    <n v="1496"/>
    <s v="override"/>
    <s v="OK"/>
    <n v="319"/>
    <n v="363"/>
    <n v="385"/>
    <n v="429"/>
    <s v="P1"/>
    <n v="1496"/>
    <s v="Lefras Coetzee"/>
    <s v="Maintenance &amp; Incidents"/>
    <s v="ECOM"/>
    <m/>
    <m/>
    <n v="722.56799999999998"/>
    <x v="0"/>
    <x v="4"/>
    <s v="???"/>
    <s v="BAU"/>
  </r>
  <r>
    <s v="Run activities WLOC"/>
    <x v="360"/>
    <s v="Run and Maintenance WLOC"/>
    <s v="WLOC IFS Run &amp; Maintenance"/>
    <s v="WLOC_IFS"/>
    <m/>
    <n v="1254"/>
    <s v="override"/>
    <s v="OK"/>
    <n v="264"/>
    <n v="297"/>
    <n v="330"/>
    <n v="363"/>
    <s v="P1"/>
    <n v="1254"/>
    <s v="Lefras Coetzee"/>
    <s v="Maintenance &amp; Incidents"/>
    <s v="ECOM"/>
    <m/>
    <m/>
    <n v="605.68200000000002"/>
    <x v="0"/>
    <x v="4"/>
    <s v="???"/>
    <s v="BAU"/>
  </r>
  <r>
    <s v="Run activities WLOC"/>
    <x v="361"/>
    <s v="Run and Maintenance WLOC"/>
    <s v="WLOC MXP Run &amp; Maintenance"/>
    <s v="WLOC_MXP"/>
    <m/>
    <n v="1430"/>
    <s v="override"/>
    <s v="OK"/>
    <n v="308"/>
    <n v="341"/>
    <n v="374"/>
    <n v="407"/>
    <s v="P1"/>
    <n v="1430"/>
    <s v="Lefras Coetzee"/>
    <s v="Maintenance &amp; Incidents"/>
    <s v="ECOM"/>
    <m/>
    <m/>
    <n v="690.69"/>
    <x v="0"/>
    <x v="4"/>
    <s v="???"/>
    <s v="BAU"/>
  </r>
  <r>
    <s v="Run activities WLOC"/>
    <x v="153"/>
    <s v="Run and Maintenance WLOC"/>
    <m/>
    <s v="Marco Polo"/>
    <m/>
    <n v="110"/>
    <s v="override"/>
    <s v="OK"/>
    <n v="27.5"/>
    <n v="27.5"/>
    <n v="27.5"/>
    <n v="27.5"/>
    <s v="P1"/>
    <n v="110"/>
    <s v="Lefras Coetzee"/>
    <s v="Maintenance &amp; Incidents"/>
    <s v="ECOM"/>
    <m/>
    <m/>
    <n v="53.13"/>
    <x v="0"/>
    <x v="4"/>
    <s v="Run"/>
    <s v="RUN"/>
  </r>
  <r>
    <s v="Technical Debt / Global Infra"/>
    <x v="29"/>
    <s v="Training of teams with new way of working"/>
    <s v="FOX"/>
    <s v="FOX"/>
    <s v="XS"/>
    <n v="20"/>
    <s v="auto"/>
    <s v="OK"/>
    <n v="20"/>
    <m/>
    <m/>
    <m/>
    <s v="P1"/>
    <n v="20"/>
    <s v="Gilles Raymond"/>
    <s v="Tech. Debt"/>
    <s v="IN_STORE"/>
    <s v="Technical Leverage"/>
    <m/>
    <n v="10.26"/>
    <x v="0"/>
    <x v="1"/>
    <n v="0"/>
    <s v="BAU"/>
  </r>
  <r>
    <s v="Technical &amp; Functional Debt"/>
    <x v="12"/>
    <s v="Robustness"/>
    <s v="Duplicate management rework &amp; standardization (Core Microservice)"/>
    <s v="FOX"/>
    <s v="S"/>
    <n v="50"/>
    <s v="auto"/>
    <s v="OK"/>
    <n v="25"/>
    <n v="25"/>
    <m/>
    <m/>
    <s v="P3"/>
    <n v="50"/>
    <s v="Gilles Raymond"/>
    <s v="Tech. Debt"/>
    <s v="IN_STORE"/>
    <s v="Technical Leverage"/>
    <m/>
    <n v="25.65"/>
    <x v="1"/>
    <x v="1"/>
    <n v="0"/>
    <s v="BAU"/>
  </r>
  <r>
    <s v="Run activities SIPS"/>
    <x v="362"/>
    <s v="Run and Maintenance SIPS"/>
    <s v="Run and Maintenance SIPS"/>
    <s v="SIPS"/>
    <m/>
    <n v="3224"/>
    <s v="override"/>
    <s v="OK"/>
    <n v="806"/>
    <n v="806"/>
    <n v="806"/>
    <n v="806"/>
    <s v="P1"/>
    <n v="3224"/>
    <s v="Lefras Coetzee"/>
    <s v="Maintenance &amp; Incidents"/>
    <s v="ECOM"/>
    <m/>
    <m/>
    <n v="1570.088"/>
    <x v="0"/>
    <x v="17"/>
    <s v="Run"/>
    <s v="RUN"/>
  </r>
  <r>
    <s v="Run activities SaferPay"/>
    <x v="363"/>
    <s v="Run and Maintenance Saferpay"/>
    <s v="Run and Maintenance Saferpay"/>
    <s v="SaferPay"/>
    <m/>
    <n v="352"/>
    <s v="override"/>
    <s v="OK"/>
    <n v="88"/>
    <n v="88"/>
    <n v="88"/>
    <n v="88"/>
    <s v="P1"/>
    <n v="352"/>
    <s v="Lefras Coetzee"/>
    <s v="Maintenance &amp; Incidents"/>
    <s v="ECOM"/>
    <m/>
    <m/>
    <n v="352"/>
    <x v="0"/>
    <x v="10"/>
    <s v="Run"/>
    <s v="RUN"/>
  </r>
</pivotCacheRecords>
</file>

<file path=xl/pivotTables/_rels/pivotTable1.xml.rels><?xml version="1.0" encoding="UTF-8" standalone="yes"?><Relationships xmlns="http://schemas.openxmlformats.org/package/2006/relationships"><Relationship Id="rId1" Target="../pivotCache/pivotCacheDefinition1.xml" Type="http://schemas.openxmlformats.org/officeDocument/2006/relationships/pivotCacheDefinition"/></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F69CAF-0D72-4870-8935-1C329A3F1CF9}" name="Tableau croisé dynamique1" cacheId="0"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5:C25" firstHeaderRow="0" firstDataRow="1" firstDataCol="1" rowPageCount="2" colPageCount="1"/>
  <pivotFields count="25">
    <pivotField showAll="0"/>
    <pivotField axis="axisRow" showAll="0" sortType="ascending">
      <items count="397">
        <item x="15"/>
        <item x="24"/>
        <item x="146"/>
        <item x="256"/>
        <item x="25"/>
        <item x="123"/>
        <item x="134"/>
        <item x="275"/>
        <item x="138"/>
        <item x="185"/>
        <item x="143"/>
        <item x="22"/>
        <item x="74"/>
        <item x="31"/>
        <item x="32"/>
        <item x="27"/>
        <item x="218"/>
        <item x="181"/>
        <item x="110"/>
        <item x="167"/>
        <item x="172"/>
        <item x="59"/>
        <item x="166"/>
        <item x="71"/>
        <item x="104"/>
        <item x="78"/>
        <item x="130"/>
        <item x="97"/>
        <item x="105"/>
        <item x="11"/>
        <item x="277"/>
        <item x="129"/>
        <item x="308"/>
        <item x="307"/>
        <item m="1" x="377"/>
        <item x="276"/>
        <item x="183"/>
        <item x="216"/>
        <item x="279"/>
        <item x="20"/>
        <item x="251"/>
        <item x="248"/>
        <item x="66"/>
        <item x="70"/>
        <item x="284"/>
        <item x="315"/>
        <item x="352"/>
        <item x="17"/>
        <item x="323"/>
        <item x="306"/>
        <item x="285"/>
        <item x="161"/>
        <item x="16"/>
        <item x="33"/>
        <item x="286"/>
        <item x="309"/>
        <item x="196"/>
        <item x="354"/>
        <item x="217"/>
        <item x="91"/>
        <item x="255"/>
        <item x="249"/>
        <item x="250"/>
        <item x="254"/>
        <item x="340"/>
        <item x="283"/>
        <item x="135"/>
        <item x="137"/>
        <item x="136"/>
        <item x="150"/>
        <item x="152"/>
        <item x="151"/>
        <item x="332"/>
        <item x="60"/>
        <item x="55"/>
        <item x="63"/>
        <item x="58"/>
        <item x="325"/>
        <item x="140"/>
        <item x="295"/>
        <item x="197"/>
        <item x="179"/>
        <item x="120"/>
        <item x="187"/>
        <item x="37"/>
        <item x="156"/>
        <item x="313"/>
        <item x="26"/>
        <item x="334"/>
        <item x="159"/>
        <item x="310"/>
        <item x="21"/>
        <item x="124"/>
        <item x="292"/>
        <item x="333"/>
        <item x="335"/>
        <item x="287"/>
        <item x="199"/>
        <item x="174"/>
        <item x="168"/>
        <item x="165"/>
        <item x="247"/>
        <item x="253"/>
        <item x="252"/>
        <item x="69"/>
        <item x="194"/>
        <item x="40"/>
        <item x="46"/>
        <item x="50"/>
        <item x="41"/>
        <item x="51"/>
        <item x="45"/>
        <item x="42"/>
        <item x="43"/>
        <item x="57"/>
        <item x="61"/>
        <item x="324"/>
        <item x="38"/>
        <item x="64"/>
        <item x="92"/>
        <item x="89"/>
        <item x="101"/>
        <item x="9"/>
        <item x="195"/>
        <item x="224"/>
        <item x="296"/>
        <item x="304"/>
        <item x="67"/>
        <item x="328"/>
        <item x="62"/>
        <item x="56"/>
        <item x="326"/>
        <item x="173"/>
        <item x="145"/>
        <item x="273"/>
        <item x="125"/>
        <item x="265"/>
        <item x="268"/>
        <item x="267"/>
        <item x="262"/>
        <item x="266"/>
        <item x="272"/>
        <item x="260"/>
        <item x="261"/>
        <item x="263"/>
        <item x="118"/>
        <item x="327"/>
        <item x="201"/>
        <item x="94"/>
        <item x="65"/>
        <item x="170"/>
        <item x="200"/>
        <item x="162"/>
        <item x="331"/>
        <item x="198"/>
        <item x="169"/>
        <item x="131"/>
        <item x="318"/>
        <item x="219"/>
        <item x="53"/>
        <item x="52"/>
        <item x="23"/>
        <item x="274"/>
        <item x="355"/>
        <item x="68"/>
        <item x="142"/>
        <item x="109"/>
        <item x="19"/>
        <item x="182"/>
        <item x="297"/>
        <item x="171"/>
        <item x="339"/>
        <item x="350"/>
        <item x="341"/>
        <item x="351"/>
        <item x="342"/>
        <item x="344"/>
        <item x="349"/>
        <item m="1" x="379"/>
        <item x="47"/>
        <item x="48"/>
        <item x="49"/>
        <item x="204"/>
        <item x="207"/>
        <item x="1"/>
        <item x="2"/>
        <item x="75"/>
        <item x="77"/>
        <item x="76"/>
        <item x="317"/>
        <item x="316"/>
        <item m="1" x="390"/>
        <item x="108"/>
        <item x="319"/>
        <item x="280"/>
        <item x="0"/>
        <item x="3"/>
        <item x="158"/>
        <item x="257"/>
        <item x="28"/>
        <item x="44"/>
        <item x="175"/>
        <item x="81"/>
        <item x="112"/>
        <item x="191"/>
        <item x="320"/>
        <item x="356"/>
        <item x="343"/>
        <item x="305"/>
        <item x="337"/>
        <item x="348"/>
        <item x="345"/>
        <item x="346"/>
        <item x="338"/>
        <item x="34"/>
        <item x="188"/>
        <item m="1" x="375"/>
        <item m="1" x="385"/>
        <item x="363"/>
        <item x="362"/>
        <item x="357"/>
        <item x="358"/>
        <item x="359"/>
        <item x="360"/>
        <item x="361"/>
        <item x="153"/>
        <item x="132"/>
        <item x="139"/>
        <item x="225"/>
        <item x="311"/>
        <item x="147"/>
        <item x="149"/>
        <item m="1" x="394"/>
        <item x="148"/>
        <item x="294"/>
        <item x="186"/>
        <item x="114"/>
        <item x="5"/>
        <item x="126"/>
        <item x="160"/>
        <item x="93"/>
        <item x="353"/>
        <item x="214"/>
        <item m="1" x="386"/>
        <item x="117"/>
        <item x="258"/>
        <item m="1" x="391"/>
        <item m="1" x="395"/>
        <item m="1" x="370"/>
        <item m="1" x="378"/>
        <item m="1" x="383"/>
        <item m="1" x="387"/>
        <item m="1" x="392"/>
        <item m="1" x="364"/>
        <item m="1" x="371"/>
        <item m="1" x="365"/>
        <item m="1" x="373"/>
        <item m="1" x="380"/>
        <item m="1" x="384"/>
        <item m="1" x="389"/>
        <item m="1" x="393"/>
        <item m="1" x="366"/>
        <item x="259"/>
        <item x="54"/>
        <item x="35"/>
        <item m="1" x="381"/>
        <item x="164"/>
        <item x="73"/>
        <item x="176"/>
        <item x="30"/>
        <item x="115"/>
        <item x="116"/>
        <item x="82"/>
        <item x="300"/>
        <item m="1" x="367"/>
        <item m="1" x="368"/>
        <item x="288"/>
        <item x="8"/>
        <item x="80"/>
        <item x="223"/>
        <item x="301"/>
        <item x="144"/>
        <item x="106"/>
        <item x="206"/>
        <item x="10"/>
        <item x="4"/>
        <item x="79"/>
        <item x="96"/>
        <item x="238"/>
        <item x="234"/>
        <item x="303"/>
        <item x="99"/>
        <item x="237"/>
        <item x="184"/>
        <item x="211"/>
        <item x="128"/>
        <item x="14"/>
        <item x="222"/>
        <item x="212"/>
        <item x="12"/>
        <item x="213"/>
        <item x="29"/>
        <item x="121"/>
        <item x="122"/>
        <item x="98"/>
        <item x="208"/>
        <item x="100"/>
        <item x="246"/>
        <item x="18"/>
        <item x="72"/>
        <item x="103"/>
        <item x="239"/>
        <item x="241"/>
        <item x="240"/>
        <item x="244"/>
        <item x="229"/>
        <item x="228"/>
        <item x="133"/>
        <item x="141"/>
        <item x="312"/>
        <item x="227"/>
        <item x="178"/>
        <item m="1" x="374"/>
        <item x="233"/>
        <item x="226"/>
        <item x="236"/>
        <item x="293"/>
        <item x="235"/>
        <item x="180"/>
        <item x="113"/>
        <item x="127"/>
        <item x="330"/>
        <item x="215"/>
        <item x="86"/>
        <item x="299"/>
        <item x="202"/>
        <item x="221"/>
        <item x="205"/>
        <item x="203"/>
        <item x="210"/>
        <item x="209"/>
        <item x="329"/>
        <item x="302"/>
        <item x="278"/>
        <item x="245"/>
        <item x="90"/>
        <item x="154"/>
        <item m="1" x="372"/>
        <item x="85"/>
        <item x="269"/>
        <item x="264"/>
        <item x="155"/>
        <item x="270"/>
        <item x="271"/>
        <item x="242"/>
        <item x="243"/>
        <item x="107"/>
        <item x="84"/>
        <item m="1" x="382"/>
        <item m="1" x="376"/>
        <item m="1" x="369"/>
        <item x="298"/>
        <item x="87"/>
        <item x="88"/>
        <item m="1" x="388"/>
        <item x="322"/>
        <item x="321"/>
        <item x="7"/>
        <item x="13"/>
        <item x="95"/>
        <item x="111"/>
        <item x="119"/>
        <item x="157"/>
        <item x="163"/>
        <item x="177"/>
        <item x="281"/>
        <item x="282"/>
        <item x="289"/>
        <item x="290"/>
        <item x="291"/>
        <item x="314"/>
        <item x="36"/>
        <item x="102"/>
        <item x="6"/>
        <item x="83"/>
        <item x="220"/>
        <item x="192"/>
        <item x="193"/>
        <item x="189"/>
        <item x="190"/>
        <item x="39"/>
        <item x="230"/>
        <item x="231"/>
        <item x="232"/>
        <item x="336"/>
        <item x="34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showAll="0">
      <items count="7">
        <item x="2"/>
        <item x="4"/>
        <item x="3"/>
        <item x="1"/>
        <item x="0"/>
        <item m="1" x="5"/>
        <item t="default"/>
      </items>
    </pivotField>
    <pivotField axis="axisPage" multipleItemSelectionAllowed="1" showAll="0">
      <items count="29">
        <item h="1" x="14"/>
        <item h="1" x="24"/>
        <item h="1" x="1"/>
        <item h="1" x="11"/>
        <item h="1" x="15"/>
        <item x="12"/>
        <item h="1" x="20"/>
        <item h="1" x="13"/>
        <item h="1" x="25"/>
        <item h="1" x="16"/>
        <item h="1" x="22"/>
        <item h="1" x="18"/>
        <item h="1" x="19"/>
        <item h="1" x="21"/>
        <item h="1" x="3"/>
        <item h="1" x="6"/>
        <item h="1" x="8"/>
        <item h="1" x="5"/>
        <item h="1" x="9"/>
        <item h="1" x="7"/>
        <item h="1" x="2"/>
        <item h="1" x="27"/>
        <item h="1" x="10"/>
        <item h="1" x="17"/>
        <item h="1" x="26"/>
        <item h="1" x="23"/>
        <item h="1" x="4"/>
        <item h="1" x="0"/>
        <item t="default"/>
      </items>
    </pivotField>
    <pivotField showAll="0"/>
    <pivotField showAll="0"/>
  </pivotFields>
  <rowFields count="1">
    <field x="1"/>
  </rowFields>
  <rowItems count="20">
    <i>
      <x v="21"/>
    </i>
    <i>
      <x v="74"/>
    </i>
    <i>
      <x v="76"/>
    </i>
    <i>
      <x v="106"/>
    </i>
    <i>
      <x v="107"/>
    </i>
    <i>
      <x v="108"/>
    </i>
    <i>
      <x v="109"/>
    </i>
    <i>
      <x v="110"/>
    </i>
    <i>
      <x v="111"/>
    </i>
    <i>
      <x v="112"/>
    </i>
    <i>
      <x v="113"/>
    </i>
    <i>
      <x v="114"/>
    </i>
    <i>
      <x v="116"/>
    </i>
    <i>
      <x v="160"/>
    </i>
    <i>
      <x v="179"/>
    </i>
    <i>
      <x v="180"/>
    </i>
    <i>
      <x v="181"/>
    </i>
    <i>
      <x v="263"/>
    </i>
    <i>
      <x v="390"/>
    </i>
    <i t="grand">
      <x/>
    </i>
  </rowItems>
  <colFields count="1">
    <field x="-2"/>
  </colFields>
  <colItems count="2">
    <i>
      <x/>
    </i>
    <i i="1">
      <x v="1"/>
    </i>
  </colItems>
  <pageFields count="2">
    <pageField fld="22" hier="-1"/>
    <pageField fld="21" item="4" hier="-1"/>
  </pageFields>
  <dataFields count="2">
    <dataField name="Somme de Cost k€ (auto)" fld="20" baseField="0" baseItem="0"/>
    <dataField name="Somme de Size in MD (auto)"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500-000000000000}" autoFormatId="16" applyNumberFormats="0" applyBorderFormats="0" applyFontFormats="0" applyPatternFormats="0" applyAlignmentFormats="0" applyWidthHeightFormats="0">
  <queryTableRefresh nextId="191">
    <queryTableFields count="164">
      <queryTableField id="1" name="Given ID_x000a_by PMO" tableColumnId="1"/>
      <queryTableField id="2" name="Ref Key_x000a_(auto)" tableColumnId="2"/>
      <queryTableField id="3" name="Initiative Name" tableColumnId="3"/>
      <queryTableField id="4" name="Portfolio Classification" tableColumnId="4"/>
      <queryTableField id="5" name="Leading entity/platform" tableColumnId="5"/>
      <queryTableField id="6" name="Strategic_x000a_Program L1" tableColumnId="6"/>
      <queryTableField id="7" name="Avtivity Type" tableColumnId="7"/>
      <queryTableField id="8" name="New Product_x000a_Indicator" tableColumnId="8"/>
      <queryTableField id="9" name="Group Offering" tableColumnId="9"/>
      <queryTableField id="10" name="SPOC: Requestor/Owner_x000a_(unit / person)" tableColumnId="10"/>
      <queryTableField id="11" name="Estimated_x000a_CAPI %" tableColumnId="11"/>
      <queryTableField id="12" name="Estimated_x000a_OOI %" tableColumnId="12"/>
      <queryTableField id="13" name="Estimated_x000a_Start Date" tableColumnId="13"/>
      <queryTableField id="14" name="Estimated_x000a_End Date" tableColumnId="14"/>
      <queryTableField id="15" name="Comment, description,_x000a_rationale, strategic impact" tableColumnId="15"/>
      <queryTableField id="16" name="Acceptance_x000a_Internal_x000a_All entities" tableColumnId="16"/>
      <queryTableField id="17" name="(ACC)_x000a_ARG_x000a_Sub1" tableColumnId="17"/>
      <queryTableField id="18" name="(ACC)_x000a_AUS_x000a_IPP" tableColumnId="18"/>
      <queryTableField id="19" name="(ACC)_x000a_BEL_x000a_WLOC" tableColumnId="19"/>
      <queryTableField id="20" name="(ACC)_x000a_CHE_x000a_Saferpay" tableColumnId="20"/>
      <queryTableField id="21" name="(ACC)_x000a_CZE_x000a_GoPay" tableColumnId="21"/>
      <queryTableField id="22" name="(ACC)_x000a_FRA_x000a_AXIS" tableColumnId="22"/>
      <queryTableField id="23" name="(ACC)_x000a_FRA_x000a_SACC" tableColumnId="23"/>
      <queryTableField id="24" name="(ACC)_x000a_FRA_x000a_SIPS" tableColumnId="24"/>
      <queryTableField id="25" name="(ACC)_x000a_FRA_x000a_Back-Office" tableColumnId="25"/>
      <queryTableField id="26" name="(ACC)_x000a_GER_x000a_Payone" tableColumnId="26"/>
      <queryTableField id="27" name="(ACC)_x000a_AUT_x000a_Payunity" tableColumnId="27"/>
      <queryTableField id="28" name="(ACC)_x000a_GRC_x000a_Cardlink" tableColumnId="28"/>
      <queryTableField id="29" name="(ACC)_x000a_IND_x000a_India TP" tableColumnId="29"/>
      <queryTableField id="30" name="(ACC)_x000a_ITA_x000a_Axxepta" tableColumnId="30"/>
      <queryTableField id="31" name="(ACC)_x000a_NAR_x000a_Beanstream / Roam" tableColumnId="31"/>
      <queryTableField id="32" name="(ACC)_x000a_NLD_x000a_GC" tableColumnId="32"/>
      <queryTableField id="33" name="(ACC)_x000a_SPA_x000a_Connexflow" tableColumnId="33"/>
      <queryTableField id="34" name="(ACC)_x000a_SPA_x000a_CSACT" tableColumnId="34"/>
      <queryTableField id="35" name="(ACC)_x000a_SWE_x000a_BB Samport" tableColumnId="35"/>
      <queryTableField id="36" name="(ACC)_x000a_SWE_x000a_BOL" tableColumnId="36"/>
      <queryTableField id="37" name="(ACC)_x000a_SWE_x000a_Back-Office" tableColumnId="37"/>
      <queryTableField id="38" name="(ACC)_x000a_SWE_x000a_Devcode" tableColumnId="38"/>
      <queryTableField id="39" name="(ACC)_x000a_SWE_x000a_OCH" tableColumnId="39"/>
      <queryTableField id="40" name="(ACC)_x000a_SWE_x000a_WOPA" tableColumnId="40"/>
      <queryTableField id="41" name="(ACC)_x000a_GER_x000a_cCredit" tableColumnId="41"/>
      <queryTableField id="42" name="(ACC)_x000a_ALL_x000a_ Shared services" tableColumnId="42"/>
      <queryTableField id="43" name="Com Acquiring_x000a_Internal_x000a_all entities" tableColumnId="43"/>
      <queryTableField id="44" name="(CAQ)_x000a_BEL_x000a_WL" tableColumnId="44"/>
      <queryTableField id="45" name="(CAQ)_x000a_FRA_x000a_WL" tableColumnId="45"/>
      <queryTableField id="46" name="(CAQ)_x000a_CHE_x000a_SPS" tableColumnId="46"/>
      <queryTableField id="47" name="(CAQ)_x000a_ALL_x000a_BB" tableColumnId="47"/>
      <queryTableField id="48" name="Digital Services_x000a_Internal_x000a_all entities" tableColumnId="48"/>
      <queryTableField id="49" name="(DIG)_x000a_BEL_x000a_WL" tableColumnId="49"/>
      <queryTableField id="50" name="(DIG)_x000a_FRA_x000a_WL" tableColumnId="50"/>
      <queryTableField id="51" name="(DIG)_x000a_NLD_x000a_WL" tableColumnId="51"/>
      <queryTableField id="52" name="(DIG)_x000a_AUT_x000a_SPS" tableColumnId="52"/>
      <queryTableField id="53" name="(DIG)_x000a_CHE_x000a_SPS" tableColumnId="53"/>
      <queryTableField id="54" name="(DIG)_x000a_FRA_x000a_ING" tableColumnId="54"/>
      <queryTableField id="55" name="(DIG)_x000a_GER_x000a_WL" tableColumnId="55"/>
      <queryTableField id="56" name="(DIG)_x000a_GER_x000a_SPS" tableColumnId="56"/>
      <queryTableField id="158" name="(DIG)_x000a_POL_x000a_SPS" tableColumnId="158"/>
      <queryTableField id="57" name="(DIG)_x000a_CZE_x000a_Cataps" tableColumnId="57"/>
      <queryTableField id="58" name="(DIG)_x000a_AUS_x000a_WL" tableColumnId="58"/>
      <queryTableField id="59" name="(DIG)_x000a_NLD_x000a_ING" tableColumnId="59"/>
      <queryTableField id="60" name="E2E Architects &amp; Programs_x000a_Internal_x000a_all entities" tableColumnId="60"/>
      <queryTableField id="61" name="(E2E)_x000a_BEL_x000a_WL" tableColumnId="61"/>
      <queryTableField id="62" name="(E2E)_x000a_FRA_x000a_WL" tableColumnId="62"/>
      <queryTableField id="181" name="(E2E)_x000a_NLD_x000a_WL" tableColumnId="165"/>
      <queryTableField id="182" name="(E2E)_x000a_SPA_x000a_WL" tableColumnId="166"/>
      <queryTableField id="183" name="(E2E)_x000a_XXX_x000a_WL" tableColumnId="167"/>
      <queryTableField id="63" name="(E2E)_x000a_CHE_x000a_SPS" tableColumnId="63"/>
      <queryTableField id="64" name="Chief Merchant Officer_x000a_Internal_x000a_all entities" tableColumnId="64"/>
      <queryTableField id="65" name="(CMO)_x000a_CHE_x000a_SPS" tableColumnId="65"/>
      <queryTableField id="66" name="(CMO)_x000a_FRA_x000a_WL" tableColumnId="66"/>
      <queryTableField id="67" name="COO SACC_x000a_Internal_x000a_all entities" tableColumnId="67"/>
      <queryTableField id="68" name="(SAC)_x000a_FRA_x000a_ex Terminals" tableColumnId="68"/>
      <queryTableField id="69" name="(SAC)_x000a_FRA_x000a_ex Omni Ch." tableColumnId="69"/>
      <queryTableField id="70" name="(SAC)_x000a_FRA_x000a_Ex Operations" tableColumnId="70"/>
      <queryTableField id="71" name="COO PTM_x000a_Internal_x000a_WL entities" tableColumnId="71"/>
      <queryTableField id="72" name="(PTM)_x000a_BEL_x000a_WL" tableColumnId="72"/>
      <queryTableField id="73" name="(PTM)_x000a_FRA_x000a_WL" tableColumnId="73"/>
      <queryTableField id="74" name="(PTM)_x000a_NLD_x000a_WL" tableColumnId="74"/>
      <queryTableField id="75" name="(PTM)_x000a_SWE_x000a_WL" tableColumnId="75"/>
      <queryTableField id="76" name="(PTM)_x000a_GER_x000a_WL" tableColumnId="76"/>
      <queryTableField id="77" name="(PTM)_x000a_BRA_x000a_WL" tableColumnId="77"/>
      <queryTableField id="78" name="COO PTM_x000a_Internal_x000a_SPS/Other entities" tableColumnId="78"/>
      <queryTableField id="79" name="(PTM)_x000a_CHE_x000a_SPS" tableColumnId="79"/>
      <queryTableField id="80" name="(PTM)_x000a_AUT_x000a_SPS" tableColumnId="80"/>
      <queryTableField id="81" name="(PTM)_x000a_GER_x000a_SPS" tableColumnId="81"/>
      <queryTableField id="82" name="(PTM)_x000a_POL_x000a_SPS" tableColumnId="82"/>
      <queryTableField id="83" name="(PTM)_x000a_CZE_x000a_Cataps" tableColumnId="83"/>
      <queryTableField id="84" name="COO CS_x000a_Internal_x000a_WL entities" tableColumnId="84"/>
      <queryTableField id="85" name="(CCS)_x000a_BEL_x000a_WL" tableColumnId="85"/>
      <queryTableField id="86" name="(CCS)_x000a_FRA_x000a_WL" tableColumnId="86"/>
      <queryTableField id="87" name="(CCS)_x000a_NLD_x000a_WL" tableColumnId="87"/>
      <queryTableField id="88" name="COO CS_x000a_Internal_x000a_SPS entities" tableColumnId="88"/>
      <queryTableField id="89" name="(CCS)_x000a_CHE_x000a_SPS" tableColumnId="89"/>
      <queryTableField id="90" name="(CCS)_x000a_LUX_x000a_SPS" tableColumnId="90"/>
      <queryTableField id="91" name="(CCS)_x000a_AUT_x000a_SPS" tableColumnId="91"/>
      <queryTableField id="92" name="(CCS)_x000a_GER_x000a_SPS" tableColumnId="92"/>
      <queryTableField id="93" name="(CCS)_x000a_POL_x000a_SPS" tableColumnId="93"/>
      <queryTableField id="94" name="COO CS_x000a_Internal_x000a_Other entities" tableColumnId="94"/>
      <queryTableField id="95" name="(CCS)_x000a_NLD_x000a_PSQ" tableColumnId="95"/>
      <queryTableField id="96" name="(CCS)_x000a_POL_x000a_PSQ" tableColumnId="96"/>
      <queryTableField id="97" name="(CCS)_x000a_CZE_x000a_Cataps" tableColumnId="97"/>
      <queryTableField id="98" name="COO BSA_x000a_Internal_x000a_all entities" tableColumnId="98"/>
      <queryTableField id="99" name="(BSA)_x000a_BEL_x000a_WL" tableColumnId="99"/>
      <queryTableField id="100" name="(BSA)_x000a_AUS_x000a_WL" tableColumnId="100"/>
      <queryTableField id="101" name="(BSA)_x000a_NLD_x000a_WL" tableColumnId="101"/>
      <queryTableField id="102" name="(BSA)_x000a_CHE_x000a_SPS" tableColumnId="102"/>
      <queryTableField id="187" name="(BSA)_x000a_POL" tableColumnId="103"/>
      <queryTableField id="188" name="(BSA)_x000a_FRA" tableColumnId="104"/>
      <queryTableField id="105" name="(BSA)_x000a_GER" tableColumnId="105"/>
      <queryTableField id="106" name="Chief Market Officer_x000a_Internal_x000a_all entities" tableColumnId="106"/>
      <queryTableField id="107" name="(CMA)_x000a_All_x000a_any entity" tableColumnId="107"/>
      <queryTableField id="108" name="GTM FI_x000a_Internal_x000a_all entities" tableColumnId="108"/>
      <queryTableField id="109" name="(GTM)_x000a_All_x000a_any entity" tableColumnId="109"/>
      <queryTableField id="110" name="Financial Services_x000a_Outsourced_x000a_all entities" tableColumnId="110"/>
      <queryTableField id="111" name="(FIS)_x000a_All_x000a_any entity" tableColumnId="111"/>
      <queryTableField id="112" name="(FIS)_x000a_BEL_x000a_eWL" tableColumnId="112"/>
      <queryTableField id="113" name="(FIS)_x000a_FRA_x000a_eWL" tableColumnId="113"/>
      <queryTableField id="114" name="(FIS)_x000a_NLD_x000a_eWL" tableColumnId="114"/>
      <queryTableField id="115" name="(FIS)_x000a_GER_x000a_eWL" tableColumnId="115"/>
      <queryTableField id="116" name="(FIS)_x000a_CHE_x000a_SPS FS" tableColumnId="116"/>
      <queryTableField id="117" name="(FIS)_x000a_SPS Split (26%) BEL" tableColumnId="117"/>
      <queryTableField id="118" name="(FIS)_x000a_SPS % Split_x000a_FO" tableColumnId="118"/>
      <queryTableField id="119" name="(FIS)_x000a_SPS % Split_x000a_BO" tableColumnId="119"/>
      <queryTableField id="120" name="(FIS)_x000a_SPS Split_x000a_FO (calc)" tableColumnId="120"/>
      <queryTableField id="121" name="(FIS)_x000a_SPS Split_x000a_BO (calc)" tableColumnId="121"/>
      <queryTableField id="122" name="(FIS)_x000a_SPS Split_x000a_DaMa (calc)" tableColumnId="122"/>
      <queryTableField id="123" name="Production Services_x000a_Outsourced_x000a_all entities" tableColumnId="123"/>
      <queryTableField id="124" name="(PRD)_x000a_ALL_x000a_any entity" tableColumnId="124"/>
      <queryTableField id="125" name="TSS_x000a_Outsourced _x000a_all entities" tableColumnId="125"/>
      <queryTableField id="126" name="(TSS)_x000a_ALL_x000a_any entity" tableColumnId="126"/>
      <queryTableField id="127" name="MTS_x000a_Outsourced_x000a_all entities" tableColumnId="127"/>
      <queryTableField id="128" name="(MTS)_x000a_ALL_x000a_any entity" tableColumnId="128"/>
      <queryTableField id="129" name="Payone_x000a_Outsourced_x000a_all entities" tableColumnId="129"/>
      <queryTableField id="130" name="(Payone)_x000a_ALL_x000a_any entity" tableColumnId="130"/>
      <queryTableField id="131" name="Cash Out_x000a_OPEX_x000a_Suppliers" tableColumnId="131"/>
      <queryTableField id="132" name="(OPX) _x000a_Supplier Name(s)" tableColumnId="132"/>
      <queryTableField id="133" name="(OPX)_x000a_All SubCo_x000a_Fix price (K€)" tableColumnId="133"/>
      <queryTableField id="134" name="(OPX)_x000a_All Subco_x000a_T&amp;M 1000" tableColumnId="134"/>
      <queryTableField id="135" name="(OPX)_x000a_All Subco_x000a_T&amp;M 700" tableColumnId="135"/>
      <queryTableField id="136" name="(OPX)_x000a_All Subco_x000a_T&amp;M 470" tableColumnId="136"/>
      <queryTableField id="137" name="(OPX)_x000a_MAR_x000a_Morocco" tableColumnId="137"/>
      <queryTableField id="138" name="(OPX)_x000a_IND_x000a_Cybage" tableColumnId="138"/>
      <queryTableField id="139" name="(OPX)_x000a_IND_x000a_India" tableColumnId="139"/>
      <queryTableField id="140" name="(OPX)_x000a_BUL_x000a_Bulgaria" tableColumnId="140"/>
      <queryTableField id="141" name="(OPX)_x000a_ARM_x000a_Armenia" tableColumnId="141"/>
      <queryTableField id="142" name="Cash Out_x000a_CAPEX_x000a_KEUR" tableColumnId="142"/>
      <queryTableField id="143" name="(CPX) _x000a_CAPEX_x000a_kEUR" tableColumnId="143"/>
      <queryTableField id="144" name="Capex Comment" tableColumnId="144"/>
      <queryTableField id="160" name="Non MS/Not listed Entities" tableColumnId="157"/>
      <queryTableField id="161" name="(NMS)_x000a_ALL_x000a_Direct" tableColumnId="159"/>
      <queryTableField id="162" name="(NMS)_x000a_ALL_x000a_Indirect" tableColumnId="160"/>
      <queryTableField id="163" name="(NMS)_x000a_Non listed entities" tableColumnId="161"/>
      <queryTableField id="146" name="Comments - non listed entities" tableColumnId="146"/>
      <queryTableField id="147" name="Costs for Move to Cloud (2022) " tableColumnId="147"/>
      <queryTableField id="148" name="Full (multi year) project estimated budget (in k€)" tableColumnId="148"/>
      <queryTableField id="149" name="TOTAL 2022 in mandays" tableColumnId="149"/>
      <queryTableField id="150" name="E2E_x000a_Actuals_x000a_KEUR" tableColumnId="150"/>
      <queryTableField id="151" name="(ACT)_x000a_Yr 1" tableColumnId="151"/>
      <queryTableField id="152" name="(ACT)_x000a_Yr 2" tableColumnId="152"/>
      <queryTableField id="153" name="(ACT)_x000a_Yr 3" tableColumnId="153"/>
      <queryTableField id="154" name="(ACT)_x000a_Yr 4" tableColumnId="154"/>
      <queryTableField id="155" name="(ACT)_x000a_Yr 5" tableColumnId="155"/>
      <queryTableField id="145" name="Non listed entities" tableColumnId="145"/>
      <queryTableField id="156" name="Level" tableColumnId="156"/>
    </queryTableFields>
  </queryTableRefresh>
</queryTable>
</file>

<file path=xl/tables/_rels/table5.xml.rels><?xml version="1.0" encoding="UTF-8" standalone="yes"?><Relationships xmlns="http://schemas.openxmlformats.org/package/2006/relationships"><Relationship Id="rId1" Target="../queryTables/queryTable1.xml" Type="http://schemas.openxmlformats.org/officeDocument/2006/relationships/queryTable"/></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D938F9C-A5A6-4B9D-8459-6A89FF521E3D}" name="New" displayName="New" ref="B6:FC400" totalsRowShown="0" headerRowDxfId="784" dataDxfId="783" headerRowCellStyle="Normal 2" dataCellStyle="Normal 2">
  <autoFilter ref="B6:FC400" xr:uid="{31EAF01B-5F71-4947-AD31-EB0BAB55E955}"/>
  <tableColumns count="158">
    <tableColumn id="27" xr3:uid="{0A889C34-DCD6-4990-99A5-E51F0183AAFE}" name="Given ID_x000a_by PMO" dataDxfId="782" dataCellStyle="Normal 2"/>
    <tableColumn id="1" xr3:uid="{5C002E41-A31D-4D12-BCF0-6D975AB6EB66}" name="Ref Key_x000a_(auto)" dataDxfId="781" dataCellStyle="Normal 2"/>
    <tableColumn id="2" xr3:uid="{B352953E-E785-4893-8D67-A0FE05DBC55A}" name="Initiative Name" dataDxfId="780" dataCellStyle="Normal 2"/>
    <tableColumn id="5" xr3:uid="{BE2C3624-0C6C-4C27-B801-5DC3605C7C8C}" name="Portfolio Classification" dataDxfId="779" dataCellStyle="Normal 2"/>
    <tableColumn id="4" xr3:uid="{187ADF6E-81F1-4967-B246-B12919C8FE4A}" name="Leading entity/platform" dataDxfId="778" dataCellStyle="Normal 2"/>
    <tableColumn id="31" xr3:uid="{B33CDDDC-A00A-4E23-9682-5B1A96964651}" name="Strategic_x000a_Program L1" dataDxfId="777" dataCellStyle="Normal 2"/>
    <tableColumn id="6" xr3:uid="{1E1B86DE-3A96-4083-A71F-DD8B8525A19F}" name="Activity Type" dataDxfId="776" dataCellStyle="Normal 2"/>
    <tableColumn id="7" xr3:uid="{CF1AF907-600A-46E9-901D-E5999BCA7142}" name="New Product_x000a_Indicator" dataDxfId="775" dataCellStyle="Normal 2"/>
    <tableColumn id="30" xr3:uid="{A4657BD3-BD4C-488C-8CE5-20441EA24BFF}" name="Group Offering" dataDxfId="774" dataCellStyle="Normal 2"/>
    <tableColumn id="29" xr3:uid="{F34DDAA4-187F-479C-82BE-145393E75396}" name="SPOC: Requestor/Owner_x000a_(unit / person)" dataDxfId="773" dataCellStyle="Normal 2"/>
    <tableColumn id="28" xr3:uid="{BF2D671E-0448-44F0-821B-651507B865CD}" name="Estimated_x000a_CAPI %" dataDxfId="772" dataCellStyle="Normal 2"/>
    <tableColumn id="16" xr3:uid="{4DDCFF6C-C725-4AD8-99AA-1335ECE58416}" name="Estimated_x000a_OOI %" dataDxfId="771" dataCellStyle="Normal 2"/>
    <tableColumn id="8" xr3:uid="{1D1188B6-AACF-4590-849C-E77971BDBE4E}" name="Estimated_x000a_Start Date" dataDxfId="770" dataCellStyle="Normal 2"/>
    <tableColumn id="9" xr3:uid="{0852E242-735B-4CAC-A95C-91E00C28D0B7}" name="Estimated_x000a_End Date" dataDxfId="769" dataCellStyle="Normal 2"/>
    <tableColumn id="10" xr3:uid="{5B91B024-F6A0-4403-9623-62414ED13076}" name="Comment, description,_x000a_rationale, strategic impact" dataDxfId="768" dataCellStyle="Normal 2"/>
    <tableColumn id="12" xr3:uid="{12BAB1E1-3B95-4FB4-8F4F-67284548915B}" name="Acceptance_x000a_Internal_x000a_All entities" dataDxfId="767"/>
    <tableColumn id="13" xr3:uid="{41E1DEB5-0843-4B46-8FC8-B0B92A0875D4}" name="(ACC)_x000a_ARG_x000a_Sub1" dataDxfId="766" dataCellStyle="Normal 2">
      <calculatedColumnFormula array="1">SUMIFS(XLDEMAND!$G:$G,XLDEMAND!$V:$V,"Yes!",XLDEMAND!$W:$W,'New Projects'!R$1,XLDEMAND!$B:$B,New[[#This Row],[Ref Key
(auto)]:[Ref Key
(auto)]],XLDEMAND!$N:$N,"&lt;P3")</calculatedColumnFormula>
    </tableColumn>
    <tableColumn id="14" xr3:uid="{F2018390-5E60-4542-9F45-0DA43B626512}" name="(ACC)_x000a_AUS_x000a_IPP" dataDxfId="765" dataCellStyle="Normal 2">
      <calculatedColumnFormula array="1">SUMIFS(XLDEMAND!$G:$G,XLDEMAND!$V:$V,"Yes!",XLDEMAND!$W:$W,'New Projects'!S$1,XLDEMAND!$B:$B,New[[#This Row],[Ref Key
(auto)]:[Ref Key
(auto)]],XLDEMAND!$N:$N,"&lt;P3")</calculatedColumnFormula>
    </tableColumn>
    <tableColumn id="22" xr3:uid="{2D681A82-8BA1-40D0-9B6C-2E8741E7E17B}" name="(ACC)_x000a_BEL_x000a_WLOC" dataDxfId="764" dataCellStyle="Normal 2">
      <calculatedColumnFormula array="1">SUMIFS(XLDEMAND!$G:$G,XLDEMAND!$V:$V,"Yes!",XLDEMAND!$W:$W,'New Projects'!T$1,XLDEMAND!$B:$B,New[[#This Row],[Ref Key
(auto)]:[Ref Key
(auto)]],XLDEMAND!$N:$N,"&lt;P3")</calculatedColumnFormula>
    </tableColumn>
    <tableColumn id="23" xr3:uid="{B2B80C13-80AA-4993-9632-9FEFFA85886A}" name="(ACC)_x000a_CHE_x000a_Saferpay" dataDxfId="763" dataCellStyle="Normal 2">
      <calculatedColumnFormula array="1">SUMIFS(XLDEMAND!$G:$G,XLDEMAND!$V:$V,"Yes!",XLDEMAND!$W:$W,'New Projects'!U$1,XLDEMAND!$B:$B,New[[#This Row],[Ref Key
(auto)]:[Ref Key
(auto)]],XLDEMAND!$N:$N,"&lt;P3")</calculatedColumnFormula>
    </tableColumn>
    <tableColumn id="24" xr3:uid="{D786B582-1DCC-4293-9DA1-30D9515201F9}" name="(ACC)_x000a_CZE_x000a_GoPay" dataDxfId="762" dataCellStyle="Normal 2">
      <calculatedColumnFormula array="1">SUMIFS(XLDEMAND!$G:$G,XLDEMAND!$V:$V,"Yes!",XLDEMAND!$W:$W,'New Projects'!V$1,XLDEMAND!$B:$B,New[[#This Row],[Ref Key
(auto)]:[Ref Key
(auto)]],XLDEMAND!$N:$N,"&lt;P3")</calculatedColumnFormula>
    </tableColumn>
    <tableColumn id="25" xr3:uid="{8D2AA218-77C7-4D15-BA42-DFA49C4B9F0D}" name="(ACC)_x000a_FRA_x000a_AXIS" dataDxfId="761" dataCellStyle="Normal 2">
      <calculatedColumnFormula array="1">SUMIFS(XLDEMAND!$G:$G,XLDEMAND!$V:$V,"Yes!",XLDEMAND!$W:$W,'New Projects'!W$1,XLDEMAND!$B:$B,New[[#This Row],[Ref Key
(auto)]:[Ref Key
(auto)]],XLDEMAND!$N:$N,"&lt;P3")</calculatedColumnFormula>
    </tableColumn>
    <tableColumn id="26" xr3:uid="{EADDDD5B-8BB0-4F69-8E43-1A37ACD3DB0C}" name="(ACC)_x000a_FRA_x000a_SACC" dataDxfId="760" dataCellStyle="Normal 2">
      <calculatedColumnFormula array="1">SUMIFS(XLDEMAND!$G:$G,XLDEMAND!$V:$V,"Yes!",XLDEMAND!$W:$W,'New Projects'!X$1,XLDEMAND!$B:$B,New[[#This Row],[Ref Key
(auto)]:[Ref Key
(auto)]],XLDEMAND!$N:$N,"&lt;P3")</calculatedColumnFormula>
    </tableColumn>
    <tableColumn id="3" xr3:uid="{A9E3E3BE-1313-4952-9DF7-E7576D8D6457}" name="(ACC)_x000a_FRA_x000a_SIPS" dataDxfId="759" dataCellStyle="Normal 2">
      <calculatedColumnFormula array="1">SUMIFS(XLDEMAND!$G:$G,XLDEMAND!$V:$V,"Yes!",XLDEMAND!$W:$W,'New Projects'!Y$1,XLDEMAND!$B:$B,New[[#This Row],[Ref Key
(auto)]:[Ref Key
(auto)]],XLDEMAND!$N:$N,"&lt;P3")</calculatedColumnFormula>
    </tableColumn>
    <tableColumn id="100" xr3:uid="{4D2C8618-B717-490E-9443-2157A6FB025A}" name="(ACC)_x000a_FRA_x000a_Back-Office" dataDxfId="758" dataCellStyle="Normal 2">
      <calculatedColumnFormula array="1">SUMIFS(XLDEMAND!$G:$G,XLDEMAND!$V:$V,"Yes!",XLDEMAND!$W:$W,'New Projects'!Z$1,XLDEMAND!$B:$B,New[[#This Row],[Ref Key
(auto)]:[Ref Key
(auto)]],XLDEMAND!$N:$N,"&lt;P3")</calculatedColumnFormula>
    </tableColumn>
    <tableColumn id="11" xr3:uid="{5FA46FDE-E48E-47F5-9134-157766ABB518}" name="(ACC)_x000a_GER_x000a_Payone" dataDxfId="757" dataCellStyle="Normal 2">
      <calculatedColumnFormula array="1">SUMIFS(XLDEMAND!$G:$G,XLDEMAND!$V:$V,"Yes!",XLDEMAND!$W:$W,'New Projects'!AA$1,XLDEMAND!$B:$B,New[[#This Row],[Ref Key
(auto)]:[Ref Key
(auto)]],XLDEMAND!$N:$N,"&lt;P3")</calculatedColumnFormula>
    </tableColumn>
    <tableColumn id="32" xr3:uid="{A1D3EFBF-D0F6-4296-AEA1-BCB29765645D}" name="(ACC)_x000a_AUT_x000a_Payunity" dataDxfId="756" dataCellStyle="Normal 2">
      <calculatedColumnFormula array="1">SUMIFS(XLDEMAND!$G:$G,XLDEMAND!$V:$V,"Yes!",XLDEMAND!$W:$W,'New Projects'!AB$1,XLDEMAND!$B:$B,New[[#This Row],[Ref Key
(auto)]:[Ref Key
(auto)]],XLDEMAND!$N:$N,"&lt;P3")</calculatedColumnFormula>
    </tableColumn>
    <tableColumn id="33" xr3:uid="{CA573AB3-8A36-46AC-93AC-5786A5CC94B9}" name="(ACC)_x000a_GRC_x000a_Cardlink" dataDxfId="755" dataCellStyle="Normal 2">
      <calculatedColumnFormula array="1">SUMIFS(XLDEMAND!$G:$G,XLDEMAND!$V:$V,"Yes!",XLDEMAND!$W:$W,'New Projects'!AC$1,XLDEMAND!$B:$B,New[[#This Row],[Ref Key
(auto)]:[Ref Key
(auto)]],XLDEMAND!$N:$N,"&lt;P3")</calculatedColumnFormula>
    </tableColumn>
    <tableColumn id="34" xr3:uid="{654D923E-8A22-4DE8-BC12-999836E2C06A}" name="(ACC)_x000a_IND_x000a_India TP" dataDxfId="754" dataCellStyle="Normal 2">
      <calculatedColumnFormula array="1">SUMIFS(XLDEMAND!$G:$G,XLDEMAND!$V:$V,"Yes!",XLDEMAND!$W:$W,'New Projects'!AD$1,XLDEMAND!$B:$B,New[[#This Row],[Ref Key
(auto)]:[Ref Key
(auto)]],XLDEMAND!$N:$N,"&lt;P3")</calculatedColumnFormula>
    </tableColumn>
    <tableColumn id="35" xr3:uid="{B0F2C615-BA2D-4BED-882D-C8C25D84745D}" name="(ACC)_x000a_ITA_x000a_Axxepta" dataDxfId="753" dataCellStyle="Normal 2">
      <calculatedColumnFormula array="1">SUMIFS(XLDEMAND!$G:$G,XLDEMAND!$V:$V,"Yes!",XLDEMAND!$W:$W,'New Projects'!AE$1,XLDEMAND!$B:$B,New[[#This Row],[Ref Key
(auto)]:[Ref Key
(auto)]],XLDEMAND!$N:$N,"&lt;P3")</calculatedColumnFormula>
    </tableColumn>
    <tableColumn id="40" xr3:uid="{76DC6338-7EB3-4304-A87D-3F33121ED4E6}" name="(ACC)_x000a_NAR_x000a_Beanstream / Roam" dataDxfId="752" dataCellStyle="Normal 2">
      <calculatedColumnFormula array="1">SUMIFS(XLDEMAND!$G:$G,XLDEMAND!$V:$V,"Yes!",XLDEMAND!$W:$W,'New Projects'!AF$1,XLDEMAND!$B:$B,New[[#This Row],[Ref Key
(auto)]:[Ref Key
(auto)]],XLDEMAND!$N:$N,"&lt;P3")</calculatedColumnFormula>
    </tableColumn>
    <tableColumn id="41" xr3:uid="{89969AC5-85C1-4BC3-ADEA-E022A1BE6C9C}" name="(ACC)_x000a_NLD_x000a_GC" dataDxfId="751" dataCellStyle="Normal 2">
      <calculatedColumnFormula array="1">SUMIFS(XLDEMAND!$G:$G,XLDEMAND!$V:$V,"Yes!",XLDEMAND!$W:$W,'New Projects'!AG$1,XLDEMAND!$B:$B,New[[#This Row],[Ref Key
(auto)]:[Ref Key
(auto)]],XLDEMAND!$N:$N,"&lt;P3")</calculatedColumnFormula>
    </tableColumn>
    <tableColumn id="42" xr3:uid="{E582ADD6-C4BE-4B6E-AB50-B7888DF05178}" name="(ACC)_x000a_SPA_x000a_Connexflow" dataDxfId="750" dataCellStyle="Normal 2">
      <calculatedColumnFormula array="1">SUMIFS(XLDEMAND!$G:$G,XLDEMAND!$V:$V,"Yes!",XLDEMAND!$W:$W,'New Projects'!AH$1,XLDEMAND!$B:$B,New[[#This Row],[Ref Key
(auto)]:[Ref Key
(auto)]],XLDEMAND!$N:$N,"&lt;P3")</calculatedColumnFormula>
    </tableColumn>
    <tableColumn id="43" xr3:uid="{33D75B9A-81B1-4EDA-8C94-D050747EC83F}" name="(ACC)_x000a_SPA_x000a_CSACT" dataDxfId="749" dataCellStyle="Normal 2">
      <calculatedColumnFormula array="1">SUMIFS(XLDEMAND!$G:$G,XLDEMAND!$V:$V,"Yes!",XLDEMAND!$W:$W,'New Projects'!AI$1,XLDEMAND!$B:$B,New[[#This Row],[Ref Key
(auto)]:[Ref Key
(auto)]],XLDEMAND!$N:$N,"&lt;P3")</calculatedColumnFormula>
    </tableColumn>
    <tableColumn id="39" xr3:uid="{19A46968-24A8-4D41-A3FD-507868D42466}" name="(ACC)_x000a_SWE_x000a_BB Samport" dataDxfId="748" dataCellStyle="Normal 2">
      <calculatedColumnFormula array="1">SUMIFS(XLDEMAND!$G:$G,XLDEMAND!$V:$V,"Yes!",XLDEMAND!$W:$W,'New Projects'!AJ$1,XLDEMAND!$B:$B,New[[#This Row],[Ref Key
(auto)]:[Ref Key
(auto)]],XLDEMAND!$N:$N,"&lt;P3")</calculatedColumnFormula>
    </tableColumn>
    <tableColumn id="38" xr3:uid="{21FBA79A-4B18-4090-986C-91A6DD444ED9}" name="(ACC)_x000a_SWE_x000a_BOL" dataDxfId="747" dataCellStyle="Normal 2">
      <calculatedColumnFormula array="1">SUMIFS(XLDEMAND!$G:$G,XLDEMAND!$V:$V,"Yes!",XLDEMAND!$W:$W,'New Projects'!AK$1,XLDEMAND!$B:$B,New[[#This Row],[Ref Key
(auto)]:[Ref Key
(auto)]],XLDEMAND!$N:$N,"&lt;P3")</calculatedColumnFormula>
    </tableColumn>
    <tableColumn id="102" xr3:uid="{1B9C065D-DB47-4036-8DDB-D24CC454A961}" name="(ACC)_x000a_SWE_x000a_Back-Office" dataDxfId="746" dataCellStyle="Normal 2">
      <calculatedColumnFormula array="1">SUMIFS(XLDEMAND!$G:$G,XLDEMAND!$V:$V,"Yes!",XLDEMAND!$W:$W,'New Projects'!AL$1,XLDEMAND!$B:$B,New[[#This Row],[Ref Key
(auto)]:[Ref Key
(auto)]],XLDEMAND!$N:$N,"&lt;P3")</calculatedColumnFormula>
    </tableColumn>
    <tableColumn id="37" xr3:uid="{B48AC852-A397-4BBC-9DBE-4721E957D832}" name="(ACC)_x000a_SWE_x000a_Devcode" dataDxfId="745" dataCellStyle="Normal 2">
      <calculatedColumnFormula array="1">SUMIFS(XLDEMAND!$G:$G,XLDEMAND!$V:$V,"Yes!",XLDEMAND!$W:$W,'New Projects'!AM$1,XLDEMAND!$B:$B,New[[#This Row],[Ref Key
(auto)]:[Ref Key
(auto)]],XLDEMAND!$N:$N,"&lt;P3")</calculatedColumnFormula>
    </tableColumn>
    <tableColumn id="36" xr3:uid="{E8668A86-C7FC-4815-9285-C7C702DE8B96}" name="(ACC)_x000a_SWE_x000a_OCH" dataDxfId="744" dataCellStyle="Normal 2">
      <calculatedColumnFormula array="1">SUMIFS(XLDEMAND!$G:$G,XLDEMAND!$V:$V,"Yes!",XLDEMAND!$W:$W,'New Projects'!AN$1,XLDEMAND!$B:$B,New[[#This Row],[Ref Key
(auto)]:[Ref Key
(auto)]],XLDEMAND!$N:$N,"&lt;P3")</calculatedColumnFormula>
    </tableColumn>
    <tableColumn id="15" xr3:uid="{1F31D6FA-B1AC-4672-A4B9-DBF0B65DB4FC}" name="(ACC)_x000a_SWE_x000a_WOPA" dataDxfId="743" dataCellStyle="Normal 2">
      <calculatedColumnFormula array="1">SUMIFS(XLDEMAND!$G:$G,XLDEMAND!$V:$V,"Yes!",XLDEMAND!$W:$W,'New Projects'!AO$1,XLDEMAND!$B:$B,New[[#This Row],[Ref Key
(auto)]:[Ref Key
(auto)]],XLDEMAND!$N:$N,"&lt;P3")</calculatedColumnFormula>
    </tableColumn>
    <tableColumn id="98" xr3:uid="{9622CDE8-0016-4D57-A143-9CE114B4BE69}" name="(ACC)_x000a_GER_x000a_cCredit" dataDxfId="742" dataCellStyle="Normal 2">
      <calculatedColumnFormula array="1">SUMIFS(XLDEMAND!$G:$G,XLDEMAND!$V:$V,"Yes!",XLDEMAND!$W:$W,'New Projects'!AP$1,XLDEMAND!$B:$B,New[[#This Row],[Ref Key
(auto)]:[Ref Key
(auto)]],XLDEMAND!$N:$N,"&lt;P3")</calculatedColumnFormula>
    </tableColumn>
    <tableColumn id="17" xr3:uid="{9DD0A8C1-C9B5-402E-A407-4CD7AD323A99}" name="(ACC)_x000a_ALL_x000a_ Shared services" dataDxfId="741" dataCellStyle="Normal 2">
      <calculatedColumnFormula array="1">SUMIFS(XLDEMAND!$G:$G,XLDEMAND!$V:$V,"Yes!",XLDEMAND!$W:$W,'New Projects'!AQ$1,XLDEMAND!$B:$B,New[[#This Row],[Ref Key
(auto)]:[Ref Key
(auto)]],XLDEMAND!$N:$N,"&lt;P3")</calculatedColumnFormula>
    </tableColumn>
    <tableColumn id="47" xr3:uid="{103401C2-3BAC-4F7C-9246-70A48069BD07}" name="Com Acquiring_x000a_Internal_x000a_all entities" dataDxfId="740"/>
    <tableColumn id="48" xr3:uid="{7753741E-42B2-4503-B345-7E24F90425BE}" name="(CAQ)_x000a_BEL_x000a_WL" dataDxfId="739" dataCellStyle="Normal 2">
      <calculatedColumnFormula array="1">SUMIFS(XLDEMAND!$G:$G,XLDEMAND!$V:$V,"Yes!",XLDEMAND!$W:$W,'New Projects'!AS$1,XLDEMAND!$B:$B,New[[#This Row],[Ref Key
(auto)]:[Ref Key
(auto)]])</calculatedColumnFormula>
    </tableColumn>
    <tableColumn id="49" xr3:uid="{8C6CB31B-C5AD-48CF-B098-BCF881A7D75A}" name="(CAQ)_x000a_FRA_x000a_WL" dataDxfId="738" dataCellStyle="Normal 2"/>
    <tableColumn id="44" xr3:uid="{F41F74CE-272A-4858-B716-3A047A4AAE2D}" name="(CAQ)_x000a_CHE_x000a_SPS" dataDxfId="737" dataCellStyle="Normal 2"/>
    <tableColumn id="45" xr3:uid="{E970D65D-68E8-41AF-AC06-D4379D4708BB}" name="(CAQ)_x000a_ALL_x000a_BB" dataDxfId="736" dataCellStyle="Normal 2"/>
    <tableColumn id="46" xr3:uid="{F66B51B4-7FA6-41FC-9F76-225EF9EDB740}" name="Digital Services_x000a_Internal_x000a_all entities" dataDxfId="735"/>
    <tableColumn id="61" xr3:uid="{C2B6F3EC-0B7F-4DC9-AE78-E29CDCF195C1}" name="(DIG)_x000a_BEL_x000a_WL" dataDxfId="734" dataCellStyle="Normal 2">
      <calculatedColumnFormula array="1">SUMIFS(XLDEMAND!$G:$G,XLDEMAND!$V:$V,"Yes!",XLDEMAND!$W:$W,'New Projects'!AX$1,XLDEMAND!$B:$B,New[[#This Row],[Ref Key
(auto)]:[Ref Key
(auto)]])</calculatedColumnFormula>
    </tableColumn>
    <tableColumn id="60" xr3:uid="{C84CDA7D-1113-4607-9C89-038F41080D4E}" name="(DIG)_x000a_FRA_x000a_WL" dataDxfId="733" dataCellStyle="Normal 2"/>
    <tableColumn id="59" xr3:uid="{29018754-E0B9-486C-8FC7-B99ADEDB4FA4}" name="(DIG)_x000a_NLD_x000a_WL" dataDxfId="732" dataCellStyle="Normal 2"/>
    <tableColumn id="58" xr3:uid="{477649FA-1835-4707-BF99-073B257C15DA}" name="(DIG)_x000a_AUT_x000a_SPS" dataDxfId="731" dataCellStyle="Normal 2"/>
    <tableColumn id="57" xr3:uid="{DA15B57A-ECCC-4D45-9D6E-1296C28B4BBE}" name="(DIG)_x000a_CHE_x000a_SPS" dataDxfId="730" dataCellStyle="Normal 2"/>
    <tableColumn id="137" xr3:uid="{56DFADC3-E8BB-464B-ABD7-AAFBCE793243}" name="(DIG)_x000a_FRA_x000a_ING" dataDxfId="729" dataCellStyle="Normal 2"/>
    <tableColumn id="104" xr3:uid="{6907BC92-0864-4BDE-92DC-25FEA9E16897}" name="(DIG)_x000a_GER_x000a_WL" dataDxfId="728" dataCellStyle="Normal 2"/>
    <tableColumn id="93" xr3:uid="{622448F1-185B-44BD-9054-20F3BF9F8238}" name="(DIG)_x000a_GER_x000a_SPS" dataDxfId="727" dataCellStyle="Normal 2"/>
    <tableColumn id="138" xr3:uid="{E4484455-2865-4024-9C9C-3ADB1751F136}" name="(DIG)_x000a_POL_x000a_SPS" dataDxfId="726" dataCellStyle="Normal 2"/>
    <tableColumn id="90" xr3:uid="{6BA46367-65A6-4F17-A9E8-8AC5A2F06415}" name="(DIG)_x000a_CZE_x000a_Cataps" dataDxfId="725" dataCellStyle="Normal 2"/>
    <tableColumn id="84" xr3:uid="{A2ED9362-63DC-4F88-9FEE-665544AF814E}" name="(DIG)_x000a_AUS_x000a_WL" dataDxfId="724" dataCellStyle="Normal 2"/>
    <tableColumn id="56" xr3:uid="{5174FA91-0378-4736-ACB5-4FF5F873C47F}" name="(DIG)_x000a_NLD_x000a_ING" dataDxfId="723" dataCellStyle="Normal 2"/>
    <tableColumn id="55" xr3:uid="{F0C3C549-BEF0-47AD-86F4-8933AB693168}" name="E2E Architects &amp; Programs_x000a_Internal_x000a_all entities" dataDxfId="722"/>
    <tableColumn id="51" xr3:uid="{69E6F7B5-6C64-49B8-B285-17DE5D8DC778}" name="(E2E)_x000a_BEL_x000a_WL" dataDxfId="721" dataCellStyle="Milliers"/>
    <tableColumn id="62" xr3:uid="{A3B3418C-DA11-4404-B714-F72184EB550F}" name="(E2E)_x000a_FRA_x000a_WL" dataDxfId="720" dataCellStyle="Milliers"/>
    <tableColumn id="153" xr3:uid="{F4B54693-D719-4FAF-87C1-F31CD07B60F6}" name="(E2E)_x000a_NLD_x000a_WL" dataDxfId="719" dataCellStyle="Milliers"/>
    <tableColumn id="152" xr3:uid="{10897360-AC47-434C-8346-834A02656271}" name="(E2E)_x000a_SPA_x000a_WL" dataDxfId="718" dataCellStyle="Milliers"/>
    <tableColumn id="151" xr3:uid="{98141083-6D5D-4961-8A6B-F26B8CE15B8C}" name="(E2E)_x000a_XXX_x000a_WL" dataDxfId="717" dataCellStyle="Milliers"/>
    <tableColumn id="50" xr3:uid="{9204E8BE-73E7-4205-AB74-B320870AD465}" name="(E2E)_x000a_CHE_x000a_SPS" dataDxfId="716" dataCellStyle="Milliers"/>
    <tableColumn id="54" xr3:uid="{FFD7D61B-B089-4279-91C0-13A810043D08}" name="Chief Merchant Officer_x000a_Internal_x000a_all entities" dataDxfId="715"/>
    <tableColumn id="65" xr3:uid="{4FF13245-9248-4A1C-AF1D-D81C74A155D9}" name="(CMO)_x000a_CHE_x000a_SPS" dataDxfId="714" dataCellStyle="Milliers"/>
    <tableColumn id="66" xr3:uid="{E3715088-652E-4EAC-B671-D28829A8F31F}" name="(CMO)_x000a_FRA_x000a_WL" dataDxfId="713" dataCellStyle="Milliers"/>
    <tableColumn id="53" xr3:uid="{B7E5BFCE-2463-411C-B192-41164BD43ADC}" name="COO SACC_x000a_Internal_x000a_all entities" dataDxfId="712"/>
    <tableColumn id="73" xr3:uid="{9A89F963-5E02-43CE-9F8E-6BDAB10CD04E}" name="(SAC)_x000a_FRA_x000a_ex Terminals" dataDxfId="711" dataCellStyle="Milliers"/>
    <tableColumn id="74" xr3:uid="{4616E089-E842-4B56-ADB3-17EAC93E3842}" name="(SAC)_x000a_FRA_x000a_ex Omni Ch." dataDxfId="710" dataCellStyle="Milliers"/>
    <tableColumn id="75" xr3:uid="{B59F8B71-3427-4062-B378-BAB7F12AF887}" name="(SAC)_x000a_FRA_x000a_Ex Operations" dataDxfId="709" dataCellStyle="Milliers"/>
    <tableColumn id="68" xr3:uid="{78C1E5DC-2156-4E0D-92EF-C8673B4413D3}" name="COO PTM_x000a_Internal_x000a_WL entities" dataDxfId="708"/>
    <tableColumn id="69" xr3:uid="{46C74598-ED7E-4C76-A950-9E9DA1226D04}" name="(PTM)_x000a_BEL_x000a_WL" dataDxfId="707" dataCellStyle="Milliers"/>
    <tableColumn id="52" xr3:uid="{7EA2E9CE-16CF-4B3C-9772-CF7571757A66}" name="(PTM)_x000a_FRA_x000a_WL" dataDxfId="706" dataCellStyle="Milliers"/>
    <tableColumn id="76" xr3:uid="{4BCE0E3B-B630-4DC9-BCBC-638DECB9C961}" name="(PTM)_x000a_NLD_x000a_WL" dataDxfId="705" dataCellStyle="Milliers"/>
    <tableColumn id="77" xr3:uid="{D25092FF-BF5B-431A-95BF-182E5E583BCE}" name="(PTM)_x000a_SWE_x000a_WL" dataDxfId="704" dataCellStyle="Milliers"/>
    <tableColumn id="101" xr3:uid="{0F13F2A6-0B8C-45C4-A211-B5BE58B2D7AE}" name="(PTM)_x000a_GER_x000a_WL" dataDxfId="703" dataCellStyle="Milliers"/>
    <tableColumn id="78" xr3:uid="{C4D74F64-1E97-469E-8D82-721A87373088}" name="(PTM)_x000a_BRA_x000a_WL" dataDxfId="702" dataCellStyle="Milliers"/>
    <tableColumn id="79" xr3:uid="{920A114E-E078-4E3B-AFF2-8EA3B11454D2}" name="COO PTM_x000a_Internal_x000a_SPS/Other entities" dataDxfId="701"/>
    <tableColumn id="80" xr3:uid="{7F78BDCA-DB1C-40AB-83F2-E27448D2F8A0}" name="(PTM)_x000a_CHE_x000a_SPS" dataDxfId="700" dataCellStyle="Milliers"/>
    <tableColumn id="81" xr3:uid="{DDCAB106-BDE7-4344-AC2E-3E40878E4C91}" name="(PTM)_x000a_AUT_x000a_SPS" dataDxfId="699" dataCellStyle="Milliers"/>
    <tableColumn id="82" xr3:uid="{6C49B5A2-A8E4-4B55-89CF-275959E4DC35}" name="(PTM)_x000a_GER_x000a_SPS" dataDxfId="698" dataCellStyle="Milliers"/>
    <tableColumn id="83" xr3:uid="{06D9306E-9B45-47FA-A75A-7D8CBB79A142}" name="(PTM)_x000a_POL_x000a_SPS" dataDxfId="697" dataCellStyle="Milliers"/>
    <tableColumn id="92" xr3:uid="{43E2218D-C3B5-4BBC-841E-54CD0B42FE22}" name="(PTM)_x000a_CZE_x000a_Cataps" dataDxfId="696" dataCellStyle="Milliers"/>
    <tableColumn id="85" xr3:uid="{A05707E9-7730-4CBC-B080-41CE4942C154}" name="COO CS_x000a_Internal_x000a_WL entities" dataDxfId="695"/>
    <tableColumn id="86" xr3:uid="{9177B778-4282-4493-86EF-D49FEA10D232}" name="(CCS)_x000a_BEL_x000a_WL" dataDxfId="694" dataCellStyle="Milliers"/>
    <tableColumn id="87" xr3:uid="{8D16419A-5ED9-4EB9-ADF1-6358D62EB006}" name="(CCS)_x000a_FRA_x000a_WL" dataDxfId="693" dataCellStyle="Milliers"/>
    <tableColumn id="88" xr3:uid="{9C350124-0F68-4D8E-B29D-B7D48C42171C}" name="(CCS)_x000a_NLD_x000a_WL" dataDxfId="692" dataCellStyle="Milliers"/>
    <tableColumn id="89" xr3:uid="{94AC563B-EB34-459E-92BC-9751962CAC35}" name="COO CS_x000a_Internal_x000a_SPS entities" dataDxfId="691"/>
    <tableColumn id="129" xr3:uid="{C7F3DBAA-7BA9-4567-BA0B-9F5134FE5DF3}" name="(CCS)_x000a_CHE_x000a_SPS" dataDxfId="690" dataCellStyle="Milliers"/>
    <tableColumn id="128" xr3:uid="{9667B303-1B76-4787-80F5-95C961A2338C}" name="(CCS)_x000a_LUX_x000a_SPS" dataDxfId="689" dataCellStyle="Milliers"/>
    <tableColumn id="127" xr3:uid="{61D70D2B-7E18-490F-9366-C2A8F5926C0E}" name="(CCS)_x000a_AUT_x000a_SPS" dataDxfId="688" dataCellStyle="Milliers"/>
    <tableColumn id="126" xr3:uid="{D7B5A2E3-EC30-4FDB-AC34-9D904A6D1203}" name="(CCS)_x000a_GER_x000a_SPS" dataDxfId="687" dataCellStyle="Milliers"/>
    <tableColumn id="125" xr3:uid="{76EBDBCB-5EA7-481A-B3C7-B88FFD4293D5}" name="(CCS)_x000a_POL_x000a_SPS" dataDxfId="686" dataCellStyle="Milliers"/>
    <tableColumn id="124" xr3:uid="{DEA42AB0-34ED-4722-B948-6D5F1106C358}" name="COO CS_x000a_Internal_x000a_Other entities" dataDxfId="685"/>
    <tableColumn id="123" xr3:uid="{75EE3727-2C6D-4730-9490-197F7C2D97B4}" name="(CCS)_x000a_NLD_x000a_PSQ" dataDxfId="684" dataCellStyle="Milliers"/>
    <tableColumn id="122" xr3:uid="{57A00AEE-43DC-486E-8948-932145CB23CA}" name="(CCS)_x000a_POL_x000a_PSQ" dataDxfId="683" dataCellStyle="Milliers"/>
    <tableColumn id="121" xr3:uid="{248B1AD4-93C2-4A60-AC7D-C52CEA8911A1}" name="(CCS)_x000a_CZE_x000a_Cataps" dataDxfId="682" dataCellStyle="Milliers"/>
    <tableColumn id="120" xr3:uid="{0D3F57B7-A5AC-4B7B-9E54-A382B3ECA99D}" name="COO BSA_x000a_Internal_x000a_all entities" dataDxfId="681"/>
    <tableColumn id="119" xr3:uid="{E27767E0-5380-4FEE-B677-7DD69EC8B984}" name="(BSA)_x000a_BEL_x000a_WL" dataDxfId="680" dataCellStyle="Milliers"/>
    <tableColumn id="118" xr3:uid="{637B358B-3E6E-4D84-8A3E-90E73D082ACC}" name="(BSA)_x000a_AUS_x000a_WL" dataDxfId="679" dataCellStyle="Milliers"/>
    <tableColumn id="117" xr3:uid="{96C77689-C28E-4628-9590-DEE7755DBCB7}" name="(BSA)_x000a_NLD_x000a_WL" dataDxfId="678" dataCellStyle="Milliers"/>
    <tableColumn id="70" xr3:uid="{E45100AA-B413-46D2-8CBB-04D602BA84F2}" name="(BSA)_x000a_CHE_x000a_SPS" dataDxfId="677" dataCellStyle="Milliers"/>
    <tableColumn id="19" xr3:uid="{3EF59210-0B8F-495F-BBEE-48FCA3FE03BC}" name="(BSA)_x000a_POL" dataDxfId="676" dataCellStyle="Milliers"/>
    <tableColumn id="18" xr3:uid="{FB608C4C-82F8-4438-BCB0-2B078D1D80CB}" name="(BSA)_x000a_FRA" dataDxfId="675" dataCellStyle="Milliers"/>
    <tableColumn id="116" xr3:uid="{EF573387-6149-4A1C-829A-83CA7D70B9CB}" name="(BSA)_x000a_GER" dataDxfId="674" dataCellStyle="Milliers"/>
    <tableColumn id="115" xr3:uid="{3DFAA091-5F5B-4613-B796-3D6B56B099F6}" name="Chief Market Officer_x000a_Internal_x000a_all entities" dataDxfId="673"/>
    <tableColumn id="114" xr3:uid="{F3451F82-F700-45A6-A492-ACD1589BF5D6}" name="(CMA)_x000a_All_x000a_any entity" dataDxfId="672" dataCellStyle="Milliers"/>
    <tableColumn id="139" xr3:uid="{3D3B7823-4CB1-4CB3-B59A-F106BE09CC22}" name="GTM FI_x000a_Internal_x000a_all entities" dataDxfId="671" dataCellStyle="Milliers"/>
    <tableColumn id="150" xr3:uid="{DF6D8F8F-F15D-42CA-87B5-824A48E37DEB}" name="(GTM)_x000a_All_x000a_any entity" dataDxfId="670" dataCellStyle="Milliers"/>
    <tableColumn id="113" xr3:uid="{E38B1B96-479A-4CC5-8686-DC41D645F1DF}" name="Financial Services_x000a_Outsourced_x000a_all entities" dataDxfId="669"/>
    <tableColumn id="108" xr3:uid="{1AB7FF66-CAFE-4252-9D7A-457FEA7F3C4D}" name="(FIS)_x000a_All_x000a_any entity" dataDxfId="668" dataCellStyle="Milliers"/>
    <tableColumn id="110" xr3:uid="{EF4A75A8-E25B-4428-8379-FD94CDD5F10C}" name="(FIS)_x000a_BEL_x000a_eWL" dataDxfId="667" dataCellStyle="Milliers"/>
    <tableColumn id="131" xr3:uid="{C9212BB3-736A-45A6-B07E-CBF985EEF0E6}" name="(FIS)_x000a_FRA_x000a_eWL" dataDxfId="666" dataCellStyle="Milliers"/>
    <tableColumn id="130" xr3:uid="{9629566A-F91A-4F04-B61F-F960C52E2A5B}" name="(FIS)_x000a_NLD_x000a_eWL" dataDxfId="665" dataCellStyle="Milliers"/>
    <tableColumn id="111" xr3:uid="{061A2DFB-8124-4400-A211-2C2F1BF7CCBB}" name="(FIS)_x000a_GER_x000a_eWL" dataDxfId="664" dataCellStyle="Milliers"/>
    <tableColumn id="109" xr3:uid="{91CCF027-265F-490B-AC22-0376D63D46E1}" name="(FIS)_x000a_CHE_x000a_SPS FS" dataDxfId="663" dataCellStyle="Milliers"/>
    <tableColumn id="134" xr3:uid="{A4A4B305-F88A-4233-8F26-AE3C8950E757}" name="(FIS)_x000a_SPS Split (26%) BEL" dataDxfId="662" dataCellStyle="Milliers"/>
    <tableColumn id="135" xr3:uid="{90208116-4315-4034-B5A7-4FE7F98C27C7}" name="(FIS)_x000a_SPS % Split_x000a_FO" dataDxfId="661" dataCellStyle="Milliers"/>
    <tableColumn id="136" xr3:uid="{0E50BE56-3879-48C0-B073-159AD49794B8}" name="(FIS)_x000a_SPS % Split_x000a_BO" dataDxfId="660" dataCellStyle="Milliers"/>
    <tableColumn id="133" xr3:uid="{EA5EFBAB-6C9E-4F52-A2E7-31F3568B6174}" name="(FIS)_x000a_SPS Split_x000a_FO (calc)" dataDxfId="659" dataCellStyle="Milliers"/>
    <tableColumn id="132" xr3:uid="{DA0ACAE6-05AE-40B7-BA37-F600B68764CC}" name="(FIS)_x000a_SPS Split_x000a_BO (calc)" dataDxfId="658" dataCellStyle="Milliers"/>
    <tableColumn id="112" xr3:uid="{AF15E9AE-35CB-49C3-BD02-221254A771F5}" name="(FIS)_x000a_SPS Split_x000a_DaMa (calc)" dataDxfId="657" dataCellStyle="Milliers"/>
    <tableColumn id="107" xr3:uid="{51EF6FAC-8E72-478C-9DF2-1A48E6EE4A77}" name="Production Services_x000a_Outsourced_x000a_all entities" dataDxfId="656"/>
    <tableColumn id="106" xr3:uid="{8EDC4622-0CB8-47C8-8E88-F66FD9B81FB5}" name="(PRD)_x000a_ALL_x000a_any entity" dataDxfId="655" dataCellStyle="Milliers"/>
    <tableColumn id="103" xr3:uid="{70397607-3EB1-439C-9BA1-FA6C8EB52C4C}" name="TSS_x000a_Outsourced _x000a_all entities" dataDxfId="654"/>
    <tableColumn id="158" xr3:uid="{1C5DB1B4-84FC-43E5-92F7-2E2985FEB8ED}" name="(TSS)_x000a_CHE_x000a_SPS" dataDxfId="653" dataCellStyle="Milliers"/>
    <tableColumn id="105" xr3:uid="{FFE3EE6A-4B67-49BE-BE97-0AACDF32CD55}" name="(TSS)_x000a_ALL_x000a_any entity" dataDxfId="652" dataCellStyle="Milliers"/>
    <tableColumn id="99" xr3:uid="{6EE787DC-CF8C-4338-8C69-1A702F4047E8}" name="MTS_x000a_Outsourced_x000a_all entities" dataDxfId="651"/>
    <tableColumn id="97" xr3:uid="{A8FE3A47-1533-43DC-84FF-94FFC595832E}" name="(MTS)_x000a_ALL_x000a_any entity" dataDxfId="650" dataCellStyle="Milliers"/>
    <tableColumn id="20" xr3:uid="{EB42570F-F18B-41B7-9011-44429EA5D6B9}" name="Payone_x000a_Outsourced_x000a_all entities" dataDxfId="649" dataCellStyle="Normal 2"/>
    <tableColumn id="63" xr3:uid="{4AFCF481-707A-406D-A133-C8895E71FC9F}" name="(Payone)_x000a_ALL_x000a_any entity" dataDxfId="648" dataCellStyle="Milliers"/>
    <tableColumn id="96" xr3:uid="{82E6AF3F-FE9C-4DFE-8C9F-FB2923D22EEB}" name="Cash Out_x000a_OPEX_x000a_Suppliers" dataDxfId="647"/>
    <tableColumn id="95" xr3:uid="{8E9F442B-3C3F-47C2-A445-E9C135264136}" name="(OPX) _x000a_Supplier Name(s)" dataDxfId="646" dataCellStyle="Milliers"/>
    <tableColumn id="94" xr3:uid="{EC19C570-462A-49A4-9300-8C57C612FF6E}" name="(OPX)_x000a_All SubCo_x000a_Fix price (K€)" dataDxfId="645" dataCellStyle="Milliers"/>
    <tableColumn id="140" xr3:uid="{19B3A203-340E-4BDC-B217-5490A55B43F3}" name="(OPX)_x000a_All Subco_x000a_T&amp;M 1000" dataDxfId="644" dataCellStyle="Milliers"/>
    <tableColumn id="141" xr3:uid="{8861DB63-8BF6-4AC3-BFFD-96B0F2235770}" name="(OPX)_x000a_All Subco_x000a_T&amp;M 700" dataDxfId="643" dataCellStyle="Milliers"/>
    <tableColumn id="142" xr3:uid="{65E28BBA-69D5-4FE0-8F7E-28ED83022229}" name="(OPX)_x000a_All Subco_x000a_T&amp;M 470" dataDxfId="642" dataCellStyle="Milliers"/>
    <tableColumn id="143" xr3:uid="{0DBA31E9-1D52-49EC-BDD6-2703E45E8356}" name="(OPX)_x000a_MAR_x000a_Morocco" dataDxfId="641" dataCellStyle="Milliers"/>
    <tableColumn id="144" xr3:uid="{A1C609C6-4870-4F56-9C10-211A3A225FF6}" name="(OPX)_x000a_IND_x000a_Cybage" dataDxfId="640" dataCellStyle="Milliers"/>
    <tableColumn id="145" xr3:uid="{AAE04651-3769-4D02-8A69-C0496A0CDA3F}" name="(OPX)_x000a_IND_x000a_India" dataDxfId="639" dataCellStyle="Milliers"/>
    <tableColumn id="146" xr3:uid="{E6EE74F0-7040-4EAA-84B1-6F04F81A1273}" name="(OPX)_x000a_BUL_x000a_Bulgaria" dataDxfId="638" dataCellStyle="Milliers"/>
    <tableColumn id="147" xr3:uid="{C76B6EB2-535F-4FEB-B158-D12B442492C2}" name="(OPX)_x000a_ARM_x000a_Armenia" dataDxfId="637" dataCellStyle="Milliers"/>
    <tableColumn id="21" xr3:uid="{3A19AE5E-8377-4E5C-8AB1-1A657FCBE1E8}" name="Cash Out_x000a_CAPEX_x000a_KEUR" dataDxfId="636"/>
    <tableColumn id="148" xr3:uid="{17A03DFF-3365-4D0B-9974-C7DD55E98B5C}" name="(CPX) _x000a_CAPEX_x000a_kEUR" dataDxfId="635" dataCellStyle="Milliers"/>
    <tableColumn id="149" xr3:uid="{6E69C32A-8C33-44AD-A262-FDF7AA4FC533}" name="Capex Comment" dataDxfId="634" dataCellStyle="Milliers"/>
    <tableColumn id="64" xr3:uid="{944ACA81-D1F1-4302-976B-EA603E4C1EA4}" name="Non MS/Not listed Entities" dataDxfId="633" dataCellStyle="Normal 2"/>
    <tableColumn id="156" xr3:uid="{5D65D692-70A6-4B95-9E0D-4E65EB5C7664}" name="(NMS)_x000a_ALL_x000a_Direct" dataDxfId="632" dataCellStyle="Normal 2"/>
    <tableColumn id="155" xr3:uid="{949111DD-9B2E-48EF-A65A-379794D1FA67}" name="(NMS)_x000a_ALL_x000a_Indirect" dataDxfId="631" dataCellStyle="Normal 2"/>
    <tableColumn id="154" xr3:uid="{9D9BE83B-DA86-4718-ACE8-C90A10C3043B}" name="(NMS)_x000a_Non listed entities" dataDxfId="630" dataCellStyle="Normal 2"/>
    <tableColumn id="67" xr3:uid="{321BA402-D96C-48A3-A843-485CC56D33FE}" name="Comments - non listed entities" dataDxfId="629" dataCellStyle="Normal 2"/>
    <tableColumn id="71" xr3:uid="{61EE5DFF-262E-43B0-9F98-97B73BAB861C}" name="Costs for Move to Cloud (2022) " dataDxfId="628" dataCellStyle="Normal 2"/>
    <tableColumn id="72" xr3:uid="{272F380E-3F9A-4308-BB2F-CB54016F1F45}" name="Full (multi year) project estimated budget (in k€)" dataDxfId="627" dataCellStyle="Normal 2"/>
    <tableColumn id="91" xr3:uid="{A24B8D21-51B4-4B1E-84A7-2F1C1127CE4F}" name="TOTAL 2022 in mandays" dataDxfId="626" dataCellStyle="Normal 2"/>
    <tableColumn id="157" xr3:uid="{1F26AF87-0120-49AE-8635-24EED9D2F772}" name="RowID" dataDxfId="625" dataCellStyle="Normal 2">
      <calculatedColumnFormula array="1">ROW()-ROW(New[#Headers])</calculatedColumnFormula>
    </tableColumn>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2613D9-561D-45FB-92E6-8BFB2BE4BC92}" name="Ongoing" displayName="Ongoing" ref="B6:FP400" totalsRowShown="0" headerRowDxfId="624" dataDxfId="623" headerRowCellStyle="Normal 2" dataCellStyle="Normal 2">
  <autoFilter ref="B6:FP400" xr:uid="{31EAF01B-5F71-4947-AD31-EB0BAB55E955}"/>
  <tableColumns count="171">
    <tableColumn id="27" xr3:uid="{52046D4B-0070-4886-B793-539DF9289CAD}" name="Given ID_x000a_by PMO" dataDxfId="622" dataCellStyle="Normal 2"/>
    <tableColumn id="2" xr3:uid="{41278497-8F5D-429C-8C6A-2235044F8ABD}" name="Initiative Name" dataDxfId="621" dataCellStyle="Normal 2"/>
    <tableColumn id="5" xr3:uid="{8C017D3C-010B-47B2-9F7F-083AE816515F}" name="Portfolio Classification" dataDxfId="620" dataCellStyle="Normal 2"/>
    <tableColumn id="4" xr3:uid="{CC364F2A-4A2B-4518-91D8-2040927AFD62}" name="Leading entity/platform" dataDxfId="619" dataCellStyle="Normal 2"/>
    <tableColumn id="31" xr3:uid="{FB9C7D87-6880-4CCC-9641-E3E895390383}" name="Strategic_x000a_Program L1" dataDxfId="618" dataCellStyle="Normal 2"/>
    <tableColumn id="6" xr3:uid="{147D0D23-B33C-40BB-B4F9-6B1D1E0D0ED8}" name="Activity Type" dataDxfId="617" dataCellStyle="Normal 2"/>
    <tableColumn id="7" xr3:uid="{C77B49D3-32A2-4375-84B1-A06EF0529B6B}" name="New Product_x000a_Indicator" dataDxfId="616" dataCellStyle="Normal 2"/>
    <tableColumn id="30" xr3:uid="{C1490104-ECA3-47A6-AB5F-B59E5864B6DF}" name="Group Offering" dataDxfId="615" dataCellStyle="Normal 2"/>
    <tableColumn id="29" xr3:uid="{BF25BFE1-48D2-4669-836F-177B1DD7716D}" name="SPOC: Requestor/Owner_x000a_(unit / person)" dataDxfId="614" dataCellStyle="Normal 2"/>
    <tableColumn id="28" xr3:uid="{304F8E99-0E21-43F8-A8D4-2932776DCD20}" name="Estimated_x000a_CAPI %" dataDxfId="613" dataCellStyle="Normal 2"/>
    <tableColumn id="16" xr3:uid="{DEEE14D9-4C97-4741-93D8-A36370511420}" name="Estimated_x000a_OOI %" dataDxfId="612" dataCellStyle="Normal 2"/>
    <tableColumn id="8" xr3:uid="{FEB48124-5B15-41C4-91DC-DCFC1FE3A023}" name="Estimated_x000a_Start Date" dataDxfId="611" dataCellStyle="Normal 2"/>
    <tableColumn id="9" xr3:uid="{92988795-D99B-4557-9FC8-D68BB0A68263}" name="Estimated_x000a_End Date" dataDxfId="610" dataCellStyle="Normal 2"/>
    <tableColumn id="10" xr3:uid="{7CF04F6D-5C7F-4DD2-8A3A-7A670D0062C9}" name="Comment, description,_x000a_rationale, strategic impact" dataDxfId="609" dataCellStyle="Normal 2"/>
    <tableColumn id="12" xr3:uid="{3A0D76C7-FEA6-4634-8C1C-47B18E6E902F}" name="Acceptance_x000a_Internal_x000a_All entities" dataDxfId="608" dataCellStyle="Milliers"/>
    <tableColumn id="13" xr3:uid="{BA3A6180-A210-453E-A51C-6F09B290D09C}" name="(ACC)_x000a_ARG_x000a_Sub1" dataDxfId="607" dataCellStyle="Milliers"/>
    <tableColumn id="14" xr3:uid="{4E79E145-8EBD-4DC3-9216-AFA9FF138D4E}" name="(ACC)_x000a_AUS_x000a_IPP" dataDxfId="606" dataCellStyle="Milliers"/>
    <tableColumn id="22" xr3:uid="{37F35A33-18E1-424C-8F89-3C4F60152958}" name="(ACC)_x000a_BEL_x000a_WLOC" dataDxfId="605" dataCellStyle="Milliers"/>
    <tableColumn id="23" xr3:uid="{4FE020A8-9C8F-4EB7-AD66-71959A2E2C45}" name="(ACC)_x000a_CHE_x000a_Saferpay" dataDxfId="604" dataCellStyle="Milliers"/>
    <tableColumn id="24" xr3:uid="{EABB9F96-48BD-490C-83EE-F6C4E74C8958}" name="(ACC)_x000a_CZE_x000a_GoPay" dataDxfId="603" dataCellStyle="Milliers"/>
    <tableColumn id="25" xr3:uid="{3623642B-F2EE-4FD4-B11D-293CB88FEB27}" name="(ACC)_x000a_FRA_x000a_AXIS" dataDxfId="602" dataCellStyle="Milliers"/>
    <tableColumn id="26" xr3:uid="{92ADFA83-9570-4DCE-A958-F10BC14F7E0A}" name="(ACC)_x000a_FRA_x000a_SACC" dataDxfId="601" dataCellStyle="Milliers"/>
    <tableColumn id="3" xr3:uid="{E3C25DC8-93ED-46C0-8861-340BC10A5805}" name="(ACC)_x000a_FRA_x000a_SIPS" dataDxfId="600" dataCellStyle="Milliers"/>
    <tableColumn id="100" xr3:uid="{0C50B729-DDDE-4750-92A9-CB6E4113C8A8}" name="(ACC)_x000a_FRA_x000a_Back-Office" dataDxfId="599" dataCellStyle="Milliers"/>
    <tableColumn id="11" xr3:uid="{38A8A75B-E2F4-4FD8-9861-61C9B67ED05E}" name="(ACC)_x000a_GER_x000a_Payone" dataDxfId="598" dataCellStyle="Milliers"/>
    <tableColumn id="32" xr3:uid="{DC0BB718-4D19-4905-BE94-D164E8F9084C}" name="(ACC)_x000a_AUT_x000a_Payunity" dataDxfId="597" dataCellStyle="Milliers"/>
    <tableColumn id="33" xr3:uid="{73E3CC9F-62E2-4911-B204-8C7B6DD4E674}" name="(ACC)_x000a_GRC_x000a_Cardlink" dataDxfId="596" dataCellStyle="Milliers"/>
    <tableColumn id="34" xr3:uid="{FFC62DA9-59DD-4070-A0C9-4EF3907BAD74}" name="(ACC)_x000a_IND_x000a_India TP" dataDxfId="595" dataCellStyle="Milliers"/>
    <tableColumn id="35" xr3:uid="{30A7AE83-8652-4A25-8EC5-0CD1961CC8C1}" name="(ACC)_x000a_ITA_x000a_Axxepta" dataDxfId="594" dataCellStyle="Milliers"/>
    <tableColumn id="40" xr3:uid="{CAE358B4-0881-4525-865C-F168E83B6F90}" name="(ACC)_x000a_NAR_x000a_Beanstream / Roam" dataDxfId="593" dataCellStyle="Milliers"/>
    <tableColumn id="41" xr3:uid="{FD0DBC24-68FA-4CEA-835E-4485C9C2A141}" name="(ACC)_x000a_NLD_x000a_GC" dataDxfId="592" dataCellStyle="Milliers"/>
    <tableColumn id="42" xr3:uid="{104E6958-9387-470E-8FCB-607E6BF8186B}" name="(ACC)_x000a_SPA_x000a_Connexflow" dataDxfId="591" dataCellStyle="Milliers"/>
    <tableColumn id="43" xr3:uid="{8C5066E8-28DC-4E59-8D58-61F073EB5607}" name="(ACC)_x000a_SPA_x000a_CSACT" dataDxfId="590" dataCellStyle="Milliers"/>
    <tableColumn id="39" xr3:uid="{9FFE4811-A21F-4D3C-860C-868558D85C0E}" name="(ACC)_x000a_SWE_x000a_BB Samport" dataDxfId="589" dataCellStyle="Milliers"/>
    <tableColumn id="38" xr3:uid="{8C08A6D0-FF79-45DE-8FE4-970C84D89CA7}" name="(ACC)_x000a_SWE_x000a_BOL" dataDxfId="588" dataCellStyle="Milliers"/>
    <tableColumn id="102" xr3:uid="{4B075913-B613-4E85-9F84-D7359F62E7CE}" name="(ACC)_x000a_SWE_x000a_Back-Office" dataDxfId="587" dataCellStyle="Milliers"/>
    <tableColumn id="37" xr3:uid="{86C9093D-25C8-49C7-BABC-9FC714DF1A29}" name="(ACC)_x000a_SWE_x000a_Devcode" dataDxfId="586" dataCellStyle="Milliers"/>
    <tableColumn id="36" xr3:uid="{77B02D12-FC3A-4A20-BA45-69B29BEEEB0B}" name="(ACC)_x000a_SWE_x000a_OCH" dataDxfId="585" dataCellStyle="Milliers"/>
    <tableColumn id="15" xr3:uid="{C21DB2B1-0A7D-4C10-9D69-74344A4FF89C}" name="(ACC)_x000a_SWE_x000a_WOPA" dataDxfId="584" dataCellStyle="Milliers"/>
    <tableColumn id="98" xr3:uid="{443FAA64-8538-4FE8-9C19-421FA59AE83B}" name="(ACC)_x000a_GER_x000a_cCredit" dataDxfId="583" dataCellStyle="Milliers"/>
    <tableColumn id="17" xr3:uid="{BAFFB73A-B0B1-46F8-AAA0-FFEEB6820B6E}" name="(ACC)_x000a_ALL_x000a_ Shared services" dataDxfId="582" dataCellStyle="Milliers"/>
    <tableColumn id="47" xr3:uid="{30E23674-0051-4A50-80AC-E64F6069EA74}" name="Com Acquiring_x000a_Internal_x000a_all entities" dataDxfId="581" dataCellStyle="Milliers"/>
    <tableColumn id="48" xr3:uid="{5A48AEBB-CF65-4D44-AECB-21F55AD53D1E}" name="(CAQ)_x000a_BEL_x000a_WL" dataDxfId="580" dataCellStyle="Milliers"/>
    <tableColumn id="49" xr3:uid="{6BFCA3BF-7724-472A-BE34-F6ED2C19B3EA}" name="(CAQ)_x000a_FRA_x000a_WL" dataDxfId="579" dataCellStyle="Milliers"/>
    <tableColumn id="44" xr3:uid="{4048D8C1-4295-4897-B34B-43FE21F37225}" name="(CAQ)_x000a_CHE_x000a_SPS" dataDxfId="578" dataCellStyle="Milliers"/>
    <tableColumn id="45" xr3:uid="{A849B606-9B70-4154-909C-CE77EB0BCFFB}" name="(CAQ)_x000a_ALL_x000a_BB" dataDxfId="577" dataCellStyle="Milliers"/>
    <tableColumn id="46" xr3:uid="{A35E2844-5567-4C02-92FC-79360BAEC79A}" name="Digital Services_x000a_Internal_x000a_all entities" dataDxfId="576" dataCellStyle="Milliers"/>
    <tableColumn id="61" xr3:uid="{641214FE-34E1-4056-8653-747BFDED3405}" name="(DIG)_x000a_BEL_x000a_WL" dataDxfId="575" dataCellStyle="Milliers"/>
    <tableColumn id="60" xr3:uid="{B55EC905-4632-45B9-8DBA-6BD0721C5F4C}" name="(DIG)_x000a_FRA_x000a_WL" dataDxfId="574" dataCellStyle="Milliers"/>
    <tableColumn id="59" xr3:uid="{E541D790-C48D-474B-A58D-93B2D0876484}" name="(DIG)_x000a_NLD_x000a_WL" dataDxfId="573" dataCellStyle="Milliers"/>
    <tableColumn id="58" xr3:uid="{A4AFB9EF-AA21-41BF-9F2E-690B670F1DD8}" name="(DIG)_x000a_AUT_x000a_SPS" dataDxfId="572" dataCellStyle="Milliers"/>
    <tableColumn id="57" xr3:uid="{F7205ABA-5BA4-449B-A81E-6A075BC93E7E}" name="(DIG)_x000a_CHE_x000a_SPS" dataDxfId="571" dataCellStyle="Milliers"/>
    <tableColumn id="104" xr3:uid="{6F14459B-10C5-444F-BF03-40A6BD1E47FA}" name="(DIG)_x000a_FRA_x000a_ING" dataDxfId="570" dataCellStyle="Milliers"/>
    <tableColumn id="93" xr3:uid="{7A0B46C6-F511-404F-A385-35766DAA0598}" name="(DIG)_x000a_GER_x000a_WL" dataDxfId="569" dataCellStyle="Milliers"/>
    <tableColumn id="90" xr3:uid="{81D248C1-E3E1-4CBD-A635-B9608A78995A}" name="(DIG)_x000a_GER_x000a_SPS" dataDxfId="568" dataCellStyle="Milliers"/>
    <tableColumn id="163" xr3:uid="{CF094500-80DD-4B34-A1FD-42DDB38B4B1E}" name="(DIG)_x000a_POL_x000a_SPS" dataDxfId="567" dataCellStyle="Milliers"/>
    <tableColumn id="84" xr3:uid="{90AC5136-44C6-4D42-B9D9-1D1CFE61268B}" name="(DIG)_x000a_CZE_x000a_Cataps" dataDxfId="566" dataCellStyle="Milliers"/>
    <tableColumn id="1" xr3:uid="{E66C0129-C0F6-4DDB-8DE9-9F94D5AD78C9}" name="(DIG)_x000a_AUS_x000a_WL" dataDxfId="565" dataCellStyle="Milliers"/>
    <tableColumn id="56" xr3:uid="{F0B55A2F-B598-41D0-BCF7-A295636A884C}" name="(DIG)_x000a_NLD_x000a_ING" dataDxfId="564" dataCellStyle="Milliers"/>
    <tableColumn id="55" xr3:uid="{B8B712A0-7D13-4EF4-8337-840CE290C46E}" name="E2E Architects &amp; Programs_x000a_Internal_x000a_all entities" dataDxfId="563" dataCellStyle="Milliers"/>
    <tableColumn id="51" xr3:uid="{2B0FCE6E-5963-4205-89DE-5922E0EEE6D9}" name="(E2E)_x000a_BEL_x000a_WL" dataDxfId="562" dataCellStyle="Milliers"/>
    <tableColumn id="62" xr3:uid="{DD723675-CDC8-42BB-A25E-D0C5A5D4A7C0}" name="(E2E)_x000a_FRA_x000a_WL" dataDxfId="561" dataCellStyle="Milliers"/>
    <tableColumn id="166" xr3:uid="{8CE3BCC0-3C76-4F5D-80F9-AB688BA0AD7F}" name="(E2E)_x000a_NLD_x000a_WL" dataDxfId="560" dataCellStyle="Milliers"/>
    <tableColumn id="165" xr3:uid="{0EDA40FF-E3D9-4550-AF6E-E5FA8B9F338A}" name="(E2E)_x000a_SPA_x000a_WL" dataDxfId="559" dataCellStyle="Milliers"/>
    <tableColumn id="164" xr3:uid="{6B6B411F-00A4-4329-8573-92BCA302FC91}" name="(E2E)_x000a_XXX_x000a_WL" dataDxfId="558" dataCellStyle="Milliers"/>
    <tableColumn id="50" xr3:uid="{1DB22EE1-F275-4B49-866C-9762C6D788BB}" name="(E2E)_x000a_CHE_x000a_SPS" dataDxfId="557" dataCellStyle="Milliers"/>
    <tableColumn id="54" xr3:uid="{3C4682E7-22F1-414D-A3F9-56CA38B336FC}" name="Chief Merchant Officer_x000a_Internal_x000a_all entities" dataDxfId="556" dataCellStyle="Milliers"/>
    <tableColumn id="65" xr3:uid="{C735A305-37C3-4B1C-A10F-C748F088BB58}" name="(CMO)_x000a_CHE_x000a_SPS" dataDxfId="555" dataCellStyle="Milliers"/>
    <tableColumn id="66" xr3:uid="{89BBDC5B-BE95-4D41-B287-EF7E2F4F2272}" name="(CMO)_x000a_FRA_x000a_WL" dataDxfId="554" dataCellStyle="Milliers"/>
    <tableColumn id="53" xr3:uid="{1FE56F0F-98A1-4935-A71F-2EFACAE8706B}" name="COO SACC_x000a_Internal_x000a_all entities" dataDxfId="553" dataCellStyle="Milliers"/>
    <tableColumn id="73" xr3:uid="{D25E07CF-3F34-425F-93AA-C085B089E125}" name="(SAC)_x000a_FRA_x000a_ex Terminals" dataDxfId="552" dataCellStyle="Milliers"/>
    <tableColumn id="74" xr3:uid="{FC4CA9FE-DA29-4B7D-A530-4F7FD61AC91D}" name="(SAC)_x000a_FRA_x000a_ex Omni Ch." dataDxfId="551" dataCellStyle="Milliers"/>
    <tableColumn id="75" xr3:uid="{97E7836C-E1D6-45E0-A16E-C31B3172F33E}" name="(SAC)_x000a_FRA_x000a_Ex Operations" dataDxfId="550" dataCellStyle="Milliers"/>
    <tableColumn id="68" xr3:uid="{8B7914F9-91CF-4DFA-8061-3FED9ECECCD2}" name="COO PTM_x000a_Internal_x000a_WL entities" dataDxfId="549" dataCellStyle="Milliers"/>
    <tableColumn id="69" xr3:uid="{A9D1ACB4-9657-4047-8369-11F1A23AA9C7}" name="(PTM)_x000a_BEL_x000a_WL" dataDxfId="548" dataCellStyle="Milliers"/>
    <tableColumn id="52" xr3:uid="{E58DAFDA-8CA5-435F-9EB5-7D69543BFBF4}" name="(PTM)_x000a_FRA_x000a_WL" dataDxfId="547" dataCellStyle="Milliers"/>
    <tableColumn id="76" xr3:uid="{ED8A48B4-9108-4BA5-BEEA-932A821F2DE4}" name="(PTM)_x000a_NLD_x000a_WL" dataDxfId="546" dataCellStyle="Milliers"/>
    <tableColumn id="77" xr3:uid="{476EF3F2-151C-49EC-98DD-1879755F36FE}" name="(PTM)_x000a_SWE_x000a_WL" dataDxfId="545" dataCellStyle="Milliers"/>
    <tableColumn id="101" xr3:uid="{43923066-5B35-4CEB-BF66-AB00EDAAA030}" name="(PTM)_x000a_GER_x000a_WL" dataDxfId="544" dataCellStyle="Milliers"/>
    <tableColumn id="78" xr3:uid="{1823CA06-16E0-4F78-8E86-9CD454143AAB}" name="(PTM)_x000a_BRA_x000a_WL" dataDxfId="543" dataCellStyle="Milliers"/>
    <tableColumn id="79" xr3:uid="{15451849-E85A-455F-8ED2-E7AFCA3CC614}" name="COO PTM_x000a_Internal_x000a_SPS/Other entities" dataDxfId="542" dataCellStyle="Milliers"/>
    <tableColumn id="80" xr3:uid="{C8346D08-8F1A-4E1B-BF90-0A3B4B194398}" name="(PTM)_x000a_CHE_x000a_SPS" dataDxfId="541" dataCellStyle="Milliers"/>
    <tableColumn id="81" xr3:uid="{1EA46F47-B66A-46DD-8E72-9E2C5F66A9FD}" name="(PTM)_x000a_AUT_x000a_SPS" dataDxfId="540" dataCellStyle="Milliers"/>
    <tableColumn id="82" xr3:uid="{8EBD2621-A7E6-4BC9-BF52-7DB14EC37F6C}" name="(PTM)_x000a_GER_x000a_SPS" dataDxfId="539" dataCellStyle="Milliers"/>
    <tableColumn id="83" xr3:uid="{9CA1CC5D-C193-4372-BA0A-FD4CA3CF590F}" name="(PTM)_x000a_POL_x000a_SPS" dataDxfId="538" dataCellStyle="Milliers"/>
    <tableColumn id="92" xr3:uid="{A992839C-2189-41CE-89FB-182A179DB01D}" name="(PTM)_x000a_CZE_x000a_Cataps" dataDxfId="537" dataCellStyle="Milliers"/>
    <tableColumn id="85" xr3:uid="{8162A662-AEEE-4D99-881E-57E35CA2E64D}" name="COO CS_x000a_Internal_x000a_WL entities" dataDxfId="536" dataCellStyle="Milliers"/>
    <tableColumn id="86" xr3:uid="{7EF5FEB8-B7ED-4A14-BB88-9F8B860459F7}" name="(CCS)_x000a_BEL_x000a_WL" dataDxfId="535" dataCellStyle="Milliers"/>
    <tableColumn id="87" xr3:uid="{3A2B6038-3872-490D-9CAC-EB129EB8CA75}" name="(CCS)_x000a_FRA_x000a_WL" dataDxfId="534" dataCellStyle="Milliers"/>
    <tableColumn id="88" xr3:uid="{A61D40D0-2AE7-4C64-A258-D20F7E338E38}" name="(CCS)_x000a_NLD_x000a_WL" dataDxfId="533" dataCellStyle="Milliers"/>
    <tableColumn id="89" xr3:uid="{8AD61A94-C4E6-446D-AA21-571B72845A65}" name="COO CS_x000a_Internal_x000a_SPS entities" dataDxfId="532" dataCellStyle="Milliers"/>
    <tableColumn id="129" xr3:uid="{DB94ABC7-D83C-4A3C-9A89-5847C19837DE}" name="(CCS)_x000a_CHE_x000a_SPS" dataDxfId="531" dataCellStyle="Milliers"/>
    <tableColumn id="128" xr3:uid="{9177514E-563D-48FE-B649-4C0F06112D3A}" name="(CCS)_x000a_LUX_x000a_SPS" dataDxfId="530" dataCellStyle="Milliers"/>
    <tableColumn id="127" xr3:uid="{1C4F8B5D-B1D8-47D2-8B75-D4476C86E5DD}" name="(CCS)_x000a_AUT_x000a_SPS" dataDxfId="529" dataCellStyle="Milliers"/>
    <tableColumn id="126" xr3:uid="{D64AB0A6-FFC6-4559-BD91-CDA74E68A250}" name="(CCS)_x000a_GER_x000a_SPS" dataDxfId="528" dataCellStyle="Milliers"/>
    <tableColumn id="125" xr3:uid="{7FA0EBD5-7C1F-4A5A-AAEA-AB5DE2471E9A}" name="(CCS)_x000a_POL_x000a_SPS" dataDxfId="527" dataCellStyle="Milliers"/>
    <tableColumn id="124" xr3:uid="{4F6BA66D-7860-4E6F-B92E-09603A496C1E}" name="COO CS_x000a_Internal_x000a_Other entities" dataDxfId="526" dataCellStyle="Milliers"/>
    <tableColumn id="123" xr3:uid="{967A64B2-C59D-4ED5-98F1-2B6EB94345B4}" name="(CCS)_x000a_NLD_x000a_PSQ" dataDxfId="525" dataCellStyle="Milliers"/>
    <tableColumn id="122" xr3:uid="{D3598AB8-D756-4948-A2C0-B9DAF1884098}" name="(CCS)_x000a_POL_x000a_PSQ" dataDxfId="524" dataCellStyle="Milliers"/>
    <tableColumn id="121" xr3:uid="{34ABD594-628D-49A0-A1B6-31EDA977C582}" name="(CCS)_x000a_CZE_x000a_Cataps" dataDxfId="523" dataCellStyle="Milliers"/>
    <tableColumn id="120" xr3:uid="{CB767371-1966-43E4-85E7-DEDA444019A6}" name="COO BSA_x000a_Internal_x000a_all entities" dataDxfId="522" dataCellStyle="Milliers"/>
    <tableColumn id="119" xr3:uid="{71FEE232-A2B6-4422-B5E7-5EEC715620B4}" name="(BSA)_x000a_BEL_x000a_WL" dataDxfId="521" dataCellStyle="Milliers"/>
    <tableColumn id="118" xr3:uid="{7D9D99E6-7A51-4B88-A917-1C1FD29DC588}" name="(BSA)_x000a_AUS_x000a_WL" dataDxfId="520" dataCellStyle="Milliers"/>
    <tableColumn id="117" xr3:uid="{03D2B74E-C2C9-4398-A9FB-E2E4C1D6623A}" name="(BSA)_x000a_NLD_x000a_WL" dataDxfId="519" dataCellStyle="Milliers"/>
    <tableColumn id="70" xr3:uid="{1DBEC73B-E4D5-419C-A683-F219B5E18410}" name="(BSA)_x000a_CHE_x000a_SPS" dataDxfId="518" dataCellStyle="Milliers"/>
    <tableColumn id="19" xr3:uid="{384A7D21-8322-442F-9425-B8E6502BF02B}" name="(BSA)_x000a_POL" dataDxfId="517" dataCellStyle="Milliers"/>
    <tableColumn id="18" xr3:uid="{6275C7C4-E7A3-4200-9EBA-DEB616528C9D}" name="(BSA)_x000a_FRA" dataDxfId="516" dataCellStyle="Milliers"/>
    <tableColumn id="116" xr3:uid="{AC54B835-C613-4A9B-B86A-135A572E5022}" name="(BSA)_x000a_GER" dataDxfId="515" dataCellStyle="Milliers"/>
    <tableColumn id="115" xr3:uid="{8CE2571A-7A3E-4978-964D-0176A17D81D8}" name="Chief Market Officer_x000a_Internal_x000a_all entities" dataDxfId="514" dataCellStyle="Milliers"/>
    <tableColumn id="114" xr3:uid="{B235D5BE-007E-4111-8026-D5CEFE992C84}" name="(CMA)_x000a_All_x000a_any entity" dataDxfId="513" dataCellStyle="Milliers"/>
    <tableColumn id="157" xr3:uid="{72F75451-4BE7-417C-B422-839E555F0689}" name="GTM FI_x000a_Internal_x000a_all entities" dataDxfId="512" dataCellStyle="Milliers"/>
    <tableColumn id="158" xr3:uid="{F2B20CE5-272F-49DE-AD6F-BBF66A339567}" name="(GTM)_x000a_All_x000a_any entity" dataDxfId="511" dataCellStyle="Milliers"/>
    <tableColumn id="113" xr3:uid="{BA508472-9732-4373-97B7-A8FC9220B9CF}" name="Financial Services_x000a_Outsourced_x000a_all entities" dataDxfId="510" dataCellStyle="Milliers"/>
    <tableColumn id="108" xr3:uid="{DDCD6649-8D1C-40D1-A9B9-0A9A0FB2D60E}" name="(FIS)_x000a_All_x000a_any entity" dataDxfId="509" dataCellStyle="Milliers"/>
    <tableColumn id="110" xr3:uid="{0D2671F4-56A0-47EF-914E-95EA1B77971C}" name="(FIS)_x000a_BEL_x000a_eWL" dataDxfId="508" dataCellStyle="Milliers"/>
    <tableColumn id="131" xr3:uid="{C4E032BC-38E0-49D4-BCCF-A0B28963A285}" name="(FIS)_x000a_FRA_x000a_eWL" dataDxfId="507" dataCellStyle="Milliers"/>
    <tableColumn id="130" xr3:uid="{DDA063AB-2FB9-49B6-85CF-59569619A8CF}" name="(FIS)_x000a_NLD_x000a_eWL" dataDxfId="506" dataCellStyle="Milliers"/>
    <tableColumn id="111" xr3:uid="{D80CA156-1DC7-4136-967B-1E4898A838A8}" name="(FIS)_x000a_GER_x000a_eWL" dataDxfId="505" dataCellStyle="Milliers"/>
    <tableColumn id="109" xr3:uid="{2154122F-2BF9-450E-BEC4-04B98AFE9FA1}" name="(FIS)_x000a_CHE_x000a_SPS FS" dataDxfId="504" dataCellStyle="Milliers"/>
    <tableColumn id="134" xr3:uid="{514886D0-3834-4959-AC90-9EF539E9C836}" name="(FIS)_x000a_SPS Split (26%) BEL" dataDxfId="503" dataCellStyle="Milliers"/>
    <tableColumn id="135" xr3:uid="{488B9FAC-3944-4D58-905B-386D664F62D3}" name="(FIS)_x000a_SPS % Split_x000a_FO" dataDxfId="502" dataCellStyle="Milliers"/>
    <tableColumn id="136" xr3:uid="{8D65F816-F7EB-4702-99D6-8A5CE710E2CA}" name="(FIS)_x000a_SPS % Split_x000a_BO" dataDxfId="501" dataCellStyle="Milliers"/>
    <tableColumn id="133" xr3:uid="{5E730457-B983-4D96-87DB-B7B0F79B974B}" name="(FIS)_x000a_SPS Split_x000a_FO (calc)" dataDxfId="500" dataCellStyle="Milliers"/>
    <tableColumn id="132" xr3:uid="{CE454FDA-3A7D-429A-AE43-8FFC9C88F6A5}" name="(FIS)_x000a_SPS Split_x000a_BO (calc)" dataDxfId="499" dataCellStyle="Milliers"/>
    <tableColumn id="112" xr3:uid="{A7C083A5-4F29-4262-A022-F97793FD8D1C}" name="(FIS)_x000a_SPS Split_x000a_DaMa (calc)" dataDxfId="498" dataCellStyle="Milliers"/>
    <tableColumn id="107" xr3:uid="{5C0E67BD-FDED-4C48-93D1-9C2643BA5CB3}" name="Production Services_x000a_Outsourced_x000a_all entities" dataDxfId="497" dataCellStyle="Milliers"/>
    <tableColumn id="106" xr3:uid="{50E4F77C-40ED-44DE-9489-AD88BB8A7175}" name="(PRD)_x000a_ALL_x000a_any entity" dataDxfId="496" dataCellStyle="Milliers"/>
    <tableColumn id="103" xr3:uid="{40C36F3C-995E-43EF-8A7D-9E41E50CDE68}" name="TSS_x000a_Outsourced _x000a_all entities" dataDxfId="495" dataCellStyle="Milliers"/>
    <tableColumn id="168" xr3:uid="{D57A4C99-8817-4537-AF0D-E6F217589728}" name="(TSS)_x000a_CHE_x000a_SPS" dataDxfId="494" dataCellStyle="Milliers"/>
    <tableColumn id="105" xr3:uid="{32FDB7AE-B743-49C8-B7F2-BD2208ABB361}" name="(TSS)_x000a_ALL_x000a_any entity" dataDxfId="493" dataCellStyle="Milliers"/>
    <tableColumn id="99" xr3:uid="{AF5E9A1F-18D0-419E-B4E5-CA0955563D4C}" name="MTS_x000a_Outsourced_x000a_all entities" dataDxfId="492" dataCellStyle="Milliers"/>
    <tableColumn id="97" xr3:uid="{7D179B3F-F2C2-48C5-A02A-FF2E66B56BE8}" name="(MTS)_x000a_ALL_x000a_any entity" dataDxfId="491" dataCellStyle="Milliers"/>
    <tableColumn id="20" xr3:uid="{CF642198-226D-4BC4-A236-32FF455702C8}" name="Payone_x000a_Outsourced_x000a_all entities" dataDxfId="490" dataCellStyle="Milliers"/>
    <tableColumn id="63" xr3:uid="{0FF91085-DCAF-495C-B461-C1B90E7D507C}" name="(Payone)_x000a_ALL_x000a_any entity" dataDxfId="489" dataCellStyle="Milliers"/>
    <tableColumn id="96" xr3:uid="{F067F2E2-B3BD-44F4-9391-1D71719402E9}" name="Cash Out_x000a_OPEX_x000a_Suppliers" dataDxfId="488" dataCellStyle="Milliers"/>
    <tableColumn id="95" xr3:uid="{121A7505-230C-4F91-B732-1E52938B6D5A}" name="(OPX) _x000a_Supplier Name(s)" dataDxfId="487" dataCellStyle="Milliers"/>
    <tableColumn id="94" xr3:uid="{55DF4989-5BCC-444E-B74B-9DD92D82A62D}" name="(OPX)_x000a_All SubCo_x000a_Fix price (K€)" dataDxfId="486" dataCellStyle="Milliers"/>
    <tableColumn id="140" xr3:uid="{E6843F16-A9F5-4967-9451-7157BE0CCE27}" name="(OPX)_x000a_All Subco_x000a_T&amp;M 1000" dataDxfId="485" dataCellStyle="Milliers"/>
    <tableColumn id="141" xr3:uid="{4C96ACEB-B469-41E8-AA53-7A5D2A748CD1}" name="(OPX)_x000a_All Subco_x000a_T&amp;M 700" dataDxfId="484" dataCellStyle="Milliers"/>
    <tableColumn id="142" xr3:uid="{D2B3301E-3D94-42EE-9CD8-4CF41BB49BE8}" name="(OPX)_x000a_All Subco_x000a_T&amp;M 470" dataDxfId="483" dataCellStyle="Milliers"/>
    <tableColumn id="143" xr3:uid="{8511D187-5285-4678-8F9B-BD8349DD8813}" name="(OPX)_x000a_MAR_x000a_Morocco" dataDxfId="482" dataCellStyle="Milliers"/>
    <tableColumn id="144" xr3:uid="{D0F3A9FA-DA01-4F4C-BCDE-20FBBB388A6A}" name="(OPX)_x000a_IND_x000a_Cybage" dataDxfId="481" dataCellStyle="Milliers"/>
    <tableColumn id="145" xr3:uid="{3AA7122A-9820-4610-8F39-79ADBEAB66E4}" name="(OPX)_x000a_IND_x000a_India" dataDxfId="480" dataCellStyle="Milliers"/>
    <tableColumn id="146" xr3:uid="{78A3FAA3-3CDB-43E0-A9CA-067A1334E675}" name="(OPX)_x000a_BUL_x000a_Bulgaria" dataDxfId="479" dataCellStyle="Milliers"/>
    <tableColumn id="147" xr3:uid="{2404608D-7DCA-458F-92BC-0499F68DFBCC}" name="(OPX)_x000a_ARM_x000a_Armenia" dataDxfId="478" dataCellStyle="Milliers"/>
    <tableColumn id="21" xr3:uid="{B0B2ADEC-C98D-4DC7-975C-C482D53BECA4}" name="Cash Out_x000a_CAPEX_x000a_KEUR" dataDxfId="477" dataCellStyle="Milliers"/>
    <tableColumn id="148" xr3:uid="{CC62F8A7-1BAE-46E8-B29B-8D57E64964DB}" name="(CPX) _x000a_CAPEX_x000a_kEUR" dataDxfId="476" dataCellStyle="Milliers"/>
    <tableColumn id="149" xr3:uid="{AD89A919-9E73-47D9-A225-344E99D1ADEA}" name="Capex Comment" dataDxfId="475" dataCellStyle="Milliers"/>
    <tableColumn id="138" xr3:uid="{E4A37436-3A74-4B2B-981D-333231F3D93A}" name="E2E_x000a_Actuals_x000a_KEUR" dataDxfId="474" dataCellStyle="Milliers"/>
    <tableColumn id="139" xr3:uid="{340B7C0B-73F9-4AC5-B934-17D642042762}" name="(ACT)_x000a_Yr 1" dataDxfId="473" dataCellStyle="Milliers"/>
    <tableColumn id="150" xr3:uid="{4D404001-C7B9-479D-BB52-DDD305CD9D95}" name="(ACT)_x000a_Yr 2" dataDxfId="472" dataCellStyle="Milliers"/>
    <tableColumn id="151" xr3:uid="{0A2FEA44-3C01-49E2-B66D-2FF77025067B}" name="(ACT)_x000a_Yr 3" dataDxfId="471" dataCellStyle="Milliers"/>
    <tableColumn id="152" xr3:uid="{5D3F90CE-8B65-4891-8941-7E1F85B9ACC4}" name="(ACT)_x000a_Yr 4" dataDxfId="470" dataCellStyle="Milliers"/>
    <tableColumn id="153" xr3:uid="{69567A15-2398-498D-BDF3-981B5A5DF6F7}" name="(ACT)_x000a_Yr 5" dataDxfId="469" dataCellStyle="Milliers"/>
    <tableColumn id="64" xr3:uid="{34C8C4F5-4ADE-4A22-84B2-7B8BD91D50CC}" name="Non MS/Not listed Entities" dataDxfId="468" dataCellStyle="Milliers"/>
    <tableColumn id="171" xr3:uid="{252CFB2C-7889-4007-9149-CC71EAEDD181}" name="(NMS)_x000a_ALL_x000a_Direct" dataDxfId="467" dataCellStyle="Milliers"/>
    <tableColumn id="170" xr3:uid="{AE2DD770-F2C7-42A0-AD25-ACBFFC68821B}" name="(NMS)_x000a_ALL_x000a_Indirect" dataDxfId="466" dataCellStyle="Milliers"/>
    <tableColumn id="169" xr3:uid="{3860FE24-851B-4072-B9A7-1BECC2183796}" name="(NMS)_x000a_Non listed entities" dataDxfId="465" dataCellStyle="Milliers"/>
    <tableColumn id="67" xr3:uid="{C7C8CBAE-AAD0-4E8C-BCAA-8941080C3304}" name="Comments - non listed entities" dataDxfId="464" dataCellStyle="Milliers"/>
    <tableColumn id="71" xr3:uid="{26ECE22F-0021-4386-B8EC-8C8C2AD6FFDC}" name="Costs for Move to Cloud (2022) " dataDxfId="463" dataCellStyle="Milliers"/>
    <tableColumn id="72" xr3:uid="{BBBBE3A7-A37D-4AAD-BF7B-43D56864A903}" name="Full (multi year) project estimated budget (in k€)" dataDxfId="462" dataCellStyle="Milliers"/>
    <tableColumn id="91" xr3:uid="{2BF86BCB-91DC-49ED-9189-8B15D01D4038}" name="TOTAL 2022 in mandays" dataDxfId="461" dataCellStyle="Milliers"/>
    <tableColumn id="167" xr3:uid="{72F1E3D7-D50E-40CB-B432-96B0E32BBD68}" name="RowID" dataDxfId="460" dataCellStyle="Normal 2">
      <calculatedColumnFormula array="1">ROW()-ROW(Ongoing[#Headers])</calculatedColumnFormula>
    </tableColumn>
    <tableColumn id="137" xr3:uid="{D72DE85D-49D1-451B-B716-837F677FD355}" name="Working column (Grouping from CP 13/7/21)" dataDxfId="459" dataCellStyle="Normal 2"/>
    <tableColumn id="154" xr3:uid="{31D78862-AC7B-403F-A2D4-AD7FB6F98592}" name="Working column ('OLD' Group offering from Mapping)" dataDxfId="458" dataCellStyle="Normal 2"/>
    <tableColumn id="155" xr3:uid="{912E85A4-9403-46E5-9E2E-68DDCB9AF17C}" name="Working column ('NEW' Group offering from MS CP 19/8/21)" dataDxfId="457" dataCellStyle="Normal 2"/>
    <tableColumn id="156" xr3:uid="{38596ABD-8403-4E08-8ECE-82150828E716}" name="Working column (CAPI from MS CP 19/8/21)" dataDxfId="456" dataCellStyle="Normal 2"/>
    <tableColumn id="159" xr3:uid="{7F3C34CA-826C-458A-B2E5-A6A1C7BAE783}" name="Working column (OOI from MS CP 19/8/21)" dataDxfId="455" dataCellStyle="Normal 2"/>
    <tableColumn id="160" xr3:uid="{E75F0756-C29A-4531-96F2-13F0A9C4BCAB}" name="Working column (Requester from MS CP 19/8/21)" dataDxfId="454" dataCellStyle="Normal 2"/>
    <tableColumn id="161" xr3:uid="{AADCDEFD-17C6-4793-9285-685BBE683DC9}" name="Working column (Owner from MS CP 19/8/21)" dataDxfId="453" dataCellStyle="Normal 2"/>
    <tableColumn id="162" xr3:uid="{2B940947-ED0C-4DBF-A99F-586AD5983361}" name="Working column ('Priority category' from MS CP 19/8/21)" dataDxfId="452" dataCellStyle="Normal 2"/>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48A242-5ACB-4B15-A8B1-B7C4A38B97C5}" name="Run" displayName="Run" ref="B6:EI400" totalsRowShown="0" headerRowDxfId="439" dataDxfId="438" headerRowCellStyle="Normal 2" dataCellStyle="Normal 2">
  <autoFilter ref="B6:EI400" xr:uid="{31EAF01B-5F71-4947-AD31-EB0BAB55E955}"/>
  <tableColumns count="138">
    <tableColumn id="1" xr3:uid="{29D5CDFE-F0D5-41E3-8216-0DD27AC33EEB}" name="Ref Key_x000a_(auto)" dataDxfId="437" dataCellStyle="Normal 2"/>
    <tableColumn id="2" xr3:uid="{3DE1D004-0A19-42F0-AB92-13BDEFFB5365}" name="Initiative Name" dataDxfId="436" dataCellStyle="Normal 2"/>
    <tableColumn id="29" xr3:uid="{44444FCF-5161-4713-BEA3-951DDEC24678}" name="SPOC: Requestor/Owner_x000a_(unit / person)" dataDxfId="435" dataCellStyle="Normal 2"/>
    <tableColumn id="12" xr3:uid="{F7960B9E-0C14-4AD8-8D3C-C9CF680D8D79}" name="Acceptance_x000a_Internal_x000a_All entities" dataDxfId="434"/>
    <tableColumn id="13" xr3:uid="{85239987-4CD2-4E3B-986E-1E5432C0AD75}" name="(ACC)_x000a_ARG_x000a_Sub1" dataDxfId="433" dataCellStyle="Normal 2"/>
    <tableColumn id="14" xr3:uid="{00665001-D488-4904-A7A4-2FAAFABB45FD}" name="(ACC)_x000a_AUS_x000a_IPP" dataDxfId="432" dataCellStyle="Normal 2"/>
    <tableColumn id="22" xr3:uid="{93B5496F-705F-495E-902E-4B7200DBDF0B}" name="(ACC)_x000a_BEL_x000a_WLOC" dataDxfId="431" dataCellStyle="Normal 2"/>
    <tableColumn id="23" xr3:uid="{47BB03B7-E0E5-409C-9898-743B8C8AC529}" name="(ACC)_x000a_CHE_x000a_Saferpay" dataDxfId="430" dataCellStyle="Normal 2"/>
    <tableColumn id="24" xr3:uid="{97EE776F-BB10-40DD-8A6E-45D04D6A32D9}" name="(ACC)_x000a_CZE_x000a_GoPay" dataDxfId="429" dataCellStyle="Normal 2"/>
    <tableColumn id="25" xr3:uid="{A04EDD39-4996-4278-BCD8-53A7D298FAA7}" name="(ACC)_x000a_FRA_x000a_AXIS" dataDxfId="428" dataCellStyle="Normal 2"/>
    <tableColumn id="26" xr3:uid="{8DBD4115-48E9-434F-A520-B4447FF983DF}" name="(ACC)_x000a_FRA_x000a_SACC" dataDxfId="427" dataCellStyle="Normal 2"/>
    <tableColumn id="3" xr3:uid="{6E156E4B-4E43-47D2-9D62-C2D6CB05B933}" name="(ACC)_x000a_FRA_x000a_SIPS" dataDxfId="426" dataCellStyle="Normal 2"/>
    <tableColumn id="100" xr3:uid="{E35B2C14-CEAC-4E1D-BC37-1B7E2BD38E68}" name="(ACC)_x000a_FRA_x000a_Back-Office" dataDxfId="425" dataCellStyle="Normal 2"/>
    <tableColumn id="11" xr3:uid="{5FBAC713-E5D7-42F4-BFEC-C6A6F20D12FE}" name="(ACC)_x000a_GER_x000a_Payone" dataDxfId="424" dataCellStyle="Normal 2"/>
    <tableColumn id="32" xr3:uid="{7AE0C59A-B5AD-42D7-BBC6-C11DF3A85E0E}" name="(ACC)_x000a_AUT_x000a_Payunity" dataDxfId="423" dataCellStyle="Normal 2"/>
    <tableColumn id="33" xr3:uid="{44FD1FDF-FFF6-4570-A85C-AEE995564AB0}" name="(ACC)_x000a_GRC_x000a_Cardlink" dataDxfId="422" dataCellStyle="Normal 2"/>
    <tableColumn id="34" xr3:uid="{C59B6A81-D5F2-4A14-AC9F-8C6D7AB631FD}" name="(ACC)_x000a_IND_x000a_India TP" dataDxfId="421" dataCellStyle="Normal 2"/>
    <tableColumn id="35" xr3:uid="{895A4E42-AE09-414B-BADD-F3AE08ECA198}" name="(ACC)_x000a_ITA_x000a_Axxepta" dataDxfId="420" dataCellStyle="Normal 2"/>
    <tableColumn id="40" xr3:uid="{8282DE6C-264B-4D72-AD8B-D513BCFC5584}" name="(ACC)_x000a_NAR_x000a_Beanstream / Roam" dataDxfId="419" dataCellStyle="Normal 2"/>
    <tableColumn id="41" xr3:uid="{EA8B1F38-F753-474F-BE67-06E21C63E692}" name="(ACC)_x000a_NLD_x000a_GC" dataDxfId="418" dataCellStyle="Normal 2"/>
    <tableColumn id="42" xr3:uid="{4E6248DE-1A35-4B60-940F-199F234FE575}" name="(ACC)_x000a_SPA_x000a_Connexflow" dataDxfId="417" dataCellStyle="Normal 2"/>
    <tableColumn id="43" xr3:uid="{61A97E91-3893-4A4F-812E-1A33E4879E5F}" name="(ACC)_x000a_SPA_x000a_CSACT" dataDxfId="416" dataCellStyle="Normal 2"/>
    <tableColumn id="39" xr3:uid="{984D4656-6216-4C39-A453-38ADE76997C3}" name="(ACC)_x000a_SWE_x000a_BB Samport" dataDxfId="415" dataCellStyle="Normal 2"/>
    <tableColumn id="38" xr3:uid="{0F054760-54CF-4532-BF68-B9A52AB95DF7}" name="(ACC)_x000a_SWE_x000a_BOL" dataDxfId="414" dataCellStyle="Normal 2"/>
    <tableColumn id="102" xr3:uid="{13C77A0E-83B6-44A0-8576-C3503A27F336}" name="(ACC)_x000a_SWE_x000a_Back-Office" dataDxfId="413" dataCellStyle="Normal 2"/>
    <tableColumn id="37" xr3:uid="{6899EF9B-EF16-4933-86AF-4C4E63164AD8}" name="(ACC)_x000a_SWE_x000a_Devcode" dataDxfId="412" dataCellStyle="Normal 2"/>
    <tableColumn id="36" xr3:uid="{6FE42557-5329-450A-8AC4-FB081BD01887}" name="(ACC)_x000a_SWE_x000a_OCH" dataDxfId="411" dataCellStyle="Normal 2"/>
    <tableColumn id="15" xr3:uid="{688118D7-CD78-4B0A-88B1-855E2DB9E5E4}" name="(ACC)_x000a_SWE_x000a_WOPA" dataDxfId="410" dataCellStyle="Normal 2"/>
    <tableColumn id="98" xr3:uid="{85265853-A420-4D49-89E0-9A1601E83247}" name="(ACC)_x000a_GER_x000a_cCredit" dataDxfId="409" dataCellStyle="Normal 2"/>
    <tableColumn id="17" xr3:uid="{1B5AECD8-56F3-4AC1-8846-D291AF0A4B7C}" name="(ACC)_x000a_ALL_x000a_ Shared services" dataDxfId="408" dataCellStyle="Normal 2"/>
    <tableColumn id="47" xr3:uid="{6C2E4EE2-D0AF-439D-A71F-E4666BD38459}" name="Com Acquiring_x000a_Internal_x000a_all entities" dataDxfId="407"/>
    <tableColumn id="48" xr3:uid="{4E62B462-10DF-4491-9C72-2D13F3406099}" name="(CAQ)_x000a_BEL_x000a_WL" dataDxfId="406" dataCellStyle="Normal 2"/>
    <tableColumn id="49" xr3:uid="{D4FB25D3-323C-46BA-AC22-7588B6618A7A}" name="(CAQ)_x000a_FRA_x000a_WL" dataDxfId="405" dataCellStyle="Normal 2"/>
    <tableColumn id="44" xr3:uid="{A9FCE3A4-B8B8-464D-AACA-73A4A3B904D2}" name="(CAQ)_x000a_CHE_x000a_SPS" dataDxfId="404" dataCellStyle="Normal 2"/>
    <tableColumn id="45" xr3:uid="{FCFF938D-9E37-440E-948E-86EF7CD40A99}" name="(CAQ)_x000a_ALL_x000a_BB" dataDxfId="403" dataCellStyle="Normal 2"/>
    <tableColumn id="46" xr3:uid="{4D05A1DA-1237-4E51-A7E9-51CA4D1E8B68}" name="Digital Services_x000a_Internal_x000a_all entities" dataDxfId="402"/>
    <tableColumn id="61" xr3:uid="{5CD2536F-D36F-4827-B587-DD47515B6347}" name="(DIG)_x000a_BEL_x000a_WL" dataDxfId="401" dataCellStyle="Normal 2"/>
    <tableColumn id="60" xr3:uid="{34B0F6AC-DD7E-4F24-B127-091321EF6E82}" name="(DIG)_x000a_FRA_x000a_WL" dataDxfId="400" dataCellStyle="Normal 2"/>
    <tableColumn id="59" xr3:uid="{6E37CABE-DBC0-4483-B711-77B926DB1F29}" name="(DIG)_x000a_NLD_x000a_WL" dataDxfId="399" dataCellStyle="Normal 2"/>
    <tableColumn id="58" xr3:uid="{ECB9CF03-42B5-4155-8AA4-66F3293C959E}" name="(DIG)_x000a_AUT_x000a_SPS" dataDxfId="398" dataCellStyle="Normal 2"/>
    <tableColumn id="57" xr3:uid="{5BD543A4-2ECE-4791-97DB-06CE508FB714}" name="(DIG)_x000a_CHE_x000a_SPS" dataDxfId="397" dataCellStyle="Normal 2"/>
    <tableColumn id="8" xr3:uid="{70C3FBEE-C3CC-4C8B-AB57-30F6D8129F8B}" name="(DIG)_x000a_FRA_x000a_ING" dataDxfId="396" dataCellStyle="Normal 2"/>
    <tableColumn id="7" xr3:uid="{64C74039-2CE7-47B7-8622-707E9E3550F5}" name="(DIG)_x000a_GER_x000a_WL" dataDxfId="395" dataCellStyle="Normal 2"/>
    <tableColumn id="6" xr3:uid="{277BF92C-3DF5-4B13-A2BF-90F007662C3A}" name="(DIG)_x000a_GER_x000a_SPS" dataDxfId="394" dataCellStyle="Normal 2"/>
    <tableColumn id="5" xr3:uid="{FD325458-08B8-419D-82CE-2E9B92734A66}" name="(DIG)_x000a_CZE_x000a_Cataps" dataDxfId="393" dataCellStyle="Normal 2"/>
    <tableColumn id="4" xr3:uid="{9B505782-C5AE-4E14-B9E0-FA37525CDAB5}" name="(DIG)_x000a_AUS_x000a_WL" dataDxfId="392" dataCellStyle="Normal 2"/>
    <tableColumn id="56" xr3:uid="{A9CA8B62-AF59-4777-BA73-0864B29938B0}" name="(DIG)_x000a_NLD_x000a_ING" dataDxfId="391" dataCellStyle="Normal 2"/>
    <tableColumn id="55" xr3:uid="{2B08FD59-1500-479B-A4E3-D7FE79697434}" name="E2E Architects &amp; Programs_x000a_Internal_x000a_all entities" dataDxfId="390"/>
    <tableColumn id="51" xr3:uid="{2E38B99B-9879-4FE0-9CDD-793B3ABFDCF0}" name="(E2E)_x000a_BEL_x000a_WL" dataDxfId="389" dataCellStyle="Normal 2"/>
    <tableColumn id="62" xr3:uid="{AF138EF7-C071-42A6-ACA5-296A03727A20}" name="(E2E)_x000a_FRA_x000a_WL" dataDxfId="388" dataCellStyle="Normal 2"/>
    <tableColumn id="50" xr3:uid="{682E5A43-DF2F-435A-AC03-513403368652}" name="(E2E)_x000a_CHE_x000a_SPS" dataDxfId="387" dataCellStyle="Normal 2"/>
    <tableColumn id="54" xr3:uid="{E2550FCA-5BF6-4F60-9288-C7CC3C39BC8A}" name="Chief Merchant Officer_x000a_Internal_x000a_all entities" dataDxfId="386"/>
    <tableColumn id="65" xr3:uid="{3C3465E3-EB74-482F-8AAE-A25B7AD66EE8}" name="(CMO)_x000a_CHE_x000a_SPS" dataDxfId="385" dataCellStyle="Normal 2"/>
    <tableColumn id="66" xr3:uid="{085D4025-0517-43E8-B249-511963B0A2C8}" name="(CMO)_x000a_FRA_x000a_WL" dataDxfId="384" dataCellStyle="Normal 2"/>
    <tableColumn id="53" xr3:uid="{644265A5-D1EE-4D36-9F47-D38C60DB8325}" name="COO SACC_x000a_Internal_x000a_all entities" dataDxfId="383"/>
    <tableColumn id="73" xr3:uid="{AEAC3748-8EFA-4E50-AA66-767267435FD5}" name="(SAC)_x000a_FRA_x000a_ex Terminals" dataDxfId="382" dataCellStyle="Normal 2"/>
    <tableColumn id="74" xr3:uid="{195EC9EE-D457-41F1-87DC-AFB482F69508}" name="(SAC)_x000a_FRA_x000a_ex Omni Ch." dataDxfId="381" dataCellStyle="Normal 2"/>
    <tableColumn id="75" xr3:uid="{7C433AE5-4DDB-41EC-A3FD-F4F092014F5A}" name="(SAC)_x000a_FRA_x000a_Ex Operations" dataDxfId="380" dataCellStyle="Normal 2"/>
    <tableColumn id="68" xr3:uid="{2639655F-CEBE-444C-99DD-B08C4E2855A3}" name="COO PTM_x000a_Internal_x000a_WL entities" dataDxfId="379"/>
    <tableColumn id="69" xr3:uid="{6A5CD0FA-F57F-4FD5-A56E-C1BCA7CB1A9E}" name="(PTM)_x000a_BEL_x000a_WL" dataDxfId="378" dataCellStyle="Normal 2"/>
    <tableColumn id="52" xr3:uid="{52EA398C-90D7-489D-8F32-30CB6F87AF3A}" name="(PTM)_x000a_FRA_x000a_WL" dataDxfId="377" dataCellStyle="Normal 2"/>
    <tableColumn id="76" xr3:uid="{D975B292-ECB5-4F93-884C-86F478068E0F}" name="(PTM)_x000a_NLD_x000a_WL" dataDxfId="376" dataCellStyle="Normal 2"/>
    <tableColumn id="77" xr3:uid="{658BD456-FB64-4800-AD5E-4AC999367F65}" name="(PTM)_x000a_SWE_x000a_WL" dataDxfId="375" dataCellStyle="Normal 2"/>
    <tableColumn id="101" xr3:uid="{C5BA9B0B-5F9D-4302-983E-5A5A3B0BC124}" name="(PTM)_x000a_GER_x000a_WL" dataDxfId="374" dataCellStyle="Normal 2"/>
    <tableColumn id="78" xr3:uid="{EEA7D0A3-4AF9-40E6-91A0-3C5940810F47}" name="(PTM)_x000a_BRA_x000a_WL" dataDxfId="373" dataCellStyle="Normal 2"/>
    <tableColumn id="79" xr3:uid="{3373A377-9375-408A-9143-EB34839FEB7A}" name="COO PTM_x000a_Internal_x000a_SPS/Other entities" dataDxfId="372"/>
    <tableColumn id="80" xr3:uid="{C4160DB0-5016-4FA4-9C62-829697CAA503}" name="(PTM)_x000a_CHE_x000a_SPS" dataDxfId="371" dataCellStyle="Normal 2"/>
    <tableColumn id="81" xr3:uid="{18B99A7A-8EFA-4EEB-B8AC-C3252475CF96}" name="(PTM)_x000a_AUT_x000a_SPS" dataDxfId="370" dataCellStyle="Normal 2"/>
    <tableColumn id="82" xr3:uid="{97789A36-A799-46CC-A304-36C9B080843F}" name="(PTM)_x000a_GER_x000a_SPS" dataDxfId="369" dataCellStyle="Normal 2"/>
    <tableColumn id="83" xr3:uid="{47B89ED3-F68F-4010-B4C3-DC764010604B}" name="(PTM)_x000a_POL_x000a_SPS" dataDxfId="368" dataCellStyle="Normal 2"/>
    <tableColumn id="92" xr3:uid="{BBB8BFBB-8FCD-48ED-9E87-6CBB840A029C}" name="(PTM)_x000a_CZE_x000a_Cataps" dataDxfId="367" dataCellStyle="Normal 2"/>
    <tableColumn id="85" xr3:uid="{EA1248FD-3710-4842-AF0F-01F9E1CFE33F}" name="COO CS_x000a_Internal_x000a_WL entities" dataDxfId="366"/>
    <tableColumn id="86" xr3:uid="{9BBA45EE-8DA9-4C20-8088-FECBEE017D08}" name="(CCS)_x000a_BEL_x000a_WL" dataDxfId="365" dataCellStyle="Normal 2"/>
    <tableColumn id="87" xr3:uid="{50C931E8-C731-48C8-82E0-827896D06979}" name="(CCS)_x000a_FRA_x000a_WL" dataDxfId="364" dataCellStyle="Normal 2"/>
    <tableColumn id="88" xr3:uid="{98DB22CF-5205-400A-AEB4-32F1154BF2D1}" name="(CCS)_x000a_NLD_x000a_WL" dataDxfId="363" dataCellStyle="Normal 2"/>
    <tableColumn id="89" xr3:uid="{643DF855-FDE5-4812-80C4-06EB06028953}" name="COO CS_x000a_Internal_x000a_SPS entities" dataDxfId="362"/>
    <tableColumn id="129" xr3:uid="{16377E8B-F8D1-4CE7-A097-AF2881FC2D43}" name="(CCS)_x000a_CHE_x000a_SPS" dataDxfId="361" dataCellStyle="Normal 2"/>
    <tableColumn id="128" xr3:uid="{76C797C5-3824-4C4E-B312-AD5AAFC432C9}" name="(CCS)_x000a_LUX_x000a_SPS" dataDxfId="360" dataCellStyle="Normal 2"/>
    <tableColumn id="127" xr3:uid="{55F4932D-B74B-4181-9662-CCF9C79A965A}" name="(CCS)_x000a_AUT_x000a_SPS" dataDxfId="359" dataCellStyle="Normal 2"/>
    <tableColumn id="126" xr3:uid="{6980F9FE-749A-41B5-B22F-7C4C8050D737}" name="(CCS)_x000a_GER_x000a_SPS" dataDxfId="358" dataCellStyle="Normal 2"/>
    <tableColumn id="125" xr3:uid="{82F018DA-7462-4134-B3A4-4313A9B3B7D0}" name="(CCS)_x000a_POL_x000a_SPS" dataDxfId="357" dataCellStyle="Normal 2"/>
    <tableColumn id="124" xr3:uid="{4A0CB26A-DD8C-4E06-B016-6A3E6513C81A}" name="COO CS_x000a_Internal_x000a_Other entities" dataDxfId="356"/>
    <tableColumn id="123" xr3:uid="{02DEBF00-5DB6-4054-AB4E-143D55B02888}" name="(CCS)_x000a_NLD_x000a_PSQ" dataDxfId="355" dataCellStyle="Normal 2"/>
    <tableColumn id="122" xr3:uid="{8CE1EBD2-EF3B-4A62-9F63-83668CC5C2CE}" name="(CCS)_x000a_POL_x000a_PSQ" dataDxfId="354" dataCellStyle="Normal 2"/>
    <tableColumn id="121" xr3:uid="{E5EC91C1-B68E-440C-8F6E-2DC2FD5A57B2}" name="(CCS)_x000a_CZE_x000a_Cataps" dataDxfId="353" dataCellStyle="Normal 2"/>
    <tableColumn id="120" xr3:uid="{E1F11DD5-3696-488D-9E13-A04E9B5D56F3}" name="COO BSA_x000a_Internal_x000a_all entities" dataDxfId="352"/>
    <tableColumn id="119" xr3:uid="{301227F2-368B-44C9-815E-807D4CA033E7}" name="(BSA)_x000a_BEL_x000a_WL" dataDxfId="351" dataCellStyle="Normal 2"/>
    <tableColumn id="118" xr3:uid="{41710356-84A5-4F84-8676-3238A3DED5F0}" name="(BSA)_x000a_AUS_x000a_WL" dataDxfId="350" dataCellStyle="Normal 2"/>
    <tableColumn id="117" xr3:uid="{4897AB7C-930A-4B0A-8F90-EC49E17F233D}" name="(BSA)_x000a_NLD_x000a_WL" dataDxfId="349" dataCellStyle="Normal 2"/>
    <tableColumn id="70" xr3:uid="{E88699BB-50B0-4936-8F02-100C18B4D32D}" name="(BSA)_x000a_CHE_x000a_SPS" dataDxfId="348" dataCellStyle="Normal 2"/>
    <tableColumn id="19" xr3:uid="{58D0D475-FF2C-47F1-944E-BA7AA1623CF1}" name="(BSA)_x000a_POL" dataDxfId="347" dataCellStyle="Normal 2"/>
    <tableColumn id="18" xr3:uid="{56B9844D-E5A5-477A-9F44-1F52D4ED0F82}" name="(BSA)_x000a_FRA" dataDxfId="346" dataCellStyle="Normal 2"/>
    <tableColumn id="116" xr3:uid="{A1ED5278-1934-4195-AF28-3F1019A1F797}" name="(BSA)_x000a_GER" dataDxfId="345" dataCellStyle="Normal 2"/>
    <tableColumn id="115" xr3:uid="{5D978B4B-DEC2-4E25-9D80-FAE0AD255FFE}" name="Chief Market Officer_x000a_Internal_x000a_all entities" dataDxfId="344"/>
    <tableColumn id="114" xr3:uid="{7220B7AB-77F1-4CC6-8799-CD481E96FF52}" name="(CMA)_x000a_All_x000a_any entity" dataDxfId="343" dataCellStyle="Normal 2"/>
    <tableColumn id="31" xr3:uid="{8DFF4D35-DF47-45C9-A2D3-BE630D3B4D79}" name="GTM FI_x000a_Internal_x000a_all entities" dataDxfId="342"/>
    <tableColumn id="84" xr3:uid="{1F920D15-922D-4628-B66A-B694E7B8095B}" name="(GTM)_x000a_All_x000a_any entity" dataDxfId="341"/>
    <tableColumn id="113" xr3:uid="{49AEC84C-D93D-44DA-8886-CC3CB9896CD5}" name="Financial Services_x000a_Outsourced_x000a_all entities" dataDxfId="340"/>
    <tableColumn id="108" xr3:uid="{9BE093C5-785E-4584-BE24-E34BF09ADF69}" name="(FIS)_x000a_All_x000a_any entity" dataDxfId="339" dataCellStyle="Normal 2"/>
    <tableColumn id="110" xr3:uid="{5DB1965B-89BC-4CEE-B1A6-E137DC4207B7}" name="(FIS)_x000a_BEL_x000a_eWL" dataDxfId="338" dataCellStyle="Normal 2"/>
    <tableColumn id="131" xr3:uid="{0B3DA307-6AC3-4326-B7B2-67953F20CDBF}" name="(FIS)_x000a_FRA_x000a_eWL" dataDxfId="337" dataCellStyle="Normal 2"/>
    <tableColumn id="130" xr3:uid="{580ACA8E-B1DE-42AB-AAB4-84527606F851}" name="(FIS)_x000a_NLD_x000a_eWL" dataDxfId="336" dataCellStyle="Normal 2"/>
    <tableColumn id="111" xr3:uid="{470BE506-0BA9-4FF6-8348-D49338D8AE81}" name="(FIS)_x000a_GER_x000a_eWL" dataDxfId="335" dataCellStyle="Normal 2"/>
    <tableColumn id="109" xr3:uid="{332A9BE7-B301-4374-8A76-08D4A780BC98}" name="(FIS)_x000a_CHE_x000a_SPS FS" dataDxfId="334" dataCellStyle="Normal 2"/>
    <tableColumn id="134" xr3:uid="{68A12150-3F71-4A4B-8E01-A3BC318C05C5}" name="(FIS)_x000a_SPS Split (26%) BEL" dataDxfId="333" dataCellStyle="Normal 2"/>
    <tableColumn id="135" xr3:uid="{425038AD-108A-41DE-B7B6-D679CBE68B28}" name="(FIS)_x000a_SPS % Split_x000a_FO" dataDxfId="332"/>
    <tableColumn id="136" xr3:uid="{BDBA1F74-5AA5-4D47-8AD0-C954F5AE8AAE}" name="(FIS)_x000a_SPS % Split_x000a_BO" dataDxfId="331"/>
    <tableColumn id="133" xr3:uid="{46B8BF12-F6F3-4317-A931-91F53B81D714}" name="(FIS)_x000a_SPS Split_x000a_FO (calc)" dataDxfId="330" dataCellStyle="Normal 2"/>
    <tableColumn id="132" xr3:uid="{AEBF97F2-395F-4C33-9B36-444853227997}" name="(FIS)_x000a_SPS Split_x000a_BO (calc)" dataDxfId="329" dataCellStyle="Normal 2"/>
    <tableColumn id="112" xr3:uid="{FB4C97BC-53E7-44C3-B8A9-72E2883A89D4}" name="(FIS)_x000a_SPS Split_x000a_DaMa (calc)" dataDxfId="328" dataCellStyle="Normal 2"/>
    <tableColumn id="107" xr3:uid="{E7908C62-BE2B-4FE6-B84D-C9B99ECF98DD}" name="Production Services_x000a_Outsourced_x000a_all entities" dataDxfId="327"/>
    <tableColumn id="106" xr3:uid="{1B1B9765-5A5E-4C0F-BC5C-997BCEF22A1C}" name="(PRD)_x000a_ALL_x000a_any entity" dataDxfId="326" dataCellStyle="Normal 2"/>
    <tableColumn id="103" xr3:uid="{C7B6E576-5EAD-493E-BCC5-FAF58B4D4372}" name="TSS_x000a_Outsourced _x000a_all entities" dataDxfId="325"/>
    <tableColumn id="105" xr3:uid="{13E290FD-5667-4FEE-98C7-9DDD4719A5EE}" name="(TSS)_x000a_ALL_x000a_any entity" dataDxfId="324" dataCellStyle="Normal 2"/>
    <tableColumn id="99" xr3:uid="{667CF004-D1A2-46A9-BBDA-513E46F2A616}" name="MTS_x000a_Outsourced_x000a_all entities" dataDxfId="323"/>
    <tableColumn id="97" xr3:uid="{BBB9D081-A63F-4612-8B84-E95B6CF7FC63}" name="(MTS)_x000a_ALL_x000a_any entity" dataDxfId="322" dataCellStyle="Normal 2"/>
    <tableColumn id="20" xr3:uid="{84226A0D-1970-4DCC-BBFF-C99A1C4F5439}" name="Payone_x000a_Outsourced_x000a_all entities" dataDxfId="321" dataCellStyle="Normal 2"/>
    <tableColumn id="63" xr3:uid="{AF74F386-6D7D-4A5B-943E-627A0577E2E4}" name="(Payone)_x000a_ALL_x000a_any entity" dataDxfId="320" dataCellStyle="Normal 2"/>
    <tableColumn id="96" xr3:uid="{BFDB94EB-5801-4CA6-B16E-5FC64D7370B5}" name="Cash Out_x000a_OPEX_x000a_Suppliers" dataDxfId="319"/>
    <tableColumn id="95" xr3:uid="{A55B445E-9DCB-45E0-8601-1581EAB98A07}" name="(OPX) _x000a_Supplier Name(s)" dataDxfId="318" dataCellStyle="Normal 2"/>
    <tableColumn id="94" xr3:uid="{591F4867-7B02-4DB5-BBD2-2BC1DC8B3786}" name="(OPX)_x000a_All SubCo_x000a_Fix price (K€)" dataDxfId="317" dataCellStyle="Normal 2"/>
    <tableColumn id="140" xr3:uid="{C0E1B718-9B80-4C64-A531-D01B35DBE36E}" name="(OPX)_x000a_All Subco_x000a_T&amp;M 1000" dataDxfId="316" dataCellStyle="Normal 2"/>
    <tableColumn id="141" xr3:uid="{7EA4B53E-0523-4443-A72B-B5C8F8BC14A2}" name="(OPX)_x000a_All Subco_x000a_T&amp;M 700" dataDxfId="315" dataCellStyle="Normal 2"/>
    <tableColumn id="142" xr3:uid="{48411AAD-5234-4159-B6E9-99357398D8CE}" name="(OPX)_x000a_All Subco_x000a_T&amp;M 470" dataDxfId="314" dataCellStyle="Normal 2"/>
    <tableColumn id="143" xr3:uid="{23ED3EA8-2A58-41A3-99C8-625AE55BAF03}" name="(OPX)_x000a_MAR_x000a_Morocco" dataDxfId="313" dataCellStyle="Normal 2"/>
    <tableColumn id="144" xr3:uid="{FAF611A6-2A8A-42AD-B732-A5EDE96E979C}" name="(OPX)_x000a_IND_x000a_Cybage" dataDxfId="312" dataCellStyle="Normal 2"/>
    <tableColumn id="145" xr3:uid="{6C2F68EE-C543-4C5E-B3CA-C8FCEA8037EE}" name="(OPX)_x000a_IND_x000a_India" dataDxfId="311" dataCellStyle="Normal 2"/>
    <tableColumn id="146" xr3:uid="{3FC6CD95-D34F-4110-9D51-E40DB44C301E}" name="(OPX)_x000a_BUL_x000a_Bulgaria" dataDxfId="310" dataCellStyle="Normal 2"/>
    <tableColumn id="147" xr3:uid="{09D00515-F5E5-4A81-BEE6-2FE910FD9049}" name="(OPX)_x000a_ARM_x000a_Armenia" dataDxfId="309" dataCellStyle="Normal 2"/>
    <tableColumn id="21" xr3:uid="{317E392E-9C40-4E83-823A-33E4CFFD7447}" name="Cash Out_x000a_CAPEX_x000a_KEUR" dataDxfId="308"/>
    <tableColumn id="148" xr3:uid="{595CF091-61AD-4281-94EE-430A52F395A5}" name="(CPX) _x000a_CAPEX_x000a_kEUR" dataDxfId="307" dataCellStyle="Normal 2"/>
    <tableColumn id="149" xr3:uid="{6C6DFB8B-5B72-4F51-A557-50E4D3F65F31}" name="Capex Comment" dataDxfId="306" dataCellStyle="Normal 2"/>
    <tableColumn id="64" xr3:uid="{2B1DCFE3-0C30-486A-99CA-C8A0A86BF7F9}" name="Non listed entities" dataDxfId="305" dataCellStyle="Normal 2"/>
    <tableColumn id="67" xr3:uid="{E4941B9C-DFE4-4317-976F-475809294C48}" name="Comments - non listed entities" dataDxfId="304" dataCellStyle="Normal 2"/>
    <tableColumn id="71" xr3:uid="{8FE72452-40EA-47CB-9BE7-D321E1447D4E}" name="Costs for Move to Cloud (2022) " dataDxfId="303" dataCellStyle="Normal 2"/>
    <tableColumn id="72" xr3:uid="{E483DC30-5981-4F8A-86FD-CE2CA403BD82}" name="Full (multi year) project estimated budget (in k€)" dataDxfId="302" dataCellStyle="Normal 2"/>
    <tableColumn id="91" xr3:uid="{C7DAE353-5CBF-4FEE-842D-AAE85465CC53}" name="TOTAL 2022 in mandays" dataDxfId="301" dataCellStyle="Normal 2"/>
    <tableColumn id="9" xr3:uid="{B47501BB-DD9E-477B-AECD-2C2ECB2793ED}" name="RowID" dataDxfId="300" dataCellStyle="Normal 2">
      <calculatedColumnFormula array="1">ROW()-ROW(Run[#Headers])</calculatedColumnFormula>
    </tableColumn>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D5E173F-3A0F-4F27-A848-B57C954A6C81}" name="Capacity" displayName="Capacity" ref="B3:ED4" totalsRowShown="0" headerRowDxfId="296" dataDxfId="295" headerRowCellStyle="Normal 2" dataCellStyle="Normal 2">
  <autoFilter ref="B3:ED4" xr:uid="{31EAF01B-5F71-4947-AD31-EB0BAB55E955}"/>
  <tableColumns count="133">
    <tableColumn id="27" xr3:uid="{1AF81362-94E0-449B-A9F2-4D35B2997FEA}" name="Capacity Type" dataDxfId="294" dataCellStyle="Normal 2"/>
    <tableColumn id="10" xr3:uid="{73A086B0-A51F-4B09-845E-E71DA68C2B18}" name="Comment" dataDxfId="293" dataCellStyle="Normal 2"/>
    <tableColumn id="12" xr3:uid="{E76442BF-B64F-49EF-996C-46FFD8BA0B32}" name="Acceptance_x000a_Internal_x000a_All entities" dataDxfId="292">
      <calculatedColumnFormula>SUM(Capacity[[#This Row],[(ACC)
ARG
Sub1]:[(ACC)
ALL
 Shared services]])</calculatedColumnFormula>
    </tableColumn>
    <tableColumn id="13" xr3:uid="{A6761E33-B40A-4ACF-B5F3-A91871DC70B5}" name="(ACC)_x000a_ARG_x000a_Sub1" dataDxfId="291" dataCellStyle="Normal 2"/>
    <tableColumn id="14" xr3:uid="{1CD8F91F-0B37-49EB-9E22-E06231229DB5}" name="(ACC)_x000a_AUS_x000a_IPP" dataDxfId="290" dataCellStyle="Normal 2"/>
    <tableColumn id="22" xr3:uid="{4093FB73-4322-4BA0-90C3-F1C1E3C5D905}" name="(ACC)_x000a_BEL_x000a_WLOC" dataDxfId="289" dataCellStyle="Normal 2"/>
    <tableColumn id="23" xr3:uid="{37289036-3030-4C60-A243-1357181D9D5B}" name="(ACC)_x000a_CHE_x000a_Saferpay" dataDxfId="288" dataCellStyle="Normal 2"/>
    <tableColumn id="24" xr3:uid="{07E3D64E-C029-4CB4-B715-9F7F5649153F}" name="(ACC)_x000a_CZE_x000a_GoPay" dataDxfId="287" dataCellStyle="Normal 2"/>
    <tableColumn id="25" xr3:uid="{C1CAD21D-D859-46B7-8EB4-716E37DF37F0}" name="(ACC)_x000a_FRA_x000a_AXIS" dataDxfId="286"/>
    <tableColumn id="26" xr3:uid="{21E73517-B53E-44DE-80AE-6F7875A7AB64}" name="(ACC)_x000a_FRA_x000a_SACC" dataDxfId="285" dataCellStyle="Normal 2"/>
    <tableColumn id="3" xr3:uid="{4395640C-93CB-457E-B5A1-9B468C5A899C}" name="(ACC)_x000a_FRA_x000a_SIPS" dataDxfId="284" dataCellStyle="Normal 2"/>
    <tableColumn id="100" xr3:uid="{8358B377-8BFB-4D3D-8964-7455E48698AC}" name="(ACC)_x000a_FRA_x000a_Back-Office" dataDxfId="283" dataCellStyle="Normal 2"/>
    <tableColumn id="11" xr3:uid="{50169EF4-80C1-4DC9-8652-0DBD63800E47}" name="(ACC)_x000a_GER_x000a_Payone" dataDxfId="282" dataCellStyle="Normal 2"/>
    <tableColumn id="32" xr3:uid="{4C6EBF10-EBB5-47D1-B130-27BFB755C651}" name="(ACC)_x000a_AUT_x000a_Payunity" dataDxfId="281"/>
    <tableColumn id="33" xr3:uid="{FE912768-4F89-4C0C-922A-DD23A62F5B62}" name="(ACC)_x000a_GRC_x000a_Cardlink" dataDxfId="280" dataCellStyle="Normal 2"/>
    <tableColumn id="34" xr3:uid="{2978C2E2-242A-4C70-B832-503F2540A3FF}" name="(ACC)_x000a_IND_x000a_India TP" dataDxfId="279" dataCellStyle="Normal 2"/>
    <tableColumn id="35" xr3:uid="{B9F031E0-B50D-4B48-8269-E8C2E78CC622}" name="(ACC)_x000a_ITA_x000a_Axxepta" dataDxfId="278" dataCellStyle="Normal 2"/>
    <tableColumn id="40" xr3:uid="{0C133B66-E1A7-4926-BC34-4E8E7BA12989}" name="(ACC)_x000a_NAR_x000a_Beanstream / Roam" dataDxfId="277"/>
    <tableColumn id="41" xr3:uid="{098EC326-18B7-475C-9324-00ED92841A85}" name="(ACC)_x000a_NLD_x000a_GC" dataDxfId="276" dataCellStyle="Normal 2"/>
    <tableColumn id="42" xr3:uid="{1494BFFB-3FEE-47DC-BFE4-6D1CFEBBEC74}" name="(ACC)_x000a_SPA_x000a_Connexflow" dataDxfId="275" dataCellStyle="Normal 2"/>
    <tableColumn id="43" xr3:uid="{E7C7C788-D90E-4C11-A275-34DA6CF96FCD}" name="(ACC)_x000a_SPA_x000a_CSACT" dataDxfId="274" dataCellStyle="Normal 2"/>
    <tableColumn id="39" xr3:uid="{0B35AC70-B318-435E-A133-5C03A90AB9E9}" name="(ACC)_x000a_SWE_x000a_BB Samport" dataDxfId="273" dataCellStyle="Normal 2"/>
    <tableColumn id="38" xr3:uid="{FD390223-111D-45F2-B7D9-48969DB132EE}" name="(ACC)_x000a_SWE_x000a_BOL" dataDxfId="272" dataCellStyle="Normal 2"/>
    <tableColumn id="102" xr3:uid="{336358B6-6449-4FAB-B5D3-AF54A9CEA76C}" name="(ACC)_x000a_SWE_x000a_Back-Office" dataDxfId="271" dataCellStyle="Normal 2"/>
    <tableColumn id="37" xr3:uid="{9A41C225-FF10-4D61-B170-C9B69F93F175}" name="(ACC)_x000a_SWE_x000a_Devcode" dataDxfId="270" dataCellStyle="Normal 2"/>
    <tableColumn id="36" xr3:uid="{AB0E5E08-90DF-410F-B9A0-232655F35623}" name="(ACC)_x000a_SWE_x000a_OCH" dataDxfId="269" dataCellStyle="Normal 2"/>
    <tableColumn id="15" xr3:uid="{1C6FE2A7-A3FD-4E16-8879-F592B8D83270}" name="(ACC)_x000a_SWE_x000a_WOPA" dataDxfId="268" dataCellStyle="Normal 2"/>
    <tableColumn id="98" xr3:uid="{29AEA93F-125F-4711-9BBC-9653CBC95C36}" name="(ACC)_x000a_GER_x000a_cCredit" dataDxfId="267" dataCellStyle="Normal 2"/>
    <tableColumn id="17" xr3:uid="{1178DD57-3CEC-4774-8A45-1B1087A36D4C}" name="(ACC)_x000a_ALL_x000a_ Shared services" dataDxfId="266" dataCellStyle="Normal 2"/>
    <tableColumn id="47" xr3:uid="{80A08476-DB64-4A4D-BC45-14C3C97F7C34}" name="Com Acquiring_x000a_Internal_x000a_all entities" dataDxfId="265">
      <calculatedColumnFormula>SUM(Capacity[[#This Row],[(CAQ)
BEL
WL]:[(CAQ)
ALL
BB]])</calculatedColumnFormula>
    </tableColumn>
    <tableColumn id="48" xr3:uid="{D9E8B9F7-4CA3-40AC-AB93-8A2941523B9E}" name="(CAQ)_x000a_BEL_x000a_WL" dataDxfId="264" dataCellStyle="Normal 2"/>
    <tableColumn id="49" xr3:uid="{65A510D9-C1B8-4BD6-9028-1117E4150A44}" name="(CAQ)_x000a_FRA_x000a_WL" dataDxfId="263" dataCellStyle="Normal 2"/>
    <tableColumn id="44" xr3:uid="{3281699F-9729-41A7-B38D-5613C34140A7}" name="(CAQ)_x000a_CHE_x000a_SPS" dataDxfId="262" dataCellStyle="Normal 2"/>
    <tableColumn id="45" xr3:uid="{3B960BDB-948F-4E38-856C-FEDA3C45F99E}" name="(CAQ)_x000a_ALL_x000a_BB" dataDxfId="261" dataCellStyle="Normal 2"/>
    <tableColumn id="46" xr3:uid="{6592BFFD-1533-4582-9906-C718053AD986}" name="Digital Services_x000a_Internal_x000a_all entities" dataDxfId="260">
      <calculatedColumnFormula>SUM(Capacity[[#This Row],[(DIG)
BEL
WL]:[(DIG)
NLD
ING]])</calculatedColumnFormula>
    </tableColumn>
    <tableColumn id="61" xr3:uid="{DA66D7ED-D165-4CED-82C4-4B07D23413BD}" name="(DIG)_x000a_BEL_x000a_WL" dataDxfId="259" dataCellStyle="Normal 2"/>
    <tableColumn id="60" xr3:uid="{4B2A2174-4773-44C2-863F-66E1EEF1D74F}" name="(DIG)_x000a_FRA_x000a_WL" dataDxfId="258" dataCellStyle="Normal 2"/>
    <tableColumn id="59" xr3:uid="{0D781E18-83E6-400D-B7C5-3E74A8F43B43}" name="(DIG)_x000a_NLD_x000a_WL" dataDxfId="257" dataCellStyle="Normal 2"/>
    <tableColumn id="58" xr3:uid="{D2EE9087-F184-4AEA-ACFA-EA47B4DD241F}" name="(DIG)_x000a_AUT_x000a_SPS" dataDxfId="256" dataCellStyle="Normal 2"/>
    <tableColumn id="57" xr3:uid="{89599D37-EA52-43FE-A630-949500DF5FAC}" name="(DIG)_x000a_CHE_x000a_SPS" dataDxfId="255" dataCellStyle="Normal 2"/>
    <tableColumn id="6" xr3:uid="{EE762477-78CD-4CA0-A2FC-1A4F3EE58C51}" name="(DIG)_x000a_FRA_x000a_ING" dataDxfId="254" dataCellStyle="Normal 2"/>
    <tableColumn id="5" xr3:uid="{1D0446C3-05DE-4C75-8146-CBB0CAC33033}" name="(DIG)_x000a_GER_x000a_WL" dataDxfId="253" dataCellStyle="Normal 2"/>
    <tableColumn id="4" xr3:uid="{0CCD6F8D-6F6F-416D-B0E4-D6A2A2B17F0F}" name="(DIG)_x000a_GER_x000a_SPS" dataDxfId="252" dataCellStyle="Normal 2"/>
    <tableColumn id="9" xr3:uid="{63B3AD38-97BA-45F2-A186-DC22C54252E6}" name="(DIG)_x000a_POL_x000a_SPS" dataDxfId="251" dataCellStyle="Normal 2"/>
    <tableColumn id="2" xr3:uid="{DC046C4F-A510-43FE-AC06-389800C00816}" name="(DIG)_x000a_CZE_x000a_Cataps" dataDxfId="250" dataCellStyle="Normal 2"/>
    <tableColumn id="1" xr3:uid="{76F535AF-A188-4799-92B5-F94B14F34577}" name="(DIG)_x000a_AUS_x000a_WL" dataDxfId="249" dataCellStyle="Normal 2"/>
    <tableColumn id="56" xr3:uid="{400F3453-C682-4B25-8A59-7E14A8A9C804}" name="(DIG)_x000a_NLD_x000a_ING" dataDxfId="248" dataCellStyle="Normal 2"/>
    <tableColumn id="55" xr3:uid="{077727F6-7AC6-4D9F-91E7-0B54C0FACBA2}" name="E2E Architects &amp; Programs_x000a_Internal_x000a_all entities" dataDxfId="247">
      <calculatedColumnFormula>SUM(Capacity[[#This Row],[(E2E)
BEL
WL]:[(E2E)
CHE
SPS]])</calculatedColumnFormula>
    </tableColumn>
    <tableColumn id="51" xr3:uid="{11E8B48D-6239-4AD6-A397-93523A28D40E}" name="(E2E)_x000a_BEL_x000a_WL" dataDxfId="246" dataCellStyle="Normal 2"/>
    <tableColumn id="62" xr3:uid="{94206DE9-43E5-4B6C-AEAD-A11A7A73E01B}" name="(E2E)_x000a_FRA_x000a_WL" dataDxfId="245" dataCellStyle="Normal 2"/>
    <tableColumn id="30" xr3:uid="{E30C5D28-4270-4A06-B012-D8169A5E3FED}" name="(E2E)_x000a_NLD_x000a_WL" dataDxfId="244" dataCellStyle="Normal 2"/>
    <tableColumn id="29" xr3:uid="{A008E3D8-72FB-439A-8A0C-71F56BCCC99B}" name="(E2E)_x000a_SPA_x000a_WL" dataDxfId="243" dataCellStyle="Normal 2"/>
    <tableColumn id="28" xr3:uid="{7F37DE55-4F13-4A35-8311-E02C36758AC6}" name="(E2E)_x000a_XXX_x000a_WL" dataDxfId="242" dataCellStyle="Normal 2"/>
    <tableColumn id="50" xr3:uid="{CD9A950D-7186-41CB-A429-5D05FF2328F1}" name="(E2E)_x000a_CHE_x000a_SPS" dataDxfId="241" dataCellStyle="Normal 2"/>
    <tableColumn id="54" xr3:uid="{1BB5493D-2DE7-4E36-B719-F31DBA32B450}" name="Chief Merchant Officer_x000a_Internal_x000a_all entities" dataDxfId="240">
      <calculatedColumnFormula>SUM(Capacity[[#This Row],[(CMO)
CHE
SPS]:[(CMO)
FRA
WL]])</calculatedColumnFormula>
    </tableColumn>
    <tableColumn id="65" xr3:uid="{82436F4F-94C4-4138-BEBD-F8DE02CE3698}" name="(CMO)_x000a_CHE_x000a_SPS" dataDxfId="239" dataCellStyle="Normal 2"/>
    <tableColumn id="66" xr3:uid="{83739B06-0BC5-4F5A-843B-3A63D21CC6A8}" name="(CMO)_x000a_FRA_x000a_WL" dataDxfId="238" dataCellStyle="Normal 2"/>
    <tableColumn id="53" xr3:uid="{4AF09D6F-E41F-4B29-B027-D01D11A920C0}" name="COO SACC_x000a_Internal_x000a_all entities" dataDxfId="237">
      <calculatedColumnFormula>SUM(Capacity[[#This Row],[(SAC)
FRA
ex Terminals]:[(SAC)
FRA
Ex Operations]])</calculatedColumnFormula>
    </tableColumn>
    <tableColumn id="73" xr3:uid="{9F27CFC9-02DA-4160-8E28-0E31B71A0A68}" name="(SAC)_x000a_FRA_x000a_ex Terminals" dataDxfId="236" dataCellStyle="Normal 2"/>
    <tableColumn id="74" xr3:uid="{CF5673A9-991E-4DF5-8AD7-ED57E7EEC0E4}" name="(SAC)_x000a_FRA_x000a_ex Omni Ch." dataDxfId="235" dataCellStyle="Normal 2"/>
    <tableColumn id="75" xr3:uid="{B8230E49-0DAD-430C-AF58-E17CAE6170A0}" name="(SAC)_x000a_FRA_x000a_Ex Operations" dataDxfId="234" dataCellStyle="Normal 2"/>
    <tableColumn id="68" xr3:uid="{9DBD50A9-3AF1-4958-ABDA-A64B60A101E1}" name="COO PTM_x000a_Internal_x000a_WL entities" dataDxfId="233">
      <calculatedColumnFormula>SUM(Capacity[[#This Row],[(PTM)
BEL
WL]:[(PTM)
BRA
WL]])</calculatedColumnFormula>
    </tableColumn>
    <tableColumn id="69" xr3:uid="{FED00FD0-C8D0-48ED-A646-1A11B287B279}" name="(PTM)_x000a_BEL_x000a_WL" dataDxfId="232" dataCellStyle="Normal 2"/>
    <tableColumn id="52" xr3:uid="{D9C58BA9-C06C-4CD1-8C34-B1B3B0F927C6}" name="(PTM)_x000a_FRA_x000a_WL" dataDxfId="231" dataCellStyle="Normal 2"/>
    <tableColumn id="76" xr3:uid="{24435832-0B88-41BB-8529-46F5777BA179}" name="(PTM)_x000a_NLD_x000a_WL" dataDxfId="230" dataCellStyle="Normal 2"/>
    <tableColumn id="77" xr3:uid="{0BE5B094-85BB-48C1-A9EE-8E8D26228E4A}" name="(PTM)_x000a_SWE_x000a_WL" dataDxfId="229" dataCellStyle="Normal 2"/>
    <tableColumn id="101" xr3:uid="{30A3F4C9-D678-458C-82DD-672B4F65EBB2}" name="(PTM)_x000a_GER_x000a_WL" dataDxfId="228" dataCellStyle="Normal 2"/>
    <tableColumn id="78" xr3:uid="{DD588103-665A-4E05-9C64-9278BCA7D6F1}" name="(PTM)_x000a_BRA_x000a_WL" dataDxfId="227" dataCellStyle="Normal 2"/>
    <tableColumn id="79" xr3:uid="{918AD0FF-938F-421D-A0E7-D5B98398321E}" name="COO PTM_x000a_Internal_x000a_SPS/Other entities" dataDxfId="226">
      <calculatedColumnFormula>SUM(Capacity[[#This Row],[(PTM)
CHE
SPS]:[(PTM)
CZE
Cataps]])</calculatedColumnFormula>
    </tableColumn>
    <tableColumn id="80" xr3:uid="{CD208A2D-EAA4-4EB2-B37E-A64CD6947140}" name="(PTM)_x000a_CHE_x000a_SPS" dataDxfId="225" dataCellStyle="Normal 2"/>
    <tableColumn id="81" xr3:uid="{B72B214A-B103-4976-836D-CFAA72E2088B}" name="(PTM)_x000a_AUT_x000a_SPS" dataDxfId="224" dataCellStyle="Normal 2"/>
    <tableColumn id="82" xr3:uid="{2CBF2AC7-2F5A-4ED3-B3D5-B3928568B07B}" name="(PTM)_x000a_GER_x000a_SPS" dataDxfId="223" dataCellStyle="Normal 2"/>
    <tableColumn id="83" xr3:uid="{B4B692BE-4933-4363-B813-9EBEBF0BD3CA}" name="(PTM)_x000a_POL_x000a_SPS" dataDxfId="222" dataCellStyle="Normal 2"/>
    <tableColumn id="92" xr3:uid="{87C490C8-47BE-4841-A0BF-04275C7902D8}" name="(PTM)_x000a_CZE_x000a_Cataps" dataDxfId="221" dataCellStyle="Normal 2"/>
    <tableColumn id="85" xr3:uid="{0F55FD66-5403-47CD-9EFB-BB5B881238AF}" name="COO CS_x000a_Internal_x000a_WL entities" dataDxfId="220">
      <calculatedColumnFormula>SUM(Capacity[[#This Row],[(CCS)
BEL
WL]:[(CCS)
NLD
WL]])</calculatedColumnFormula>
    </tableColumn>
    <tableColumn id="86" xr3:uid="{C58BF4FE-7B2A-4F91-B81E-4BB461815A1A}" name="(CCS)_x000a_BEL_x000a_WL" dataDxfId="219" dataCellStyle="Normal 2"/>
    <tableColumn id="87" xr3:uid="{49481190-E422-4B7C-A858-6D9060A4A459}" name="(CCS)_x000a_FRA_x000a_WL" dataDxfId="218" dataCellStyle="Normal 2"/>
    <tableColumn id="88" xr3:uid="{5DC9B939-5B75-4F77-8F30-B77B9356B697}" name="(CCS)_x000a_NLD_x000a_WL" dataDxfId="217" dataCellStyle="Normal 2"/>
    <tableColumn id="89" xr3:uid="{88E8274F-949F-4920-9F23-3172D1988CF2}" name="COO CS_x000a_Internal_x000a_SPS entities" dataDxfId="216">
      <calculatedColumnFormula>SUM(Capacity[[#This Row],[(CCS)
CHE
SPS]:[(CCS)
POL
SPS]])</calculatedColumnFormula>
    </tableColumn>
    <tableColumn id="129" xr3:uid="{41F5114B-61A7-4095-AFAD-71EF8D3ACD4E}" name="(CCS)_x000a_CHE_x000a_SPS" dataDxfId="215" dataCellStyle="Normal 2"/>
    <tableColumn id="128" xr3:uid="{9E1A6F7C-3AF7-47DA-A777-6A428F3977C6}" name="(CCS)_x000a_LUX_x000a_SPS" dataDxfId="214" dataCellStyle="Normal 2"/>
    <tableColumn id="127" xr3:uid="{A63531D9-D8AC-4D95-BA03-41CF0395BC77}" name="(CCS)_x000a_AUT_x000a_SPS" dataDxfId="213" dataCellStyle="Normal 2"/>
    <tableColumn id="126" xr3:uid="{CE28BB02-CE2F-48C5-B3A8-D0473A797166}" name="(CCS)_x000a_GER_x000a_SPS" dataDxfId="212" dataCellStyle="Normal 2"/>
    <tableColumn id="125" xr3:uid="{53B78B7F-80DE-4474-B090-74A672E676E9}" name="(CCS)_x000a_POL_x000a_SPS" dataDxfId="211" dataCellStyle="Normal 2"/>
    <tableColumn id="124" xr3:uid="{9D3EFB57-1DF8-4F16-B7FE-A191C26E6E89}" name="COO CS_x000a_Internal_x000a_Other entities" dataDxfId="210">
      <calculatedColumnFormula>SUM(Capacity[[#This Row],[(CCS)
NLD
PSQ]:[(CCS)
CZE
Cataps]])</calculatedColumnFormula>
    </tableColumn>
    <tableColumn id="123" xr3:uid="{1D7166A1-2870-4C70-9C93-B16DFB7CE712}" name="(CCS)_x000a_NLD_x000a_PSQ" dataDxfId="209" dataCellStyle="Normal 2"/>
    <tableColumn id="122" xr3:uid="{B3E2AD5E-660A-43C6-B53A-97C7546ACCEE}" name="(CCS)_x000a_POL_x000a_PSQ" dataDxfId="208" dataCellStyle="Normal 2"/>
    <tableColumn id="121" xr3:uid="{034D1B34-C0B7-427C-86FF-5F2142B2802C}" name="(CCS)_x000a_CZE_x000a_Cataps" dataDxfId="207" dataCellStyle="Normal 2"/>
    <tableColumn id="120" xr3:uid="{C5632E7A-4278-42FD-AFBD-EA73F9CF37C0}" name="COO BSA_x000a_Internal_x000a_all entities" dataDxfId="206">
      <calculatedColumnFormula>SUM(Capacity[[#This Row],[(BSA)
BEL
WL]:[(BSA)
GER]])</calculatedColumnFormula>
    </tableColumn>
    <tableColumn id="119" xr3:uid="{BD97B5A6-2529-4AC0-8414-277DA61BA0FF}" name="(BSA)_x000a_BEL_x000a_WL" dataDxfId="205" dataCellStyle="Normal 2"/>
    <tableColumn id="118" xr3:uid="{0FDD5A44-9443-499C-821C-90ED58D473FB}" name="(BSA)_x000a_AUS_x000a_WL" dataDxfId="204" dataCellStyle="Normal 2"/>
    <tableColumn id="117" xr3:uid="{60FA03B1-9C5D-4B6B-AB26-B83C4171581D}" name="(BSA)_x000a_NLD_x000a_WL" dataDxfId="203" dataCellStyle="Normal 2"/>
    <tableColumn id="70" xr3:uid="{869EB206-3D69-40AA-8779-96AD0B418117}" name="(BSA)_x000a_CHE_x000a_SPS" dataDxfId="202" dataCellStyle="Normal 2"/>
    <tableColumn id="19" xr3:uid="{7093D576-B08A-4EB8-9CB3-894C89F66972}" name="(BSA)_x000a_POL" dataDxfId="201" dataCellStyle="Normal 2"/>
    <tableColumn id="18" xr3:uid="{89D46133-6BC7-4B03-8021-E258FC122745}" name="(BSA)_x000a_FRA" dataDxfId="200" dataCellStyle="Normal 2"/>
    <tableColumn id="116" xr3:uid="{96AB0371-FC2C-46EA-B851-9EA9BE65F161}" name="(BSA)_x000a_GER" dataDxfId="199" dataCellStyle="Normal 2"/>
    <tableColumn id="115" xr3:uid="{2874596C-6F5E-4DF0-940E-30122EF72587}" name="Chief Market Officer_x000a_Internal_x000a_all entities" dataDxfId="198">
      <calculatedColumnFormula>SUM(Capacity[[#This Row],[(CMA)
All
any entity]])</calculatedColumnFormula>
    </tableColumn>
    <tableColumn id="114" xr3:uid="{8E0B379B-DDDE-4EC2-8ECA-15E651CA8C9D}" name="(CMA)_x000a_All_x000a_any entity" dataDxfId="197" dataCellStyle="Normal 2"/>
    <tableColumn id="7" xr3:uid="{1FA2FB39-5389-4CCE-B6C7-2349D164D8EC}" name="GTM FI_x000a_Internal_x000a_all entities" dataDxfId="196">
      <calculatedColumnFormula>SUM(Capacity[[#This Row],[(GTM)
All
any entity]])</calculatedColumnFormula>
    </tableColumn>
    <tableColumn id="8" xr3:uid="{34ED8E16-3F69-45F9-945C-B8E073BA1345}" name="(GTM)_x000a_All_x000a_any entity" dataDxfId="195" dataCellStyle="Normal 2"/>
    <tableColumn id="113" xr3:uid="{5287280F-E188-4133-A966-BF20543D17DC}" name="Financial Services_x000a_Outsourced_x000a_all entities" dataDxfId="194">
      <calculatedColumnFormula>SUM(Capacity[[#This Row],[(FIS)
All
any entity]:[(FIS)
CHE
SPS FS]])</calculatedColumnFormula>
    </tableColumn>
    <tableColumn id="108" xr3:uid="{3F1543B0-B09F-4E2D-97ED-67AAB18AA080}" name="(FIS)_x000a_All_x000a_any entity" dataDxfId="193" dataCellStyle="Normal 2"/>
    <tableColumn id="110" xr3:uid="{FC6C9E1F-0462-4F5E-8F82-82CEA045665E}" name="(FIS)_x000a_BEL_x000a_eWL" dataDxfId="192" dataCellStyle="Normal 2"/>
    <tableColumn id="131" xr3:uid="{E9465F27-1C56-4D8D-B7A7-ACEEAD0732A2}" name="(FIS)_x000a_FRA_x000a_eWL" dataDxfId="191" dataCellStyle="Normal 2"/>
    <tableColumn id="130" xr3:uid="{30059A84-A493-4ACE-86F7-347A09D0DF2A}" name="(FIS)_x000a_NLD_x000a_eWL" dataDxfId="190" dataCellStyle="Normal 2"/>
    <tableColumn id="111" xr3:uid="{69D1FE51-8C3C-4142-A435-6E6FB36D358B}" name="(FIS)_x000a_GER_x000a_eWL" dataDxfId="189" dataCellStyle="Normal 2"/>
    <tableColumn id="109" xr3:uid="{93661786-2308-4A2C-B44F-4E4839FD5C6D}" name="(FIS)_x000a_CHE_x000a_SPS FS" dataDxfId="188" dataCellStyle="Normal 2"/>
    <tableColumn id="134" xr3:uid="{3713C85F-497A-4AE8-AFD7-4EB7442699F8}" name="(FIS)_x000a_SPS Split (26%) BEL" dataDxfId="187" dataCellStyle="Normal 2">
      <calculatedColumnFormula>Capacity[[#This Row],[(FIS)
CHE
SPS FS]]*0.26</calculatedColumnFormula>
    </tableColumn>
    <tableColumn id="135" xr3:uid="{68C89039-61C7-4769-A806-CBBBA24825D6}" name="(FIS)_x000a_SPS % Split_x000a_FO" dataDxfId="186"/>
    <tableColumn id="136" xr3:uid="{5E7127A3-0078-441A-B69C-069A4EED2A05}" name="(FIS)_x000a_SPS % Split_x000a_BO" dataDxfId="185"/>
    <tableColumn id="133" xr3:uid="{ABCC94DF-3E59-4DCD-A35E-398B3626FF5C}" name="(FIS)_x000a_SPS Split_x000a_FO (calc)" dataDxfId="184" dataCellStyle="Normal 2">
      <calculatedColumnFormula>ROUND((DF4*($DD$4+$DE$4)),0)</calculatedColumnFormula>
    </tableColumn>
    <tableColumn id="132" xr3:uid="{54B68509-848D-45B3-9307-A26E21DABF4D}" name="(FIS)_x000a_SPS Split_x000a_BO (calc)" dataDxfId="183" dataCellStyle="Normal 2">
      <calculatedColumnFormula>ROUND(DG4*($DD$4+$DE$4),0)</calculatedColumnFormula>
    </tableColumn>
    <tableColumn id="112" xr3:uid="{3273905D-70E4-4FB8-8B6D-C9DD85E3442C}" name="(FIS)_x000a_SPS Split_x000a_DaMa (calc)" dataDxfId="182" dataCellStyle="Normal 2">
      <calculatedColumnFormula>DD4-DE4-DH4-DI4</calculatedColumnFormula>
    </tableColumn>
    <tableColumn id="107" xr3:uid="{51AD53E9-B4CD-4BC3-B256-47DA57CE45C7}" name="Production Services_x000a_Outsourced_x000a_all entities" dataDxfId="181">
      <calculatedColumnFormula>SUM(Capacity[[#This Row],[(PRD)
ALL
any entity]])</calculatedColumnFormula>
    </tableColumn>
    <tableColumn id="106" xr3:uid="{FFFDE0DD-F10E-40CE-A823-23F77016EF5C}" name="(PRD)_x000a_ALL_x000a_any entity" dataDxfId="180" dataCellStyle="Normal 2"/>
    <tableColumn id="103" xr3:uid="{A615A2E7-AF80-49E5-893E-DEECDAA33D25}" name="TSS_x000a_Outsourced _x000a_all entities" dataDxfId="179">
      <calculatedColumnFormula>SUM(Capacity[[#This Row],[(TSS)
ALL
any entity]])</calculatedColumnFormula>
    </tableColumn>
    <tableColumn id="21" xr3:uid="{36B6F045-BD47-4415-A4BF-50E38E69A7FF}" name="(TSS)_x000a_CHE_x000a_SPS" dataDxfId="178" dataCellStyle="Normal 2"/>
    <tableColumn id="105" xr3:uid="{15FED378-E4E8-42F5-BDAA-7773D8078AE4}" name="(TSS)_x000a_ALL_x000a_any entity" dataDxfId="177" dataCellStyle="Normal 2"/>
    <tableColumn id="99" xr3:uid="{D91A82E0-3AD2-4615-AEFD-D31EDD9DBD28}" name="MTS_x000a_Outsourced_x000a_all entities" dataDxfId="176">
      <calculatedColumnFormula>SUM(Capacity[[#This Row],[(MTS)
ALL
any entity]])</calculatedColumnFormula>
    </tableColumn>
    <tableColumn id="97" xr3:uid="{E3F9E165-91DD-4F7E-A0B8-9237628D261C}" name="(MTS)_x000a_ALL_x000a_any entity" dataDxfId="175" dataCellStyle="Normal 2"/>
    <tableColumn id="20" xr3:uid="{4E913E79-3E53-4D0C-9CA2-5E9997DD3DAE}" name="Payone_x000a_Outsourced_x000a_all entities" dataDxfId="174" dataCellStyle="Normal 2">
      <calculatedColumnFormula>SUM(Capacity[[#This Row],[(Payone)
ALL
any entity]])</calculatedColumnFormula>
    </tableColumn>
    <tableColumn id="63" xr3:uid="{32CDC9EF-124C-401A-BD3B-0FDE40E6C135}" name="(Payone)_x000a_ALL_x000a_any entity" dataDxfId="173" dataCellStyle="Normal 2"/>
    <tableColumn id="96" xr3:uid="{9F30AE3C-B172-4CB7-8E26-DDBEB3713E93}" name="Cash Out_x000a_OPEX_x000a_Suppliers" dataDxfId="172">
      <calculatedColumnFormula>SUM(Capacity[[#This Row],[(OPX)
All SubCo
Fix price (K€)]:[(OPX)
ARM
Armenia]])</calculatedColumnFormula>
    </tableColumn>
    <tableColumn id="95" xr3:uid="{95382EAF-373A-4985-BD51-624AA7B545A9}" name="Supplier _x000a_Name(s)" dataDxfId="171" dataCellStyle="Normal 2"/>
    <tableColumn id="94" xr3:uid="{8CCD2B38-B1B8-4F11-9F7D-785DA08FF52C}" name="(OPX)_x000a_All SubCo_x000a_Fix price (K€)" dataDxfId="170" dataCellStyle="Normal 2"/>
    <tableColumn id="140" xr3:uid="{3BC58894-6A65-40EA-A464-2434DF2C57DE}" name="(OPX)_x000a_All Subco_x000a_T&amp;M 1000" dataDxfId="169" dataCellStyle="Normal 2"/>
    <tableColumn id="141" xr3:uid="{AD1DC608-B1F8-4CD5-92A3-44E75C011612}" name="(OPX)_x000a_All Subco_x000a_T&amp;M 700" dataDxfId="168" dataCellStyle="Normal 2"/>
    <tableColumn id="142" xr3:uid="{429CB81D-13C7-4504-8DB5-A74519473DA2}" name="(OPX)_x000a_All Subco_x000a_T&amp;M 470" dataDxfId="167" dataCellStyle="Normal 2"/>
    <tableColumn id="143" xr3:uid="{C12D11E4-31B1-4991-9E10-A416984F1924}" name="(OPX)_x000a_MAR_x000a_Morocco" dataDxfId="166" dataCellStyle="Normal 2"/>
    <tableColumn id="144" xr3:uid="{69127CBE-A457-4181-B595-196EF5B2D5FC}" name="(OPX)_x000a_IND_x000a_Cybage" dataDxfId="165" dataCellStyle="Normal 2"/>
    <tableColumn id="145" xr3:uid="{92A31734-78E3-4E2C-84D1-C068328F6177}" name="(OPX)_x000a_IND_x000a_India" dataDxfId="164" dataCellStyle="Normal 2"/>
    <tableColumn id="146" xr3:uid="{93EE5BEA-8FD1-4970-B1A2-DB89BA0D219B}" name="(OPX)_x000a_BUL_x000a_Bulgaria" dataDxfId="163" dataCellStyle="Normal 2"/>
    <tableColumn id="147" xr3:uid="{F5705BC7-5028-4DE5-8E70-71975AC77299}" name="(OPX)_x000a_ARM_x000a_Armenia" dataDxfId="162" dataCellStyle="Normal 2"/>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362271-12C4-414C-A239-9DDE6D74F7E0}" name="Consolidated" displayName="Consolidated" ref="B6:FI649" tableType="queryTable" totalsRowShown="0" headerRowDxfId="161" dataDxfId="160">
  <autoFilter ref="B6:FI649" xr:uid="{0CC708B2-B81B-4CB3-BEA5-44B96271A914}"/>
  <tableColumns count="164">
    <tableColumn id="1" xr3:uid="{6A88861F-1FF0-4838-827E-1E7580399BB4}" uniqueName="1" name="Given ID_x000a_by PMO" queryTableFieldId="1" dataDxfId="159"/>
    <tableColumn id="2" xr3:uid="{2F1DC051-BFA4-43E3-A453-56F7957C0B14}" uniqueName="2" name="Ref Key_x000a_(auto)" queryTableFieldId="2" dataDxfId="158"/>
    <tableColumn id="3" xr3:uid="{1CAE1567-4C33-4E35-8994-A7D45DD1BF7B}" uniqueName="3" name="Initiative Name" queryTableFieldId="3" dataDxfId="157"/>
    <tableColumn id="4" xr3:uid="{A565FECC-D589-4D69-B601-3FDC9A551E72}" uniqueName="4" name="Portfolio Classification" queryTableFieldId="4" dataDxfId="156"/>
    <tableColumn id="5" xr3:uid="{BF2B8308-6F94-4C62-A893-6B7E1DA33B19}" uniqueName="5" name="Leading entity/platform" queryTableFieldId="5" dataDxfId="155"/>
    <tableColumn id="6" xr3:uid="{987C70D4-5A44-4151-94C9-3E1E0FDDA674}" uniqueName="6" name="Strategic_x000a_Program L1" queryTableFieldId="6" dataDxfId="154"/>
    <tableColumn id="7" xr3:uid="{808570AF-68EF-4EEE-865A-D9868A1FA949}" uniqueName="7" name="Avtivity Type" queryTableFieldId="7" dataDxfId="153"/>
    <tableColumn id="8" xr3:uid="{3C815E6F-FB34-408D-8201-E7354ED7C284}" uniqueName="8" name="New Product_x000a_Indicator" queryTableFieldId="8" dataDxfId="152"/>
    <tableColumn id="9" xr3:uid="{C04BC78B-7BF6-4980-AF99-AEB5F99AD931}" uniqueName="9" name="Group Offering" queryTableFieldId="9" dataDxfId="151"/>
    <tableColumn id="10" xr3:uid="{060D9920-565C-4AA3-BAED-F90F99509C07}" uniqueName="10" name="SPOC: Requestor/Owner_x000a_(unit / person)" queryTableFieldId="10" dataDxfId="150"/>
    <tableColumn id="11" xr3:uid="{ED7F44E8-A9C9-46FF-BBB9-BA700637045A}" uniqueName="11" name="Estimated_x000a_CAPI %" queryTableFieldId="11" dataDxfId="149"/>
    <tableColumn id="12" xr3:uid="{63153764-0AA5-4FC9-96A1-9BF5C8FC1630}" uniqueName="12" name="Estimated_x000a_OOI %" queryTableFieldId="12" dataDxfId="148"/>
    <tableColumn id="13" xr3:uid="{7F8A69A8-47F6-482D-9E29-3A6807639774}" uniqueName="13" name="Estimated_x000a_Start Date" queryTableFieldId="13" dataDxfId="147"/>
    <tableColumn id="14" xr3:uid="{98704BB6-BECC-465D-9FFA-23AE8E0F5880}" uniqueName="14" name="Estimated_x000a_End Date" queryTableFieldId="14" dataDxfId="146"/>
    <tableColumn id="15" xr3:uid="{8270B6CA-C7AF-4ADC-91E2-AC8668CD6C59}" uniqueName="15" name="Comment, description,_x000a_rationale, strategic impact" queryTableFieldId="15" dataDxfId="145"/>
    <tableColumn id="16" xr3:uid="{D3854604-072D-44E4-B3D2-892BDDC181AD}" uniqueName="16" name="Acceptance_x000a_Internal_x000a_All entities" queryTableFieldId="16" dataDxfId="144"/>
    <tableColumn id="17" xr3:uid="{44A4D9D2-54BF-4643-AF31-062DE761D3C6}" uniqueName="17" name="(ACC)_x000a_ARG_x000a_Sub1" queryTableFieldId="17" dataDxfId="143"/>
    <tableColumn id="18" xr3:uid="{07BBBD9A-639B-4F51-BE89-44C7C0A8392D}" uniqueName="18" name="(ACC)_x000a_AUS_x000a_IPP" queryTableFieldId="18" dataDxfId="142"/>
    <tableColumn id="19" xr3:uid="{0541341C-53CE-478E-8A9C-2244802B07E4}" uniqueName="19" name="(ACC)_x000a_BEL_x000a_WLOC" queryTableFieldId="19" dataDxfId="141"/>
    <tableColumn id="20" xr3:uid="{7F52677B-EE6F-43B5-8720-48E84A9BE920}" uniqueName="20" name="(ACC)_x000a_CHE_x000a_Saferpay" queryTableFieldId="20" dataDxfId="140"/>
    <tableColumn id="21" xr3:uid="{1DEA560E-2C74-46BA-969F-22AD616031BF}" uniqueName="21" name="(ACC)_x000a_CZE_x000a_GoPay" queryTableFieldId="21" dataDxfId="139"/>
    <tableColumn id="22" xr3:uid="{4B5AE464-29F1-41DB-A998-BC1993B89474}" uniqueName="22" name="(ACC)_x000a_FRA_x000a_AXIS" queryTableFieldId="22" dataDxfId="138"/>
    <tableColumn id="23" xr3:uid="{29FC2B29-56A9-42E7-A385-03EBEB19E03D}" uniqueName="23" name="(ACC)_x000a_FRA_x000a_SACC" queryTableFieldId="23" dataDxfId="137"/>
    <tableColumn id="24" xr3:uid="{F2460CEF-6620-4D20-ABF8-C7975D0613C2}" uniqueName="24" name="(ACC)_x000a_FRA_x000a_SIPS" queryTableFieldId="24" dataDxfId="136"/>
    <tableColumn id="25" xr3:uid="{D6A38B9D-FAC2-42EE-803C-73B23C7A9E60}" uniqueName="25" name="(ACC)_x000a_FRA_x000a_Back-Office" queryTableFieldId="25" dataDxfId="135"/>
    <tableColumn id="26" xr3:uid="{57D48CFB-C45A-42C4-B2CF-2CD0E31914C4}" uniqueName="26" name="(ACC)_x000a_GER_x000a_Payone" queryTableFieldId="26" dataDxfId="134"/>
    <tableColumn id="27" xr3:uid="{3814D110-CF7A-4739-9DA8-C94B241BA5A4}" uniqueName="27" name="(ACC)_x000a_AUT_x000a_Payunity" queryTableFieldId="27" dataDxfId="133"/>
    <tableColumn id="28" xr3:uid="{C7C571CB-0FDB-413B-B63A-A3D7AA63B05B}" uniqueName="28" name="(ACC)_x000a_GRC_x000a_Cardlink" queryTableFieldId="28" dataDxfId="132"/>
    <tableColumn id="29" xr3:uid="{F881508D-C5AF-45AB-A71D-9CE766E581A9}" uniqueName="29" name="(ACC)_x000a_IND_x000a_India TP" queryTableFieldId="29" dataDxfId="131"/>
    <tableColumn id="30" xr3:uid="{B17C26C1-CFB3-4EAD-9268-758142DB5D0C}" uniqueName="30" name="(ACC)_x000a_ITA_x000a_Axxepta" queryTableFieldId="30" dataDxfId="130"/>
    <tableColumn id="31" xr3:uid="{135032FF-9143-41C5-8036-BAAA65195275}" uniqueName="31" name="(ACC)_x000a_NAR_x000a_Beanstream / Roam" queryTableFieldId="31" dataDxfId="129"/>
    <tableColumn id="32" xr3:uid="{A3D1AC34-0744-4B95-A3BA-FC8EC95D8640}" uniqueName="32" name="(ACC)_x000a_NLD_x000a_GC" queryTableFieldId="32" dataDxfId="128"/>
    <tableColumn id="33" xr3:uid="{7B38D50E-220B-434B-9AB1-6D1CDE5FBAF7}" uniqueName="33" name="(ACC)_x000a_SPA_x000a_Connexflow" queryTableFieldId="33" dataDxfId="127"/>
    <tableColumn id="34" xr3:uid="{ABAF7FE1-F2E8-4F98-8158-1E090E8CA0EC}" uniqueName="34" name="(ACC)_x000a_SPA_x000a_CSACT" queryTableFieldId="34" dataDxfId="126"/>
    <tableColumn id="35" xr3:uid="{311A4A3E-C474-4BD5-BD78-83C4EA3199B7}" uniqueName="35" name="(ACC)_x000a_SWE_x000a_BB Samport" queryTableFieldId="35" dataDxfId="125"/>
    <tableColumn id="36" xr3:uid="{7992C907-15ED-42B6-84F0-226751B12867}" uniqueName="36" name="(ACC)_x000a_SWE_x000a_BOL" queryTableFieldId="36" dataDxfId="124"/>
    <tableColumn id="37" xr3:uid="{321B6C70-433C-4E9A-AF0D-D099D29D3002}" uniqueName="37" name="(ACC)_x000a_SWE_x000a_Back-Office" queryTableFieldId="37" dataDxfId="123"/>
    <tableColumn id="38" xr3:uid="{3D729A7D-E56A-4C4B-8A08-E3CF07FA3161}" uniqueName="38" name="(ACC)_x000a_SWE_x000a_Devcode" queryTableFieldId="38" dataDxfId="122"/>
    <tableColumn id="39" xr3:uid="{28518235-D6C4-400B-8FBE-37370383D6C3}" uniqueName="39" name="(ACC)_x000a_SWE_x000a_OCH" queryTableFieldId="39" dataDxfId="121"/>
    <tableColumn id="40" xr3:uid="{72F11EE1-29BB-4D73-9F3D-A1C1D3DDA946}" uniqueName="40" name="(ACC)_x000a_SWE_x000a_WOPA" queryTableFieldId="40" dataDxfId="120"/>
    <tableColumn id="41" xr3:uid="{91C9BFB5-6907-423D-A8DC-B812138164E8}" uniqueName="41" name="(ACC)_x000a_GER_x000a_cCredit" queryTableFieldId="41" dataDxfId="119"/>
    <tableColumn id="42" xr3:uid="{7050C288-5C48-4646-87F2-E89F903C1E48}" uniqueName="42" name="(ACC)_x000a_ALL_x000a_ Shared services" queryTableFieldId="42" dataDxfId="118"/>
    <tableColumn id="43" xr3:uid="{C74E256C-0E92-4531-8B1E-7BFCC76994C1}" uniqueName="43" name="Com Acquiring_x000a_Internal_x000a_all entities" queryTableFieldId="43" dataDxfId="117"/>
    <tableColumn id="44" xr3:uid="{4BAA5E41-ACE7-4492-B018-7B7E41CACAA3}" uniqueName="44" name="(CAQ)_x000a_BEL_x000a_WL" queryTableFieldId="44" dataDxfId="116"/>
    <tableColumn id="45" xr3:uid="{1EC096B1-E82E-472B-9B66-69E89A8FA07E}" uniqueName="45" name="(CAQ)_x000a_FRA_x000a_WL" queryTableFieldId="45" dataDxfId="115"/>
    <tableColumn id="46" xr3:uid="{D2DB5F61-4921-406A-A682-471DA22BDA0A}" uniqueName="46" name="(CAQ)_x000a_CHE_x000a_SPS" queryTableFieldId="46" dataDxfId="114"/>
    <tableColumn id="47" xr3:uid="{CBEEFC03-6D21-4B5A-A497-4886F4CEF949}" uniqueName="47" name="(CAQ)_x000a_ALL_x000a_BB" queryTableFieldId="47" dataDxfId="113"/>
    <tableColumn id="48" xr3:uid="{D4BED288-0DA6-41B3-B031-1EEA2CB50978}" uniqueName="48" name="Digital Services_x000a_Internal_x000a_all entities" queryTableFieldId="48" dataDxfId="112"/>
    <tableColumn id="49" xr3:uid="{B730DB77-287F-4EAB-9256-89DD184800AA}" uniqueName="49" name="(DIG)_x000a_BEL_x000a_WL" queryTableFieldId="49" dataDxfId="111"/>
    <tableColumn id="50" xr3:uid="{F7116FD6-FB0A-49C2-98A0-65BE75D44FA3}" uniqueName="50" name="(DIG)_x000a_FRA_x000a_WL" queryTableFieldId="50" dataDxfId="110"/>
    <tableColumn id="51" xr3:uid="{D755F6A9-BCBC-4EBA-B9B7-E8F43B437CC8}" uniqueName="51" name="(DIG)_x000a_NLD_x000a_WL" queryTableFieldId="51" dataDxfId="109"/>
    <tableColumn id="52" xr3:uid="{4D97001E-AC4D-4407-930A-5238BF25BE45}" uniqueName="52" name="(DIG)_x000a_AUT_x000a_SPS" queryTableFieldId="52" dataDxfId="108"/>
    <tableColumn id="53" xr3:uid="{E9764EA7-6381-4B3C-9D7A-32D5D2471647}" uniqueName="53" name="(DIG)_x000a_CHE_x000a_SPS" queryTableFieldId="53" dataDxfId="107"/>
    <tableColumn id="54" xr3:uid="{AE0F8C32-5972-41F0-B4E9-09FB01F7630F}" uniqueName="54" name="(DIG)_x000a_FRA_x000a_ING" queryTableFieldId="54" dataDxfId="106"/>
    <tableColumn id="55" xr3:uid="{1AEFD4E4-978C-4008-9FDD-0454DF81E2E5}" uniqueName="55" name="(DIG)_x000a_GER_x000a_WL" queryTableFieldId="55" dataDxfId="105"/>
    <tableColumn id="56" xr3:uid="{11CAFEFA-079E-43DE-80FF-F39D4061D5A1}" uniqueName="56" name="(DIG)_x000a_GER_x000a_SPS" queryTableFieldId="56" dataDxfId="104"/>
    <tableColumn id="158" xr3:uid="{F87FDB5E-678F-409C-8F52-C7520FF26881}" uniqueName="158" name="(DIG)_x000a_POL_x000a_SPS" queryTableFieldId="158"/>
    <tableColumn id="57" xr3:uid="{E8EC76EC-9959-4AE2-BD6F-C2D9E2E07043}" uniqueName="57" name="(DIG)_x000a_CZE_x000a_Cataps" queryTableFieldId="57" dataDxfId="103"/>
    <tableColumn id="58" xr3:uid="{E1A0B5A5-30DE-44C2-BBA4-868878553795}" uniqueName="58" name="(DIG)_x000a_AUS_x000a_WL" queryTableFieldId="58" dataDxfId="102"/>
    <tableColumn id="59" xr3:uid="{77037407-EA91-44BC-9318-4F91F9A32F71}" uniqueName="59" name="(DIG)_x000a_NLD_x000a_ING" queryTableFieldId="59" dataDxfId="101"/>
    <tableColumn id="60" xr3:uid="{A5148556-3610-4862-9D32-62E2595A9BD1}" uniqueName="60" name="E2E Architects &amp; Programs_x000a_Internal_x000a_all entities" queryTableFieldId="60" dataDxfId="100"/>
    <tableColumn id="61" xr3:uid="{4EE1DDD5-603F-4B3D-A81A-B1B2B2F85084}" uniqueName="61" name="(E2E)_x000a_BEL_x000a_WL" queryTableFieldId="61" dataDxfId="99"/>
    <tableColumn id="62" xr3:uid="{B7A8E914-63ED-4927-8D56-7E5EB2238E98}" uniqueName="62" name="(E2E)_x000a_FRA_x000a_WL" queryTableFieldId="62" dataDxfId="98"/>
    <tableColumn id="165" xr3:uid="{0F9B1CE3-A869-4687-97E5-A156038F7548}" uniqueName="165" name="(E2E)_x000a_NLD_x000a_WL" queryTableFieldId="181"/>
    <tableColumn id="166" xr3:uid="{E5A5394D-87F3-4F00-90D6-D357FF4DC10D}" uniqueName="166" name="(E2E)_x000a_SPA_x000a_WL" queryTableFieldId="182"/>
    <tableColumn id="167" xr3:uid="{6228DACB-FDC3-4045-B74F-5FCCCE2CCF3A}" uniqueName="167" name="(E2E)_x000a_XXX_x000a_WL" queryTableFieldId="183"/>
    <tableColumn id="63" xr3:uid="{9211943E-7B28-42CB-AE83-99B5AE250B0F}" uniqueName="63" name="(E2E)_x000a_CHE_x000a_SPS" queryTableFieldId="63" dataDxfId="97"/>
    <tableColumn id="64" xr3:uid="{FC263DD4-475F-4B30-BED3-738591C9FFEE}" uniqueName="64" name="Chief Merchant Officer_x000a_Internal_x000a_all entities" queryTableFieldId="64" dataDxfId="96"/>
    <tableColumn id="65" xr3:uid="{90E9DBE1-B95E-4DD0-A5B8-B224CDC59F44}" uniqueName="65" name="(CMO)_x000a_CHE_x000a_SPS" queryTableFieldId="65" dataDxfId="95"/>
    <tableColumn id="66" xr3:uid="{77C4B563-34B3-420B-B230-F240959AAF1D}" uniqueName="66" name="(CMO)_x000a_FRA_x000a_WL" queryTableFieldId="66" dataDxfId="94"/>
    <tableColumn id="67" xr3:uid="{E8A32BE1-BDDA-489E-8AF7-E7CF9450575D}" uniqueName="67" name="COO SACC_x000a_Internal_x000a_all entities" queryTableFieldId="67" dataDxfId="93"/>
    <tableColumn id="68" xr3:uid="{93AE44F3-9307-4206-945A-58E1F752FAE7}" uniqueName="68" name="(SAC)_x000a_FRA_x000a_ex Terminals" queryTableFieldId="68" dataDxfId="92"/>
    <tableColumn id="69" xr3:uid="{33E48E78-5824-4270-9965-3334CC5CA9BB}" uniqueName="69" name="(SAC)_x000a_FRA_x000a_ex Omni Ch." queryTableFieldId="69" dataDxfId="91"/>
    <tableColumn id="70" xr3:uid="{14739BDF-0D9A-4BB6-B429-584D1BA5A30E}" uniqueName="70" name="(SAC)_x000a_FRA_x000a_Ex Operations" queryTableFieldId="70" dataDxfId="90"/>
    <tableColumn id="71" xr3:uid="{079C1F99-7B1B-4854-AB43-C9C079D603C9}" uniqueName="71" name="COO PTM_x000a_Internal_x000a_WL entities" queryTableFieldId="71" dataDxfId="89"/>
    <tableColumn id="72" xr3:uid="{6FEC150F-2383-442B-8133-07E2C4B02EAB}" uniqueName="72" name="(PTM)_x000a_BEL_x000a_WL" queryTableFieldId="72" dataDxfId="88"/>
    <tableColumn id="73" xr3:uid="{00A39B86-335E-4482-A594-C94EC3DDF9B0}" uniqueName="73" name="(PTM)_x000a_FRA_x000a_WL" queryTableFieldId="73" dataDxfId="87"/>
    <tableColumn id="74" xr3:uid="{F04FB996-B8C7-4829-B9EB-4FB9E4A126A0}" uniqueName="74" name="(PTM)_x000a_NLD_x000a_WL" queryTableFieldId="74" dataDxfId="86"/>
    <tableColumn id="75" xr3:uid="{D4D48D4A-55A8-44B7-BABC-C78D2DD58FD0}" uniqueName="75" name="(PTM)_x000a_SWE_x000a_WL" queryTableFieldId="75" dataDxfId="85"/>
    <tableColumn id="76" xr3:uid="{EEE8CF2C-E6F5-41E0-B2FC-80499BEF0EA1}" uniqueName="76" name="(PTM)_x000a_GER_x000a_WL" queryTableFieldId="76" dataDxfId="84"/>
    <tableColumn id="77" xr3:uid="{18849945-41DC-4B82-9362-47741073449D}" uniqueName="77" name="(PTM)_x000a_BRA_x000a_WL" queryTableFieldId="77" dataDxfId="83"/>
    <tableColumn id="78" xr3:uid="{170CB474-F9DA-4A45-931C-1A020AB067C4}" uniqueName="78" name="COO PTM_x000a_Internal_x000a_SPS/Other entities" queryTableFieldId="78" dataDxfId="82"/>
    <tableColumn id="79" xr3:uid="{D1193287-5CFB-4222-8366-3722FF13A5E1}" uniqueName="79" name="(PTM)_x000a_CHE_x000a_SPS" queryTableFieldId="79" dataDxfId="81"/>
    <tableColumn id="80" xr3:uid="{0981E22F-09C2-4399-987E-8CC1AD980777}" uniqueName="80" name="(PTM)_x000a_AUT_x000a_SPS" queryTableFieldId="80" dataDxfId="80"/>
    <tableColumn id="81" xr3:uid="{A27DFFF4-AB6B-4E84-97D5-17FDD1720DCC}" uniqueName="81" name="(PTM)_x000a_GER_x000a_SPS" queryTableFieldId="81" dataDxfId="79"/>
    <tableColumn id="82" xr3:uid="{4011330E-F3D6-4F53-8195-40EB506C474C}" uniqueName="82" name="(PTM)_x000a_POL_x000a_SPS" queryTableFieldId="82" dataDxfId="78"/>
    <tableColumn id="83" xr3:uid="{3191A02C-6313-450B-942F-19F9B9769842}" uniqueName="83" name="(PTM)_x000a_CZE_x000a_Cataps" queryTableFieldId="83" dataDxfId="77"/>
    <tableColumn id="84" xr3:uid="{1B46647B-AAEC-4645-ACAC-E8C48E6F41CA}" uniqueName="84" name="COO CS_x000a_Internal_x000a_WL entities" queryTableFieldId="84" dataDxfId="76"/>
    <tableColumn id="85" xr3:uid="{112E99F0-BD4F-4A5E-9042-39CC7B50F012}" uniqueName="85" name="(CCS)_x000a_BEL_x000a_WL" queryTableFieldId="85" dataDxfId="75"/>
    <tableColumn id="86" xr3:uid="{54D48608-20A2-4575-81E5-2FBBC3DD5907}" uniqueName="86" name="(CCS)_x000a_FRA_x000a_WL" queryTableFieldId="86" dataDxfId="74"/>
    <tableColumn id="87" xr3:uid="{DD3CDB5A-D543-4516-820E-881A3A86BF5B}" uniqueName="87" name="(CCS)_x000a_NLD_x000a_WL" queryTableFieldId="87" dataDxfId="73"/>
    <tableColumn id="88" xr3:uid="{F787A97B-7DCA-4268-9BB7-875020E33F74}" uniqueName="88" name="COO CS_x000a_Internal_x000a_SPS entities" queryTableFieldId="88" dataDxfId="72"/>
    <tableColumn id="89" xr3:uid="{AE037393-3C6D-4FF0-9BA9-D6748246026A}" uniqueName="89" name="(CCS)_x000a_CHE_x000a_SPS" queryTableFieldId="89" dataDxfId="71"/>
    <tableColumn id="90" xr3:uid="{3051DD7D-7B35-42A2-9FBF-613AFC61AEAD}" uniqueName="90" name="(CCS)_x000a_LUX_x000a_SPS" queryTableFieldId="90" dataDxfId="70"/>
    <tableColumn id="91" xr3:uid="{6AFD4D5F-1E01-43AF-9D4C-2CF4306518C0}" uniqueName="91" name="(CCS)_x000a_AUT_x000a_SPS" queryTableFieldId="91" dataDxfId="69"/>
    <tableColumn id="92" xr3:uid="{9EAF7586-83D9-4C56-A709-10BE551A8914}" uniqueName="92" name="(CCS)_x000a_GER_x000a_SPS" queryTableFieldId="92" dataDxfId="68"/>
    <tableColumn id="93" xr3:uid="{767F9F64-EAC2-4BAD-BE02-70966ADEED62}" uniqueName="93" name="(CCS)_x000a_POL_x000a_SPS" queryTableFieldId="93" dataDxfId="67"/>
    <tableColumn id="94" xr3:uid="{48132385-6E68-4CD9-87F8-E1693D25051A}" uniqueName="94" name="COO CS_x000a_Internal_x000a_Other entities" queryTableFieldId="94" dataDxfId="66"/>
    <tableColumn id="95" xr3:uid="{FE1631AC-740C-4053-865B-ECB5F9600025}" uniqueName="95" name="(CCS)_x000a_NLD_x000a_PSQ" queryTableFieldId="95" dataDxfId="65"/>
    <tableColumn id="96" xr3:uid="{9E73772B-0DB6-4C69-9D57-7618B9A9CF3E}" uniqueName="96" name="(CCS)_x000a_POL_x000a_PSQ" queryTableFieldId="96" dataDxfId="64"/>
    <tableColumn id="97" xr3:uid="{C266F3D0-4B08-427C-BF97-F471A16D8DE9}" uniqueName="97" name="(CCS)_x000a_CZE_x000a_Cataps" queryTableFieldId="97" dataDxfId="63"/>
    <tableColumn id="98" xr3:uid="{6ED468EC-8EEF-4014-8848-DADA455F5C2D}" uniqueName="98" name="COO BSA_x000a_Internal_x000a_all entities" queryTableFieldId="98" dataDxfId="62"/>
    <tableColumn id="99" xr3:uid="{A9A2F6AE-00A0-496D-B24F-5871308E82F7}" uniqueName="99" name="(BSA)_x000a_BEL_x000a_WL" queryTableFieldId="99" dataDxfId="61"/>
    <tableColumn id="100" xr3:uid="{F6F5E8CB-EAD8-406C-B107-884C02B6A2F5}" uniqueName="100" name="(BSA)_x000a_AUS_x000a_WL" queryTableFieldId="100" dataDxfId="60"/>
    <tableColumn id="101" xr3:uid="{9F651EFB-8BF3-4994-A41F-69DFA42DF8AA}" uniqueName="101" name="(BSA)_x000a_NLD_x000a_WL" queryTableFieldId="101" dataDxfId="59"/>
    <tableColumn id="102" xr3:uid="{88073F3F-2003-486E-9F5A-DA587E190665}" uniqueName="102" name="(BSA)_x000a_CHE_x000a_SPS" queryTableFieldId="102" dataDxfId="58"/>
    <tableColumn id="103" xr3:uid="{C7B9E498-E4A5-46D2-A84A-0DD5DAAA9CE2}" uniqueName="103" name="(BSA)_x000a_POL" queryTableFieldId="187"/>
    <tableColumn id="104" xr3:uid="{98B8E602-8379-4ED8-AA79-30F5700E647E}" uniqueName="104" name="(BSA)_x000a_FRA" queryTableFieldId="188"/>
    <tableColumn id="105" xr3:uid="{23FED66B-3CF1-4FC1-9421-26CF5CC68ECC}" uniqueName="105" name="(BSA)_x000a_GER" queryTableFieldId="105" dataDxfId="57"/>
    <tableColumn id="106" xr3:uid="{DE51F6DE-3AC8-4E62-83E6-3D2B9B73A309}" uniqueName="106" name="Chief Market Officer_x000a_Internal_x000a_all entities" queryTableFieldId="106" dataDxfId="56"/>
    <tableColumn id="107" xr3:uid="{796E65A0-18F8-47FA-9BD1-A40072AAF6FD}" uniqueName="107" name="(CMA)_x000a_All_x000a_any entity" queryTableFieldId="107" dataDxfId="55"/>
    <tableColumn id="108" xr3:uid="{D351D3D2-CD73-4B00-9C5A-795C06EACF22}" uniqueName="108" name="GTM FI_x000a_Internal_x000a_all entities" queryTableFieldId="108" dataDxfId="54"/>
    <tableColumn id="109" xr3:uid="{AC1683EB-111D-47C3-98F8-52EFD7D16501}" uniqueName="109" name="(GTM)_x000a_All_x000a_any entity" queryTableFieldId="109" dataDxfId="53"/>
    <tableColumn id="110" xr3:uid="{84090C59-62F2-4D21-8428-E32E3B9DCEBF}" uniqueName="110" name="Financial Services_x000a_Outsourced_x000a_all entities" queryTableFieldId="110" dataDxfId="52"/>
    <tableColumn id="111" xr3:uid="{0206B9DF-A077-4607-B7A9-E8A21601EF4C}" uniqueName="111" name="(FIS)_x000a_All_x000a_any entity" queryTableFieldId="111" dataDxfId="51"/>
    <tableColumn id="112" xr3:uid="{7349091D-0B83-4EE4-8A52-31C3F00A5AC1}" uniqueName="112" name="(FIS)_x000a_BEL_x000a_eWL" queryTableFieldId="112" dataDxfId="50"/>
    <tableColumn id="113" xr3:uid="{D6274F38-3218-44A6-8807-E45ECFF83900}" uniqueName="113" name="(FIS)_x000a_FRA_x000a_eWL" queryTableFieldId="113" dataDxfId="49"/>
    <tableColumn id="114" xr3:uid="{23E87849-4734-49F6-A518-79CEEB363A4F}" uniqueName="114" name="(FIS)_x000a_NLD_x000a_eWL" queryTableFieldId="114" dataDxfId="48"/>
    <tableColumn id="115" xr3:uid="{7AD11BA4-13B2-497B-B8F6-9DC53B110577}" uniqueName="115" name="(FIS)_x000a_GER_x000a_eWL" queryTableFieldId="115" dataDxfId="47"/>
    <tableColumn id="116" xr3:uid="{BBF4C2DE-41C1-4CDC-A710-2A78307854E6}" uniqueName="116" name="(FIS)_x000a_CHE_x000a_SPS FS" queryTableFieldId="116" dataDxfId="46"/>
    <tableColumn id="117" xr3:uid="{120ABD83-D202-4219-B29B-CC2A0CF1ADCC}" uniqueName="117" name="(FIS)_x000a_SPS Split (26%) BEL" queryTableFieldId="117" dataDxfId="45"/>
    <tableColumn id="118" xr3:uid="{AE8F4116-9DD3-4858-91F0-9D83E8F61DA5}" uniqueName="118" name="(FIS)_x000a_SPS % Split_x000a_FO" queryTableFieldId="118" dataDxfId="44"/>
    <tableColumn id="119" xr3:uid="{E80EEEBF-1A35-43D2-B947-CC88E2F72DDB}" uniqueName="119" name="(FIS)_x000a_SPS % Split_x000a_BO" queryTableFieldId="119" dataDxfId="43"/>
    <tableColumn id="120" xr3:uid="{B324EB03-0BD4-48C3-B236-2C3AC6A520AF}" uniqueName="120" name="(FIS)_x000a_SPS Split_x000a_FO (calc)" queryTableFieldId="120" dataDxfId="42"/>
    <tableColumn id="121" xr3:uid="{1FC939FB-E591-4606-AC14-DBD32F7AEF3A}" uniqueName="121" name="(FIS)_x000a_SPS Split_x000a_BO (calc)" queryTableFieldId="121" dataDxfId="41"/>
    <tableColumn id="122" xr3:uid="{C1C2987C-62CF-4DCE-AC05-F9AD25E51A34}" uniqueName="122" name="(FIS)_x000a_SPS Split_x000a_DaMa (calc)" queryTableFieldId="122" dataDxfId="40"/>
    <tableColumn id="123" xr3:uid="{BC6CB87B-C7D3-47C7-90E5-335152C06303}" uniqueName="123" name="Production Services_x000a_Outsourced_x000a_all entities" queryTableFieldId="123" dataDxfId="39"/>
    <tableColumn id="124" xr3:uid="{999E1E2F-C29A-497B-BFCE-C46901642BF8}" uniqueName="124" name="(PRD)_x000a_ALL_x000a_any entity" queryTableFieldId="124" dataDxfId="38"/>
    <tableColumn id="125" xr3:uid="{CE0F1F6C-ED8B-48E6-8983-ADA380125B60}" uniqueName="125" name="TSS_x000a_Outsourced _x000a_all entities" queryTableFieldId="125" dataDxfId="37"/>
    <tableColumn id="126" xr3:uid="{91B74A87-2295-4D5C-B683-5FD8D34D579D}" uniqueName="126" name="(TSS)_x000a_ALL_x000a_any entity" queryTableFieldId="126" dataDxfId="36"/>
    <tableColumn id="127" xr3:uid="{69973D78-137E-4D4C-97F0-0CDC61BC5954}" uniqueName="127" name="MTS_x000a_Outsourced_x000a_all entities" queryTableFieldId="127" dataDxfId="35"/>
    <tableColumn id="128" xr3:uid="{5ED6F87F-B943-40D7-B896-15D30A147DAB}" uniqueName="128" name="(MTS)_x000a_ALL_x000a_any entity" queryTableFieldId="128" dataDxfId="34"/>
    <tableColumn id="129" xr3:uid="{2BCA333D-B6B2-41BB-A040-03C13DC827C0}" uniqueName="129" name="Payone_x000a_Outsourced_x000a_all entities" queryTableFieldId="129" dataDxfId="33"/>
    <tableColumn id="130" xr3:uid="{85466125-2CD3-4B5A-A95B-D4FA038622A1}" uniqueName="130" name="(Payone)_x000a_ALL_x000a_any entity" queryTableFieldId="130" dataDxfId="32"/>
    <tableColumn id="131" xr3:uid="{6E08458B-247A-4AEC-BBEC-7D1DCD8EB469}" uniqueName="131" name="Cash Out_x000a_OPEX_x000a_Suppliers" queryTableFieldId="131" dataDxfId="31"/>
    <tableColumn id="132" xr3:uid="{B0D6A49D-503C-4AF0-AFD2-F7709704E8BF}" uniqueName="132" name="(OPX) _x000a_Supplier Name(s)" queryTableFieldId="132" dataDxfId="30"/>
    <tableColumn id="133" xr3:uid="{8245F6BA-A616-4AAE-BC42-3CFE6A85434F}" uniqueName="133" name="(OPX)_x000a_All SubCo_x000a_Fix price (K€)" queryTableFieldId="133" dataDxfId="29"/>
    <tableColumn id="134" xr3:uid="{517B8BA6-F0A8-4B60-9447-3D75F27E2E6B}" uniqueName="134" name="(OPX)_x000a_All Subco_x000a_T&amp;M 1000" queryTableFieldId="134" dataDxfId="28"/>
    <tableColumn id="135" xr3:uid="{888822F9-9B63-4FC3-838F-DE155E753110}" uniqueName="135" name="(OPX)_x000a_All Subco_x000a_T&amp;M 700" queryTableFieldId="135" dataDxfId="27"/>
    <tableColumn id="136" xr3:uid="{E20C31DA-FD2E-4550-9FEE-0F773D419B84}" uniqueName="136" name="(OPX)_x000a_All Subco_x000a_T&amp;M 470" queryTableFieldId="136" dataDxfId="26"/>
    <tableColumn id="137" xr3:uid="{FD817697-ECB0-4DAB-804B-C5F0AD16E132}" uniqueName="137" name="(OPX)_x000a_MAR_x000a_Morocco" queryTableFieldId="137" dataDxfId="25"/>
    <tableColumn id="138" xr3:uid="{84A1E877-7EC4-4FC8-A968-A464C898E939}" uniqueName="138" name="(OPX)_x000a_IND_x000a_Cybage" queryTableFieldId="138" dataDxfId="24"/>
    <tableColumn id="139" xr3:uid="{192608B0-4D1E-4FDF-8E47-ADDF33C55044}" uniqueName="139" name="(OPX)_x000a_IND_x000a_India" queryTableFieldId="139" dataDxfId="23"/>
    <tableColumn id="140" xr3:uid="{22A869DB-A100-4AA8-8A4B-95980835D1C4}" uniqueName="140" name="(OPX)_x000a_BUL_x000a_Bulgaria" queryTableFieldId="140" dataDxfId="22"/>
    <tableColumn id="141" xr3:uid="{33DC8A3C-9B1A-43E7-B5C5-3215D36A0E9E}" uniqueName="141" name="(OPX)_x000a_ARM_x000a_Armenia" queryTableFieldId="141" dataDxfId="21"/>
    <tableColumn id="142" xr3:uid="{3CA6DCCE-FEE0-436C-933B-C0090CD90460}" uniqueName="142" name="Cash Out_x000a_CAPEX_x000a_KEUR" queryTableFieldId="142" dataDxfId="20"/>
    <tableColumn id="143" xr3:uid="{D752D425-76FA-4D50-947E-76671D6ADD6A}" uniqueName="143" name="(CPX) _x000a_CAPEX_x000a_kEUR" queryTableFieldId="143" dataDxfId="19"/>
    <tableColumn id="144" xr3:uid="{52E9B6ED-57D4-42FA-A137-D47EAC7C83A0}" uniqueName="144" name="Capex Comment" queryTableFieldId="144" dataDxfId="18"/>
    <tableColumn id="157" xr3:uid="{1FE35195-29B8-47FB-81D9-5C4E38F4B061}" uniqueName="157" name="Non MS/Not listed Entities" queryTableFieldId="160"/>
    <tableColumn id="159" xr3:uid="{38387EFC-356B-4EEB-BB61-EE3F66FCBB9D}" uniqueName="159" name="(NMS)_x000a_ALL_x000a_Direct" queryTableFieldId="161"/>
    <tableColumn id="160" xr3:uid="{EF6F0E18-C392-4342-A977-3B1F0D7C786B}" uniqueName="160" name="(NMS)_x000a_ALL_x000a_Indirect" queryTableFieldId="162"/>
    <tableColumn id="161" xr3:uid="{19AE0692-2252-4DD8-9CEC-52527A6AAB82}" uniqueName="161" name="(NMS)_x000a_Non listed entities" queryTableFieldId="163"/>
    <tableColumn id="146" xr3:uid="{3C045C2E-1A8C-4E49-ACF7-9815A7F40C5E}" uniqueName="146" name="Comments - non listed entities" queryTableFieldId="146" dataDxfId="17"/>
    <tableColumn id="147" xr3:uid="{05328AF9-374F-4E5C-99D6-1A04495EB4E4}" uniqueName="147" name="Costs for Move to Cloud (2022) " queryTableFieldId="147" dataDxfId="16"/>
    <tableColumn id="148" xr3:uid="{0A540B64-BE9B-47A5-AE39-F1D746583342}" uniqueName="148" name="Full (multi year) project estimated budget (in k€)" queryTableFieldId="148" dataDxfId="15"/>
    <tableColumn id="149" xr3:uid="{1435DAC0-5538-4EE7-8C79-90347C76AFD0}" uniqueName="149" name="TOTAL 2022 in mandays" queryTableFieldId="149" dataDxfId="14"/>
    <tableColumn id="150" xr3:uid="{A84A301B-3A90-460F-8161-86B0B76FBD90}" uniqueName="150" name="E2E_x000a_Actuals_x000a_KEUR" queryTableFieldId="150" dataDxfId="13"/>
    <tableColumn id="151" xr3:uid="{4CF05464-E5CA-4526-A7AE-DE6A64F7634B}" uniqueName="151" name="(ACT)_x000a_Yr 1" queryTableFieldId="151" dataDxfId="12"/>
    <tableColumn id="152" xr3:uid="{89FDAF35-E9E1-401C-9653-B1835B8E1BEB}" uniqueName="152" name="(ACT)_x000a_Yr 2" queryTableFieldId="152" dataDxfId="11"/>
    <tableColumn id="153" xr3:uid="{EEB185D2-C2EE-4427-8EA7-FB6B0FC1F05C}" uniqueName="153" name="(ACT)_x000a_Yr 3" queryTableFieldId="153" dataDxfId="10"/>
    <tableColumn id="154" xr3:uid="{5CE0AD54-C5A4-4DA9-B167-6F0FF0B54C9E}" uniqueName="154" name="(ACT)_x000a_Yr 4" queryTableFieldId="154" dataDxfId="9"/>
    <tableColumn id="155" xr3:uid="{71743668-205F-4C2E-9021-3539787F7752}" uniqueName="155" name="(ACT)_x000a_Yr 5" queryTableFieldId="155" dataDxfId="8"/>
    <tableColumn id="145" xr3:uid="{28BAC46E-8124-4630-B484-A6348103F664}" uniqueName="145" name="Non listed entities" queryTableFieldId="145" dataDxfId="7"/>
    <tableColumn id="156" xr3:uid="{9A7955D6-AF71-4044-9591-5BD1D2132872}" uniqueName="156" name="Level" queryTableFieldId="156" dataDxfId="6"/>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0A82D16-3945-424D-87E1-1E5623147B1F}" name="tRates" displayName="tRates" ref="A1:F128" totalsRowShown="0" headerRowDxfId="2">
  <autoFilter ref="A1:F128" xr:uid="{5215063E-ED44-4649-A8FB-9BB7A2AAD066}"/>
  <sortState xmlns:xlrd2="http://schemas.microsoft.com/office/spreadsheetml/2017/richdata2" ref="A2:D92">
    <sortCondition sortBy="cellColor" ref="B1:B120" dxfId="1"/>
  </sortState>
  <tableColumns count="6">
    <tableColumn id="1" xr3:uid="{B54575CF-765B-4C90-8054-78552CCE30C1}" name="Key (lookup)"/>
    <tableColumn id="2" xr3:uid="{EE4BDAA0-B3B8-4F9E-9799-CBEDB731FFB1}" name="Country"/>
    <tableColumn id="3" xr3:uid="{7262DEAB-A45E-4114-A2A1-31557550D760}" name="Label">
      <calculatedColumnFormula>SUBSTITUTE(A2,CHAR(10)," ")</calculatedColumnFormula>
    </tableColumn>
    <tableColumn id="4" xr3:uid="{37F55FF2-A841-4A36-BAF5-66313F21D6B8}" name="k€"/>
    <tableColumn id="6" xr3:uid="{BE902802-436F-4C7A-A327-00D1D863026E}" name="Yearly WDs" dataDxfId="0"/>
    <tableColumn id="5" xr3:uid="{3A73365D-9FD8-4E1E-A426-65E58217C756}" name="Comment"/>
  </tableColumns>
  <tableStyleInfo name="TableStyleMedium2" showFirstColumn="0" showLastColumn="0" showRowStripes="1" showColumnStripes="0"/>
</table>
</file>

<file path=xl/theme/theme1.xml><?xml version="1.0" encoding="utf-8"?>
<a:theme xmlns:a="http://schemas.openxmlformats.org/drawingml/2006/main" name="Theme1">
  <a:themeElements>
    <a:clrScheme name="Colors Worldline">
      <a:dk1>
        <a:srgbClr val="3C3C3C"/>
      </a:dk1>
      <a:lt1>
        <a:srgbClr val="FFFFFF"/>
      </a:lt1>
      <a:dk2>
        <a:srgbClr val="3C3C3C"/>
      </a:dk2>
      <a:lt2>
        <a:srgbClr val="FFFFFF"/>
      </a:lt2>
      <a:accent1>
        <a:srgbClr val="41B4D2"/>
      </a:accent1>
      <a:accent2>
        <a:srgbClr val="D74B8C"/>
      </a:accent2>
      <a:accent3>
        <a:srgbClr val="5F8CA0"/>
      </a:accent3>
      <a:accent4>
        <a:srgbClr val="46B8A6"/>
      </a:accent4>
      <a:accent5>
        <a:srgbClr val="3C3C3C"/>
      </a:accent5>
      <a:accent6>
        <a:srgbClr val="F5AF82"/>
      </a:accent6>
      <a:hlink>
        <a:srgbClr val="3C3C3C"/>
      </a:hlink>
      <a:folHlink>
        <a:srgbClr val="3C3C3C"/>
      </a:folHlink>
    </a:clrScheme>
    <a:fontScheme name="Fonts Worldline">
      <a:majorFont>
        <a:latin typeface="Arial"/>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Arial"/>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vmlDrawing1.vml" Type="http://schemas.openxmlformats.org/officeDocument/2006/relationships/vmlDrawing"/><Relationship Id="rId3" Target="../tables/table1.xml" Type="http://schemas.openxmlformats.org/officeDocument/2006/relationships/table"/><Relationship Id="rId4" Target="../comments1.xml" Type="http://schemas.openxmlformats.org/officeDocument/2006/relationships/comments"/></Relationships>
</file>

<file path=xl/worksheets/_rels/sheet3.xml.rels><?xml version="1.0" encoding="UTF-8" standalone="yes"?><Relationships xmlns="http://schemas.openxmlformats.org/package/2006/relationships"><Relationship Id="rId1" Target="../printerSettings/printerSettings3.bin" Type="http://schemas.openxmlformats.org/officeDocument/2006/relationships/printerSettings"/><Relationship Id="rId2" Target="../drawings/vmlDrawing2.vml" Type="http://schemas.openxmlformats.org/officeDocument/2006/relationships/vmlDrawing"/><Relationship Id="rId3" Target="../tables/table2.xml" Type="http://schemas.openxmlformats.org/officeDocument/2006/relationships/table"/><Relationship Id="rId4" Target="../comments2.xml" Type="http://schemas.openxmlformats.org/officeDocument/2006/relationships/comments"/></Relationships>
</file>

<file path=xl/worksheets/_rels/sheet4.xml.rels><?xml version="1.0" encoding="UTF-8" standalone="yes"?><Relationships xmlns="http://schemas.openxmlformats.org/package/2006/relationships"><Relationship Id="rId1" Target="../printerSettings/printerSettings4.bin" Type="http://schemas.openxmlformats.org/officeDocument/2006/relationships/printerSettings"/><Relationship Id="rId2" Target="../drawings/vmlDrawing3.vml" Type="http://schemas.openxmlformats.org/officeDocument/2006/relationships/vmlDrawing"/><Relationship Id="rId3" Target="../tables/table3.xml" Type="http://schemas.openxmlformats.org/officeDocument/2006/relationships/table"/><Relationship Id="rId4" Target="../comments3.xml" Type="http://schemas.openxmlformats.org/officeDocument/2006/relationships/comments"/></Relationships>
</file>

<file path=xl/worksheets/_rels/sheet5.xml.rels><?xml version="1.0" encoding="UTF-8" standalone="yes"?><Relationships xmlns="http://schemas.openxmlformats.org/package/2006/relationships"><Relationship Id="rId1" Target="../printerSettings/printerSettings5.bin" Type="http://schemas.openxmlformats.org/officeDocument/2006/relationships/printerSettings"/><Relationship Id="rId2" Target="../tables/table4.xml" Type="http://schemas.openxmlformats.org/officeDocument/2006/relationships/table"/></Relationships>
</file>

<file path=xl/worksheets/_rels/sheet6.xml.rels><?xml version="1.0" encoding="UTF-8" standalone="yes"?><Relationships xmlns="http://schemas.openxmlformats.org/package/2006/relationships"><Relationship Id="rId1" Target="../printerSettings/printerSettings6.bin" Type="http://schemas.openxmlformats.org/officeDocument/2006/relationships/printerSettings"/><Relationship Id="rId2" Target="../drawings/vmlDrawing4.vml" Type="http://schemas.openxmlformats.org/officeDocument/2006/relationships/vmlDrawing"/><Relationship Id="rId3" Target="../tables/table5.xml" Type="http://schemas.openxmlformats.org/officeDocument/2006/relationships/table"/><Relationship Id="rId4" Target="../comments4.xml" Type="http://schemas.openxmlformats.org/officeDocument/2006/relationships/comments"/></Relationships>
</file>

<file path=xl/worksheets/_rels/sheet7.xml.rels><?xml version="1.0" encoding="UTF-8" standalone="yes"?><Relationships xmlns="http://schemas.openxmlformats.org/package/2006/relationships"><Relationship Id="rId1" Target="../printerSettings/printerSettings7.bin" Type="http://schemas.openxmlformats.org/officeDocument/2006/relationships/printerSettings"/></Relationships>
</file>

<file path=xl/worksheets/_rels/sheet8.xml.rels><?xml version="1.0" encoding="UTF-8" standalone="yes"?><Relationships xmlns="http://schemas.openxmlformats.org/package/2006/relationships"><Relationship Id="rId1" Target="../printerSettings/printerSettings8.bin" Type="http://schemas.openxmlformats.org/officeDocument/2006/relationships/printerSettings"/><Relationship Id="rId2" Target="../tables/table6.xml" Type="http://schemas.openxmlformats.org/officeDocument/2006/relationships/table"/></Relationships>
</file>

<file path=xl/worksheets/_rels/sheet9.xml.rels><?xml version="1.0" encoding="UTF-8" standalone="yes"?><Relationships xmlns="http://schemas.openxmlformats.org/package/2006/relationships"><Relationship Id="rId1" Target="../printerSettings/printerSettings9.bin" Type="http://schemas.openxmlformats.org/officeDocument/2006/relationships/printerSettings"/></Relationships>
</file>

<file path=xl/worksheets/_rels/sheet10.xml.rels><?xml version="1.0" encoding="UTF-8" standalone="yes"?><Relationships xmlns="http://schemas.openxmlformats.org/package/2006/relationships"><Relationship Id="rId1" Target="../printerSettings/printerSettings10.bin" Type="http://schemas.openxmlformats.org/officeDocument/2006/relationships/printerSettings"/></Relationships>
</file>

<file path=xl/worksheets/_rels/sheet11.xml.rels><?xml version="1.0" encoding="UTF-8" standalone="yes"?><Relationships xmlns="http://schemas.openxmlformats.org/package/2006/relationships"><Relationship Id="rId1" Target="../printerSettings/printerSettings11.bin" Type="http://schemas.openxmlformats.org/officeDocument/2006/relationships/printerSettings"/></Relationships>
</file>

<file path=xl/worksheets/_rels/sheet12.xml.rels><?xml version="1.0" encoding="UTF-8" standalone="yes"?><Relationships xmlns="http://schemas.openxmlformats.org/package/2006/relationships"><Relationship Id="rId1" Target="../printerSettings/printerSettings12.bin" Type="http://schemas.openxmlformats.org/officeDocument/2006/relationships/printerSettings"/></Relationships>
</file>

<file path=xl/worksheets/_rels/sheet13.xml.rels><?xml version="1.0" encoding="UTF-8" standalone="yes"?><Relationships xmlns="http://schemas.openxmlformats.org/package/2006/relationships"><Relationship Id="rId1" Target="../pivotTables/pivotTable1.xml" Type="http://schemas.openxmlformats.org/officeDocument/2006/relationships/pivotTable"/><Relationship Id="rId2" Target="../printerSettings/printerSettings1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07DC3-651F-45F1-AE73-C3548A9DD571}">
  <sheetPr>
    <tabColor rgb="FF7030A0"/>
  </sheetPr>
  <dimension ref="A1:I40"/>
  <sheetViews>
    <sheetView showGridLines="0" workbookViewId="0">
      <selection activeCell="G14" sqref="G14"/>
    </sheetView>
  </sheetViews>
  <sheetFormatPr baseColWidth="10" defaultColWidth="8.625" defaultRowHeight="14.25" x14ac:dyDescent="0.2"/>
  <cols>
    <col min="1" max="1" customWidth="true" style="37" width="25.5" collapsed="false"/>
    <col min="2" max="2" customWidth="true" style="37" width="47.125" collapsed="false"/>
    <col min="3" max="3" customWidth="true" style="37" width="16.125" collapsed="false"/>
    <col min="4" max="4" customWidth="true" style="37" width="4.125" collapsed="false"/>
    <col min="5" max="5" customWidth="true" style="37" width="15.875" collapsed="false"/>
    <col min="6" max="7" style="37" width="8.625" collapsed="false"/>
    <col min="8" max="16384" style="33" width="8.625" collapsed="false"/>
  </cols>
  <sheetData>
    <row r="1" spans="1:8" ht="22.5" x14ac:dyDescent="0.2">
      <c r="A1" s="43" t="s">
        <v>0</v>
      </c>
      <c r="B1" s="42" t="s">
        <v>1</v>
      </c>
    </row>
    <row r="2" spans="1:8" x14ac:dyDescent="0.2">
      <c r="A2" s="43" t="s">
        <v>2</v>
      </c>
      <c r="B2" s="42" t="s">
        <v>3</v>
      </c>
    </row>
    <row r="3" spans="1:8" x14ac:dyDescent="0.2">
      <c r="A3" s="43" t="s">
        <v>4</v>
      </c>
      <c r="B3" s="42" t="s">
        <v>5</v>
      </c>
    </row>
    <row r="5" spans="1:8" x14ac:dyDescent="0.2">
      <c r="A5" s="44" t="s">
        <v>6</v>
      </c>
      <c r="B5" s="45" t="s">
        <v>7</v>
      </c>
      <c r="C5" s="45" t="s">
        <v>8</v>
      </c>
      <c r="D5" s="45" t="s">
        <v>9</v>
      </c>
      <c r="E5" s="45" t="s">
        <v>10</v>
      </c>
      <c r="F5" s="45" t="s">
        <v>11</v>
      </c>
      <c r="G5" s="45" t="s">
        <v>12</v>
      </c>
    </row>
    <row r="6" spans="1:8" ht="22.5" x14ac:dyDescent="0.2">
      <c r="A6" s="39" t="s">
        <v>13</v>
      </c>
      <c r="B6" s="42" t="s">
        <v>14</v>
      </c>
      <c r="C6" s="42" t="s">
        <v>15</v>
      </c>
      <c r="D6" s="42" t="s">
        <v>16</v>
      </c>
      <c r="E6" s="42" t="s">
        <v>17</v>
      </c>
      <c r="F6" s="42" t="s">
        <v>18</v>
      </c>
      <c r="G6" s="42" t="s">
        <v>19</v>
      </c>
      <c r="H6" s="34"/>
    </row>
    <row r="7" spans="1:8" ht="22.5" x14ac:dyDescent="0.2">
      <c r="A7" s="39" t="s">
        <v>20</v>
      </c>
      <c r="B7" s="42" t="s">
        <v>21</v>
      </c>
      <c r="C7" s="42"/>
      <c r="D7" s="42" t="s">
        <v>22</v>
      </c>
      <c r="E7" s="42" t="s">
        <v>10</v>
      </c>
      <c r="F7" s="42" t="s">
        <v>18</v>
      </c>
      <c r="G7" s="42" t="s">
        <v>19</v>
      </c>
      <c r="H7" s="34"/>
    </row>
    <row r="8" spans="1:8" ht="33.75" x14ac:dyDescent="0.2">
      <c r="A8" s="39" t="s">
        <v>23</v>
      </c>
      <c r="B8" s="42" t="s">
        <v>24</v>
      </c>
      <c r="C8" s="42" t="s">
        <v>25</v>
      </c>
      <c r="D8" s="42" t="s">
        <v>16</v>
      </c>
      <c r="E8" s="42" t="s">
        <v>26</v>
      </c>
      <c r="F8" s="42" t="s">
        <v>18</v>
      </c>
      <c r="G8" s="42" t="s">
        <v>19</v>
      </c>
      <c r="H8" s="34"/>
    </row>
    <row r="9" spans="1:8" ht="33.75" x14ac:dyDescent="0.2">
      <c r="A9" s="39" t="s">
        <v>27</v>
      </c>
      <c r="B9" s="42" t="s">
        <v>28</v>
      </c>
      <c r="C9" s="42" t="s">
        <v>29</v>
      </c>
      <c r="D9" s="42" t="s">
        <v>16</v>
      </c>
      <c r="E9" s="42" t="s">
        <v>30</v>
      </c>
      <c r="F9" s="42" t="s">
        <v>22</v>
      </c>
      <c r="G9" s="42" t="s">
        <v>31</v>
      </c>
      <c r="H9" s="34"/>
    </row>
    <row r="10" spans="1:8" ht="22.5" x14ac:dyDescent="0.2">
      <c r="A10" s="39" t="s">
        <v>32</v>
      </c>
      <c r="B10" s="42" t="s">
        <v>33</v>
      </c>
      <c r="C10" s="42" t="s">
        <v>34</v>
      </c>
      <c r="D10" s="42" t="s">
        <v>16</v>
      </c>
      <c r="E10" s="42" t="s">
        <v>30</v>
      </c>
      <c r="F10" s="42" t="s">
        <v>22</v>
      </c>
      <c r="G10" s="42" t="s">
        <v>31</v>
      </c>
      <c r="H10" s="34"/>
    </row>
    <row r="11" spans="1:8" ht="22.5" x14ac:dyDescent="0.2">
      <c r="A11" s="39" t="s">
        <v>35</v>
      </c>
      <c r="B11" s="42" t="s">
        <v>36</v>
      </c>
      <c r="C11" s="42"/>
      <c r="D11" s="42" t="s">
        <v>18</v>
      </c>
      <c r="E11" s="42" t="s">
        <v>26</v>
      </c>
      <c r="F11" s="42" t="s">
        <v>18</v>
      </c>
      <c r="G11" s="42" t="s">
        <v>19</v>
      </c>
      <c r="H11" s="34"/>
    </row>
    <row r="12" spans="1:8" x14ac:dyDescent="0.2">
      <c r="A12" s="39" t="s">
        <v>37</v>
      </c>
      <c r="B12" s="42"/>
      <c r="C12" s="42"/>
      <c r="D12" s="42"/>
      <c r="E12" s="42"/>
      <c r="F12" s="42"/>
      <c r="G12" s="42"/>
      <c r="H12" s="34"/>
    </row>
    <row r="14" spans="1:8" ht="24" x14ac:dyDescent="0.2">
      <c r="A14" s="35" t="s">
        <v>38</v>
      </c>
      <c r="B14" s="45" t="s">
        <v>39</v>
      </c>
    </row>
    <row r="15" spans="1:8" x14ac:dyDescent="0.2">
      <c r="A15" s="39" t="s">
        <v>22</v>
      </c>
      <c r="B15" s="38" t="s">
        <v>40</v>
      </c>
    </row>
    <row r="16" spans="1:8" x14ac:dyDescent="0.2">
      <c r="A16" s="39" t="s">
        <v>41</v>
      </c>
      <c r="B16" s="38" t="s">
        <v>42</v>
      </c>
    </row>
    <row r="17" spans="1:9" x14ac:dyDescent="0.2">
      <c r="A17" s="39" t="s">
        <v>43</v>
      </c>
      <c r="B17" s="38" t="s">
        <v>44</v>
      </c>
      <c r="C17" s="36"/>
      <c r="D17" s="36"/>
      <c r="E17" s="36"/>
      <c r="F17" s="36"/>
      <c r="G17" s="36"/>
      <c r="H17" s="36"/>
      <c r="I17" s="36"/>
    </row>
    <row r="18" spans="1:9" x14ac:dyDescent="0.2">
      <c r="A18" s="38"/>
      <c r="B18" s="38"/>
    </row>
    <row r="19" spans="1:9" x14ac:dyDescent="0.2">
      <c r="A19" s="35" t="s">
        <v>45</v>
      </c>
      <c r="B19" s="45" t="s">
        <v>39</v>
      </c>
    </row>
    <row r="20" spans="1:9" ht="14.25" customHeight="1" x14ac:dyDescent="0.2">
      <c r="A20" s="39" t="s">
        <v>46</v>
      </c>
      <c r="B20" s="38" t="s">
        <v>47</v>
      </c>
      <c r="C20" s="168" t="s">
        <v>48</v>
      </c>
      <c r="D20" s="168"/>
      <c r="E20" s="168"/>
      <c r="F20" s="168"/>
      <c r="G20" s="168"/>
      <c r="H20" s="168"/>
      <c r="I20" s="168"/>
    </row>
    <row r="21" spans="1:9" ht="33.75" x14ac:dyDescent="0.2">
      <c r="A21" s="39" t="s">
        <v>49</v>
      </c>
      <c r="B21" s="38" t="s">
        <v>50</v>
      </c>
      <c r="C21" s="168"/>
      <c r="D21" s="168"/>
      <c r="E21" s="168"/>
      <c r="F21" s="168"/>
      <c r="G21" s="168"/>
      <c r="H21" s="168"/>
      <c r="I21" s="168"/>
    </row>
    <row r="22" spans="1:9" ht="22.5" x14ac:dyDescent="0.2">
      <c r="A22" s="39" t="s">
        <v>51</v>
      </c>
      <c r="B22" s="38" t="s">
        <v>52</v>
      </c>
      <c r="C22" s="168"/>
      <c r="D22" s="168"/>
      <c r="E22" s="168"/>
      <c r="F22" s="168"/>
      <c r="G22" s="168"/>
      <c r="H22" s="168"/>
      <c r="I22" s="168"/>
    </row>
    <row r="23" spans="1:9" ht="22.5" x14ac:dyDescent="0.2">
      <c r="A23" s="39" t="s">
        <v>53</v>
      </c>
      <c r="B23" s="38" t="s">
        <v>54</v>
      </c>
      <c r="C23" s="168"/>
      <c r="D23" s="168"/>
      <c r="E23" s="168"/>
      <c r="F23" s="168"/>
      <c r="G23" s="168"/>
      <c r="H23" s="168"/>
      <c r="I23" s="168"/>
    </row>
    <row r="24" spans="1:9" x14ac:dyDescent="0.2">
      <c r="A24" s="39" t="s">
        <v>55</v>
      </c>
      <c r="B24" s="38" t="s">
        <v>56</v>
      </c>
      <c r="C24" s="168"/>
      <c r="D24" s="168"/>
      <c r="E24" s="168"/>
      <c r="F24" s="168"/>
      <c r="G24" s="168"/>
      <c r="H24" s="168"/>
      <c r="I24" s="168"/>
    </row>
    <row r="25" spans="1:9" ht="123.75" x14ac:dyDescent="0.2">
      <c r="A25" s="39" t="s">
        <v>57</v>
      </c>
      <c r="B25" s="38" t="s">
        <v>58</v>
      </c>
    </row>
    <row r="26" spans="1:9" ht="78.75" x14ac:dyDescent="0.2">
      <c r="A26" s="39" t="s">
        <v>59</v>
      </c>
      <c r="B26" s="38" t="s">
        <v>60</v>
      </c>
    </row>
    <row r="27" spans="1:9" x14ac:dyDescent="0.2">
      <c r="A27" s="39" t="s">
        <v>61</v>
      </c>
      <c r="B27" s="38" t="s">
        <v>62</v>
      </c>
    </row>
    <row r="29" spans="1:9" x14ac:dyDescent="0.2">
      <c r="A29" s="35" t="s">
        <v>63</v>
      </c>
      <c r="B29" s="45" t="s">
        <v>39</v>
      </c>
    </row>
    <row r="30" spans="1:9" ht="38.450000000000003" customHeight="1" x14ac:dyDescent="0.2">
      <c r="A30" s="39" t="s">
        <v>64</v>
      </c>
      <c r="B30" s="42" t="s">
        <v>65</v>
      </c>
      <c r="C30" s="38" t="str">
        <f>IF(A31="",MAX($C$5:C29)+1,"")</f>
        <v/>
      </c>
      <c r="D30" s="38" t="s">
        <v>66</v>
      </c>
      <c r="E30" s="38" t="s">
        <v>67</v>
      </c>
      <c r="F30" s="42"/>
    </row>
    <row r="31" spans="1:9" ht="59.1" customHeight="1" x14ac:dyDescent="0.2">
      <c r="A31" s="39" t="s">
        <v>68</v>
      </c>
      <c r="B31" s="42" t="s">
        <v>69</v>
      </c>
      <c r="C31" s="38" t="str">
        <f>IF(A32="",MAX($C$5:C30)+1,"")</f>
        <v/>
      </c>
      <c r="D31" s="38" t="s">
        <v>66</v>
      </c>
      <c r="E31" s="38" t="s">
        <v>70</v>
      </c>
      <c r="F31" s="42"/>
    </row>
    <row r="32" spans="1:9" ht="38.450000000000003" customHeight="1" x14ac:dyDescent="0.2">
      <c r="A32" s="39" t="s">
        <v>71</v>
      </c>
      <c r="B32" s="42" t="s">
        <v>72</v>
      </c>
      <c r="C32" s="38" t="str">
        <f>IF(A33="",MAX($C$5:C31)+1,"")</f>
        <v/>
      </c>
      <c r="D32" s="38" t="s">
        <v>66</v>
      </c>
      <c r="E32" s="38" t="s">
        <v>73</v>
      </c>
      <c r="F32" s="42"/>
    </row>
    <row r="33" spans="1:6" ht="56.25" x14ac:dyDescent="0.2">
      <c r="A33" s="39" t="s">
        <v>74</v>
      </c>
      <c r="B33" s="42" t="s">
        <v>75</v>
      </c>
      <c r="C33" s="38"/>
      <c r="D33" s="38" t="s">
        <v>66</v>
      </c>
      <c r="E33" s="38" t="s">
        <v>76</v>
      </c>
      <c r="F33" s="42"/>
    </row>
    <row r="34" spans="1:6" ht="28.35" customHeight="1" x14ac:dyDescent="0.2">
      <c r="A34" s="39" t="s">
        <v>77</v>
      </c>
      <c r="B34" s="42" t="s">
        <v>78</v>
      </c>
      <c r="C34" s="38" t="str">
        <f>IF(A35="",MAX($C$5:C40)+1,"")</f>
        <v/>
      </c>
      <c r="D34" s="38" t="s">
        <v>79</v>
      </c>
      <c r="E34" s="38" t="s">
        <v>80</v>
      </c>
      <c r="F34" s="42"/>
    </row>
    <row r="35" spans="1:6" ht="33.75" x14ac:dyDescent="0.2">
      <c r="A35" s="39" t="s">
        <v>81</v>
      </c>
      <c r="B35" s="42" t="s">
        <v>82</v>
      </c>
      <c r="C35" s="38"/>
      <c r="D35" s="38" t="s">
        <v>79</v>
      </c>
      <c r="E35" s="38" t="s">
        <v>83</v>
      </c>
      <c r="F35" s="42"/>
    </row>
    <row r="36" spans="1:6" x14ac:dyDescent="0.2">
      <c r="A36" s="39" t="s">
        <v>84</v>
      </c>
      <c r="B36" s="38"/>
      <c r="C36" s="38"/>
      <c r="D36" s="38" t="s">
        <v>79</v>
      </c>
      <c r="E36" s="38" t="s">
        <v>85</v>
      </c>
      <c r="F36" s="42"/>
    </row>
    <row r="37" spans="1:6" x14ac:dyDescent="0.2">
      <c r="A37" s="39" t="s">
        <v>86</v>
      </c>
      <c r="B37" s="38"/>
      <c r="C37" s="38"/>
      <c r="D37" s="38" t="s">
        <v>79</v>
      </c>
      <c r="E37" s="38" t="s">
        <v>87</v>
      </c>
      <c r="F37" s="42"/>
    </row>
    <row r="38" spans="1:6" ht="29.45" customHeight="1" x14ac:dyDescent="0.2">
      <c r="A38" s="39" t="s">
        <v>88</v>
      </c>
      <c r="B38" s="42" t="s">
        <v>89</v>
      </c>
      <c r="C38" s="38"/>
      <c r="D38" s="38" t="s">
        <v>90</v>
      </c>
      <c r="E38" s="38" t="s">
        <v>91</v>
      </c>
      <c r="F38" s="42"/>
    </row>
    <row r="39" spans="1:6" ht="39.6" customHeight="1" x14ac:dyDescent="0.2">
      <c r="A39" s="39" t="s">
        <v>92</v>
      </c>
      <c r="B39" s="42" t="s">
        <v>93</v>
      </c>
      <c r="C39" s="38"/>
      <c r="D39" s="38" t="s">
        <v>90</v>
      </c>
      <c r="E39" s="38" t="s">
        <v>94</v>
      </c>
      <c r="F39" s="42"/>
    </row>
    <row r="40" spans="1:6" ht="25.35" customHeight="1" x14ac:dyDescent="0.2">
      <c r="A40" s="39" t="s">
        <v>95</v>
      </c>
      <c r="B40" s="42" t="s">
        <v>96</v>
      </c>
      <c r="C40" s="38"/>
      <c r="D40" s="38" t="s">
        <v>66</v>
      </c>
      <c r="E40" s="38"/>
      <c r="F40" s="42"/>
    </row>
  </sheetData>
  <mergeCells count="1">
    <mergeCell ref="C20:I24"/>
  </mergeCells>
  <conditionalFormatting sqref="A5">
    <cfRule type="expression" dxfId="796" priority="10" stopIfTrue="1">
      <formula>AND(ISNUMBER(A5),COLUMN()&lt;COLUMN($Q$5),ROW()&gt;3)</formula>
    </cfRule>
    <cfRule type="expression" dxfId="795" priority="11">
      <formula>AND(ISNUMBER(A5),ROW()&gt;3)</formula>
    </cfRule>
    <cfRule type="expression" dxfId="794" priority="12">
      <formula>AND(_xlfn.ISFORMULA(A5),ROW()&gt;3)</formula>
    </cfRule>
  </conditionalFormatting>
  <conditionalFormatting sqref="A14">
    <cfRule type="expression" dxfId="793" priority="7" stopIfTrue="1">
      <formula>AND(ISNUMBER(A14),COLUMN()&lt;COLUMN($Q$5),ROW()&gt;3)</formula>
    </cfRule>
    <cfRule type="expression" dxfId="792" priority="8">
      <formula>AND(ISNUMBER(A14),ROW()&gt;3)</formula>
    </cfRule>
    <cfRule type="expression" dxfId="791" priority="9">
      <formula>AND(_xlfn.ISFORMULA(A14),ROW()&gt;3)</formula>
    </cfRule>
  </conditionalFormatting>
  <conditionalFormatting sqref="A19">
    <cfRule type="expression" dxfId="790" priority="4" stopIfTrue="1">
      <formula>AND(ISNUMBER(A19),COLUMN()&lt;COLUMN($Q$5),ROW()&gt;3)</formula>
    </cfRule>
    <cfRule type="expression" dxfId="789" priority="5">
      <formula>AND(ISNUMBER(A19),ROW()&gt;3)</formula>
    </cfRule>
    <cfRule type="expression" dxfId="788" priority="6">
      <formula>AND(_xlfn.ISFORMULA(A19),ROW()&gt;3)</formula>
    </cfRule>
  </conditionalFormatting>
  <conditionalFormatting sqref="A29">
    <cfRule type="expression" dxfId="787" priority="1" stopIfTrue="1">
      <formula>AND(ISNUMBER(A29),COLUMN()&lt;COLUMN($Q$5),ROW()&gt;3)</formula>
    </cfRule>
    <cfRule type="expression" dxfId="786" priority="2">
      <formula>AND(ISNUMBER(A29),ROW()&gt;3)</formula>
    </cfRule>
    <cfRule type="expression" dxfId="785" priority="3">
      <formula>AND(_xlfn.ISFORMULA(A29),ROW()&gt;3)</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D1ABC-E12A-413C-9D51-6D720C051E4B}">
  <sheetPr>
    <outlinePr summaryBelow="0" summaryRight="0"/>
  </sheetPr>
  <dimension ref="A1:FC400"/>
  <sheetViews>
    <sheetView zoomScale="80" zoomScaleNormal="80" zoomScalePageLayoutView="85" workbookViewId="0">
      <pane xSplit="4" ySplit="6" topLeftCell="M7" activePane="bottomRight" state="frozen"/>
      <selection activeCell="D404" sqref="D404"/>
      <selection pane="topRight" activeCell="D404" sqref="D404"/>
      <selection pane="bottomLeft" activeCell="D404" sqref="D404"/>
      <selection pane="bottomRight" activeCell="Q5" sqref="Q5"/>
    </sheetView>
  </sheetViews>
  <sheetFormatPr baseColWidth="10" defaultColWidth="9" defaultRowHeight="14.25" outlineLevelCol="2" x14ac:dyDescent="0.2"/>
  <cols>
    <col min="1" max="1" bestFit="true" customWidth="true" style="6" width="19.75" collapsed="false"/>
    <col min="2" max="2" customWidth="true" style="6" width="15.0" collapsed="false"/>
    <col min="3" max="3" customWidth="true" style="7" width="15.25" collapsed="false"/>
    <col min="4" max="4" customWidth="true" style="7" width="34.625" collapsed="false"/>
    <col min="5" max="5" customWidth="true" style="6" width="14.625" collapsed="false"/>
    <col min="6" max="6" customWidth="true" style="6" width="17.625" outlineLevel="1" collapsed="false"/>
    <col min="7" max="7" customWidth="true" style="6" width="17.375" outlineLevel="1" collapsed="false"/>
    <col min="8" max="8" customWidth="true" style="6" width="26.875" outlineLevel="1" collapsed="false"/>
    <col min="9" max="9" customWidth="true" style="6" width="11.125" outlineLevel="1" collapsed="false"/>
    <col min="10" max="10" customWidth="true" style="6" width="13.875" outlineLevel="1" collapsed="false"/>
    <col min="11" max="11" customWidth="true" style="6" width="18.0" outlineLevel="1" collapsed="false"/>
    <col min="12" max="13" customWidth="true" style="6" width="9.125" outlineLevel="1" collapsed="false"/>
    <col min="14" max="15" customWidth="true" style="6" width="10.375" outlineLevel="1" collapsed="false"/>
    <col min="16" max="16" customWidth="true" style="6" width="30.0" outlineLevel="1" collapsed="false"/>
    <col min="17" max="17" bestFit="true" customWidth="true" style="6" width="10.875" collapsed="false"/>
    <col min="18" max="19" customWidth="true" style="6" width="6.125" outlineLevel="1" collapsed="false"/>
    <col min="20" max="20" customWidth="true" style="7" width="6.625" outlineLevel="1" collapsed="false"/>
    <col min="21" max="21" customWidth="true" style="7" width="8.625" outlineLevel="1" collapsed="false"/>
    <col min="22" max="22" customWidth="true" style="7" width="7.125" outlineLevel="1" collapsed="false"/>
    <col min="23" max="23" customWidth="true" style="7" width="6.125" outlineLevel="1" collapsed="false"/>
    <col min="24" max="24" customWidth="true" style="6" width="6.375" outlineLevel="1" collapsed="false"/>
    <col min="25" max="25" customWidth="true" style="6" width="6.125" outlineLevel="1" collapsed="false"/>
    <col min="26" max="26" customWidth="true" style="6" width="10.125" outlineLevel="1" collapsed="false"/>
    <col min="27" max="27" customWidth="true" style="6" width="7.625" outlineLevel="1" collapsed="false"/>
    <col min="28" max="28" customWidth="true" style="6" width="8.625" outlineLevel="1" collapsed="false"/>
    <col min="29" max="30" customWidth="true" style="6" width="8.125" outlineLevel="1" collapsed="false"/>
    <col min="31" max="31" customWidth="true" style="6" width="8.375" outlineLevel="1" collapsed="false"/>
    <col min="32" max="32" customWidth="true" style="6" width="15.5" outlineLevel="1" collapsed="false"/>
    <col min="33" max="33" customWidth="true" style="6" width="7.125" outlineLevel="1" collapsed="false"/>
    <col min="34" max="34" customWidth="true" style="6" width="10.5" outlineLevel="1" collapsed="false"/>
    <col min="35" max="35" customWidth="true" style="6" width="7.125" outlineLevel="1" collapsed="false"/>
    <col min="36" max="36" customWidth="true" style="6" width="10.625" outlineLevel="1" collapsed="false"/>
    <col min="37" max="37" customWidth="true" style="6" width="6.125" outlineLevel="1" collapsed="false"/>
    <col min="38" max="38" customWidth="true" style="6" width="10.125" outlineLevel="1" collapsed="false"/>
    <col min="39" max="39" customWidth="true" style="6" width="8.625" outlineLevel="1" collapsed="false"/>
    <col min="40" max="40" customWidth="true" style="6" width="6.125" outlineLevel="1" collapsed="false"/>
    <col min="41" max="42" customWidth="true" style="6" width="7.125" outlineLevel="1" collapsed="false"/>
    <col min="43" max="43" customWidth="true" style="6" width="12.875" outlineLevel="1" collapsed="false"/>
    <col min="44" max="44" bestFit="true" customWidth="true" style="6" width="11.625" collapsed="false"/>
    <col min="45" max="48" customWidth="true" style="6" width="6.5" outlineLevel="1" collapsed="false"/>
    <col min="49" max="49" bestFit="true" customWidth="true" style="6" width="12.5" collapsed="false"/>
    <col min="50" max="61" customWidth="true" style="6" width="6.125" outlineLevel="1" collapsed="false"/>
    <col min="62" max="62" customWidth="true" style="6" width="18.125" collapsed="false"/>
    <col min="63" max="68" customWidth="true" style="6" width="6.125" outlineLevel="1" collapsed="false"/>
    <col min="69" max="69" bestFit="true" customWidth="true" style="6" width="17.0" collapsed="false"/>
    <col min="70" max="71" customWidth="true" style="6" width="6.875" outlineLevel="1" collapsed="false"/>
    <col min="72" max="72" bestFit="true" customWidth="true" style="6" width="10.875" collapsed="false"/>
    <col min="73" max="73" customWidth="true" style="6" width="10.875" outlineLevel="1" collapsed="false"/>
    <col min="74" max="74" customWidth="true" style="6" width="10.375" outlineLevel="1" collapsed="false"/>
    <col min="75" max="75" customWidth="true" style="6" width="11.5" outlineLevel="1" collapsed="false"/>
    <col min="76" max="76" bestFit="true" customWidth="true" style="6" width="10.875" collapsed="false"/>
    <col min="77" max="82" customWidth="true" style="6" width="6.625" outlineLevel="1" collapsed="false"/>
    <col min="83" max="83" customWidth="true" style="6" width="12.625" collapsed="false"/>
    <col min="84" max="87" customWidth="true" style="6" width="6.625" outlineLevel="1" collapsed="false"/>
    <col min="88" max="88" customWidth="true" style="6" width="7.0" outlineLevel="1" collapsed="false"/>
    <col min="89" max="89" customWidth="true" style="6" width="10.875" collapsed="false"/>
    <col min="90" max="92" customWidth="true" style="6" width="6.125" outlineLevel="1" collapsed="false"/>
    <col min="93" max="93" bestFit="true" customWidth="true" style="6" width="10.875" collapsed="false"/>
    <col min="94" max="98" customWidth="true" style="6" width="6.125" outlineLevel="1" collapsed="false"/>
    <col min="99" max="99" bestFit="true" customWidth="true" style="6" width="11.375" collapsed="false"/>
    <col min="100" max="101" customWidth="true" style="6" width="6.125" outlineLevel="1" collapsed="false"/>
    <col min="102" max="102" customWidth="true" style="6" width="7.0" outlineLevel="1" collapsed="false"/>
    <col min="103" max="103" bestFit="true" customWidth="true" style="6" width="10.875" collapsed="false"/>
    <col min="104" max="110" customWidth="true" style="6" width="6.375" outlineLevel="1" collapsed="false"/>
    <col min="111" max="111" bestFit="true" customWidth="true" style="6" width="15.625" collapsed="false"/>
    <col min="112" max="112" customWidth="true" style="6" width="9.125" outlineLevel="1" collapsed="false"/>
    <col min="113" max="113" bestFit="true" customWidth="true" width="9.375" collapsed="false"/>
    <col min="114" max="114" customWidth="true" width="9.125" outlineLevel="1" collapsed="false"/>
    <col min="115" max="115" bestFit="true" customWidth="true" style="6" width="13.875" collapsed="false"/>
    <col min="116" max="116" customWidth="true" style="6" width="9.125" outlineLevel="1" collapsed="false"/>
    <col min="117" max="120" customWidth="true" style="6" width="5.625" outlineLevel="1" collapsed="false"/>
    <col min="121" max="121" customWidth="true" style="6" width="7.0" outlineLevel="1" collapsed="false"/>
    <col min="122" max="122" customWidth="true" style="6" width="9.125" outlineLevel="2" collapsed="false"/>
    <col min="123" max="124" customWidth="true" style="6" width="9.625" outlineLevel="2" collapsed="false"/>
    <col min="125" max="127" customWidth="true" style="6" width="9.125" outlineLevel="2" collapsed="false"/>
    <col min="128" max="128" bestFit="true" customWidth="true" style="6" width="15.0" collapsed="false"/>
    <col min="129" max="129" customWidth="true" style="6" width="9.125" outlineLevel="1" collapsed="false"/>
    <col min="130" max="130" bestFit="true" customWidth="true" style="6" width="13.0" collapsed="false"/>
    <col min="131" max="132" customWidth="true" style="6" width="9.125" outlineLevel="1" collapsed="false"/>
    <col min="133" max="133" bestFit="true" customWidth="true" style="6" width="13.0" collapsed="false"/>
    <col min="134" max="134" customWidth="true" style="6" width="8.875" outlineLevel="1" collapsed="false"/>
    <col min="135" max="135" customWidth="true" style="6" width="10.625" collapsed="false"/>
    <col min="136" max="136" customWidth="true" style="6" width="10.625" outlineLevel="2" collapsed="false"/>
    <col min="137" max="137" bestFit="true" customWidth="true" style="6" width="9.125" collapsed="false"/>
    <col min="138" max="138" customWidth="true" style="6" width="18.625" outlineLevel="1" collapsed="false"/>
    <col min="139" max="139" customWidth="true" style="6" width="11.0" outlineLevel="1" collapsed="false"/>
    <col min="140" max="140" customWidth="true" style="6" width="10.625" outlineLevel="1" collapsed="false"/>
    <col min="141" max="147" customWidth="true" style="6" width="9.0" outlineLevel="1" collapsed="false"/>
    <col min="148" max="148" bestFit="true" customWidth="true" style="6" width="8.625" collapsed="false"/>
    <col min="149" max="149" customWidth="true" style="6" width="6.875" outlineLevel="1" collapsed="false"/>
    <col min="150" max="150" customWidth="true" style="6" width="31.125" outlineLevel="1" collapsed="false"/>
    <col min="151" max="151" bestFit="true" customWidth="true" width="14.125" collapsed="false"/>
    <col min="152" max="154" customWidth="true" width="14.125" collapsed="false"/>
    <col min="155" max="155" bestFit="true" customWidth="true" width="22.0" collapsed="false"/>
    <col min="156" max="156" customWidth="true" style="6" width="10.625" collapsed="false"/>
    <col min="157" max="157" customWidth="true" style="6" width="28.0" collapsed="false"/>
    <col min="158" max="158" style="6" width="9.0" collapsed="false"/>
    <col min="159" max="159" customWidth="true" style="6" width="14.625" collapsed="false"/>
    <col min="160" max="16384" style="6" width="9.0" collapsed="false"/>
  </cols>
  <sheetData>
    <row r="1" spans="1:159" s="18" customFormat="1" ht="67.5" x14ac:dyDescent="0.2">
      <c r="B1" s="169" t="s">
        <v>97</v>
      </c>
      <c r="C1" s="169"/>
      <c r="D1" s="17" t="s">
        <v>98</v>
      </c>
      <c r="E1" s="17" t="s">
        <v>99</v>
      </c>
      <c r="I1" s="17" t="s">
        <v>100</v>
      </c>
      <c r="N1" s="17" t="s">
        <v>101</v>
      </c>
      <c r="O1" s="17" t="s">
        <v>102</v>
      </c>
      <c r="P1" s="19"/>
      <c r="Q1" s="20" t="s">
        <v>103</v>
      </c>
      <c r="R1" s="77" t="s">
        <v>104</v>
      </c>
      <c r="S1" s="77" t="s">
        <v>105</v>
      </c>
      <c r="T1" s="77" t="s">
        <v>106</v>
      </c>
      <c r="U1" s="77" t="s">
        <v>107</v>
      </c>
      <c r="W1" s="77" t="s">
        <v>108</v>
      </c>
      <c r="Y1" s="77" t="s">
        <v>109</v>
      </c>
      <c r="Z1" s="77" t="s">
        <v>110</v>
      </c>
      <c r="AA1" s="77" t="s">
        <v>111</v>
      </c>
      <c r="AD1" s="77" t="s">
        <v>112</v>
      </c>
      <c r="AF1" s="77" t="s">
        <v>113</v>
      </c>
      <c r="AG1" s="77" t="s">
        <v>114</v>
      </c>
      <c r="AH1" s="77" t="s">
        <v>115</v>
      </c>
      <c r="AI1" s="77" t="s">
        <v>116</v>
      </c>
      <c r="AJ1" s="77" t="s">
        <v>117</v>
      </c>
      <c r="AK1" s="77" t="s">
        <v>118</v>
      </c>
      <c r="AL1" s="77" t="s">
        <v>119</v>
      </c>
      <c r="AM1" s="77" t="s">
        <v>120</v>
      </c>
      <c r="AN1" s="77" t="s">
        <v>121</v>
      </c>
      <c r="AO1" s="77" t="s">
        <v>122</v>
      </c>
      <c r="AP1" s="77" t="s">
        <v>123</v>
      </c>
      <c r="AR1" s="20" t="s">
        <v>103</v>
      </c>
      <c r="AS1" s="77" t="s">
        <v>124</v>
      </c>
      <c r="AW1" s="20" t="s">
        <v>103</v>
      </c>
      <c r="AX1" s="77" t="s">
        <v>125</v>
      </c>
      <c r="BJ1" s="20" t="s">
        <v>103</v>
      </c>
      <c r="BQ1" s="20" t="s">
        <v>103</v>
      </c>
      <c r="BR1" s="20"/>
      <c r="BS1" s="20"/>
      <c r="BT1" s="20" t="s">
        <v>103</v>
      </c>
      <c r="BU1" s="20"/>
      <c r="BV1" s="20"/>
      <c r="BW1" s="77" t="s">
        <v>126</v>
      </c>
      <c r="BX1" s="20" t="s">
        <v>103</v>
      </c>
      <c r="BY1" s="77" t="s">
        <v>127</v>
      </c>
      <c r="BZ1" s="77" t="s">
        <v>128</v>
      </c>
      <c r="CA1" s="20"/>
      <c r="CB1" s="77" t="s">
        <v>129</v>
      </c>
      <c r="CC1" s="20"/>
      <c r="CD1" s="20"/>
      <c r="CE1" s="20" t="s">
        <v>103</v>
      </c>
      <c r="CF1" s="20"/>
      <c r="CG1" s="20"/>
      <c r="CH1" s="20"/>
      <c r="CI1" s="20"/>
      <c r="CK1" s="20" t="s">
        <v>103</v>
      </c>
      <c r="CL1" s="77" t="s">
        <v>130</v>
      </c>
      <c r="CM1" s="20"/>
      <c r="CN1" s="20"/>
      <c r="CO1" s="20" t="s">
        <v>103</v>
      </c>
      <c r="CP1" s="77" t="s">
        <v>131</v>
      </c>
      <c r="CU1" s="20" t="s">
        <v>103</v>
      </c>
      <c r="CY1" s="20" t="s">
        <v>103</v>
      </c>
      <c r="DG1" s="20" t="s">
        <v>103</v>
      </c>
      <c r="DH1" s="77" t="s">
        <v>132</v>
      </c>
      <c r="DI1" s="20" t="s">
        <v>103</v>
      </c>
      <c r="DJ1" s="20"/>
      <c r="DK1" s="20" t="s">
        <v>103</v>
      </c>
      <c r="DM1" s="77" t="s">
        <v>133</v>
      </c>
      <c r="DQ1" s="77" t="s">
        <v>134</v>
      </c>
      <c r="DX1" s="20" t="s">
        <v>103</v>
      </c>
      <c r="DZ1" s="20" t="s">
        <v>103</v>
      </c>
      <c r="EC1" s="20" t="s">
        <v>103</v>
      </c>
      <c r="EE1" s="20" t="s">
        <v>135</v>
      </c>
      <c r="EF1" s="20"/>
      <c r="EG1" s="20" t="s">
        <v>103</v>
      </c>
      <c r="EQ1" s="77" t="s">
        <v>136</v>
      </c>
      <c r="ER1" s="20" t="s">
        <v>137</v>
      </c>
      <c r="EU1" s="20" t="s">
        <v>135</v>
      </c>
      <c r="EV1" s="20"/>
      <c r="EW1" s="20"/>
      <c r="EX1" s="20"/>
      <c r="EZ1" s="20" t="s">
        <v>135</v>
      </c>
    </row>
    <row r="2" spans="1:159" s="18" customFormat="1" ht="12.75" x14ac:dyDescent="0.2">
      <c r="B2" s="170" t="s">
        <v>138</v>
      </c>
      <c r="C2" s="171"/>
      <c r="D2" s="61"/>
      <c r="E2" s="17"/>
      <c r="N2" s="17" t="s">
        <v>139</v>
      </c>
      <c r="O2" s="17" t="s">
        <v>139</v>
      </c>
      <c r="P2" s="19"/>
      <c r="Q2" s="61" t="s">
        <v>140</v>
      </c>
      <c r="R2" s="62">
        <f>IF(LEFT(Q6,3)="fin",IFERROR(SUMPRODUCT($DM$2:$DQ$2,$DM$5:$DQ$5)/SUM($DM$5:$DQ$5),1),IFERROR(INDEX(tRates[[k€]:[k€]],MATCH(R6,tRates[[Key (lookup)]:[Key (lookup)]],0)),"no rate"))</f>
        <v>0.51300000000000001</v>
      </c>
      <c r="S2" s="62">
        <f>IF(LEFT(R6,3)="fin",IFERROR(SUMPRODUCT($DM$2:$DQ$2,$DM$5:$DQ$5)/SUM($DM$5:$DQ$5),1),IFERROR(INDEX(tRates[[k€]:[k€]],MATCH(S6,tRates[[Key (lookup)]:[Key (lookup)]],0)),"no rate"))</f>
        <v>0.51300000000000001</v>
      </c>
      <c r="T2" s="62">
        <f>IF(LEFT(S6,3)="fin",IFERROR(SUMPRODUCT($DM$2:$DQ$2,$DM$5:$DQ$5)/SUM($DM$5:$DQ$5),1),IFERROR(INDEX(tRates[[k€]:[k€]],MATCH(T6,tRates[[Key (lookup)]:[Key (lookup)]],0)),"no rate"))</f>
        <v>0.48299999999999998</v>
      </c>
      <c r="U2" s="62">
        <f>IF(LEFT(T6,3)="fin",IFERROR(SUMPRODUCT($DM$2:$DQ$2,$DM$5:$DQ$5)/SUM($DM$5:$DQ$5),1),IFERROR(INDEX(tRates[[k€]:[k€]],MATCH(U6,tRates[[Key (lookup)]:[Key (lookup)]],0)),"no rate"))</f>
        <v>1</v>
      </c>
      <c r="V2" s="62">
        <f>IF(LEFT(U6,3)="fin",IFERROR(SUMPRODUCT($DM$2:$DQ$2,$DM$5:$DQ$5)/SUM($DM$5:$DQ$5),1),IFERROR(INDEX(tRates[[k€]:[k€]],MATCH(V6,tRates[[Key (lookup)]:[Key (lookup)]],0)),"no rate"))</f>
        <v>0.20599999999999999</v>
      </c>
      <c r="W2" s="62">
        <f>IF(LEFT(V6,3)="fin",IFERROR(SUMPRODUCT($DM$2:$DQ$2,$DM$5:$DQ$5)/SUM($DM$5:$DQ$5),1),IFERROR(INDEX(tRates[[k€]:[k€]],MATCH(W6,tRates[[Key (lookup)]:[Key (lookup)]],0)),"no rate"))</f>
        <v>0.51300000000000001</v>
      </c>
      <c r="X2" s="62">
        <f>IF(LEFT(W6,3)="fin",IFERROR(SUMPRODUCT($DM$2:$DQ$2,$DM$5:$DQ$5)/SUM($DM$5:$DQ$5),1),IFERROR(INDEX(tRates[[k€]:[k€]],MATCH(X6,tRates[[Key (lookup)]:[Key (lookup)]],0)),"no rate"))</f>
        <v>0.48699999999999999</v>
      </c>
      <c r="Y2" s="62">
        <f>IF(LEFT(X6,3)="fin",IFERROR(SUMPRODUCT($DM$2:$DQ$2,$DM$5:$DQ$5)/SUM($DM$5:$DQ$5),1),IFERROR(INDEX(tRates[[k€]:[k€]],MATCH(Y6,tRates[[Key (lookup)]:[Key (lookup)]],0)),"no rate"))</f>
        <v>0.48699999999999999</v>
      </c>
      <c r="Z2" s="62">
        <f>IF(LEFT(Y6,3)="fin",IFERROR(SUMPRODUCT($DM$2:$DQ$2,$DM$5:$DQ$5)/SUM($DM$5:$DQ$5),1),IFERROR(INDEX(tRates[[k€]:[k€]],MATCH(Z6,tRates[[Key (lookup)]:[Key (lookup)]],0)),"no rate"))</f>
        <v>0.51300000000000001</v>
      </c>
      <c r="AA2" s="62">
        <f>IF(LEFT(Z6,3)="fin",IFERROR(SUMPRODUCT($DM$2:$DQ$2,$DM$5:$DQ$5)/SUM($DM$5:$DQ$5),1),IFERROR(INDEX(tRates[[k€]:[k€]],MATCH(AA6,tRates[[Key (lookup)]:[Key (lookup)]],0)),"no rate"))</f>
        <v>0.49199999999999999</v>
      </c>
      <c r="AB2" s="62">
        <f>IF(LEFT(AA6,3)="fin",IFERROR(SUMPRODUCT($DM$2:$DQ$2,$DM$5:$DQ$5)/SUM($DM$5:$DQ$5),1),IFERROR(INDEX(tRates[[k€]:[k€]],MATCH(AB6,tRates[[Key (lookup)]:[Key (lookup)]],0)),"no rate"))</f>
        <v>0.57399999999999995</v>
      </c>
      <c r="AC2" s="62">
        <f>IF(LEFT(AB6,3)="fin",IFERROR(SUMPRODUCT($DM$2:$DQ$2,$DM$5:$DQ$5)/SUM($DM$5:$DQ$5),1),IFERROR(INDEX(tRates[[k€]:[k€]],MATCH(AC6,tRates[[Key (lookup)]:[Key (lookup)]],0)),"no rate"))</f>
        <v>0.51300000000000001</v>
      </c>
      <c r="AD2" s="62">
        <f>IF(LEFT(AC6,3)="fin",IFERROR(SUMPRODUCT($DM$2:$DQ$2,$DM$5:$DQ$5)/SUM($DM$5:$DQ$5),1),IFERROR(INDEX(tRates[[k€]:[k€]],MATCH(AD6,tRates[[Key (lookup)]:[Key (lookup)]],0)),"no rate"))</f>
        <v>0.51300000000000001</v>
      </c>
      <c r="AE2" s="62">
        <f>IF(LEFT(AD6,3)="fin",IFERROR(SUMPRODUCT($DM$2:$DQ$2,$DM$5:$DQ$5)/SUM($DM$5:$DQ$5),1),IFERROR(INDEX(tRates[[k€]:[k€]],MATCH(AE6,tRates[[Key (lookup)]:[Key (lookup)]],0)),"no rate"))</f>
        <v>0.51300000000000001</v>
      </c>
      <c r="AF2" s="62">
        <f>IF(LEFT(AE6,3)="fin",IFERROR(SUMPRODUCT($DM$2:$DQ$2,$DM$5:$DQ$5)/SUM($DM$5:$DQ$5),1),IFERROR(INDEX(tRates[[k€]:[k€]],MATCH(AF6,tRates[[Key (lookup)]:[Key (lookup)]],0)),"no rate"))</f>
        <v>0.51300000000000001</v>
      </c>
      <c r="AG2" s="62">
        <f>IF(LEFT(AF6,3)="fin",IFERROR(SUMPRODUCT($DM$2:$DQ$2,$DM$5:$DQ$5)/SUM($DM$5:$DQ$5),1),IFERROR(INDEX(tRates[[k€]:[k€]],MATCH(AG6,tRates[[Key (lookup)]:[Key (lookup)]],0)),"no rate"))</f>
        <v>0.51300000000000001</v>
      </c>
      <c r="AH2" s="62">
        <f>IF(LEFT(AG6,3)="fin",IFERROR(SUMPRODUCT($DM$2:$DQ$2,$DM$5:$DQ$5)/SUM($DM$5:$DQ$5),1),IFERROR(INDEX(tRates[[k€]:[k€]],MATCH(AH6,tRates[[Key (lookup)]:[Key (lookup)]],0)),"no rate"))</f>
        <v>0.51300000000000001</v>
      </c>
      <c r="AI2" s="62">
        <f>IF(LEFT(AH6,3)="fin",IFERROR(SUMPRODUCT($DM$2:$DQ$2,$DM$5:$DQ$5)/SUM($DM$5:$DQ$5),1),IFERROR(INDEX(tRates[[k€]:[k€]],MATCH(AI6,tRates[[Key (lookup)]:[Key (lookup)]],0)),"no rate"))</f>
        <v>0.51300000000000001</v>
      </c>
      <c r="AJ2" s="62">
        <f>IF(LEFT(AI6,3)="fin",IFERROR(SUMPRODUCT($DM$2:$DQ$2,$DM$5:$DQ$5)/SUM($DM$5:$DQ$5),1),IFERROR(INDEX(tRates[[k€]:[k€]],MATCH(AJ6,tRates[[Key (lookup)]:[Key (lookup)]],0)),"no rate"))</f>
        <v>0.51300000000000001</v>
      </c>
      <c r="AK2" s="62">
        <f>IF(LEFT(AJ6,3)="fin",IFERROR(SUMPRODUCT($DM$2:$DQ$2,$DM$5:$DQ$5)/SUM($DM$5:$DQ$5),1),IFERROR(INDEX(tRates[[k€]:[k€]],MATCH(AK6,tRates[[Key (lookup)]:[Key (lookup)]],0)),"no rate"))</f>
        <v>0.51300000000000001</v>
      </c>
      <c r="AL2" s="62">
        <f>IF(LEFT(AK6,3)="fin",IFERROR(SUMPRODUCT($DM$2:$DQ$2,$DM$5:$DQ$5)/SUM($DM$5:$DQ$5),1),IFERROR(INDEX(tRates[[k€]:[k€]],MATCH(AL6,tRates[[Key (lookup)]:[Key (lookup)]],0)),"no rate"))</f>
        <v>0.51300000000000001</v>
      </c>
      <c r="AM2" s="62">
        <f>IF(LEFT(AL6,3)="fin",IFERROR(SUMPRODUCT($DM$2:$DQ$2,$DM$5:$DQ$5)/SUM($DM$5:$DQ$5),1),IFERROR(INDEX(tRates[[k€]:[k€]],MATCH(AM6,tRates[[Key (lookup)]:[Key (lookup)]],0)),"no rate"))</f>
        <v>0.51300000000000001</v>
      </c>
      <c r="AN2" s="62">
        <f>IF(LEFT(AM6,3)="fin",IFERROR(SUMPRODUCT($DM$2:$DQ$2,$DM$5:$DQ$5)/SUM($DM$5:$DQ$5),1),IFERROR(INDEX(tRates[[k€]:[k€]],MATCH(AN6,tRates[[Key (lookup)]:[Key (lookup)]],0)),"no rate"))</f>
        <v>0.51300000000000001</v>
      </c>
      <c r="AO2" s="62">
        <f>IF(LEFT(AN6,3)="fin",IFERROR(SUMPRODUCT($DM$2:$DQ$2,$DM$5:$DQ$5)/SUM($DM$5:$DQ$5),1),IFERROR(INDEX(tRates[[k€]:[k€]],MATCH(AO6,tRates[[Key (lookup)]:[Key (lookup)]],0)),"no rate"))</f>
        <v>0.51300000000000001</v>
      </c>
      <c r="AP2" s="62">
        <f>IF(LEFT(AO6,3)="fin",IFERROR(SUMPRODUCT($DM$2:$DQ$2,$DM$5:$DQ$5)/SUM($DM$5:$DQ$5),1),IFERROR(INDEX(tRates[[k€]:[k€]],MATCH(AP6,tRates[[Key (lookup)]:[Key (lookup)]],0)),"no rate"))</f>
        <v>0.49199999999999999</v>
      </c>
      <c r="AQ2" s="62">
        <f>IF(LEFT(AP6,3)="fin",IFERROR(SUMPRODUCT($DM$2:$DQ$2,$DM$5:$DQ$5)/SUM($DM$5:$DQ$5),1),IFERROR(INDEX(tRates[[k€]:[k€]],MATCH(AQ6,tRates[[Key (lookup)]:[Key (lookup)]],0)),"no rate"))</f>
        <v>0.51300000000000001</v>
      </c>
      <c r="AR2" s="62" t="str">
        <f>IF(LEFT(AQ6,3)="fin",IFERROR(SUMPRODUCT($DM$2:$DQ$2,$DM$5:$DQ$5)/SUM($DM$5:$DQ$5),1),IFERROR(INDEX(tRates[[k€]:[k€]],MATCH(AR6,tRates[[Key (lookup)]:[Key (lookup)]],0)),"no rate"))</f>
        <v>na</v>
      </c>
      <c r="AS2" s="62">
        <f>IF(LEFT(AR6,3)="fin",IFERROR(SUMPRODUCT($DM$2:$DQ$2,$DM$5:$DQ$5)/SUM($DM$5:$DQ$5),1),IFERROR(INDEX(tRates[[k€]:[k€]],MATCH(AS6,tRates[[Key (lookup)]:[Key (lookup)]],0)),"no rate"))</f>
        <v>0.6</v>
      </c>
      <c r="AT2" s="62">
        <f>IF(LEFT(AS6,3)="fin",IFERROR(SUMPRODUCT($DM$2:$DQ$2,$DM$5:$DQ$5)/SUM($DM$5:$DQ$5),1),IFERROR(INDEX(tRates[[k€]:[k€]],MATCH(AT6,tRates[[Key (lookup)]:[Key (lookup)]],0)),"no rate"))</f>
        <v>0.48699999999999999</v>
      </c>
      <c r="AU2" s="62">
        <f>IF(LEFT(AT6,3)="fin",IFERROR(SUMPRODUCT($DM$2:$DQ$2,$DM$5:$DQ$5)/SUM($DM$5:$DQ$5),1),IFERROR(INDEX(tRates[[k€]:[k€]],MATCH(AU6,tRates[[Key (lookup)]:[Key (lookup)]],0)),"no rate"))</f>
        <v>1</v>
      </c>
      <c r="AV2" s="62">
        <f>IF(LEFT(AU6,3)="fin",IFERROR(SUMPRODUCT($DM$2:$DQ$2,$DM$5:$DQ$5)/SUM($DM$5:$DQ$5),1),IFERROR(INDEX(tRates[[k€]:[k€]],MATCH(AV6,tRates[[Key (lookup)]:[Key (lookup)]],0)),"no rate"))</f>
        <v>0.51300000000000001</v>
      </c>
      <c r="AW2" s="62" t="str">
        <f>IF(LEFT(AV6,3)="fin",IFERROR(SUMPRODUCT($DM$2:$DQ$2,$DM$5:$DQ$5)/SUM($DM$5:$DQ$5),1),IFERROR(INDEX(tRates[[k€]:[k€]],MATCH(AW6,tRates[[Key (lookup)]:[Key (lookup)]],0)),"no rate"))</f>
        <v>na</v>
      </c>
      <c r="AX2" s="62">
        <f>IF(LEFT(AW6,3)="fin",IFERROR(SUMPRODUCT($DM$2:$DQ$2,$DM$5:$DQ$5)/SUM($DM$5:$DQ$5),1),IFERROR(INDEX(tRates[[k€]:[k€]],MATCH(AX6,tRates[[Key (lookup)]:[Key (lookup)]],0)),"no rate"))</f>
        <v>0.6</v>
      </c>
      <c r="AY2" s="62">
        <f>IF(LEFT(AX6,3)="fin",IFERROR(SUMPRODUCT($DM$2:$DQ$2,$DM$5:$DQ$5)/SUM($DM$5:$DQ$5),1),IFERROR(INDEX(tRates[[k€]:[k€]],MATCH(AY6,tRates[[Key (lookup)]:[Key (lookup)]],0)),"no rate"))</f>
        <v>0.48699999999999999</v>
      </c>
      <c r="AZ2" s="62">
        <f>IF(LEFT(AY6,3)="fin",IFERROR(SUMPRODUCT($DM$2:$DQ$2,$DM$5:$DQ$5)/SUM($DM$5:$DQ$5),1),IFERROR(INDEX(tRates[[k€]:[k€]],MATCH(AZ6,tRates[[Key (lookup)]:[Key (lookup)]],0)),"no rate"))</f>
        <v>0.51300000000000001</v>
      </c>
      <c r="BA2" s="62">
        <f>IF(LEFT(AZ6,3)="fin",IFERROR(SUMPRODUCT($DM$2:$DQ$2,$DM$5:$DQ$5)/SUM($DM$5:$DQ$5),1),IFERROR(INDEX(tRates[[k€]:[k€]],MATCH(BA6,tRates[[Key (lookup)]:[Key (lookup)]],0)),"no rate"))</f>
        <v>0.57399999999999995</v>
      </c>
      <c r="BB2" s="62">
        <f>IF(LEFT(BA6,3)="fin",IFERROR(SUMPRODUCT($DM$2:$DQ$2,$DM$5:$DQ$5)/SUM($DM$5:$DQ$5),1),IFERROR(INDEX(tRates[[k€]:[k€]],MATCH(BB6,tRates[[Key (lookup)]:[Key (lookup)]],0)),"no rate"))</f>
        <v>1</v>
      </c>
      <c r="BC2" s="62">
        <f>IF(LEFT(BB6,3)="fin",IFERROR(SUMPRODUCT($DM$2:$DQ$2,$DM$5:$DQ$5)/SUM($DM$5:$DQ$5),1),IFERROR(INDEX(tRates[[k€]:[k€]],MATCH(BC6,tRates[[Key (lookup)]:[Key (lookup)]],0)),"no rate"))</f>
        <v>0.48699999999999999</v>
      </c>
      <c r="BD2" s="62">
        <f>IF(LEFT(BC6,3)="fin",IFERROR(SUMPRODUCT($DM$2:$DQ$2,$DM$5:$DQ$5)/SUM($DM$5:$DQ$5),1),IFERROR(INDEX(tRates[[k€]:[k€]],MATCH(BD6,tRates[[Key (lookup)]:[Key (lookup)]],0)),"no rate"))</f>
        <v>0.49199999999999999</v>
      </c>
      <c r="BE2" s="62">
        <f>IF(LEFT(BD6,3)="fin",IFERROR(SUMPRODUCT($DM$2:$DQ$2,$DM$5:$DQ$5)/SUM($DM$5:$DQ$5),1),IFERROR(INDEX(tRates[[k€]:[k€]],MATCH(BE6,tRates[[Key (lookup)]:[Key (lookup)]],0)),"no rate"))</f>
        <v>0.49199999999999999</v>
      </c>
      <c r="BF2" s="62">
        <f>IF(LEFT(BE6,3)="fin",IFERROR(SUMPRODUCT($DM$2:$DQ$2,$DM$5:$DQ$5)/SUM($DM$5:$DQ$5),1),IFERROR(INDEX(tRates[[k€]:[k€]],MATCH(BF6,tRates[[Key (lookup)]:[Key (lookup)]],0)),"no rate"))</f>
        <v>0.30199999999999999</v>
      </c>
      <c r="BG2" s="62">
        <f>IF(LEFT(BF6,3)="fin",IFERROR(SUMPRODUCT($DM$2:$DQ$2,$DM$5:$DQ$5)/SUM($DM$5:$DQ$5),1),IFERROR(INDEX(tRates[[k€]:[k€]],MATCH(BG6,tRates[[Key (lookup)]:[Key (lookup)]],0)),"no rate"))</f>
        <v>0.20599999999999999</v>
      </c>
      <c r="BH2" s="62">
        <f>IF(LEFT(BG6,3)="fin",IFERROR(SUMPRODUCT($DM$2:$DQ$2,$DM$5:$DQ$5)/SUM($DM$5:$DQ$5),1),IFERROR(INDEX(tRates[[k€]:[k€]],MATCH(BH6,tRates[[Key (lookup)]:[Key (lookup)]],0)),"no rate"))</f>
        <v>0.51300000000000001</v>
      </c>
      <c r="BI2" s="62">
        <f>IF(LEFT(BH6,3)="fin",IFERROR(SUMPRODUCT($DM$2:$DQ$2,$DM$5:$DQ$5)/SUM($DM$5:$DQ$5),1),IFERROR(INDEX(tRates[[k€]:[k€]],MATCH(BI6,tRates[[Key (lookup)]:[Key (lookup)]],0)),"no rate"))</f>
        <v>0.51300000000000001</v>
      </c>
      <c r="BJ2" s="62" t="str">
        <f>IF(LEFT(BI6,3)="fin",IFERROR(SUMPRODUCT($DM$2:$DQ$2,$DM$5:$DQ$5)/SUM($DM$5:$DQ$5),1),IFERROR(INDEX(tRates[[k€]:[k€]],MATCH(BJ6,tRates[[Key (lookup)]:[Key (lookup)]],0)),"no rate"))</f>
        <v>na</v>
      </c>
      <c r="BK2" s="62">
        <f>IF(LEFT(BJ6,3)="fin",IFERROR(SUMPRODUCT($DM$2:$DQ$2,$DM$5:$DQ$5)/SUM($DM$5:$DQ$5),1),IFERROR(INDEX(tRates[[k€]:[k€]],MATCH(BK6,tRates[[Key (lookup)]:[Key (lookup)]],0)),"no rate"))</f>
        <v>0.6</v>
      </c>
      <c r="BL2" s="62">
        <f>IF(LEFT(BK6,3)="fin",IFERROR(SUMPRODUCT($DM$2:$DQ$2,$DM$5:$DQ$5)/SUM($DM$5:$DQ$5),1),IFERROR(INDEX(tRates[[k€]:[k€]],MATCH(BL6,tRates[[Key (lookup)]:[Key (lookup)]],0)),"no rate"))</f>
        <v>0.48699999999999999</v>
      </c>
      <c r="BM2" s="62">
        <f>IF(LEFT(BL6,3)="fin",IFERROR(SUMPRODUCT($DM$2:$DQ$2,$DM$5:$DQ$5)/SUM($DM$5:$DQ$5),1),IFERROR(INDEX(tRates[[k€]:[k€]],MATCH(BM6,tRates[[Key (lookup)]:[Key (lookup)]],0)),"no rate"))</f>
        <v>0.51300000000000001</v>
      </c>
      <c r="BN2" s="62">
        <f>IF(LEFT(BM6,3)="fin",IFERROR(SUMPRODUCT($DM$2:$DQ$2,$DM$5:$DQ$5)/SUM($DM$5:$DQ$5),1),IFERROR(INDEX(tRates[[k€]:[k€]],MATCH(BN6,tRates[[Key (lookup)]:[Key (lookup)]],0)),"no rate"))</f>
        <v>0.51300000000000001</v>
      </c>
      <c r="BO2" s="62">
        <f>IF(LEFT(BN6,3)="fin",IFERROR(SUMPRODUCT($DM$2:$DQ$2,$DM$5:$DQ$5)/SUM($DM$5:$DQ$5),1),IFERROR(INDEX(tRates[[k€]:[k€]],MATCH(BO6,tRates[[Key (lookup)]:[Key (lookup)]],0)),"no rate"))</f>
        <v>0.51300000000000001</v>
      </c>
      <c r="BP2" s="62">
        <f>IF(LEFT(BO6,3)="fin",IFERROR(SUMPRODUCT($DM$2:$DQ$2,$DM$5:$DQ$5)/SUM($DM$5:$DQ$5),1),IFERROR(INDEX(tRates[[k€]:[k€]],MATCH(BP6,tRates[[Key (lookup)]:[Key (lookup)]],0)),"no rate"))</f>
        <v>1</v>
      </c>
      <c r="BQ2" s="62" t="str">
        <f>IF(LEFT(BP6,3)="fin",IFERROR(SUMPRODUCT($DM$2:$DQ$2,$DM$5:$DQ$5)/SUM($DM$5:$DQ$5),1),IFERROR(INDEX(tRates[[k€]:[k€]],MATCH(BQ6,tRates[[Key (lookup)]:[Key (lookup)]],0)),"no rate"))</f>
        <v>na</v>
      </c>
      <c r="BR2" s="62">
        <f>IF(LEFT(BQ6,3)="fin",IFERROR(SUMPRODUCT($DM$2:$DQ$2,$DM$5:$DQ$5)/SUM($DM$5:$DQ$5),1),IFERROR(INDEX(tRates[[k€]:[k€]],MATCH(BR6,tRates[[Key (lookup)]:[Key (lookup)]],0)),"no rate"))</f>
        <v>1</v>
      </c>
      <c r="BS2" s="62">
        <f>IF(LEFT(BR6,3)="fin",IFERROR(SUMPRODUCT($DM$2:$DQ$2,$DM$5:$DQ$5)/SUM($DM$5:$DQ$5),1),IFERROR(INDEX(tRates[[k€]:[k€]],MATCH(BS6,tRates[[Key (lookup)]:[Key (lookup)]],0)),"no rate"))</f>
        <v>0.48699999999999999</v>
      </c>
      <c r="BT2" s="62" t="str">
        <f>IF(LEFT(BS6,3)="fin",IFERROR(SUMPRODUCT($DM$2:$DQ$2,$DM$5:$DQ$5)/SUM($DM$5:$DQ$5),1),IFERROR(INDEX(tRates[[k€]:[k€]],MATCH(BT6,tRates[[Key (lookup)]:[Key (lookup)]],0)),"no rate"))</f>
        <v>na</v>
      </c>
      <c r="BU2" s="62">
        <f>IF(LEFT(BT6,3)="fin",IFERROR(SUMPRODUCT($DM$2:$DQ$2,$DM$5:$DQ$5)/SUM($DM$5:$DQ$5),1),IFERROR(INDEX(tRates[[k€]:[k€]],MATCH(BU6,tRates[[Key (lookup)]:[Key (lookup)]],0)),"no rate"))</f>
        <v>0.48699999999999999</v>
      </c>
      <c r="BV2" s="62">
        <f>IF(LEFT(BU6,3)="fin",IFERROR(SUMPRODUCT($DM$2:$DQ$2,$DM$5:$DQ$5)/SUM($DM$5:$DQ$5),1),IFERROR(INDEX(tRates[[k€]:[k€]],MATCH(BV6,tRates[[Key (lookup)]:[Key (lookup)]],0)),"no rate"))</f>
        <v>0.48699999999999999</v>
      </c>
      <c r="BW2" s="62">
        <f>IF(LEFT(BV6,3)="fin",IFERROR(SUMPRODUCT($DM$2:$DQ$2,$DM$5:$DQ$5)/SUM($DM$5:$DQ$5),1),IFERROR(INDEX(tRates[[k€]:[k€]],MATCH(BW6,tRates[[Key (lookup)]:[Key (lookup)]],0)),"no rate"))</f>
        <v>0.48699999999999999</v>
      </c>
      <c r="BX2" s="62" t="str">
        <f>IF(LEFT(BW6,3)="fin",IFERROR(SUMPRODUCT($DM$2:$DQ$2,$DM$5:$DQ$5)/SUM($DM$5:$DQ$5),1),IFERROR(INDEX(tRates[[k€]:[k€]],MATCH(BX6,tRates[[Key (lookup)]:[Key (lookup)]],0)),"no rate"))</f>
        <v>na</v>
      </c>
      <c r="BY2" s="62">
        <f>IF(LEFT(BX6,3)="fin",IFERROR(SUMPRODUCT($DM$2:$DQ$2,$DM$5:$DQ$5)/SUM($DM$5:$DQ$5),1),IFERROR(INDEX(tRates[[k€]:[k€]],MATCH(BY6,tRates[[Key (lookup)]:[Key (lookup)]],0)),"no rate"))</f>
        <v>0.6</v>
      </c>
      <c r="BZ2" s="62">
        <f>IF(LEFT(BY6,3)="fin",IFERROR(SUMPRODUCT($DM$2:$DQ$2,$DM$5:$DQ$5)/SUM($DM$5:$DQ$5),1),IFERROR(INDEX(tRates[[k€]:[k€]],MATCH(BZ6,tRates[[Key (lookup)]:[Key (lookup)]],0)),"no rate"))</f>
        <v>0.48699999999999999</v>
      </c>
      <c r="CA2" s="62">
        <f>IF(LEFT(BZ6,3)="fin",IFERROR(SUMPRODUCT($DM$2:$DQ$2,$DM$5:$DQ$5)/SUM($DM$5:$DQ$5),1),IFERROR(INDEX(tRates[[k€]:[k€]],MATCH(CA6,tRates[[Key (lookup)]:[Key (lookup)]],0)),"no rate"))</f>
        <v>0.51300000000000001</v>
      </c>
      <c r="CB2" s="62">
        <f>IF(LEFT(CA6,3)="fin",IFERROR(SUMPRODUCT($DM$2:$DQ$2,$DM$5:$DQ$5)/SUM($DM$5:$DQ$5),1),IFERROR(INDEX(tRates[[k€]:[k€]],MATCH(CB6,tRates[[Key (lookup)]:[Key (lookup)]],0)),"no rate"))</f>
        <v>0.51300000000000001</v>
      </c>
      <c r="CC2" s="62">
        <f>IF(LEFT(CB6,3)="fin",IFERROR(SUMPRODUCT($DM$2:$DQ$2,$DM$5:$DQ$5)/SUM($DM$5:$DQ$5),1),IFERROR(INDEX(tRates[[k€]:[k€]],MATCH(CC6,tRates[[Key (lookup)]:[Key (lookup)]],0)),"no rate"))</f>
        <v>0.49199999999999999</v>
      </c>
      <c r="CD2" s="62">
        <f>IF(LEFT(CC6,3)="fin",IFERROR(SUMPRODUCT($DM$2:$DQ$2,$DM$5:$DQ$5)/SUM($DM$5:$DQ$5),1),IFERROR(INDEX(tRates[[k€]:[k€]],MATCH(CD6,tRates[[Key (lookup)]:[Key (lookup)]],0)),"no rate"))</f>
        <v>0.29499999999999998</v>
      </c>
      <c r="CE2" s="62" t="str">
        <f>IF(LEFT(CD6,3)="fin",IFERROR(SUMPRODUCT($DM$2:$DQ$2,$DM$5:$DQ$5)/SUM($DM$5:$DQ$5),1),IFERROR(INDEX(tRates[[k€]:[k€]],MATCH(CE6,tRates[[Key (lookup)]:[Key (lookup)]],0)),"no rate"))</f>
        <v>na</v>
      </c>
      <c r="CF2" s="62">
        <f>IF(LEFT(CE6,3)="fin",IFERROR(SUMPRODUCT($DM$2:$DQ$2,$DM$5:$DQ$5)/SUM($DM$5:$DQ$5),1),IFERROR(INDEX(tRates[[k€]:[k€]],MATCH(CF6,tRates[[Key (lookup)]:[Key (lookup)]],0)),"no rate"))</f>
        <v>1</v>
      </c>
      <c r="CG2" s="62">
        <f>IF(LEFT(CF6,3)="fin",IFERROR(SUMPRODUCT($DM$2:$DQ$2,$DM$5:$DQ$5)/SUM($DM$5:$DQ$5),1),IFERROR(INDEX(tRates[[k€]:[k€]],MATCH(CG6,tRates[[Key (lookup)]:[Key (lookup)]],0)),"no rate"))</f>
        <v>0.57399999999999995</v>
      </c>
      <c r="CH2" s="62">
        <f>IF(LEFT(CG6,3)="fin",IFERROR(SUMPRODUCT($DM$2:$DQ$2,$DM$5:$DQ$5)/SUM($DM$5:$DQ$5),1),IFERROR(INDEX(tRates[[k€]:[k€]],MATCH(CH6,tRates[[Key (lookup)]:[Key (lookup)]],0)),"no rate"))</f>
        <v>0.57399999999999995</v>
      </c>
      <c r="CI2" s="62">
        <f>IF(LEFT(CH6,3)="fin",IFERROR(SUMPRODUCT($DM$2:$DQ$2,$DM$5:$DQ$5)/SUM($DM$5:$DQ$5),1),IFERROR(INDEX(tRates[[k€]:[k€]],MATCH(CI6,tRates[[Key (lookup)]:[Key (lookup)]],0)),"no rate"))</f>
        <v>0.30199999999999999</v>
      </c>
      <c r="CJ2" s="62">
        <f>IF(LEFT(CI6,3)="fin",IFERROR(SUMPRODUCT($DM$2:$DQ$2,$DM$5:$DQ$5)/SUM($DM$5:$DQ$5),1),IFERROR(INDEX(tRates[[k€]:[k€]],MATCH(CJ6,tRates[[Key (lookup)]:[Key (lookup)]],0)),"no rate"))</f>
        <v>0.20599999999999999</v>
      </c>
      <c r="CK2" s="62" t="str">
        <f>IF(LEFT(CJ6,3)="fin",IFERROR(SUMPRODUCT($DM$2:$DQ$2,$DM$5:$DQ$5)/SUM($DM$5:$DQ$5),1),IFERROR(INDEX(tRates[[k€]:[k€]],MATCH(CK6,tRates[[Key (lookup)]:[Key (lookup)]],0)),"no rate"))</f>
        <v>na</v>
      </c>
      <c r="CL2" s="62">
        <f>IF(LEFT(CK6,3)="fin",IFERROR(SUMPRODUCT($DM$2:$DQ$2,$DM$5:$DQ$5)/SUM($DM$5:$DQ$5),1),IFERROR(INDEX(tRates[[k€]:[k€]],MATCH(CL6,tRates[[Key (lookup)]:[Key (lookup)]],0)),"no rate"))</f>
        <v>0.6</v>
      </c>
      <c r="CM2" s="62">
        <f>IF(LEFT(CL6,3)="fin",IFERROR(SUMPRODUCT($DM$2:$DQ$2,$DM$5:$DQ$5)/SUM($DM$5:$DQ$5),1),IFERROR(INDEX(tRates[[k€]:[k€]],MATCH(CM6,tRates[[Key (lookup)]:[Key (lookup)]],0)),"no rate"))</f>
        <v>0.48699999999999999</v>
      </c>
      <c r="CN2" s="62">
        <f>IF(LEFT(CM6,3)="fin",IFERROR(SUMPRODUCT($DM$2:$DQ$2,$DM$5:$DQ$5)/SUM($DM$5:$DQ$5),1),IFERROR(INDEX(tRates[[k€]:[k€]],MATCH(CN6,tRates[[Key (lookup)]:[Key (lookup)]],0)),"no rate"))</f>
        <v>0.51300000000000001</v>
      </c>
      <c r="CO2" s="62" t="str">
        <f>IF(LEFT(CN6,3)="fin",IFERROR(SUMPRODUCT($DM$2:$DQ$2,$DM$5:$DQ$5)/SUM($DM$5:$DQ$5),1),IFERROR(INDEX(tRates[[k€]:[k€]],MATCH(CO6,tRates[[Key (lookup)]:[Key (lookup)]],0)),"no rate"))</f>
        <v>na</v>
      </c>
      <c r="CP2" s="62">
        <f>IF(LEFT(CO6,3)="fin",IFERROR(SUMPRODUCT($DM$2:$DQ$2,$DM$5:$DQ$5)/SUM($DM$5:$DQ$5),1),IFERROR(INDEX(tRates[[k€]:[k€]],MATCH(CP6,tRates[[Key (lookup)]:[Key (lookup)]],0)),"no rate"))</f>
        <v>1</v>
      </c>
      <c r="CQ2" s="62">
        <f>IF(LEFT(CP6,3)="fin",IFERROR(SUMPRODUCT($DM$2:$DQ$2,$DM$5:$DQ$5)/SUM($DM$5:$DQ$5),1),IFERROR(INDEX(tRates[[k€]:[k€]],MATCH(CQ6,tRates[[Key (lookup)]:[Key (lookup)]],0)),"no rate"))</f>
        <v>0.65600000000000003</v>
      </c>
      <c r="CR2" s="62">
        <f>IF(LEFT(CQ6,3)="fin",IFERROR(SUMPRODUCT($DM$2:$DQ$2,$DM$5:$DQ$5)/SUM($DM$5:$DQ$5),1),IFERROR(INDEX(tRates[[k€]:[k€]],MATCH(CR6,tRates[[Key (lookup)]:[Key (lookup)]],0)),"no rate"))</f>
        <v>0.57399999999999995</v>
      </c>
      <c r="CS2" s="62">
        <f>IF(LEFT(CR6,3)="fin",IFERROR(SUMPRODUCT($DM$2:$DQ$2,$DM$5:$DQ$5)/SUM($DM$5:$DQ$5),1),IFERROR(INDEX(tRates[[k€]:[k€]],MATCH(CS6,tRates[[Key (lookup)]:[Key (lookup)]],0)),"no rate"))</f>
        <v>0.57399999999999995</v>
      </c>
      <c r="CT2" s="62">
        <f>IF(LEFT(CS6,3)="fin",IFERROR(SUMPRODUCT($DM$2:$DQ$2,$DM$5:$DQ$5)/SUM($DM$5:$DQ$5),1),IFERROR(INDEX(tRates[[k€]:[k€]],MATCH(CT6,tRates[[Key (lookup)]:[Key (lookup)]],0)),"no rate"))</f>
        <v>0.30199999999999999</v>
      </c>
      <c r="CU2" s="62" t="str">
        <f>IF(LEFT(CT6,3)="fin",IFERROR(SUMPRODUCT($DM$2:$DQ$2,$DM$5:$DQ$5)/SUM($DM$5:$DQ$5),1),IFERROR(INDEX(tRates[[k€]:[k€]],MATCH(CU6,tRates[[Key (lookup)]:[Key (lookup)]],0)),"no rate"))</f>
        <v>na</v>
      </c>
      <c r="CV2" s="62">
        <f>IF(LEFT(CU6,3)="fin",IFERROR(SUMPRODUCT($DM$2:$DQ$2,$DM$5:$DQ$5)/SUM($DM$5:$DQ$5),1),IFERROR(INDEX(tRates[[k€]:[k€]],MATCH(CV6,tRates[[Key (lookup)]:[Key (lookup)]],0)),"no rate"))</f>
        <v>0.51300000000000001</v>
      </c>
      <c r="CW2" s="62">
        <f>IF(LEFT(CV6,3)="fin",IFERROR(SUMPRODUCT($DM$2:$DQ$2,$DM$5:$DQ$5)/SUM($DM$5:$DQ$5),1),IFERROR(INDEX(tRates[[k€]:[k€]],MATCH(CW6,tRates[[Key (lookup)]:[Key (lookup)]],0)),"no rate"))</f>
        <v>0.30199999999999999</v>
      </c>
      <c r="CX2" s="62">
        <f>IF(LEFT(CW6,3)="fin",IFERROR(SUMPRODUCT($DM$2:$DQ$2,$DM$5:$DQ$5)/SUM($DM$5:$DQ$5),1),IFERROR(INDEX(tRates[[k€]:[k€]],MATCH(CX6,tRates[[Key (lookup)]:[Key (lookup)]],0)),"no rate"))</f>
        <v>0.20599999999999999</v>
      </c>
      <c r="CY2" s="62" t="str">
        <f>IF(LEFT(CX6,3)="fin",IFERROR(SUMPRODUCT($DM$2:$DQ$2,$DM$5:$DQ$5)/SUM($DM$5:$DQ$5),1),IFERROR(INDEX(tRates[[k€]:[k€]],MATCH(CY6,tRates[[Key (lookup)]:[Key (lookup)]],0)),"no rate"))</f>
        <v>na</v>
      </c>
      <c r="CZ2" s="62">
        <f>IF(LEFT(CY6,3)="fin",IFERROR(SUMPRODUCT($DM$2:$DQ$2,$DM$5:$DQ$5)/SUM($DM$5:$DQ$5),1),IFERROR(INDEX(tRates[[k€]:[k€]],MATCH(CZ6,tRates[[Key (lookup)]:[Key (lookup)]],0)),"no rate"))</f>
        <v>0.6</v>
      </c>
      <c r="DA2" s="62">
        <f>IF(LEFT(CZ6,3)="fin",IFERROR(SUMPRODUCT($DM$2:$DQ$2,$DM$5:$DQ$5)/SUM($DM$5:$DQ$5),1),IFERROR(INDEX(tRates[[k€]:[k€]],MATCH(DA6,tRates[[Key (lookup)]:[Key (lookup)]],0)),"no rate"))</f>
        <v>0.51300000000000001</v>
      </c>
      <c r="DB2" s="62">
        <f>IF(LEFT(DA6,3)="fin",IFERROR(SUMPRODUCT($DM$2:$DQ$2,$DM$5:$DQ$5)/SUM($DM$5:$DQ$5),1),IFERROR(INDEX(tRates[[k€]:[k€]],MATCH(DB6,tRates[[Key (lookup)]:[Key (lookup)]],0)),"no rate"))</f>
        <v>0.51300000000000001</v>
      </c>
      <c r="DC2" s="62">
        <f>IF(LEFT(DB6,3)="fin",IFERROR(SUMPRODUCT($DM$2:$DQ$2,$DM$5:$DQ$5)/SUM($DM$5:$DQ$5),1),IFERROR(INDEX(tRates[[k€]:[k€]],MATCH(DC6,tRates[[Key (lookup)]:[Key (lookup)]],0)),"no rate"))</f>
        <v>1</v>
      </c>
      <c r="DD2" s="62">
        <f>IF(LEFT(DC6,3)="fin",IFERROR(SUMPRODUCT($DM$2:$DQ$2,$DM$5:$DQ$5)/SUM($DM$5:$DQ$5),1),IFERROR(INDEX(tRates[[k€]:[k€]],MATCH(DD6,tRates[[Key (lookup)]:[Key (lookup)]],0)),"no rate"))</f>
        <v>0.30199999999999999</v>
      </c>
      <c r="DE2" s="62">
        <f>IF(LEFT(DD6,3)="fin",IFERROR(SUMPRODUCT($DM$2:$DQ$2,$DM$5:$DQ$5)/SUM($DM$5:$DQ$5),1),IFERROR(INDEX(tRates[[k€]:[k€]],MATCH(DE6,tRates[[Key (lookup)]:[Key (lookup)]],0)),"no rate"))</f>
        <v>0.48699999999999999</v>
      </c>
      <c r="DF2" s="62">
        <f>IF(LEFT(DE6,3)="fin",IFERROR(SUMPRODUCT($DM$2:$DQ$2,$DM$5:$DQ$5)/SUM($DM$5:$DQ$5),1),IFERROR(INDEX(tRates[[k€]:[k€]],MATCH(DF6,tRates[[Key (lookup)]:[Key (lookup)]],0)),"no rate"))</f>
        <v>0.49199999999999999</v>
      </c>
      <c r="DG2" s="62" t="str">
        <f>IF(LEFT(DF6,3)="fin",IFERROR(SUMPRODUCT($DM$2:$DQ$2,$DM$5:$DQ$5)/SUM($DM$5:$DQ$5),1),IFERROR(INDEX(tRates[[k€]:[k€]],MATCH(DG6,tRates[[Key (lookup)]:[Key (lookup)]],0)),"no rate"))</f>
        <v>na</v>
      </c>
      <c r="DH2" s="62">
        <f>IF(LEFT(DG6,3)="fin",IFERROR(SUMPRODUCT($DM$2:$DQ$2,$DM$5:$DQ$5)/SUM($DM$5:$DQ$5),1),IFERROR(INDEX(tRates[[k€]:[k€]],MATCH(DH6,tRates[[Key (lookup)]:[Key (lookup)]],0)),"no rate"))</f>
        <v>0.6</v>
      </c>
      <c r="DI2" s="62" t="str">
        <f>IF(LEFT(DH6,3)="fin",IFERROR(SUMPRODUCT($DM$2:$DQ$2,$DM$5:$DQ$5)/SUM($DM$5:$DQ$5),1),IFERROR(INDEX(tRates[[k€]:[k€]],MATCH(DI6,tRates[[Key (lookup)]:[Key (lookup)]],0)),"no rate"))</f>
        <v>na</v>
      </c>
      <c r="DJ2" s="62">
        <f>IF(LEFT(DI6,3)="fin",IFERROR(SUMPRODUCT($DM$2:$DQ$2,$DM$5:$DQ$5)/SUM($DM$5:$DQ$5),1),IFERROR(INDEX(tRates[[k€]:[k€]],MATCH(DJ6,tRates[[Key (lookup)]:[Key (lookup)]],0)),"no rate"))</f>
        <v>0.51300000000000001</v>
      </c>
      <c r="DK2" s="62" t="str">
        <f>IF(LEFT(DJ6,3)="fin",IFERROR(SUMPRODUCT($DM$2:$DQ$2,$DM$5:$DQ$5)/SUM($DM$5:$DQ$5),1),IFERROR(INDEX(tRates[[k€]:[k€]],MATCH(DK6,tRates[[Key (lookup)]:[Key (lookup)]],0)),"no rate"))</f>
        <v>na</v>
      </c>
      <c r="DL2" s="62">
        <f>IF(LEFT(DK6,3)="fin",IFERROR(SUMPRODUCT($DM$2:$DQ$2,$DM$5:$DQ$5)/SUM($DM$5:$DQ$5),1),IFERROR(INDEX(tRates[[k€]:[k€]],MATCH(DL6,tRates[[Key (lookup)]:[Key (lookup)]],0)),"no rate"))</f>
        <v>1</v>
      </c>
      <c r="DM2" s="62">
        <f>IF(LEFT(DL6,3)="fin",IFERROR(SUMPRODUCT($DM$2:$DQ$2,$DM$5:$DQ$5)/SUM($DM$5:$DQ$5),1),IFERROR(INDEX(tRates[[k€]:[k€]],MATCH(DM6,tRates[[Key (lookup)]:[Key (lookup)]],0)),"no rate"))</f>
        <v>0.65500000000000003</v>
      </c>
      <c r="DN2" s="62">
        <f>IF(LEFT(DM6,3)="fin",IFERROR(SUMPRODUCT($DM$2:$DQ$2,$DM$5:$DQ$5)/SUM($DM$5:$DQ$5),1),IFERROR(INDEX(tRates[[k€]:[k€]],MATCH(DN6,tRates[[Key (lookup)]:[Key (lookup)]],0)),"no rate"))</f>
        <v>0.53400000000000003</v>
      </c>
      <c r="DO2" s="62">
        <f>IF(LEFT(DN6,3)="fin",IFERROR(SUMPRODUCT($DM$2:$DQ$2,$DM$5:$DQ$5)/SUM($DM$5:$DQ$5),1),IFERROR(INDEX(tRates[[k€]:[k€]],MATCH(DO6,tRates[[Key (lookup)]:[Key (lookup)]],0)),"no rate"))</f>
        <v>0.56299999999999994</v>
      </c>
      <c r="DP2" s="62">
        <f>IF(LEFT(DO6,3)="fin",IFERROR(SUMPRODUCT($DM$2:$DQ$2,$DM$5:$DQ$5)/SUM($DM$5:$DQ$5),1),IFERROR(INDEX(tRates[[k€]:[k€]],MATCH(DP6,tRates[[Key (lookup)]:[Key (lookup)]],0)),"no rate"))</f>
        <v>0.60599999999999998</v>
      </c>
      <c r="DQ2" s="62">
        <f>IF(LEFT(DP6,3)="fin",IFERROR(SUMPRODUCT($DM$2:$DQ$2,$DM$5:$DQ$5)/SUM($DM$5:$DQ$5),1),IFERROR(INDEX(tRates[[k€]:[k€]],MATCH(DQ6,tRates[[Key (lookup)]:[Key (lookup)]],0)),"no rate"))</f>
        <v>1.1339999999999999</v>
      </c>
      <c r="DR2" s="62" t="str">
        <f>IF(LEFT(DQ6,3)="fin",IFERROR(SUMPRODUCT($DM$2:$DQ$2,$DM$5:$DQ$5)/SUM($DM$5:$DQ$5),1),IFERROR(INDEX(tRates[[k€]:[k€]],MATCH(DR6,tRates[[Key (lookup)]:[Key (lookup)]],0)),"no rate"))</f>
        <v>no rate</v>
      </c>
      <c r="DS2" s="62" t="str">
        <f>IF(LEFT(DR6,3)="fin",IFERROR(SUMPRODUCT($DM$2:$DQ$2,$DM$5:$DQ$5)/SUM($DM$5:$DQ$5),1),IFERROR(INDEX(tRates[[k€]:[k€]],MATCH(DS6,tRates[[Key (lookup)]:[Key (lookup)]],0)),"no rate"))</f>
        <v>no rate</v>
      </c>
      <c r="DT2" s="62" t="str">
        <f>IF(LEFT(DS6,3)="fin",IFERROR(SUMPRODUCT($DM$2:$DQ$2,$DM$5:$DQ$5)/SUM($DM$5:$DQ$5),1),IFERROR(INDEX(tRates[[k€]:[k€]],MATCH(DT6,tRates[[Key (lookup)]:[Key (lookup)]],0)),"no rate"))</f>
        <v>no rate</v>
      </c>
      <c r="DU2" s="62" t="str">
        <f>IF(LEFT(DT6,3)="fin",IFERROR(SUMPRODUCT($DM$2:$DQ$2,$DM$5:$DQ$5)/SUM($DM$5:$DQ$5),1),IFERROR(INDEX(tRates[[k€]:[k€]],MATCH(DU6,tRates[[Key (lookup)]:[Key (lookup)]],0)),"no rate"))</f>
        <v>no rate</v>
      </c>
      <c r="DV2" s="62" t="str">
        <f>IF(LEFT(DU6,3)="fin",IFERROR(SUMPRODUCT($DM$2:$DQ$2,$DM$5:$DQ$5)/SUM($DM$5:$DQ$5),1),IFERROR(INDEX(tRates[[k€]:[k€]],MATCH(DV6,tRates[[Key (lookup)]:[Key (lookup)]],0)),"no rate"))</f>
        <v>no rate</v>
      </c>
      <c r="DW2" s="62" t="str">
        <f>IF(LEFT(DV6,3)="fin",IFERROR(SUMPRODUCT($DM$2:$DQ$2,$DM$5:$DQ$5)/SUM($DM$5:$DQ$5),1),IFERROR(INDEX(tRates[[k€]:[k€]],MATCH(DW6,tRates[[Key (lookup)]:[Key (lookup)]],0)),"no rate"))</f>
        <v>no rate</v>
      </c>
      <c r="DX2" s="62" t="str">
        <f>IF(LEFT(DW6,3)="fin",IFERROR(SUMPRODUCT($DM$2:$DQ$2,$DM$5:$DQ$5)/SUM($DM$5:$DQ$5),1),IFERROR(INDEX(tRates[[k€]:[k€]],MATCH(DX6,tRates[[Key (lookup)]:[Key (lookup)]],0)),"no rate"))</f>
        <v>na</v>
      </c>
      <c r="DY2" s="62">
        <f>IF(LEFT(DX6,3)="fin",IFERROR(SUMPRODUCT($DM$2:$DQ$2,$DM$5:$DQ$5)/SUM($DM$5:$DQ$5),1),IFERROR(INDEX(tRates[[k€]:[k€]],MATCH(DY6,tRates[[Key (lookup)]:[Key (lookup)]],0)),"no rate"))</f>
        <v>1.0249999999999999</v>
      </c>
      <c r="DZ2" s="62" t="str">
        <f>IF(LEFT(DY6,3)="fin",IFERROR(SUMPRODUCT($DM$2:$DQ$2,$DM$5:$DQ$5)/SUM($DM$5:$DQ$5),1),IFERROR(INDEX(tRates[[k€]:[k€]],MATCH(DZ6,tRates[[Key (lookup)]:[Key (lookup)]],0)),"no rate"))</f>
        <v>na</v>
      </c>
      <c r="EA2" s="62">
        <f>IF(LEFT(DZ6,3)="fin",IFERROR(SUMPRODUCT($DM$2:$DQ$2,$DM$5:$DQ$5)/SUM($DM$5:$DQ$5),1),IFERROR(INDEX(tRates[[k€]:[k€]],MATCH(EA6,tRates[[Key (lookup)]:[Key (lookup)]],0)),"no rate"))</f>
        <v>1</v>
      </c>
      <c r="EB2" s="62">
        <f>IF(LEFT(EA6,3)="fin",IFERROR(SUMPRODUCT($DM$2:$DQ$2,$DM$5:$DQ$5)/SUM($DM$5:$DQ$5),1),IFERROR(INDEX(tRates[[k€]:[k€]],MATCH(EB6,tRates[[Key (lookup)]:[Key (lookup)]],0)),"no rate"))</f>
        <v>0.56899999999999995</v>
      </c>
      <c r="EC2" s="62" t="str">
        <f>IF(LEFT(EB6,3)="fin",IFERROR(SUMPRODUCT($DM$2:$DQ$2,$DM$5:$DQ$5)/SUM($DM$5:$DQ$5),1),IFERROR(INDEX(tRates[[k€]:[k€]],MATCH(EC6,tRates[[Key (lookup)]:[Key (lookup)]],0)),"no rate"))</f>
        <v>na</v>
      </c>
      <c r="ED2" s="62">
        <f>IF(LEFT(EC6,3)="fin",IFERROR(SUMPRODUCT($DM$2:$DQ$2,$DM$5:$DQ$5)/SUM($DM$5:$DQ$5),1),IFERROR(INDEX(tRates[[k€]:[k€]],MATCH(ED6,tRates[[Key (lookup)]:[Key (lookup)]],0)),"no rate"))</f>
        <v>0.56399999999999995</v>
      </c>
      <c r="EE2" s="62" t="str">
        <f>IF(LEFT(ED6,3)="fin",IFERROR(SUMPRODUCT($DM$2:$DQ$2,$DM$5:$DQ$5)/SUM($DM$5:$DQ$5),1),IFERROR(INDEX(tRates[[k€]:[k€]],MATCH(EE6,tRates[[Key (lookup)]:[Key (lookup)]],0)),"no rate"))</f>
        <v>na</v>
      </c>
      <c r="EF2" s="62">
        <f>IF(LEFT(EE6,3)="fin",IFERROR(SUMPRODUCT($DM$2:$DQ$2,$DM$5:$DQ$5)/SUM($DM$5:$DQ$5),1),IFERROR(INDEX(tRates[[k€]:[k€]],MATCH(EF6,tRates[[Key (lookup)]:[Key (lookup)]],0)),"no rate"))</f>
        <v>0.51300000000000001</v>
      </c>
      <c r="EG2" s="62" t="str">
        <f>IF(LEFT(EF6,3)="fin",IFERROR(SUMPRODUCT($DM$2:$DQ$2,$DM$5:$DQ$5)/SUM($DM$5:$DQ$5),1),IFERROR(INDEX(tRates[[k€]:[k€]],MATCH(EG6,tRates[[Key (lookup)]:[Key (lookup)]],0)),"no rate"))</f>
        <v>na</v>
      </c>
      <c r="EH2" s="62" t="str">
        <f>IF(LEFT(EG6,3)="fin",IFERROR(SUMPRODUCT($DM$2:$DQ$2,$DM$5:$DQ$5)/SUM($DM$5:$DQ$5),1),IFERROR(INDEX(tRates[[k€]:[k€]],MATCH(EH6,tRates[[Key (lookup)]:[Key (lookup)]],0)),"no rate"))</f>
        <v>no rate</v>
      </c>
      <c r="EI2" s="62">
        <f>IF(LEFT(EH6,3)="fin",IFERROR(SUMPRODUCT($DM$2:$DQ$2,$DM$5:$DQ$5)/SUM($DM$5:$DQ$5),1),IFERROR(INDEX(tRates[[k€]:[k€]],MATCH(EI6,tRates[[Key (lookup)]:[Key (lookup)]],0)),"no rate"))</f>
        <v>1.0249999999999999</v>
      </c>
      <c r="EJ2" s="62">
        <f>IF(LEFT(EI6,3)="fin",IFERROR(SUMPRODUCT($DM$2:$DQ$2,$DM$5:$DQ$5)/SUM($DM$5:$DQ$5),1),IFERROR(INDEX(tRates[[k€]:[k€]],MATCH(EJ6,tRates[[Key (lookup)]:[Key (lookup)]],0)),"no rate"))</f>
        <v>1.0249999999999999</v>
      </c>
      <c r="EK2" s="62">
        <f>IF(LEFT(EJ6,3)="fin",IFERROR(SUMPRODUCT($DM$2:$DQ$2,$DM$5:$DQ$5)/SUM($DM$5:$DQ$5),1),IFERROR(INDEX(tRates[[k€]:[k€]],MATCH(EK6,tRates[[Key (lookup)]:[Key (lookup)]],0)),"no rate"))</f>
        <v>0.71799999999999997</v>
      </c>
      <c r="EL2" s="62">
        <f>IF(LEFT(EK6,3)="fin",IFERROR(SUMPRODUCT($DM$2:$DQ$2,$DM$5:$DQ$5)/SUM($DM$5:$DQ$5),1),IFERROR(INDEX(tRates[[k€]:[k€]],MATCH(EL6,tRates[[Key (lookup)]:[Key (lookup)]],0)),"no rate"))</f>
        <v>0.48199999999999998</v>
      </c>
      <c r="EM2" s="62">
        <f>IF(LEFT(EL6,3)="fin",IFERROR(SUMPRODUCT($DM$2:$DQ$2,$DM$5:$DQ$5)/SUM($DM$5:$DQ$5),1),IFERROR(INDEX(tRates[[k€]:[k€]],MATCH(EM6,tRates[[Key (lookup)]:[Key (lookup)]],0)),"no rate"))</f>
        <v>0.29499999999999998</v>
      </c>
      <c r="EN2" s="62">
        <f>IF(LEFT(EM6,3)="fin",IFERROR(SUMPRODUCT($DM$2:$DQ$2,$DM$5:$DQ$5)/SUM($DM$5:$DQ$5),1),IFERROR(INDEX(tRates[[k€]:[k€]],MATCH(EN6,tRates[[Key (lookup)]:[Key (lookup)]],0)),"no rate"))</f>
        <v>9.4E-2</v>
      </c>
      <c r="EO2" s="62">
        <f>IF(LEFT(EN6,3)="fin",IFERROR(SUMPRODUCT($DM$2:$DQ$2,$DM$5:$DQ$5)/SUM($DM$5:$DQ$5),1),IFERROR(INDEX(tRates[[k€]:[k€]],MATCH(EO6,tRates[[Key (lookup)]:[Key (lookup)]],0)),"no rate"))</f>
        <v>9.4E-2</v>
      </c>
      <c r="EP2" s="62">
        <f>IF(LEFT(EO6,3)="fin",IFERROR(SUMPRODUCT($DM$2:$DQ$2,$DM$5:$DQ$5)/SUM($DM$5:$DQ$5),1),IFERROR(INDEX(tRates[[k€]:[k€]],MATCH(EP6,tRates[[Key (lookup)]:[Key (lookup)]],0)),"no rate"))</f>
        <v>0.20599999999999999</v>
      </c>
      <c r="EQ2" s="62">
        <f>IF(LEFT(EP6,3)="fin",IFERROR(SUMPRODUCT($DM$2:$DQ$2,$DM$5:$DQ$5)/SUM($DM$5:$DQ$5),1),IFERROR(INDEX(tRates[[k€]:[k€]],MATCH(EQ6,tRates[[Key (lookup)]:[Key (lookup)]],0)),"no rate"))</f>
        <v>0.19500000000000001</v>
      </c>
      <c r="ER2" s="62" t="str">
        <f>IF(LEFT(EQ6,3)="fin",IFERROR(SUMPRODUCT($DM$2:$DQ$2,$DM$5:$DQ$5)/SUM($DM$5:$DQ$5),1),IFERROR(INDEX(tRates[[k€]:[k€]],MATCH(ER6,tRates[[Key (lookup)]:[Key (lookup)]],0)),"no rate"))</f>
        <v>no rate</v>
      </c>
      <c r="ES2" s="62" t="str">
        <f>IF(LEFT(ER6,3)="fin",IFERROR(SUMPRODUCT($DM$2:$DQ$2,$DM$5:$DQ$5)/SUM($DM$5:$DQ$5),1),IFERROR(INDEX(tRates[[k€]:[k€]],MATCH(ES6,tRates[[Key (lookup)]:[Key (lookup)]],0)),"no rate"))</f>
        <v>no rate</v>
      </c>
      <c r="ET2" s="62" t="str">
        <f>IF(LEFT(ES6,3)="fin",IFERROR(SUMPRODUCT($DM$2:$DQ$2,$DM$5:$DQ$5)/SUM($DM$5:$DQ$5),1),IFERROR(INDEX(tRates[[k€]:[k€]],MATCH(ET6,tRates[[Key (lookup)]:[Key (lookup)]],0)),"no rate"))</f>
        <v>no rate</v>
      </c>
      <c r="EU2" s="63" t="s">
        <v>141</v>
      </c>
      <c r="EV2" s="63">
        <v>0.51300000000000001</v>
      </c>
      <c r="EW2" s="63">
        <v>0</v>
      </c>
      <c r="EX2" s="63">
        <v>0.51300000000000001</v>
      </c>
      <c r="EY2" s="63"/>
      <c r="EZ2" s="63"/>
      <c r="FA2" s="63"/>
      <c r="FB2" s="63"/>
    </row>
    <row r="3" spans="1:159" customFormat="1" x14ac:dyDescent="0.2">
      <c r="C3" s="128"/>
      <c r="D3" s="59" t="str" cm="1">
        <f t="array" ref="D3">"total capacity: "&amp;TEXT(SUMPRODUCT(IFERROR($Q$3:$EQ$3,0),(LEFT($Q$6:$EQ$6,1)&lt;&gt;"(")*1),"#.##")</f>
        <v>total capacity: 1724.00</v>
      </c>
      <c r="Q3" s="55" cm="1">
        <f t="array" ref="Q3">_xlfn.IFS(Q2="no rate","",ISTEXT(Q2),SUM(R3:INDEX(R3:$ET$3,,_xlfn.AGGREGATE(15,6,(COLUMN(R3:$ET$3)-COLUMN()-1)/(LEFT(R6:$ET$6,1)&lt;&gt;"("),1))),1,INDEX('Capacity'!$2:$2,MATCH(Q6,'Capacity'!$3:$3,0))*IFERROR(INDEX(tRates[[Yearly WDs]:[Yearly WDs]],MATCH(Q6,tRates[[Key (lookup)]:[Key (lookup)]],0)),200))</f>
        <v>172400</v>
      </c>
      <c r="R3" s="55" cm="1">
        <f t="array" ref="R3">_xlfn.IFS(R2="no rate","",ISTEXT(R2),SUM(S3:INDEX(S3:$ET$3,,_xlfn.AGGREGATE(15,6,(COLUMN(S3:$ET$3)-COLUMN()-1)/(LEFT(S6:$ET$6,1)&lt;&gt;"("),1))),1,INDEX('Capacity'!$2:$2,MATCH(R6,'Capacity'!$3:$3,0))*IFERROR(INDEX(tRates[[Yearly WDs]:[Yearly WDs]],MATCH(R6,tRates[[Key (lookup)]:[Key (lookup)]],0)),200))</f>
        <v>1800</v>
      </c>
      <c r="S3" s="55" cm="1">
        <f t="array" ref="S3">_xlfn.IFS(S2="no rate","",ISTEXT(S2),SUM(T3:INDEX(T3:$ET$3,,_xlfn.AGGREGATE(15,6,(COLUMN(T3:$ET$3)-COLUMN()-1)/(LEFT(T6:$ET$6,1)&lt;&gt;"("),1))),1,INDEX('Capacity'!$2:$2,MATCH(S6,'Capacity'!$3:$3,0))*IFERROR(INDEX(tRates[[Yearly WDs]:[Yearly WDs]],MATCH(S6,tRates[[Key (lookup)]:[Key (lookup)]],0)),200))</f>
        <v>5600</v>
      </c>
      <c r="T3" s="55" cm="1">
        <f t="array" ref="T3">_xlfn.IFS(T2="no rate","",ISTEXT(T2),SUM(U3:INDEX(U3:$ET$3,,_xlfn.AGGREGATE(15,6,(COLUMN(U3:$ET$3)-COLUMN()-1)/(LEFT(U6:$ET$6,1)&lt;&gt;"("),1))),1,INDEX('Capacity'!$2:$2,MATCH(T6,'Capacity'!$3:$3,0))*IFERROR(INDEX(tRates[[Yearly WDs]:[Yearly WDs]],MATCH(T6,tRates[[Key (lookup)]:[Key (lookup)]],0)),200))</f>
        <v>19200</v>
      </c>
      <c r="U3" s="55" cm="1">
        <f t="array" ref="U3">_xlfn.IFS(U2="no rate","",ISTEXT(U2),SUM(V3:INDEX(V3:$ET$3,,_xlfn.AGGREGATE(15,6,(COLUMN(V3:$ET$3)-COLUMN()-1)/(LEFT(V6:$ET$6,1)&lt;&gt;"("),1))),1,INDEX('Capacity'!$2:$2,MATCH(U6,'Capacity'!$3:$3,0))*IFERROR(INDEX(tRates[[Yearly WDs]:[Yearly WDs]],MATCH(U6,tRates[[Key (lookup)]:[Key (lookup)]],0)),200))</f>
        <v>2800</v>
      </c>
      <c r="V3" s="55" cm="1">
        <f t="array" ref="V3">_xlfn.IFS(V2="no rate","",ISTEXT(V2),SUM(W3:INDEX(W3:$ET$3,,_xlfn.AGGREGATE(15,6,(COLUMN(W3:$ET$3)-COLUMN()-1)/(LEFT(W6:$ET$6,1)&lt;&gt;"("),1))),1,INDEX('Capacity'!$2:$2,MATCH(V6,'Capacity'!$3:$3,0))*IFERROR(INDEX(tRates[[Yearly WDs]:[Yearly WDs]],MATCH(V6,tRates[[Key (lookup)]:[Key (lookup)]],0)),200))</f>
        <v>0</v>
      </c>
      <c r="W3" s="55" cm="1">
        <f t="array" ref="W3">_xlfn.IFS(W2="no rate","",ISTEXT(W2),SUM(X3:INDEX(X3:$ET$3,,_xlfn.AGGREGATE(15,6,(COLUMN(X3:$ET$3)-COLUMN()-1)/(LEFT(X6:$ET$6,1)&lt;&gt;"("),1))),1,INDEX('Capacity'!$2:$2,MATCH(W6,'Capacity'!$3:$3,0))*IFERROR(INDEX(tRates[[Yearly WDs]:[Yearly WDs]],MATCH(W6,tRates[[Key (lookup)]:[Key (lookup)]],0)),200))</f>
        <v>24600</v>
      </c>
      <c r="X3" s="55" cm="1">
        <f t="array" ref="X3">_xlfn.IFS(X2="no rate","",ISTEXT(X2),SUM(Y3:INDEX(Y3:$ET$3,,_xlfn.AGGREGATE(15,6,(COLUMN(Y3:$ET$3)-COLUMN()-1)/(LEFT(Y6:$ET$6,1)&lt;&gt;"("),1))),1,INDEX('Capacity'!$2:$2,MATCH(X6,'Capacity'!$3:$3,0))*IFERROR(INDEX(tRates[[Yearly WDs]:[Yearly WDs]],MATCH(X6,tRates[[Key (lookup)]:[Key (lookup)]],0)),200))</f>
        <v>0</v>
      </c>
      <c r="Y3" s="55" cm="1">
        <f t="array" ref="Y3">_xlfn.IFS(Y2="no rate","",ISTEXT(Y2),SUM(Z3:INDEX(Z3:$ET$3,,_xlfn.AGGREGATE(15,6,(COLUMN(Z3:$ET$3)-COLUMN()-1)/(LEFT(Z6:$ET$6,1)&lt;&gt;"("),1))),1,INDEX('Capacity'!$2:$2,MATCH(Y6,'Capacity'!$3:$3,0))*IFERROR(INDEX(tRates[[Yearly WDs]:[Yearly WDs]],MATCH(Y6,tRates[[Key (lookup)]:[Key (lookup)]],0)),200))</f>
        <v>8200</v>
      </c>
      <c r="Z3" s="55" cm="1">
        <f t="array" ref="Z3">_xlfn.IFS(Z2="no rate","",ISTEXT(Z2),SUM(AA3:INDEX(AA3:$ET$3,,_xlfn.AGGREGATE(15,6,(COLUMN(AA3:$ET$3)-COLUMN()-1)/(LEFT(AA6:$ET$6,1)&lt;&gt;"("),1))),1,INDEX('Capacity'!$2:$2,MATCH(Z6,'Capacity'!$3:$3,0))*IFERROR(INDEX(tRates[[Yearly WDs]:[Yearly WDs]],MATCH(Z6,tRates[[Key (lookup)]:[Key (lookup)]],0)),200))</f>
        <v>5600</v>
      </c>
      <c r="AA3" s="55" cm="1">
        <f t="array" ref="AA3">_xlfn.IFS(AA2="no rate","",ISTEXT(AA2),SUM(AB3:INDEX(AB3:$ET$3,,_xlfn.AGGREGATE(15,6,(COLUMN(AB3:$ET$3)-COLUMN()-1)/(LEFT(AB6:$ET$6,1)&lt;&gt;"("),1))),1,INDEX('Capacity'!$2:$2,MATCH(AA6,'Capacity'!$3:$3,0))*IFERROR(INDEX(tRates[[Yearly WDs]:[Yearly WDs]],MATCH(AA6,tRates[[Key (lookup)]:[Key (lookup)]],0)),200))</f>
        <v>0</v>
      </c>
      <c r="AB3" s="55" cm="1">
        <f t="array" ref="AB3">_xlfn.IFS(AB2="no rate","",ISTEXT(AB2),SUM(AC3:INDEX(AC3:$ET$3,,_xlfn.AGGREGATE(15,6,(COLUMN(AC3:$ET$3)-COLUMN()-1)/(LEFT(AC6:$ET$6,1)&lt;&gt;"("),1))),1,INDEX('Capacity'!$2:$2,MATCH(AB6,'Capacity'!$3:$3,0))*IFERROR(INDEX(tRates[[Yearly WDs]:[Yearly WDs]],MATCH(AB6,tRates[[Key (lookup)]:[Key (lookup)]],0)),200))</f>
        <v>0</v>
      </c>
      <c r="AC3" s="55" cm="1">
        <f t="array" ref="AC3">_xlfn.IFS(AC2="no rate","",ISTEXT(AC2),SUM(AD3:INDEX(AD3:$ET$3,,_xlfn.AGGREGATE(15,6,(COLUMN(AD3:$ET$3)-COLUMN()-1)/(LEFT(AD6:$ET$6,1)&lt;&gt;"("),1))),1,INDEX('Capacity'!$2:$2,MATCH(AC6,'Capacity'!$3:$3,0))*IFERROR(INDEX(tRates[[Yearly WDs]:[Yearly WDs]],MATCH(AC6,tRates[[Key (lookup)]:[Key (lookup)]],0)),200))</f>
        <v>0</v>
      </c>
      <c r="AD3" s="55" cm="1">
        <f t="array" ref="AD3">_xlfn.IFS(AD2="no rate","",ISTEXT(AD2),SUM(AE3:INDEX(AE3:$ET$3,,_xlfn.AGGREGATE(15,6,(COLUMN(AE3:$ET$3)-COLUMN()-1)/(LEFT(AE6:$ET$6,1)&lt;&gt;"("),1))),1,INDEX('Capacity'!$2:$2,MATCH(AD6,'Capacity'!$3:$3,0))*IFERROR(INDEX(tRates[[Yearly WDs]:[Yearly WDs]],MATCH(AD6,tRates[[Key (lookup)]:[Key (lookup)]],0)),200))</f>
        <v>10600</v>
      </c>
      <c r="AE3" s="55" cm="1">
        <f t="array" ref="AE3">_xlfn.IFS(AE2="no rate","",ISTEXT(AE2),SUM(AF3:INDEX(AF3:$ET$3,,_xlfn.AGGREGATE(15,6,(COLUMN(AF3:$ET$3)-COLUMN()-1)/(LEFT(AF6:$ET$6,1)&lt;&gt;"("),1))),1,INDEX('Capacity'!$2:$2,MATCH(AE6,'Capacity'!$3:$3,0))*IFERROR(INDEX(tRates[[Yearly WDs]:[Yearly WDs]],MATCH(AE6,tRates[[Key (lookup)]:[Key (lookup)]],0)),200))</f>
        <v>0</v>
      </c>
      <c r="AF3" s="55" cm="1">
        <f t="array" ref="AF3">_xlfn.IFS(AF2="no rate","",ISTEXT(AF2),SUM(AG3:INDEX(AG3:$ET$3,,_xlfn.AGGREGATE(15,6,(COLUMN(AG3:$ET$3)-COLUMN()-1)/(LEFT(AG6:$ET$6,1)&lt;&gt;"("),1))),1,INDEX('Capacity'!$2:$2,MATCH(AF6,'Capacity'!$3:$3,0))*IFERROR(INDEX(tRates[[Yearly WDs]:[Yearly WDs]],MATCH(AF6,tRates[[Key (lookup)]:[Key (lookup)]],0)),200))</f>
        <v>5800</v>
      </c>
      <c r="AG3" s="55" cm="1">
        <f t="array" ref="AG3">_xlfn.IFS(AG2="no rate","",ISTEXT(AG2),SUM(AH3:INDEX(AH3:$ET$3,,_xlfn.AGGREGATE(15,6,(COLUMN(AH3:$ET$3)-COLUMN()-1)/(LEFT(AH6:$ET$6,1)&lt;&gt;"("),1))),1,INDEX('Capacity'!$2:$2,MATCH(AG6,'Capacity'!$3:$3,0))*IFERROR(INDEX(tRates[[Yearly WDs]:[Yearly WDs]],MATCH(AG6,tRates[[Key (lookup)]:[Key (lookup)]],0)),200))</f>
        <v>35400</v>
      </c>
      <c r="AH3" s="55" cm="1">
        <f t="array" ref="AH3">_xlfn.IFS(AH2="no rate","",ISTEXT(AH2),SUM(AI3:INDEX(AI3:$ET$3,,_xlfn.AGGREGATE(15,6,(COLUMN(AI3:$ET$3)-COLUMN()-1)/(LEFT(AI6:$ET$6,1)&lt;&gt;"("),1))),1,INDEX('Capacity'!$2:$2,MATCH(AH6,'Capacity'!$3:$3,0))*IFERROR(INDEX(tRates[[Yearly WDs]:[Yearly WDs]],MATCH(AH6,tRates[[Key (lookup)]:[Key (lookup)]],0)),200))</f>
        <v>2400</v>
      </c>
      <c r="AI3" s="55" cm="1">
        <f t="array" ref="AI3">_xlfn.IFS(AI2="no rate","",ISTEXT(AI2),SUM(AJ3:INDEX(AJ3:$ET$3,,_xlfn.AGGREGATE(15,6,(COLUMN(AJ3:$ET$3)-COLUMN()-1)/(LEFT(AJ6:$ET$6,1)&lt;&gt;"("),1))),1,INDEX('Capacity'!$2:$2,MATCH(AI6,'Capacity'!$3:$3,0))*IFERROR(INDEX(tRates[[Yearly WDs]:[Yearly WDs]],MATCH(AI6,tRates[[Key (lookup)]:[Key (lookup)]],0)),200))</f>
        <v>9400</v>
      </c>
      <c r="AJ3" s="55" cm="1">
        <f t="array" ref="AJ3">_xlfn.IFS(AJ2="no rate","",ISTEXT(AJ2),SUM(AK3:INDEX(AK3:$ET$3,,_xlfn.AGGREGATE(15,6,(COLUMN(AK3:$ET$3)-COLUMN()-1)/(LEFT(AK6:$ET$6,1)&lt;&gt;"("),1))),1,INDEX('Capacity'!$2:$2,MATCH(AJ6,'Capacity'!$3:$3,0))*IFERROR(INDEX(tRates[[Yearly WDs]:[Yearly WDs]],MATCH(AJ6,tRates[[Key (lookup)]:[Key (lookup)]],0)),200))</f>
        <v>3200</v>
      </c>
      <c r="AK3" s="55" cm="1">
        <f t="array" ref="AK3">_xlfn.IFS(AK2="no rate","",ISTEXT(AK2),SUM(AL3:INDEX(AL3:$ET$3,,_xlfn.AGGREGATE(15,6,(COLUMN(AL3:$ET$3)-COLUMN()-1)/(LEFT(AL6:$ET$6,1)&lt;&gt;"("),1))),1,INDEX('Capacity'!$2:$2,MATCH(AK6,'Capacity'!$3:$3,0))*IFERROR(INDEX(tRates[[Yearly WDs]:[Yearly WDs]],MATCH(AK6,tRates[[Key (lookup)]:[Key (lookup)]],0)),200))</f>
        <v>800</v>
      </c>
      <c r="AL3" s="55" cm="1">
        <f t="array" ref="AL3">_xlfn.IFS(AL2="no rate","",ISTEXT(AL2),SUM(AM3:INDEX(AM3:$ET$3,,_xlfn.AGGREGATE(15,6,(COLUMN(AM3:$ET$3)-COLUMN()-1)/(LEFT(AM6:$ET$6,1)&lt;&gt;"("),1))),1,INDEX('Capacity'!$2:$2,MATCH(AL6,'Capacity'!$3:$3,0))*IFERROR(INDEX(tRates[[Yearly WDs]:[Yearly WDs]],MATCH(AL6,tRates[[Key (lookup)]:[Key (lookup)]],0)),200))</f>
        <v>3800</v>
      </c>
      <c r="AM3" s="55" cm="1">
        <f t="array" ref="AM3">_xlfn.IFS(AM2="no rate","",ISTEXT(AM2),SUM(AN3:INDEX(AN3:$ET$3,,_xlfn.AGGREGATE(15,6,(COLUMN(AN3:$ET$3)-COLUMN()-1)/(LEFT(AN6:$ET$6,1)&lt;&gt;"("),1))),1,INDEX('Capacity'!$2:$2,MATCH(AM6,'Capacity'!$3:$3,0))*IFERROR(INDEX(tRates[[Yearly WDs]:[Yearly WDs]],MATCH(AM6,tRates[[Key (lookup)]:[Key (lookup)]],0)),200))</f>
        <v>4800</v>
      </c>
      <c r="AN3" s="55" cm="1">
        <f t="array" ref="AN3">_xlfn.IFS(AN2="no rate","",ISTEXT(AN2),SUM(AO3:INDEX(AO3:$ET$3,,_xlfn.AGGREGATE(15,6,(COLUMN(AO3:$ET$3)-COLUMN()-1)/(LEFT(AO6:$ET$6,1)&lt;&gt;"("),1))),1,INDEX('Capacity'!$2:$2,MATCH(AN6,'Capacity'!$3:$3,0))*IFERROR(INDEX(tRates[[Yearly WDs]:[Yearly WDs]],MATCH(AN6,tRates[[Key (lookup)]:[Key (lookup)]],0)),200))</f>
        <v>20200</v>
      </c>
      <c r="AO3" s="55" cm="1">
        <f t="array" ref="AO3">_xlfn.IFS(AO2="no rate","",ISTEXT(AO2),SUM(AP3:INDEX(AP3:$ET$3,,_xlfn.AGGREGATE(15,6,(COLUMN(AP3:$ET$3)-COLUMN()-1)/(LEFT(AP6:$ET$6,1)&lt;&gt;"("),1))),1,INDEX('Capacity'!$2:$2,MATCH(AO6,'Capacity'!$3:$3,0))*IFERROR(INDEX(tRates[[Yearly WDs]:[Yearly WDs]],MATCH(AO6,tRates[[Key (lookup)]:[Key (lookup)]],0)),200))</f>
        <v>8200</v>
      </c>
      <c r="AP3" s="55" cm="1">
        <f t="array" ref="AP3">_xlfn.IFS(AP2="no rate","",ISTEXT(AP2),SUM(AQ3:INDEX(AQ3:$ET$3,,_xlfn.AGGREGATE(15,6,(COLUMN(AQ3:$ET$3)-COLUMN()-1)/(LEFT(AQ6:$ET$6,1)&lt;&gt;"("),1))),1,INDEX('Capacity'!$2:$2,MATCH(AP6,'Capacity'!$3:$3,0))*IFERROR(INDEX(tRates[[Yearly WDs]:[Yearly WDs]],MATCH(AP6,tRates[[Key (lookup)]:[Key (lookup)]],0)),200))</f>
        <v>0</v>
      </c>
      <c r="AQ3" s="55" cm="1">
        <f t="array" ref="AQ3">_xlfn.IFS(AQ2="no rate","",ISTEXT(AQ2),SUM(AR3:INDEX(AR3:$ET$3,,_xlfn.AGGREGATE(15,6,(COLUMN(AR3:$ET$3)-COLUMN()-1)/(LEFT(AR6:$ET$6,1)&lt;&gt;"("),1))),1,INDEX('Capacity'!$2:$2,MATCH(AQ6,'Capacity'!$3:$3,0))*IFERROR(INDEX(tRates[[Yearly WDs]:[Yearly WDs]],MATCH(AQ6,tRates[[Key (lookup)]:[Key (lookup)]],0)),200))</f>
        <v>0</v>
      </c>
      <c r="AR3" s="55" cm="1">
        <f t="array" ref="AR3">_xlfn.IFS(AR2="no rate","",ISTEXT(AR2),SUM(AS3:INDEX(AS3:$ET$3,,_xlfn.AGGREGATE(15,6,(COLUMN(AS3:$ET$3)-COLUMN()-1)/(LEFT(AS6:$ET$6,1)&lt;&gt;"("),1))),1,INDEX('Capacity'!$2:$2,MATCH(AR6,'Capacity'!$3:$3,0))*IFERROR(INDEX(tRates[[Yearly WDs]:[Yearly WDs]],MATCH(AR6,tRates[[Key (lookup)]:[Key (lookup)]],0)),200))</f>
        <v>0</v>
      </c>
      <c r="AS3" s="55" cm="1">
        <f t="array" ref="AS3">_xlfn.IFS(AS2="no rate","",ISTEXT(AS2),SUM(AT3:INDEX(AT3:$ET$3,,_xlfn.AGGREGATE(15,6,(COLUMN(AT3:$ET$3)-COLUMN()-1)/(LEFT(AT6:$ET$6,1)&lt;&gt;"("),1))),1,INDEX('Capacity'!$2:$2,MATCH(AS6,'Capacity'!$3:$3,0))*IFERROR(INDEX(tRates[[Yearly WDs]:[Yearly WDs]],MATCH(AS6,tRates[[Key (lookup)]:[Key (lookup)]],0)),200))</f>
        <v>0</v>
      </c>
      <c r="AT3" s="55" cm="1">
        <f t="array" ref="AT3">_xlfn.IFS(AT2="no rate","",ISTEXT(AT2),SUM(AU3:INDEX(AU3:$ET$3,,_xlfn.AGGREGATE(15,6,(COLUMN(AU3:$ET$3)-COLUMN()-1)/(LEFT(AU6:$ET$6,1)&lt;&gt;"("),1))),1,INDEX('Capacity'!$2:$2,MATCH(AT6,'Capacity'!$3:$3,0))*IFERROR(INDEX(tRates[[Yearly WDs]:[Yearly WDs]],MATCH(AT6,tRates[[Key (lookup)]:[Key (lookup)]],0)),200))</f>
        <v>0</v>
      </c>
      <c r="AU3" s="55" cm="1">
        <f t="array" ref="AU3">_xlfn.IFS(AU2="no rate","",ISTEXT(AU2),SUM(AV3:INDEX(AV3:$ET$3,,_xlfn.AGGREGATE(15,6,(COLUMN(AV3:$ET$3)-COLUMN()-1)/(LEFT(AV6:$ET$6,1)&lt;&gt;"("),1))),1,INDEX('Capacity'!$2:$2,MATCH(AU6,'Capacity'!$3:$3,0))*IFERROR(INDEX(tRates[[Yearly WDs]:[Yearly WDs]],MATCH(AU6,tRates[[Key (lookup)]:[Key (lookup)]],0)),200))</f>
        <v>0</v>
      </c>
      <c r="AV3" s="55" cm="1">
        <f t="array" ref="AV3">_xlfn.IFS(AV2="no rate","",ISTEXT(AV2),SUM(AW3:INDEX(AW3:$ET$3,,_xlfn.AGGREGATE(15,6,(COLUMN(AW3:$ET$3)-COLUMN()-1)/(LEFT(AW6:$ET$6,1)&lt;&gt;"("),1))),1,INDEX('Capacity'!$2:$2,MATCH(AV6,'Capacity'!$3:$3,0))*IFERROR(INDEX(tRates[[Yearly WDs]:[Yearly WDs]],MATCH(AV6,tRates[[Key (lookup)]:[Key (lookup)]],0)),200))</f>
        <v>0</v>
      </c>
      <c r="AW3" s="55" cm="1">
        <f t="array" ref="AW3">_xlfn.IFS(AW2="no rate","",ISTEXT(AW2),SUM(AX3:INDEX(AX3:$ET$3,,_xlfn.AGGREGATE(15,6,(COLUMN(AX3:$ET$3)-COLUMN()-1)/(LEFT(AX6:$ET$6,1)&lt;&gt;"("),1))),1,INDEX('Capacity'!$2:$2,MATCH(AW6,'Capacity'!$3:$3,0))*IFERROR(INDEX(tRates[[Yearly WDs]:[Yearly WDs]],MATCH(AW6,tRates[[Key (lookup)]:[Key (lookup)]],0)),200))</f>
        <v>0</v>
      </c>
      <c r="AX3" s="55" cm="1">
        <f t="array" ref="AX3">_xlfn.IFS(AX2="no rate","",ISTEXT(AX2),SUM(AY3:INDEX(AY3:$ET$3,,_xlfn.AGGREGATE(15,6,(COLUMN(AY3:$ET$3)-COLUMN()-1)/(LEFT(AY6:$ET$6,1)&lt;&gt;"("),1))),1,INDEX('Capacity'!$2:$2,MATCH(AX6,'Capacity'!$3:$3,0))*IFERROR(INDEX(tRates[[Yearly WDs]:[Yearly WDs]],MATCH(AX6,tRates[[Key (lookup)]:[Key (lookup)]],0)),200))</f>
        <v>0</v>
      </c>
      <c r="AY3" s="55" cm="1">
        <f t="array" ref="AY3">_xlfn.IFS(AY2="no rate","",ISTEXT(AY2),SUM(AZ3:INDEX(AZ3:$ET$3,,_xlfn.AGGREGATE(15,6,(COLUMN(AZ3:$ET$3)-COLUMN()-1)/(LEFT(AZ6:$ET$6,1)&lt;&gt;"("),1))),1,INDEX('Capacity'!$2:$2,MATCH(AY6,'Capacity'!$3:$3,0))*IFERROR(INDEX(tRates[[Yearly WDs]:[Yearly WDs]],MATCH(AY6,tRates[[Key (lookup)]:[Key (lookup)]],0)),200))</f>
        <v>0</v>
      </c>
      <c r="AZ3" s="55" cm="1">
        <f t="array" ref="AZ3">_xlfn.IFS(AZ2="no rate","",ISTEXT(AZ2),SUM(BA3:INDEX(BA3:$ET$3,,_xlfn.AGGREGATE(15,6,(COLUMN(BA3:$ET$3)-COLUMN()-1)/(LEFT(BA6:$ET$6,1)&lt;&gt;"("),1))),1,INDEX('Capacity'!$2:$2,MATCH(AZ6,'Capacity'!$3:$3,0))*IFERROR(INDEX(tRates[[Yearly WDs]:[Yearly WDs]],MATCH(AZ6,tRates[[Key (lookup)]:[Key (lookup)]],0)),200))</f>
        <v>0</v>
      </c>
      <c r="BA3" s="55" cm="1">
        <f t="array" ref="BA3">_xlfn.IFS(BA2="no rate","",ISTEXT(BA2),SUM(BB3:INDEX(BB3:$ET$3,,_xlfn.AGGREGATE(15,6,(COLUMN(BB3:$ET$3)-COLUMN()-1)/(LEFT(BB6:$ET$6,1)&lt;&gt;"("),1))),1,INDEX('Capacity'!$2:$2,MATCH(BA6,'Capacity'!$3:$3,0))*IFERROR(INDEX(tRates[[Yearly WDs]:[Yearly WDs]],MATCH(BA6,tRates[[Key (lookup)]:[Key (lookup)]],0)),200))</f>
        <v>0</v>
      </c>
      <c r="BB3" s="55" cm="1">
        <f t="array" ref="BB3">_xlfn.IFS(BB2="no rate","",ISTEXT(BB2),SUM(BC3:INDEX(BC3:$ET$3,,_xlfn.AGGREGATE(15,6,(COLUMN(BC3:$ET$3)-COLUMN()-1)/(LEFT(BC6:$ET$6,1)&lt;&gt;"("),1))),1,INDEX('Capacity'!$2:$2,MATCH(BB6,'Capacity'!$3:$3,0))*IFERROR(INDEX(tRates[[Yearly WDs]:[Yearly WDs]],MATCH(BB6,tRates[[Key (lookup)]:[Key (lookup)]],0)),200))</f>
        <v>0</v>
      </c>
      <c r="BC3" s="55" cm="1">
        <f t="array" ref="BC3">_xlfn.IFS(BC2="no rate","",ISTEXT(BC2),SUM(BD3:INDEX(BD3:$ET$3,,_xlfn.AGGREGATE(15,6,(COLUMN(BD3:$ET$3)-COLUMN()-1)/(LEFT(BD6:$ET$6,1)&lt;&gt;"("),1))),1,INDEX('Capacity'!$2:$2,MATCH(BC6,'Capacity'!$3:$3,0))*IFERROR(INDEX(tRates[[Yearly WDs]:[Yearly WDs]],MATCH(BC6,tRates[[Key (lookup)]:[Key (lookup)]],0)),200))</f>
        <v>0</v>
      </c>
      <c r="BD3" s="55" cm="1">
        <f t="array" ref="BD3">_xlfn.IFS(BD2="no rate","",ISTEXT(BD2),SUM(BE3:INDEX(BE3:$ET$3,,_xlfn.AGGREGATE(15,6,(COLUMN(BE3:$ET$3)-COLUMN()-1)/(LEFT(BE6:$ET$6,1)&lt;&gt;"("),1))),1,INDEX('Capacity'!$2:$2,MATCH(BD6,'Capacity'!$3:$3,0))*IFERROR(INDEX(tRates[[Yearly WDs]:[Yearly WDs]],MATCH(BD6,tRates[[Key (lookup)]:[Key (lookup)]],0)),200))</f>
        <v>0</v>
      </c>
      <c r="BE3" s="55" cm="1">
        <f t="array" ref="BE3">_xlfn.IFS(BE2="no rate","",ISTEXT(BE2),SUM(BG3:INDEX(BG3:$ET$3,,_xlfn.AGGREGATE(15,6,(COLUMN(BG3:$ET$3)-COLUMN()-1)/(LEFT(BG6:$ET$6,1)&lt;&gt;"("),1))),1,INDEX('Capacity'!$2:$2,MATCH(BE6,'Capacity'!$3:$3,0))*IFERROR(INDEX(tRates[[Yearly WDs]:[Yearly WDs]],MATCH(BE6,tRates[[Key (lookup)]:[Key (lookup)]],0)),200))</f>
        <v>0</v>
      </c>
      <c r="BF3" s="55" cm="1">
        <f t="array" ref="BF3">_xlfn.IFS(BF2="no rate","",ISTEXT(BF2),SUM(BH3:INDEX(BH3:$ET$3,,_xlfn.AGGREGATE(15,6,(COLUMN(BH3:$ET$3)-COLUMN()-1)/(LEFT(BH6:$ET$6,1)&lt;&gt;"("),1))),1,INDEX('Capacity'!$2:$2,MATCH(BF6,'Capacity'!$3:$3,0))*IFERROR(INDEX(tRates[[Yearly WDs]:[Yearly WDs]],MATCH(BF6,tRates[[Key (lookup)]:[Key (lookup)]],0)),200))</f>
        <v>0</v>
      </c>
      <c r="BG3" s="55" cm="1">
        <f t="array" ref="BG3">_xlfn.IFS(BG2="no rate","",ISTEXT(BG2),SUM(BI3:INDEX(BI3:$ET$3,,_xlfn.AGGREGATE(15,6,(COLUMN(BI3:$ET$3)-COLUMN()-1)/(LEFT(BI6:$ET$6,1)&lt;&gt;"("),1))),1,INDEX('Capacity'!$2:$2,MATCH(BG6,'Capacity'!$3:$3,0))*IFERROR(INDEX(tRates[[Yearly WDs]:[Yearly WDs]],MATCH(BG6,tRates[[Key (lookup)]:[Key (lookup)]],0)),200))</f>
        <v>0</v>
      </c>
      <c r="BH3" s="55" cm="1">
        <f t="array" ref="BH3">_xlfn.IFS(BH2="no rate","",ISTEXT(BH2),SUM(BI3:INDEX(BI3:$ET$3,,_xlfn.AGGREGATE(15,6,(COLUMN(BI3:$ET$3)-COLUMN()-1)/(LEFT(BI6:$ET$6,1)&lt;&gt;"("),1))),1,INDEX('Capacity'!$2:$2,MATCH(BH6,'Capacity'!$3:$3,0))*IFERROR(INDEX(tRates[[Yearly WDs]:[Yearly WDs]],MATCH(BH6,tRates[[Key (lookup)]:[Key (lookup)]],0)),200))</f>
        <v>0</v>
      </c>
      <c r="BI3" s="55" cm="1">
        <f t="array" ref="BI3">_xlfn.IFS(BI2="no rate","",ISTEXT(BI2),SUM(BJ3:INDEX(BJ3:$ET$3,,_xlfn.AGGREGATE(15,6,(COLUMN(BJ3:$ET$3)-COLUMN()-1)/(LEFT(BJ6:$ET$6,1)&lt;&gt;"("),1))),1,INDEX('Capacity'!$2:$2,MATCH(BI6,'Capacity'!$3:$3,0))*IFERROR(INDEX(tRates[[Yearly WDs]:[Yearly WDs]],MATCH(BI6,tRates[[Key (lookup)]:[Key (lookup)]],0)),200))</f>
        <v>0</v>
      </c>
      <c r="BJ3" s="55" cm="1">
        <f t="array" ref="BJ3">_xlfn.IFS(BJ2="no rate","",ISTEXT(BJ2),SUM(BK3:INDEX(BK3:$ET$3,,_xlfn.AGGREGATE(15,6,(COLUMN(BK3:$ET$3)-COLUMN()-1)/(LEFT(BK6:$ET$6,1)&lt;&gt;"("),1))),1,INDEX('Capacity'!$2:$2,MATCH(BJ6,'Capacity'!$3:$3,0))*IFERROR(INDEX(tRates[[Yearly WDs]:[Yearly WDs]],MATCH(BJ6,tRates[[Key (lookup)]:[Key (lookup)]],0)),200))</f>
        <v>0</v>
      </c>
      <c r="BK3" s="55" cm="1">
        <f t="array" ref="BK3">_xlfn.IFS(BK2="no rate","",ISTEXT(BK2),SUM(BL3:INDEX(BL3:$ET$3,,_xlfn.AGGREGATE(15,6,(COLUMN(BL3:$ET$3)-COLUMN()-1)/(LEFT(BL6:$ET$6,1)&lt;&gt;"("),1))),1,INDEX('Capacity'!$2:$2,MATCH(BK6,'Capacity'!$3:$3,0))*IFERROR(INDEX(tRates[[Yearly WDs]:[Yearly WDs]],MATCH(BK6,tRates[[Key (lookup)]:[Key (lookup)]],0)),200))</f>
        <v>0</v>
      </c>
      <c r="BL3" s="55" cm="1">
        <f t="array" ref="BL3">_xlfn.IFS(BL2="no rate","",ISTEXT(BL2),SUM(BP3:INDEX(BP3:$ET$3,,_xlfn.AGGREGATE(15,6,(COLUMN(BP3:$ET$3)-COLUMN()-1)/(LEFT(BP6:$ET$6,1)&lt;&gt;"("),1))),1,INDEX('Capacity'!$2:$2,MATCH(BL6,'Capacity'!$3:$3,0))*IFERROR(INDEX(tRates[[Yearly WDs]:[Yearly WDs]],MATCH(BL6,tRates[[Key (lookup)]:[Key (lookup)]],0)),200))</f>
        <v>0</v>
      </c>
      <c r="BM3" s="55" cm="1">
        <f t="array" ref="BM3">_xlfn.IFS(BM2="no rate","",ISTEXT(BM2),SUM(BQ3:INDEX(BQ3:$ET$3,,_xlfn.AGGREGATE(15,6,(COLUMN(BQ3:$ET$3)-COLUMN()-1)/(LEFT(BQ6:$ET$6,1)&lt;&gt;"("),1))),1,INDEX('Capacity'!$2:$2,MATCH(BM6,'Capacity'!$3:$3,0))*IFERROR(INDEX(tRates[[Yearly WDs]:[Yearly WDs]],MATCH(BM6,tRates[[Key (lookup)]:[Key (lookup)]],0)),200))</f>
        <v>0</v>
      </c>
      <c r="BN3" s="55" cm="1">
        <f t="array" ref="BN3">_xlfn.IFS(BN2="no rate","",ISTEXT(BN2),SUM(BR3:INDEX(BR3:$ET$3,,_xlfn.AGGREGATE(15,6,(COLUMN(BR3:$ET$3)-COLUMN()-1)/(LEFT(BR6:$ET$6,1)&lt;&gt;"("),1))),1,INDEX('Capacity'!$2:$2,MATCH(BN6,'Capacity'!$3:$3,0))*IFERROR(INDEX(tRates[[Yearly WDs]:[Yearly WDs]],MATCH(BN6,tRates[[Key (lookup)]:[Key (lookup)]],0)),200))</f>
        <v>0</v>
      </c>
      <c r="BO3" s="55" cm="1">
        <f t="array" ref="BO3">_xlfn.IFS(BO2="no rate","",ISTEXT(BO2),SUM(BS3:INDEX(BS3:$ET$3,,_xlfn.AGGREGATE(15,6,(COLUMN(BS3:$ET$3)-COLUMN()-1)/(LEFT(BS6:$ET$6,1)&lt;&gt;"("),1))),1,INDEX('Capacity'!$2:$2,MATCH(BO6,'Capacity'!$3:$3,0))*IFERROR(INDEX(tRates[[Yearly WDs]:[Yearly WDs]],MATCH(BO6,tRates[[Key (lookup)]:[Key (lookup)]],0)),200))</f>
        <v>0</v>
      </c>
      <c r="BP3" s="55" cm="1">
        <f t="array" ref="BP3">_xlfn.IFS(BP2="no rate","",ISTEXT(BP2),SUM(BT3:INDEX(BT3:$ET$3,,_xlfn.AGGREGATE(15,6,(COLUMN(BT3:$ET$3)-COLUMN()-1)/(LEFT(BT6:$ET$6,1)&lt;&gt;"("),1))),1,INDEX('Capacity'!$2:$2,MATCH(BP6,'Capacity'!$3:$3,0))*IFERROR(INDEX(tRates[[Yearly WDs]:[Yearly WDs]],MATCH(BP6,tRates[[Key (lookup)]:[Key (lookup)]],0)),200))</f>
        <v>0</v>
      </c>
      <c r="BQ3" s="55" cm="1">
        <f t="array" ref="BQ3">_xlfn.IFS(BQ2="no rate","",ISTEXT(BQ2),SUM(BR3:INDEX(BR3:$ET$3,,_xlfn.AGGREGATE(15,6,(COLUMN(BR3:$ET$3)-COLUMN()-1)/(LEFT(BR6:$ET$6,1)&lt;&gt;"("),1))),1,INDEX('Capacity'!$2:$2,MATCH(BQ6,'Capacity'!$3:$3,0))*IFERROR(INDEX(tRates[[Yearly WDs]:[Yearly WDs]],MATCH(BQ6,tRates[[Key (lookup)]:[Key (lookup)]],0)),200))</f>
        <v>0</v>
      </c>
      <c r="BR3" s="55" cm="1">
        <f t="array" ref="BR3">_xlfn.IFS(BR2="no rate","",ISTEXT(BR2),SUM(BS3:INDEX(BS3:$ET$3,,_xlfn.AGGREGATE(15,6,(COLUMN(BS3:$ET$3)-COLUMN()-1)/(LEFT(BS6:$ET$6,1)&lt;&gt;"("),1))),1,INDEX('Capacity'!$2:$2,MATCH(BR6,'Capacity'!$3:$3,0))*IFERROR(INDEX(tRates[[Yearly WDs]:[Yearly WDs]],MATCH(BR6,tRates[[Key (lookup)]:[Key (lookup)]],0)),200))</f>
        <v>0</v>
      </c>
      <c r="BS3" s="55" cm="1">
        <f t="array" ref="BS3">_xlfn.IFS(BS2="no rate","",ISTEXT(BS2),SUM(BT3:INDEX(BT3:$ET$3,,_xlfn.AGGREGATE(15,6,(COLUMN(BT3:$ET$3)-COLUMN()-1)/(LEFT(BT6:$ET$6,1)&lt;&gt;"("),1))),1,INDEX('Capacity'!$2:$2,MATCH(BS6,'Capacity'!$3:$3,0))*IFERROR(INDEX(tRates[[Yearly WDs]:[Yearly WDs]],MATCH(BS6,tRates[[Key (lookup)]:[Key (lookup)]],0)),200))</f>
        <v>0</v>
      </c>
      <c r="BT3" s="55" cm="1">
        <f t="array" ref="BT3">_xlfn.IFS(BT2="no rate","",ISTEXT(BT2),SUM(BU3:INDEX(BU3:$ET$3,,_xlfn.AGGREGATE(15,6,(COLUMN(BU3:$ET$3)-COLUMN()-1)/(LEFT(BU6:$ET$6,1)&lt;&gt;"("),1))),1,INDEX('Capacity'!$2:$2,MATCH(BT6,'Capacity'!$3:$3,0))*IFERROR(INDEX(tRates[[Yearly WDs]:[Yearly WDs]],MATCH(BT6,tRates[[Key (lookup)]:[Key (lookup)]],0)),200))</f>
        <v>0</v>
      </c>
      <c r="BU3" s="55" cm="1">
        <f t="array" ref="BU3">_xlfn.IFS(BU2="no rate","",ISTEXT(BU2),SUM(BV3:INDEX(BV3:$ET$3,,_xlfn.AGGREGATE(15,6,(COLUMN(BV3:$ET$3)-COLUMN()-1)/(LEFT(BV6:$ET$6,1)&lt;&gt;"("),1))),1,INDEX('Capacity'!$2:$2,MATCH(BU6,'Capacity'!$3:$3,0))*IFERROR(INDEX(tRates[[Yearly WDs]:[Yearly WDs]],MATCH(BU6,tRates[[Key (lookup)]:[Key (lookup)]],0)),200))</f>
        <v>0</v>
      </c>
      <c r="BV3" s="55" cm="1">
        <f t="array" ref="BV3">_xlfn.IFS(BV2="no rate","",ISTEXT(BV2),SUM(BW3:INDEX(BW3:$ET$3,,_xlfn.AGGREGATE(15,6,(COLUMN(BW3:$ET$3)-COLUMN()-1)/(LEFT(BW6:$ET$6,1)&lt;&gt;"("),1))),1,INDEX('Capacity'!$2:$2,MATCH(BV6,'Capacity'!$3:$3,0))*IFERROR(INDEX(tRates[[Yearly WDs]:[Yearly WDs]],MATCH(BV6,tRates[[Key (lookup)]:[Key (lookup)]],0)),200))</f>
        <v>0</v>
      </c>
      <c r="BW3" s="55" cm="1">
        <f t="array" ref="BW3">_xlfn.IFS(BW2="no rate","",ISTEXT(BW2),SUM(BX3:INDEX(BX3:$ET$3,,_xlfn.AGGREGATE(15,6,(COLUMN(BX3:$ET$3)-COLUMN()-1)/(LEFT(BX6:$ET$6,1)&lt;&gt;"("),1))),1,INDEX('Capacity'!$2:$2,MATCH(BW6,'Capacity'!$3:$3,0))*IFERROR(INDEX(tRates[[Yearly WDs]:[Yearly WDs]],MATCH(BW6,tRates[[Key (lookup)]:[Key (lookup)]],0)),200))</f>
        <v>0</v>
      </c>
      <c r="BX3" s="55" cm="1">
        <f t="array" ref="BX3">_xlfn.IFS(BX2="no rate","",ISTEXT(BX2),SUM(BY3:INDEX(BY3:$ET$3,,_xlfn.AGGREGATE(15,6,(COLUMN(BY3:$ET$3)-COLUMN()-1)/(LEFT(BY6:$ET$6,1)&lt;&gt;"("),1))),1,INDEX('Capacity'!$2:$2,MATCH(BX6,'Capacity'!$3:$3,0))*IFERROR(INDEX(tRates[[Yearly WDs]:[Yearly WDs]],MATCH(BX6,tRates[[Key (lookup)]:[Key (lookup)]],0)),200))</f>
        <v>0</v>
      </c>
      <c r="BY3" s="55" cm="1">
        <f t="array" ref="BY3">_xlfn.IFS(BY2="no rate","",ISTEXT(BY2),SUM(BZ3:INDEX(BZ3:$ET$3,,_xlfn.AGGREGATE(15,6,(COLUMN(BZ3:$ET$3)-COLUMN()-1)/(LEFT(BZ6:$ET$6,1)&lt;&gt;"("),1))),1,INDEX('Capacity'!$2:$2,MATCH(BY6,'Capacity'!$3:$3,0))*IFERROR(INDEX(tRates[[Yearly WDs]:[Yearly WDs]],MATCH(BY6,tRates[[Key (lookup)]:[Key (lookup)]],0)),200))</f>
        <v>0</v>
      </c>
      <c r="BZ3" s="55" cm="1">
        <f t="array" ref="BZ3">_xlfn.IFS(BZ2="no rate","",ISTEXT(BZ2),SUM(CA3:INDEX(CA3:$ET$3,,_xlfn.AGGREGATE(15,6,(COLUMN(CA3:$ET$3)-COLUMN()-1)/(LEFT(CA6:$ET$6,1)&lt;&gt;"("),1))),1,INDEX('Capacity'!$2:$2,MATCH(BZ6,'Capacity'!$3:$3,0))*IFERROR(INDEX(tRates[[Yearly WDs]:[Yearly WDs]],MATCH(BZ6,tRates[[Key (lookup)]:[Key (lookup)]],0)),200))</f>
        <v>0</v>
      </c>
      <c r="CA3" s="55" cm="1">
        <f t="array" ref="CA3">_xlfn.IFS(CA2="no rate","",ISTEXT(CA2),SUM(CB3:INDEX(CB3:$ET$3,,_xlfn.AGGREGATE(15,6,(COLUMN(CB3:$ET$3)-COLUMN()-1)/(LEFT(CB6:$ET$6,1)&lt;&gt;"("),1))),1,INDEX('Capacity'!$2:$2,MATCH(CA6,'Capacity'!$3:$3,0))*IFERROR(INDEX(tRates[[Yearly WDs]:[Yearly WDs]],MATCH(CA6,tRates[[Key (lookup)]:[Key (lookup)]],0)),200))</f>
        <v>0</v>
      </c>
      <c r="CB3" s="55" cm="1">
        <f t="array" ref="CB3">_xlfn.IFS(CB2="no rate","",ISTEXT(CB2),SUM(CC3:INDEX(CC3:$ET$3,,_xlfn.AGGREGATE(15,6,(COLUMN(CC3:$ET$3)-COLUMN()-1)/(LEFT(CC6:$ET$6,1)&lt;&gt;"("),1))),1,INDEX('Capacity'!$2:$2,MATCH(CB6,'Capacity'!$3:$3,0))*IFERROR(INDEX(tRates[[Yearly WDs]:[Yearly WDs]],MATCH(CB6,tRates[[Key (lookup)]:[Key (lookup)]],0)),200))</f>
        <v>0</v>
      </c>
      <c r="CC3" s="55" cm="1">
        <f t="array" ref="CC3">_xlfn.IFS(CC2="no rate","",ISTEXT(CC2),SUM(CD3:INDEX(CD3:$ET$3,,_xlfn.AGGREGATE(15,6,(COLUMN(CD3:$ET$3)-COLUMN()-1)/(LEFT(CD6:$ET$6,1)&lt;&gt;"("),1))),1,INDEX('Capacity'!$2:$2,MATCH(CC6,'Capacity'!$3:$3,0))*IFERROR(INDEX(tRates[[Yearly WDs]:[Yearly WDs]],MATCH(CC6,tRates[[Key (lookup)]:[Key (lookup)]],0)),200))</f>
        <v>0</v>
      </c>
      <c r="CD3" s="55" cm="1">
        <f t="array" ref="CD3">_xlfn.IFS(CD2="no rate","",ISTEXT(CD2),SUM(CE3:INDEX(CE3:$ET$3,,_xlfn.AGGREGATE(15,6,(COLUMN(CE3:$ET$3)-COLUMN()-1)/(LEFT(CE6:$ET$6,1)&lt;&gt;"("),1))),1,INDEX('Capacity'!$2:$2,MATCH(CD6,'Capacity'!$3:$3,0))*IFERROR(INDEX(tRates[[Yearly WDs]:[Yearly WDs]],MATCH(CD6,tRates[[Key (lookup)]:[Key (lookup)]],0)),200))</f>
        <v>0</v>
      </c>
      <c r="CE3" s="55" cm="1">
        <f t="array" ref="CE3">_xlfn.IFS(CE2="no rate","",ISTEXT(CE2),SUM(CF3:INDEX(CF3:$ET$3,,_xlfn.AGGREGATE(15,6,(COLUMN(CF3:$ET$3)-COLUMN()-1)/(LEFT(CF6:$ET$6,1)&lt;&gt;"("),1))),1,INDEX('Capacity'!$2:$2,MATCH(CE6,'Capacity'!$3:$3,0))*IFERROR(INDEX(tRates[[Yearly WDs]:[Yearly WDs]],MATCH(CE6,tRates[[Key (lookup)]:[Key (lookup)]],0)),200))</f>
        <v>0</v>
      </c>
      <c r="CF3" s="55" cm="1">
        <f t="array" ref="CF3">_xlfn.IFS(CF2="no rate","",ISTEXT(CF2),SUM(CG3:INDEX(CG3:$ET$3,,_xlfn.AGGREGATE(15,6,(COLUMN(CG3:$ET$3)-COLUMN()-1)/(LEFT(CG6:$ET$6,1)&lt;&gt;"("),1))),1,INDEX('Capacity'!$2:$2,MATCH(CF6,'Capacity'!$3:$3,0))*IFERROR(INDEX(tRates[[Yearly WDs]:[Yearly WDs]],MATCH(CF6,tRates[[Key (lookup)]:[Key (lookup)]],0)),200))</f>
        <v>0</v>
      </c>
      <c r="CG3" s="55" cm="1">
        <f t="array" ref="CG3">_xlfn.IFS(CG2="no rate","",ISTEXT(CG2),SUM(CH3:INDEX(CH3:$ET$3,,_xlfn.AGGREGATE(15,6,(COLUMN(CH3:$ET$3)-COLUMN()-1)/(LEFT(CH6:$ET$6,1)&lt;&gt;"("),1))),1,INDEX('Capacity'!$2:$2,MATCH(CG6,'Capacity'!$3:$3,0))*IFERROR(INDEX(tRates[[Yearly WDs]:[Yearly WDs]],MATCH(CG6,tRates[[Key (lookup)]:[Key (lookup)]],0)),200))</f>
        <v>0</v>
      </c>
      <c r="CH3" s="55" cm="1">
        <f t="array" ref="CH3">_xlfn.IFS(CH2="no rate","",ISTEXT(CH2),SUM(CI3:INDEX(CI3:$ET$3,,_xlfn.AGGREGATE(15,6,(COLUMN(CI3:$ET$3)-COLUMN()-1)/(LEFT(CI6:$ET$6,1)&lt;&gt;"("),1))),1,INDEX('Capacity'!$2:$2,MATCH(CH6,'Capacity'!$3:$3,0))*IFERROR(INDEX(tRates[[Yearly WDs]:[Yearly WDs]],MATCH(CH6,tRates[[Key (lookup)]:[Key (lookup)]],0)),200))</f>
        <v>0</v>
      </c>
      <c r="CI3" s="55" cm="1">
        <f t="array" ref="CI3">_xlfn.IFS(CI2="no rate","",ISTEXT(CI2),SUM(CJ3:INDEX(CJ3:$ET$3,,_xlfn.AGGREGATE(15,6,(COLUMN(CJ3:$ET$3)-COLUMN()-1)/(LEFT(CJ6:$ET$6,1)&lt;&gt;"("),1))),1,INDEX('Capacity'!$2:$2,MATCH(CI6,'Capacity'!$3:$3,0))*IFERROR(INDEX(tRates[[Yearly WDs]:[Yearly WDs]],MATCH(CI6,tRates[[Key (lookup)]:[Key (lookup)]],0)),200))</f>
        <v>0</v>
      </c>
      <c r="CJ3" s="55" cm="1">
        <f t="array" ref="CJ3">_xlfn.IFS(CJ2="no rate","",ISTEXT(CJ2),SUM(CK3:INDEX(CK3:$ET$3,,_xlfn.AGGREGATE(15,6,(COLUMN(CK3:$ET$3)-COLUMN()-1)/(LEFT(CK6:$ET$6,1)&lt;&gt;"("),1))),1,INDEX('Capacity'!$2:$2,MATCH(CJ6,'Capacity'!$3:$3,0))*IFERROR(INDEX(tRates[[Yearly WDs]:[Yearly WDs]],MATCH(CJ6,tRates[[Key (lookup)]:[Key (lookup)]],0)),200))</f>
        <v>0</v>
      </c>
      <c r="CK3" s="55" cm="1">
        <f t="array" ref="CK3">_xlfn.IFS(CK2="no rate","",ISTEXT(CK2),SUM(CL3:INDEX(CL3:$ET$3,,_xlfn.AGGREGATE(15,6,(COLUMN(CL3:$ET$3)-COLUMN()-1)/(LEFT(CL6:$ET$6,1)&lt;&gt;"("),1))),1,INDEX('Capacity'!$2:$2,MATCH(CK6,'Capacity'!$3:$3,0))*IFERROR(INDEX(tRates[[Yearly WDs]:[Yearly WDs]],MATCH(CK6,tRates[[Key (lookup)]:[Key (lookup)]],0)),200))</f>
        <v>0</v>
      </c>
      <c r="CL3" s="55" cm="1">
        <f t="array" ref="CL3">_xlfn.IFS(CL2="no rate","",ISTEXT(CL2),SUM(CM3:INDEX(CM3:$ET$3,,_xlfn.AGGREGATE(15,6,(COLUMN(CM3:$ET$3)-COLUMN()-1)/(LEFT(CM6:$ET$6,1)&lt;&gt;"("),1))),1,INDEX('Capacity'!$2:$2,MATCH(CL6,'Capacity'!$3:$3,0))*IFERROR(INDEX(tRates[[Yearly WDs]:[Yearly WDs]],MATCH(CL6,tRates[[Key (lookup)]:[Key (lookup)]],0)),200))</f>
        <v>0</v>
      </c>
      <c r="CM3" s="55" cm="1">
        <f t="array" ref="CM3">_xlfn.IFS(CM2="no rate","",ISTEXT(CM2),SUM(CN3:INDEX(CN3:$ET$3,,_xlfn.AGGREGATE(15,6,(COLUMN(CN3:$ET$3)-COLUMN()-1)/(LEFT(CN6:$ET$6,1)&lt;&gt;"("),1))),1,INDEX('Capacity'!$2:$2,MATCH(CM6,'Capacity'!$3:$3,0))*IFERROR(INDEX(tRates[[Yearly WDs]:[Yearly WDs]],MATCH(CM6,tRates[[Key (lookup)]:[Key (lookup)]],0)),200))</f>
        <v>0</v>
      </c>
      <c r="CN3" s="55" cm="1">
        <f t="array" ref="CN3">_xlfn.IFS(CN2="no rate","",ISTEXT(CN2),SUM(CO3:INDEX(CO3:$ET$3,,_xlfn.AGGREGATE(15,6,(COLUMN(CO3:$ET$3)-COLUMN()-1)/(LEFT(CO6:$ET$6,1)&lt;&gt;"("),1))),1,INDEX('Capacity'!$2:$2,MATCH(CN6,'Capacity'!$3:$3,0))*IFERROR(INDEX(tRates[[Yearly WDs]:[Yearly WDs]],MATCH(CN6,tRates[[Key (lookup)]:[Key (lookup)]],0)),200))</f>
        <v>0</v>
      </c>
      <c r="CO3" s="55" cm="1">
        <f t="array" ref="CO3">_xlfn.IFS(CO2="no rate","",ISTEXT(CO2),SUM(CP3:INDEX(CP3:$ET$3,,_xlfn.AGGREGATE(15,6,(COLUMN(CP3:$ET$3)-COLUMN()-1)/(LEFT(CP6:$ET$6,1)&lt;&gt;"("),1))),1,INDEX('Capacity'!$2:$2,MATCH(CO6,'Capacity'!$3:$3,0))*IFERROR(INDEX(tRates[[Yearly WDs]:[Yearly WDs]],MATCH(CO6,tRates[[Key (lookup)]:[Key (lookup)]],0)),200))</f>
        <v>0</v>
      </c>
      <c r="CP3" s="55" cm="1">
        <f t="array" ref="CP3">_xlfn.IFS(CP2="no rate","",ISTEXT(CP2),SUM(CQ3:INDEX(CQ3:$ET$3,,_xlfn.AGGREGATE(15,6,(COLUMN(CQ3:$ET$3)-COLUMN()-1)/(LEFT(CQ6:$ET$6,1)&lt;&gt;"("),1))),1,INDEX('Capacity'!$2:$2,MATCH(CP6,'Capacity'!$3:$3,0))*IFERROR(INDEX(tRates[[Yearly WDs]:[Yearly WDs]],MATCH(CP6,tRates[[Key (lookup)]:[Key (lookup)]],0)),200))</f>
        <v>0</v>
      </c>
      <c r="CQ3" s="55" cm="1">
        <f t="array" ref="CQ3">_xlfn.IFS(CQ2="no rate","",ISTEXT(CQ2),SUM(CR3:INDEX(CR3:$ET$3,,_xlfn.AGGREGATE(15,6,(COLUMN(CR3:$ET$3)-COLUMN()-1)/(LEFT(CR6:$ET$6,1)&lt;&gt;"("),1))),1,INDEX('Capacity'!$2:$2,MATCH(CQ6,'Capacity'!$3:$3,0))*IFERROR(INDEX(tRates[[Yearly WDs]:[Yearly WDs]],MATCH(CQ6,tRates[[Key (lookup)]:[Key (lookup)]],0)),200))</f>
        <v>0</v>
      </c>
      <c r="CR3" s="55" cm="1">
        <f t="array" ref="CR3">_xlfn.IFS(CR2="no rate","",ISTEXT(CR2),SUM(CS3:INDEX(CS3:$ET$3,,_xlfn.AGGREGATE(15,6,(COLUMN(CS3:$ET$3)-COLUMN()-1)/(LEFT(CS6:$ET$6,1)&lt;&gt;"("),1))),1,INDEX('Capacity'!$2:$2,MATCH(CR6,'Capacity'!$3:$3,0))*IFERROR(INDEX(tRates[[Yearly WDs]:[Yearly WDs]],MATCH(CR6,tRates[[Key (lookup)]:[Key (lookup)]],0)),200))</f>
        <v>0</v>
      </c>
      <c r="CS3" s="55" cm="1">
        <f t="array" ref="CS3">_xlfn.IFS(CS2="no rate","",ISTEXT(CS2),SUM(CT3:INDEX(CT3:$ET$3,,_xlfn.AGGREGATE(15,6,(COLUMN(CT3:$ET$3)-COLUMN()-1)/(LEFT(CT6:$ET$6,1)&lt;&gt;"("),1))),1,INDEX('Capacity'!$2:$2,MATCH(CS6,'Capacity'!$3:$3,0))*IFERROR(INDEX(tRates[[Yearly WDs]:[Yearly WDs]],MATCH(CS6,tRates[[Key (lookup)]:[Key (lookup)]],0)),200))</f>
        <v>0</v>
      </c>
      <c r="CT3" s="55" cm="1">
        <f t="array" ref="CT3">_xlfn.IFS(CT2="no rate","",ISTEXT(CT2),SUM(CU3:INDEX(CU3:$ET$3,,_xlfn.AGGREGATE(15,6,(COLUMN(CU3:$ET$3)-COLUMN()-1)/(LEFT(CU6:$ET$6,1)&lt;&gt;"("),1))),1,INDEX('Capacity'!$2:$2,MATCH(CT6,'Capacity'!$3:$3,0))*IFERROR(INDEX(tRates[[Yearly WDs]:[Yearly WDs]],MATCH(CT6,tRates[[Key (lookup)]:[Key (lookup)]],0)),200))</f>
        <v>0</v>
      </c>
      <c r="CU3" s="55" cm="1">
        <f t="array" ref="CU3">_xlfn.IFS(CU2="no rate","",ISTEXT(CU2),SUM(CV3:INDEX(CV3:$ET$3,,_xlfn.AGGREGATE(15,6,(COLUMN(CV3:$ET$3)-COLUMN()-1)/(LEFT(CV6:$ET$6,1)&lt;&gt;"("),1))),1,INDEX('Capacity'!$2:$2,MATCH(CU6,'Capacity'!$3:$3,0))*IFERROR(INDEX(tRates[[Yearly WDs]:[Yearly WDs]],MATCH(CU6,tRates[[Key (lookup)]:[Key (lookup)]],0)),200))</f>
        <v>0</v>
      </c>
      <c r="CV3" s="55" cm="1">
        <f t="array" ref="CV3">_xlfn.IFS(CV2="no rate","",ISTEXT(CV2),SUM(CW3:INDEX(CW3:$ET$3,,_xlfn.AGGREGATE(15,6,(COLUMN(CW3:$ET$3)-COLUMN()-1)/(LEFT(CW6:$ET$6,1)&lt;&gt;"("),1))),1,INDEX('Capacity'!$2:$2,MATCH(CV6,'Capacity'!$3:$3,0))*IFERROR(INDEX(tRates[[Yearly WDs]:[Yearly WDs]],MATCH(CV6,tRates[[Key (lookup)]:[Key (lookup)]],0)),200))</f>
        <v>0</v>
      </c>
      <c r="CW3" s="55" cm="1">
        <f t="array" ref="CW3">_xlfn.IFS(CW2="no rate","",ISTEXT(CW2),SUM(CX3:INDEX(CX3:$ET$3,,_xlfn.AGGREGATE(15,6,(COLUMN(CX3:$ET$3)-COLUMN()-1)/(LEFT(CX6:$ET$6,1)&lt;&gt;"("),1))),1,INDEX('Capacity'!$2:$2,MATCH(CW6,'Capacity'!$3:$3,0))*IFERROR(INDEX(tRates[[Yearly WDs]:[Yearly WDs]],MATCH(CW6,tRates[[Key (lookup)]:[Key (lookup)]],0)),200))</f>
        <v>0</v>
      </c>
      <c r="CX3" s="55" cm="1">
        <f t="array" ref="CX3">_xlfn.IFS(CX2="no rate","",ISTEXT(CX2),SUM(CY3:INDEX(CY3:$ET$3,,_xlfn.AGGREGATE(15,6,(COLUMN(CY3:$ET$3)-COLUMN()-1)/(LEFT(CY6:$ET$6,1)&lt;&gt;"("),1))),1,INDEX('Capacity'!$2:$2,MATCH(CX6,'Capacity'!$3:$3,0))*IFERROR(INDEX(tRates[[Yearly WDs]:[Yearly WDs]],MATCH(CX6,tRates[[Key (lookup)]:[Key (lookup)]],0)),200))</f>
        <v>0</v>
      </c>
      <c r="CY3" s="55" cm="1">
        <f t="array" ref="CY3">_xlfn.IFS(CY2="no rate","",ISTEXT(CY2),SUM(CZ3:INDEX(CZ3:$ET$3,,_xlfn.AGGREGATE(15,6,(COLUMN(CZ3:$ET$3)-COLUMN()-1)/(LEFT(CZ6:$ET$6,1)&lt;&gt;"("),1))),1,INDEX('Capacity'!$2:$2,MATCH(CY6,'Capacity'!$3:$3,0))*IFERROR(INDEX(tRates[[Yearly WDs]:[Yearly WDs]],MATCH(CY6,tRates[[Key (lookup)]:[Key (lookup)]],0)),200))</f>
        <v>0</v>
      </c>
      <c r="CZ3" s="55" cm="1">
        <f t="array" ref="CZ3">_xlfn.IFS(CZ2="no rate","",ISTEXT(CZ2),SUM(DA3:INDEX(DA3:$ET$3,,_xlfn.AGGREGATE(15,6,(COLUMN(DA3:$ET$3)-COLUMN()-1)/(LEFT(DA6:$ET$6,1)&lt;&gt;"("),1))),1,INDEX('Capacity'!$2:$2,MATCH(CZ6,'Capacity'!$3:$3,0))*IFERROR(INDEX(tRates[[Yearly WDs]:[Yearly WDs]],MATCH(CZ6,tRates[[Key (lookup)]:[Key (lookup)]],0)),200))</f>
        <v>0</v>
      </c>
      <c r="DA3" s="55" cm="1">
        <f t="array" ref="DA3">_xlfn.IFS(DA2="no rate","",ISTEXT(DA2),SUM(DB3:INDEX(DB3:$ET$3,,_xlfn.AGGREGATE(15,6,(COLUMN(DB3:$ET$3)-COLUMN()-1)/(LEFT(DB6:$ET$6,1)&lt;&gt;"("),1))),1,INDEX('Capacity'!$2:$2,MATCH(DA6,'Capacity'!$3:$3,0))*IFERROR(INDEX(tRates[[Yearly WDs]:[Yearly WDs]],MATCH(DA6,tRates[[Key (lookup)]:[Key (lookup)]],0)),200))</f>
        <v>0</v>
      </c>
      <c r="DB3" s="55" cm="1">
        <f t="array" ref="DB3">_xlfn.IFS(DB2="no rate","",ISTEXT(DB2),SUM(DC3:INDEX(DC3:$ET$3,,_xlfn.AGGREGATE(15,6,(COLUMN(DC3:$ET$3)-COLUMN()-1)/(LEFT(DC6:$ET$6,1)&lt;&gt;"("),1))),1,INDEX('Capacity'!$2:$2,MATCH(DB6,'Capacity'!$3:$3,0))*IFERROR(INDEX(tRates[[Yearly WDs]:[Yearly WDs]],MATCH(DB6,tRates[[Key (lookup)]:[Key (lookup)]],0)),200))</f>
        <v>0</v>
      </c>
      <c r="DC3" s="55" cm="1">
        <f t="array" ref="DC3">_xlfn.IFS(DC2="no rate","",ISTEXT(DC2),SUM(DD3:INDEX(DD3:$ET$3,,_xlfn.AGGREGATE(15,6,(COLUMN(DD3:$ET$3)-COLUMN()-1)/(LEFT(DD6:$ET$6,1)&lt;&gt;"("),1))),1,INDEX('Capacity'!$2:$2,MATCH(DC6,'Capacity'!$3:$3,0))*IFERROR(INDEX(tRates[[Yearly WDs]:[Yearly WDs]],MATCH(DC6,tRates[[Key (lookup)]:[Key (lookup)]],0)),200))</f>
        <v>0</v>
      </c>
      <c r="DD3" s="55" cm="1">
        <f t="array" ref="DD3">_xlfn.IFS(DD2="no rate","",ISTEXT(DD2),SUM(DE3:INDEX(DE3:$ET$3,,_xlfn.AGGREGATE(15,6,(COLUMN(DE3:$ET$3)-COLUMN()-1)/(LEFT(DE6:$ET$6,1)&lt;&gt;"("),1))),1,INDEX('Capacity'!$2:$2,MATCH(DD6,'Capacity'!$3:$3,0))*IFERROR(INDEX(tRates[[Yearly WDs]:[Yearly WDs]],MATCH(DD6,tRates[[Key (lookup)]:[Key (lookup)]],0)),200))</f>
        <v>0</v>
      </c>
      <c r="DE3" s="55" cm="1">
        <f t="array" ref="DE3">_xlfn.IFS(DE2="no rate","",ISTEXT(DE2),SUM(DF3:INDEX(DF3:$ET$3,,_xlfn.AGGREGATE(15,6,(COLUMN(DF3:$ET$3)-COLUMN()-1)/(LEFT(DF6:$ET$6,1)&lt;&gt;"("),1))),1,INDEX('Capacity'!$2:$2,MATCH(DE6,'Capacity'!$3:$3,0))*IFERROR(INDEX(tRates[[Yearly WDs]:[Yearly WDs]],MATCH(DE6,tRates[[Key (lookup)]:[Key (lookup)]],0)),200))</f>
        <v>0</v>
      </c>
      <c r="DF3" s="55" cm="1">
        <f t="array" ref="DF3">_xlfn.IFS(DF2="no rate","",ISTEXT(DF2),SUM(DG3:INDEX(DG3:$ET$3,,_xlfn.AGGREGATE(15,6,(COLUMN(DG3:$ET$3)-COLUMN()-1)/(LEFT(DG6:$ET$6,1)&lt;&gt;"("),1))),1,INDEX('Capacity'!$2:$2,MATCH(DF6,'Capacity'!$3:$3,0))*IFERROR(INDEX(tRates[[Yearly WDs]:[Yearly WDs]],MATCH(DF6,tRates[[Key (lookup)]:[Key (lookup)]],0)),200))</f>
        <v>0</v>
      </c>
      <c r="DG3" s="55" cm="1">
        <f t="array" ref="DG3">_xlfn.IFS(DG2="no rate","",ISTEXT(DG2),SUM(DH3:INDEX(DH3:$ET$3,,_xlfn.AGGREGATE(15,6,(COLUMN(DH3:$ET$3)-COLUMN()-1)/(LEFT(DH6:$ET$6,1)&lt;&gt;"("),1))),1,INDEX('Capacity'!$2:$2,MATCH(DG6,'Capacity'!$3:$3,0))*IFERROR(INDEX(tRates[[Yearly WDs]:[Yearly WDs]],MATCH(DG6,tRates[[Key (lookup)]:[Key (lookup)]],0)),200))</f>
        <v>0</v>
      </c>
      <c r="DH3" s="55" cm="1">
        <f t="array" ref="DH3">_xlfn.IFS(DH2="no rate","",ISTEXT(DH2),SUM(DI3:INDEX(DI3:$ET$3,,_xlfn.AGGREGATE(15,6,(COLUMN(DI3:$ET$3)-COLUMN()-1)/(LEFT(DI6:$ET$6,1)&lt;&gt;"("),1))),1,INDEX('Capacity'!$2:$2,MATCH(DH6,'Capacity'!$3:$3,0))*IFERROR(INDEX(tRates[[Yearly WDs]:[Yearly WDs]],MATCH(DH6,tRates[[Key (lookup)]:[Key (lookup)]],0)),200))</f>
        <v>0</v>
      </c>
      <c r="DI3" s="55" cm="1">
        <f t="array" ref="DI3">_xlfn.IFS(DI2="no rate","",ISTEXT(DI2),SUM(DJ3:INDEX(DJ3:$ET$3,,_xlfn.AGGREGATE(15,6,(COLUMN(DJ3:$ET$3)-COLUMN()-1)/(LEFT(DJ6:$ET$6,1)&lt;&gt;"("),1))),1,INDEX('Capacity'!$2:$2,MATCH(DI6,'Capacity'!$3:$3,0))*IFERROR(INDEX(tRates[[Yearly WDs]:[Yearly WDs]],MATCH(DI6,tRates[[Key (lookup)]:[Key (lookup)]],0)),200))</f>
        <v>0</v>
      </c>
      <c r="DJ3" s="55" cm="1">
        <f t="array" ref="DJ3">_xlfn.IFS(DJ2="no rate","",ISTEXT(DJ2),SUM(DK3:INDEX(DK3:$ET$3,,_xlfn.AGGREGATE(15,6,(COLUMN(DK3:$ET$3)-COLUMN()-1)/(LEFT(DK6:$ET$6,1)&lt;&gt;"("),1))),1,INDEX('Capacity'!$2:$2,MATCH(DJ6,'Capacity'!$3:$3,0))*IFERROR(INDEX(tRates[[Yearly WDs]:[Yearly WDs]],MATCH(DJ6,tRates[[Key (lookup)]:[Key (lookup)]],0)),200))</f>
        <v>0</v>
      </c>
      <c r="DK3" s="55" cm="1">
        <f t="array" ref="DK3">_xlfn.IFS(DK2="no rate","",ISTEXT(DK2),SUM(DL3:INDEX(DL3:$ET$3,,_xlfn.AGGREGATE(15,6,(COLUMN(DL3:$ET$3)-COLUMN()-1)/(LEFT(DL6:$ET$6,1)&lt;&gt;"("),1))),1,INDEX('Capacity'!$2:$2,MATCH(DK6,'Capacity'!$3:$3,0))*IFERROR(INDEX(tRates[[Yearly WDs]:[Yearly WDs]],MATCH(DK6,tRates[[Key (lookup)]:[Key (lookup)]],0)),200))</f>
        <v>0</v>
      </c>
      <c r="DL3" s="55" cm="1">
        <f t="array" ref="DL3">_xlfn.IFS(DL2="no rate","",ISTEXT(DL2),SUM(DM3:INDEX(DM3:$ET$3,,_xlfn.AGGREGATE(15,6,(COLUMN(DM3:$ET$3)-COLUMN()-1)/(LEFT(DM6:$ET$6,1)&lt;&gt;"("),1))),1,INDEX('Capacity'!$2:$2,MATCH(DL6,'Capacity'!$3:$3,0))*IFERROR(INDEX(tRates[[Yearly WDs]:[Yearly WDs]],MATCH(DL6,tRates[[Key (lookup)]:[Key (lookup)]],0)),200))</f>
        <v>0</v>
      </c>
      <c r="DM3" s="55" cm="1">
        <f t="array" ref="DM3">_xlfn.IFS(DM2="no rate","",ISTEXT(DM2),SUM(DN3:INDEX(DN3:$ET$3,,_xlfn.AGGREGATE(15,6,(COLUMN(DN3:$ET$3)-COLUMN()-1)/(LEFT(DN6:$ET$6,1)&lt;&gt;"("),1))),1,INDEX('Capacity'!$2:$2,MATCH(DM6,'Capacity'!$3:$3,0))*IFERROR(INDEX(tRates[[Yearly WDs]:[Yearly WDs]],MATCH(DM6,tRates[[Key (lookup)]:[Key (lookup)]],0)),200))</f>
        <v>0</v>
      </c>
      <c r="DN3" s="55" cm="1">
        <f t="array" ref="DN3">_xlfn.IFS(DN2="no rate","",ISTEXT(DN2),SUM(DO3:INDEX(DO3:$ET$3,,_xlfn.AGGREGATE(15,6,(COLUMN(DO3:$ET$3)-COLUMN()-1)/(LEFT(DO6:$ET$6,1)&lt;&gt;"("),1))),1,INDEX('Capacity'!$2:$2,MATCH(DN6,'Capacity'!$3:$3,0))*IFERROR(INDEX(tRates[[Yearly WDs]:[Yearly WDs]],MATCH(DN6,tRates[[Key (lookup)]:[Key (lookup)]],0)),200))</f>
        <v>0</v>
      </c>
      <c r="DO3" s="55" cm="1">
        <f t="array" ref="DO3">_xlfn.IFS(DO2="no rate","",ISTEXT(DO2),SUM(DP3:INDEX(DP3:$ET$3,,_xlfn.AGGREGATE(15,6,(COLUMN(DP3:$ET$3)-COLUMN()-1)/(LEFT(DP6:$ET$6,1)&lt;&gt;"("),1))),1,INDEX('Capacity'!$2:$2,MATCH(DO6,'Capacity'!$3:$3,0))*IFERROR(INDEX(tRates[[Yearly WDs]:[Yearly WDs]],MATCH(DO6,tRates[[Key (lookup)]:[Key (lookup)]],0)),200))</f>
        <v>0</v>
      </c>
      <c r="DP3" s="55" cm="1">
        <f t="array" ref="DP3">_xlfn.IFS(DP2="no rate","",ISTEXT(DP2),SUM(DQ3:INDEX(DQ3:$ET$3,,_xlfn.AGGREGATE(15,6,(COLUMN(DQ3:$ET$3)-COLUMN()-1)/(LEFT(DQ6:$ET$6,1)&lt;&gt;"("),1))),1,INDEX('Capacity'!$2:$2,MATCH(DP6,'Capacity'!$3:$3,0))*IFERROR(INDEX(tRates[[Yearly WDs]:[Yearly WDs]],MATCH(DP6,tRates[[Key (lookup)]:[Key (lookup)]],0)),200))</f>
        <v>0</v>
      </c>
      <c r="DQ3" s="55" cm="1">
        <f t="array" ref="DQ3">_xlfn.IFS(DQ2="no rate","",ISTEXT(DQ2),SUM(DR3:INDEX(DR3:$ET$3,,_xlfn.AGGREGATE(15,6,(COLUMN(DR3:$ET$3)-COLUMN()-1)/(LEFT(DR6:$ET$6,1)&lt;&gt;"("),1))),1,INDEX('Capacity'!$2:$2,MATCH(DQ6,'Capacity'!$3:$3,0))*IFERROR(INDEX(tRates[[Yearly WDs]:[Yearly WDs]],MATCH(DQ6,tRates[[Key (lookup)]:[Key (lookup)]],0)),200))</f>
        <v>0</v>
      </c>
      <c r="DR3" s="55" t="str" cm="1">
        <f t="array" ref="DR3">_xlfn.IFS(DR2="no rate","",ISTEXT(DR2),SUM(DS3:INDEX(DS3:$ET$3,,_xlfn.AGGREGATE(15,6,(COLUMN(DS3:$ET$3)-COLUMN()-1)/(LEFT(DS6:$ET$6,1)&lt;&gt;"("),1))),1,INDEX('Capacity'!$2:$2,MATCH(DR6,'Capacity'!$3:$3,0))*IFERROR(INDEX(tRates[[Yearly WDs]:[Yearly WDs]],MATCH(DR6,tRates[[Key (lookup)]:[Key (lookup)]],0)),200))</f>
        <v/>
      </c>
      <c r="DS3" s="55" t="str" cm="1">
        <f t="array" ref="DS3">_xlfn.IFS(DS2="no rate","",ISTEXT(DS2),SUM(DT3:INDEX(DT3:$ET$3,,_xlfn.AGGREGATE(15,6,(COLUMN(DT3:$ET$3)-COLUMN()-1)/(LEFT(DT6:$ET$6,1)&lt;&gt;"("),1))),1,INDEX('Capacity'!$2:$2,MATCH(DS6,'Capacity'!$3:$3,0))*IFERROR(INDEX(tRates[[Yearly WDs]:[Yearly WDs]],MATCH(DS6,tRates[[Key (lookup)]:[Key (lookup)]],0)),200))</f>
        <v/>
      </c>
      <c r="DT3" s="55" t="str" cm="1">
        <f t="array" ref="DT3">_xlfn.IFS(DT2="no rate","",ISTEXT(DT2),SUM(DU3:INDEX(DU3:$ET$3,,_xlfn.AGGREGATE(15,6,(COLUMN(DU3:$ET$3)-COLUMN()-1)/(LEFT(DU6:$ET$6,1)&lt;&gt;"("),1))),1,INDEX('Capacity'!$2:$2,MATCH(DT6,'Capacity'!$3:$3,0))*IFERROR(INDEX(tRates[[Yearly WDs]:[Yearly WDs]],MATCH(DT6,tRates[[Key (lookup)]:[Key (lookup)]],0)),200))</f>
        <v/>
      </c>
      <c r="DU3" s="55" t="str" cm="1">
        <f t="array" ref="DU3">_xlfn.IFS(DU2="no rate","",ISTEXT(DU2),SUM(DV3:INDEX(DV3:$ET$3,,_xlfn.AGGREGATE(15,6,(COLUMN(DV3:$ET$3)-COLUMN()-1)/(LEFT(DV6:$ET$6,1)&lt;&gt;"("),1))),1,INDEX('Capacity'!$2:$2,MATCH(DU6,'Capacity'!$3:$3,0))*IFERROR(INDEX(tRates[[Yearly WDs]:[Yearly WDs]],MATCH(DU6,tRates[[Key (lookup)]:[Key (lookup)]],0)),200))</f>
        <v/>
      </c>
      <c r="DV3" s="55" t="str" cm="1">
        <f t="array" ref="DV3">_xlfn.IFS(DV2="no rate","",ISTEXT(DV2),SUM(DW3:INDEX(DW3:$ET$3,,_xlfn.AGGREGATE(15,6,(COLUMN(DW3:$ET$3)-COLUMN()-1)/(LEFT(DW6:$ET$6,1)&lt;&gt;"("),1))),1,INDEX('Capacity'!$2:$2,MATCH(DV6,'Capacity'!$3:$3,0))*IFERROR(INDEX(tRates[[Yearly WDs]:[Yearly WDs]],MATCH(DV6,tRates[[Key (lookup)]:[Key (lookup)]],0)),200))</f>
        <v/>
      </c>
      <c r="DW3" s="55" t="str" cm="1">
        <f t="array" ref="DW3">_xlfn.IFS(DW2="no rate","",ISTEXT(DW2),SUM(DX3:INDEX(DX3:$ET$3,,_xlfn.AGGREGATE(15,6,(COLUMN(DX3:$ET$3)-COLUMN()-1)/(LEFT(DX6:$ET$6,1)&lt;&gt;"("),1))),1,INDEX('Capacity'!$2:$2,MATCH(DW6,'Capacity'!$3:$3,0))*IFERROR(INDEX(tRates[[Yearly WDs]:[Yearly WDs]],MATCH(DW6,tRates[[Key (lookup)]:[Key (lookup)]],0)),200))</f>
        <v/>
      </c>
      <c r="DX3" s="55" cm="1">
        <f t="array" ref="DX3">_xlfn.IFS(DX2="no rate","",ISTEXT(DX2),SUM(DY3:INDEX(DY3:$ET$3,,_xlfn.AGGREGATE(15,6,(COLUMN(DY3:$ET$3)-COLUMN()-1)/(LEFT(DY6:$ET$6,1)&lt;&gt;"("),1))),1,INDEX('Capacity'!$2:$2,MATCH(DX6,'Capacity'!$3:$3,0))*IFERROR(INDEX(tRates[[Yearly WDs]:[Yearly WDs]],MATCH(DX6,tRates[[Key (lookup)]:[Key (lookup)]],0)),200))</f>
        <v>0</v>
      </c>
      <c r="DY3" s="55" cm="1">
        <f t="array" ref="DY3">_xlfn.IFS(DY2="no rate","",ISTEXT(DY2),SUM(DZ3:INDEX(DZ3:$ET$3,,_xlfn.AGGREGATE(15,6,(COLUMN(DZ3:$ET$3)-COLUMN()-1)/(LEFT(DZ6:$ET$6,1)&lt;&gt;"("),1))),1,INDEX('Capacity'!$2:$2,MATCH(DY6,'Capacity'!$3:$3,0))*IFERROR(INDEX(tRates[[Yearly WDs]:[Yearly WDs]],MATCH(DY6,tRates[[Key (lookup)]:[Key (lookup)]],0)),200))</f>
        <v>0</v>
      </c>
      <c r="DZ3" s="55" cm="1">
        <f t="array" ref="DZ3">_xlfn.IFS(DZ2="no rate","",ISTEXT(DZ2),SUM(EB3:INDEX(EB3:$ET$3,,_xlfn.AGGREGATE(15,6,(COLUMN(EB3:$ET$3)-COLUMN()-1)/(LEFT(EB6:$ET$6,1)&lt;&gt;"("),1))),1,INDEX('Capacity'!$2:$2,MATCH(DZ6,'Capacity'!$3:$3,0))*IFERROR(INDEX(tRates[[Yearly WDs]:[Yearly WDs]],MATCH(DZ6,tRates[[Key (lookup)]:[Key (lookup)]],0)),200))</f>
        <v>0</v>
      </c>
      <c r="EA3" s="55" cm="1">
        <f t="array" ref="EA3">_xlfn.IFS(EA2="no rate","",ISTEXT(EA2),SUM(EC3:INDEX(EC3:$ET$3,,_xlfn.AGGREGATE(15,6,(COLUMN(EC3:$ET$3)-COLUMN()-1)/(LEFT(EC6:$ET$6,1)&lt;&gt;"("),1))),1,INDEX('Capacity'!$2:$2,MATCH(EA6,'Capacity'!$3:$3,0))*IFERROR(INDEX(tRates[[Yearly WDs]:[Yearly WDs]],MATCH(EA6,tRates[[Key (lookup)]:[Key (lookup)]],0)),200))</f>
        <v>0</v>
      </c>
      <c r="EB3" s="55" cm="1">
        <f t="array" ref="EB3">_xlfn.IFS(EB2="no rate","",ISTEXT(EB2),SUM(ED3:INDEX(ED3:$ET$3,,_xlfn.AGGREGATE(15,6,(COLUMN(ED3:$ET$3)-COLUMN()-1)/(LEFT(ED6:$ET$6,1)&lt;&gt;"("),1))),1,INDEX('Capacity'!$2:$2,MATCH(EB6,'Capacity'!$3:$3,0))*IFERROR(INDEX(tRates[[Yearly WDs]:[Yearly WDs]],MATCH(EB6,tRates[[Key (lookup)]:[Key (lookup)]],0)),200))</f>
        <v>0</v>
      </c>
      <c r="EC3" s="55" cm="1">
        <f t="array" ref="EC3">_xlfn.IFS(EC2="no rate","",ISTEXT(EC2),SUM(ED3:INDEX(ED3:$ET$3,,_xlfn.AGGREGATE(15,6,(COLUMN(ED3:$ET$3)-COLUMN()-1)/(LEFT(ED6:$ET$6,1)&lt;&gt;"("),1))),1,INDEX('Capacity'!$2:$2,MATCH(EC6,'Capacity'!$3:$3,0))*IFERROR(INDEX(tRates[[Yearly WDs]:[Yearly WDs]],MATCH(EC6,tRates[[Key (lookup)]:[Key (lookup)]],0)),200))</f>
        <v>0</v>
      </c>
      <c r="ED3" s="55" cm="1">
        <f t="array" ref="ED3">_xlfn.IFS(ED2="no rate","",ISTEXT(ED2),SUM(EE3:INDEX(EE3:$ET$3,,_xlfn.AGGREGATE(15,6,(COLUMN(EE3:$ET$3)-COLUMN()-1)/(LEFT(EE6:$ET$6,1)&lt;&gt;"("),1))),1,INDEX('Capacity'!$2:$2,MATCH(ED6,'Capacity'!$3:$3,0))*IFERROR(INDEX(tRates[[Yearly WDs]:[Yearly WDs]],MATCH(ED6,tRates[[Key (lookup)]:[Key (lookup)]],0)),200))</f>
        <v>0</v>
      </c>
      <c r="EE3" s="55" cm="1">
        <f t="array" ref="EE3">_xlfn.IFS(EE2="no rate","",ISTEXT(EE2),SUM(EF3:INDEX(EF3:$ET$3,,_xlfn.AGGREGATE(15,6,(COLUMN(EF3:$ET$3)-COLUMN()-1)/(LEFT(EF6:$ET$6,1)&lt;&gt;"("),1))),1,INDEX('Capacity'!$2:$2,MATCH(EE6,'Capacity'!$3:$3,0))*IFERROR(INDEX(tRates[[Yearly WDs]:[Yearly WDs]],MATCH(EE6,tRates[[Key (lookup)]:[Key (lookup)]],0)),200))</f>
        <v>0</v>
      </c>
      <c r="EF3" s="55" cm="1">
        <f t="array" ref="EF3">_xlfn.IFS(EF2="no rate","",ISTEXT(EF2),SUM(EG3:INDEX(EG3:$ET$3,,_xlfn.AGGREGATE(15,6,(COLUMN(EG3:$ET$3)-COLUMN()-1)/(LEFT(EG6:$ET$6,1)&lt;&gt;"("),1))),1,INDEX('Capacity'!$2:$2,MATCH(EF6,'Capacity'!$3:$3,0))*IFERROR(INDEX(tRates[[Yearly WDs]:[Yearly WDs]],MATCH(EF6,tRates[[Key (lookup)]:[Key (lookup)]],0)),200))</f>
        <v>0</v>
      </c>
      <c r="EG3" s="55" cm="1">
        <f t="array" ref="EG3">_xlfn.IFS(EG2="no rate","",ISTEXT(EG2),SUM(EH3:INDEX(EH3:$ET$3,,_xlfn.AGGREGATE(15,6,(COLUMN(EH3:$ET$3)-COLUMN()-1)/(LEFT(EH6:$ET$6,1)&lt;&gt;"("),1))),1,INDEX('Capacity'!$2:$2,MATCH(EG6,'Capacity'!$3:$3,0))*IFERROR(INDEX(tRates[[Yearly WDs]:[Yearly WDs]],MATCH(EG6,tRates[[Key (lookup)]:[Key (lookup)]],0)),200))</f>
        <v>0</v>
      </c>
      <c r="EH3" s="55" t="str" cm="1">
        <f t="array" ref="EH3">_xlfn.IFS(EH2="no rate","",ISTEXT(EH2),SUM(EI3:INDEX(EI3:$ET$3,,_xlfn.AGGREGATE(15,6,(COLUMN(EI3:$ET$3)-COLUMN()-1)/(LEFT(EI6:$ET$6,1)&lt;&gt;"("),1))),1,INDEX('Capacity'!$2:$2,MATCH(EH6,'Capacity'!$3:$3,0))*IFERROR(INDEX(tRates[[Yearly WDs]:[Yearly WDs]],MATCH(EH6,tRates[[Key (lookup)]:[Key (lookup)]],0)),200))</f>
        <v/>
      </c>
      <c r="EI3" s="55" cm="1">
        <f t="array" ref="EI3">_xlfn.IFS(EI2="no rate","",ISTEXT(EI2),SUM(EJ3:INDEX(EJ3:$ET$3,,_xlfn.AGGREGATE(15,6,(COLUMN(EJ3:$ET$3)-COLUMN()-1)/(LEFT(EJ6:$ET$6,1)&lt;&gt;"("),1))),1,INDEX('Capacity'!$2:$2,MATCH(EI6,'Capacity'!$3:$3,0))*IFERROR(INDEX(tRates[[Yearly WDs]:[Yearly WDs]],MATCH(EI6,tRates[[Key (lookup)]:[Key (lookup)]],0)),200))</f>
        <v>0</v>
      </c>
      <c r="EJ3" s="55" cm="1">
        <f t="array" ref="EJ3">_xlfn.IFS(EJ2="no rate","",ISTEXT(EJ2),SUM(EK3:INDEX(EK3:$ET$3,,_xlfn.AGGREGATE(15,6,(COLUMN(EK3:$ET$3)-COLUMN()-1)/(LEFT(EK6:$ET$6,1)&lt;&gt;"("),1))),1,INDEX('Capacity'!$2:$2,MATCH(EJ6,'Capacity'!$3:$3,0))*IFERROR(INDEX(tRates[[Yearly WDs]:[Yearly WDs]],MATCH(EJ6,tRates[[Key (lookup)]:[Key (lookup)]],0)),200))</f>
        <v>0</v>
      </c>
      <c r="EK3" s="55" cm="1">
        <f t="array" ref="EK3">_xlfn.IFS(EK2="no rate","",ISTEXT(EK2),SUM(EL3:INDEX(EL3:$ET$3,,_xlfn.AGGREGATE(15,6,(COLUMN(EL3:$ET$3)-COLUMN()-1)/(LEFT(EL6:$ET$6,1)&lt;&gt;"("),1))),1,INDEX('Capacity'!$2:$2,MATCH(EK6,'Capacity'!$3:$3,0))*IFERROR(INDEX(tRates[[Yearly WDs]:[Yearly WDs]],MATCH(EK6,tRates[[Key (lookup)]:[Key (lookup)]],0)),200))</f>
        <v>0</v>
      </c>
      <c r="EL3" s="55" cm="1">
        <f t="array" ref="EL3">_xlfn.IFS(EL2="no rate","",ISTEXT(EL2),SUM(EM3:INDEX(EM3:$ET$3,,_xlfn.AGGREGATE(15,6,(COLUMN(EM3:$ET$3)-COLUMN()-1)/(LEFT(EM6:$ET$6,1)&lt;&gt;"("),1))),1,INDEX('Capacity'!$2:$2,MATCH(EL6,'Capacity'!$3:$3,0))*IFERROR(INDEX(tRates[[Yearly WDs]:[Yearly WDs]],MATCH(EL6,tRates[[Key (lookup)]:[Key (lookup)]],0)),200))</f>
        <v>0</v>
      </c>
      <c r="EM3" s="55" cm="1">
        <f t="array" ref="EM3">_xlfn.IFS(EM2="no rate","",ISTEXT(EM2),SUM(EN3:INDEX(EN3:$ET$3,,_xlfn.AGGREGATE(15,6,(COLUMN(EN3:$ET$3)-COLUMN()-1)/(LEFT(EN6:$ET$6,1)&lt;&gt;"("),1))),1,INDEX('Capacity'!$2:$2,MATCH(EM6,'Capacity'!$3:$3,0))*IFERROR(INDEX(tRates[[Yearly WDs]:[Yearly WDs]],MATCH(EM6,tRates[[Key (lookup)]:[Key (lookup)]],0)),200))</f>
        <v>0</v>
      </c>
      <c r="EN3" s="55" cm="1">
        <f t="array" ref="EN3">_xlfn.IFS(EN2="no rate","",ISTEXT(EN2),SUM(EO3:INDEX(EO3:$ET$3,,_xlfn.AGGREGATE(15,6,(COLUMN(EO3:$ET$3)-COLUMN()-1)/(LEFT(EO6:$ET$6,1)&lt;&gt;"("),1))),1,INDEX('Capacity'!$2:$2,MATCH(EN6,'Capacity'!$3:$3,0))*IFERROR(INDEX(tRates[[Yearly WDs]:[Yearly WDs]],MATCH(EN6,tRates[[Key (lookup)]:[Key (lookup)]],0)),200))</f>
        <v>0</v>
      </c>
      <c r="EO3" s="55" cm="1">
        <f t="array" ref="EO3">_xlfn.IFS(EO2="no rate","",ISTEXT(EO2),SUM(EP3:INDEX(EP3:$ET$3,,_xlfn.AGGREGATE(15,6,(COLUMN(EP3:$ET$3)-COLUMN()-1)/(LEFT(EP6:$ET$6,1)&lt;&gt;"("),1))),1,INDEX('Capacity'!$2:$2,MATCH(EO6,'Capacity'!$3:$3,0))*IFERROR(INDEX(tRates[[Yearly WDs]:[Yearly WDs]],MATCH(EO6,tRates[[Key (lookup)]:[Key (lookup)]],0)),200))</f>
        <v>0</v>
      </c>
      <c r="EP3" s="55" cm="1">
        <f t="array" ref="EP3">_xlfn.IFS(EP2="no rate","",ISTEXT(EP2),SUM(EQ3:INDEX(EQ3:$ET$3,,_xlfn.AGGREGATE(15,6,(COLUMN(EQ3:$ET$3)-COLUMN()-1)/(LEFT(EQ6:$ET$6,1)&lt;&gt;"("),1))),1,INDEX('Capacity'!$2:$2,MATCH(EP6,'Capacity'!$3:$3,0))*IFERROR(INDEX(tRates[[Yearly WDs]:[Yearly WDs]],MATCH(EP6,tRates[[Key (lookup)]:[Key (lookup)]],0)),200))</f>
        <v>0</v>
      </c>
      <c r="EQ3" s="55" cm="1">
        <f t="array" ref="EQ3">_xlfn.IFS(EQ2="no rate","",ISTEXT(EQ2),SUM(ER3:INDEX(ER3:$ET$3,,_xlfn.AGGREGATE(15,6,(COLUMN(ER3:$ET$3)-COLUMN()-1)/(LEFT(ER6:$ET$6,1)&lt;&gt;"("),1))),1,INDEX('Capacity'!$2:$2,MATCH(EQ6,'Capacity'!$3:$3,0))*IFERROR(INDEX(tRates[[Yearly WDs]:[Yearly WDs]],MATCH(EQ6,tRates[[Key (lookup)]:[Key (lookup)]],0)),200))</f>
        <v>0</v>
      </c>
      <c r="ER3" s="55" t="str" cm="1">
        <f t="array" ref="ER3">_xlfn.IFS(ER2="no rate","",ISTEXT(ER2),SUM(ES3:INDEX(ES3:$ET$3,,_xlfn.AGGREGATE(15,6,(COLUMN(ES3:$ET$3)-COLUMN()-1)/(LEFT(ES6:$ET$6,1)&lt;&gt;"("),1))),1,INDEX('Capacity'!$2:$2,MATCH(ER6,'Capacity'!$3:$3,0))*IFERROR(INDEX(tRates[[Yearly WDs]:[Yearly WDs]],MATCH(ER6,tRates[[Key (lookup)]:[Key (lookup)]],0)),200))</f>
        <v/>
      </c>
      <c r="ES3" s="55" t="str" cm="1">
        <f t="array" ref="ES3">_xlfn.IFS(ES2="no rate","",ISTEXT(ES2),SUM(ET3:INDEX(ET3:$ET$3,,_xlfn.AGGREGATE(15,6,(COLUMN(ET3:$ET$3)-COLUMN()-1)/(LEFT(ET6:$ET$6,1)&lt;&gt;"("),1))),1,INDEX('Capacity'!$2:$2,MATCH(ES6,'Capacity'!$3:$3,0))*IFERROR(INDEX(tRates[[Yearly WDs]:[Yearly WDs]],MATCH(ES6,tRates[[Key (lookup)]:[Key (lookup)]],0)),200))</f>
        <v/>
      </c>
      <c r="ET3" s="55" t="str" cm="1">
        <f t="array" ref="ET3">_xlfn.IFS(ET2="no rate","",ISTEXT(ET2),SUM(EU3:INDEX($ET3:EU$3,,_xlfn.AGGREGATE(15,6,(COLUMN($ET3:EU$3)-COLUMN()-1)/(LEFT($ET6:EU$6,1)&lt;&gt;"("),1))),1,INDEX('Capacity'!$2:$2,MATCH(ET6,'Capacity'!$3:$3,0))*IFERROR(INDEX(tRates[[Yearly WDs]:[Yearly WDs]],MATCH(ET6,tRates[[Key (lookup)]:[Key (lookup)]],0)),200))</f>
        <v/>
      </c>
      <c r="EU3" s="64"/>
      <c r="EV3" s="64"/>
      <c r="EW3" s="64"/>
      <c r="EX3" s="64"/>
      <c r="EY3" s="64"/>
      <c r="EZ3" s="64"/>
      <c r="FA3" s="64"/>
      <c r="FB3" s="64"/>
    </row>
    <row r="4" spans="1:159" customFormat="1" x14ac:dyDescent="0.2">
      <c r="C4" s="128"/>
      <c r="D4" s="60" t="str" cm="1">
        <f t="array" ref="D4">"total kEUR: "&amp;TEXT(SUMPRODUCT($Q$4:$ER$4,(LEFT($Q$6:$ER$6,1)&lt;&gt;"(")*1),"#.## k€")</f>
        <v>total kEUR: .k€</v>
      </c>
      <c r="Q4" s="58" cm="1">
        <f t="array" ref="Q4">_xlfn.IFS(RIGHT(Q6,4)="KEUR",Q5,Q2="no rate","",ISTEXT(Q2),SUM(R4:INDEX(R4:$ET$4,,_xlfn.AGGREGATE(15,6,(COLUMN(R4:$ET$4)-COLUMN()-1)/(LEFT(R6:$ET$6,1)&lt;&gt;"("),1))),1,Q2*Q5)</f>
        <v>0</v>
      </c>
      <c r="R4" s="5012" t="n">
        <v>463.59000000000003</v>
      </c>
      <c r="S4" s="5014" t="n">
        <v>1588.65</v>
      </c>
      <c r="T4" s="5016" t="n">
        <v>4819.2</v>
      </c>
      <c r="U4" s="5018" t="n">
        <v>2585.0</v>
      </c>
      <c r="V4" s="58" cm="1">
        <f t="array" ref="V4">_xlfn.IFS(RIGHT(V6,4)="KEUR",V5,V2="no rate","",ISTEXT(V2),SUM(W4:INDEX(W4:$ET$4,,_xlfn.AGGREGATE(15,6,(COLUMN(W4:$ET$4)-COLUMN()-1)/(LEFT(W6:$ET$6,1)&lt;&gt;"("),1))),1,V2*V5)</f>
        <v>0</v>
      </c>
      <c r="W4" s="5020" t="n">
        <v>3034.5</v>
      </c>
      <c r="X4" s="58" cm="1">
        <f t="array" ref="X4">_xlfn.IFS(RIGHT(X6,4)="KEUR",X5,X2="no rate","",ISTEXT(X2),SUM(Y4:INDEX(Y4:$ET$4,,_xlfn.AGGREGATE(15,6,(COLUMN(Y4:$ET$4)-COLUMN()-1)/(LEFT(Y6:$ET$6,1)&lt;&gt;"("),1))),1,X2*X5)</f>
        <v>0</v>
      </c>
      <c r="Y4" s="5024" t="n">
        <v>931.0</v>
      </c>
      <c r="Z4" s="5022" t="n">
        <v>408.0</v>
      </c>
      <c r="AA4" s="5026" t="n">
        <v>245.0</v>
      </c>
      <c r="AB4" s="58" cm="1">
        <f t="array" ref="AB4">_xlfn.IFS(RIGHT(AB6,4)="KEUR",AB5,AB2="no rate","",ISTEXT(AB2),SUM(AC4:INDEX(AC4:$ET$4,,_xlfn.AGGREGATE(15,6,(COLUMN(AC4:$ET$4)-COLUMN()-1)/(LEFT(AC6:$ET$6,1)&lt;&gt;"("),1))),1,AB2*AB5)</f>
        <v>0</v>
      </c>
      <c r="AC4" s="58" cm="1">
        <f t="array" ref="AC4">_xlfn.IFS(RIGHT(AC6,4)="KEUR",AC5,AC2="no rate","",ISTEXT(AC2),SUM(AD4:INDEX(AD4:$ET$4,,_xlfn.AGGREGATE(15,6,(COLUMN(AD4:$ET$4)-COLUMN()-1)/(LEFT(AD6:$ET$6,1)&lt;&gt;"("),1))),1,AC2*AC5)</f>
        <v>0</v>
      </c>
      <c r="AD4" s="5028" t="n">
        <v>4647.12</v>
      </c>
      <c r="AE4" s="58" cm="1">
        <f t="array" ref="AE4">_xlfn.IFS(RIGHT(AE6,4)="KEUR",AE5,AE2="no rate","",ISTEXT(AE2),SUM(AF4:INDEX(AF4:$ET$4,,_xlfn.AGGREGATE(15,6,(COLUMN(AF4:$ET$4)-COLUMN()-1)/(LEFT(AF6:$ET$6,1)&lt;&gt;"("),1))),1,AE2*AE5)</f>
        <v>0</v>
      </c>
      <c r="AF4" s="5030" t="n">
        <v>2969.985</v>
      </c>
      <c r="AG4" s="5032" t="n">
        <v>8579.373</v>
      </c>
      <c r="AH4" s="58" cm="1">
        <f t="array" ref="AH4">_xlfn.IFS(RIGHT(AH6,4)="KEUR",AH5,AH2="no rate","",ISTEXT(AH2),SUM(AI4:INDEX(AI4:$ET$4,,_xlfn.AGGREGATE(15,6,(COLUMN(AI4:$ET$4)-COLUMN()-1)/(LEFT(AI6:$ET$6,1)&lt;&gt;"("),1))),1,AH2*AH5)</f>
        <v>0</v>
      </c>
      <c r="AI4" s="5034" t="n">
        <v>854.25</v>
      </c>
      <c r="AJ4" s="5036" t="n">
        <v>1065.9</v>
      </c>
      <c r="AK4" s="5038" t="n">
        <v>614.55</v>
      </c>
      <c r="AL4" s="5040" t="n">
        <v>1756.95</v>
      </c>
      <c r="AM4" s="5042" t="n">
        <v>1020.0</v>
      </c>
      <c r="AN4" s="5044" t="n">
        <v>5101.02</v>
      </c>
      <c r="AO4" s="5046" t="n">
        <v>2488.8</v>
      </c>
      <c r="AP4" s="5048" t="n">
        <v>1176.0</v>
      </c>
      <c r="AQ4" s="58" cm="1">
        <f t="array" ref="AQ4">_xlfn.IFS(RIGHT(AQ6,4)="KEUR",AQ5,AQ2="no rate","",ISTEXT(AQ2),SUM(AR4:INDEX(AR4:$ET$4,,_xlfn.AGGREGATE(15,6,(COLUMN(AR4:$ET$4)-COLUMN()-1)/(LEFT(AR6:$ET$6,1)&lt;&gt;"("),1))),1,AQ2*AQ5)</f>
        <v>0</v>
      </c>
      <c r="AR4" s="58" cm="1">
        <f t="array" ref="AR4">_xlfn.IFS(RIGHT(AR6,4)="KEUR",AR5,AR2="no rate","",ISTEXT(AR2),SUM(AS4:INDEX(AS4:$ET$4,,_xlfn.AGGREGATE(15,6,(COLUMN(AS4:$ET$4)-COLUMN()-1)/(LEFT(AS6:$ET$6,1)&lt;&gt;"("),1))),1,AR2*AR5)</f>
        <v>0</v>
      </c>
      <c r="AS4" s="5050" t="n">
        <v>192.0</v>
      </c>
      <c r="AT4" s="58" cm="1">
        <f t="array" ref="AT4">_xlfn.IFS(RIGHT(AT6,4)="KEUR",AT5,AT2="no rate","",ISTEXT(AT2),SUM(AU4:INDEX(AU4:$ET$4,,_xlfn.AGGREGATE(15,6,(COLUMN(AU4:$ET$4)-COLUMN()-1)/(LEFT(AU6:$ET$6,1)&lt;&gt;"("),1))),1,AT2*AT5)</f>
        <v>0</v>
      </c>
      <c r="AU4" s="58" cm="1">
        <f t="array" ref="AU4">_xlfn.IFS(RIGHT(AU6,4)="KEUR",AU5,AU2="no rate","",ISTEXT(AU2),SUM(AV4:INDEX(AV4:$ET$4,,_xlfn.AGGREGATE(15,6,(COLUMN(AV4:$ET$4)-COLUMN()-1)/(LEFT(AV6:$ET$6,1)&lt;&gt;"("),1))),1,AU2*AU5)</f>
        <v>0</v>
      </c>
      <c r="AV4" s="58" cm="1">
        <f t="array" ref="AV4">_xlfn.IFS(RIGHT(AV6,4)="KEUR",AV5,AV2="no rate","",ISTEXT(AV2),SUM(AW4:INDEX(AW4:$ET$4,,_xlfn.AGGREGATE(15,6,(COLUMN(AW4:$ET$4)-COLUMN()-1)/(LEFT(AW6:$ET$6,1)&lt;&gt;"("),1))),1,AV2*AV5)</f>
        <v>0</v>
      </c>
      <c r="AW4" s="58" cm="1">
        <f t="array" ref="AW4">_xlfn.IFS(RIGHT(AW6,4)="KEUR",AW5,AW2="no rate","",ISTEXT(AW2),SUM(AX4:INDEX(AX4:$ET$4,,_xlfn.AGGREGATE(15,6,(COLUMN(AX4:$ET$4)-COLUMN()-1)/(LEFT(AX6:$ET$6,1)&lt;&gt;"("),1))),1,AW2*AW5)</f>
        <v>0</v>
      </c>
      <c r="AX4" s="5052" t="n">
        <v>330.0</v>
      </c>
      <c r="AY4" s="58" cm="1">
        <f t="array" ref="AY4">_xlfn.IFS(RIGHT(AY6,4)="KEUR",AY5,AY2="no rate","",ISTEXT(AY2),SUM(AZ4:INDEX(AZ4:$ET$4,,_xlfn.AGGREGATE(15,6,(COLUMN(AZ4:$ET$4)-COLUMN()-1)/(LEFT(AZ6:$ET$6,1)&lt;&gt;"("),1))),1,AY2*AY5)</f>
        <v>0</v>
      </c>
      <c r="AZ4" s="58" cm="1">
        <f t="array" ref="AZ4">_xlfn.IFS(RIGHT(AZ6,4)="KEUR",AZ5,AZ2="no rate","",ISTEXT(AZ2),SUM(BA4:INDEX(BA4:$ET$4,,_xlfn.AGGREGATE(15,6,(COLUMN(BA4:$ET$4)-COLUMN()-1)/(LEFT(BA6:$ET$6,1)&lt;&gt;"("),1))),1,AZ2*AZ5)</f>
        <v>0</v>
      </c>
      <c r="BA4" s="58" cm="1">
        <f t="array" ref="BA4">_xlfn.IFS(RIGHT(BA6,4)="KEUR",BA5,BA2="no rate","",ISTEXT(BA2),SUM(BB4:INDEX(BB4:$ET$4,,_xlfn.AGGREGATE(15,6,(COLUMN(BB4:$ET$4)-COLUMN()-1)/(LEFT(BB6:$ET$6,1)&lt;&gt;"("),1))),1,BA2*BA5)</f>
        <v>0</v>
      </c>
      <c r="BB4" s="58" cm="1">
        <f t="array" ref="BB4">_xlfn.IFS(RIGHT(BB6,4)="KEUR",BB5,BB2="no rate","",ISTEXT(BB2),SUM(BC4:INDEX(BC4:$ET$4,,_xlfn.AGGREGATE(15,6,(COLUMN(BC4:$ET$4)-COLUMN()-1)/(LEFT(BC6:$ET$6,1)&lt;&gt;"("),1))),1,BB2*BB5)</f>
        <v>0</v>
      </c>
      <c r="BC4" s="58" cm="1">
        <f t="array" ref="BC4">_xlfn.IFS(RIGHT(BC6,4)="KEUR",BC5,BC2="no rate","",ISTEXT(BC2),SUM(BD4:INDEX(BD4:$ET$4,,_xlfn.AGGREGATE(15,6,(COLUMN(BD4:$ET$4)-COLUMN()-1)/(LEFT(BD6:$ET$6,1)&lt;&gt;"("),1))),1,BC2*BC5)</f>
        <v>0</v>
      </c>
      <c r="BD4" s="58" cm="1">
        <f t="array" ref="BD4">_xlfn.IFS(RIGHT(BD6,4)="KEUR",BD5,BD2="no rate","",ISTEXT(BD2),SUM(BE4:INDEX(BE4:$ET$4,,_xlfn.AGGREGATE(15,6,(COLUMN(BE4:$ET$4)-COLUMN()-1)/(LEFT(BE6:$ET$6,1)&lt;&gt;"("),1))),1,BD2*BD5)</f>
        <v>0</v>
      </c>
      <c r="BE4" s="58" cm="1">
        <f t="array" ref="BE4">_xlfn.IFS(RIGHT(BE6,4)="KEUR",BE5,BE2="no rate","",ISTEXT(BE2),SUM(BG4:INDEX(BG4:$ET$4,,_xlfn.AGGREGATE(15,6,(COLUMN(BG4:$ET$4)-COLUMN()-1)/(LEFT(BG6:$ET$6,1)&lt;&gt;"("),1))),1,BE2*BE5)</f>
        <v>0</v>
      </c>
      <c r="BF4" s="58" cm="1">
        <f t="array" ref="BF4">_xlfn.IFS(RIGHT(BF6,4)="KEUR",BF5,BF2="no rate","",ISTEXT(BF2),SUM(BH4:INDEX(BH4:$ET$4,,_xlfn.AGGREGATE(15,6,(COLUMN(BH4:$ET$4)-COLUMN()-1)/(LEFT(BH6:$ET$6,1)&lt;&gt;"("),1))),1,BF2*BF5)</f>
        <v>0</v>
      </c>
      <c r="BG4" s="58" cm="1">
        <f t="array" ref="BG4">_xlfn.IFS(RIGHT(BG6,4)="KEUR",BG5,BG2="no rate","",ISTEXT(BG2),SUM(BI4:INDEX(BI4:$ET$4,,_xlfn.AGGREGATE(15,6,(COLUMN(BI4:$ET$4)-COLUMN()-1)/(LEFT(BI6:$ET$6,1)&lt;&gt;"("),1))),1,BG2*BG5)</f>
        <v>0</v>
      </c>
      <c r="BH4" s="58" cm="1">
        <f t="array" ref="BH4">_xlfn.IFS(RIGHT(BH6,4)="KEUR",BH5,BH2="no rate","",ISTEXT(BH2),SUM(BI4:INDEX(BI4:$ET$4,,_xlfn.AGGREGATE(15,6,(COLUMN(BI4:$ET$4)-COLUMN()-1)/(LEFT(BI6:$ET$6,1)&lt;&gt;"("),1))),1,BH2*BH5)</f>
        <v>0</v>
      </c>
      <c r="BI4" s="58" cm="1">
        <f t="array" ref="BI4">_xlfn.IFS(RIGHT(BI6,4)="KEUR",BI5,BI2="no rate","",ISTEXT(BI2),SUM(BJ4:INDEX(BJ4:$ET$4,,_xlfn.AGGREGATE(15,6,(COLUMN(BJ4:$ET$4)-COLUMN()-1)/(LEFT(BJ6:$ET$6,1)&lt;&gt;"("),1))),1,BI2*BI5)</f>
        <v>0</v>
      </c>
      <c r="BJ4" s="58" cm="1">
        <f t="array" ref="BJ4">_xlfn.IFS(RIGHT(BJ6,4)="KEUR",BJ5,BJ2="no rate","",ISTEXT(BJ2),SUM(BK4:INDEX(BK4:$ET$4,,_xlfn.AGGREGATE(15,6,(COLUMN(BK4:$ET$4)-COLUMN()-1)/(LEFT(BK6:$ET$6,1)&lt;&gt;"("),1))),1,BJ2*BJ5)</f>
        <v>0</v>
      </c>
      <c r="BK4" s="58" cm="1">
        <f t="array" ref="BK4">_xlfn.IFS(RIGHT(BK6,4)="KEUR",BK5,BK2="no rate","",ISTEXT(BK2),SUM(BL4:INDEX(BL4:$ET$4,,_xlfn.AGGREGATE(15,6,(COLUMN(BL4:$ET$4)-COLUMN()-1)/(LEFT(BL6:$ET$6,1)&lt;&gt;"("),1))),1,BK2*BK5)</f>
        <v>0</v>
      </c>
      <c r="BL4" s="58" cm="1">
        <f t="array" ref="BL4">_xlfn.IFS(RIGHT(BL6,4)="KEUR",BL5,BL2="no rate","",ISTEXT(BL2),SUM(BP4:INDEX(BP4:$ET$4,,_xlfn.AGGREGATE(15,6,(COLUMN(BP4:$ET$4)-COLUMN()-1)/(LEFT(BP6:$ET$6,1)&lt;&gt;"("),1))),1,BL2*BL5)</f>
        <v>0</v>
      </c>
      <c r="BM4" s="58" cm="1">
        <f t="array" ref="BM4">_xlfn.IFS(RIGHT(BM6,4)="KEUR",BM5,BM2="no rate","",ISTEXT(BM2),SUM(BQ4:INDEX(BQ4:$ET$4,,_xlfn.AGGREGATE(15,6,(COLUMN(BQ4:$ET$4)-COLUMN()-1)/(LEFT(BQ6:$ET$6,1)&lt;&gt;"("),1))),1,BM2*BM5)</f>
        <v>0</v>
      </c>
      <c r="BN4" s="58" cm="1">
        <f t="array" ref="BN4">_xlfn.IFS(RIGHT(BN6,4)="KEUR",BN5,BN2="no rate","",ISTEXT(BN2),SUM(BR4:INDEX(BR4:$ET$4,,_xlfn.AGGREGATE(15,6,(COLUMN(BR4:$ET$4)-COLUMN()-1)/(LEFT(BR6:$ET$6,1)&lt;&gt;"("),1))),1,BN2*BN5)</f>
        <v>0</v>
      </c>
      <c r="BO4" s="58" cm="1">
        <f t="array" ref="BO4">_xlfn.IFS(RIGHT(BO6,4)="KEUR",BO5,BO2="no rate","",ISTEXT(BO2),SUM(BS4:INDEX(BS4:$ET$4,,_xlfn.AGGREGATE(15,6,(COLUMN(BS4:$ET$4)-COLUMN()-1)/(LEFT(BS6:$ET$6,1)&lt;&gt;"("),1))),1,BO2*BO5)</f>
        <v>0</v>
      </c>
      <c r="BP4" s="58" cm="1">
        <f t="array" ref="BP4">_xlfn.IFS(RIGHT(BP6,4)="KEUR",BP5,BP2="no rate","",ISTEXT(BP2),SUM(BT4:INDEX(BT4:$ET$4,,_xlfn.AGGREGATE(15,6,(COLUMN(BT4:$ET$4)-COLUMN()-1)/(LEFT(BT6:$ET$6,1)&lt;&gt;"("),1))),1,BP2*BP5)</f>
        <v>0</v>
      </c>
      <c r="BQ4" s="58" cm="1">
        <f t="array" ref="BQ4">_xlfn.IFS(RIGHT(BQ6,4)="KEUR",BQ5,BQ2="no rate","",ISTEXT(BQ2),SUM(BR4:INDEX(BR4:$ET$4,,_xlfn.AGGREGATE(15,6,(COLUMN(BR4:$ET$4)-COLUMN()-1)/(LEFT(BR6:$ET$6,1)&lt;&gt;"("),1))),1,BQ2*BQ5)</f>
        <v>0</v>
      </c>
      <c r="BR4" s="58" cm="1">
        <f t="array" ref="BR4">_xlfn.IFS(RIGHT(BR6,4)="KEUR",BR5,BR2="no rate","",ISTEXT(BR2),SUM(BS4:INDEX(BS4:$ET$4,,_xlfn.AGGREGATE(15,6,(COLUMN(BS4:$ET$4)-COLUMN()-1)/(LEFT(BS6:$ET$6,1)&lt;&gt;"("),1))),1,BR2*BR5)</f>
        <v>0</v>
      </c>
      <c r="BS4" s="58" cm="1">
        <f t="array" ref="BS4">_xlfn.IFS(RIGHT(BS6,4)="KEUR",BS5,BS2="no rate","",ISTEXT(BS2),SUM(BT4:INDEX(BT4:$ET$4,,_xlfn.AGGREGATE(15,6,(COLUMN(BT4:$ET$4)-COLUMN()-1)/(LEFT(BT6:$ET$6,1)&lt;&gt;"("),1))),1,BS2*BS5)</f>
        <v>0</v>
      </c>
      <c r="BT4" s="58" cm="1">
        <f t="array" ref="BT4">_xlfn.IFS(RIGHT(BT6,4)="KEUR",BT5,BT2="no rate","",ISTEXT(BT2),SUM(BU4:INDEX(BU4:$ET$4,,_xlfn.AGGREGATE(15,6,(COLUMN(BU4:$ET$4)-COLUMN()-1)/(LEFT(BU6:$ET$6,1)&lt;&gt;"("),1))),1,BT2*BT5)</f>
        <v>0</v>
      </c>
      <c r="BU4" s="58" cm="1">
        <f t="array" ref="BU4">_xlfn.IFS(RIGHT(BU6,4)="KEUR",BU5,BU2="no rate","",ISTEXT(BU2),SUM(BV4:INDEX(BV4:$ET$4,,_xlfn.AGGREGATE(15,6,(COLUMN(BV4:$ET$4)-COLUMN()-1)/(LEFT(BV6:$ET$6,1)&lt;&gt;"("),1))),1,BU2*BU5)</f>
        <v>0</v>
      </c>
      <c r="BV4" s="58" cm="1">
        <f t="array" ref="BV4">_xlfn.IFS(RIGHT(BV6,4)="KEUR",BV5,BV2="no rate","",ISTEXT(BV2),SUM(BW4:INDEX(BW4:$ET$4,,_xlfn.AGGREGATE(15,6,(COLUMN(BW4:$ET$4)-COLUMN()-1)/(LEFT(BW6:$ET$6,1)&lt;&gt;"("),1))),1,BV2*BV5)</f>
        <v>0</v>
      </c>
      <c r="BW4" s="58" cm="1">
        <f t="array" ref="BW4">_xlfn.IFS(RIGHT(BW6,4)="KEUR",BW5,BW2="no rate","",ISTEXT(BW2),SUM(BX4:INDEX(BX4:$ET$4,,_xlfn.AGGREGATE(15,6,(COLUMN(BX4:$ET$4)-COLUMN()-1)/(LEFT(BX6:$ET$6,1)&lt;&gt;"("),1))),1,BW2*BW5)</f>
        <v>0</v>
      </c>
      <c r="BX4" s="58" cm="1">
        <f t="array" ref="BX4">_xlfn.IFS(RIGHT(BX6,4)="KEUR",BX5,BX2="no rate","",ISTEXT(BX2),SUM(BY4:INDEX(BY4:$ET$4,,_xlfn.AGGREGATE(15,6,(COLUMN(BY4:$ET$4)-COLUMN()-1)/(LEFT(BY6:$ET$6,1)&lt;&gt;"("),1))),1,BX2*BX5)</f>
        <v>0</v>
      </c>
      <c r="BY4" s="58" cm="1">
        <f t="array" ref="BY4">_xlfn.IFS(RIGHT(BY6,4)="KEUR",BY5,BY2="no rate","",ISTEXT(BY2),SUM(BZ4:INDEX(BZ4:$ET$4,,_xlfn.AGGREGATE(15,6,(COLUMN(BZ4:$ET$4)-COLUMN()-1)/(LEFT(BZ6:$ET$6,1)&lt;&gt;"("),1))),1,BY2*BY5)</f>
        <v>0</v>
      </c>
      <c r="BZ4" s="58" cm="1">
        <f t="array" ref="BZ4">_xlfn.IFS(RIGHT(BZ6,4)="KEUR",BZ5,BZ2="no rate","",ISTEXT(BZ2),SUM(CA4:INDEX(CA4:$ET$4,,_xlfn.AGGREGATE(15,6,(COLUMN(CA4:$ET$4)-COLUMN()-1)/(LEFT(CA6:$ET$6,1)&lt;&gt;"("),1))),1,BZ2*BZ5)</f>
        <v>0</v>
      </c>
      <c r="CA4" s="58" cm="1">
        <f t="array" ref="CA4">_xlfn.IFS(RIGHT(CA6,4)="KEUR",CA5,CA2="no rate","",ISTEXT(CA2),SUM(CB4:INDEX(CB4:$ET$4,,_xlfn.AGGREGATE(15,6,(COLUMN(CB4:$ET$4)-COLUMN()-1)/(LEFT(CB6:$ET$6,1)&lt;&gt;"("),1))),1,CA2*CA5)</f>
        <v>0</v>
      </c>
      <c r="CB4" s="58" cm="1">
        <f t="array" ref="CB4">_xlfn.IFS(RIGHT(CB6,4)="KEUR",CB5,CB2="no rate","",ISTEXT(CB2),SUM(CC4:INDEX(CC4:$ET$4,,_xlfn.AGGREGATE(15,6,(COLUMN(CC4:$ET$4)-COLUMN()-1)/(LEFT(CC6:$ET$6,1)&lt;&gt;"("),1))),1,CB2*CB5)</f>
        <v>0</v>
      </c>
      <c r="CC4" s="58" cm="1">
        <f t="array" ref="CC4">_xlfn.IFS(RIGHT(CC6,4)="KEUR",CC5,CC2="no rate","",ISTEXT(CC2),SUM(CD4:INDEX(CD4:$ET$4,,_xlfn.AGGREGATE(15,6,(COLUMN(CD4:$ET$4)-COLUMN()-1)/(LEFT(CD6:$ET$6,1)&lt;&gt;"("),1))),1,CC2*CC5)</f>
        <v>0</v>
      </c>
      <c r="CD4" s="58" cm="1">
        <f t="array" ref="CD4">_xlfn.IFS(RIGHT(CD6,4)="KEUR",CD5,CD2="no rate","",ISTEXT(CD2),SUM(CE4:INDEX(CE4:$ET$4,,_xlfn.AGGREGATE(15,6,(COLUMN(CE4:$ET$4)-COLUMN()-1)/(LEFT(CE6:$ET$6,1)&lt;&gt;"("),1))),1,CD2*CD5)</f>
        <v>0</v>
      </c>
      <c r="CE4" s="58" cm="1">
        <f t="array" ref="CE4">_xlfn.IFS(RIGHT(CE6,4)="KEUR",CE5,CE2="no rate","",ISTEXT(CE2),SUM(CF4:INDEX(CF4:$ET$4,,_xlfn.AGGREGATE(15,6,(COLUMN(CF4:$ET$4)-COLUMN()-1)/(LEFT(CF6:$ET$6,1)&lt;&gt;"("),1))),1,CE2*CE5)</f>
        <v>0</v>
      </c>
      <c r="CF4" s="58" cm="1">
        <f t="array" ref="CF4">_xlfn.IFS(RIGHT(CF6,4)="KEUR",CF5,CF2="no rate","",ISTEXT(CF2),SUM(CG4:INDEX(CG4:$ET$4,,_xlfn.AGGREGATE(15,6,(COLUMN(CG4:$ET$4)-COLUMN()-1)/(LEFT(CG6:$ET$6,1)&lt;&gt;"("),1))),1,CF2*CF5)</f>
        <v>0</v>
      </c>
      <c r="CG4" s="58" cm="1">
        <f t="array" ref="CG4">_xlfn.IFS(RIGHT(CG6,4)="KEUR",CG5,CG2="no rate","",ISTEXT(CG2),SUM(CH4:INDEX(CH4:$ET$4,,_xlfn.AGGREGATE(15,6,(COLUMN(CH4:$ET$4)-COLUMN()-1)/(LEFT(CH6:$ET$6,1)&lt;&gt;"("),1))),1,CG2*CG5)</f>
        <v>0</v>
      </c>
      <c r="CH4" s="58" cm="1">
        <f t="array" ref="CH4">_xlfn.IFS(RIGHT(CH6,4)="KEUR",CH5,CH2="no rate","",ISTEXT(CH2),SUM(CI4:INDEX(CI4:$ET$4,,_xlfn.AGGREGATE(15,6,(COLUMN(CI4:$ET$4)-COLUMN()-1)/(LEFT(CI6:$ET$6,1)&lt;&gt;"("),1))),1,CH2*CH5)</f>
        <v>0</v>
      </c>
      <c r="CI4" s="58" cm="1">
        <f t="array" ref="CI4">_xlfn.IFS(RIGHT(CI6,4)="KEUR",CI5,CI2="no rate","",ISTEXT(CI2),SUM(CJ4:INDEX(CJ4:$ET$4,,_xlfn.AGGREGATE(15,6,(COLUMN(CJ4:$ET$4)-COLUMN()-1)/(LEFT(CJ6:$ET$6,1)&lt;&gt;"("),1))),1,CI2*CI5)</f>
        <v>0</v>
      </c>
      <c r="CJ4" s="58" cm="1">
        <f t="array" ref="CJ4">_xlfn.IFS(RIGHT(CJ6,4)="KEUR",CJ5,CJ2="no rate","",ISTEXT(CJ2),SUM(CK4:INDEX(CK4:$ET$4,,_xlfn.AGGREGATE(15,6,(COLUMN(CK4:$ET$4)-COLUMN()-1)/(LEFT(CK6:$ET$6,1)&lt;&gt;"("),1))),1,CJ2*CJ5)</f>
        <v>0</v>
      </c>
      <c r="CK4" s="58" cm="1">
        <f t="array" ref="CK4">_xlfn.IFS(RIGHT(CK6,4)="KEUR",CK5,CK2="no rate","",ISTEXT(CK2),SUM(CL4:INDEX(CL4:$ET$4,,_xlfn.AGGREGATE(15,6,(COLUMN(CL4:$ET$4)-COLUMN()-1)/(LEFT(CL6:$ET$6,1)&lt;&gt;"("),1))),1,CK2*CK5)</f>
        <v>0</v>
      </c>
      <c r="CL4" s="5054" t="n">
        <v>36.6</v>
      </c>
      <c r="CM4" s="58" cm="1">
        <f t="array" ref="CM4">_xlfn.IFS(RIGHT(CM6,4)="KEUR",CM5,CM2="no rate","",ISTEXT(CM2),SUM(CN4:INDEX(CN4:$ET$4,,_xlfn.AGGREGATE(15,6,(COLUMN(CN4:$ET$4)-COLUMN()-1)/(LEFT(CN6:$ET$6,1)&lt;&gt;"("),1))),1,CM2*CM5)</f>
        <v>0</v>
      </c>
      <c r="CN4" s="58" cm="1">
        <f t="array" ref="CN4">_xlfn.IFS(RIGHT(CN6,4)="KEUR",CN5,CN2="no rate","",ISTEXT(CN2),SUM(CO4:INDEX(CO4:$ET$4,,_xlfn.AGGREGATE(15,6,(COLUMN(CO4:$ET$4)-COLUMN()-1)/(LEFT(CO6:$ET$6,1)&lt;&gt;"("),1))),1,CN2*CN5)</f>
        <v>0</v>
      </c>
      <c r="CO4" s="58" cm="1">
        <f t="array" ref="CO4">_xlfn.IFS(RIGHT(CO6,4)="KEUR",CO5,CO2="no rate","",ISTEXT(CO2),SUM(CP4:INDEX(CP4:$ET$4,,_xlfn.AGGREGATE(15,6,(COLUMN(CP4:$ET$4)-COLUMN()-1)/(LEFT(CP6:$ET$6,1)&lt;&gt;"("),1))),1,CO2*CO5)</f>
        <v>0</v>
      </c>
      <c r="CP4" s="5056" t="n">
        <v>18.0</v>
      </c>
      <c r="CQ4" s="58" cm="1">
        <f t="array" ref="CQ4">_xlfn.IFS(RIGHT(CQ6,4)="KEUR",CQ5,CQ2="no rate","",ISTEXT(CQ2),SUM(CR4:INDEX(CR4:$ET$4,,_xlfn.AGGREGATE(15,6,(COLUMN(CR4:$ET$4)-COLUMN()-1)/(LEFT(CR6:$ET$6,1)&lt;&gt;"("),1))),1,CQ2*CQ5)</f>
        <v>0</v>
      </c>
      <c r="CR4" s="58" cm="1">
        <f t="array" ref="CR4">_xlfn.IFS(RIGHT(CR6,4)="KEUR",CR5,CR2="no rate","",ISTEXT(CR2),SUM(CS4:INDEX(CS4:$ET$4,,_xlfn.AGGREGATE(15,6,(COLUMN(CS4:$ET$4)-COLUMN()-1)/(LEFT(CS6:$ET$6,1)&lt;&gt;"("),1))),1,CR2*CR5)</f>
        <v>0</v>
      </c>
      <c r="CS4" s="58" cm="1">
        <f t="array" ref="CS4">_xlfn.IFS(RIGHT(CS6,4)="KEUR",CS5,CS2="no rate","",ISTEXT(CS2),SUM(CT4:INDEX(CT4:$ET$4,,_xlfn.AGGREGATE(15,6,(COLUMN(CT4:$ET$4)-COLUMN()-1)/(LEFT(CT6:$ET$6,1)&lt;&gt;"("),1))),1,CS2*CS5)</f>
        <v>0</v>
      </c>
      <c r="CT4" s="58" cm="1">
        <f t="array" ref="CT4">_xlfn.IFS(RIGHT(CT6,4)="KEUR",CT5,CT2="no rate","",ISTEXT(CT2),SUM(CU4:INDEX(CU4:$ET$4,,_xlfn.AGGREGATE(15,6,(COLUMN(CU4:$ET$4)-COLUMN()-1)/(LEFT(CU6:$ET$6,1)&lt;&gt;"("),1))),1,CT2*CT5)</f>
        <v>0</v>
      </c>
      <c r="CU4" s="58" cm="1">
        <f t="array" ref="CU4">_xlfn.IFS(RIGHT(CU6,4)="KEUR",CU5,CU2="no rate","",ISTEXT(CU2),SUM(CV4:INDEX(CV4:$ET$4,,_xlfn.AGGREGATE(15,6,(COLUMN(CV4:$ET$4)-COLUMN()-1)/(LEFT(CV6:$ET$6,1)&lt;&gt;"("),1))),1,CU2*CU5)</f>
        <v>0</v>
      </c>
      <c r="CV4" s="58" cm="1">
        <f t="array" ref="CV4">_xlfn.IFS(RIGHT(CV6,4)="KEUR",CV5,CV2="no rate","",ISTEXT(CV2),SUM(CW4:INDEX(CW4:$ET$4,,_xlfn.AGGREGATE(15,6,(COLUMN(CW4:$ET$4)-COLUMN()-1)/(LEFT(CW6:$ET$6,1)&lt;&gt;"("),1))),1,CV2*CV5)</f>
        <v>0</v>
      </c>
      <c r="CW4" s="58" cm="1">
        <f t="array" ref="CW4">_xlfn.IFS(RIGHT(CW6,4)="KEUR",CW5,CW2="no rate","",ISTEXT(CW2),SUM(CX4:INDEX(CX4:$ET$4,,_xlfn.AGGREGATE(15,6,(COLUMN(CX4:$ET$4)-COLUMN()-1)/(LEFT(CX6:$ET$6,1)&lt;&gt;"("),1))),1,CW2*CW5)</f>
        <v>0</v>
      </c>
      <c r="CX4" s="58" cm="1">
        <f t="array" ref="CX4">_xlfn.IFS(RIGHT(CX6,4)="KEUR",CX5,CX2="no rate","",ISTEXT(CX2),SUM(CY4:INDEX(CY4:$ET$4,,_xlfn.AGGREGATE(15,6,(COLUMN(CY4:$ET$4)-COLUMN()-1)/(LEFT(CY6:$ET$6,1)&lt;&gt;"("),1))),1,CX2*CX5)</f>
        <v>0</v>
      </c>
      <c r="CY4" s="58" cm="1">
        <f t="array" ref="CY4">_xlfn.IFS(RIGHT(CY6,4)="KEUR",CY5,CY2="no rate","",ISTEXT(CY2),SUM(CZ4:INDEX(CZ4:$ET$4,,_xlfn.AGGREGATE(15,6,(COLUMN(CZ4:$ET$4)-COLUMN()-1)/(LEFT(CZ6:$ET$6,1)&lt;&gt;"("),1))),1,CY2*CY5)</f>
        <v>0</v>
      </c>
      <c r="CZ4" s="58" cm="1">
        <f t="array" ref="CZ4">_xlfn.IFS(RIGHT(CZ6,4)="KEUR",CZ5,CZ2="no rate","",ISTEXT(CZ2),SUM(DA4:INDEX(DA4:$ET$4,,_xlfn.AGGREGATE(15,6,(COLUMN(DA4:$ET$4)-COLUMN()-1)/(LEFT(DA6:$ET$6,1)&lt;&gt;"("),1))),1,CZ2*CZ5)</f>
        <v>0</v>
      </c>
      <c r="DA4" s="58" cm="1">
        <f t="array" ref="DA4">_xlfn.IFS(RIGHT(DA6,4)="KEUR",DA5,DA2="no rate","",ISTEXT(DA2),SUM(DB4:INDEX(DB4:$ET$4,,_xlfn.AGGREGATE(15,6,(COLUMN(DB4:$ET$4)-COLUMN()-1)/(LEFT(DB6:$ET$6,1)&lt;&gt;"("),1))),1,DA2*DA5)</f>
        <v>0</v>
      </c>
      <c r="DB4" s="58" cm="1">
        <f t="array" ref="DB4">_xlfn.IFS(RIGHT(DB6,4)="KEUR",DB5,DB2="no rate","",ISTEXT(DB2),SUM(DC4:INDEX(DC4:$ET$4,,_xlfn.AGGREGATE(15,6,(COLUMN(DC4:$ET$4)-COLUMN()-1)/(LEFT(DC6:$ET$6,1)&lt;&gt;"("),1))),1,DB2*DB5)</f>
        <v>0</v>
      </c>
      <c r="DC4" s="58" cm="1">
        <f t="array" ref="DC4">_xlfn.IFS(RIGHT(DC6,4)="KEUR",DC5,DC2="no rate","",ISTEXT(DC2),SUM(DD4:INDEX(DD4:$ET$4,,_xlfn.AGGREGATE(15,6,(COLUMN(DD4:$ET$4)-COLUMN()-1)/(LEFT(DD6:$ET$6,1)&lt;&gt;"("),1))),1,DC2*DC5)</f>
        <v>0</v>
      </c>
      <c r="DD4" s="58" cm="1">
        <f t="array" ref="DD4">_xlfn.IFS(RIGHT(DD6,4)="KEUR",DD5,DD2="no rate","",ISTEXT(DD2),SUM(DE4:INDEX(DE4:$ET$4,,_xlfn.AGGREGATE(15,6,(COLUMN(DE4:$ET$4)-COLUMN()-1)/(LEFT(DE6:$ET$6,1)&lt;&gt;"("),1))),1,DD2*DD5)</f>
        <v>0</v>
      </c>
      <c r="DE4" s="58" cm="1">
        <f t="array" ref="DE4">_xlfn.IFS(RIGHT(DE6,4)="KEUR",DE5,DE2="no rate","",ISTEXT(DE2),SUM(DF4:INDEX(DF4:$ET$4,,_xlfn.AGGREGATE(15,6,(COLUMN(DF4:$ET$4)-COLUMN()-1)/(LEFT(DF6:$ET$6,1)&lt;&gt;"("),1))),1,DE2*DE5)</f>
        <v>0</v>
      </c>
      <c r="DF4" s="58" cm="1">
        <f t="array" ref="DF4">_xlfn.IFS(RIGHT(DF6,4)="KEUR",DF5,DF2="no rate","",ISTEXT(DF2),SUM(DG4:INDEX(DG4:$ET$4,,_xlfn.AGGREGATE(15,6,(COLUMN(DG4:$ET$4)-COLUMN()-1)/(LEFT(DG6:$ET$6,1)&lt;&gt;"("),1))),1,DF2*DF5)</f>
        <v>0</v>
      </c>
      <c r="DG4" s="58" cm="1">
        <f t="array" ref="DG4">_xlfn.IFS(RIGHT(DG6,4)="KEUR",DG5,DG2="no rate","",ISTEXT(DG2),SUM(DH4:INDEX(DH4:$ET$4,,_xlfn.AGGREGATE(15,6,(COLUMN(DH4:$ET$4)-COLUMN()-1)/(LEFT(DH6:$ET$6,1)&lt;&gt;"("),1))),1,DG2*DG5)</f>
        <v>0</v>
      </c>
      <c r="DH4" s="5058" t="n">
        <v>2106.0</v>
      </c>
      <c r="DI4" s="58" cm="1">
        <f t="array" ref="DI4">_xlfn.IFS(RIGHT(DI6,4)="KEUR",DI5,DI2="no rate","",ISTEXT(DI2),SUM(DJ4:INDEX(DJ4:$ET$4,,_xlfn.AGGREGATE(15,6,(COLUMN(DJ4:$ET$4)-COLUMN()-1)/(LEFT(DJ6:$ET$6,1)&lt;&gt;"("),1))),1,DI2*DI5)</f>
        <v>0</v>
      </c>
      <c r="DJ4" s="58" cm="1">
        <f t="array" ref="DJ4">_xlfn.IFS(RIGHT(DJ6,4)="KEUR",DJ5,DJ2="no rate","",ISTEXT(DJ2),SUM(DK4:INDEX(DK4:$ET$4,,_xlfn.AGGREGATE(15,6,(COLUMN(DK4:$ET$4)-COLUMN()-1)/(LEFT(DK6:$ET$6,1)&lt;&gt;"("),1))),1,DJ2*DJ5)</f>
        <v>0</v>
      </c>
      <c r="DK4" s="58" cm="1">
        <f t="array" ref="DK4">_xlfn.IFS(RIGHT(DK6,4)="KEUR",DK5,DK2="no rate","",ISTEXT(DK2),SUM(DL4:INDEX(DL4:$ET$4,,_xlfn.AGGREGATE(15,6,(COLUMN(DL4:$ET$4)-COLUMN()-1)/(LEFT(DL6:$ET$6,1)&lt;&gt;"("),1))),1,DK2*DK5)</f>
        <v>0</v>
      </c>
      <c r="DL4" s="58" cm="1">
        <f t="array" ref="DL4">_xlfn.IFS(RIGHT(DL6,4)="KEUR",DL5,DL2="no rate","",ISTEXT(DL2),SUM(DM4:INDEX(DM4:$ET$4,,_xlfn.AGGREGATE(15,6,(COLUMN(DM4:$ET$4)-COLUMN()-1)/(LEFT(DM6:$ET$6,1)&lt;&gt;"("),1))),1,DL2*DL5)</f>
        <v>0</v>
      </c>
      <c r="DM4" s="5060" t="n">
        <v>173.58</v>
      </c>
      <c r="DN4" s="58" cm="1">
        <f t="array" ref="DN4">_xlfn.IFS(RIGHT(DN6,4)="KEUR",DN5,DN2="no rate","",ISTEXT(DN2),SUM(DO4:INDEX(DO4:$ET$4,,_xlfn.AGGREGATE(15,6,(COLUMN(DO4:$ET$4)-COLUMN()-1)/(LEFT(DO6:$ET$6,1)&lt;&gt;"("),1))),1,DN2*DN5)</f>
        <v>0</v>
      </c>
      <c r="DO4" s="58" cm="1">
        <f t="array" ref="DO4">_xlfn.IFS(RIGHT(DO6,4)="KEUR",DO5,DO2="no rate","",ISTEXT(DO2),SUM(DP4:INDEX(DP4:$ET$4,,_xlfn.AGGREGATE(15,6,(COLUMN(DP4:$ET$4)-COLUMN()-1)/(LEFT(DP6:$ET$6,1)&lt;&gt;"("),1))),1,DO2*DO5)</f>
        <v>0</v>
      </c>
      <c r="DP4" s="58" cm="1">
        <f t="array" ref="DP4">_xlfn.IFS(RIGHT(DP6,4)="KEUR",DP5,DP2="no rate","",ISTEXT(DP2),SUM(DQ4:INDEX(DQ4:$ET$4,,_xlfn.AGGREGATE(15,6,(COLUMN(DQ4:$ET$4)-COLUMN()-1)/(LEFT(DQ6:$ET$6,1)&lt;&gt;"("),1))),1,DP2*DP5)</f>
        <v>0</v>
      </c>
      <c r="DQ4" s="5062" t="n">
        <v>338.99999999999994</v>
      </c>
      <c r="DR4" s="58" t="str" cm="1">
        <f t="array" ref="DR4">_xlfn.IFS(RIGHT(DR6,4)="KEUR",DR5,DR2="no rate","",ISTEXT(DR2),SUM(DS4:INDEX(DS4:$ET$4,,_xlfn.AGGREGATE(15,6,(COLUMN(DS4:$ET$4)-COLUMN()-1)/(LEFT(DS6:$ET$6,1)&lt;&gt;"("),1))),1,DR2*DR5)</f>
        <v/>
      </c>
      <c r="DS4" s="58" t="str" cm="1">
        <f t="array" ref="DS4">_xlfn.IFS(RIGHT(DS6,4)="KEUR",DS5,DS2="no rate","",ISTEXT(DS2),SUM(DT4:INDEX(DT4:$ET$4,,_xlfn.AGGREGATE(15,6,(COLUMN(DT4:$ET$4)-COLUMN()-1)/(LEFT(DT6:$ET$6,1)&lt;&gt;"("),1))),1,DS2*DS5)</f>
        <v/>
      </c>
      <c r="DT4" s="58" t="str" cm="1">
        <f t="array" ref="DT4">_xlfn.IFS(RIGHT(DT6,4)="KEUR",DT5,DT2="no rate","",ISTEXT(DT2),SUM(DU4:INDEX(DU4:$ET$4,,_xlfn.AGGREGATE(15,6,(COLUMN(DU4:$ET$4)-COLUMN()-1)/(LEFT(DU6:$ET$6,1)&lt;&gt;"("),1))),1,DT2*DT5)</f>
        <v/>
      </c>
      <c r="DU4" s="58" t="str" cm="1">
        <f t="array" ref="DU4">_xlfn.IFS(RIGHT(DU6,4)="KEUR",DU5,DU2="no rate","",ISTEXT(DU2),SUM(DV4:INDEX(DV4:$ET$4,,_xlfn.AGGREGATE(15,6,(COLUMN(DV4:$ET$4)-COLUMN()-1)/(LEFT(DV6:$ET$6,1)&lt;&gt;"("),1))),1,DU2*DU5)</f>
        <v/>
      </c>
      <c r="DV4" s="58" t="str" cm="1">
        <f t="array" ref="DV4">_xlfn.IFS(RIGHT(DV6,4)="KEUR",DV5,DV2="no rate","",ISTEXT(DV2),SUM(DW4:INDEX(DW4:$ET$4,,_xlfn.AGGREGATE(15,6,(COLUMN(DW4:$ET$4)-COLUMN()-1)/(LEFT(DW6:$ET$6,1)&lt;&gt;"("),1))),1,DV2*DV5)</f>
        <v/>
      </c>
      <c r="DW4" s="58" t="str" cm="1">
        <f t="array" ref="DW4">_xlfn.IFS(RIGHT(DW6,4)="KEUR",DW5,DW2="no rate","",ISTEXT(DW2),SUM(DX4:INDEX(DX4:$ET$4,,_xlfn.AGGREGATE(15,6,(COLUMN(DX4:$ET$4)-COLUMN()-1)/(LEFT(DX6:$ET$6,1)&lt;&gt;"("),1))),1,DW2*DW5)</f>
        <v/>
      </c>
      <c r="DX4" s="58" cm="1">
        <f t="array" ref="DX4">_xlfn.IFS(RIGHT(DX6,4)="KEUR",DX5,DX2="no rate","",ISTEXT(DX2),SUM(DY4:INDEX(DY4:$ET$4,,_xlfn.AGGREGATE(15,6,(COLUMN(DY4:$ET$4)-COLUMN()-1)/(LEFT(DY6:$ET$6,1)&lt;&gt;"("),1))),1,DX2*DX5)</f>
        <v>0</v>
      </c>
      <c r="DY4" s="58" cm="1">
        <f t="array" ref="DY4">_xlfn.IFS(RIGHT(DY6,4)="KEUR",DY5,DY2="no rate","",ISTEXT(DY2),SUM(DZ4:INDEX(DZ4:$ET$4,,_xlfn.AGGREGATE(15,6,(COLUMN(DZ4:$ET$4)-COLUMN()-1)/(LEFT(DZ6:$ET$6,1)&lt;&gt;"("),1))),1,DY2*DY5)</f>
        <v>0</v>
      </c>
      <c r="DZ4" s="58" cm="1">
        <f t="array" ref="DZ4">_xlfn.IFS(RIGHT(DZ6,4)="KEUR",DZ5,DZ2="no rate","",ISTEXT(DZ2),SUM(EB4:INDEX(EB4:$ET$4,,_xlfn.AGGREGATE(15,6,(COLUMN(EB4:$ET$4)-COLUMN()-1)/(LEFT(EB6:$ET$6,1)&lt;&gt;"("),1))),1,DZ2*DZ5)</f>
        <v>0</v>
      </c>
      <c r="EA4" s="58" cm="1">
        <f t="array" ref="EA4">_xlfn.IFS(RIGHT(EA6,4)="KEUR",EA5,EA2="no rate","",ISTEXT(EA2),SUM(EC4:INDEX(EC4:$ET$4,,_xlfn.AGGREGATE(15,6,(COLUMN(EC4:$ET$4)-COLUMN()-1)/(LEFT(EC6:$ET$6,1)&lt;&gt;"("),1))),1,EA2*EA5)</f>
        <v>0</v>
      </c>
      <c r="EB4" s="58" cm="1">
        <f t="array" ref="EB4">_xlfn.IFS(RIGHT(EB6,4)="KEUR",EB5,EB2="no rate","",ISTEXT(EB2),SUM(ED4:INDEX(ED4:$ET$4,,_xlfn.AGGREGATE(15,6,(COLUMN(ED4:$ET$4)-COLUMN()-1)/(LEFT(ED6:$ET$6,1)&lt;&gt;"("),1))),1,EB2*EB5)</f>
        <v>0</v>
      </c>
      <c r="EC4" s="58" cm="1">
        <f t="array" ref="EC4">_xlfn.IFS(RIGHT(EC6,4)="KEUR",EC5,EC2="no rate","",ISTEXT(EC2),SUM(ED4:INDEX(ED4:$ET$4,,_xlfn.AGGREGATE(15,6,(COLUMN(ED4:$ET$4)-COLUMN()-1)/(LEFT(ED6:$ET$6,1)&lt;&gt;"("),1))),1,EC2*EC5)</f>
        <v>0</v>
      </c>
      <c r="ED4" s="58" cm="1">
        <f t="array" ref="ED4">_xlfn.IFS(RIGHT(ED6,4)="KEUR",ED5,ED2="no rate","",ISTEXT(ED2),SUM(EE4:INDEX(EE4:$ET$4,,_xlfn.AGGREGATE(15,6,(COLUMN(EE4:$ET$4)-COLUMN()-1)/(LEFT(EE6:$ET$6,1)&lt;&gt;"("),1))),1,ED2*ED5)</f>
        <v>0</v>
      </c>
      <c r="EE4" s="58" cm="1">
        <f t="array" ref="EE4">_xlfn.IFS(RIGHT(EE6,4)="KEUR",EE5,EE2="no rate","",ISTEXT(EE2),SUM(EF4:INDEX(EF4:$ET$4,,_xlfn.AGGREGATE(15,6,(COLUMN(EF4:$ET$4)-COLUMN()-1)/(LEFT(EF6:$ET$6,1)&lt;&gt;"("),1))),1,EE2*EE5)</f>
        <v>0</v>
      </c>
      <c r="EF4" s="58" cm="1">
        <f t="array" ref="EF4">_xlfn.IFS(RIGHT(EF6,4)="KEUR",EF5,EF2="no rate","",ISTEXT(EF2),SUM(EG4:INDEX(EG4:$ET$4,,_xlfn.AGGREGATE(15,6,(COLUMN(EG4:$ET$4)-COLUMN()-1)/(LEFT(EG6:$ET$6,1)&lt;&gt;"("),1))),1,EF2*EF5)</f>
        <v>0</v>
      </c>
      <c r="EG4" s="58" cm="1">
        <f t="array" ref="EG4">_xlfn.IFS(RIGHT(EG6,4)="KEUR",EG5,EG2="no rate","",ISTEXT(EG2),SUM(EH4:INDEX(EH4:$ET$4,,_xlfn.AGGREGATE(15,6,(COLUMN(EH4:$ET$4)-COLUMN()-1)/(LEFT(EH6:$ET$6,1)&lt;&gt;"("),1))),1,EG2*EG5)</f>
        <v>0</v>
      </c>
      <c r="EH4" s="58" t="str" cm="1">
        <f t="array" ref="EH4">_xlfn.IFS(RIGHT(EH6,4)="KEUR",EH5,EH2="no rate","",ISTEXT(EH2),SUM(EI4:INDEX(EI4:$ET$4,,_xlfn.AGGREGATE(15,6,(COLUMN(EI4:$ET$4)-COLUMN()-1)/(LEFT(EI6:$ET$6,1)&lt;&gt;"("),1))),1,EH2*EH5)</f>
        <v/>
      </c>
      <c r="EI4" s="58" cm="1">
        <f t="array" ref="EI4">_xlfn.IFS(RIGHT(EI6,4)="KEUR",EI5,EI2="no rate","",ISTEXT(EI2),SUM(EJ4:INDEX(EJ4:$ET$4,,_xlfn.AGGREGATE(15,6,(COLUMN(EJ4:$ET$4)-COLUMN()-1)/(LEFT(EJ6:$ET$6,1)&lt;&gt;"("),1))),1,EI2*EI5)</f>
        <v>0</v>
      </c>
      <c r="EJ4" s="58" cm="1">
        <f t="array" ref="EJ4">_xlfn.IFS(RIGHT(EJ6,4)="KEUR",EJ5,EJ2="no rate","",ISTEXT(EJ2),SUM(EK4:INDEX(EK4:$ET$4,,_xlfn.AGGREGATE(15,6,(COLUMN(EK4:$ET$4)-COLUMN()-1)/(LEFT(EK6:$ET$6,1)&lt;&gt;"("),1))),1,EJ2*EJ5)</f>
        <v>0</v>
      </c>
      <c r="EK4" s="58" cm="1">
        <f t="array" ref="EK4">_xlfn.IFS(RIGHT(EK6,4)="KEUR",EK5,EK2="no rate","",ISTEXT(EK2),SUM(EL4:INDEX(EL4:$ET$4,,_xlfn.AGGREGATE(15,6,(COLUMN(EL4:$ET$4)-COLUMN()-1)/(LEFT(EL6:$ET$6,1)&lt;&gt;"("),1))),1,EK2*EK5)</f>
        <v>0</v>
      </c>
      <c r="EL4" s="58" cm="1">
        <f t="array" ref="EL4">_xlfn.IFS(RIGHT(EL6,4)="KEUR",EL5,EL2="no rate","",ISTEXT(EL2),SUM(EM4:INDEX(EM4:$ET$4,,_xlfn.AGGREGATE(15,6,(COLUMN(EM4:$ET$4)-COLUMN()-1)/(LEFT(EM6:$ET$6,1)&lt;&gt;"("),1))),1,EL2*EL5)</f>
        <v>0</v>
      </c>
      <c r="EM4" s="58" cm="1">
        <f t="array" ref="EM4">_xlfn.IFS(RIGHT(EM6,4)="KEUR",EM5,EM2="no rate","",ISTEXT(EM2),SUM(EN4:INDEX(EN4:$ET$4,,_xlfn.AGGREGATE(15,6,(COLUMN(EN4:$ET$4)-COLUMN()-1)/(LEFT(EN6:$ET$6,1)&lt;&gt;"("),1))),1,EM2*EM5)</f>
        <v>0</v>
      </c>
      <c r="EN4" s="58" cm="1">
        <f t="array" ref="EN4">_xlfn.IFS(RIGHT(EN6,4)="KEUR",EN5,EN2="no rate","",ISTEXT(EN2),SUM(EO4:INDEX(EO4:$ET$4,,_xlfn.AGGREGATE(15,6,(COLUMN(EO4:$ET$4)-COLUMN()-1)/(LEFT(EO6:$ET$6,1)&lt;&gt;"("),1))),1,EN2*EN5)</f>
        <v>0</v>
      </c>
      <c r="EO4" s="58" cm="1">
        <f t="array" ref="EO4">_xlfn.IFS(RIGHT(EO6,4)="KEUR",EO5,EO2="no rate","",ISTEXT(EO2),SUM(EP4:INDEX(EP4:$ET$4,,_xlfn.AGGREGATE(15,6,(COLUMN(EP4:$ET$4)-COLUMN()-1)/(LEFT(EP6:$ET$6,1)&lt;&gt;"("),1))),1,EO2*EO5)</f>
        <v>0</v>
      </c>
      <c r="EP4" s="58" cm="1">
        <f t="array" ref="EP4">_xlfn.IFS(RIGHT(EP6,4)="KEUR",EP5,EP2="no rate","",ISTEXT(EP2),SUM(EQ4:INDEX(EQ4:$ET$4,,_xlfn.AGGREGATE(15,6,(COLUMN(EQ4:$ET$4)-COLUMN()-1)/(LEFT(EQ6:$ET$6,1)&lt;&gt;"("),1))),1,EP2*EP5)</f>
        <v>0</v>
      </c>
      <c r="EQ4" s="58" cm="1">
        <f t="array" ref="EQ4">_xlfn.IFS(RIGHT(EQ6,4)="KEUR",EQ5,EQ2="no rate","",ISTEXT(EQ2),SUM(ER4:INDEX(ER4:$ET$4,,_xlfn.AGGREGATE(15,6,(COLUMN(ER4:$ET$4)-COLUMN()-1)/(LEFT(ER6:$ET$6,1)&lt;&gt;"("),1))),1,EQ2*EQ5)</f>
        <v>0</v>
      </c>
      <c r="ER4" s="58" cm="1">
        <f t="array" ref="ER4">_xlfn.IFS(RIGHT(ER6,4)="KEUR",ER5,ER2="no rate","",ISTEXT(ER2),SUM(ES4:INDEX(ES4:$ET$4,,_xlfn.AGGREGATE(15,6,(COLUMN(ES4:$ET$4)-COLUMN()-1)/(LEFT(ES6:$ET$6,1)&lt;&gt;"("),1))),1,ER2*ER5)</f>
        <v>0</v>
      </c>
      <c r="ES4" s="58"/>
      <c r="ET4" s="58"/>
      <c r="EU4" s="57">
        <f>SUM(EV4:EX4)</f>
        <v>0</v>
      </c>
      <c r="EV4" s="57">
        <f>EV5*EV2</f>
        <v>0</v>
      </c>
      <c r="EW4" s="57">
        <f>EW5*EW2</f>
        <v>0</v>
      </c>
      <c r="EX4" s="57">
        <f>EX5*EX2</f>
        <v>0</v>
      </c>
      <c r="EY4" s="57"/>
      <c r="EZ4" s="57"/>
      <c r="FA4" s="57"/>
      <c r="FB4" s="57"/>
    </row>
    <row r="5" spans="1:159" customFormat="1" x14ac:dyDescent="0.2">
      <c r="C5" s="128"/>
      <c r="D5" s="59" t="str" cm="1">
        <f t="array" ref="D5">"total mds: "&amp;TEXT(SUMPRODUCT($Q$5:$EQ$5,(LEFT($Q$6:$EQ$6,1)&lt;&gt;"(")*1),"#.##")</f>
        <v>total mds: .</v>
      </c>
      <c r="Q5" s="55">
        <f>_xlfn.AGGREGATE(9,3,New[Acceptance
Internal
All entities])/IF(RIGHT(Q6,4)="(K€)",Q2,1)</f>
        <v>0</v>
      </c>
      <c r="R5" s="5011" t="n">
        <v>909.0</v>
      </c>
      <c r="S5" s="5013" t="n">
        <v>3115.0</v>
      </c>
      <c r="T5" s="5015" t="n">
        <v>10040.0</v>
      </c>
      <c r="U5" s="5017" t="n">
        <v>2585.0</v>
      </c>
      <c r="V5" s="55">
        <f>_xlfn.AGGREGATE(9,3,New[(ACC)
CZE
GoPay])/IF(RIGHT(V6,4)="(K€)",V2,1)</f>
        <v>0</v>
      </c>
      <c r="W5" s="5019" t="n">
        <v>5950.0</v>
      </c>
      <c r="X5" s="55">
        <f>_xlfn.AGGREGATE(9,3,New[(ACC)
FRA
SACC])/IF(RIGHT(X6,4)="(K€)",X2,1)</f>
        <v>0</v>
      </c>
      <c r="Y5" s="5023" t="n">
        <v>1900.0</v>
      </c>
      <c r="Z5" s="5021" t="n">
        <v>800.0</v>
      </c>
      <c r="AA5" s="5025" t="n">
        <v>500.0</v>
      </c>
      <c r="AB5" s="55">
        <f>_xlfn.AGGREGATE(9,3,New[(ACC)
AUT
Payunity])/IF(RIGHT(AB6,4)="(K€)",AB2,1)</f>
        <v>0</v>
      </c>
      <c r="AC5" s="55">
        <f>_xlfn.AGGREGATE(9,3,New[(ACC)
GRC
Cardlink])/IF(RIGHT(AC6,4)="(K€)",AC2,1)</f>
        <v>0</v>
      </c>
      <c r="AD5" s="5027" t="n">
        <v>9112.0</v>
      </c>
      <c r="AE5" s="55">
        <f>_xlfn.AGGREGATE(9,3,New[(ACC)
ITA
Axxepta])/IF(RIGHT(AE6,4)="(K€)",AE2,1)</f>
        <v>0</v>
      </c>
      <c r="AF5" s="5029" t="n">
        <v>5823.5</v>
      </c>
      <c r="AG5" s="5031" t="n">
        <v>16822.3</v>
      </c>
      <c r="AH5" s="55">
        <f>_xlfn.AGGREGATE(9,3,New[(ACC)
SPA
Connexflow])/IF(RIGHT(AH6,4)="(K€)",AH2,1)</f>
        <v>0</v>
      </c>
      <c r="AI5" s="5033" t="n">
        <v>1675.0</v>
      </c>
      <c r="AJ5" s="5035" t="n">
        <v>2090.0</v>
      </c>
      <c r="AK5" s="5037" t="n">
        <v>1205.0</v>
      </c>
      <c r="AL5" s="5039" t="n">
        <v>3445.0</v>
      </c>
      <c r="AM5" s="5041" t="n">
        <v>2000.0</v>
      </c>
      <c r="AN5" s="5043" t="n">
        <v>10002.0</v>
      </c>
      <c r="AO5" s="5045" t="n">
        <v>4880.0</v>
      </c>
      <c r="AP5" s="5047" t="n">
        <v>2400.0</v>
      </c>
      <c r="AQ5" s="55">
        <f>_xlfn.AGGREGATE(9,3,New[(ACC)
ALL
 Shared services])/IF(RIGHT(AQ6,4)="(K€)",AQ2,1)</f>
        <v>0</v>
      </c>
      <c r="AR5" s="55">
        <f>_xlfn.AGGREGATE(9,3,New[Com Acquiring
Internal
all entities])/IF(RIGHT(AR6,4)="(K€)",AR2,1)</f>
        <v>0</v>
      </c>
      <c r="AS5" s="5049" t="n">
        <v>320.0</v>
      </c>
      <c r="AT5" s="55">
        <f>_xlfn.AGGREGATE(9,3,New[(CAQ)
FRA
WL])/IF(RIGHT(AT6,4)="(K€)",AT2,1)</f>
        <v>0</v>
      </c>
      <c r="AU5" s="55">
        <f>_xlfn.AGGREGATE(9,3,New[(CAQ)
CHE
SPS])/IF(RIGHT(AU6,4)="(K€)",AU2,1)</f>
        <v>0</v>
      </c>
      <c r="AV5" s="55">
        <f>_xlfn.AGGREGATE(9,3,New[(CAQ)
ALL
BB])/IF(RIGHT(AV6,4)="(K€)",AV2,1)</f>
        <v>0</v>
      </c>
      <c r="AW5" s="55">
        <f>_xlfn.AGGREGATE(9,3,New[Digital Services
Internal
all entities])/IF(RIGHT(AW6,4)="(K€)",AW2,1)</f>
        <v>0</v>
      </c>
      <c r="AX5" s="5051" t="n">
        <v>550.0</v>
      </c>
      <c r="AY5" s="55">
        <f>_xlfn.AGGREGATE(9,3,New[(DIG)
FRA
WL])/IF(RIGHT(AY6,4)="(K€)",AY2,1)</f>
        <v>0</v>
      </c>
      <c r="AZ5" s="55">
        <f>_xlfn.AGGREGATE(9,3,New[(DIG)
NLD
WL])/IF(RIGHT(AZ6,4)="(K€)",AZ2,1)</f>
        <v>0</v>
      </c>
      <c r="BA5" s="55">
        <f>_xlfn.AGGREGATE(9,3,New[(DIG)
AUT
SPS])/IF(RIGHT(BA6,4)="(K€)",BA2,1)</f>
        <v>0</v>
      </c>
      <c r="BB5" s="55">
        <f>_xlfn.AGGREGATE(9,3,New[(DIG)
CHE
SPS])/IF(RIGHT(BB6,4)="(K€)",BB2,1)</f>
        <v>0</v>
      </c>
      <c r="BC5" s="55">
        <f>_xlfn.AGGREGATE(9,3,New[(DIG)
FRA
ING])/IF(RIGHT(BC6,4)="(K€)",BC2,1)</f>
        <v>0</v>
      </c>
      <c r="BD5" s="55">
        <f>_xlfn.AGGREGATE(9,3,New[(DIG)
GER
WL])/IF(RIGHT(BD6,4)="(K€)",BD2,1)</f>
        <v>0</v>
      </c>
      <c r="BE5" s="55">
        <f>_xlfn.AGGREGATE(9,3,New[(DIG)
GER
SPS])/IF(RIGHT(BE6,4)="(K€)",BE2,1)</f>
        <v>0</v>
      </c>
      <c r="BF5" s="55">
        <f>_xlfn.AGGREGATE(9,3,New[(DIG)
POL
SPS])/IF(RIGHT(BF6,4)="(K€)",BF2,1)</f>
        <v>0</v>
      </c>
      <c r="BG5" s="55">
        <f>_xlfn.AGGREGATE(9,3,New[(DIG)
CZE
Cataps])/IF(RIGHT(BG6,4)="(K€)",BG2,1)</f>
        <v>0</v>
      </c>
      <c r="BH5" s="55">
        <f>_xlfn.AGGREGATE(9,3,New[(DIG)
AUS
WL])/IF(RIGHT(BH6,4)="(K€)",BH2,1)</f>
        <v>0</v>
      </c>
      <c r="BI5" s="55">
        <f>_xlfn.AGGREGATE(9,3,New[(DIG)
NLD
ING])/IF(RIGHT(BI6,4)="(K€)",BI2,1)</f>
        <v>0</v>
      </c>
      <c r="BJ5" s="55">
        <f>_xlfn.AGGREGATE(9,3,New[E2E Architects &amp; Programs
Internal
all entities])/IF(RIGHT(BJ6,4)="(K€)",BJ2,1)</f>
        <v>0</v>
      </c>
      <c r="BK5" s="55">
        <f>_xlfn.AGGREGATE(9,3,New[(E2E)
BEL
WL])/IF(RIGHT(BK6,4)="(K€)",BK2,1)</f>
        <v>0</v>
      </c>
      <c r="BL5" s="55">
        <f>_xlfn.AGGREGATE(9,3,New[(E2E)
FRA
WL])/IF(RIGHT(BL6,4)="(K€)",BL2,1)</f>
        <v>0</v>
      </c>
      <c r="BM5" s="55">
        <f>_xlfn.AGGREGATE(9,3,New[(E2E)
NLD
WL])/IF(RIGHT(BM6,4)="(K€)",BM2,1)</f>
        <v>0</v>
      </c>
      <c r="BN5" s="55">
        <f>_xlfn.AGGREGATE(9,3,New[(E2E)
SPA
WL])/IF(RIGHT(BN6,4)="(K€)",BN2,1)</f>
        <v>0</v>
      </c>
      <c r="BO5" s="55">
        <f>_xlfn.AGGREGATE(9,3,New[(E2E)
XXX
WL])/IF(RIGHT(BO6,4)="(K€)",BO2,1)</f>
        <v>0</v>
      </c>
      <c r="BP5" s="55">
        <f>_xlfn.AGGREGATE(9,3,New[(E2E)
CHE
SPS])/IF(RIGHT(BP6,4)="(K€)",BP2,1)</f>
        <v>0</v>
      </c>
      <c r="BQ5" s="55">
        <f>_xlfn.AGGREGATE(9,3,New[Chief Merchant Officer
Internal
all entities])/IF(RIGHT(BQ6,4)="(K€)",BQ2,1)</f>
        <v>0</v>
      </c>
      <c r="BR5" s="55">
        <f>_xlfn.AGGREGATE(9,3,New[(CMO)
CHE
SPS])/IF(RIGHT(BR6,4)="(K€)",BR2,1)</f>
        <v>0</v>
      </c>
      <c r="BS5" s="55">
        <f>_xlfn.AGGREGATE(9,3,New[(CMO)
FRA
WL])/IF(RIGHT(BS6,4)="(K€)",BS2,1)</f>
        <v>0</v>
      </c>
      <c r="BT5" s="55">
        <f>_xlfn.AGGREGATE(9,3,New[COO SACC
Internal
all entities])/IF(RIGHT(BT6,4)="(K€)",BT2,1)</f>
        <v>0</v>
      </c>
      <c r="BU5" s="55">
        <f>_xlfn.AGGREGATE(9,3,New[(SAC)
FRA
ex Terminals])/IF(RIGHT(BU6,4)="(K€)",BU2,1)</f>
        <v>0</v>
      </c>
      <c r="BV5" s="55">
        <f>_xlfn.AGGREGATE(9,3,New[(SAC)
FRA
ex Omni Ch.])/IF(RIGHT(BV6,4)="(K€)",BV2,1)</f>
        <v>0</v>
      </c>
      <c r="BW5" s="55">
        <f>_xlfn.AGGREGATE(9,3,New[(SAC)
FRA
Ex Operations])/IF(RIGHT(BW6,4)="(K€)",BW2,1)</f>
        <v>0</v>
      </c>
      <c r="BX5" s="55">
        <f>_xlfn.AGGREGATE(9,3,New[COO PTM
Internal
WL entities])/IF(RIGHT(BX6,4)="(K€)",BX2,1)</f>
        <v>0</v>
      </c>
      <c r="BY5" s="55">
        <f>_xlfn.AGGREGATE(9,3,New[(PTM)
BEL
WL])/IF(RIGHT(BY6,4)="(K€)",BY2,1)</f>
        <v>0</v>
      </c>
      <c r="BZ5" s="55">
        <f>_xlfn.AGGREGATE(9,3,New[(PTM)
FRA
WL])/IF(RIGHT(BZ6,4)="(K€)",BZ2,1)</f>
        <v>0</v>
      </c>
      <c r="CA5" s="55">
        <f>_xlfn.AGGREGATE(9,3,New[(PTM)
NLD
WL])/IF(RIGHT(CA6,4)="(K€)",CA2,1)</f>
        <v>0</v>
      </c>
      <c r="CB5" s="55">
        <f>_xlfn.AGGREGATE(9,3,New[(PTM)
SWE
WL])/IF(RIGHT(CB6,4)="(K€)",CB2,1)</f>
        <v>0</v>
      </c>
      <c r="CC5" s="55">
        <f>_xlfn.AGGREGATE(9,3,New[(PTM)
GER
WL])/IF(RIGHT(CC6,4)="(K€)",CC2,1)</f>
        <v>0</v>
      </c>
      <c r="CD5" s="55">
        <f>_xlfn.AGGREGATE(9,3,New[(PTM)
BRA
WL])/IF(RIGHT(CD6,4)="(K€)",CD2,1)</f>
        <v>0</v>
      </c>
      <c r="CE5" s="55">
        <f>_xlfn.AGGREGATE(9,3,New[COO PTM
Internal
SPS/Other entities])/IF(RIGHT(CE6,4)="(K€)",CE2,1)</f>
        <v>0</v>
      </c>
      <c r="CF5" s="55">
        <f>_xlfn.AGGREGATE(9,3,New[(PTM)
CHE
SPS])/IF(RIGHT(CF6,4)="(K€)",CF2,1)</f>
        <v>0</v>
      </c>
      <c r="CG5" s="55">
        <f>_xlfn.AGGREGATE(9,3,New[(PTM)
AUT
SPS])/IF(RIGHT(CG6,4)="(K€)",CG2,1)</f>
        <v>0</v>
      </c>
      <c r="CH5" s="55">
        <f>_xlfn.AGGREGATE(9,3,New[(PTM)
GER
SPS])/IF(RIGHT(CH6,4)="(K€)",CH2,1)</f>
        <v>0</v>
      </c>
      <c r="CI5" s="55">
        <f>_xlfn.AGGREGATE(9,3,New[(PTM)
POL
SPS])/IF(RIGHT(CI6,4)="(K€)",CI2,1)</f>
        <v>0</v>
      </c>
      <c r="CJ5" s="55">
        <f>_xlfn.AGGREGATE(9,3,New[(PTM)
CZE
Cataps])/IF(RIGHT(CJ6,4)="(K€)",CJ2,1)</f>
        <v>0</v>
      </c>
      <c r="CK5" s="55">
        <f>_xlfn.AGGREGATE(9,3,New[COO CS
Internal
WL entities])/IF(RIGHT(CK6,4)="(K€)",CK2,1)</f>
        <v>0</v>
      </c>
      <c r="CL5" s="5053" t="n">
        <v>61.0</v>
      </c>
      <c r="CM5" s="55">
        <f>_xlfn.AGGREGATE(9,3,New[(CCS)
FRA
WL])/IF(RIGHT(CM6,4)="(K€)",CM2,1)</f>
        <v>0</v>
      </c>
      <c r="CN5" s="55">
        <f>_xlfn.AGGREGATE(9,3,New[(CCS)
NLD
WL])/IF(RIGHT(CN6,4)="(K€)",CN2,1)</f>
        <v>0</v>
      </c>
      <c r="CO5" s="55">
        <f>_xlfn.AGGREGATE(9,3,New[COO CS
Internal
SPS entities])/IF(RIGHT(CO6,4)="(K€)",CO2,1)</f>
        <v>0</v>
      </c>
      <c r="CP5" s="5055" t="n">
        <v>18.0</v>
      </c>
      <c r="CQ5" s="55">
        <f>_xlfn.AGGREGATE(9,3,New[(CCS)
LUX
SPS])/IF(RIGHT(CQ6,4)="(K€)",CQ2,1)</f>
        <v>0</v>
      </c>
      <c r="CR5" s="55">
        <f>_xlfn.AGGREGATE(9,3,New[(CCS)
AUT
SPS])/IF(RIGHT(CR6,4)="(K€)",CR2,1)</f>
        <v>0</v>
      </c>
      <c r="CS5" s="55">
        <f>_xlfn.AGGREGATE(9,3,New[(CCS)
GER
SPS])/IF(RIGHT(CS6,4)="(K€)",CS2,1)</f>
        <v>0</v>
      </c>
      <c r="CT5" s="55">
        <f>_xlfn.AGGREGATE(9,3,New[(CCS)
POL
SPS])/IF(RIGHT(CT6,4)="(K€)",CT2,1)</f>
        <v>0</v>
      </c>
      <c r="CU5" s="55">
        <f>_xlfn.AGGREGATE(9,3,New[COO CS
Internal
Other entities])/IF(RIGHT(CU6,4)="(K€)",CU2,1)</f>
        <v>0</v>
      </c>
      <c r="CV5" s="55">
        <f>_xlfn.AGGREGATE(9,3,New[(CCS)
NLD
PSQ])/IF(RIGHT(CV6,4)="(K€)",CV2,1)</f>
        <v>0</v>
      </c>
      <c r="CW5" s="55">
        <f>_xlfn.AGGREGATE(9,3,New[(CCS)
POL
PSQ])/IF(RIGHT(CW6,4)="(K€)",CW2,1)</f>
        <v>0</v>
      </c>
      <c r="CX5" s="55">
        <f>_xlfn.AGGREGATE(9,3,New[(CCS)
CZE
Cataps])/IF(RIGHT(CX6,4)="(K€)",CX2,1)</f>
        <v>0</v>
      </c>
      <c r="CY5" s="55">
        <f>_xlfn.AGGREGATE(9,3,New[COO BSA
Internal
all entities])/IF(RIGHT(CY6,4)="(K€)",CY2,1)</f>
        <v>0</v>
      </c>
      <c r="CZ5" s="55">
        <f>_xlfn.AGGREGATE(9,3,New[(BSA)
BEL
WL])/IF(RIGHT(CZ6,4)="(K€)",CZ2,1)</f>
        <v>0</v>
      </c>
      <c r="DA5" s="55">
        <f>_xlfn.AGGREGATE(9,3,New[(BSA)
AUS
WL])/IF(RIGHT(DA6,4)="(K€)",DA2,1)</f>
        <v>0</v>
      </c>
      <c r="DB5" s="55">
        <f>_xlfn.AGGREGATE(9,3,New[(BSA)
NLD
WL])/IF(RIGHT(DB6,4)="(K€)",DB2,1)</f>
        <v>0</v>
      </c>
      <c r="DC5" s="55">
        <f>_xlfn.AGGREGATE(9,3,New[(BSA)
CHE
SPS])/IF(RIGHT(DC6,4)="(K€)",DC2,1)</f>
        <v>0</v>
      </c>
      <c r="DD5" s="55">
        <f>_xlfn.AGGREGATE(9,3,New[(BSA)
POL])/IF(RIGHT(DD6,4)="(K€)",DD2,1)</f>
        <v>0</v>
      </c>
      <c r="DE5" s="55">
        <f>_xlfn.AGGREGATE(9,3,New[(BSA)
FRA])/IF(RIGHT(DE6,4)="(K€)",DE2,1)</f>
        <v>0</v>
      </c>
      <c r="DF5" s="55">
        <f>_xlfn.AGGREGATE(9,3,New[(BSA)
GER])/IF(RIGHT(DF6,4)="(K€)",DF2,1)</f>
        <v>0</v>
      </c>
      <c r="DG5" s="55">
        <f>_xlfn.AGGREGATE(9,3,New[Chief Market Officer
Internal
all entities])/IF(RIGHT(DG6,4)="(K€)",DG2,1)</f>
        <v>0</v>
      </c>
      <c r="DH5" s="5057" t="n">
        <v>3510.0</v>
      </c>
      <c r="DI5" s="55">
        <f>_xlfn.AGGREGATE(9,3,New[GTM FI
Internal
all entities])/IF(RIGHT(DI6,4)="(K€)",DI2,1)</f>
        <v>0</v>
      </c>
      <c r="DJ5" s="55">
        <f>_xlfn.AGGREGATE(9,3,New[(GTM)
All
any entity])/IF(RIGHT(DJ6,4)="(K€)",DJ2,1)</f>
        <v>0</v>
      </c>
      <c r="DK5" s="55">
        <f>_xlfn.AGGREGATE(9,3,New[Financial Services
Outsourced
all entities])/IF(RIGHT(DK6,4)="(K€)",DK2,1)</f>
        <v>0</v>
      </c>
      <c r="DL5" s="55">
        <f>_xlfn.AGGREGATE(9,3,New[(FIS)
All
any entity])/IF(RIGHT(DL6,4)="(K€)",DL2,1)</f>
        <v>0</v>
      </c>
      <c r="DM5" s="5059" t="n">
        <v>263.0</v>
      </c>
      <c r="DN5" s="55">
        <f>_xlfn.AGGREGATE(9,3,New[(FIS)
FRA
eWL])/IF(RIGHT(DN6,4)="(K€)",DN2,1)</f>
        <v>0</v>
      </c>
      <c r="DO5" s="55">
        <f>_xlfn.AGGREGATE(9,3,New[(FIS)
NLD
eWL])/IF(RIGHT(DO6,4)="(K€)",DO2,1)</f>
        <v>0</v>
      </c>
      <c r="DP5" s="55">
        <f>_xlfn.AGGREGATE(9,3,New[(FIS)
GER
eWL])/IF(RIGHT(DP6,4)="(K€)",DP2,1)</f>
        <v>0</v>
      </c>
      <c r="DQ5" s="5061" t="n">
        <v>300.0</v>
      </c>
      <c r="DR5" s="55">
        <f>_xlfn.AGGREGATE(9,3,New[(FIS)
SPS Split (26%) BEL])/IF(RIGHT(DR6,4)="(K€)",DR2,1)</f>
        <v>0</v>
      </c>
      <c r="DS5" s="55">
        <f>_xlfn.AGGREGATE(9,3,New[(FIS)
SPS % Split
FO])/IF(RIGHT(DS6,4)="(K€)",DS2,1)</f>
        <v>0</v>
      </c>
      <c r="DT5" s="55">
        <f>_xlfn.AGGREGATE(9,3,New[(FIS)
SPS % Split
BO])/IF(RIGHT(DT6,4)="(K€)",DT2,1)</f>
        <v>0</v>
      </c>
      <c r="DU5" s="55">
        <f>_xlfn.AGGREGATE(9,3,New[(FIS)
SPS Split
FO (calc)])/IF(RIGHT(DU6,4)="(K€)",DU2,1)</f>
        <v>0</v>
      </c>
      <c r="DV5" s="55">
        <f>_xlfn.AGGREGATE(9,3,New[(FIS)
SPS Split
BO (calc)])/IF(RIGHT(DV6,4)="(K€)",DV2,1)</f>
        <v>0</v>
      </c>
      <c r="DW5" s="55">
        <f>_xlfn.AGGREGATE(9,3,New[(FIS)
SPS Split
DaMa (calc)])/IF(RIGHT(DW6,4)="(K€)",DW2,1)</f>
        <v>0</v>
      </c>
      <c r="DX5" s="55">
        <f>_xlfn.AGGREGATE(9,3,New[Production Services
Outsourced
all entities])/IF(RIGHT(DX6,4)="(K€)",DX2,1)</f>
        <v>0</v>
      </c>
      <c r="DY5" s="55">
        <f>_xlfn.AGGREGATE(9,3,New[(PRD)
ALL
any entity])/IF(RIGHT(DY6,4)="(K€)",DY2,1)</f>
        <v>0</v>
      </c>
      <c r="DZ5" s="55">
        <f>_xlfn.AGGREGATE(9,3,New[TSS
Outsourced 
all entities])/IF(RIGHT(DZ6,4)="(K€)",DZ2,1)</f>
        <v>0</v>
      </c>
      <c r="EA5" s="55">
        <f>_xlfn.AGGREGATE(9,3,New[(TSS)
CHE
SPS])/IF(RIGHT(EA6,4)="(K€)",EA2,1)</f>
        <v>0</v>
      </c>
      <c r="EB5" s="55">
        <f>_xlfn.AGGREGATE(9,3,New[(TSS)
ALL
any entity])/IF(RIGHT(EB6,4)="(K€)",EB2,1)</f>
        <v>0</v>
      </c>
      <c r="EC5" s="55">
        <f>_xlfn.AGGREGATE(9,3,New[MTS
Outsourced
all entities])/IF(RIGHT(EC6,4)="(K€)",EC2,1)</f>
        <v>0</v>
      </c>
      <c r="ED5" s="55">
        <f>_xlfn.AGGREGATE(9,3,New[(MTS)
ALL
any entity])/IF(RIGHT(ED6,4)="(K€)",ED2,1)</f>
        <v>0</v>
      </c>
      <c r="EE5" s="55">
        <f>_xlfn.AGGREGATE(9,3,New[Payone
Outsourced
all entities])/IF(RIGHT(EE6,4)="(K€)",EE2,1)</f>
        <v>0</v>
      </c>
      <c r="EF5" s="55">
        <f>_xlfn.AGGREGATE(9,3,New[(Payone)
ALL
any entity])/IF(RIGHT(EF6,4)="(K€)",EF2,1)</f>
        <v>0</v>
      </c>
      <c r="EG5" s="55">
        <f>_xlfn.AGGREGATE(9,3,New[Cash Out
OPEX
Suppliers])/IF(RIGHT(EG6,4)="(K€)",EG2,1)</f>
        <v>0</v>
      </c>
      <c r="EH5" s="55">
        <f>_xlfn.AGGREGATE(9,3,New[(OPX) 
Supplier Name(s)])/IF(RIGHT(EH6,4)="(K€)",EH2,1)</f>
        <v>0</v>
      </c>
      <c r="EI5" s="55">
        <f>_xlfn.AGGREGATE(9,3,New[(OPX)
All SubCo
Fix price (K€)])/IF(RIGHT(EI6,4)="(K€)",EI2,1)</f>
        <v>0</v>
      </c>
      <c r="EJ5" s="55">
        <f>_xlfn.AGGREGATE(9,3,New[(OPX)
All Subco
T&amp;M 1000])/IF(RIGHT(EJ6,4)="(K€)",EJ2,1)</f>
        <v>0</v>
      </c>
      <c r="EK5" s="55">
        <f>_xlfn.AGGREGATE(9,3,New[(OPX)
All Subco
T&amp;M 700])/IF(RIGHT(EK6,4)="(K€)",EK2,1)</f>
        <v>0</v>
      </c>
      <c r="EL5" s="55">
        <f>_xlfn.AGGREGATE(9,3,New[(OPX)
All Subco
T&amp;M 470])/IF(RIGHT(EL6,4)="(K€)",EL2,1)</f>
        <v>0</v>
      </c>
      <c r="EM5" s="55">
        <f>_xlfn.AGGREGATE(9,3,New[(OPX)
MAR
Morocco])/IF(RIGHT(EM6,4)="(K€)",EM2,1)</f>
        <v>0</v>
      </c>
      <c r="EN5" s="55">
        <f>_xlfn.AGGREGATE(9,3,New[(OPX)
IND
Cybage])/IF(RIGHT(EN6,4)="(K€)",EN2,1)</f>
        <v>0</v>
      </c>
      <c r="EO5" s="55">
        <f>_xlfn.AGGREGATE(9,3,New[(OPX)
IND
India])/IF(RIGHT(EO6,4)="(K€)",EO2,1)</f>
        <v>0</v>
      </c>
      <c r="EP5" s="55">
        <f>_xlfn.AGGREGATE(9,3,New[(OPX)
BUL
Bulgaria])/IF(RIGHT(EP6,4)="(K€)",EP2,1)</f>
        <v>0</v>
      </c>
      <c r="EQ5" s="55">
        <f>_xlfn.AGGREGATE(9,3,New[(OPX)
ARM
Armenia])/IF(RIGHT(EQ6,4)="(K€)",EQ2,1)</f>
        <v>0</v>
      </c>
      <c r="ER5" s="55">
        <f>_xlfn.AGGREGATE(9,3,New[Cash Out
CAPEX
KEUR])/IF(RIGHT(ER6,4)="(K€)",ER2,1)</f>
        <v>0</v>
      </c>
      <c r="ES5" s="56">
        <f>_xlfn.AGGREGATE(9,3,New[(CPX) 
CAPEX
kEUR])/IF(RIGHT(ES6,4)="(K€)",ES2,1)</f>
        <v>0</v>
      </c>
      <c r="ET5" s="56"/>
      <c r="EU5" s="55">
        <f>_xlfn.AGGREGATE(9,3,New[Non MS/Not listed Entities])/IF(RIGHT(EU6,4)="(K€)",EU2,1)</f>
        <v>0</v>
      </c>
      <c r="EV5" s="55">
        <f>_xlfn.AGGREGATE(9,3,New[(NMS)
ALL
Direct])/IF(RIGHT(EV6,4)="(K€)",EV2,1)</f>
        <v>0</v>
      </c>
      <c r="EW5" s="55">
        <f>_xlfn.AGGREGATE(9,3,New[(NMS)
ALL
Indirect])/IF(RIGHT(EW6,4)="(K€)",EW2,1)</f>
        <v>0</v>
      </c>
      <c r="EX5" s="55">
        <f>_xlfn.AGGREGATE(9,3,New[(NMS)
Non listed entities])/IF(RIGHT(EX6,4)="(K€)",EX2,1)</f>
        <v>0</v>
      </c>
      <c r="EY5" s="56"/>
      <c r="EZ5" s="56">
        <f>_xlfn.AGGREGATE(9,3,New[Costs for Move to Cloud (2022) ])/IF(RIGHT(EZ6,4)="(K€)",EZ2,1)</f>
        <v>0</v>
      </c>
      <c r="FA5" s="56"/>
      <c r="FB5" s="56">
        <f>_xlfn.AGGREGATE(9,3,New[TOTAL 2022 in mandays])/IF(RIGHT(FB6,4)="(K€)",FB2,1)</f>
        <v>0</v>
      </c>
    </row>
    <row r="6" spans="1:159" ht="48" x14ac:dyDescent="0.2">
      <c r="A6" s="127"/>
      <c r="B6" s="10" t="s">
        <v>142</v>
      </c>
      <c r="C6" s="11" t="s">
        <v>143</v>
      </c>
      <c r="D6" s="11" t="s">
        <v>144</v>
      </c>
      <c r="E6" s="82" t="s">
        <v>6</v>
      </c>
      <c r="F6" s="82" t="s">
        <v>145</v>
      </c>
      <c r="G6" s="82" t="s">
        <v>146</v>
      </c>
      <c r="H6" s="82" t="s">
        <v>147</v>
      </c>
      <c r="I6" s="82" t="s">
        <v>38</v>
      </c>
      <c r="J6" s="82" t="s">
        <v>63</v>
      </c>
      <c r="K6" s="82" t="s">
        <v>148</v>
      </c>
      <c r="L6" s="10" t="s">
        <v>149</v>
      </c>
      <c r="M6" s="10" t="s">
        <v>150</v>
      </c>
      <c r="N6" s="10" t="s">
        <v>151</v>
      </c>
      <c r="O6" s="10" t="s">
        <v>152</v>
      </c>
      <c r="P6" s="10" t="s">
        <v>153</v>
      </c>
      <c r="Q6" s="13" t="s">
        <v>154</v>
      </c>
      <c r="R6" s="14" t="s">
        <v>155</v>
      </c>
      <c r="S6" s="14" t="s">
        <v>156</v>
      </c>
      <c r="T6" s="14" t="s">
        <v>157</v>
      </c>
      <c r="U6" s="14" t="s">
        <v>158</v>
      </c>
      <c r="V6" s="14" t="s">
        <v>159</v>
      </c>
      <c r="W6" s="14" t="s">
        <v>160</v>
      </c>
      <c r="X6" s="14" t="s">
        <v>161</v>
      </c>
      <c r="Y6" s="14" t="s">
        <v>162</v>
      </c>
      <c r="Z6" s="14" t="s">
        <v>163</v>
      </c>
      <c r="AA6" s="14" t="s">
        <v>164</v>
      </c>
      <c r="AB6" s="14" t="s">
        <v>165</v>
      </c>
      <c r="AC6" s="14" t="s">
        <v>166</v>
      </c>
      <c r="AD6" s="14" t="s">
        <v>167</v>
      </c>
      <c r="AE6" s="14" t="s">
        <v>168</v>
      </c>
      <c r="AF6" s="14" t="s">
        <v>169</v>
      </c>
      <c r="AG6" s="14" t="s">
        <v>170</v>
      </c>
      <c r="AH6" s="14" t="s">
        <v>171</v>
      </c>
      <c r="AI6" s="14" t="s">
        <v>172</v>
      </c>
      <c r="AJ6" s="14" t="s">
        <v>173</v>
      </c>
      <c r="AK6" s="14" t="s">
        <v>174</v>
      </c>
      <c r="AL6" s="14" t="s">
        <v>175</v>
      </c>
      <c r="AM6" s="14" t="s">
        <v>176</v>
      </c>
      <c r="AN6" s="14" t="s">
        <v>177</v>
      </c>
      <c r="AO6" s="14" t="s">
        <v>178</v>
      </c>
      <c r="AP6" s="14" t="s">
        <v>179</v>
      </c>
      <c r="AQ6" s="14" t="s">
        <v>180</v>
      </c>
      <c r="AR6" s="12" t="s">
        <v>181</v>
      </c>
      <c r="AS6" s="14" t="s">
        <v>182</v>
      </c>
      <c r="AT6" s="14" t="s">
        <v>183</v>
      </c>
      <c r="AU6" s="14" t="s">
        <v>184</v>
      </c>
      <c r="AV6" s="14" t="s">
        <v>185</v>
      </c>
      <c r="AW6" s="12" t="s">
        <v>186</v>
      </c>
      <c r="AX6" s="14" t="s">
        <v>187</v>
      </c>
      <c r="AY6" s="14" t="s">
        <v>188</v>
      </c>
      <c r="AZ6" s="14" t="s">
        <v>189</v>
      </c>
      <c r="BA6" s="14" t="s">
        <v>190</v>
      </c>
      <c r="BB6" s="14" t="s">
        <v>191</v>
      </c>
      <c r="BC6" s="14" t="s">
        <v>192</v>
      </c>
      <c r="BD6" s="14" t="s">
        <v>193</v>
      </c>
      <c r="BE6" s="14" t="s">
        <v>194</v>
      </c>
      <c r="BF6" s="14" t="s">
        <v>195</v>
      </c>
      <c r="BG6" s="14" t="s">
        <v>196</v>
      </c>
      <c r="BH6" s="14" t="s">
        <v>197</v>
      </c>
      <c r="BI6" s="14" t="s">
        <v>198</v>
      </c>
      <c r="BJ6" s="12" t="s">
        <v>199</v>
      </c>
      <c r="BK6" s="14" t="s">
        <v>200</v>
      </c>
      <c r="BL6" s="14" t="s">
        <v>201</v>
      </c>
      <c r="BM6" s="14" t="s">
        <v>202</v>
      </c>
      <c r="BN6" s="14" t="s">
        <v>203</v>
      </c>
      <c r="BO6" s="14" t="s">
        <v>204</v>
      </c>
      <c r="BP6" s="14" t="s">
        <v>205</v>
      </c>
      <c r="BQ6" s="13" t="s">
        <v>206</v>
      </c>
      <c r="BR6" s="14" t="s">
        <v>207</v>
      </c>
      <c r="BS6" s="14" t="s">
        <v>208</v>
      </c>
      <c r="BT6" s="13" t="s">
        <v>209</v>
      </c>
      <c r="BU6" s="14" t="s">
        <v>210</v>
      </c>
      <c r="BV6" s="14" t="s">
        <v>211</v>
      </c>
      <c r="BW6" s="14" t="s">
        <v>212</v>
      </c>
      <c r="BX6" s="13" t="s">
        <v>213</v>
      </c>
      <c r="BY6" s="14" t="s">
        <v>214</v>
      </c>
      <c r="BZ6" s="14" t="s">
        <v>215</v>
      </c>
      <c r="CA6" s="14" t="s">
        <v>216</v>
      </c>
      <c r="CB6" s="14" t="s">
        <v>217</v>
      </c>
      <c r="CC6" s="14" t="s">
        <v>218</v>
      </c>
      <c r="CD6" s="14" t="s">
        <v>219</v>
      </c>
      <c r="CE6" s="13" t="s">
        <v>220</v>
      </c>
      <c r="CF6" s="14" t="s">
        <v>221</v>
      </c>
      <c r="CG6" s="14" t="s">
        <v>222</v>
      </c>
      <c r="CH6" s="14" t="s">
        <v>223</v>
      </c>
      <c r="CI6" s="14" t="s">
        <v>224</v>
      </c>
      <c r="CJ6" s="14" t="s">
        <v>225</v>
      </c>
      <c r="CK6" s="13" t="s">
        <v>226</v>
      </c>
      <c r="CL6" s="14" t="s">
        <v>227</v>
      </c>
      <c r="CM6" s="14" t="s">
        <v>228</v>
      </c>
      <c r="CN6" s="14" t="s">
        <v>229</v>
      </c>
      <c r="CO6" s="13" t="s">
        <v>230</v>
      </c>
      <c r="CP6" s="14" t="s">
        <v>231</v>
      </c>
      <c r="CQ6" s="14" t="s">
        <v>232</v>
      </c>
      <c r="CR6" s="14" t="s">
        <v>233</v>
      </c>
      <c r="CS6" s="14" t="s">
        <v>234</v>
      </c>
      <c r="CT6" s="14" t="s">
        <v>235</v>
      </c>
      <c r="CU6" s="13" t="s">
        <v>236</v>
      </c>
      <c r="CV6" s="14" t="s">
        <v>237</v>
      </c>
      <c r="CW6" s="14" t="s">
        <v>238</v>
      </c>
      <c r="CX6" s="14" t="s">
        <v>239</v>
      </c>
      <c r="CY6" s="13" t="s">
        <v>240</v>
      </c>
      <c r="CZ6" s="14" t="s">
        <v>241</v>
      </c>
      <c r="DA6" s="14" t="s">
        <v>242</v>
      </c>
      <c r="DB6" s="14" t="s">
        <v>243</v>
      </c>
      <c r="DC6" s="14" t="s">
        <v>244</v>
      </c>
      <c r="DD6" s="14" t="s">
        <v>245</v>
      </c>
      <c r="DE6" s="14" t="s">
        <v>246</v>
      </c>
      <c r="DF6" s="14" t="s">
        <v>247</v>
      </c>
      <c r="DG6" s="13" t="s">
        <v>248</v>
      </c>
      <c r="DH6" s="14" t="s">
        <v>249</v>
      </c>
      <c r="DI6" s="13" t="s">
        <v>250</v>
      </c>
      <c r="DJ6" s="14" t="s">
        <v>251</v>
      </c>
      <c r="DK6" s="15" t="s">
        <v>252</v>
      </c>
      <c r="DL6" s="16" t="s">
        <v>253</v>
      </c>
      <c r="DM6" s="16" t="s">
        <v>254</v>
      </c>
      <c r="DN6" s="16" t="s">
        <v>255</v>
      </c>
      <c r="DO6" s="16" t="s">
        <v>256</v>
      </c>
      <c r="DP6" s="16" t="s">
        <v>257</v>
      </c>
      <c r="DQ6" s="16" t="s">
        <v>258</v>
      </c>
      <c r="DR6" s="46" t="s">
        <v>259</v>
      </c>
      <c r="DS6" s="46" t="s">
        <v>260</v>
      </c>
      <c r="DT6" s="46" t="s">
        <v>261</v>
      </c>
      <c r="DU6" s="46" t="s">
        <v>262</v>
      </c>
      <c r="DV6" s="46" t="s">
        <v>263</v>
      </c>
      <c r="DW6" s="46" t="s">
        <v>264</v>
      </c>
      <c r="DX6" s="15" t="s">
        <v>265</v>
      </c>
      <c r="DY6" s="16" t="s">
        <v>266</v>
      </c>
      <c r="DZ6" s="15" t="s">
        <v>267</v>
      </c>
      <c r="EA6" s="16" t="s">
        <v>268</v>
      </c>
      <c r="EB6" s="16" t="s">
        <v>269</v>
      </c>
      <c r="EC6" s="15" t="s">
        <v>270</v>
      </c>
      <c r="ED6" s="16" t="s">
        <v>271</v>
      </c>
      <c r="EE6" s="15" t="s">
        <v>272</v>
      </c>
      <c r="EF6" s="16" t="s">
        <v>273</v>
      </c>
      <c r="EG6" s="21" t="s">
        <v>274</v>
      </c>
      <c r="EH6" s="22" t="s">
        <v>275</v>
      </c>
      <c r="EI6" s="22" t="s">
        <v>276</v>
      </c>
      <c r="EJ6" s="22" t="s">
        <v>277</v>
      </c>
      <c r="EK6" s="22" t="s">
        <v>278</v>
      </c>
      <c r="EL6" s="22" t="s">
        <v>279</v>
      </c>
      <c r="EM6" s="22" t="s">
        <v>280</v>
      </c>
      <c r="EN6" s="22" t="s">
        <v>281</v>
      </c>
      <c r="EO6" s="22" t="s">
        <v>282</v>
      </c>
      <c r="EP6" s="22" t="s">
        <v>283</v>
      </c>
      <c r="EQ6" s="22" t="s">
        <v>284</v>
      </c>
      <c r="ER6" s="23" t="s">
        <v>285</v>
      </c>
      <c r="ES6" s="24" t="s">
        <v>286</v>
      </c>
      <c r="ET6" s="24" t="s">
        <v>287</v>
      </c>
      <c r="EU6" s="49" t="s">
        <v>288</v>
      </c>
      <c r="EV6" s="81" t="s">
        <v>289</v>
      </c>
      <c r="EW6" s="81" t="s">
        <v>290</v>
      </c>
      <c r="EX6" s="81" t="s">
        <v>291</v>
      </c>
      <c r="EY6" s="81" t="s">
        <v>292</v>
      </c>
      <c r="EZ6" s="49" t="s">
        <v>293</v>
      </c>
      <c r="FA6" s="32" t="s">
        <v>294</v>
      </c>
      <c r="FB6" s="32" t="s">
        <v>295</v>
      </c>
      <c r="FC6" s="132" t="s">
        <v>3865</v>
      </c>
    </row>
    <row r="7" spans="1:159" s="139" customFormat="1" ht="10.5" x14ac:dyDescent="0.2">
      <c r="B7" s="133"/>
      <c r="C7" s="172" t="s">
        <v>3866</v>
      </c>
      <c r="D7" t="s" s="173">
        <v>330</v>
      </c>
      <c r="E7" s="174" t="s">
        <v>37</v>
      </c>
      <c r="F7" t="s" s="175">
        <v>766</v>
      </c>
      <c r="G7" t="s" s="176">
        <v>305</v>
      </c>
      <c r="H7" s="177" t="s">
        <v>57</v>
      </c>
      <c r="I7" t="s" s="178">
        <v>41</v>
      </c>
      <c r="J7" t="s" s="179">
        <v>68</v>
      </c>
      <c r="K7" t="s" s="180">
        <v>305</v>
      </c>
      <c r="L7" t="s" s="181">
        <v>305</v>
      </c>
      <c r="M7" t="s" s="182">
        <v>305</v>
      </c>
      <c r="N7" s="183" t="s">
        <v>3867</v>
      </c>
      <c r="O7" s="184" t="s">
        <v>3868</v>
      </c>
      <c r="P7" s="141"/>
      <c r="Q7" s="142">
        <f>SUM(R7:AQ7)</f>
      </c>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2">
        <f>SUM(AS7:AV7)</f>
      </c>
      <c r="AS7" s="143"/>
      <c r="AT7" s="143"/>
      <c r="AU7" s="143"/>
      <c r="AV7" s="143"/>
      <c r="AW7" s="142">
        <f>SUM(AX7:BI7)</f>
      </c>
      <c r="AX7" s="143"/>
      <c r="AY7" s="143"/>
      <c r="AZ7" s="143"/>
      <c r="BA7" s="143"/>
      <c r="BB7" s="143"/>
      <c r="BC7" s="143"/>
      <c r="BD7" s="143"/>
      <c r="BE7" s="143"/>
      <c r="BF7" s="143"/>
      <c r="BG7" s="143"/>
      <c r="BH7" s="143"/>
      <c r="BI7" s="143"/>
      <c r="BJ7" s="142"/>
      <c r="BK7" s="143"/>
      <c r="BL7" s="143"/>
      <c r="BM7" s="143"/>
      <c r="BN7" s="143"/>
      <c r="BO7" s="143"/>
      <c r="BP7" s="143"/>
      <c r="BQ7" s="142"/>
      <c r="BR7" s="143"/>
      <c r="BS7" s="143"/>
      <c r="BT7" s="142">
        <f>SUM(BU7:BW7)</f>
      </c>
      <c r="BU7" s="143"/>
      <c r="BV7" s="143"/>
      <c r="BW7" s="143"/>
      <c r="BX7" s="142">
        <f>SUM(BY7:CD7)</f>
      </c>
      <c r="BY7" s="143"/>
      <c r="BZ7" s="143"/>
      <c r="CA7" s="143"/>
      <c r="CB7" s="143"/>
      <c r="CC7" s="143"/>
      <c r="CD7" s="143"/>
      <c r="CE7" s="142"/>
      <c r="CF7" s="143"/>
      <c r="CG7" s="143"/>
      <c r="CH7" s="143"/>
      <c r="CI7" s="143"/>
      <c r="CJ7" s="143"/>
      <c r="CK7" s="142">
        <f>SUM(CL7:CN7)</f>
      </c>
      <c r="CL7" s="143"/>
      <c r="CM7" s="143"/>
      <c r="CN7" s="143"/>
      <c r="CO7" s="142">
        <f>SUM(CP7:CT7)</f>
      </c>
      <c r="CP7" s="143"/>
      <c r="CQ7" s="143"/>
      <c r="CR7" s="143"/>
      <c r="CS7" s="143"/>
      <c r="CT7" s="143"/>
      <c r="CU7" s="142"/>
      <c r="CV7" s="143"/>
      <c r="CW7" s="143"/>
      <c r="CX7" s="143"/>
      <c r="CY7" s="142"/>
      <c r="CZ7" s="143"/>
      <c r="DA7" s="143"/>
      <c r="DB7" s="143"/>
      <c r="DC7" s="143"/>
      <c r="DD7" s="143"/>
      <c r="DE7" s="143"/>
      <c r="DF7" s="143"/>
      <c r="DG7" s="142">
        <f>SUM(DH7:DH7)</f>
      </c>
      <c r="DH7" s="143"/>
      <c r="DI7" s="142"/>
      <c r="DJ7" s="143"/>
      <c r="DK7" s="142">
        <f>SUM(DL7:DQ7)</f>
      </c>
      <c r="DL7" s="143"/>
      <c r="DM7" s="143"/>
      <c r="DN7" s="143"/>
      <c r="DO7" s="143"/>
      <c r="DP7" s="143"/>
      <c r="DQ7" s="143"/>
      <c r="DR7" s="143"/>
      <c r="DS7" s="143"/>
      <c r="DT7" s="143"/>
      <c r="DU7" s="143"/>
      <c r="DV7" s="143"/>
      <c r="DW7" s="143"/>
      <c r="DX7" s="142"/>
      <c r="DY7" s="143"/>
      <c r="DZ7" s="142"/>
      <c r="EA7" s="143"/>
      <c r="EB7" s="143"/>
      <c r="EC7" s="142"/>
      <c r="ED7" s="143"/>
      <c r="EF7" s="143"/>
      <c r="EG7" s="142">
        <f>SUM(EH7:EQ7)</f>
      </c>
      <c r="EH7" s="143"/>
      <c r="EI7" s="143"/>
      <c r="EJ7" s="143"/>
      <c r="EK7" s="143"/>
      <c r="EL7" s="143"/>
      <c r="EM7" s="143"/>
      <c r="EN7" s="143"/>
      <c r="EO7" s="143"/>
      <c r="EP7" s="143"/>
      <c r="EQ7" s="143"/>
      <c r="ER7" s="142">
        <f>SUM(ES7:ET7)</f>
      </c>
      <c r="ES7" s="143"/>
      <c r="ET7" s="143"/>
      <c r="EU7" s="144"/>
      <c r="FC7" s="145" cm="1">
        <f t="array" ref="FC7">ROW()-ROW(New[#Headers])</f>
        <v>1</v>
      </c>
    </row>
    <row r="8" spans="1:159" s="139" customFormat="1" ht="10.5" x14ac:dyDescent="0.2">
      <c r="B8" s="133"/>
      <c r="C8" s="185" t="s">
        <v>3869</v>
      </c>
      <c r="D8" t="s" s="186">
        <v>379</v>
      </c>
      <c r="E8" s="187" t="s">
        <v>305</v>
      </c>
      <c r="F8" t="s" s="188">
        <v>766</v>
      </c>
      <c r="G8" t="s" s="189">
        <v>1597</v>
      </c>
      <c r="H8" s="190" t="s">
        <v>305</v>
      </c>
      <c r="I8" t="s" s="191">
        <v>41</v>
      </c>
      <c r="J8" t="s" s="192">
        <v>68</v>
      </c>
      <c r="K8" t="s" s="193">
        <v>1059</v>
      </c>
      <c r="L8" t="s" s="194">
        <v>767</v>
      </c>
      <c r="M8" t="s" s="195">
        <v>305</v>
      </c>
      <c r="N8" s="196" t="s">
        <v>3870</v>
      </c>
      <c r="O8" s="197" t="s">
        <v>3871</v>
      </c>
      <c r="P8" s="141"/>
      <c r="Q8" s="142">
        <f>SUM(R8:AQ8)</f>
      </c>
      <c r="R8" s="143"/>
      <c r="S8" s="143"/>
      <c r="T8" s="143"/>
      <c r="U8" s="143"/>
      <c r="V8" s="143"/>
      <c r="W8" s="143"/>
      <c r="X8" s="143"/>
      <c r="Y8" s="143"/>
      <c r="Z8" s="143"/>
      <c r="AA8" s="143"/>
      <c r="AB8" s="143"/>
      <c r="AC8" s="143"/>
      <c r="AD8" s="143"/>
      <c r="AE8" s="143"/>
      <c r="AF8" s="143"/>
      <c r="AG8" s="198" t="n">
        <v>380.0</v>
      </c>
      <c r="AH8" s="143"/>
      <c r="AI8" s="143"/>
      <c r="AJ8" s="143"/>
      <c r="AK8" s="143"/>
      <c r="AL8" s="143"/>
      <c r="AM8" s="143"/>
      <c r="AN8" s="143"/>
      <c r="AO8" s="143"/>
      <c r="AP8" s="143"/>
      <c r="AQ8" s="143"/>
      <c r="AR8" s="142">
        <f>SUM(AS8:AV8)</f>
      </c>
      <c r="AS8" s="143"/>
      <c r="AT8" s="143"/>
      <c r="AU8" s="143"/>
      <c r="AV8" s="143"/>
      <c r="AW8" s="142">
        <f>SUM(AX8:BI8)</f>
      </c>
      <c r="AX8" s="143"/>
      <c r="AY8" s="143"/>
      <c r="AZ8" s="143"/>
      <c r="BA8" s="143"/>
      <c r="BB8" s="143"/>
      <c r="BC8" s="143"/>
      <c r="BD8" s="143"/>
      <c r="BE8" s="143"/>
      <c r="BF8" s="143"/>
      <c r="BG8" s="143"/>
      <c r="BH8" s="143"/>
      <c r="BI8" s="143"/>
      <c r="BJ8" s="142"/>
      <c r="BK8" s="143"/>
      <c r="BL8" s="143"/>
      <c r="BM8" s="143"/>
      <c r="BN8" s="143"/>
      <c r="BO8" s="143"/>
      <c r="BP8" s="143"/>
      <c r="BQ8" s="142"/>
      <c r="BR8" s="143"/>
      <c r="BS8" s="143"/>
      <c r="BT8" s="142">
        <f>SUM(BU8:BW8)</f>
      </c>
      <c r="BU8" s="143"/>
      <c r="BV8" s="143"/>
      <c r="BW8" s="143"/>
      <c r="BX8" s="142">
        <f>SUM(BY8:CD8)</f>
      </c>
      <c r="BY8" s="143"/>
      <c r="BZ8" s="143"/>
      <c r="CA8" s="143"/>
      <c r="CB8" s="143"/>
      <c r="CC8" s="143"/>
      <c r="CD8" s="143"/>
      <c r="CE8" s="142"/>
      <c r="CF8" s="143"/>
      <c r="CG8" s="143"/>
      <c r="CH8" s="143"/>
      <c r="CI8" s="143"/>
      <c r="CJ8" s="143"/>
      <c r="CK8" s="142">
        <f>SUM(CL8:CN8)</f>
      </c>
      <c r="CL8" s="143"/>
      <c r="CM8" s="143"/>
      <c r="CN8" s="143"/>
      <c r="CO8" s="142">
        <f>SUM(CP8:CT8)</f>
      </c>
      <c r="CP8" s="143"/>
      <c r="CQ8" s="143"/>
      <c r="CR8" s="143"/>
      <c r="CS8" s="143"/>
      <c r="CT8" s="143"/>
      <c r="CU8" s="142"/>
      <c r="CV8" s="143"/>
      <c r="CW8" s="143"/>
      <c r="CX8" s="143"/>
      <c r="CY8" s="142"/>
      <c r="CZ8" s="143"/>
      <c r="DA8" s="143"/>
      <c r="DB8" s="143"/>
      <c r="DC8" s="143"/>
      <c r="DD8" s="143"/>
      <c r="DE8" s="143"/>
      <c r="DF8" s="143"/>
      <c r="DG8" s="142">
        <f>SUM(DH8:DH8)</f>
      </c>
      <c r="DH8" s="143"/>
      <c r="DI8" s="142"/>
      <c r="DJ8" s="143"/>
      <c r="DK8" s="142">
        <f>SUM(DL8:DQ8)</f>
      </c>
      <c r="DL8" s="143"/>
      <c r="DM8" s="143"/>
      <c r="DN8" s="143"/>
      <c r="DO8" s="143"/>
      <c r="DP8" s="143"/>
      <c r="DQ8" s="143"/>
      <c r="DR8" s="143"/>
      <c r="DS8" s="143"/>
      <c r="DT8" s="143"/>
      <c r="DU8" s="143"/>
      <c r="DV8" s="143"/>
      <c r="DW8" s="143"/>
      <c r="DX8" s="142"/>
      <c r="DY8" s="143"/>
      <c r="DZ8" s="142"/>
      <c r="EA8" s="143"/>
      <c r="EB8" s="143"/>
      <c r="EC8" s="142"/>
      <c r="ED8" s="143"/>
      <c r="EF8" s="143"/>
      <c r="EG8" s="142">
        <f>SUM(EH8:EQ8)</f>
      </c>
      <c r="EH8" s="143"/>
      <c r="EI8" s="143"/>
      <c r="EJ8" s="143"/>
      <c r="EK8" s="143"/>
      <c r="EL8" s="143"/>
      <c r="EM8" s="143"/>
      <c r="EN8" s="143"/>
      <c r="EO8" s="143"/>
      <c r="EP8" s="143"/>
      <c r="EQ8" s="143"/>
      <c r="ER8" s="142">
        <f>SUM(ES8:ET8)</f>
      </c>
      <c r="ES8" s="143"/>
      <c r="ET8" s="143"/>
      <c r="EU8" s="144"/>
      <c r="FB8" s="146"/>
      <c r="FC8" s="146" cm="1">
        <f t="array" ref="FC8">ROW()-ROW(New[#Headers])</f>
        <v>2</v>
      </c>
    </row>
    <row r="9" spans="1:159" s="139" customFormat="1" ht="10.5" x14ac:dyDescent="0.2">
      <c r="B9" s="133"/>
      <c r="C9" s="199" t="s">
        <v>3872</v>
      </c>
      <c r="D9" t="s" s="200">
        <v>507</v>
      </c>
      <c r="E9" s="201" t="s">
        <v>13</v>
      </c>
      <c r="F9" t="s" s="202">
        <v>984</v>
      </c>
      <c r="G9" t="s" s="203">
        <v>1597</v>
      </c>
      <c r="H9" s="204" t="s">
        <v>53</v>
      </c>
      <c r="I9" t="s" s="205">
        <v>41</v>
      </c>
      <c r="J9" t="s" s="206">
        <v>64</v>
      </c>
      <c r="K9" t="s" s="207">
        <v>985</v>
      </c>
      <c r="L9" t="s" s="208">
        <v>934</v>
      </c>
      <c r="M9" t="s" s="209">
        <v>305</v>
      </c>
      <c r="N9" s="210" t="s">
        <v>3867</v>
      </c>
      <c r="O9" s="211" t="s">
        <v>3868</v>
      </c>
      <c r="P9" s="141"/>
      <c r="Q9" s="142">
        <f>SUM(R9:AQ9)</f>
      </c>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2">
        <f>SUM(AS9:AV9)</f>
      </c>
      <c r="AS9" s="143"/>
      <c r="AT9" s="143"/>
      <c r="AU9" s="143"/>
      <c r="AV9" s="143"/>
      <c r="AW9" s="142">
        <f>SUM(AX9:BI9)</f>
      </c>
      <c r="AX9" s="143"/>
      <c r="AY9" s="143"/>
      <c r="AZ9" s="143"/>
      <c r="BA9" s="143"/>
      <c r="BB9" s="143"/>
      <c r="BC9" s="143"/>
      <c r="BD9" s="143"/>
      <c r="BE9" s="143"/>
      <c r="BF9" s="143"/>
      <c r="BG9" s="143"/>
      <c r="BH9" s="143"/>
      <c r="BI9" s="143"/>
      <c r="BJ9" s="142"/>
      <c r="BK9" s="143"/>
      <c r="BL9" s="143"/>
      <c r="BM9" s="143"/>
      <c r="BN9" s="143"/>
      <c r="BO9" s="143"/>
      <c r="BP9" s="143"/>
      <c r="BQ9" s="142"/>
      <c r="BR9" s="143"/>
      <c r="BS9" s="143"/>
      <c r="BT9" s="142">
        <f>SUM(BU9:BW9)</f>
      </c>
      <c r="BU9" s="143"/>
      <c r="BV9" s="143"/>
      <c r="BW9" s="143"/>
      <c r="BX9" s="142">
        <f>SUM(BY9:CD9)</f>
      </c>
      <c r="BY9" s="143"/>
      <c r="BZ9" s="143"/>
      <c r="CA9" s="143"/>
      <c r="CB9" s="143"/>
      <c r="CC9" s="143"/>
      <c r="CD9" s="143"/>
      <c r="CE9" s="142"/>
      <c r="CF9" s="143"/>
      <c r="CG9" s="143"/>
      <c r="CH9" s="143"/>
      <c r="CI9" s="143"/>
      <c r="CJ9" s="143"/>
      <c r="CK9" s="142">
        <f>SUM(CL9:CN9)</f>
      </c>
      <c r="CL9" s="143"/>
      <c r="CM9" s="143"/>
      <c r="CN9" s="143"/>
      <c r="CO9" s="142">
        <f>SUM(CP9:CT9)</f>
      </c>
      <c r="CP9" s="143"/>
      <c r="CQ9" s="143"/>
      <c r="CR9" s="143"/>
      <c r="CS9" s="143"/>
      <c r="CT9" s="143"/>
      <c r="CU9" s="142"/>
      <c r="CV9" s="143"/>
      <c r="CW9" s="143"/>
      <c r="CX9" s="143"/>
      <c r="CY9" s="142"/>
      <c r="CZ9" s="143"/>
      <c r="DA9" s="143"/>
      <c r="DB9" s="143"/>
      <c r="DC9" s="143"/>
      <c r="DD9" s="143"/>
      <c r="DE9" s="143"/>
      <c r="DF9" s="143"/>
      <c r="DG9" s="142">
        <f>SUM(DH9:DH9)</f>
      </c>
      <c r="DH9" s="143"/>
      <c r="DI9" s="142"/>
      <c r="DJ9" s="143"/>
      <c r="DK9" s="142">
        <f>SUM(DL9:DQ9)</f>
      </c>
      <c r="DL9" s="143"/>
      <c r="DM9" s="143"/>
      <c r="DN9" s="143"/>
      <c r="DO9" s="143"/>
      <c r="DP9" s="143"/>
      <c r="DQ9" s="143"/>
      <c r="DR9" s="143"/>
      <c r="DS9" s="143"/>
      <c r="DT9" s="143"/>
      <c r="DU9" s="143"/>
      <c r="DV9" s="143"/>
      <c r="DW9" s="143"/>
      <c r="DX9" s="142"/>
      <c r="DY9" s="143"/>
      <c r="DZ9" s="142"/>
      <c r="EA9" s="143"/>
      <c r="EB9" s="143"/>
      <c r="EC9" s="142"/>
      <c r="ED9" s="143"/>
      <c r="EF9" s="143"/>
      <c r="EG9" s="142">
        <f>SUM(EH9:EQ9)</f>
      </c>
      <c r="EH9" s="143"/>
      <c r="EI9" s="143"/>
      <c r="EJ9" s="143"/>
      <c r="EK9" s="143"/>
      <c r="EL9" s="143"/>
      <c r="EM9" s="143"/>
      <c r="EN9" s="143"/>
      <c r="EO9" s="143"/>
      <c r="EP9" s="143"/>
      <c r="EQ9" s="143"/>
      <c r="ER9" s="142">
        <f>SUM(ES9:ET9)</f>
      </c>
      <c r="ES9" s="143"/>
      <c r="ET9" s="143"/>
      <c r="EU9" s="144"/>
      <c r="FB9" s="146"/>
      <c r="FC9" s="146" cm="1">
        <f t="array" ref="FC9">ROW()-ROW(New[#Headers])</f>
        <v>3</v>
      </c>
    </row>
    <row r="10" spans="1:159" s="139" customFormat="1" ht="10.5" x14ac:dyDescent="0.2">
      <c r="B10" s="133"/>
      <c r="C10" s="242" t="s">
        <v>435</v>
      </c>
      <c r="D10" t="s" s="243">
        <v>436</v>
      </c>
      <c r="E10" s="244" t="s">
        <v>13</v>
      </c>
      <c r="F10" t="s" s="245">
        <v>1241</v>
      </c>
      <c r="G10" t="s" s="246">
        <v>1597</v>
      </c>
      <c r="H10" s="247" t="s">
        <v>46</v>
      </c>
      <c r="I10" t="s" s="248">
        <v>41</v>
      </c>
      <c r="J10" t="s" s="249">
        <v>74</v>
      </c>
      <c r="K10" t="s" s="250">
        <v>1651</v>
      </c>
      <c r="L10" t="s" s="251">
        <v>305</v>
      </c>
      <c r="M10" t="s" s="252">
        <v>305</v>
      </c>
      <c r="N10" s="253" t="s">
        <v>3873</v>
      </c>
      <c r="O10" s="254" t="s">
        <v>3871</v>
      </c>
      <c r="P10" s="141"/>
      <c r="Q10" s="142">
        <f>SUM(R10:AQ10)</f>
      </c>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255" t="n">
        <v>200.0</v>
      </c>
      <c r="AO10" s="143"/>
      <c r="AP10" s="143"/>
      <c r="AQ10" s="143"/>
      <c r="AR10" s="142">
        <f>SUM(AS10:AV10)</f>
      </c>
      <c r="AS10" s="143"/>
      <c r="AT10" s="143"/>
      <c r="AU10" s="143"/>
      <c r="AV10" s="143"/>
      <c r="AW10" s="142">
        <f>SUM(AX10:BI10)</f>
      </c>
      <c r="AX10" s="143"/>
      <c r="AY10" s="143"/>
      <c r="AZ10" s="143"/>
      <c r="BA10" s="143"/>
      <c r="BB10" s="143"/>
      <c r="BC10" s="143"/>
      <c r="BD10" s="143"/>
      <c r="BE10" s="143"/>
      <c r="BF10" s="143"/>
      <c r="BG10" s="143"/>
      <c r="BH10" s="143"/>
      <c r="BI10" s="143"/>
      <c r="BJ10" s="142"/>
      <c r="BK10" s="143"/>
      <c r="BL10" s="143"/>
      <c r="BM10" s="143"/>
      <c r="BN10" s="143"/>
      <c r="BO10" s="143"/>
      <c r="BP10" s="143"/>
      <c r="BQ10" s="142"/>
      <c r="BR10" s="143"/>
      <c r="BS10" s="143"/>
      <c r="BT10" s="142">
        <f>SUM(BU10:BW10)</f>
      </c>
      <c r="BU10" s="143"/>
      <c r="BV10" s="143"/>
      <c r="BW10" s="143"/>
      <c r="BX10" s="142">
        <f>SUM(BY10:CD10)</f>
      </c>
      <c r="BY10" s="143"/>
      <c r="BZ10" s="143"/>
      <c r="CA10" s="143"/>
      <c r="CB10" s="143"/>
      <c r="CC10" s="143"/>
      <c r="CD10" s="143"/>
      <c r="CE10" s="142"/>
      <c r="CF10" s="143"/>
      <c r="CG10" s="143"/>
      <c r="CH10" s="143"/>
      <c r="CI10" s="143"/>
      <c r="CJ10" s="143"/>
      <c r="CK10" s="142">
        <f>SUM(CL10:CN10)</f>
      </c>
      <c r="CL10" s="143"/>
      <c r="CM10" s="143"/>
      <c r="CN10" s="143"/>
      <c r="CO10" s="142">
        <f>SUM(CP10:CT10)</f>
      </c>
      <c r="CP10" s="143"/>
      <c r="CQ10" s="143"/>
      <c r="CR10" s="143"/>
      <c r="CS10" s="143"/>
      <c r="CT10" s="143"/>
      <c r="CU10" s="142"/>
      <c r="CV10" s="143"/>
      <c r="CW10" s="143"/>
      <c r="CX10" s="143"/>
      <c r="CY10" s="142"/>
      <c r="CZ10" s="143"/>
      <c r="DA10" s="143"/>
      <c r="DB10" s="143"/>
      <c r="DC10" s="143"/>
      <c r="DD10" s="143"/>
      <c r="DE10" s="143"/>
      <c r="DF10" s="143"/>
      <c r="DG10" s="142">
        <f>SUM(DH10:DH10)</f>
      </c>
      <c r="DH10" s="143"/>
      <c r="DI10" s="142"/>
      <c r="DJ10" s="143"/>
      <c r="DK10" s="142">
        <f>SUM(DL10:DQ10)</f>
      </c>
      <c r="DL10" s="143"/>
      <c r="DM10" s="143"/>
      <c r="DN10" s="143"/>
      <c r="DO10" s="143"/>
      <c r="DP10" s="143"/>
      <c r="DQ10" s="143"/>
      <c r="DR10" s="143"/>
      <c r="DS10" s="143"/>
      <c r="DT10" s="143"/>
      <c r="DU10" s="143"/>
      <c r="DV10" s="143"/>
      <c r="DW10" s="143"/>
      <c r="DX10" s="142"/>
      <c r="DY10" s="143"/>
      <c r="DZ10" s="142"/>
      <c r="EA10" s="143"/>
      <c r="EB10" s="143"/>
      <c r="EC10" s="142"/>
      <c r="ED10" s="143"/>
      <c r="EF10" s="143"/>
      <c r="EG10" s="142">
        <f>SUM(EH10:EQ10)</f>
      </c>
      <c r="EH10" s="143"/>
      <c r="EI10" s="143"/>
      <c r="EJ10" s="143"/>
      <c r="EK10" s="143"/>
      <c r="EL10" s="143"/>
      <c r="EM10" s="143"/>
      <c r="EN10" s="143"/>
      <c r="EO10" s="143"/>
      <c r="EP10" s="143"/>
      <c r="EQ10" s="143"/>
      <c r="ER10" s="142">
        <f>SUM(ES10:ET10)</f>
      </c>
      <c r="ES10" s="143"/>
      <c r="ET10" s="143"/>
      <c r="EU10" s="144"/>
      <c r="FB10" s="146"/>
      <c r="FC10" s="146" cm="1">
        <f t="array" ref="FC10">ROW()-ROW(New[#Headers])</f>
        <v>4</v>
      </c>
    </row>
    <row r="11" spans="1:159" s="139" customFormat="1" ht="10.5" x14ac:dyDescent="0.2">
      <c r="B11" s="133"/>
      <c r="C11" s="256" t="s">
        <v>620</v>
      </c>
      <c r="D11" t="s" s="257">
        <v>621</v>
      </c>
      <c r="E11" s="258" t="s">
        <v>13</v>
      </c>
      <c r="F11" t="s" s="259">
        <v>750</v>
      </c>
      <c r="G11" t="s" s="260">
        <v>1597</v>
      </c>
      <c r="H11" s="261" t="s">
        <v>46</v>
      </c>
      <c r="I11" t="s" s="262">
        <v>41</v>
      </c>
      <c r="J11" t="s" s="263">
        <v>64</v>
      </c>
      <c r="K11" t="s" s="264">
        <v>1232</v>
      </c>
      <c r="L11" t="s" s="265">
        <v>751</v>
      </c>
      <c r="M11" t="s" s="266">
        <v>305</v>
      </c>
      <c r="N11" s="267" t="s">
        <v>3873</v>
      </c>
      <c r="O11" s="268" t="s">
        <v>3874</v>
      </c>
      <c r="P11" s="141"/>
      <c r="Q11" s="142">
        <f>SUM(R11:AQ11)</f>
      </c>
      <c r="R11" s="143"/>
      <c r="S11" s="143"/>
      <c r="T11" s="269" t="n">
        <v>120.0</v>
      </c>
      <c r="U11" s="143"/>
      <c r="V11" s="143"/>
      <c r="W11" s="143"/>
      <c r="X11" s="143"/>
      <c r="Y11" s="143"/>
      <c r="Z11" s="143"/>
      <c r="AA11" s="143"/>
      <c r="AB11" s="143"/>
      <c r="AC11" s="143"/>
      <c r="AD11" s="143"/>
      <c r="AE11" s="143"/>
      <c r="AF11" s="143"/>
      <c r="AG11" s="143"/>
      <c r="AH11" s="143"/>
      <c r="AI11" s="143"/>
      <c r="AJ11" s="143"/>
      <c r="AK11" s="143"/>
      <c r="AL11" s="143"/>
      <c r="AM11" s="143"/>
      <c r="AN11" s="270" t="n">
        <v>150.0</v>
      </c>
      <c r="AO11" s="143"/>
      <c r="AP11" s="143"/>
      <c r="AQ11" s="143"/>
      <c r="AR11" s="142">
        <f>SUM(AS11:AV11)</f>
      </c>
      <c r="AS11" s="143"/>
      <c r="AT11" s="143"/>
      <c r="AU11" s="143"/>
      <c r="AV11" s="143"/>
      <c r="AW11" s="142">
        <f>SUM(AX11:BI11)</f>
      </c>
      <c r="AX11" s="143"/>
      <c r="AY11" s="143"/>
      <c r="AZ11" s="143"/>
      <c r="BA11" s="143"/>
      <c r="BB11" s="143"/>
      <c r="BC11" s="143"/>
      <c r="BD11" s="143"/>
      <c r="BE11" s="143"/>
      <c r="BF11" s="143"/>
      <c r="BG11" s="143"/>
      <c r="BH11" s="143"/>
      <c r="BI11" s="143"/>
      <c r="BJ11" s="142"/>
      <c r="BK11" s="143"/>
      <c r="BL11" s="143"/>
      <c r="BM11" s="143"/>
      <c r="BN11" s="143"/>
      <c r="BO11" s="143"/>
      <c r="BP11" s="143"/>
      <c r="BQ11" s="142"/>
      <c r="BR11" s="143"/>
      <c r="BS11" s="143"/>
      <c r="BT11" s="142">
        <f>SUM(BU11:BW11)</f>
      </c>
      <c r="BU11" s="143"/>
      <c r="BV11" s="143"/>
      <c r="BW11" s="143"/>
      <c r="BX11" s="142">
        <f>SUM(BY11:CD11)</f>
      </c>
      <c r="BY11" s="143"/>
      <c r="BZ11" s="143"/>
      <c r="CA11" s="143"/>
      <c r="CB11" s="143"/>
      <c r="CC11" s="143"/>
      <c r="CD11" s="143"/>
      <c r="CE11" s="142"/>
      <c r="CF11" s="143"/>
      <c r="CG11" s="143"/>
      <c r="CH11" s="143"/>
      <c r="CI11" s="143"/>
      <c r="CJ11" s="143"/>
      <c r="CK11" s="142">
        <f>SUM(CL11:CN11)</f>
      </c>
      <c r="CL11" s="143"/>
      <c r="CM11" s="143"/>
      <c r="CN11" s="143"/>
      <c r="CO11" s="142">
        <f>SUM(CP11:CT11)</f>
      </c>
      <c r="CP11" s="143"/>
      <c r="CQ11" s="143"/>
      <c r="CR11" s="143"/>
      <c r="CS11" s="143"/>
      <c r="CT11" s="143"/>
      <c r="CU11" s="142"/>
      <c r="CV11" s="143"/>
      <c r="CW11" s="143"/>
      <c r="CX11" s="143"/>
      <c r="CY11" s="142"/>
      <c r="CZ11" s="143"/>
      <c r="DA11" s="143"/>
      <c r="DB11" s="143"/>
      <c r="DC11" s="143"/>
      <c r="DD11" s="143"/>
      <c r="DE11" s="143"/>
      <c r="DF11" s="143"/>
      <c r="DG11" s="142">
        <f>SUM(DH11:DH11)</f>
      </c>
      <c r="DH11" s="143"/>
      <c r="DI11" s="142"/>
      <c r="DJ11" s="143"/>
      <c r="DK11" s="142">
        <f>SUM(DL11:DQ11)</f>
      </c>
      <c r="DL11" s="143"/>
      <c r="DM11" s="143"/>
      <c r="DN11" s="143"/>
      <c r="DO11" s="143"/>
      <c r="DP11" s="143"/>
      <c r="DQ11" s="143"/>
      <c r="DR11" s="143"/>
      <c r="DS11" s="143"/>
      <c r="DT11" s="143"/>
      <c r="DU11" s="143"/>
      <c r="DV11" s="143"/>
      <c r="DW11" s="143"/>
      <c r="DX11" s="142"/>
      <c r="DY11" s="143"/>
      <c r="DZ11" s="142"/>
      <c r="EA11" s="143"/>
      <c r="EB11" s="143"/>
      <c r="EC11" s="142"/>
      <c r="ED11" s="143"/>
      <c r="EF11" s="143"/>
      <c r="EG11" s="142">
        <f>SUM(EH11:EQ11)</f>
      </c>
      <c r="EH11" s="143"/>
      <c r="EI11" s="143"/>
      <c r="EJ11" s="143"/>
      <c r="EK11" s="143"/>
      <c r="EL11" s="143"/>
      <c r="EM11" s="143"/>
      <c r="EN11" s="143"/>
      <c r="EO11" s="143"/>
      <c r="EP11" s="143"/>
      <c r="EQ11" s="143"/>
      <c r="ER11" s="142">
        <f>SUM(ES11:ET11)</f>
      </c>
      <c r="ES11" s="143"/>
      <c r="ET11" s="143"/>
      <c r="EU11" s="144"/>
      <c r="FB11" s="146"/>
      <c r="FC11" s="146" cm="1">
        <f t="array" ref="FC11">ROW()-ROW(New[#Headers])</f>
        <v>5</v>
      </c>
    </row>
    <row r="12" spans="1:159" s="139" customFormat="1" ht="10.5" x14ac:dyDescent="0.2">
      <c r="B12" s="133"/>
      <c r="C12" s="285" t="s">
        <v>611</v>
      </c>
      <c r="D12" t="s" s="286">
        <v>612</v>
      </c>
      <c r="E12" s="287" t="s">
        <v>13</v>
      </c>
      <c r="F12" t="s" s="288">
        <v>750</v>
      </c>
      <c r="G12" t="s" s="289">
        <v>1597</v>
      </c>
      <c r="H12" s="290" t="s">
        <v>46</v>
      </c>
      <c r="I12" t="s" s="291">
        <v>41</v>
      </c>
      <c r="J12" t="s" s="292">
        <v>64</v>
      </c>
      <c r="K12" t="s" s="293">
        <v>1609</v>
      </c>
      <c r="L12" t="s" s="294">
        <v>305</v>
      </c>
      <c r="M12" t="s" s="295">
        <v>305</v>
      </c>
      <c r="N12" s="296" t="s">
        <v>3875</v>
      </c>
      <c r="O12" s="297" t="s">
        <v>3871</v>
      </c>
      <c r="P12" s="141"/>
      <c r="Q12" s="142">
        <f>SUM(R12:AQ12)</f>
      </c>
      <c r="R12" s="143"/>
      <c r="S12" s="143"/>
      <c r="T12" s="298" t="n">
        <v>300.0</v>
      </c>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2">
        <f>SUM(AS12:AV12)</f>
      </c>
      <c r="AS12" s="143"/>
      <c r="AT12" s="143"/>
      <c r="AU12" s="143"/>
      <c r="AV12" s="143"/>
      <c r="AW12" s="142">
        <f>SUM(AX12:BI12)</f>
      </c>
      <c r="AX12" s="143"/>
      <c r="AY12" s="143"/>
      <c r="AZ12" s="143"/>
      <c r="BA12" s="143"/>
      <c r="BB12" s="143"/>
      <c r="BC12" s="143"/>
      <c r="BD12" s="143"/>
      <c r="BE12" s="143"/>
      <c r="BF12" s="143"/>
      <c r="BG12" s="143"/>
      <c r="BH12" s="143"/>
      <c r="BI12" s="143"/>
      <c r="BJ12" s="142"/>
      <c r="BK12" s="143"/>
      <c r="BL12" s="143"/>
      <c r="BM12" s="143"/>
      <c r="BN12" s="143"/>
      <c r="BO12" s="143"/>
      <c r="BP12" s="143"/>
      <c r="BQ12" s="142"/>
      <c r="BR12" s="143"/>
      <c r="BS12" s="143"/>
      <c r="BT12" s="142">
        <f>SUM(BU12:BW12)</f>
      </c>
      <c r="BU12" s="143"/>
      <c r="BV12" s="143"/>
      <c r="BW12" s="143"/>
      <c r="BX12" s="142">
        <f>SUM(BY12:CD12)</f>
      </c>
      <c r="BY12" s="143"/>
      <c r="BZ12" s="143"/>
      <c r="CA12" s="143"/>
      <c r="CB12" s="143"/>
      <c r="CC12" s="143"/>
      <c r="CD12" s="143"/>
      <c r="CE12" s="142"/>
      <c r="CF12" s="143"/>
      <c r="CG12" s="143"/>
      <c r="CH12" s="143"/>
      <c r="CI12" s="143"/>
      <c r="CJ12" s="143"/>
      <c r="CK12" s="142">
        <f>SUM(CL12:CN12)</f>
      </c>
      <c r="CL12" s="143"/>
      <c r="CM12" s="143"/>
      <c r="CN12" s="143"/>
      <c r="CO12" s="142">
        <f>SUM(CP12:CT12)</f>
      </c>
      <c r="CP12" s="143"/>
      <c r="CQ12" s="143"/>
      <c r="CR12" s="143"/>
      <c r="CS12" s="143"/>
      <c r="CT12" s="143"/>
      <c r="CU12" s="142"/>
      <c r="CV12" s="143"/>
      <c r="CW12" s="143"/>
      <c r="CX12" s="143"/>
      <c r="CY12" s="142"/>
      <c r="CZ12" s="143"/>
      <c r="DA12" s="143"/>
      <c r="DB12" s="143"/>
      <c r="DC12" s="143"/>
      <c r="DD12" s="143"/>
      <c r="DE12" s="143"/>
      <c r="DF12" s="143"/>
      <c r="DG12" s="142">
        <f>SUM(DH12:DH12)</f>
      </c>
      <c r="DH12" s="143"/>
      <c r="DI12" s="142"/>
      <c r="DJ12" s="143"/>
      <c r="DK12" s="142">
        <f>SUM(DL12:DQ12)</f>
      </c>
      <c r="DL12" s="143"/>
      <c r="DM12" s="143"/>
      <c r="DN12" s="143"/>
      <c r="DO12" s="143"/>
      <c r="DP12" s="143"/>
      <c r="DQ12" s="143"/>
      <c r="DR12" s="143"/>
      <c r="DS12" s="143"/>
      <c r="DT12" s="143"/>
      <c r="DU12" s="143"/>
      <c r="DV12" s="143"/>
      <c r="DW12" s="143"/>
      <c r="DX12" s="142"/>
      <c r="DY12" s="143"/>
      <c r="DZ12" s="142"/>
      <c r="EA12" s="143"/>
      <c r="EB12" s="143"/>
      <c r="EC12" s="142"/>
      <c r="ED12" s="143"/>
      <c r="EF12" s="143"/>
      <c r="EG12" s="142">
        <f>SUM(EH12:EQ12)</f>
      </c>
      <c r="EH12" s="143"/>
      <c r="EI12" s="143"/>
      <c r="EJ12" s="143"/>
      <c r="EK12" s="143"/>
      <c r="EL12" s="143"/>
      <c r="EM12" s="143"/>
      <c r="EN12" s="143"/>
      <c r="EO12" s="143"/>
      <c r="EP12" s="143"/>
      <c r="EQ12" s="143"/>
      <c r="ER12" s="142">
        <f>SUM(ES12:ET12)</f>
      </c>
      <c r="ES12" s="143"/>
      <c r="ET12" s="143"/>
      <c r="EU12" s="144"/>
      <c r="FB12" s="146"/>
      <c r="FC12" s="146" cm="1">
        <f t="array" ref="FC12">ROW()-ROW(New[#Headers])</f>
        <v>6</v>
      </c>
    </row>
    <row r="13" spans="1:159" s="139" customFormat="1" ht="10.5" x14ac:dyDescent="0.2">
      <c r="B13" s="133"/>
      <c r="C13" s="299" t="s">
        <v>551</v>
      </c>
      <c r="D13" t="s" s="300">
        <v>552</v>
      </c>
      <c r="E13" s="301" t="s">
        <v>35</v>
      </c>
      <c r="F13" t="s" s="302">
        <v>1473</v>
      </c>
      <c r="G13" t="s" s="303">
        <v>1597</v>
      </c>
      <c r="H13" s="304" t="s">
        <v>55</v>
      </c>
      <c r="I13" t="s" s="305">
        <v>786</v>
      </c>
      <c r="J13" t="s" s="306">
        <v>95</v>
      </c>
      <c r="K13" t="s" s="307">
        <v>839</v>
      </c>
      <c r="L13" t="s" s="308">
        <v>767</v>
      </c>
      <c r="M13" t="s" s="309">
        <v>305</v>
      </c>
      <c r="N13" s="310" t="s">
        <v>3873</v>
      </c>
      <c r="O13" s="311" t="s">
        <v>3876</v>
      </c>
      <c r="P13" s="141"/>
      <c r="Q13" s="142">
        <f>SUM(R13:AQ13)</f>
      </c>
      <c r="R13" s="143"/>
      <c r="S13" s="143"/>
      <c r="T13" s="143"/>
      <c r="U13" s="143"/>
      <c r="V13" s="143"/>
      <c r="W13" s="143"/>
      <c r="X13" s="143"/>
      <c r="Y13" s="143"/>
      <c r="Z13" s="143"/>
      <c r="AA13" s="143"/>
      <c r="AB13" s="143"/>
      <c r="AC13" s="143"/>
      <c r="AD13" s="143"/>
      <c r="AE13" s="143"/>
      <c r="AF13" s="143"/>
      <c r="AG13" s="143"/>
      <c r="AH13" s="143"/>
      <c r="AI13" s="143"/>
      <c r="AJ13" s="312" t="n">
        <v>50.0</v>
      </c>
      <c r="AK13" s="143"/>
      <c r="AL13" s="313" t="n">
        <v>100.0</v>
      </c>
      <c r="AM13" s="143"/>
      <c r="AN13" s="143"/>
      <c r="AO13" s="143"/>
      <c r="AP13" s="143"/>
      <c r="AQ13" s="143"/>
      <c r="AR13" s="142">
        <f>SUM(AS13:AV13)</f>
      </c>
      <c r="AS13" s="143"/>
      <c r="AT13" s="143"/>
      <c r="AU13" s="143"/>
      <c r="AV13" s="143"/>
      <c r="AW13" s="142">
        <f>SUM(AX13:BI13)</f>
      </c>
      <c r="AX13" s="143"/>
      <c r="AY13" s="143"/>
      <c r="AZ13" s="143"/>
      <c r="BA13" s="143"/>
      <c r="BB13" s="143"/>
      <c r="BC13" s="143"/>
      <c r="BD13" s="143"/>
      <c r="BE13" s="143"/>
      <c r="BF13" s="143"/>
      <c r="BG13" s="143"/>
      <c r="BH13" s="143"/>
      <c r="BI13" s="143"/>
      <c r="BJ13" s="142"/>
      <c r="BK13" s="143"/>
      <c r="BL13" s="143"/>
      <c r="BM13" s="143"/>
      <c r="BN13" s="143"/>
      <c r="BO13" s="143"/>
      <c r="BP13" s="143"/>
      <c r="BQ13" s="142"/>
      <c r="BR13" s="143"/>
      <c r="BS13" s="143"/>
      <c r="BT13" s="142">
        <f>SUM(BU13:BW13)</f>
      </c>
      <c r="BU13" s="143"/>
      <c r="BV13" s="143"/>
      <c r="BW13" s="143"/>
      <c r="BX13" s="142">
        <f>SUM(BY13:CD13)</f>
      </c>
      <c r="BY13" s="143"/>
      <c r="BZ13" s="143"/>
      <c r="CA13" s="143"/>
      <c r="CB13" s="143"/>
      <c r="CC13" s="143"/>
      <c r="CD13" s="143"/>
      <c r="CE13" s="142"/>
      <c r="CF13" s="143"/>
      <c r="CG13" s="143"/>
      <c r="CH13" s="143"/>
      <c r="CI13" s="143"/>
      <c r="CJ13" s="143"/>
      <c r="CK13" s="142">
        <f>SUM(CL13:CN13)</f>
      </c>
      <c r="CL13" s="143"/>
      <c r="CM13" s="143"/>
      <c r="CN13" s="143"/>
      <c r="CO13" s="142">
        <f>SUM(CP13:CT13)</f>
      </c>
      <c r="CP13" s="143"/>
      <c r="CQ13" s="143"/>
      <c r="CR13" s="143"/>
      <c r="CS13" s="143"/>
      <c r="CT13" s="143"/>
      <c r="CU13" s="142"/>
      <c r="CV13" s="143"/>
      <c r="CW13" s="143"/>
      <c r="CX13" s="143"/>
      <c r="CY13" s="142"/>
      <c r="CZ13" s="143"/>
      <c r="DA13" s="143"/>
      <c r="DB13" s="143"/>
      <c r="DC13" s="143"/>
      <c r="DD13" s="143"/>
      <c r="DE13" s="143"/>
      <c r="DF13" s="143"/>
      <c r="DG13" s="142">
        <f>SUM(DH13:DH13)</f>
      </c>
      <c r="DH13" s="143"/>
      <c r="DI13" s="142"/>
      <c r="DJ13" s="143"/>
      <c r="DK13" s="142">
        <f>SUM(DL13:DQ13)</f>
      </c>
      <c r="DL13" s="143"/>
      <c r="DM13" s="143"/>
      <c r="DN13" s="143"/>
      <c r="DO13" s="143"/>
      <c r="DP13" s="143"/>
      <c r="DQ13" s="143"/>
      <c r="DR13" s="143"/>
      <c r="DS13" s="143"/>
      <c r="DT13" s="143"/>
      <c r="DU13" s="143"/>
      <c r="DV13" s="143"/>
      <c r="DW13" s="143"/>
      <c r="DX13" s="142"/>
      <c r="DY13" s="143"/>
      <c r="DZ13" s="142"/>
      <c r="EA13" s="143"/>
      <c r="EB13" s="143"/>
      <c r="EC13" s="142"/>
      <c r="ED13" s="143"/>
      <c r="EF13" s="143"/>
      <c r="EG13" s="142">
        <f>SUM(EH13:EQ13)</f>
      </c>
      <c r="EH13" s="143"/>
      <c r="EI13" s="143"/>
      <c r="EJ13" s="143"/>
      <c r="EK13" s="143"/>
      <c r="EL13" s="143"/>
      <c r="EM13" s="143"/>
      <c r="EN13" s="143"/>
      <c r="EO13" s="143"/>
      <c r="EP13" s="143"/>
      <c r="EQ13" s="143"/>
      <c r="ER13" s="142">
        <f>SUM(ES13:ET13)</f>
      </c>
      <c r="ES13" s="143"/>
      <c r="ET13" s="143"/>
      <c r="EU13" s="144"/>
      <c r="FB13" s="146"/>
      <c r="FC13" s="146" cm="1">
        <f t="array" ref="FC13">ROW()-ROW(New[#Headers])</f>
        <v>7</v>
      </c>
    </row>
    <row r="14" spans="1:159" s="139" customFormat="1" ht="10.5" x14ac:dyDescent="0.2">
      <c r="B14" s="133"/>
      <c r="C14" s="314" t="s">
        <v>3877</v>
      </c>
      <c r="D14" t="s" s="315">
        <v>659</v>
      </c>
      <c r="E14" s="316" t="s">
        <v>305</v>
      </c>
      <c r="F14" t="s" s="317">
        <v>1641</v>
      </c>
      <c r="G14" t="s" s="318">
        <v>1597</v>
      </c>
      <c r="H14" s="319" t="s">
        <v>305</v>
      </c>
      <c r="I14" t="s" s="320">
        <v>41</v>
      </c>
      <c r="J14" t="s" s="321">
        <v>68</v>
      </c>
      <c r="K14" t="s" s="322">
        <v>1643</v>
      </c>
      <c r="L14" t="s" s="323">
        <v>305</v>
      </c>
      <c r="M14" t="s" s="324">
        <v>305</v>
      </c>
      <c r="N14" s="325" t="s">
        <v>3867</v>
      </c>
      <c r="O14" s="326" t="s">
        <v>3868</v>
      </c>
      <c r="P14" s="141"/>
      <c r="Q14" s="142">
        <f>SUM(R14:AQ14)</f>
      </c>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2">
        <f>SUM(AS14:AV14)</f>
      </c>
      <c r="AS14" s="143"/>
      <c r="AT14" s="143"/>
      <c r="AU14" s="143"/>
      <c r="AV14" s="143"/>
      <c r="AW14" s="142">
        <f>SUM(AX14:BI14)</f>
      </c>
      <c r="AX14" s="143"/>
      <c r="AY14" s="143"/>
      <c r="AZ14" s="143"/>
      <c r="BA14" s="143"/>
      <c r="BB14" s="143"/>
      <c r="BC14" s="143"/>
      <c r="BD14" s="143"/>
      <c r="BE14" s="143"/>
      <c r="BF14" s="143"/>
      <c r="BG14" s="143"/>
      <c r="BH14" s="143"/>
      <c r="BI14" s="143"/>
      <c r="BJ14" s="142"/>
      <c r="BK14" s="143"/>
      <c r="BL14" s="143"/>
      <c r="BM14" s="143"/>
      <c r="BN14" s="143"/>
      <c r="BO14" s="143"/>
      <c r="BP14" s="143"/>
      <c r="BQ14" s="142"/>
      <c r="BR14" s="143"/>
      <c r="BS14" s="143"/>
      <c r="BT14" s="142">
        <f>SUM(BU14:BW14)</f>
      </c>
      <c r="BU14" s="143"/>
      <c r="BV14" s="143"/>
      <c r="BW14" s="143"/>
      <c r="BX14" s="142">
        <f>SUM(BY14:CD14)</f>
      </c>
      <c r="BY14" s="143"/>
      <c r="BZ14" s="143"/>
      <c r="CA14" s="143"/>
      <c r="CB14" s="143"/>
      <c r="CC14" s="143"/>
      <c r="CD14" s="143"/>
      <c r="CE14" s="142"/>
      <c r="CF14" s="143"/>
      <c r="CG14" s="143"/>
      <c r="CH14" s="143"/>
      <c r="CI14" s="143"/>
      <c r="CJ14" s="143"/>
      <c r="CK14" s="142">
        <f>SUM(CL14:CN14)</f>
      </c>
      <c r="CL14" s="143"/>
      <c r="CM14" s="143"/>
      <c r="CN14" s="143"/>
      <c r="CO14" s="142">
        <f>SUM(CP14:CT14)</f>
      </c>
      <c r="CP14" s="143"/>
      <c r="CQ14" s="143"/>
      <c r="CR14" s="143"/>
      <c r="CS14" s="143"/>
      <c r="CT14" s="143"/>
      <c r="CU14" s="142"/>
      <c r="CV14" s="143"/>
      <c r="CW14" s="143"/>
      <c r="CX14" s="143"/>
      <c r="CY14" s="142"/>
      <c r="CZ14" s="143"/>
      <c r="DA14" s="143"/>
      <c r="DB14" s="143"/>
      <c r="DC14" s="143"/>
      <c r="DD14" s="143"/>
      <c r="DE14" s="143"/>
      <c r="DF14" s="143"/>
      <c r="DG14" s="142">
        <f>SUM(DH14:DH14)</f>
      </c>
      <c r="DH14" s="143"/>
      <c r="DI14" s="142"/>
      <c r="DJ14" s="143"/>
      <c r="DK14" s="142">
        <f>SUM(DL14:DQ14)</f>
      </c>
      <c r="DL14" s="143"/>
      <c r="DM14" s="143"/>
      <c r="DN14" s="143"/>
      <c r="DO14" s="143"/>
      <c r="DP14" s="143"/>
      <c r="DQ14" s="143"/>
      <c r="DR14" s="143"/>
      <c r="DS14" s="143"/>
      <c r="DT14" s="143"/>
      <c r="DU14" s="143"/>
      <c r="DV14" s="143"/>
      <c r="DW14" s="143"/>
      <c r="DX14" s="142"/>
      <c r="DY14" s="143"/>
      <c r="DZ14" s="142"/>
      <c r="EA14" s="143"/>
      <c r="EB14" s="143"/>
      <c r="EC14" s="142"/>
      <c r="ED14" s="143"/>
      <c r="EF14" s="143"/>
      <c r="EG14" s="142">
        <f>SUM(EH14:EQ14)</f>
      </c>
      <c r="EH14" s="143"/>
      <c r="EI14" s="143"/>
      <c r="EJ14" s="143"/>
      <c r="EK14" s="143"/>
      <c r="EL14" s="143"/>
      <c r="EM14" s="143"/>
      <c r="EN14" s="143"/>
      <c r="EO14" s="143"/>
      <c r="EP14" s="143"/>
      <c r="EQ14" s="143"/>
      <c r="ER14" s="142">
        <f>SUM(ES14:ET14)</f>
      </c>
      <c r="ES14" s="143"/>
      <c r="ET14" s="143"/>
      <c r="EU14" s="144"/>
      <c r="FB14" s="146"/>
      <c r="FC14" s="146" cm="1">
        <f t="array" ref="FC14">ROW()-ROW(New[#Headers])</f>
        <v>8</v>
      </c>
    </row>
    <row r="15" spans="1:159" s="139" customFormat="1" ht="10.5" x14ac:dyDescent="0.2">
      <c r="B15" s="133"/>
      <c r="C15" s="327" t="s">
        <v>529</v>
      </c>
      <c r="D15" t="s" s="328">
        <v>530</v>
      </c>
      <c r="E15" s="329" t="s">
        <v>23</v>
      </c>
      <c r="F15" t="s" s="330">
        <v>1618</v>
      </c>
      <c r="G15" t="s" s="331">
        <v>1597</v>
      </c>
      <c r="H15" s="332" t="s">
        <v>59</v>
      </c>
      <c r="I15" t="s" s="333">
        <v>43</v>
      </c>
      <c r="J15" t="s" s="334">
        <v>71</v>
      </c>
      <c r="K15" t="s" s="335">
        <v>839</v>
      </c>
      <c r="L15" t="s" s="336">
        <v>767</v>
      </c>
      <c r="M15" t="s" s="337">
        <v>305</v>
      </c>
      <c r="N15" s="338" t="s">
        <v>3867</v>
      </c>
      <c r="O15" s="339" t="s">
        <v>3871</v>
      </c>
      <c r="P15" s="141"/>
      <c r="Q15" s="142">
        <f>SUM(R15:AQ15)</f>
      </c>
      <c r="R15" s="143"/>
      <c r="S15" s="143"/>
      <c r="T15" s="143"/>
      <c r="U15" s="143"/>
      <c r="V15" s="143"/>
      <c r="W15" s="143"/>
      <c r="X15" s="143"/>
      <c r="Y15" s="143"/>
      <c r="Z15" s="143"/>
      <c r="AA15" s="143"/>
      <c r="AB15" s="143"/>
      <c r="AC15" s="143"/>
      <c r="AD15" s="143"/>
      <c r="AE15" s="143"/>
      <c r="AF15" s="143"/>
      <c r="AG15" s="143"/>
      <c r="AH15" s="143"/>
      <c r="AI15" s="143"/>
      <c r="AJ15" s="340" t="n">
        <v>95.0</v>
      </c>
      <c r="AK15" s="143"/>
      <c r="AL15" s="143"/>
      <c r="AM15" s="143"/>
      <c r="AN15" s="143"/>
      <c r="AO15" s="143"/>
      <c r="AP15" s="143"/>
      <c r="AQ15" s="143"/>
      <c r="AR15" s="142">
        <f>SUM(AS15:AV15)</f>
      </c>
      <c r="AS15" s="143"/>
      <c r="AT15" s="143"/>
      <c r="AU15" s="143"/>
      <c r="AV15" s="143"/>
      <c r="AW15" s="142">
        <f>SUM(AX15:BI15)</f>
      </c>
      <c r="AX15" s="143"/>
      <c r="AY15" s="143"/>
      <c r="AZ15" s="143"/>
      <c r="BA15" s="143"/>
      <c r="BB15" s="143"/>
      <c r="BC15" s="143"/>
      <c r="BD15" s="143"/>
      <c r="BE15" s="143"/>
      <c r="BF15" s="143"/>
      <c r="BG15" s="143"/>
      <c r="BH15" s="143"/>
      <c r="BI15" s="143"/>
      <c r="BJ15" s="142"/>
      <c r="BK15" s="143"/>
      <c r="BL15" s="143"/>
      <c r="BM15" s="143"/>
      <c r="BN15" s="143"/>
      <c r="BO15" s="143"/>
      <c r="BP15" s="143"/>
      <c r="BQ15" s="142"/>
      <c r="BR15" s="143"/>
      <c r="BS15" s="143"/>
      <c r="BT15" s="142">
        <f>SUM(BU15:BW15)</f>
      </c>
      <c r="BU15" s="143"/>
      <c r="BV15" s="143"/>
      <c r="BW15" s="143"/>
      <c r="BX15" s="142">
        <f>SUM(BY15:CD15)</f>
      </c>
      <c r="BY15" s="143"/>
      <c r="BZ15" s="143"/>
      <c r="CA15" s="143"/>
      <c r="CB15" s="143"/>
      <c r="CC15" s="143"/>
      <c r="CD15" s="143"/>
      <c r="CE15" s="142"/>
      <c r="CF15" s="143"/>
      <c r="CG15" s="143"/>
      <c r="CH15" s="143"/>
      <c r="CI15" s="143"/>
      <c r="CJ15" s="143"/>
      <c r="CK15" s="142">
        <f>SUM(CL15:CN15)</f>
      </c>
      <c r="CL15" s="143"/>
      <c r="CM15" s="143"/>
      <c r="CN15" s="143"/>
      <c r="CO15" s="142">
        <f>SUM(CP15:CT15)</f>
      </c>
      <c r="CP15" s="143"/>
      <c r="CQ15" s="143"/>
      <c r="CR15" s="143"/>
      <c r="CS15" s="143"/>
      <c r="CT15" s="143"/>
      <c r="CU15" s="142"/>
      <c r="CV15" s="143"/>
      <c r="CW15" s="143"/>
      <c r="CX15" s="143"/>
      <c r="CY15" s="142"/>
      <c r="CZ15" s="143"/>
      <c r="DA15" s="143"/>
      <c r="DB15" s="143"/>
      <c r="DC15" s="143"/>
      <c r="DD15" s="143"/>
      <c r="DE15" s="143"/>
      <c r="DF15" s="143"/>
      <c r="DG15" s="142">
        <f>SUM(DH15:DH15)</f>
      </c>
      <c r="DH15" s="341" t="n">
        <v>50.0</v>
      </c>
      <c r="DI15" s="142"/>
      <c r="DJ15" s="143"/>
      <c r="DK15" s="142">
        <f>SUM(DL15:DQ15)</f>
      </c>
      <c r="DL15" s="143"/>
      <c r="DM15" s="143"/>
      <c r="DN15" s="143"/>
      <c r="DO15" s="143"/>
      <c r="DP15" s="143"/>
      <c r="DQ15" s="143"/>
      <c r="DR15" s="143"/>
      <c r="DS15" s="143"/>
      <c r="DT15" s="143"/>
      <c r="DU15" s="143"/>
      <c r="DV15" s="143"/>
      <c r="DW15" s="143"/>
      <c r="DX15" s="142"/>
      <c r="DY15" s="143"/>
      <c r="DZ15" s="142"/>
      <c r="EA15" s="143"/>
      <c r="EB15" s="143"/>
      <c r="EC15" s="142"/>
      <c r="ED15" s="143"/>
      <c r="EF15" s="143"/>
      <c r="EG15" s="142">
        <f>SUM(EH15:EQ15)</f>
      </c>
      <c r="EH15" s="143"/>
      <c r="EI15" s="143"/>
      <c r="EJ15" s="143"/>
      <c r="EK15" s="143"/>
      <c r="EL15" s="143"/>
      <c r="EM15" s="143"/>
      <c r="EN15" s="143"/>
      <c r="EO15" s="143"/>
      <c r="EP15" s="143"/>
      <c r="EQ15" s="143"/>
      <c r="ER15" s="142">
        <f>SUM(ES15:ET15)</f>
      </c>
      <c r="ES15" s="143"/>
      <c r="ET15" s="143"/>
      <c r="EU15" s="144"/>
      <c r="FB15" s="146"/>
      <c r="FC15" s="146" cm="1">
        <f t="array" ref="FC15">ROW()-ROW(New[#Headers])</f>
        <v>9</v>
      </c>
    </row>
    <row r="16" spans="1:159" s="139" customFormat="1" ht="10.5" x14ac:dyDescent="0.2">
      <c r="B16" s="133"/>
      <c r="C16" s="356" t="s">
        <v>416</v>
      </c>
      <c r="D16" t="s" s="357">
        <v>417</v>
      </c>
      <c r="E16" s="358" t="s">
        <v>35</v>
      </c>
      <c r="F16" t="s" s="359">
        <v>766</v>
      </c>
      <c r="G16" t="s" s="360">
        <v>1597</v>
      </c>
      <c r="H16" s="361" t="s">
        <v>57</v>
      </c>
      <c r="I16" t="s" s="362">
        <v>43</v>
      </c>
      <c r="J16" t="s" s="363">
        <v>68</v>
      </c>
      <c r="K16" t="s" s="364">
        <v>1567</v>
      </c>
      <c r="L16" t="s" s="365">
        <v>767</v>
      </c>
      <c r="M16" t="s" s="366">
        <v>305</v>
      </c>
      <c r="N16" s="367" t="s">
        <v>3873</v>
      </c>
      <c r="O16" s="368" t="s">
        <v>3871</v>
      </c>
      <c r="P16" s="141"/>
      <c r="Q16" s="142">
        <f>SUM(R16:AQ16)</f>
      </c>
      <c r="R16" s="143"/>
      <c r="S16" s="143"/>
      <c r="T16" s="143"/>
      <c r="U16" s="143"/>
      <c r="V16" s="143"/>
      <c r="W16" s="143"/>
      <c r="X16" s="143"/>
      <c r="Y16" s="143"/>
      <c r="Z16" s="143"/>
      <c r="AA16" s="143"/>
      <c r="AB16" s="143"/>
      <c r="AC16" s="143"/>
      <c r="AD16" s="143"/>
      <c r="AE16" s="143"/>
      <c r="AF16" s="143"/>
      <c r="AG16" s="369" t="n">
        <v>287.0</v>
      </c>
      <c r="AH16" s="143"/>
      <c r="AI16" s="143"/>
      <c r="AJ16" s="143"/>
      <c r="AK16" s="143"/>
      <c r="AL16" s="143"/>
      <c r="AM16" s="143"/>
      <c r="AN16" s="143"/>
      <c r="AO16" s="143"/>
      <c r="AP16" s="143"/>
      <c r="AQ16" s="143"/>
      <c r="AR16" s="142">
        <f>SUM(AS16:AV16)</f>
      </c>
      <c r="AS16" s="143"/>
      <c r="AT16" s="143"/>
      <c r="AU16" s="143"/>
      <c r="AV16" s="143"/>
      <c r="AW16" s="142">
        <f>SUM(AX16:BI16)</f>
      </c>
      <c r="AX16" s="143"/>
      <c r="AY16" s="143"/>
      <c r="AZ16" s="143"/>
      <c r="BA16" s="143"/>
      <c r="BB16" s="143"/>
      <c r="BC16" s="143"/>
      <c r="BD16" s="143"/>
      <c r="BE16" s="143"/>
      <c r="BF16" s="143"/>
      <c r="BG16" s="143"/>
      <c r="BH16" s="143"/>
      <c r="BI16" s="143"/>
      <c r="BJ16" s="142"/>
      <c r="BK16" s="143"/>
      <c r="BL16" s="143"/>
      <c r="BM16" s="143"/>
      <c r="BN16" s="143"/>
      <c r="BO16" s="143"/>
      <c r="BP16" s="143"/>
      <c r="BQ16" s="142"/>
      <c r="BR16" s="143"/>
      <c r="BS16" s="143"/>
      <c r="BT16" s="142">
        <f>SUM(BU16:BW16)</f>
      </c>
      <c r="BU16" s="143"/>
      <c r="BV16" s="143"/>
      <c r="BW16" s="143"/>
      <c r="BX16" s="142">
        <f>SUM(BY16:CD16)</f>
      </c>
      <c r="BY16" s="143"/>
      <c r="BZ16" s="143"/>
      <c r="CA16" s="143"/>
      <c r="CB16" s="143"/>
      <c r="CC16" s="143"/>
      <c r="CD16" s="143"/>
      <c r="CE16" s="142"/>
      <c r="CF16" s="143"/>
      <c r="CG16" s="143"/>
      <c r="CH16" s="143"/>
      <c r="CI16" s="143"/>
      <c r="CJ16" s="143"/>
      <c r="CK16" s="142">
        <f>SUM(CL16:CN16)</f>
      </c>
      <c r="CL16" s="143"/>
      <c r="CM16" s="143"/>
      <c r="CN16" s="143"/>
      <c r="CO16" s="142">
        <f>SUM(CP16:CT16)</f>
      </c>
      <c r="CP16" s="143"/>
      <c r="CQ16" s="143"/>
      <c r="CR16" s="143"/>
      <c r="CS16" s="143"/>
      <c r="CT16" s="143"/>
      <c r="CU16" s="142"/>
      <c r="CV16" s="143"/>
      <c r="CW16" s="143"/>
      <c r="CX16" s="143"/>
      <c r="CY16" s="142"/>
      <c r="CZ16" s="143"/>
      <c r="DA16" s="143"/>
      <c r="DB16" s="143"/>
      <c r="DC16" s="143"/>
      <c r="DD16" s="143"/>
      <c r="DE16" s="143"/>
      <c r="DF16" s="143"/>
      <c r="DG16" s="142">
        <f>SUM(DH16:DH16)</f>
      </c>
      <c r="DH16" s="143"/>
      <c r="DI16" s="142"/>
      <c r="DJ16" s="143"/>
      <c r="DK16" s="142">
        <f>SUM(DL16:DQ16)</f>
      </c>
      <c r="DL16" s="143"/>
      <c r="DM16" s="143"/>
      <c r="DN16" s="143"/>
      <c r="DO16" s="143"/>
      <c r="DP16" s="143"/>
      <c r="DQ16" s="143"/>
      <c r="DR16" s="143"/>
      <c r="DS16" s="143"/>
      <c r="DT16" s="143"/>
      <c r="DU16" s="143"/>
      <c r="DV16" s="143"/>
      <c r="DW16" s="143"/>
      <c r="DX16" s="142"/>
      <c r="DY16" s="143"/>
      <c r="DZ16" s="142"/>
      <c r="EA16" s="143"/>
      <c r="EB16" s="143"/>
      <c r="EC16" s="142"/>
      <c r="ED16" s="143"/>
      <c r="EF16" s="143"/>
      <c r="EG16" s="142">
        <f>SUM(EH16:EQ16)</f>
      </c>
      <c r="EH16" s="143"/>
      <c r="EI16" s="143"/>
      <c r="EJ16" s="143"/>
      <c r="EK16" s="143"/>
      <c r="EL16" s="143"/>
      <c r="EM16" s="143"/>
      <c r="EN16" s="143"/>
      <c r="EO16" s="143"/>
      <c r="EP16" s="143"/>
      <c r="EQ16" s="143"/>
      <c r="ER16" s="142">
        <f>SUM(ES16:ET16)</f>
      </c>
      <c r="ES16" s="143"/>
      <c r="ET16" s="143"/>
      <c r="EU16" s="144"/>
      <c r="FB16" s="146"/>
      <c r="FC16" s="146" cm="1">
        <f t="array" ref="FC16">ROW()-ROW(New[#Headers])</f>
        <v>10</v>
      </c>
    </row>
    <row r="17" spans="2:159" s="139" customFormat="1" ht="10.5" x14ac:dyDescent="0.2">
      <c r="B17" s="133"/>
      <c r="C17" s="370" t="s">
        <v>618</v>
      </c>
      <c r="D17" t="s" s="371">
        <v>619</v>
      </c>
      <c r="E17" s="372" t="s">
        <v>20</v>
      </c>
      <c r="F17" t="s" s="373">
        <v>750</v>
      </c>
      <c r="G17" t="s" s="374">
        <v>1597</v>
      </c>
      <c r="H17" s="375" t="s">
        <v>61</v>
      </c>
      <c r="I17" t="s" s="376">
        <v>41</v>
      </c>
      <c r="J17" t="s" s="377">
        <v>64</v>
      </c>
      <c r="K17" t="s" s="378">
        <v>1609</v>
      </c>
      <c r="L17" t="s" s="379">
        <v>305</v>
      </c>
      <c r="M17" t="s" s="380">
        <v>305</v>
      </c>
      <c r="N17" s="381" t="s">
        <v>3873</v>
      </c>
      <c r="O17" s="382" t="s">
        <v>3871</v>
      </c>
      <c r="P17" s="141"/>
      <c r="Q17" s="142">
        <f>SUM(R17:AQ17)</f>
      </c>
      <c r="R17" s="143"/>
      <c r="S17" s="143"/>
      <c r="T17" s="383" t="n">
        <v>450.0</v>
      </c>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2">
        <f>SUM(AS17:AV17)</f>
      </c>
      <c r="AS17" s="143"/>
      <c r="AT17" s="143"/>
      <c r="AU17" s="143"/>
      <c r="AV17" s="143"/>
      <c r="AW17" s="142">
        <f>SUM(AX17:BI17)</f>
      </c>
      <c r="AX17" s="143"/>
      <c r="AY17" s="143"/>
      <c r="AZ17" s="143"/>
      <c r="BA17" s="143"/>
      <c r="BB17" s="143"/>
      <c r="BC17" s="143"/>
      <c r="BD17" s="143"/>
      <c r="BE17" s="143"/>
      <c r="BF17" s="143"/>
      <c r="BG17" s="143"/>
      <c r="BH17" s="143"/>
      <c r="BI17" s="143"/>
      <c r="BJ17" s="142"/>
      <c r="BK17" s="143"/>
      <c r="BL17" s="143"/>
      <c r="BM17" s="143"/>
      <c r="BN17" s="143"/>
      <c r="BO17" s="143"/>
      <c r="BP17" s="143"/>
      <c r="BQ17" s="142"/>
      <c r="BR17" s="143"/>
      <c r="BS17" s="143"/>
      <c r="BT17" s="142">
        <f>SUM(BU17:BW17)</f>
      </c>
      <c r="BU17" s="143"/>
      <c r="BV17" s="143"/>
      <c r="BW17" s="143"/>
      <c r="BX17" s="142">
        <f>SUM(BY17:CD17)</f>
      </c>
      <c r="BY17" s="143"/>
      <c r="BZ17" s="143"/>
      <c r="CA17" s="143"/>
      <c r="CB17" s="143"/>
      <c r="CC17" s="143"/>
      <c r="CD17" s="143"/>
      <c r="CE17" s="142"/>
      <c r="CF17" s="143"/>
      <c r="CG17" s="143"/>
      <c r="CH17" s="143"/>
      <c r="CI17" s="143"/>
      <c r="CJ17" s="143"/>
      <c r="CK17" s="142">
        <f>SUM(CL17:CN17)</f>
      </c>
      <c r="CL17" s="143"/>
      <c r="CM17" s="143"/>
      <c r="CN17" s="143"/>
      <c r="CO17" s="142">
        <f>SUM(CP17:CT17)</f>
      </c>
      <c r="CP17" s="143"/>
      <c r="CQ17" s="143"/>
      <c r="CR17" s="143"/>
      <c r="CS17" s="143"/>
      <c r="CT17" s="143"/>
      <c r="CU17" s="142"/>
      <c r="CV17" s="143"/>
      <c r="CW17" s="143"/>
      <c r="CX17" s="143"/>
      <c r="CY17" s="142"/>
      <c r="CZ17" s="143"/>
      <c r="DA17" s="143"/>
      <c r="DB17" s="143"/>
      <c r="DC17" s="143"/>
      <c r="DD17" s="143"/>
      <c r="DE17" s="143"/>
      <c r="DF17" s="143"/>
      <c r="DG17" s="142">
        <f>SUM(DH17:DH17)</f>
      </c>
      <c r="DH17" s="143"/>
      <c r="DI17" s="142"/>
      <c r="DJ17" s="143"/>
      <c r="DK17" s="142">
        <f>SUM(DL17:DQ17)</f>
      </c>
      <c r="DL17" s="143"/>
      <c r="DM17" s="143"/>
      <c r="DN17" s="143"/>
      <c r="DO17" s="143"/>
      <c r="DP17" s="143"/>
      <c r="DQ17" s="143"/>
      <c r="DR17" s="143"/>
      <c r="DS17" s="143"/>
      <c r="DT17" s="143"/>
      <c r="DU17" s="143"/>
      <c r="DV17" s="143"/>
      <c r="DW17" s="143"/>
      <c r="DX17" s="142"/>
      <c r="DY17" s="143"/>
      <c r="DZ17" s="142"/>
      <c r="EA17" s="143"/>
      <c r="EB17" s="143"/>
      <c r="EC17" s="142"/>
      <c r="ED17" s="143"/>
      <c r="EF17" s="143"/>
      <c r="EG17" s="142">
        <f>SUM(EH17:EQ17)</f>
      </c>
      <c r="EH17" s="143"/>
      <c r="EI17" s="143"/>
      <c r="EJ17" s="143"/>
      <c r="EK17" s="143"/>
      <c r="EL17" s="143"/>
      <c r="EM17" s="143"/>
      <c r="EN17" s="143"/>
      <c r="EO17" s="143"/>
      <c r="EP17" s="143"/>
      <c r="EQ17" s="143"/>
      <c r="ER17" s="142">
        <f>SUM(ES17:ET17)</f>
      </c>
      <c r="ES17" s="143"/>
      <c r="ET17" s="143"/>
      <c r="EU17" s="144"/>
      <c r="FB17" s="146"/>
      <c r="FC17" s="146" cm="1">
        <f t="array" ref="FC17">ROW()-ROW(New[#Headers])</f>
        <v>11</v>
      </c>
    </row>
    <row r="18" spans="2:159" s="139" customFormat="1" ht="10.5" x14ac:dyDescent="0.2">
      <c r="B18" s="133"/>
      <c r="C18" s="401" t="s">
        <v>467</v>
      </c>
      <c r="D18" t="s" s="402">
        <v>468</v>
      </c>
      <c r="E18" s="403" t="s">
        <v>13</v>
      </c>
      <c r="F18" t="s" s="404">
        <v>1109</v>
      </c>
      <c r="G18" t="s" s="405">
        <v>305</v>
      </c>
      <c r="H18" s="406" t="s">
        <v>46</v>
      </c>
      <c r="I18" t="s" s="407">
        <v>41</v>
      </c>
      <c r="J18" t="s" s="408">
        <v>68</v>
      </c>
      <c r="K18" t="s" s="409">
        <v>1659</v>
      </c>
      <c r="L18" t="s" s="410">
        <v>751</v>
      </c>
      <c r="M18" t="s" s="411">
        <v>305</v>
      </c>
      <c r="N18" s="412" t="s">
        <v>3873</v>
      </c>
      <c r="O18" s="413" t="s">
        <v>3871</v>
      </c>
      <c r="P18" s="141"/>
      <c r="Q18" s="142">
        <f>SUM(R18:AQ18)</f>
      </c>
      <c r="R18" s="143"/>
      <c r="S18" s="143"/>
      <c r="T18" s="143"/>
      <c r="U18" s="143"/>
      <c r="V18" s="143"/>
      <c r="W18" s="143"/>
      <c r="X18" s="143"/>
      <c r="Y18" s="143"/>
      <c r="Z18" s="143"/>
      <c r="AA18" s="143"/>
      <c r="AB18" s="143"/>
      <c r="AC18" s="143"/>
      <c r="AD18" s="414" t="n">
        <v>400.0</v>
      </c>
      <c r="AE18" s="143"/>
      <c r="AF18" s="143"/>
      <c r="AG18" s="143"/>
      <c r="AH18" s="143"/>
      <c r="AI18" s="143"/>
      <c r="AJ18" s="143"/>
      <c r="AK18" s="143"/>
      <c r="AL18" s="143"/>
      <c r="AM18" s="143"/>
      <c r="AN18" s="143"/>
      <c r="AO18" s="143"/>
      <c r="AP18" s="143"/>
      <c r="AQ18" s="143"/>
      <c r="AR18" s="142">
        <f>SUM(AS18:AV18)</f>
      </c>
      <c r="AS18" s="143"/>
      <c r="AT18" s="143"/>
      <c r="AU18" s="143"/>
      <c r="AV18" s="143"/>
      <c r="AW18" s="142">
        <f>SUM(AX18:BI18)</f>
      </c>
      <c r="AX18" s="143"/>
      <c r="AY18" s="143"/>
      <c r="AZ18" s="143"/>
      <c r="BA18" s="143"/>
      <c r="BB18" s="143"/>
      <c r="BC18" s="143"/>
      <c r="BD18" s="143"/>
      <c r="BE18" s="143"/>
      <c r="BF18" s="143"/>
      <c r="BG18" s="143"/>
      <c r="BH18" s="143"/>
      <c r="BI18" s="143"/>
      <c r="BJ18" s="142"/>
      <c r="BK18" s="143"/>
      <c r="BL18" s="143"/>
      <c r="BM18" s="143"/>
      <c r="BN18" s="143"/>
      <c r="BO18" s="143"/>
      <c r="BP18" s="143"/>
      <c r="BQ18" s="142"/>
      <c r="BR18" s="143"/>
      <c r="BS18" s="143"/>
      <c r="BT18" s="142">
        <f>SUM(BU18:BW18)</f>
      </c>
      <c r="BU18" s="143"/>
      <c r="BV18" s="143"/>
      <c r="BW18" s="143"/>
      <c r="BX18" s="142">
        <f>SUM(BY18:CD18)</f>
      </c>
      <c r="BY18" s="143"/>
      <c r="BZ18" s="143"/>
      <c r="CA18" s="143"/>
      <c r="CB18" s="143"/>
      <c r="CC18" s="143"/>
      <c r="CD18" s="143"/>
      <c r="CE18" s="142"/>
      <c r="CF18" s="143"/>
      <c r="CG18" s="143"/>
      <c r="CH18" s="143"/>
      <c r="CI18" s="143"/>
      <c r="CJ18" s="143"/>
      <c r="CK18" s="142">
        <f>SUM(CL18:CN18)</f>
      </c>
      <c r="CL18" s="143"/>
      <c r="CM18" s="143"/>
      <c r="CN18" s="143"/>
      <c r="CO18" s="142">
        <f>SUM(CP18:CT18)</f>
      </c>
      <c r="CP18" s="143"/>
      <c r="CQ18" s="143"/>
      <c r="CR18" s="143"/>
      <c r="CS18" s="143"/>
      <c r="CT18" s="143"/>
      <c r="CU18" s="142"/>
      <c r="CV18" s="143"/>
      <c r="CW18" s="143"/>
      <c r="CX18" s="143"/>
      <c r="CY18" s="142"/>
      <c r="CZ18" s="143"/>
      <c r="DA18" s="143"/>
      <c r="DB18" s="143"/>
      <c r="DC18" s="143"/>
      <c r="DD18" s="143"/>
      <c r="DE18" s="143"/>
      <c r="DF18" s="143"/>
      <c r="DG18" s="142">
        <f>SUM(DH18:DH18)</f>
      </c>
      <c r="DH18" s="143"/>
      <c r="DI18" s="142"/>
      <c r="DJ18" s="143"/>
      <c r="DK18" s="142">
        <f>SUM(DL18:DQ18)</f>
      </c>
      <c r="DL18" s="143"/>
      <c r="DM18" s="143"/>
      <c r="DN18" s="143"/>
      <c r="DO18" s="143"/>
      <c r="DP18" s="143"/>
      <c r="DQ18" s="143"/>
      <c r="DR18" s="143"/>
      <c r="DS18" s="143"/>
      <c r="DT18" s="143"/>
      <c r="DU18" s="143"/>
      <c r="DV18" s="143"/>
      <c r="DW18" s="143"/>
      <c r="DX18" s="142"/>
      <c r="DY18" s="143"/>
      <c r="DZ18" s="142"/>
      <c r="EA18" s="143"/>
      <c r="EB18" s="143"/>
      <c r="EC18" s="142"/>
      <c r="ED18" s="143"/>
      <c r="EF18" s="143"/>
      <c r="EG18" s="142">
        <f>SUM(EH18:EQ18)</f>
      </c>
      <c r="EH18" s="143"/>
      <c r="EI18" s="143"/>
      <c r="EJ18" s="143"/>
      <c r="EK18" s="143"/>
      <c r="EL18" s="143"/>
      <c r="EM18" s="143"/>
      <c r="EN18" s="143"/>
      <c r="EO18" s="143"/>
      <c r="EP18" s="143"/>
      <c r="EQ18" s="143"/>
      <c r="ER18" s="142">
        <f>SUM(ES18:ET18)</f>
      </c>
      <c r="ES18" s="143"/>
      <c r="ET18" s="143"/>
      <c r="EU18" s="144"/>
      <c r="FB18" s="146"/>
      <c r="FC18" s="146" cm="1">
        <f t="array" ref="FC18">ROW()-ROW(New[#Headers])</f>
        <v>12</v>
      </c>
    </row>
    <row r="19" spans="2:159" s="139" customFormat="1" ht="10.5" x14ac:dyDescent="0.2">
      <c r="B19" s="133"/>
      <c r="C19" s="418" t="s">
        <v>714</v>
      </c>
      <c r="D19" t="s" s="419">
        <v>715</v>
      </c>
      <c r="E19" s="420" t="s">
        <v>889</v>
      </c>
      <c r="F19" t="s" s="421">
        <v>1618</v>
      </c>
      <c r="G19" t="s" s="422">
        <v>1597</v>
      </c>
      <c r="H19" s="423" t="s">
        <v>49</v>
      </c>
      <c r="I19" t="s" s="424">
        <v>43</v>
      </c>
      <c r="J19" t="s" s="425">
        <v>64</v>
      </c>
      <c r="K19" t="s" s="426">
        <v>839</v>
      </c>
      <c r="L19" t="s" s="427">
        <v>767</v>
      </c>
      <c r="M19" t="s" s="428">
        <v>305</v>
      </c>
      <c r="N19" s="429" t="s">
        <v>3870</v>
      </c>
      <c r="O19" s="430" t="s">
        <v>3874</v>
      </c>
      <c r="P19" s="141"/>
      <c r="Q19" s="142">
        <f>SUM(R19:AQ19)</f>
      </c>
      <c r="R19" s="143"/>
      <c r="S19" s="143"/>
      <c r="T19" s="143"/>
      <c r="U19" s="143"/>
      <c r="V19" s="143"/>
      <c r="W19" s="143"/>
      <c r="X19" s="143"/>
      <c r="Y19" s="143"/>
      <c r="Z19" s="143"/>
      <c r="AA19" s="143"/>
      <c r="AB19" s="143"/>
      <c r="AC19" s="143"/>
      <c r="AD19" s="143"/>
      <c r="AE19" s="143"/>
      <c r="AF19" s="143"/>
      <c r="AG19" s="143"/>
      <c r="AH19" s="143"/>
      <c r="AI19" s="143"/>
      <c r="AJ19" s="143"/>
      <c r="AK19" s="143"/>
      <c r="AL19" s="431" t="n">
        <v>100.0</v>
      </c>
      <c r="AM19" s="143"/>
      <c r="AN19" s="143"/>
      <c r="AO19" s="143"/>
      <c r="AP19" s="143"/>
      <c r="AQ19" s="143"/>
      <c r="AR19" s="142">
        <f>SUM(AS19:AV19)</f>
      </c>
      <c r="AS19" s="143"/>
      <c r="AT19" s="143"/>
      <c r="AU19" s="143"/>
      <c r="AV19" s="143"/>
      <c r="AW19" s="142">
        <f>SUM(AX19:BI19)</f>
      </c>
      <c r="AX19" s="143"/>
      <c r="AY19" s="143"/>
      <c r="AZ19" s="143"/>
      <c r="BA19" s="143"/>
      <c r="BB19" s="143"/>
      <c r="BC19" s="143"/>
      <c r="BD19" s="143"/>
      <c r="BE19" s="143"/>
      <c r="BF19" s="143"/>
      <c r="BG19" s="143"/>
      <c r="BH19" s="143"/>
      <c r="BI19" s="143"/>
      <c r="BJ19" s="142"/>
      <c r="BK19" s="143"/>
      <c r="BL19" s="143"/>
      <c r="BM19" s="143"/>
      <c r="BN19" s="143"/>
      <c r="BO19" s="143"/>
      <c r="BP19" s="143"/>
      <c r="BQ19" s="142"/>
      <c r="BR19" s="143"/>
      <c r="BS19" s="143"/>
      <c r="BT19" s="142">
        <f>SUM(BU19:BW19)</f>
      </c>
      <c r="BU19" s="143"/>
      <c r="BV19" s="143"/>
      <c r="BW19" s="143"/>
      <c r="BX19" s="142">
        <f>SUM(BY19:CD19)</f>
      </c>
      <c r="BY19" s="143"/>
      <c r="BZ19" s="143"/>
      <c r="CA19" s="143"/>
      <c r="CB19" s="143"/>
      <c r="CC19" s="143"/>
      <c r="CD19" s="143"/>
      <c r="CE19" s="142"/>
      <c r="CF19" s="143"/>
      <c r="CG19" s="143"/>
      <c r="CH19" s="143"/>
      <c r="CI19" s="143"/>
      <c r="CJ19" s="143"/>
      <c r="CK19" s="142">
        <f>SUM(CL19:CN19)</f>
      </c>
      <c r="CL19" s="143"/>
      <c r="CM19" s="143"/>
      <c r="CN19" s="143"/>
      <c r="CO19" s="142">
        <f>SUM(CP19:CT19)</f>
      </c>
      <c r="CP19" s="143"/>
      <c r="CQ19" s="143"/>
      <c r="CR19" s="143"/>
      <c r="CS19" s="143"/>
      <c r="CT19" s="143"/>
      <c r="CU19" s="142"/>
      <c r="CV19" s="143"/>
      <c r="CW19" s="143"/>
      <c r="CX19" s="143"/>
      <c r="CY19" s="142"/>
      <c r="CZ19" s="143"/>
      <c r="DA19" s="143"/>
      <c r="DB19" s="143"/>
      <c r="DC19" s="143"/>
      <c r="DD19" s="143"/>
      <c r="DE19" s="143"/>
      <c r="DF19" s="143"/>
      <c r="DG19" s="142">
        <f>SUM(DH19:DH19)</f>
      </c>
      <c r="DH19" s="432" t="n">
        <v>50.0</v>
      </c>
      <c r="DI19" s="142"/>
      <c r="DJ19" s="143"/>
      <c r="DK19" s="142">
        <f>SUM(DL19:DQ19)</f>
      </c>
      <c r="DL19" s="143"/>
      <c r="DM19" s="143"/>
      <c r="DN19" s="143"/>
      <c r="DO19" s="143"/>
      <c r="DP19" s="143"/>
      <c r="DQ19" s="143"/>
      <c r="DR19" s="143"/>
      <c r="DS19" s="143"/>
      <c r="DT19" s="143"/>
      <c r="DU19" s="143"/>
      <c r="DV19" s="143"/>
      <c r="DW19" s="143"/>
      <c r="DX19" s="142"/>
      <c r="DY19" s="143"/>
      <c r="DZ19" s="142"/>
      <c r="EA19" s="143"/>
      <c r="EB19" s="143"/>
      <c r="EC19" s="142"/>
      <c r="ED19" s="143"/>
      <c r="EF19" s="143"/>
      <c r="EG19" s="142">
        <f>SUM(EH19:EQ19)</f>
      </c>
      <c r="EH19" s="143"/>
      <c r="EI19" s="143"/>
      <c r="EJ19" s="143"/>
      <c r="EK19" s="143"/>
      <c r="EL19" s="143"/>
      <c r="EM19" s="143"/>
      <c r="EN19" s="143"/>
      <c r="EO19" s="143"/>
      <c r="EP19" s="143"/>
      <c r="EQ19" s="143"/>
      <c r="ER19" s="142">
        <f>SUM(ES19:ET19)</f>
      </c>
      <c r="ES19" s="143"/>
      <c r="ET19" s="143"/>
      <c r="EU19" s="144"/>
      <c r="FB19" s="146"/>
      <c r="FC19" s="146" cm="1">
        <f t="array" ref="FC19">ROW()-ROW(New[#Headers])</f>
        <v>13</v>
      </c>
    </row>
    <row r="20" spans="2:159" s="139" customFormat="1" ht="10.5" x14ac:dyDescent="0.2">
      <c r="B20" s="133"/>
      <c r="C20" s="435" t="s">
        <v>815</v>
      </c>
      <c r="D20" t="s" s="436">
        <v>354</v>
      </c>
      <c r="E20" s="437" t="s">
        <v>23</v>
      </c>
      <c r="F20" t="s" s="438">
        <v>810</v>
      </c>
      <c r="G20" t="s" s="439">
        <v>1597</v>
      </c>
      <c r="H20" s="440" t="s">
        <v>51</v>
      </c>
      <c r="I20" t="s" s="441">
        <v>43</v>
      </c>
      <c r="J20" t="s" s="442">
        <v>71</v>
      </c>
      <c r="K20" t="s" s="443">
        <v>1624</v>
      </c>
      <c r="L20" t="s" s="444">
        <v>779</v>
      </c>
      <c r="M20" t="s" s="445">
        <v>305</v>
      </c>
      <c r="N20" s="446" t="s">
        <v>3873</v>
      </c>
      <c r="O20" s="447" t="s">
        <v>3871</v>
      </c>
      <c r="P20" s="141"/>
      <c r="Q20" s="142">
        <f>SUM(R20:AQ20)</f>
      </c>
      <c r="R20" s="143"/>
      <c r="S20" s="143"/>
      <c r="T20" s="143"/>
      <c r="U20" s="143"/>
      <c r="V20" s="143"/>
      <c r="W20" s="448" t="n">
        <v>90.0</v>
      </c>
      <c r="X20" s="143"/>
      <c r="Y20" s="143"/>
      <c r="Z20" s="143"/>
      <c r="AA20" s="143"/>
      <c r="AB20" s="143"/>
      <c r="AC20" s="143"/>
      <c r="AD20" s="143"/>
      <c r="AE20" s="143"/>
      <c r="AF20" s="143"/>
      <c r="AG20" s="143"/>
      <c r="AH20" s="143"/>
      <c r="AI20" s="143"/>
      <c r="AJ20" s="143"/>
      <c r="AK20" s="143"/>
      <c r="AL20" s="143"/>
      <c r="AM20" s="143"/>
      <c r="AN20" s="143"/>
      <c r="AO20" s="143"/>
      <c r="AP20" s="143"/>
      <c r="AQ20" s="143"/>
      <c r="AR20" s="142">
        <f>SUM(AS20:AV20)</f>
      </c>
      <c r="AS20" s="143"/>
      <c r="AT20" s="143"/>
      <c r="AU20" s="143"/>
      <c r="AV20" s="143"/>
      <c r="AW20" s="142">
        <f>SUM(AX20:BI20)</f>
      </c>
      <c r="AX20" s="143"/>
      <c r="AY20" s="143"/>
      <c r="AZ20" s="143"/>
      <c r="BA20" s="143"/>
      <c r="BB20" s="143"/>
      <c r="BC20" s="143"/>
      <c r="BD20" s="143"/>
      <c r="BE20" s="143"/>
      <c r="BF20" s="143"/>
      <c r="BG20" s="143"/>
      <c r="BH20" s="143"/>
      <c r="BI20" s="143"/>
      <c r="BJ20" s="142"/>
      <c r="BK20" s="143"/>
      <c r="BL20" s="143"/>
      <c r="BM20" s="143"/>
      <c r="BN20" s="143"/>
      <c r="BO20" s="143"/>
      <c r="BP20" s="143"/>
      <c r="BQ20" s="142"/>
      <c r="BR20" s="143"/>
      <c r="BS20" s="143"/>
      <c r="BT20" s="142">
        <f>SUM(BU20:BW20)</f>
      </c>
      <c r="BU20" s="143"/>
      <c r="BV20" s="143"/>
      <c r="BW20" s="143"/>
      <c r="BX20" s="142">
        <f>SUM(BY20:CD20)</f>
      </c>
      <c r="BY20" s="143"/>
      <c r="BZ20" s="143"/>
      <c r="CA20" s="143"/>
      <c r="CB20" s="143"/>
      <c r="CC20" s="143"/>
      <c r="CD20" s="143"/>
      <c r="CE20" s="142"/>
      <c r="CF20" s="143"/>
      <c r="CG20" s="143"/>
      <c r="CH20" s="143"/>
      <c r="CI20" s="143"/>
      <c r="CJ20" s="143"/>
      <c r="CK20" s="142">
        <f>SUM(CL20:CN20)</f>
      </c>
      <c r="CL20" s="143"/>
      <c r="CM20" s="143"/>
      <c r="CN20" s="143"/>
      <c r="CO20" s="142">
        <f>SUM(CP20:CT20)</f>
      </c>
      <c r="CP20" s="143"/>
      <c r="CQ20" s="143"/>
      <c r="CR20" s="143"/>
      <c r="CS20" s="143"/>
      <c r="CT20" s="143"/>
      <c r="CU20" s="142"/>
      <c r="CV20" s="143"/>
      <c r="CW20" s="143"/>
      <c r="CX20" s="143"/>
      <c r="CY20" s="142"/>
      <c r="CZ20" s="143"/>
      <c r="DA20" s="143"/>
      <c r="DB20" s="143"/>
      <c r="DC20" s="143"/>
      <c r="DD20" s="143"/>
      <c r="DE20" s="143"/>
      <c r="DF20" s="143"/>
      <c r="DG20" s="142">
        <f>SUM(DH20:DH20)</f>
      </c>
      <c r="DH20" s="143"/>
      <c r="DI20" s="142"/>
      <c r="DJ20" s="143"/>
      <c r="DK20" s="142">
        <f>SUM(DL20:DQ20)</f>
      </c>
      <c r="DL20" s="143"/>
      <c r="DM20" s="143"/>
      <c r="DN20" s="143"/>
      <c r="DO20" s="143"/>
      <c r="DP20" s="143"/>
      <c r="DQ20" s="143"/>
      <c r="DR20" s="143"/>
      <c r="DS20" s="143"/>
      <c r="DT20" s="143"/>
      <c r="DU20" s="143"/>
      <c r="DV20" s="143"/>
      <c r="DW20" s="143"/>
      <c r="DX20" s="142"/>
      <c r="DY20" s="143"/>
      <c r="DZ20" s="142"/>
      <c r="EA20" s="143"/>
      <c r="EB20" s="143"/>
      <c r="EC20" s="142"/>
      <c r="ED20" s="143"/>
      <c r="EF20" s="143"/>
      <c r="EG20" s="142">
        <f>SUM(EH20:EQ20)</f>
      </c>
      <c r="EH20" s="143"/>
      <c r="EI20" s="143"/>
      <c r="EJ20" s="143"/>
      <c r="EK20" s="143"/>
      <c r="EL20" s="143"/>
      <c r="EM20" s="143"/>
      <c r="EN20" s="143"/>
      <c r="EO20" s="143"/>
      <c r="EP20" s="143"/>
      <c r="EQ20" s="143"/>
      <c r="ER20" s="142">
        <f>SUM(ES20:ET20)</f>
      </c>
      <c r="ES20" s="143"/>
      <c r="ET20" s="143"/>
      <c r="EU20" s="144"/>
      <c r="FB20" s="146"/>
      <c r="FC20" s="146" cm="1">
        <f t="array" ref="FC20">ROW()-ROW(New[#Headers])</f>
        <v>14</v>
      </c>
    </row>
    <row r="21" spans="2:159" s="139" customFormat="1" ht="10.5" x14ac:dyDescent="0.2">
      <c r="B21" s="133"/>
      <c r="C21" s="488" t="s">
        <v>531</v>
      </c>
      <c r="D21" t="s" s="489">
        <v>532</v>
      </c>
      <c r="E21" s="490" t="s">
        <v>23</v>
      </c>
      <c r="F21" t="s" s="491">
        <v>1618</v>
      </c>
      <c r="G21" t="s" s="492">
        <v>1597</v>
      </c>
      <c r="H21" s="493" t="s">
        <v>59</v>
      </c>
      <c r="I21" t="s" s="494">
        <v>43</v>
      </c>
      <c r="J21" t="s" s="495">
        <v>71</v>
      </c>
      <c r="K21" t="s" s="496">
        <v>839</v>
      </c>
      <c r="L21" t="s" s="497">
        <v>767</v>
      </c>
      <c r="M21" t="s" s="498">
        <v>305</v>
      </c>
      <c r="N21" s="499" t="s">
        <v>3873</v>
      </c>
      <c r="O21" s="500" t="s">
        <v>3876</v>
      </c>
      <c r="P21" s="141"/>
      <c r="Q21" s="142">
        <f>SUM(R21:AQ21)</f>
      </c>
      <c r="R21" s="143"/>
      <c r="S21" s="143"/>
      <c r="T21" s="143"/>
      <c r="U21" s="143"/>
      <c r="V21" s="143"/>
      <c r="W21" s="143"/>
      <c r="X21" s="143"/>
      <c r="Y21" s="143"/>
      <c r="Z21" s="143"/>
      <c r="AA21" s="143"/>
      <c r="AB21" s="143"/>
      <c r="AC21" s="143"/>
      <c r="AD21" s="143"/>
      <c r="AE21" s="143"/>
      <c r="AF21" s="143"/>
      <c r="AG21" s="143"/>
      <c r="AH21" s="143"/>
      <c r="AI21" s="143"/>
      <c r="AJ21" s="501" t="n">
        <v>120.0</v>
      </c>
      <c r="AK21" s="143"/>
      <c r="AL21" s="143"/>
      <c r="AM21" s="143"/>
      <c r="AN21" s="143"/>
      <c r="AO21" s="143"/>
      <c r="AP21" s="143"/>
      <c r="AQ21" s="143"/>
      <c r="AR21" s="142">
        <f>SUM(AS21:AV21)</f>
      </c>
      <c r="AS21" s="143"/>
      <c r="AT21" s="143"/>
      <c r="AU21" s="143"/>
      <c r="AV21" s="143"/>
      <c r="AW21" s="142">
        <f>SUM(AX21:BI21)</f>
      </c>
      <c r="AX21" s="143"/>
      <c r="AY21" s="143"/>
      <c r="AZ21" s="143"/>
      <c r="BA21" s="143"/>
      <c r="BB21" s="143"/>
      <c r="BC21" s="143"/>
      <c r="BD21" s="143"/>
      <c r="BE21" s="143"/>
      <c r="BF21" s="143"/>
      <c r="BG21" s="143"/>
      <c r="BH21" s="143"/>
      <c r="BI21" s="143"/>
      <c r="BJ21" s="142"/>
      <c r="BK21" s="143"/>
      <c r="BL21" s="143"/>
      <c r="BM21" s="143"/>
      <c r="BN21" s="143"/>
      <c r="BO21" s="143"/>
      <c r="BP21" s="143"/>
      <c r="BQ21" s="142"/>
      <c r="BR21" s="143"/>
      <c r="BS21" s="143"/>
      <c r="BT21" s="142">
        <f>SUM(BU21:BW21)</f>
      </c>
      <c r="BU21" s="143"/>
      <c r="BV21" s="143"/>
      <c r="BW21" s="143"/>
      <c r="BX21" s="142">
        <f>SUM(BY21:CD21)</f>
      </c>
      <c r="BY21" s="143"/>
      <c r="BZ21" s="143"/>
      <c r="CA21" s="143"/>
      <c r="CB21" s="143"/>
      <c r="CC21" s="143"/>
      <c r="CD21" s="143"/>
      <c r="CE21" s="142"/>
      <c r="CF21" s="143"/>
      <c r="CG21" s="143"/>
      <c r="CH21" s="143"/>
      <c r="CI21" s="143"/>
      <c r="CJ21" s="143"/>
      <c r="CK21" s="142">
        <f>SUM(CL21:CN21)</f>
      </c>
      <c r="CL21" s="143"/>
      <c r="CM21" s="143"/>
      <c r="CN21" s="143"/>
      <c r="CO21" s="142">
        <f>SUM(CP21:CT21)</f>
      </c>
      <c r="CP21" s="143"/>
      <c r="CQ21" s="143"/>
      <c r="CR21" s="143"/>
      <c r="CS21" s="143"/>
      <c r="CT21" s="143"/>
      <c r="CU21" s="142"/>
      <c r="CV21" s="143"/>
      <c r="CW21" s="143"/>
      <c r="CX21" s="143"/>
      <c r="CY21" s="142"/>
      <c r="CZ21" s="143"/>
      <c r="DA21" s="143"/>
      <c r="DB21" s="143"/>
      <c r="DC21" s="143"/>
      <c r="DD21" s="143"/>
      <c r="DE21" s="143"/>
      <c r="DF21" s="143"/>
      <c r="DG21" s="142">
        <f>SUM(DH21:DH21)</f>
      </c>
      <c r="DH21" s="502" t="n">
        <v>50.0</v>
      </c>
      <c r="DI21" s="142"/>
      <c r="DJ21" s="143"/>
      <c r="DK21" s="142">
        <f>SUM(DL21:DQ21)</f>
      </c>
      <c r="DL21" s="143"/>
      <c r="DM21" s="143"/>
      <c r="DN21" s="143"/>
      <c r="DO21" s="143"/>
      <c r="DP21" s="143"/>
      <c r="DQ21" s="143"/>
      <c r="DR21" s="143"/>
      <c r="DS21" s="143"/>
      <c r="DT21" s="143"/>
      <c r="DU21" s="143"/>
      <c r="DV21" s="143"/>
      <c r="DW21" s="143"/>
      <c r="DX21" s="142"/>
      <c r="DY21" s="143"/>
      <c r="DZ21" s="142"/>
      <c r="EA21" s="143"/>
      <c r="EB21" s="143"/>
      <c r="EC21" s="142"/>
      <c r="ED21" s="143"/>
      <c r="EF21" s="143"/>
      <c r="EG21" s="142">
        <f>SUM(EH21:EQ21)</f>
      </c>
      <c r="EH21" s="143"/>
      <c r="EI21" s="143"/>
      <c r="EJ21" s="143"/>
      <c r="EK21" s="143"/>
      <c r="EL21" s="143"/>
      <c r="EM21" s="143"/>
      <c r="EN21" s="143"/>
      <c r="EO21" s="143"/>
      <c r="EP21" s="143"/>
      <c r="EQ21" s="143"/>
      <c r="ER21" s="142">
        <f>SUM(ES21:ET21)</f>
      </c>
      <c r="ES21" s="143"/>
      <c r="ET21" s="143"/>
      <c r="EU21" s="144"/>
      <c r="FB21" s="146"/>
      <c r="FC21" s="146" cm="1">
        <f t="array" ref="FC21">ROW()-ROW(New[#Headers])</f>
        <v>15</v>
      </c>
    </row>
    <row r="22" spans="2:159" s="139" customFormat="1" ht="10.5" x14ac:dyDescent="0.2">
      <c r="B22" s="133"/>
      <c r="C22" s="503" t="s">
        <v>1055</v>
      </c>
      <c r="D22" t="s" s="504">
        <v>1056</v>
      </c>
      <c r="E22" s="505" t="s">
        <v>13</v>
      </c>
      <c r="F22" t="s" s="506">
        <v>750</v>
      </c>
      <c r="G22" t="s" s="507">
        <v>1597</v>
      </c>
      <c r="H22" s="508" t="s">
        <v>46</v>
      </c>
      <c r="I22" t="s" s="509">
        <v>41</v>
      </c>
      <c r="J22" t="s" s="510">
        <v>64</v>
      </c>
      <c r="K22" t="s" s="511">
        <v>1679</v>
      </c>
      <c r="L22" t="s" s="512">
        <v>934</v>
      </c>
      <c r="M22" t="s" s="513">
        <v>305</v>
      </c>
      <c r="N22" s="514" t="s">
        <v>3873</v>
      </c>
      <c r="O22" s="515" t="s">
        <v>3876</v>
      </c>
      <c r="P22" s="141"/>
      <c r="Q22" s="142">
        <f>SUM(R22:AQ22)</f>
      </c>
      <c r="R22" s="143"/>
      <c r="S22" s="143"/>
      <c r="T22" s="516" t="n">
        <v>250.0</v>
      </c>
      <c r="U22" s="143"/>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2">
        <f>SUM(AS22:AV22)</f>
      </c>
      <c r="AS22" s="143"/>
      <c r="AT22" s="143"/>
      <c r="AU22" s="143"/>
      <c r="AV22" s="143"/>
      <c r="AW22" s="142">
        <f>SUM(AX22:BI22)</f>
      </c>
      <c r="AX22" s="143"/>
      <c r="AY22" s="143"/>
      <c r="AZ22" s="143"/>
      <c r="BA22" s="143"/>
      <c r="BB22" s="143"/>
      <c r="BC22" s="143"/>
      <c r="BD22" s="143"/>
      <c r="BE22" s="143"/>
      <c r="BF22" s="143"/>
      <c r="BG22" s="143"/>
      <c r="BH22" s="143"/>
      <c r="BI22" s="143"/>
      <c r="BJ22" s="142"/>
      <c r="BK22" s="143"/>
      <c r="BL22" s="143"/>
      <c r="BM22" s="143"/>
      <c r="BN22" s="143"/>
      <c r="BO22" s="143"/>
      <c r="BP22" s="143"/>
      <c r="BQ22" s="142"/>
      <c r="BR22" s="143"/>
      <c r="BS22" s="143"/>
      <c r="BT22" s="142">
        <f>SUM(BU22:BW22)</f>
      </c>
      <c r="BU22" s="143"/>
      <c r="BV22" s="143"/>
      <c r="BW22" s="143"/>
      <c r="BX22" s="142">
        <f>SUM(BY22:CD22)</f>
      </c>
      <c r="BY22" s="143"/>
      <c r="BZ22" s="143"/>
      <c r="CA22" s="143"/>
      <c r="CB22" s="143"/>
      <c r="CC22" s="143"/>
      <c r="CD22" s="143"/>
      <c r="CE22" s="142"/>
      <c r="CF22" s="143"/>
      <c r="CG22" s="143"/>
      <c r="CH22" s="143"/>
      <c r="CI22" s="143"/>
      <c r="CJ22" s="143"/>
      <c r="CK22" s="142">
        <f>SUM(CL22:CN22)</f>
      </c>
      <c r="CL22" s="143"/>
      <c r="CM22" s="143"/>
      <c r="CN22" s="143"/>
      <c r="CO22" s="142">
        <f>SUM(CP22:CT22)</f>
      </c>
      <c r="CP22" s="143"/>
      <c r="CQ22" s="143"/>
      <c r="CR22" s="143"/>
      <c r="CS22" s="143"/>
      <c r="CT22" s="143"/>
      <c r="CU22" s="142"/>
      <c r="CV22" s="143"/>
      <c r="CW22" s="143"/>
      <c r="CX22" s="143"/>
      <c r="CY22" s="142"/>
      <c r="CZ22" s="143"/>
      <c r="DA22" s="143"/>
      <c r="DB22" s="143"/>
      <c r="DC22" s="143"/>
      <c r="DD22" s="143"/>
      <c r="DE22" s="143"/>
      <c r="DF22" s="143"/>
      <c r="DG22" s="142">
        <f>SUM(DH22:DH22)</f>
      </c>
      <c r="DH22" s="143"/>
      <c r="DI22" s="142"/>
      <c r="DJ22" s="143"/>
      <c r="DK22" s="142">
        <f>SUM(DL22:DQ22)</f>
      </c>
      <c r="DL22" s="143"/>
      <c r="DM22" s="143"/>
      <c r="DN22" s="143"/>
      <c r="DO22" s="143"/>
      <c r="DP22" s="143"/>
      <c r="DQ22" s="143"/>
      <c r="DR22" s="143"/>
      <c r="DS22" s="143"/>
      <c r="DT22" s="143"/>
      <c r="DU22" s="143"/>
      <c r="DV22" s="143"/>
      <c r="DW22" s="143"/>
      <c r="DX22" s="142"/>
      <c r="DY22" s="143"/>
      <c r="DZ22" s="142"/>
      <c r="EA22" s="143"/>
      <c r="EB22" s="143"/>
      <c r="EC22" s="142"/>
      <c r="ED22" s="143"/>
      <c r="EF22" s="143"/>
      <c r="EG22" s="142">
        <f>SUM(EH22:EQ22)</f>
      </c>
      <c r="EH22" s="143"/>
      <c r="EI22" s="143"/>
      <c r="EJ22" s="143"/>
      <c r="EK22" s="143"/>
      <c r="EL22" s="143"/>
      <c r="EM22" s="143"/>
      <c r="EN22" s="143"/>
      <c r="EO22" s="143"/>
      <c r="EP22" s="143"/>
      <c r="EQ22" s="143"/>
      <c r="ER22" s="142">
        <f>SUM(ES22:ET22)</f>
      </c>
      <c r="ES22" s="143"/>
      <c r="ET22" s="143"/>
      <c r="EU22" s="144"/>
      <c r="FB22" s="146"/>
      <c r="FC22" s="146" cm="1">
        <f t="array" ref="FC22">ROW()-ROW(New[#Headers])</f>
        <v>16</v>
      </c>
    </row>
    <row r="23" spans="2:159" s="139" customFormat="1" ht="10.5" x14ac:dyDescent="0.2">
      <c r="B23" s="133"/>
      <c r="C23" s="517" t="s">
        <v>1060</v>
      </c>
      <c r="D23" t="s" s="518">
        <v>623</v>
      </c>
      <c r="E23" s="519" t="s">
        <v>23</v>
      </c>
      <c r="F23" t="s" s="520">
        <v>750</v>
      </c>
      <c r="G23" t="s" s="521">
        <v>1597</v>
      </c>
      <c r="H23" s="522" t="s">
        <v>51</v>
      </c>
      <c r="I23" t="s" s="523">
        <v>43</v>
      </c>
      <c r="J23" t="s" s="524">
        <v>64</v>
      </c>
      <c r="K23" t="s" s="525">
        <v>1232</v>
      </c>
      <c r="L23" t="s" s="526">
        <v>305</v>
      </c>
      <c r="M23" t="s" s="527">
        <v>305</v>
      </c>
      <c r="N23" s="528" t="s">
        <v>3873</v>
      </c>
      <c r="O23" s="529" t="s">
        <v>3871</v>
      </c>
      <c r="P23" s="141"/>
      <c r="Q23" s="142">
        <f>SUM(R23:AQ23)</f>
      </c>
      <c r="R23" s="143"/>
      <c r="S23" s="143"/>
      <c r="T23" s="530" t="n">
        <v>2300.0</v>
      </c>
      <c r="U23" s="143"/>
      <c r="V23" s="143"/>
      <c r="W23" s="143"/>
      <c r="X23" s="143"/>
      <c r="Y23" s="143"/>
      <c r="Z23" s="143"/>
      <c r="AA23" s="143"/>
      <c r="AB23" s="143"/>
      <c r="AC23" s="143"/>
      <c r="AD23" s="143"/>
      <c r="AE23" s="143"/>
      <c r="AF23" s="143"/>
      <c r="AG23" s="143"/>
      <c r="AH23" s="143"/>
      <c r="AI23" s="143"/>
      <c r="AJ23" s="143"/>
      <c r="AK23" s="143"/>
      <c r="AL23" s="143"/>
      <c r="AM23" s="143"/>
      <c r="AN23" s="531" t="n">
        <v>400.0</v>
      </c>
      <c r="AO23" s="143"/>
      <c r="AP23" s="143"/>
      <c r="AQ23" s="143"/>
      <c r="AR23" s="142">
        <f>SUM(AS23:AV23)</f>
      </c>
      <c r="AS23" s="143"/>
      <c r="AT23" s="143"/>
      <c r="AU23" s="143"/>
      <c r="AV23" s="143"/>
      <c r="AW23" s="142">
        <f>SUM(AX23:BI23)</f>
      </c>
      <c r="AX23" s="143"/>
      <c r="AY23" s="143"/>
      <c r="AZ23" s="143"/>
      <c r="BA23" s="143"/>
      <c r="BB23" s="143"/>
      <c r="BC23" s="143"/>
      <c r="BD23" s="143"/>
      <c r="BE23" s="143"/>
      <c r="BF23" s="143"/>
      <c r="BG23" s="143"/>
      <c r="BH23" s="143"/>
      <c r="BI23" s="143"/>
      <c r="BJ23" s="142"/>
      <c r="BK23" s="143"/>
      <c r="BL23" s="143"/>
      <c r="BM23" s="143"/>
      <c r="BN23" s="143"/>
      <c r="BO23" s="143"/>
      <c r="BP23" s="143"/>
      <c r="BQ23" s="142"/>
      <c r="BR23" s="143"/>
      <c r="BS23" s="143"/>
      <c r="BT23" s="142">
        <f>SUM(BU23:BW23)</f>
      </c>
      <c r="BU23" s="143"/>
      <c r="BV23" s="143"/>
      <c r="BW23" s="143"/>
      <c r="BX23" s="142">
        <f>SUM(BY23:CD23)</f>
      </c>
      <c r="BY23" s="143"/>
      <c r="BZ23" s="143"/>
      <c r="CA23" s="143"/>
      <c r="CB23" s="143"/>
      <c r="CC23" s="143"/>
      <c r="CD23" s="143"/>
      <c r="CE23" s="142"/>
      <c r="CF23" s="143"/>
      <c r="CG23" s="143"/>
      <c r="CH23" s="143"/>
      <c r="CI23" s="143"/>
      <c r="CJ23" s="143"/>
      <c r="CK23" s="142">
        <f>SUM(CL23:CN23)</f>
      </c>
      <c r="CL23" s="143"/>
      <c r="CM23" s="143"/>
      <c r="CN23" s="143"/>
      <c r="CO23" s="142">
        <f>SUM(CP23:CT23)</f>
      </c>
      <c r="CP23" s="143"/>
      <c r="CQ23" s="143"/>
      <c r="CR23" s="143"/>
      <c r="CS23" s="143"/>
      <c r="CT23" s="143"/>
      <c r="CU23" s="142"/>
      <c r="CV23" s="143"/>
      <c r="CW23" s="143"/>
      <c r="CX23" s="143"/>
      <c r="CY23" s="142"/>
      <c r="CZ23" s="143"/>
      <c r="DA23" s="143"/>
      <c r="DB23" s="143"/>
      <c r="DC23" s="143"/>
      <c r="DD23" s="143"/>
      <c r="DE23" s="143"/>
      <c r="DF23" s="143"/>
      <c r="DG23" s="142">
        <f>SUM(DH23:DH23)</f>
      </c>
      <c r="DH23" s="143"/>
      <c r="DI23" s="142"/>
      <c r="DJ23" s="143"/>
      <c r="DK23" s="142">
        <f>SUM(DL23:DQ23)</f>
      </c>
      <c r="DL23" s="143"/>
      <c r="DM23" s="143"/>
      <c r="DN23" s="143"/>
      <c r="DO23" s="143"/>
      <c r="DP23" s="143"/>
      <c r="DQ23" s="143"/>
      <c r="DR23" s="143"/>
      <c r="DS23" s="143"/>
      <c r="DT23" s="143"/>
      <c r="DU23" s="143"/>
      <c r="DV23" s="143"/>
      <c r="DW23" s="143"/>
      <c r="DX23" s="142"/>
      <c r="DY23" s="143"/>
      <c r="DZ23" s="142"/>
      <c r="EA23" s="143"/>
      <c r="EB23" s="143"/>
      <c r="EC23" s="142"/>
      <c r="ED23" s="143"/>
      <c r="EF23" s="143"/>
      <c r="EG23" s="142">
        <f>SUM(EH23:EQ23)</f>
      </c>
      <c r="EH23" s="143"/>
      <c r="EI23" s="143"/>
      <c r="EJ23" s="143"/>
      <c r="EK23" s="143"/>
      <c r="EL23" s="143"/>
      <c r="EM23" s="143"/>
      <c r="EN23" s="143"/>
      <c r="EO23" s="143"/>
      <c r="EP23" s="143"/>
      <c r="EQ23" s="143"/>
      <c r="ER23" s="142">
        <f>SUM(ES23:ET23)</f>
      </c>
      <c r="ES23" s="143"/>
      <c r="ET23" s="143"/>
      <c r="EU23" s="144"/>
      <c r="FB23" s="146"/>
      <c r="FC23" s="146" cm="1">
        <f t="array" ref="FC23">ROW()-ROW(New[#Headers])</f>
        <v>17</v>
      </c>
    </row>
    <row r="24" spans="2:159" s="139" customFormat="1" ht="10.5" x14ac:dyDescent="0.2">
      <c r="B24" s="133"/>
      <c r="C24" s="532" t="s">
        <v>327</v>
      </c>
      <c r="D24" t="s" s="533">
        <v>328</v>
      </c>
      <c r="E24" s="534" t="s">
        <v>13</v>
      </c>
      <c r="F24" t="s" s="535">
        <v>984</v>
      </c>
      <c r="G24" t="s" s="536">
        <v>1597</v>
      </c>
      <c r="H24" s="537" t="s">
        <v>46</v>
      </c>
      <c r="I24" t="s" s="538">
        <v>41</v>
      </c>
      <c r="J24" t="s" s="539">
        <v>64</v>
      </c>
      <c r="K24" t="s" s="540">
        <v>985</v>
      </c>
      <c r="L24" t="s" s="541">
        <v>934</v>
      </c>
      <c r="M24" t="s" s="542">
        <v>305</v>
      </c>
      <c r="N24" s="543" t="s">
        <v>3873</v>
      </c>
      <c r="O24" s="544" t="s">
        <v>3878</v>
      </c>
      <c r="P24" s="141"/>
      <c r="Q24" s="142">
        <f>SUM(R24:AQ24)</f>
      </c>
      <c r="R24" s="143"/>
      <c r="S24" s="545" t="n">
        <v>180.0</v>
      </c>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2">
        <f>SUM(AS24:AV24)</f>
      </c>
      <c r="AS24" s="143"/>
      <c r="AT24" s="143"/>
      <c r="AU24" s="143"/>
      <c r="AV24" s="143"/>
      <c r="AW24" s="142">
        <f>SUM(AX24:BI24)</f>
      </c>
      <c r="AX24" s="143"/>
      <c r="AY24" s="143"/>
      <c r="AZ24" s="143"/>
      <c r="BA24" s="143"/>
      <c r="BB24" s="143"/>
      <c r="BC24" s="143"/>
      <c r="BD24" s="143"/>
      <c r="BE24" s="143"/>
      <c r="BF24" s="143"/>
      <c r="BG24" s="143"/>
      <c r="BH24" s="143"/>
      <c r="BI24" s="143"/>
      <c r="BJ24" s="142"/>
      <c r="BK24" s="143"/>
      <c r="BL24" s="143"/>
      <c r="BM24" s="143"/>
      <c r="BN24" s="143"/>
      <c r="BO24" s="143"/>
      <c r="BP24" s="143"/>
      <c r="BQ24" s="142"/>
      <c r="BR24" s="143"/>
      <c r="BS24" s="143"/>
      <c r="BT24" s="142">
        <f>SUM(BU24:BW24)</f>
      </c>
      <c r="BU24" s="143"/>
      <c r="BV24" s="143"/>
      <c r="BW24" s="143"/>
      <c r="BX24" s="142">
        <f>SUM(BY24:CD24)</f>
      </c>
      <c r="BY24" s="143"/>
      <c r="BZ24" s="143"/>
      <c r="CA24" s="143"/>
      <c r="CB24" s="143"/>
      <c r="CC24" s="143"/>
      <c r="CD24" s="143"/>
      <c r="CE24" s="142"/>
      <c r="CF24" s="143"/>
      <c r="CG24" s="143"/>
      <c r="CH24" s="143"/>
      <c r="CI24" s="143"/>
      <c r="CJ24" s="143"/>
      <c r="CK24" s="142">
        <f>SUM(CL24:CN24)</f>
      </c>
      <c r="CL24" s="143"/>
      <c r="CM24" s="143"/>
      <c r="CN24" s="143"/>
      <c r="CO24" s="142">
        <f>SUM(CP24:CT24)</f>
      </c>
      <c r="CP24" s="143"/>
      <c r="CQ24" s="143"/>
      <c r="CR24" s="143"/>
      <c r="CS24" s="143"/>
      <c r="CT24" s="143"/>
      <c r="CU24" s="142"/>
      <c r="CV24" s="143"/>
      <c r="CW24" s="143"/>
      <c r="CX24" s="143"/>
      <c r="CY24" s="142"/>
      <c r="CZ24" s="143"/>
      <c r="DA24" s="143"/>
      <c r="DB24" s="143"/>
      <c r="DC24" s="143"/>
      <c r="DD24" s="143"/>
      <c r="DE24" s="143"/>
      <c r="DF24" s="143"/>
      <c r="DG24" s="142">
        <f>SUM(DH24:DH24)</f>
      </c>
      <c r="DH24" s="143"/>
      <c r="DI24" s="142"/>
      <c r="DJ24" s="143"/>
      <c r="DK24" s="142">
        <f>SUM(DL24:DQ24)</f>
      </c>
      <c r="DL24" s="143"/>
      <c r="DM24" s="143"/>
      <c r="DN24" s="143"/>
      <c r="DO24" s="143"/>
      <c r="DP24" s="143"/>
      <c r="DQ24" s="143"/>
      <c r="DR24" s="143"/>
      <c r="DS24" s="143"/>
      <c r="DT24" s="143"/>
      <c r="DU24" s="143"/>
      <c r="DV24" s="143"/>
      <c r="DW24" s="143"/>
      <c r="DX24" s="142"/>
      <c r="DY24" s="143"/>
      <c r="DZ24" s="142"/>
      <c r="EA24" s="143"/>
      <c r="EB24" s="143"/>
      <c r="EC24" s="142"/>
      <c r="ED24" s="143"/>
      <c r="EF24" s="143"/>
      <c r="EG24" s="142">
        <f>SUM(EH24:EQ24)</f>
      </c>
      <c r="EH24" s="143"/>
      <c r="EI24" s="143"/>
      <c r="EJ24" s="143"/>
      <c r="EK24" s="143"/>
      <c r="EL24" s="143"/>
      <c r="EM24" s="143"/>
      <c r="EN24" s="143"/>
      <c r="EO24" s="143"/>
      <c r="EP24" s="143"/>
      <c r="EQ24" s="143"/>
      <c r="ER24" s="142">
        <f>SUM(ES24:ET24)</f>
      </c>
      <c r="ES24" s="143"/>
      <c r="ET24" s="143"/>
      <c r="EU24" s="144"/>
      <c r="FB24" s="146"/>
      <c r="FC24" s="146" cm="1">
        <f t="array" ref="FC24">ROW()-ROW(New[#Headers])</f>
        <v>18</v>
      </c>
    </row>
    <row r="25" spans="2:159" s="139" customFormat="1" ht="10.5" x14ac:dyDescent="0.2">
      <c r="B25" s="133"/>
      <c r="C25" s="589" t="s">
        <v>484</v>
      </c>
      <c r="D25" t="s" s="590">
        <v>485</v>
      </c>
      <c r="E25" s="591" t="s">
        <v>889</v>
      </c>
      <c r="F25" t="s" s="592">
        <v>1109</v>
      </c>
      <c r="G25" t="s" s="593">
        <v>305</v>
      </c>
      <c r="H25" s="594" t="s">
        <v>61</v>
      </c>
      <c r="I25" t="s" s="595">
        <v>41</v>
      </c>
      <c r="J25" t="s" s="596">
        <v>68</v>
      </c>
      <c r="K25" t="s" s="597">
        <v>1659</v>
      </c>
      <c r="L25" t="s" s="598">
        <v>751</v>
      </c>
      <c r="M25" t="s" s="599">
        <v>305</v>
      </c>
      <c r="N25" s="600" t="s">
        <v>3873</v>
      </c>
      <c r="O25" s="601" t="s">
        <v>3871</v>
      </c>
      <c r="P25" s="141"/>
      <c r="Q25" s="142">
        <f>SUM(R25:AQ25)</f>
      </c>
      <c r="R25" s="143"/>
      <c r="S25" s="143"/>
      <c r="T25" s="143"/>
      <c r="U25" s="143"/>
      <c r="V25" s="143"/>
      <c r="W25" s="143"/>
      <c r="X25" s="143"/>
      <c r="Y25" s="143"/>
      <c r="Z25" s="143"/>
      <c r="AA25" s="143"/>
      <c r="AB25" s="143"/>
      <c r="AC25" s="143"/>
      <c r="AD25" s="602" t="n">
        <v>400.0</v>
      </c>
      <c r="AE25" s="143"/>
      <c r="AF25" s="143"/>
      <c r="AG25" s="143"/>
      <c r="AH25" s="143"/>
      <c r="AI25" s="143"/>
      <c r="AJ25" s="143"/>
      <c r="AK25" s="143"/>
      <c r="AL25" s="143"/>
      <c r="AM25" s="143"/>
      <c r="AN25" s="143"/>
      <c r="AO25" s="143"/>
      <c r="AP25" s="143"/>
      <c r="AQ25" s="143"/>
      <c r="AR25" s="142">
        <f>SUM(AS25:AV25)</f>
      </c>
      <c r="AS25" s="143"/>
      <c r="AT25" s="143"/>
      <c r="AU25" s="143"/>
      <c r="AV25" s="143"/>
      <c r="AW25" s="142">
        <f>SUM(AX25:BI25)</f>
      </c>
      <c r="AX25" s="143"/>
      <c r="AY25" s="143"/>
      <c r="AZ25" s="143"/>
      <c r="BA25" s="143"/>
      <c r="BB25" s="143"/>
      <c r="BC25" s="143"/>
      <c r="BD25" s="143"/>
      <c r="BE25" s="143"/>
      <c r="BF25" s="143"/>
      <c r="BG25" s="143"/>
      <c r="BH25" s="143"/>
      <c r="BI25" s="143"/>
      <c r="BJ25" s="142"/>
      <c r="BK25" s="143"/>
      <c r="BL25" s="143"/>
      <c r="BM25" s="143"/>
      <c r="BN25" s="143"/>
      <c r="BO25" s="143"/>
      <c r="BP25" s="143"/>
      <c r="BQ25" s="142"/>
      <c r="BR25" s="143"/>
      <c r="BS25" s="143"/>
      <c r="BT25" s="142">
        <f>SUM(BU25:BW25)</f>
      </c>
      <c r="BU25" s="143"/>
      <c r="BV25" s="143"/>
      <c r="BW25" s="143"/>
      <c r="BX25" s="142">
        <f>SUM(BY25:CD25)</f>
      </c>
      <c r="BY25" s="143"/>
      <c r="BZ25" s="143"/>
      <c r="CA25" s="143"/>
      <c r="CB25" s="143"/>
      <c r="CC25" s="143"/>
      <c r="CD25" s="143"/>
      <c r="CE25" s="142"/>
      <c r="CF25" s="143"/>
      <c r="CG25" s="143"/>
      <c r="CH25" s="143"/>
      <c r="CI25" s="143"/>
      <c r="CJ25" s="143"/>
      <c r="CK25" s="142">
        <f>SUM(CL25:CN25)</f>
      </c>
      <c r="CL25" s="143"/>
      <c r="CM25" s="143"/>
      <c r="CN25" s="143"/>
      <c r="CO25" s="142">
        <f>SUM(CP25:CT25)</f>
      </c>
      <c r="CP25" s="143"/>
      <c r="CQ25" s="143"/>
      <c r="CR25" s="143"/>
      <c r="CS25" s="143"/>
      <c r="CT25" s="143"/>
      <c r="CU25" s="142"/>
      <c r="CV25" s="143"/>
      <c r="CW25" s="143"/>
      <c r="CX25" s="143"/>
      <c r="CY25" s="142"/>
      <c r="CZ25" s="143"/>
      <c r="DA25" s="143"/>
      <c r="DB25" s="143"/>
      <c r="DC25" s="143"/>
      <c r="DD25" s="143"/>
      <c r="DE25" s="143"/>
      <c r="DF25" s="143"/>
      <c r="DG25" s="142">
        <f>SUM(DH25:DH25)</f>
      </c>
      <c r="DH25" s="143"/>
      <c r="DI25" s="142"/>
      <c r="DJ25" s="143"/>
      <c r="DK25" s="142">
        <f>SUM(DL25:DQ25)</f>
      </c>
      <c r="DL25" s="143"/>
      <c r="DM25" s="143"/>
      <c r="DN25" s="143"/>
      <c r="DO25" s="143"/>
      <c r="DP25" s="143"/>
      <c r="DQ25" s="143"/>
      <c r="DR25" s="143"/>
      <c r="DS25" s="143"/>
      <c r="DT25" s="143"/>
      <c r="DU25" s="143"/>
      <c r="DV25" s="143"/>
      <c r="DW25" s="143"/>
      <c r="DX25" s="142"/>
      <c r="DY25" s="143"/>
      <c r="DZ25" s="142"/>
      <c r="EA25" s="143"/>
      <c r="EB25" s="143"/>
      <c r="EC25" s="142"/>
      <c r="ED25" s="143"/>
      <c r="EF25" s="143"/>
      <c r="EG25" s="142">
        <f>SUM(EH25:EQ25)</f>
      </c>
      <c r="EH25" s="143"/>
      <c r="EI25" s="143"/>
      <c r="EJ25" s="143"/>
      <c r="EK25" s="143"/>
      <c r="EL25" s="143"/>
      <c r="EM25" s="143"/>
      <c r="EN25" s="143"/>
      <c r="EO25" s="143"/>
      <c r="EP25" s="143"/>
      <c r="EQ25" s="143"/>
      <c r="ER25" s="142">
        <f>SUM(ES25:ET25)</f>
      </c>
      <c r="ES25" s="143"/>
      <c r="ET25" s="143"/>
      <c r="EU25" s="144"/>
      <c r="FB25" s="146"/>
      <c r="FC25" s="146" cm="1">
        <f t="array" ref="FC25">ROW()-ROW(New[#Headers])</f>
        <v>19</v>
      </c>
    </row>
    <row r="26" spans="2:159" s="139" customFormat="1" ht="10.5" x14ac:dyDescent="0.2">
      <c r="B26" s="133"/>
      <c r="C26" s="617" t="s">
        <v>349</v>
      </c>
      <c r="D26" t="s" s="618">
        <v>350</v>
      </c>
      <c r="E26" s="619" t="s">
        <v>23</v>
      </c>
      <c r="F26" t="s" s="620">
        <v>810</v>
      </c>
      <c r="G26" t="s" s="621">
        <v>1597</v>
      </c>
      <c r="H26" s="622" t="s">
        <v>51</v>
      </c>
      <c r="I26" t="s" s="623">
        <v>43</v>
      </c>
      <c r="J26" t="s" s="624">
        <v>71</v>
      </c>
      <c r="K26" t="s" s="625">
        <v>811</v>
      </c>
      <c r="L26" t="s" s="626">
        <v>779</v>
      </c>
      <c r="M26" t="s" s="627">
        <v>305</v>
      </c>
      <c r="N26" s="628" t="s">
        <v>3873</v>
      </c>
      <c r="O26" s="629" t="s">
        <v>3871</v>
      </c>
      <c r="P26" s="141"/>
      <c r="Q26" s="142">
        <f>SUM(R26:AQ26)</f>
      </c>
      <c r="R26" s="143"/>
      <c r="S26" s="143"/>
      <c r="T26" s="143"/>
      <c r="U26" s="143"/>
      <c r="V26" s="143"/>
      <c r="W26" s="630" t="n">
        <v>630.0</v>
      </c>
      <c r="X26" s="143"/>
      <c r="Y26" s="143"/>
      <c r="Z26" s="143"/>
      <c r="AA26" s="143"/>
      <c r="AB26" s="143"/>
      <c r="AC26" s="143"/>
      <c r="AD26" s="143"/>
      <c r="AE26" s="143"/>
      <c r="AF26" s="143"/>
      <c r="AG26" s="143"/>
      <c r="AH26" s="143"/>
      <c r="AI26" s="631" t="n">
        <v>430.0</v>
      </c>
      <c r="AJ26" s="143"/>
      <c r="AK26" s="143"/>
      <c r="AL26" s="143"/>
      <c r="AM26" s="143"/>
      <c r="AN26" s="143"/>
      <c r="AO26" s="143"/>
      <c r="AP26" s="143"/>
      <c r="AQ26" s="143"/>
      <c r="AR26" s="142">
        <f>SUM(AS26:AV26)</f>
      </c>
      <c r="AS26" s="143"/>
      <c r="AT26" s="143"/>
      <c r="AU26" s="143"/>
      <c r="AV26" s="143"/>
      <c r="AW26" s="142">
        <f>SUM(AX26:BI26)</f>
      </c>
      <c r="AX26" s="143"/>
      <c r="AY26" s="143"/>
      <c r="AZ26" s="143"/>
      <c r="BA26" s="143"/>
      <c r="BB26" s="143"/>
      <c r="BC26" s="143"/>
      <c r="BD26" s="143"/>
      <c r="BE26" s="143"/>
      <c r="BF26" s="143"/>
      <c r="BG26" s="143"/>
      <c r="BH26" s="143"/>
      <c r="BI26" s="143"/>
      <c r="BJ26" s="142"/>
      <c r="BK26" s="143"/>
      <c r="BL26" s="143"/>
      <c r="BM26" s="143"/>
      <c r="BN26" s="143"/>
      <c r="BO26" s="143"/>
      <c r="BP26" s="143"/>
      <c r="BQ26" s="142"/>
      <c r="BR26" s="143"/>
      <c r="BS26" s="143"/>
      <c r="BT26" s="142">
        <f>SUM(BU26:BW26)</f>
      </c>
      <c r="BU26" s="143"/>
      <c r="BV26" s="143"/>
      <c r="BW26" s="143"/>
      <c r="BX26" s="142">
        <f>SUM(BY26:CD26)</f>
      </c>
      <c r="BY26" s="143"/>
      <c r="BZ26" s="143"/>
      <c r="CA26" s="143"/>
      <c r="CB26" s="143"/>
      <c r="CC26" s="143"/>
      <c r="CD26" s="143"/>
      <c r="CE26" s="142"/>
      <c r="CF26" s="143"/>
      <c r="CG26" s="143"/>
      <c r="CH26" s="143"/>
      <c r="CI26" s="143"/>
      <c r="CJ26" s="143"/>
      <c r="CK26" s="142">
        <f>SUM(CL26:CN26)</f>
      </c>
      <c r="CL26" s="143"/>
      <c r="CM26" s="143"/>
      <c r="CN26" s="143"/>
      <c r="CO26" s="142">
        <f>SUM(CP26:CT26)</f>
      </c>
      <c r="CP26" s="143"/>
      <c r="CQ26" s="143"/>
      <c r="CR26" s="143"/>
      <c r="CS26" s="143"/>
      <c r="CT26" s="143"/>
      <c r="CU26" s="142"/>
      <c r="CV26" s="143"/>
      <c r="CW26" s="143"/>
      <c r="CX26" s="143"/>
      <c r="CY26" s="142"/>
      <c r="CZ26" s="143"/>
      <c r="DA26" s="143"/>
      <c r="DB26" s="143"/>
      <c r="DC26" s="143"/>
      <c r="DD26" s="143"/>
      <c r="DE26" s="143"/>
      <c r="DF26" s="143"/>
      <c r="DG26" s="142">
        <f>SUM(DH26:DH26)</f>
      </c>
      <c r="DH26" s="143"/>
      <c r="DI26" s="142"/>
      <c r="DJ26" s="143"/>
      <c r="DK26" s="142">
        <f>SUM(DL26:DQ26)</f>
      </c>
      <c r="DL26" s="143"/>
      <c r="DM26" s="143"/>
      <c r="DN26" s="143"/>
      <c r="DO26" s="143"/>
      <c r="DP26" s="143"/>
      <c r="DQ26" s="143"/>
      <c r="DR26" s="143"/>
      <c r="DS26" s="143"/>
      <c r="DT26" s="143"/>
      <c r="DU26" s="143"/>
      <c r="DV26" s="143"/>
      <c r="DW26" s="143"/>
      <c r="DX26" s="142"/>
      <c r="DY26" s="143"/>
      <c r="DZ26" s="142"/>
      <c r="EA26" s="143"/>
      <c r="EB26" s="143"/>
      <c r="EC26" s="142"/>
      <c r="ED26" s="143"/>
      <c r="EF26" s="143"/>
      <c r="EG26" s="142">
        <f>SUM(EH26:EQ26)</f>
      </c>
      <c r="EH26" s="143"/>
      <c r="EI26" s="143"/>
      <c r="EJ26" s="143"/>
      <c r="EK26" s="143"/>
      <c r="EL26" s="143"/>
      <c r="EM26" s="143"/>
      <c r="EN26" s="143"/>
      <c r="EO26" s="143"/>
      <c r="EP26" s="143"/>
      <c r="EQ26" s="143"/>
      <c r="ER26" s="142">
        <f>SUM(ES26:ET26)</f>
      </c>
      <c r="ES26" s="143"/>
      <c r="ET26" s="143"/>
      <c r="EU26" s="144"/>
      <c r="FB26" s="146"/>
      <c r="FC26" s="146" cm="1">
        <f t="array" ref="FC26">ROW()-ROW(New[#Headers])</f>
        <v>20</v>
      </c>
    </row>
    <row r="27" spans="2:159" s="139" customFormat="1" ht="10.5" x14ac:dyDescent="0.2">
      <c r="B27" s="133"/>
      <c r="C27" s="660" t="s">
        <v>1719</v>
      </c>
      <c r="D27" t="s" s="661">
        <v>677</v>
      </c>
      <c r="E27" s="662" t="s">
        <v>889</v>
      </c>
      <c r="F27" t="s" s="663">
        <v>750</v>
      </c>
      <c r="G27" t="s" s="664">
        <v>345</v>
      </c>
      <c r="H27" s="665" t="s">
        <v>49</v>
      </c>
      <c r="I27" t="s" s="666">
        <v>41</v>
      </c>
      <c r="J27" t="s" s="667">
        <v>64</v>
      </c>
      <c r="K27" t="s" s="668">
        <v>1679</v>
      </c>
      <c r="L27" t="s" s="669">
        <v>305</v>
      </c>
      <c r="M27" t="s" s="670">
        <v>1615</v>
      </c>
      <c r="N27" s="671" t="s">
        <v>3873</v>
      </c>
      <c r="O27" s="672" t="s">
        <v>3878</v>
      </c>
      <c r="P27" s="141"/>
      <c r="Q27" s="142">
        <f>SUM(R27:AQ27)</f>
      </c>
      <c r="R27" s="143"/>
      <c r="S27" s="143"/>
      <c r="T27" s="673" t="n">
        <v>350.0</v>
      </c>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2">
        <f>SUM(AS27:AV27)</f>
      </c>
      <c r="AS27" s="143"/>
      <c r="AT27" s="143"/>
      <c r="AU27" s="143"/>
      <c r="AV27" s="143"/>
      <c r="AW27" s="142">
        <f>SUM(AX27:BI27)</f>
      </c>
      <c r="AX27" s="143"/>
      <c r="AY27" s="143"/>
      <c r="AZ27" s="143"/>
      <c r="BA27" s="143"/>
      <c r="BB27" s="143"/>
      <c r="BC27" s="143"/>
      <c r="BD27" s="143"/>
      <c r="BE27" s="143"/>
      <c r="BF27" s="143"/>
      <c r="BG27" s="143"/>
      <c r="BH27" s="143"/>
      <c r="BI27" s="143"/>
      <c r="BJ27" s="142"/>
      <c r="BK27" s="143"/>
      <c r="BL27" s="143"/>
      <c r="BM27" s="143"/>
      <c r="BN27" s="143"/>
      <c r="BO27" s="143"/>
      <c r="BP27" s="143"/>
      <c r="BQ27" s="142"/>
      <c r="BR27" s="143"/>
      <c r="BS27" s="143"/>
      <c r="BT27" s="142">
        <f>SUM(BU27:BW27)</f>
      </c>
      <c r="BU27" s="143"/>
      <c r="BV27" s="143"/>
      <c r="BW27" s="143"/>
      <c r="BX27" s="142">
        <f>SUM(BY27:CD27)</f>
      </c>
      <c r="BY27" s="143"/>
      <c r="BZ27" s="143"/>
      <c r="CA27" s="143"/>
      <c r="CB27" s="143"/>
      <c r="CC27" s="143"/>
      <c r="CD27" s="143"/>
      <c r="CE27" s="142"/>
      <c r="CF27" s="143"/>
      <c r="CG27" s="143"/>
      <c r="CH27" s="143"/>
      <c r="CI27" s="143"/>
      <c r="CJ27" s="143"/>
      <c r="CK27" s="142">
        <f>SUM(CL27:CN27)</f>
      </c>
      <c r="CL27" s="143"/>
      <c r="CM27" s="143"/>
      <c r="CN27" s="143"/>
      <c r="CO27" s="142">
        <f>SUM(CP27:CT27)</f>
      </c>
      <c r="CP27" s="143"/>
      <c r="CQ27" s="143"/>
      <c r="CR27" s="143"/>
      <c r="CS27" s="143"/>
      <c r="CT27" s="143"/>
      <c r="CU27" s="142"/>
      <c r="CV27" s="143"/>
      <c r="CW27" s="143"/>
      <c r="CX27" s="143"/>
      <c r="CY27" s="142"/>
      <c r="CZ27" s="143"/>
      <c r="DA27" s="143"/>
      <c r="DB27" s="143"/>
      <c r="DC27" s="143"/>
      <c r="DD27" s="143"/>
      <c r="DE27" s="143"/>
      <c r="DF27" s="143"/>
      <c r="DG27" s="142">
        <f>SUM(DH27:DH27)</f>
      </c>
      <c r="DH27" s="143"/>
      <c r="DI27" s="142"/>
      <c r="DJ27" s="143"/>
      <c r="DK27" s="142">
        <f>SUM(DL27:DQ27)</f>
      </c>
      <c r="DL27" s="143"/>
      <c r="DM27" s="143"/>
      <c r="DN27" s="143"/>
      <c r="DO27" s="143"/>
      <c r="DP27" s="143"/>
      <c r="DQ27" s="143"/>
      <c r="DR27" s="143"/>
      <c r="DS27" s="143"/>
      <c r="DT27" s="143"/>
      <c r="DU27" s="143"/>
      <c r="DV27" s="143"/>
      <c r="DW27" s="143"/>
      <c r="DX27" s="142"/>
      <c r="DY27" s="143"/>
      <c r="DZ27" s="142"/>
      <c r="EA27" s="143"/>
      <c r="EB27" s="143"/>
      <c r="EC27" s="142"/>
      <c r="ED27" s="143"/>
      <c r="EF27" s="143"/>
      <c r="EG27" s="142">
        <f>SUM(EH27:EQ27)</f>
      </c>
      <c r="EH27" s="143"/>
      <c r="EI27" s="143"/>
      <c r="EJ27" s="143"/>
      <c r="EK27" s="143"/>
      <c r="EL27" s="143"/>
      <c r="EM27" s="143"/>
      <c r="EN27" s="143"/>
      <c r="EO27" s="143"/>
      <c r="EP27" s="143"/>
      <c r="EQ27" s="143"/>
      <c r="ER27" s="142">
        <f>SUM(ES27:ET27)</f>
      </c>
      <c r="ES27" s="143"/>
      <c r="ET27" s="143"/>
      <c r="EU27" s="144"/>
      <c r="FB27" s="146"/>
      <c r="FC27" s="146" cm="1">
        <f t="array" ref="FC27">ROW()-ROW(New[#Headers])</f>
        <v>21</v>
      </c>
    </row>
    <row r="28" spans="2:159" s="139" customFormat="1" ht="10.5" x14ac:dyDescent="0.2">
      <c r="B28" s="133"/>
      <c r="C28" s="674" t="s">
        <v>710</v>
      </c>
      <c r="D28" t="s" s="675">
        <v>711</v>
      </c>
      <c r="E28" s="676" t="s">
        <v>13</v>
      </c>
      <c r="F28" t="s" s="677">
        <v>750</v>
      </c>
      <c r="G28" t="s" s="678">
        <v>345</v>
      </c>
      <c r="H28" s="679" t="s">
        <v>55</v>
      </c>
      <c r="I28" t="s" s="680">
        <v>41</v>
      </c>
      <c r="J28" t="s" s="681">
        <v>64</v>
      </c>
      <c r="K28" t="s" s="682">
        <v>1679</v>
      </c>
      <c r="L28" t="s" s="683">
        <v>767</v>
      </c>
      <c r="M28" t="s" s="684">
        <v>305</v>
      </c>
      <c r="N28" s="685" t="s">
        <v>3873</v>
      </c>
      <c r="O28" s="686" t="s">
        <v>3878</v>
      </c>
      <c r="P28" s="141"/>
      <c r="Q28" s="142">
        <f>SUM(R28:AQ28)</f>
      </c>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2">
        <f>SUM(AS28:AV28)</f>
      </c>
      <c r="AS28" s="143"/>
      <c r="AT28" s="143"/>
      <c r="AU28" s="143"/>
      <c r="AV28" s="143"/>
      <c r="AW28" s="142">
        <f>SUM(AX28:BI28)</f>
      </c>
      <c r="AX28" s="143"/>
      <c r="AY28" s="143"/>
      <c r="AZ28" s="143"/>
      <c r="BA28" s="143"/>
      <c r="BB28" s="143"/>
      <c r="BC28" s="143"/>
      <c r="BD28" s="143"/>
      <c r="BE28" s="143"/>
      <c r="BF28" s="143"/>
      <c r="BG28" s="143"/>
      <c r="BH28" s="143"/>
      <c r="BI28" s="143"/>
      <c r="BJ28" s="142"/>
      <c r="BK28" s="143"/>
      <c r="BL28" s="143"/>
      <c r="BM28" s="143"/>
      <c r="BN28" s="143"/>
      <c r="BO28" s="143"/>
      <c r="BP28" s="143"/>
      <c r="BQ28" s="142"/>
      <c r="BR28" s="143"/>
      <c r="BS28" s="143"/>
      <c r="BT28" s="142">
        <f>SUM(BU28:BW28)</f>
      </c>
      <c r="BU28" s="143"/>
      <c r="BV28" s="143"/>
      <c r="BW28" s="143"/>
      <c r="BX28" s="142">
        <f>SUM(BY28:CD28)</f>
      </c>
      <c r="BY28" s="143"/>
      <c r="BZ28" s="143"/>
      <c r="CA28" s="143"/>
      <c r="CB28" s="143"/>
      <c r="CC28" s="143"/>
      <c r="CD28" s="143"/>
      <c r="CE28" s="142"/>
      <c r="CF28" s="143"/>
      <c r="CG28" s="143"/>
      <c r="CH28" s="143"/>
      <c r="CI28" s="143"/>
      <c r="CJ28" s="143"/>
      <c r="CK28" s="142">
        <f>SUM(CL28:CN28)</f>
      </c>
      <c r="CL28" s="143"/>
      <c r="CM28" s="143"/>
      <c r="CN28" s="143"/>
      <c r="CO28" s="142">
        <f>SUM(CP28:CT28)</f>
      </c>
      <c r="CP28" s="143"/>
      <c r="CQ28" s="143"/>
      <c r="CR28" s="143"/>
      <c r="CS28" s="143"/>
      <c r="CT28" s="143"/>
      <c r="CU28" s="142"/>
      <c r="CV28" s="143"/>
      <c r="CW28" s="143"/>
      <c r="CX28" s="143"/>
      <c r="CY28" s="142"/>
      <c r="CZ28" s="143"/>
      <c r="DA28" s="143"/>
      <c r="DB28" s="143"/>
      <c r="DC28" s="143"/>
      <c r="DD28" s="143"/>
      <c r="DE28" s="143"/>
      <c r="DF28" s="143"/>
      <c r="DG28" s="142">
        <f>SUM(DH28:DH28)</f>
      </c>
      <c r="DH28" s="143"/>
      <c r="DI28" s="142"/>
      <c r="DJ28" s="143"/>
      <c r="DK28" s="142">
        <f>SUM(DL28:DQ28)</f>
      </c>
      <c r="DL28" s="143"/>
      <c r="DM28" s="143"/>
      <c r="DN28" s="143"/>
      <c r="DO28" s="143"/>
      <c r="DP28" s="143"/>
      <c r="DQ28" s="143"/>
      <c r="DR28" s="143"/>
      <c r="DS28" s="143"/>
      <c r="DT28" s="143"/>
      <c r="DU28" s="143"/>
      <c r="DV28" s="143"/>
      <c r="DW28" s="143"/>
      <c r="DX28" s="142"/>
      <c r="DY28" s="143"/>
      <c r="DZ28" s="142"/>
      <c r="EA28" s="143"/>
      <c r="EB28" s="143"/>
      <c r="EC28" s="142"/>
      <c r="ED28" s="143"/>
      <c r="EF28" s="143"/>
      <c r="EG28" s="142">
        <f>SUM(EH28:EQ28)</f>
      </c>
      <c r="EH28" s="143"/>
      <c r="EI28" s="143"/>
      <c r="EJ28" s="143"/>
      <c r="EK28" s="143"/>
      <c r="EL28" s="143"/>
      <c r="EM28" s="143"/>
      <c r="EN28" s="143"/>
      <c r="EO28" s="143"/>
      <c r="EP28" s="143"/>
      <c r="EQ28" s="143"/>
      <c r="ER28" s="142">
        <f>SUM(ES28:ET28)</f>
      </c>
      <c r="ES28" s="143"/>
      <c r="ET28" s="143"/>
      <c r="EU28" s="144"/>
      <c r="FB28" s="146"/>
      <c r="FC28" s="146" cm="1">
        <f t="array" ref="FC28">ROW()-ROW(New[#Headers])</f>
        <v>22</v>
      </c>
    </row>
    <row r="29" spans="2:159" s="139" customFormat="1" ht="10.5" x14ac:dyDescent="0.2">
      <c r="B29" s="133"/>
      <c r="C29" s="687" t="s">
        <v>976</v>
      </c>
      <c r="D29" t="s" s="688">
        <v>363</v>
      </c>
      <c r="E29" s="689" t="s">
        <v>35</v>
      </c>
      <c r="F29" t="s" s="690">
        <v>810</v>
      </c>
      <c r="G29" t="s" s="691">
        <v>1597</v>
      </c>
      <c r="H29" s="692" t="s">
        <v>49</v>
      </c>
      <c r="I29" t="s" s="693">
        <v>41</v>
      </c>
      <c r="J29" t="s" s="694">
        <v>71</v>
      </c>
      <c r="K29" t="s" s="695">
        <v>811</v>
      </c>
      <c r="L29" t="s" s="696">
        <v>779</v>
      </c>
      <c r="M29" t="s" s="697">
        <v>305</v>
      </c>
      <c r="N29" s="698" t="s">
        <v>3873</v>
      </c>
      <c r="O29" s="699" t="s">
        <v>3871</v>
      </c>
      <c r="P29" s="141"/>
      <c r="Q29" s="142">
        <f>SUM(R29:AQ29)</f>
      </c>
      <c r="R29" s="143"/>
      <c r="S29" s="143"/>
      <c r="T29" s="143"/>
      <c r="U29" s="143"/>
      <c r="V29" s="143"/>
      <c r="W29" s="700" t="n">
        <v>200.0</v>
      </c>
      <c r="X29" s="143"/>
      <c r="Y29" s="143"/>
      <c r="Z29" s="143"/>
      <c r="AA29" s="143"/>
      <c r="AB29" s="143"/>
      <c r="AC29" s="143"/>
      <c r="AD29" s="143"/>
      <c r="AE29" s="143"/>
      <c r="AF29" s="143"/>
      <c r="AG29" s="143"/>
      <c r="AH29" s="143"/>
      <c r="AI29" s="143"/>
      <c r="AJ29" s="143"/>
      <c r="AK29" s="143"/>
      <c r="AL29" s="143"/>
      <c r="AM29" s="143"/>
      <c r="AN29" s="143"/>
      <c r="AO29" s="143"/>
      <c r="AP29" s="143"/>
      <c r="AQ29" s="143"/>
      <c r="AR29" s="142">
        <f>SUM(AS29:AV29)</f>
      </c>
      <c r="AS29" s="143"/>
      <c r="AT29" s="143"/>
      <c r="AU29" s="143"/>
      <c r="AV29" s="143"/>
      <c r="AW29" s="142">
        <f>SUM(AX29:BI29)</f>
      </c>
      <c r="AX29" s="143"/>
      <c r="AY29" s="143"/>
      <c r="AZ29" s="143"/>
      <c r="BA29" s="143"/>
      <c r="BB29" s="143"/>
      <c r="BC29" s="143"/>
      <c r="BD29" s="143"/>
      <c r="BE29" s="143"/>
      <c r="BF29" s="143"/>
      <c r="BG29" s="143"/>
      <c r="BH29" s="143"/>
      <c r="BI29" s="143"/>
      <c r="BJ29" s="142"/>
      <c r="BK29" s="143"/>
      <c r="BL29" s="143"/>
      <c r="BM29" s="143"/>
      <c r="BN29" s="143"/>
      <c r="BO29" s="143"/>
      <c r="BP29" s="143"/>
      <c r="BQ29" s="142"/>
      <c r="BR29" s="143"/>
      <c r="BS29" s="143"/>
      <c r="BT29" s="142">
        <f>SUM(BU29:BW29)</f>
      </c>
      <c r="BU29" s="143"/>
      <c r="BV29" s="143"/>
      <c r="BW29" s="143"/>
      <c r="BX29" s="142">
        <f>SUM(BY29:CD29)</f>
      </c>
      <c r="BY29" s="143"/>
      <c r="BZ29" s="143"/>
      <c r="CA29" s="143"/>
      <c r="CB29" s="143"/>
      <c r="CC29" s="143"/>
      <c r="CD29" s="143"/>
      <c r="CE29" s="142"/>
      <c r="CF29" s="143"/>
      <c r="CG29" s="143"/>
      <c r="CH29" s="143"/>
      <c r="CI29" s="143"/>
      <c r="CJ29" s="143"/>
      <c r="CK29" s="142">
        <f>SUM(CL29:CN29)</f>
      </c>
      <c r="CL29" s="143"/>
      <c r="CM29" s="143"/>
      <c r="CN29" s="143"/>
      <c r="CO29" s="142">
        <f>SUM(CP29:CT29)</f>
      </c>
      <c r="CP29" s="143"/>
      <c r="CQ29" s="143"/>
      <c r="CR29" s="143"/>
      <c r="CS29" s="143"/>
      <c r="CT29" s="143"/>
      <c r="CU29" s="142"/>
      <c r="CV29" s="143"/>
      <c r="CW29" s="143"/>
      <c r="CX29" s="143"/>
      <c r="CY29" s="142"/>
      <c r="CZ29" s="143"/>
      <c r="DA29" s="143"/>
      <c r="DB29" s="143"/>
      <c r="DC29" s="143"/>
      <c r="DD29" s="143"/>
      <c r="DE29" s="143"/>
      <c r="DF29" s="143"/>
      <c r="DG29" s="142">
        <f>SUM(DH29:DH29)</f>
      </c>
      <c r="DH29" s="143"/>
      <c r="DI29" s="142"/>
      <c r="DJ29" s="143"/>
      <c r="DK29" s="142">
        <f>SUM(DL29:DQ29)</f>
      </c>
      <c r="DL29" s="143"/>
      <c r="DM29" s="143"/>
      <c r="DN29" s="143"/>
      <c r="DO29" s="143"/>
      <c r="DP29" s="143"/>
      <c r="DQ29" s="143"/>
      <c r="DR29" s="143"/>
      <c r="DS29" s="143"/>
      <c r="DT29" s="143"/>
      <c r="DU29" s="143"/>
      <c r="DV29" s="143"/>
      <c r="DW29" s="143"/>
      <c r="DX29" s="142"/>
      <c r="DY29" s="143"/>
      <c r="DZ29" s="142"/>
      <c r="EA29" s="143"/>
      <c r="EB29" s="143"/>
      <c r="EC29" s="142"/>
      <c r="ED29" s="143"/>
      <c r="EF29" s="143"/>
      <c r="EG29" s="142">
        <f>SUM(EH29:EQ29)</f>
      </c>
      <c r="EH29" s="143"/>
      <c r="EI29" s="143"/>
      <c r="EJ29" s="143"/>
      <c r="EK29" s="143"/>
      <c r="EL29" s="143"/>
      <c r="EM29" s="143"/>
      <c r="EN29" s="143"/>
      <c r="EO29" s="143"/>
      <c r="EP29" s="143"/>
      <c r="EQ29" s="143"/>
      <c r="ER29" s="142">
        <f>SUM(ES29:ET29)</f>
      </c>
      <c r="ES29" s="143"/>
      <c r="ET29" s="143"/>
      <c r="EU29" s="144"/>
      <c r="FB29" s="146"/>
      <c r="FC29" s="146" cm="1">
        <f t="array" ref="FC29">ROW()-ROW(New[#Headers])</f>
        <v>23</v>
      </c>
    </row>
    <row r="30" spans="2:159" s="139" customFormat="1" ht="10.5" x14ac:dyDescent="0.2">
      <c r="B30" s="133"/>
      <c r="C30" s="729" t="s">
        <v>1621</v>
      </c>
      <c r="D30" t="s" s="730">
        <v>347</v>
      </c>
      <c r="E30" s="731" t="s">
        <v>13</v>
      </c>
      <c r="F30" t="s" s="732">
        <v>1241</v>
      </c>
      <c r="G30" t="s" s="733">
        <v>345</v>
      </c>
      <c r="H30" s="734" t="s">
        <v>46</v>
      </c>
      <c r="I30" t="s" s="735">
        <v>41</v>
      </c>
      <c r="J30" t="s" s="736">
        <v>74</v>
      </c>
      <c r="K30" t="s" s="737">
        <v>1622</v>
      </c>
      <c r="L30" t="s" s="738">
        <v>305</v>
      </c>
      <c r="M30" t="s" s="739">
        <v>305</v>
      </c>
      <c r="N30" s="740" t="s">
        <v>3867</v>
      </c>
      <c r="O30" s="741" t="s">
        <v>3868</v>
      </c>
      <c r="P30" s="141"/>
      <c r="Q30" s="142">
        <f>SUM(R30:AQ30)</f>
      </c>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2">
        <f>SUM(AS30:AV30)</f>
      </c>
      <c r="AS30" s="143"/>
      <c r="AT30" s="143"/>
      <c r="AU30" s="143"/>
      <c r="AV30" s="143"/>
      <c r="AW30" s="142">
        <f>SUM(AX30:BI30)</f>
      </c>
      <c r="AX30" s="143"/>
      <c r="AY30" s="143"/>
      <c r="AZ30" s="143"/>
      <c r="BA30" s="143"/>
      <c r="BB30" s="143"/>
      <c r="BC30" s="143"/>
      <c r="BD30" s="143"/>
      <c r="BE30" s="143"/>
      <c r="BF30" s="143"/>
      <c r="BG30" s="143"/>
      <c r="BH30" s="143"/>
      <c r="BI30" s="143"/>
      <c r="BJ30" s="142"/>
      <c r="BK30" s="143"/>
      <c r="BL30" s="143"/>
      <c r="BM30" s="143"/>
      <c r="BN30" s="143"/>
      <c r="BO30" s="143"/>
      <c r="BP30" s="143"/>
      <c r="BQ30" s="142"/>
      <c r="BR30" s="143"/>
      <c r="BS30" s="143"/>
      <c r="BT30" s="142">
        <f>SUM(BU30:BW30)</f>
      </c>
      <c r="BU30" s="143"/>
      <c r="BV30" s="143"/>
      <c r="BW30" s="143"/>
      <c r="BX30" s="142">
        <f>SUM(BY30:CD30)</f>
      </c>
      <c r="BY30" s="143"/>
      <c r="BZ30" s="143"/>
      <c r="CA30" s="143"/>
      <c r="CB30" s="143"/>
      <c r="CC30" s="143"/>
      <c r="CD30" s="143"/>
      <c r="CE30" s="142"/>
      <c r="CF30" s="143"/>
      <c r="CG30" s="143"/>
      <c r="CH30" s="143"/>
      <c r="CI30" s="143"/>
      <c r="CJ30" s="143"/>
      <c r="CK30" s="142">
        <f>SUM(CL30:CN30)</f>
      </c>
      <c r="CL30" s="143"/>
      <c r="CM30" s="143"/>
      <c r="CN30" s="143"/>
      <c r="CO30" s="142">
        <f>SUM(CP30:CT30)</f>
      </c>
      <c r="CP30" s="143"/>
      <c r="CQ30" s="143"/>
      <c r="CR30" s="143"/>
      <c r="CS30" s="143"/>
      <c r="CT30" s="143"/>
      <c r="CU30" s="142"/>
      <c r="CV30" s="143"/>
      <c r="CW30" s="143"/>
      <c r="CX30" s="143"/>
      <c r="CY30" s="142"/>
      <c r="CZ30" s="143"/>
      <c r="DA30" s="143"/>
      <c r="DB30" s="143"/>
      <c r="DC30" s="143"/>
      <c r="DD30" s="143"/>
      <c r="DE30" s="143"/>
      <c r="DF30" s="143"/>
      <c r="DG30" s="142">
        <f>SUM(DH30:DH30)</f>
      </c>
      <c r="DH30" s="143"/>
      <c r="DI30" s="142"/>
      <c r="DJ30" s="143"/>
      <c r="DK30" s="142">
        <f>SUM(DL30:DQ30)</f>
      </c>
      <c r="DL30" s="143"/>
      <c r="DM30" s="143"/>
      <c r="DN30" s="143"/>
      <c r="DO30" s="143"/>
      <c r="DP30" s="143"/>
      <c r="DQ30" s="143"/>
      <c r="DR30" s="143"/>
      <c r="DS30" s="143"/>
      <c r="DT30" s="143"/>
      <c r="DU30" s="143"/>
      <c r="DV30" s="143"/>
      <c r="DW30" s="143"/>
      <c r="DX30" s="142"/>
      <c r="DY30" s="143"/>
      <c r="DZ30" s="142"/>
      <c r="EA30" s="143"/>
      <c r="EB30" s="143"/>
      <c r="EC30" s="142"/>
      <c r="ED30" s="143"/>
      <c r="EF30" s="143"/>
      <c r="EG30" s="142">
        <f>SUM(EH30:EQ30)</f>
      </c>
      <c r="EH30" s="143"/>
      <c r="EI30" s="143"/>
      <c r="EJ30" s="143"/>
      <c r="EK30" s="143"/>
      <c r="EL30" s="143"/>
      <c r="EM30" s="143"/>
      <c r="EN30" s="143"/>
      <c r="EO30" s="143"/>
      <c r="EP30" s="143"/>
      <c r="EQ30" s="143"/>
      <c r="ER30" s="142">
        <f>SUM(ES30:ET30)</f>
      </c>
      <c r="ES30" s="143"/>
      <c r="ET30" s="143"/>
      <c r="EU30" s="144"/>
      <c r="FB30" s="146"/>
      <c r="FC30" s="146" cm="1">
        <f t="array" ref="FC30">ROW()-ROW(New[#Headers])</f>
        <v>24</v>
      </c>
    </row>
    <row r="31" spans="2:159" s="139" customFormat="1" ht="10.5" x14ac:dyDescent="0.2">
      <c r="B31" s="133"/>
      <c r="C31" s="742" t="s">
        <v>703</v>
      </c>
      <c r="D31" t="s" s="743">
        <v>704</v>
      </c>
      <c r="E31" s="744" t="s">
        <v>13</v>
      </c>
      <c r="F31" t="s" s="745">
        <v>1241</v>
      </c>
      <c r="G31" t="s" s="746">
        <v>1597</v>
      </c>
      <c r="H31" s="747" t="s">
        <v>46</v>
      </c>
      <c r="I31" t="s" s="748">
        <v>41</v>
      </c>
      <c r="J31" t="s" s="749">
        <v>74</v>
      </c>
      <c r="K31" t="s" s="750">
        <v>1246</v>
      </c>
      <c r="L31" t="s" s="751">
        <v>305</v>
      </c>
      <c r="M31" t="s" s="752">
        <v>305</v>
      </c>
      <c r="N31" s="753" t="s">
        <v>3873</v>
      </c>
      <c r="O31" s="754" t="s">
        <v>3871</v>
      </c>
      <c r="P31" s="141"/>
      <c r="Q31" s="142">
        <f>SUM(R31:AQ31)</f>
      </c>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755" t="n">
        <v>100.0</v>
      </c>
      <c r="AO31" s="143"/>
      <c r="AP31" s="143"/>
      <c r="AQ31" s="143"/>
      <c r="AR31" s="142">
        <f>SUM(AS31:AV31)</f>
      </c>
      <c r="AS31" s="143"/>
      <c r="AT31" s="143"/>
      <c r="AU31" s="143"/>
      <c r="AV31" s="143"/>
      <c r="AW31" s="142">
        <f>SUM(AX31:BI31)</f>
      </c>
      <c r="AX31" s="143"/>
      <c r="AY31" s="143"/>
      <c r="AZ31" s="143"/>
      <c r="BA31" s="143"/>
      <c r="BB31" s="143"/>
      <c r="BC31" s="143"/>
      <c r="BD31" s="143"/>
      <c r="BE31" s="143"/>
      <c r="BF31" s="143"/>
      <c r="BG31" s="143"/>
      <c r="BH31" s="143"/>
      <c r="BI31" s="143"/>
      <c r="BJ31" s="142"/>
      <c r="BK31" s="143"/>
      <c r="BL31" s="143"/>
      <c r="BM31" s="143"/>
      <c r="BN31" s="143"/>
      <c r="BO31" s="143"/>
      <c r="BP31" s="143"/>
      <c r="BQ31" s="142"/>
      <c r="BR31" s="143"/>
      <c r="BS31" s="143"/>
      <c r="BT31" s="142">
        <f>SUM(BU31:BW31)</f>
      </c>
      <c r="BU31" s="143"/>
      <c r="BV31" s="143"/>
      <c r="BW31" s="143"/>
      <c r="BX31" s="142">
        <f>SUM(BY31:CD31)</f>
      </c>
      <c r="BY31" s="143"/>
      <c r="BZ31" s="143"/>
      <c r="CA31" s="143"/>
      <c r="CB31" s="143"/>
      <c r="CC31" s="143"/>
      <c r="CD31" s="143"/>
      <c r="CE31" s="142"/>
      <c r="CF31" s="143"/>
      <c r="CG31" s="143"/>
      <c r="CH31" s="143"/>
      <c r="CI31" s="143"/>
      <c r="CJ31" s="143"/>
      <c r="CK31" s="142">
        <f>SUM(CL31:CN31)</f>
      </c>
      <c r="CL31" s="143"/>
      <c r="CM31" s="143"/>
      <c r="CN31" s="143"/>
      <c r="CO31" s="142">
        <f>SUM(CP31:CT31)</f>
      </c>
      <c r="CP31" s="143"/>
      <c r="CQ31" s="143"/>
      <c r="CR31" s="143"/>
      <c r="CS31" s="143"/>
      <c r="CT31" s="143"/>
      <c r="CU31" s="142"/>
      <c r="CV31" s="143"/>
      <c r="CW31" s="143"/>
      <c r="CX31" s="143"/>
      <c r="CY31" s="142"/>
      <c r="CZ31" s="143"/>
      <c r="DA31" s="143"/>
      <c r="DB31" s="143"/>
      <c r="DC31" s="143"/>
      <c r="DD31" s="143"/>
      <c r="DE31" s="143"/>
      <c r="DF31" s="143"/>
      <c r="DG31" s="142">
        <f>SUM(DH31:DH31)</f>
      </c>
      <c r="DH31" s="143"/>
      <c r="DI31" s="142"/>
      <c r="DJ31" s="143"/>
      <c r="DK31" s="142">
        <f>SUM(DL31:DQ31)</f>
      </c>
      <c r="DL31" s="143"/>
      <c r="DM31" s="143"/>
      <c r="DN31" s="143"/>
      <c r="DO31" s="143"/>
      <c r="DP31" s="143"/>
      <c r="DQ31" s="143"/>
      <c r="DR31" s="143"/>
      <c r="DS31" s="143"/>
      <c r="DT31" s="143"/>
      <c r="DU31" s="143"/>
      <c r="DV31" s="143"/>
      <c r="DW31" s="143"/>
      <c r="DX31" s="142"/>
      <c r="DY31" s="143"/>
      <c r="DZ31" s="142"/>
      <c r="EA31" s="143"/>
      <c r="EB31" s="143"/>
      <c r="EC31" s="142"/>
      <c r="ED31" s="143"/>
      <c r="EF31" s="143"/>
      <c r="EG31" s="142">
        <f>SUM(EH31:EQ31)</f>
      </c>
      <c r="EH31" s="143"/>
      <c r="EI31" s="143"/>
      <c r="EJ31" s="143"/>
      <c r="EK31" s="143"/>
      <c r="EL31" s="143"/>
      <c r="EM31" s="143"/>
      <c r="EN31" s="143"/>
      <c r="EO31" s="143"/>
      <c r="EP31" s="143"/>
      <c r="EQ31" s="143"/>
      <c r="ER31" s="142">
        <f>SUM(ES31:ET31)</f>
      </c>
      <c r="ES31" s="143"/>
      <c r="ET31" s="143"/>
      <c r="EU31" s="144"/>
      <c r="FB31" s="146"/>
      <c r="FC31" s="146" cm="1">
        <f t="array" ref="FC31">ROW()-ROW(New[#Headers])</f>
        <v>25</v>
      </c>
    </row>
    <row r="32" spans="2:159" s="139" customFormat="1" ht="10.5" x14ac:dyDescent="0.2">
      <c r="B32" s="133"/>
      <c r="C32" s="756" t="s">
        <v>3822</v>
      </c>
      <c r="D32" t="s" s="757">
        <v>610</v>
      </c>
      <c r="E32" s="758" t="s">
        <v>13</v>
      </c>
      <c r="F32" t="s" s="759">
        <v>1687</v>
      </c>
      <c r="G32" t="s" s="760">
        <v>1597</v>
      </c>
      <c r="H32" s="761" t="s">
        <v>55</v>
      </c>
      <c r="I32" t="s" s="762">
        <v>41</v>
      </c>
      <c r="J32" t="s" s="763">
        <v>64</v>
      </c>
      <c r="K32" t="s" s="764">
        <v>1232</v>
      </c>
      <c r="L32" t="s" s="765">
        <v>305</v>
      </c>
      <c r="M32" t="s" s="766">
        <v>305</v>
      </c>
      <c r="N32" s="767" t="s">
        <v>3873</v>
      </c>
      <c r="O32" s="768" t="s">
        <v>3871</v>
      </c>
      <c r="P32" s="141"/>
      <c r="Q32" s="142">
        <f>SUM(R32:AQ32)</f>
      </c>
      <c r="R32" s="143"/>
      <c r="S32" s="143"/>
      <c r="T32" s="143"/>
      <c r="U32" s="143"/>
      <c r="V32" s="143"/>
      <c r="W32" s="143"/>
      <c r="X32" s="143"/>
      <c r="Y32" s="143"/>
      <c r="Z32" s="143"/>
      <c r="AA32" s="143"/>
      <c r="AB32" s="143"/>
      <c r="AC32" s="143"/>
      <c r="AD32" s="143"/>
      <c r="AE32" s="143"/>
      <c r="AF32" s="143"/>
      <c r="AG32" s="143"/>
      <c r="AH32" s="143"/>
      <c r="AI32" s="143"/>
      <c r="AJ32" s="143"/>
      <c r="AK32" s="769" t="n">
        <v>600.0</v>
      </c>
      <c r="AL32" s="770" t="n">
        <v>400.0</v>
      </c>
      <c r="AM32" s="143"/>
      <c r="AN32" s="143"/>
      <c r="AO32" s="143"/>
      <c r="AP32" s="143"/>
      <c r="AQ32" s="143"/>
      <c r="AR32" s="142">
        <f>SUM(AS32:AV32)</f>
      </c>
      <c r="AS32" s="143"/>
      <c r="AT32" s="143"/>
      <c r="AU32" s="143"/>
      <c r="AV32" s="143"/>
      <c r="AW32" s="142">
        <f>SUM(AX32:BI32)</f>
      </c>
      <c r="AX32" s="143"/>
      <c r="AY32" s="143"/>
      <c r="AZ32" s="143"/>
      <c r="BA32" s="143"/>
      <c r="BB32" s="143"/>
      <c r="BC32" s="143"/>
      <c r="BD32" s="143"/>
      <c r="BE32" s="143"/>
      <c r="BF32" s="143"/>
      <c r="BG32" s="143"/>
      <c r="BH32" s="143"/>
      <c r="BI32" s="143"/>
      <c r="BJ32" s="142"/>
      <c r="BK32" s="143"/>
      <c r="BL32" s="143"/>
      <c r="BM32" s="143"/>
      <c r="BN32" s="143"/>
      <c r="BO32" s="143"/>
      <c r="BP32" s="143"/>
      <c r="BQ32" s="142"/>
      <c r="BR32" s="143"/>
      <c r="BS32" s="143"/>
      <c r="BT32" s="142">
        <f>SUM(BU32:BW32)</f>
      </c>
      <c r="BU32" s="143"/>
      <c r="BV32" s="143"/>
      <c r="BW32" s="143"/>
      <c r="BX32" s="142">
        <f>SUM(BY32:CD32)</f>
      </c>
      <c r="BY32" s="143"/>
      <c r="BZ32" s="143"/>
      <c r="CA32" s="143"/>
      <c r="CB32" s="143"/>
      <c r="CC32" s="143"/>
      <c r="CD32" s="143"/>
      <c r="CE32" s="142"/>
      <c r="CF32" s="143"/>
      <c r="CG32" s="143"/>
      <c r="CH32" s="143"/>
      <c r="CI32" s="143"/>
      <c r="CJ32" s="143"/>
      <c r="CK32" s="142">
        <f>SUM(CL32:CN32)</f>
      </c>
      <c r="CL32" s="143"/>
      <c r="CM32" s="143"/>
      <c r="CN32" s="143"/>
      <c r="CO32" s="142">
        <f>SUM(CP32:CT32)</f>
      </c>
      <c r="CP32" s="143"/>
      <c r="CQ32" s="143"/>
      <c r="CR32" s="143"/>
      <c r="CS32" s="143"/>
      <c r="CT32" s="143"/>
      <c r="CU32" s="142"/>
      <c r="CV32" s="143"/>
      <c r="CW32" s="143"/>
      <c r="CX32" s="143"/>
      <c r="CY32" s="142"/>
      <c r="CZ32" s="143"/>
      <c r="DA32" s="143"/>
      <c r="DB32" s="143"/>
      <c r="DC32" s="143"/>
      <c r="DD32" s="143"/>
      <c r="DE32" s="143"/>
      <c r="DF32" s="143"/>
      <c r="DG32" s="142">
        <f>SUM(DH32:DH32)</f>
      </c>
      <c r="DH32" s="771" t="n">
        <v>120.0</v>
      </c>
      <c r="DI32" s="142"/>
      <c r="DJ32" s="143"/>
      <c r="DK32" s="142">
        <f>SUM(DL32:DQ32)</f>
      </c>
      <c r="DL32" s="143"/>
      <c r="DM32" s="143"/>
      <c r="DN32" s="143"/>
      <c r="DO32" s="143"/>
      <c r="DP32" s="143"/>
      <c r="DQ32" s="143"/>
      <c r="DR32" s="143"/>
      <c r="DS32" s="143"/>
      <c r="DT32" s="143"/>
      <c r="DU32" s="143"/>
      <c r="DV32" s="143"/>
      <c r="DW32" s="143"/>
      <c r="DX32" s="142"/>
      <c r="DY32" s="143"/>
      <c r="DZ32" s="142"/>
      <c r="EA32" s="143"/>
      <c r="EB32" s="143"/>
      <c r="EC32" s="142"/>
      <c r="ED32" s="143"/>
      <c r="EF32" s="143"/>
      <c r="EG32" s="142">
        <f>SUM(EH32:EQ32)</f>
      </c>
      <c r="EH32" s="143"/>
      <c r="EI32" s="143"/>
      <c r="EJ32" s="143"/>
      <c r="EK32" s="143"/>
      <c r="EL32" s="143"/>
      <c r="EM32" s="143"/>
      <c r="EN32" s="143"/>
      <c r="EO32" s="143"/>
      <c r="EP32" s="143"/>
      <c r="EQ32" s="143"/>
      <c r="ER32" s="142">
        <f>SUM(ES32:ET32)</f>
      </c>
      <c r="ES32" s="143"/>
      <c r="ET32" s="143"/>
      <c r="EU32" s="144"/>
      <c r="FB32" s="146"/>
      <c r="FC32" s="146" cm="1">
        <f t="array" ref="FC32">ROW()-ROW(New[#Headers])</f>
        <v>26</v>
      </c>
    </row>
    <row r="33" spans="2:159" s="139" customFormat="1" ht="10.5" x14ac:dyDescent="0.2">
      <c r="B33" s="133"/>
      <c r="C33" s="772" t="s">
        <v>465</v>
      </c>
      <c r="D33" t="s" s="773">
        <v>466</v>
      </c>
      <c r="E33" s="774" t="s">
        <v>13</v>
      </c>
      <c r="F33" t="s" s="775">
        <v>1109</v>
      </c>
      <c r="G33" t="s" s="776">
        <v>305</v>
      </c>
      <c r="H33" s="777" t="s">
        <v>57</v>
      </c>
      <c r="I33" t="s" s="778">
        <v>41</v>
      </c>
      <c r="J33" t="s" s="779">
        <v>68</v>
      </c>
      <c r="K33" t="s" s="780">
        <v>1659</v>
      </c>
      <c r="L33" t="s" s="781">
        <v>751</v>
      </c>
      <c r="M33" t="s" s="782">
        <v>305</v>
      </c>
      <c r="N33" s="783" t="s">
        <v>3873</v>
      </c>
      <c r="O33" s="784" t="s">
        <v>3878</v>
      </c>
      <c r="P33" s="141"/>
      <c r="Q33" s="142">
        <f>SUM(R33:AQ33)</f>
      </c>
      <c r="R33" s="143"/>
      <c r="S33" s="143"/>
      <c r="T33" s="143"/>
      <c r="U33" s="143"/>
      <c r="V33" s="143"/>
      <c r="W33" s="143"/>
      <c r="X33" s="143"/>
      <c r="Y33" s="143"/>
      <c r="Z33" s="143"/>
      <c r="AA33" s="143"/>
      <c r="AB33" s="143"/>
      <c r="AC33" s="143"/>
      <c r="AD33" s="785" t="n">
        <v>400.0</v>
      </c>
      <c r="AE33" s="143"/>
      <c r="AF33" s="143"/>
      <c r="AG33" s="143"/>
      <c r="AH33" s="143"/>
      <c r="AI33" s="143"/>
      <c r="AJ33" s="143"/>
      <c r="AK33" s="143"/>
      <c r="AL33" s="143"/>
      <c r="AM33" s="143"/>
      <c r="AN33" s="143"/>
      <c r="AO33" s="143"/>
      <c r="AP33" s="143"/>
      <c r="AQ33" s="143"/>
      <c r="AR33" s="142">
        <f>SUM(AS33:AV33)</f>
      </c>
      <c r="AS33" s="143"/>
      <c r="AT33" s="143"/>
      <c r="AU33" s="143"/>
      <c r="AV33" s="143"/>
      <c r="AW33" s="142">
        <f>SUM(AX33:BI33)</f>
      </c>
      <c r="AX33" s="143"/>
      <c r="AY33" s="143"/>
      <c r="AZ33" s="143"/>
      <c r="BA33" s="143"/>
      <c r="BB33" s="143"/>
      <c r="BC33" s="143"/>
      <c r="BD33" s="143"/>
      <c r="BE33" s="143"/>
      <c r="BF33" s="143"/>
      <c r="BG33" s="143"/>
      <c r="BH33" s="143"/>
      <c r="BI33" s="143"/>
      <c r="BJ33" s="142"/>
      <c r="BK33" s="143"/>
      <c r="BL33" s="143"/>
      <c r="BM33" s="143"/>
      <c r="BN33" s="143"/>
      <c r="BO33" s="143"/>
      <c r="BP33" s="143"/>
      <c r="BQ33" s="142"/>
      <c r="BR33" s="143"/>
      <c r="BS33" s="143"/>
      <c r="BT33" s="142">
        <f>SUM(BU33:BW33)</f>
      </c>
      <c r="BU33" s="143"/>
      <c r="BV33" s="143"/>
      <c r="BW33" s="143"/>
      <c r="BX33" s="142">
        <f>SUM(BY33:CD33)</f>
      </c>
      <c r="BY33" s="143"/>
      <c r="BZ33" s="143"/>
      <c r="CA33" s="143"/>
      <c r="CB33" s="143"/>
      <c r="CC33" s="143"/>
      <c r="CD33" s="143"/>
      <c r="CE33" s="142"/>
      <c r="CF33" s="143"/>
      <c r="CG33" s="143"/>
      <c r="CH33" s="143"/>
      <c r="CI33" s="143"/>
      <c r="CJ33" s="143"/>
      <c r="CK33" s="142">
        <f>SUM(CL33:CN33)</f>
      </c>
      <c r="CL33" s="143"/>
      <c r="CM33" s="143"/>
      <c r="CN33" s="143"/>
      <c r="CO33" s="142">
        <f>SUM(CP33:CT33)</f>
      </c>
      <c r="CP33" s="143"/>
      <c r="CQ33" s="143"/>
      <c r="CR33" s="143"/>
      <c r="CS33" s="143"/>
      <c r="CT33" s="143"/>
      <c r="CU33" s="142"/>
      <c r="CV33" s="143"/>
      <c r="CW33" s="143"/>
      <c r="CX33" s="143"/>
      <c r="CY33" s="142"/>
      <c r="CZ33" s="143"/>
      <c r="DA33" s="143"/>
      <c r="DB33" s="143"/>
      <c r="DC33" s="143"/>
      <c r="DD33" s="143"/>
      <c r="DE33" s="143"/>
      <c r="DF33" s="143"/>
      <c r="DG33" s="142">
        <f>SUM(DH33:DH33)</f>
      </c>
      <c r="DH33" s="143"/>
      <c r="DI33" s="142"/>
      <c r="DJ33" s="143"/>
      <c r="DK33" s="142">
        <f>SUM(DL33:DQ33)</f>
      </c>
      <c r="DL33" s="143"/>
      <c r="DM33" s="143"/>
      <c r="DN33" s="143"/>
      <c r="DO33" s="143"/>
      <c r="DP33" s="143"/>
      <c r="DQ33" s="143"/>
      <c r="DR33" s="143"/>
      <c r="DS33" s="143"/>
      <c r="DT33" s="143"/>
      <c r="DU33" s="143"/>
      <c r="DV33" s="143"/>
      <c r="DW33" s="143"/>
      <c r="DX33" s="142"/>
      <c r="DY33" s="143"/>
      <c r="DZ33" s="142"/>
      <c r="EA33" s="143"/>
      <c r="EB33" s="143"/>
      <c r="EC33" s="142"/>
      <c r="ED33" s="143"/>
      <c r="EF33" s="143"/>
      <c r="EG33" s="142">
        <f>SUM(EH33:EQ33)</f>
      </c>
      <c r="EH33" s="143"/>
      <c r="EI33" s="143"/>
      <c r="EJ33" s="143"/>
      <c r="EK33" s="143"/>
      <c r="EL33" s="143"/>
      <c r="EM33" s="143"/>
      <c r="EN33" s="143"/>
      <c r="EO33" s="143"/>
      <c r="EP33" s="143"/>
      <c r="EQ33" s="143"/>
      <c r="ER33" s="142">
        <f>SUM(ES33:ET33)</f>
      </c>
      <c r="ES33" s="143"/>
      <c r="ET33" s="143"/>
      <c r="EU33" s="144"/>
      <c r="FB33" s="146"/>
      <c r="FC33" s="146" cm="1">
        <f t="array" ref="FC33">ROW()-ROW(New[#Headers])</f>
        <v>27</v>
      </c>
    </row>
    <row r="34" spans="2:159" s="139" customFormat="1" ht="10.5" x14ac:dyDescent="0.2">
      <c r="B34" s="133"/>
      <c r="C34" s="800" t="s">
        <v>410</v>
      </c>
      <c r="D34" t="s" s="801">
        <v>411</v>
      </c>
      <c r="E34" s="802" t="s">
        <v>13</v>
      </c>
      <c r="F34" t="s" s="803">
        <v>766</v>
      </c>
      <c r="G34" t="s" s="804">
        <v>1597</v>
      </c>
      <c r="H34" s="805" t="s">
        <v>46</v>
      </c>
      <c r="I34" t="s" s="806">
        <v>41</v>
      </c>
      <c r="J34" t="s" s="807">
        <v>68</v>
      </c>
      <c r="K34" t="s" s="808">
        <v>1643</v>
      </c>
      <c r="L34" t="s" s="809">
        <v>767</v>
      </c>
      <c r="M34" t="s" s="810">
        <v>305</v>
      </c>
      <c r="N34" s="811" t="s">
        <v>3873</v>
      </c>
      <c r="O34" s="812" t="s">
        <v>3871</v>
      </c>
      <c r="P34" s="141"/>
      <c r="Q34" s="142">
        <f>SUM(R34:AQ34)</f>
      </c>
      <c r="R34" s="143"/>
      <c r="S34" s="143"/>
      <c r="T34" s="143"/>
      <c r="U34" s="143"/>
      <c r="V34" s="143"/>
      <c r="W34" s="143"/>
      <c r="X34" s="143"/>
      <c r="Y34" s="143"/>
      <c r="Z34" s="143"/>
      <c r="AA34" s="143"/>
      <c r="AB34" s="143"/>
      <c r="AC34" s="143"/>
      <c r="AD34" s="143"/>
      <c r="AE34" s="143"/>
      <c r="AF34" s="143"/>
      <c r="AG34" s="813" t="n">
        <v>480.0</v>
      </c>
      <c r="AH34" s="143"/>
      <c r="AI34" s="143"/>
      <c r="AJ34" s="143"/>
      <c r="AK34" s="143"/>
      <c r="AL34" s="143"/>
      <c r="AM34" s="143"/>
      <c r="AN34" s="143"/>
      <c r="AO34" s="143"/>
      <c r="AP34" s="143"/>
      <c r="AQ34" s="143"/>
      <c r="AR34" s="142">
        <f>SUM(AS34:AV34)</f>
      </c>
      <c r="AS34" s="143"/>
      <c r="AT34" s="143"/>
      <c r="AU34" s="143"/>
      <c r="AV34" s="143"/>
      <c r="AW34" s="142">
        <f>SUM(AX34:BI34)</f>
      </c>
      <c r="AX34" s="143"/>
      <c r="AY34" s="143"/>
      <c r="AZ34" s="143"/>
      <c r="BA34" s="143"/>
      <c r="BB34" s="143"/>
      <c r="BC34" s="143"/>
      <c r="BD34" s="143"/>
      <c r="BE34" s="143"/>
      <c r="BF34" s="143"/>
      <c r="BG34" s="143"/>
      <c r="BH34" s="143"/>
      <c r="BI34" s="143"/>
      <c r="BJ34" s="142"/>
      <c r="BK34" s="143"/>
      <c r="BL34" s="143"/>
      <c r="BM34" s="143"/>
      <c r="BN34" s="143"/>
      <c r="BO34" s="143"/>
      <c r="BP34" s="143"/>
      <c r="BQ34" s="142"/>
      <c r="BR34" s="143"/>
      <c r="BS34" s="143"/>
      <c r="BT34" s="142">
        <f>SUM(BU34:BW34)</f>
      </c>
      <c r="BU34" s="143"/>
      <c r="BV34" s="143"/>
      <c r="BW34" s="143"/>
      <c r="BX34" s="142">
        <f>SUM(BY34:CD34)</f>
      </c>
      <c r="BY34" s="143"/>
      <c r="BZ34" s="143"/>
      <c r="CA34" s="143"/>
      <c r="CB34" s="143"/>
      <c r="CC34" s="143"/>
      <c r="CD34" s="143"/>
      <c r="CE34" s="142"/>
      <c r="CF34" s="143"/>
      <c r="CG34" s="143"/>
      <c r="CH34" s="143"/>
      <c r="CI34" s="143"/>
      <c r="CJ34" s="143"/>
      <c r="CK34" s="142">
        <f>SUM(CL34:CN34)</f>
      </c>
      <c r="CL34" s="143"/>
      <c r="CM34" s="143"/>
      <c r="CN34" s="143"/>
      <c r="CO34" s="142">
        <f>SUM(CP34:CT34)</f>
      </c>
      <c r="CP34" s="143"/>
      <c r="CQ34" s="143"/>
      <c r="CR34" s="143"/>
      <c r="CS34" s="143"/>
      <c r="CT34" s="143"/>
      <c r="CU34" s="142"/>
      <c r="CV34" s="143"/>
      <c r="CW34" s="143"/>
      <c r="CX34" s="143"/>
      <c r="CY34" s="142"/>
      <c r="CZ34" s="143"/>
      <c r="DA34" s="143"/>
      <c r="DB34" s="143"/>
      <c r="DC34" s="143"/>
      <c r="DD34" s="143"/>
      <c r="DE34" s="143"/>
      <c r="DF34" s="143"/>
      <c r="DG34" s="142">
        <f>SUM(DH34:DH34)</f>
      </c>
      <c r="DH34" s="143"/>
      <c r="DI34" s="142"/>
      <c r="DJ34" s="143"/>
      <c r="DK34" s="142">
        <f>SUM(DL34:DQ34)</f>
      </c>
      <c r="DL34" s="143"/>
      <c r="DM34" s="143"/>
      <c r="DN34" s="143"/>
      <c r="DO34" s="143"/>
      <c r="DP34" s="143"/>
      <c r="DQ34" s="143"/>
      <c r="DR34" s="143"/>
      <c r="DS34" s="143"/>
      <c r="DT34" s="143"/>
      <c r="DU34" s="143"/>
      <c r="DV34" s="143"/>
      <c r="DW34" s="143"/>
      <c r="DX34" s="142"/>
      <c r="DY34" s="143"/>
      <c r="DZ34" s="142"/>
      <c r="EA34" s="143"/>
      <c r="EB34" s="143"/>
      <c r="EC34" s="142"/>
      <c r="ED34" s="143"/>
      <c r="EF34" s="143"/>
      <c r="EG34" s="142">
        <f>SUM(EH34:EQ34)</f>
      </c>
      <c r="EH34" s="143"/>
      <c r="EI34" s="143"/>
      <c r="EJ34" s="143"/>
      <c r="EK34" s="143"/>
      <c r="EL34" s="143"/>
      <c r="EM34" s="143"/>
      <c r="EN34" s="143"/>
      <c r="EO34" s="143"/>
      <c r="EP34" s="143"/>
      <c r="EQ34" s="143"/>
      <c r="ER34" s="142">
        <f>SUM(ES34:ET34)</f>
      </c>
      <c r="ES34" s="143"/>
      <c r="ET34" s="143"/>
      <c r="EU34" s="144"/>
      <c r="FB34" s="146"/>
      <c r="FC34" s="146" cm="1">
        <f t="array" ref="FC34">ROW()-ROW(New[#Headers])</f>
        <v>28</v>
      </c>
    </row>
    <row r="35" spans="2:159" s="139" customFormat="1" ht="10.5" x14ac:dyDescent="0.2">
      <c r="B35" s="133"/>
      <c r="C35" s="814" t="s">
        <v>333</v>
      </c>
      <c r="D35" t="s" s="815">
        <v>334</v>
      </c>
      <c r="E35" s="816" t="s">
        <v>889</v>
      </c>
      <c r="F35" t="s" s="817">
        <v>984</v>
      </c>
      <c r="G35" t="s" s="818">
        <v>1597</v>
      </c>
      <c r="H35" s="819" t="s">
        <v>46</v>
      </c>
      <c r="I35" t="s" s="820">
        <v>43</v>
      </c>
      <c r="J35" t="s" s="821">
        <v>64</v>
      </c>
      <c r="K35" t="s" s="822">
        <v>985</v>
      </c>
      <c r="L35" t="s" s="823">
        <v>934</v>
      </c>
      <c r="M35" t="s" s="824">
        <v>305</v>
      </c>
      <c r="N35" s="825" t="s">
        <v>3873</v>
      </c>
      <c r="O35" s="826" t="s">
        <v>3871</v>
      </c>
      <c r="P35" s="141"/>
      <c r="Q35" s="142">
        <f>SUM(R35:AQ35)</f>
      </c>
      <c r="R35" s="143"/>
      <c r="S35" s="827" t="n">
        <v>640.0</v>
      </c>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2">
        <f>SUM(AS35:AV35)</f>
      </c>
      <c r="AS35" s="143"/>
      <c r="AT35" s="143"/>
      <c r="AU35" s="143"/>
      <c r="AV35" s="143"/>
      <c r="AW35" s="142">
        <f>SUM(AX35:BI35)</f>
      </c>
      <c r="AX35" s="143"/>
      <c r="AY35" s="143"/>
      <c r="AZ35" s="143"/>
      <c r="BA35" s="143"/>
      <c r="BB35" s="143"/>
      <c r="BC35" s="143"/>
      <c r="BD35" s="143"/>
      <c r="BE35" s="143"/>
      <c r="BF35" s="143"/>
      <c r="BG35" s="143"/>
      <c r="BH35" s="143"/>
      <c r="BI35" s="143"/>
      <c r="BJ35" s="142"/>
      <c r="BK35" s="143"/>
      <c r="BL35" s="143"/>
      <c r="BM35" s="143"/>
      <c r="BN35" s="143"/>
      <c r="BO35" s="143"/>
      <c r="BP35" s="143"/>
      <c r="BQ35" s="142"/>
      <c r="BR35" s="143"/>
      <c r="BS35" s="143"/>
      <c r="BT35" s="142">
        <f>SUM(BU35:BW35)</f>
      </c>
      <c r="BU35" s="143"/>
      <c r="BV35" s="143"/>
      <c r="BW35" s="143"/>
      <c r="BX35" s="142">
        <f>SUM(BY35:CD35)</f>
      </c>
      <c r="BY35" s="143"/>
      <c r="BZ35" s="143"/>
      <c r="CA35" s="143"/>
      <c r="CB35" s="143"/>
      <c r="CC35" s="143"/>
      <c r="CD35" s="143"/>
      <c r="CE35" s="142"/>
      <c r="CF35" s="143"/>
      <c r="CG35" s="143"/>
      <c r="CH35" s="143"/>
      <c r="CI35" s="143"/>
      <c r="CJ35" s="143"/>
      <c r="CK35" s="142">
        <f>SUM(CL35:CN35)</f>
      </c>
      <c r="CL35" s="143"/>
      <c r="CM35" s="143"/>
      <c r="CN35" s="143"/>
      <c r="CO35" s="142">
        <f>SUM(CP35:CT35)</f>
      </c>
      <c r="CP35" s="143"/>
      <c r="CQ35" s="143"/>
      <c r="CR35" s="143"/>
      <c r="CS35" s="143"/>
      <c r="CT35" s="143"/>
      <c r="CU35" s="142"/>
      <c r="CV35" s="143"/>
      <c r="CW35" s="143"/>
      <c r="CX35" s="143"/>
      <c r="CY35" s="142"/>
      <c r="CZ35" s="143"/>
      <c r="DA35" s="143"/>
      <c r="DB35" s="143"/>
      <c r="DC35" s="143"/>
      <c r="DD35" s="143"/>
      <c r="DE35" s="143"/>
      <c r="DF35" s="143"/>
      <c r="DG35" s="142">
        <f>SUM(DH35:DH35)</f>
      </c>
      <c r="DH35" s="143"/>
      <c r="DI35" s="142"/>
      <c r="DJ35" s="143"/>
      <c r="DK35" s="142">
        <f>SUM(DL35:DQ35)</f>
      </c>
      <c r="DL35" s="143"/>
      <c r="DM35" s="143"/>
      <c r="DN35" s="143"/>
      <c r="DO35" s="143"/>
      <c r="DP35" s="143"/>
      <c r="DQ35" s="143"/>
      <c r="DR35" s="143"/>
      <c r="DS35" s="143"/>
      <c r="DT35" s="143"/>
      <c r="DU35" s="143"/>
      <c r="DV35" s="143"/>
      <c r="DW35" s="143"/>
      <c r="DX35" s="142"/>
      <c r="DY35" s="143"/>
      <c r="DZ35" s="142"/>
      <c r="EA35" s="143"/>
      <c r="EB35" s="143"/>
      <c r="EC35" s="142"/>
      <c r="ED35" s="143"/>
      <c r="EF35" s="143"/>
      <c r="EG35" s="142">
        <f>SUM(EH35:EQ35)</f>
      </c>
      <c r="EH35" s="143"/>
      <c r="EI35" s="143"/>
      <c r="EJ35" s="143"/>
      <c r="EK35" s="143"/>
      <c r="EL35" s="143"/>
      <c r="EM35" s="143"/>
      <c r="EN35" s="143"/>
      <c r="EO35" s="143"/>
      <c r="EP35" s="143"/>
      <c r="EQ35" s="143"/>
      <c r="ER35" s="142">
        <f>SUM(ES35:ET35)</f>
      </c>
      <c r="ES35" s="143"/>
      <c r="ET35" s="143"/>
      <c r="EU35" s="144"/>
      <c r="FB35" s="146"/>
      <c r="FC35" s="146" cm="1">
        <f t="array" ref="FC35">ROW()-ROW(New[#Headers])</f>
        <v>29</v>
      </c>
    </row>
    <row r="36" spans="2:159" s="139" customFormat="1" ht="10.5" x14ac:dyDescent="0.2">
      <c r="B36" s="133"/>
      <c r="C36" s="828" t="s">
        <v>1726</v>
      </c>
      <c r="D36" t="s" s="829">
        <v>689</v>
      </c>
      <c r="E36" s="830" t="s">
        <v>13</v>
      </c>
      <c r="F36" t="s" s="831">
        <v>766</v>
      </c>
      <c r="G36" t="s" s="832">
        <v>1597</v>
      </c>
      <c r="H36" s="833" t="s">
        <v>46</v>
      </c>
      <c r="I36" t="s" s="834">
        <v>41</v>
      </c>
      <c r="J36" t="s" s="835">
        <v>68</v>
      </c>
      <c r="K36" t="s" s="836">
        <v>774</v>
      </c>
      <c r="L36" t="s" s="837">
        <v>767</v>
      </c>
      <c r="M36" t="s" s="838">
        <v>305</v>
      </c>
      <c r="N36" s="839" t="s">
        <v>3867</v>
      </c>
      <c r="O36" s="840" t="s">
        <v>3868</v>
      </c>
      <c r="P36" s="141"/>
      <c r="Q36" s="142">
        <f>SUM(R36:AQ36)</f>
      </c>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2">
        <f>SUM(AS36:AV36)</f>
      </c>
      <c r="AS36" s="143"/>
      <c r="AT36" s="143"/>
      <c r="AU36" s="143"/>
      <c r="AV36" s="143"/>
      <c r="AW36" s="142">
        <f>SUM(AX36:BI36)</f>
      </c>
      <c r="AX36" s="143"/>
      <c r="AY36" s="143"/>
      <c r="AZ36" s="143"/>
      <c r="BA36" s="143"/>
      <c r="BB36" s="143"/>
      <c r="BC36" s="143"/>
      <c r="BD36" s="143"/>
      <c r="BE36" s="143"/>
      <c r="BF36" s="143"/>
      <c r="BG36" s="143"/>
      <c r="BH36" s="143"/>
      <c r="BI36" s="143"/>
      <c r="BJ36" s="142"/>
      <c r="BK36" s="143"/>
      <c r="BL36" s="143"/>
      <c r="BM36" s="143"/>
      <c r="BN36" s="143"/>
      <c r="BO36" s="143"/>
      <c r="BP36" s="143"/>
      <c r="BQ36" s="142"/>
      <c r="BR36" s="143"/>
      <c r="BS36" s="143"/>
      <c r="BT36" s="142">
        <f>SUM(BU36:BW36)</f>
      </c>
      <c r="BU36" s="143"/>
      <c r="BV36" s="143"/>
      <c r="BW36" s="143"/>
      <c r="BX36" s="142">
        <f>SUM(BY36:CD36)</f>
      </c>
      <c r="BY36" s="143"/>
      <c r="BZ36" s="143"/>
      <c r="CA36" s="143"/>
      <c r="CB36" s="143"/>
      <c r="CC36" s="143"/>
      <c r="CD36" s="143"/>
      <c r="CE36" s="142"/>
      <c r="CF36" s="143"/>
      <c r="CG36" s="143"/>
      <c r="CH36" s="143"/>
      <c r="CI36" s="143"/>
      <c r="CJ36" s="143"/>
      <c r="CK36" s="142">
        <f>SUM(CL36:CN36)</f>
      </c>
      <c r="CL36" s="143"/>
      <c r="CM36" s="143"/>
      <c r="CN36" s="143"/>
      <c r="CO36" s="142">
        <f>SUM(CP36:CT36)</f>
      </c>
      <c r="CP36" s="143"/>
      <c r="CQ36" s="143"/>
      <c r="CR36" s="143"/>
      <c r="CS36" s="143"/>
      <c r="CT36" s="143"/>
      <c r="CU36" s="142"/>
      <c r="CV36" s="143"/>
      <c r="CW36" s="143"/>
      <c r="CX36" s="143"/>
      <c r="CY36" s="142"/>
      <c r="CZ36" s="143"/>
      <c r="DA36" s="143"/>
      <c r="DB36" s="143"/>
      <c r="DC36" s="143"/>
      <c r="DD36" s="143"/>
      <c r="DE36" s="143"/>
      <c r="DF36" s="143"/>
      <c r="DG36" s="142">
        <f>SUM(DH36:DH36)</f>
      </c>
      <c r="DH36" s="143"/>
      <c r="DI36" s="142"/>
      <c r="DJ36" s="143"/>
      <c r="DK36" s="142">
        <f>SUM(DL36:DQ36)</f>
      </c>
      <c r="DL36" s="143"/>
      <c r="DM36" s="143"/>
      <c r="DN36" s="143"/>
      <c r="DO36" s="143"/>
      <c r="DP36" s="143"/>
      <c r="DQ36" s="143"/>
      <c r="DR36" s="143"/>
      <c r="DS36" s="143"/>
      <c r="DT36" s="143"/>
      <c r="DU36" s="143"/>
      <c r="DV36" s="143"/>
      <c r="DW36" s="143"/>
      <c r="DX36" s="142"/>
      <c r="DY36" s="143"/>
      <c r="DZ36" s="142"/>
      <c r="EA36" s="143"/>
      <c r="EB36" s="143"/>
      <c r="EC36" s="142"/>
      <c r="ED36" s="143"/>
      <c r="EF36" s="143"/>
      <c r="EG36" s="142">
        <f>SUM(EH36:EQ36)</f>
      </c>
      <c r="EH36" s="143"/>
      <c r="EI36" s="143"/>
      <c r="EJ36" s="143"/>
      <c r="EK36" s="143"/>
      <c r="EL36" s="143"/>
      <c r="EM36" s="143"/>
      <c r="EN36" s="143"/>
      <c r="EO36" s="143"/>
      <c r="EP36" s="143"/>
      <c r="EQ36" s="143"/>
      <c r="ER36" s="142">
        <f>SUM(ES36:ET36)</f>
      </c>
      <c r="ES36" s="143"/>
      <c r="ET36" s="143"/>
      <c r="EU36" s="144"/>
      <c r="FB36" s="146"/>
      <c r="FC36" s="146" cm="1">
        <f t="array" ref="FC36">ROW()-ROW(New[#Headers])</f>
        <v>30</v>
      </c>
    </row>
    <row r="37" spans="2:159" s="139" customFormat="1" ht="10.5" x14ac:dyDescent="0.2">
      <c r="B37" s="133"/>
      <c r="C37" s="841" t="s">
        <v>526</v>
      </c>
      <c r="D37" t="s" s="842">
        <v>527</v>
      </c>
      <c r="E37" s="843" t="s">
        <v>13</v>
      </c>
      <c r="F37" t="s" s="844">
        <v>1618</v>
      </c>
      <c r="G37" t="s" s="845">
        <v>1597</v>
      </c>
      <c r="H37" s="846" t="s">
        <v>53</v>
      </c>
      <c r="I37" t="s" s="847">
        <v>41</v>
      </c>
      <c r="J37" t="s" s="848">
        <v>71</v>
      </c>
      <c r="K37" t="s" s="849">
        <v>839</v>
      </c>
      <c r="L37" t="s" s="850">
        <v>767</v>
      </c>
      <c r="M37" t="s" s="851">
        <v>305</v>
      </c>
      <c r="N37" s="852" t="s">
        <v>3875</v>
      </c>
      <c r="O37" s="853" t="s">
        <v>3871</v>
      </c>
      <c r="P37" s="141"/>
      <c r="Q37" s="142">
        <f>SUM(R37:AQ37)</f>
      </c>
      <c r="R37" s="143"/>
      <c r="S37" s="143"/>
      <c r="T37" s="143"/>
      <c r="U37" s="143"/>
      <c r="V37" s="143"/>
      <c r="W37" s="143"/>
      <c r="X37" s="143"/>
      <c r="Y37" s="143"/>
      <c r="Z37" s="143"/>
      <c r="AA37" s="143"/>
      <c r="AB37" s="143"/>
      <c r="AC37" s="143"/>
      <c r="AD37" s="143"/>
      <c r="AE37" s="143"/>
      <c r="AF37" s="143"/>
      <c r="AG37" s="143"/>
      <c r="AH37" s="143"/>
      <c r="AI37" s="143"/>
      <c r="AJ37" s="854" t="n">
        <v>295.0</v>
      </c>
      <c r="AK37" s="143"/>
      <c r="AL37" s="143"/>
      <c r="AM37" s="143"/>
      <c r="AN37" s="143"/>
      <c r="AO37" s="143"/>
      <c r="AP37" s="143"/>
      <c r="AQ37" s="143"/>
      <c r="AR37" s="142">
        <f>SUM(AS37:AV37)</f>
      </c>
      <c r="AS37" s="143"/>
      <c r="AT37" s="143"/>
      <c r="AU37" s="143"/>
      <c r="AV37" s="143"/>
      <c r="AW37" s="142">
        <f>SUM(AX37:BI37)</f>
      </c>
      <c r="AX37" s="143"/>
      <c r="AY37" s="143"/>
      <c r="AZ37" s="143"/>
      <c r="BA37" s="143"/>
      <c r="BB37" s="143"/>
      <c r="BC37" s="143"/>
      <c r="BD37" s="143"/>
      <c r="BE37" s="143"/>
      <c r="BF37" s="143"/>
      <c r="BG37" s="143"/>
      <c r="BH37" s="143"/>
      <c r="BI37" s="143"/>
      <c r="BJ37" s="142"/>
      <c r="BK37" s="143"/>
      <c r="BL37" s="143"/>
      <c r="BM37" s="143"/>
      <c r="BN37" s="143"/>
      <c r="BO37" s="143"/>
      <c r="BP37" s="143"/>
      <c r="BQ37" s="142"/>
      <c r="BR37" s="143"/>
      <c r="BS37" s="143"/>
      <c r="BT37" s="142">
        <f>SUM(BU37:BW37)</f>
      </c>
      <c r="BU37" s="143"/>
      <c r="BV37" s="143"/>
      <c r="BW37" s="143"/>
      <c r="BX37" s="142">
        <f>SUM(BY37:CD37)</f>
      </c>
      <c r="BY37" s="143"/>
      <c r="BZ37" s="143"/>
      <c r="CA37" s="143"/>
      <c r="CB37" s="143"/>
      <c r="CC37" s="143"/>
      <c r="CD37" s="143"/>
      <c r="CE37" s="142"/>
      <c r="CF37" s="143"/>
      <c r="CG37" s="143"/>
      <c r="CH37" s="143"/>
      <c r="CI37" s="143"/>
      <c r="CJ37" s="143"/>
      <c r="CK37" s="142">
        <f>SUM(CL37:CN37)</f>
      </c>
      <c r="CL37" s="143"/>
      <c r="CM37" s="143"/>
      <c r="CN37" s="143"/>
      <c r="CO37" s="142">
        <f>SUM(CP37:CT37)</f>
      </c>
      <c r="CP37" s="143"/>
      <c r="CQ37" s="143"/>
      <c r="CR37" s="143"/>
      <c r="CS37" s="143"/>
      <c r="CT37" s="143"/>
      <c r="CU37" s="142"/>
      <c r="CV37" s="143"/>
      <c r="CW37" s="143"/>
      <c r="CX37" s="143"/>
      <c r="CY37" s="142"/>
      <c r="CZ37" s="143"/>
      <c r="DA37" s="143"/>
      <c r="DB37" s="143"/>
      <c r="DC37" s="143"/>
      <c r="DD37" s="143"/>
      <c r="DE37" s="143"/>
      <c r="DF37" s="143"/>
      <c r="DG37" s="142">
        <f>SUM(DH37:DH37)</f>
      </c>
      <c r="DH37" s="855" t="n">
        <v>50.0</v>
      </c>
      <c r="DI37" s="142"/>
      <c r="DJ37" s="143"/>
      <c r="DK37" s="142">
        <f>SUM(DL37:DQ37)</f>
      </c>
      <c r="DL37" s="143"/>
      <c r="DM37" s="143"/>
      <c r="DN37" s="143"/>
      <c r="DO37" s="143"/>
      <c r="DP37" s="143"/>
      <c r="DQ37" s="143"/>
      <c r="DR37" s="143"/>
      <c r="DS37" s="143"/>
      <c r="DT37" s="143"/>
      <c r="DU37" s="143"/>
      <c r="DV37" s="143"/>
      <c r="DW37" s="143"/>
      <c r="DX37" s="142"/>
      <c r="DY37" s="143"/>
      <c r="DZ37" s="142"/>
      <c r="EA37" s="143"/>
      <c r="EB37" s="143"/>
      <c r="EC37" s="142"/>
      <c r="ED37" s="143"/>
      <c r="EF37" s="143"/>
      <c r="EG37" s="142">
        <f>SUM(EH37:EQ37)</f>
      </c>
      <c r="EH37" s="143"/>
      <c r="EI37" s="143"/>
      <c r="EJ37" s="143"/>
      <c r="EK37" s="143"/>
      <c r="EL37" s="143"/>
      <c r="EM37" s="143"/>
      <c r="EN37" s="143"/>
      <c r="EO37" s="143"/>
      <c r="EP37" s="143"/>
      <c r="EQ37" s="143"/>
      <c r="ER37" s="142">
        <f>SUM(ES37:ET37)</f>
      </c>
      <c r="ES37" s="143"/>
      <c r="ET37" s="143"/>
      <c r="EU37" s="144"/>
      <c r="FB37" s="146"/>
      <c r="FC37" s="146" cm="1">
        <f t="array" ref="FC37">ROW()-ROW(New[#Headers])</f>
        <v>31</v>
      </c>
    </row>
    <row r="38" spans="2:159" s="139" customFormat="1" ht="10.5" x14ac:dyDescent="0.2">
      <c r="B38" s="133"/>
      <c r="C38" s="856" t="s">
        <v>391</v>
      </c>
      <c r="D38" t="s" s="857">
        <v>392</v>
      </c>
      <c r="E38" s="858" t="s">
        <v>13</v>
      </c>
      <c r="F38" t="s" s="859">
        <v>933</v>
      </c>
      <c r="G38" t="s" s="860">
        <v>1597</v>
      </c>
      <c r="H38" s="861" t="s">
        <v>46</v>
      </c>
      <c r="I38" t="s" s="862">
        <v>41</v>
      </c>
      <c r="J38" t="s" s="863">
        <v>64</v>
      </c>
      <c r="K38" t="s" s="864">
        <v>1639</v>
      </c>
      <c r="L38" t="s" s="865">
        <v>305</v>
      </c>
      <c r="M38" t="s" s="866">
        <v>305</v>
      </c>
      <c r="N38" s="867" t="s">
        <v>3873</v>
      </c>
      <c r="O38" s="868" t="s">
        <v>3871</v>
      </c>
      <c r="P38" s="141"/>
      <c r="Q38" s="142">
        <f>SUM(R38:AQ38)</f>
      </c>
      <c r="R38" s="143"/>
      <c r="S38" s="143"/>
      <c r="T38" s="143"/>
      <c r="U38" s="143"/>
      <c r="V38" s="143"/>
      <c r="W38" s="143"/>
      <c r="X38" s="143"/>
      <c r="Y38" s="143"/>
      <c r="Z38" s="143"/>
      <c r="AA38" s="143"/>
      <c r="AB38" s="143"/>
      <c r="AC38" s="143"/>
      <c r="AD38" s="143"/>
      <c r="AE38" s="143"/>
      <c r="AF38" s="869" t="n">
        <v>282.5</v>
      </c>
      <c r="AG38" s="143"/>
      <c r="AH38" s="143"/>
      <c r="AI38" s="143"/>
      <c r="AJ38" s="143"/>
      <c r="AK38" s="143"/>
      <c r="AL38" s="143"/>
      <c r="AM38" s="143"/>
      <c r="AN38" s="143"/>
      <c r="AO38" s="143"/>
      <c r="AP38" s="143"/>
      <c r="AQ38" s="143"/>
      <c r="AR38" s="142">
        <f>SUM(AS38:AV38)</f>
      </c>
      <c r="AS38" s="143"/>
      <c r="AT38" s="143"/>
      <c r="AU38" s="143"/>
      <c r="AV38" s="143"/>
      <c r="AW38" s="142">
        <f>SUM(AX38:BI38)</f>
      </c>
      <c r="AX38" s="143"/>
      <c r="AY38" s="143"/>
      <c r="AZ38" s="143"/>
      <c r="BA38" s="143"/>
      <c r="BB38" s="143"/>
      <c r="BC38" s="143"/>
      <c r="BD38" s="143"/>
      <c r="BE38" s="143"/>
      <c r="BF38" s="143"/>
      <c r="BG38" s="143"/>
      <c r="BH38" s="143"/>
      <c r="BI38" s="143"/>
      <c r="BJ38" s="142"/>
      <c r="BK38" s="143"/>
      <c r="BL38" s="143"/>
      <c r="BM38" s="143"/>
      <c r="BN38" s="143"/>
      <c r="BO38" s="143"/>
      <c r="BP38" s="143"/>
      <c r="BQ38" s="142"/>
      <c r="BR38" s="143"/>
      <c r="BS38" s="143"/>
      <c r="BT38" s="142">
        <f>SUM(BU38:BW38)</f>
      </c>
      <c r="BU38" s="143"/>
      <c r="BV38" s="143"/>
      <c r="BW38" s="143"/>
      <c r="BX38" s="142">
        <f>SUM(BY38:CD38)</f>
      </c>
      <c r="BY38" s="143"/>
      <c r="BZ38" s="143"/>
      <c r="CA38" s="143"/>
      <c r="CB38" s="143"/>
      <c r="CC38" s="143"/>
      <c r="CD38" s="143"/>
      <c r="CE38" s="142"/>
      <c r="CF38" s="143"/>
      <c r="CG38" s="143"/>
      <c r="CH38" s="143"/>
      <c r="CI38" s="143"/>
      <c r="CJ38" s="143"/>
      <c r="CK38" s="142">
        <f>SUM(CL38:CN38)</f>
      </c>
      <c r="CL38" s="143"/>
      <c r="CM38" s="143"/>
      <c r="CN38" s="143"/>
      <c r="CO38" s="142">
        <f>SUM(CP38:CT38)</f>
      </c>
      <c r="CP38" s="143"/>
      <c r="CQ38" s="143"/>
      <c r="CR38" s="143"/>
      <c r="CS38" s="143"/>
      <c r="CT38" s="143"/>
      <c r="CU38" s="142"/>
      <c r="CV38" s="143"/>
      <c r="CW38" s="143"/>
      <c r="CX38" s="143"/>
      <c r="CY38" s="142"/>
      <c r="CZ38" s="143"/>
      <c r="DA38" s="143"/>
      <c r="DB38" s="143"/>
      <c r="DC38" s="143"/>
      <c r="DD38" s="143"/>
      <c r="DE38" s="143"/>
      <c r="DF38" s="143"/>
      <c r="DG38" s="142">
        <f>SUM(DH38:DH38)</f>
      </c>
      <c r="DH38" s="143"/>
      <c r="DI38" s="142"/>
      <c r="DJ38" s="143"/>
      <c r="DK38" s="142">
        <f>SUM(DL38:DQ38)</f>
      </c>
      <c r="DL38" s="143"/>
      <c r="DM38" s="143"/>
      <c r="DN38" s="143"/>
      <c r="DO38" s="143"/>
      <c r="DP38" s="143"/>
      <c r="DQ38" s="143"/>
      <c r="DR38" s="143"/>
      <c r="DS38" s="143"/>
      <c r="DT38" s="143"/>
      <c r="DU38" s="143"/>
      <c r="DV38" s="143"/>
      <c r="DW38" s="143"/>
      <c r="DX38" s="142"/>
      <c r="DY38" s="143"/>
      <c r="DZ38" s="142"/>
      <c r="EA38" s="143"/>
      <c r="EB38" s="143"/>
      <c r="EC38" s="142"/>
      <c r="ED38" s="143"/>
      <c r="EF38" s="143"/>
      <c r="EG38" s="142">
        <f>SUM(EH38:EQ38)</f>
      </c>
      <c r="EH38" s="143"/>
      <c r="EI38" s="143"/>
      <c r="EJ38" s="143"/>
      <c r="EK38" s="143"/>
      <c r="EL38" s="143"/>
      <c r="EM38" s="143"/>
      <c r="EN38" s="143"/>
      <c r="EO38" s="143"/>
      <c r="EP38" s="143"/>
      <c r="EQ38" s="143"/>
      <c r="ER38" s="142">
        <f>SUM(ES38:ET38)</f>
      </c>
      <c r="ES38" s="143"/>
      <c r="ET38" s="143"/>
      <c r="EU38" s="144"/>
      <c r="FB38" s="146"/>
      <c r="FC38" s="146" cm="1">
        <f t="array" ref="FC38">ROW()-ROW(New[#Headers])</f>
        <v>32</v>
      </c>
    </row>
    <row r="39" spans="2:159" s="139" customFormat="1" ht="10.5" x14ac:dyDescent="0.2">
      <c r="B39" s="133"/>
      <c r="C39" s="870" t="s">
        <v>692</v>
      </c>
      <c r="D39" t="s" s="871">
        <v>693</v>
      </c>
      <c r="E39" s="872" t="s">
        <v>13</v>
      </c>
      <c r="F39" t="s" s="873">
        <v>750</v>
      </c>
      <c r="G39" t="s" s="874">
        <v>345</v>
      </c>
      <c r="H39" s="875" t="s">
        <v>46</v>
      </c>
      <c r="I39" t="s" s="876">
        <v>41</v>
      </c>
      <c r="J39" t="s" s="877">
        <v>64</v>
      </c>
      <c r="K39" t="s" s="878">
        <v>1679</v>
      </c>
      <c r="L39" t="s" s="879">
        <v>305</v>
      </c>
      <c r="M39" t="s" s="880">
        <v>305</v>
      </c>
      <c r="N39" s="881" t="s">
        <v>3870</v>
      </c>
      <c r="O39" s="882" t="s">
        <v>3878</v>
      </c>
      <c r="P39" s="141"/>
      <c r="Q39" s="142">
        <f>SUM(R39:AQ39)</f>
      </c>
      <c r="R39" s="143"/>
      <c r="S39" s="143"/>
      <c r="T39" s="883" t="n">
        <v>20.0</v>
      </c>
      <c r="U39" s="143"/>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2">
        <f>SUM(AS39:AV39)</f>
      </c>
      <c r="AS39" s="143"/>
      <c r="AT39" s="143"/>
      <c r="AU39" s="143"/>
      <c r="AV39" s="143"/>
      <c r="AW39" s="142">
        <f>SUM(AX39:BI39)</f>
      </c>
      <c r="AX39" s="143"/>
      <c r="AY39" s="143"/>
      <c r="AZ39" s="143"/>
      <c r="BA39" s="143"/>
      <c r="BB39" s="143"/>
      <c r="BC39" s="143"/>
      <c r="BD39" s="143"/>
      <c r="BE39" s="143"/>
      <c r="BF39" s="143"/>
      <c r="BG39" s="143"/>
      <c r="BH39" s="143"/>
      <c r="BI39" s="143"/>
      <c r="BJ39" s="142"/>
      <c r="BK39" s="143"/>
      <c r="BL39" s="143"/>
      <c r="BM39" s="143"/>
      <c r="BN39" s="143"/>
      <c r="BO39" s="143"/>
      <c r="BP39" s="143"/>
      <c r="BQ39" s="142"/>
      <c r="BR39" s="143"/>
      <c r="BS39" s="143"/>
      <c r="BT39" s="142">
        <f>SUM(BU39:BW39)</f>
      </c>
      <c r="BU39" s="143"/>
      <c r="BV39" s="143"/>
      <c r="BW39" s="143"/>
      <c r="BX39" s="142">
        <f>SUM(BY39:CD39)</f>
      </c>
      <c r="BY39" s="143"/>
      <c r="BZ39" s="143"/>
      <c r="CA39" s="143"/>
      <c r="CB39" s="143"/>
      <c r="CC39" s="143"/>
      <c r="CD39" s="143"/>
      <c r="CE39" s="142"/>
      <c r="CF39" s="143"/>
      <c r="CG39" s="143"/>
      <c r="CH39" s="143"/>
      <c r="CI39" s="143"/>
      <c r="CJ39" s="143"/>
      <c r="CK39" s="142">
        <f>SUM(CL39:CN39)</f>
      </c>
      <c r="CL39" s="143"/>
      <c r="CM39" s="143"/>
      <c r="CN39" s="143"/>
      <c r="CO39" s="142">
        <f>SUM(CP39:CT39)</f>
      </c>
      <c r="CP39" s="143"/>
      <c r="CQ39" s="143"/>
      <c r="CR39" s="143"/>
      <c r="CS39" s="143"/>
      <c r="CT39" s="143"/>
      <c r="CU39" s="142"/>
      <c r="CV39" s="143"/>
      <c r="CW39" s="143"/>
      <c r="CX39" s="143"/>
      <c r="CY39" s="142"/>
      <c r="CZ39" s="143"/>
      <c r="DA39" s="143"/>
      <c r="DB39" s="143"/>
      <c r="DC39" s="143"/>
      <c r="DD39" s="143"/>
      <c r="DE39" s="143"/>
      <c r="DF39" s="143"/>
      <c r="DG39" s="142">
        <f>SUM(DH39:DH39)</f>
      </c>
      <c r="DH39" s="143"/>
      <c r="DI39" s="142"/>
      <c r="DJ39" s="143"/>
      <c r="DK39" s="142">
        <f>SUM(DL39:DQ39)</f>
      </c>
      <c r="DL39" s="143"/>
      <c r="DM39" s="143"/>
      <c r="DN39" s="143"/>
      <c r="DO39" s="143"/>
      <c r="DP39" s="143"/>
      <c r="DQ39" s="143"/>
      <c r="DR39" s="143"/>
      <c r="DS39" s="143"/>
      <c r="DT39" s="143"/>
      <c r="DU39" s="143"/>
      <c r="DV39" s="143"/>
      <c r="DW39" s="143"/>
      <c r="DX39" s="142"/>
      <c r="DY39" s="143"/>
      <c r="DZ39" s="142"/>
      <c r="EA39" s="143"/>
      <c r="EB39" s="143"/>
      <c r="EC39" s="142"/>
      <c r="ED39" s="143"/>
      <c r="EF39" s="143"/>
      <c r="EG39" s="142">
        <f>SUM(EH39:EQ39)</f>
      </c>
      <c r="EH39" s="143"/>
      <c r="EI39" s="143"/>
      <c r="EJ39" s="143"/>
      <c r="EK39" s="143"/>
      <c r="EL39" s="143"/>
      <c r="EM39" s="143"/>
      <c r="EN39" s="143"/>
      <c r="EO39" s="143"/>
      <c r="EP39" s="143"/>
      <c r="EQ39" s="143"/>
      <c r="ER39" s="142">
        <f>SUM(ES39:ET39)</f>
      </c>
      <c r="ES39" s="143"/>
      <c r="ET39" s="143"/>
      <c r="EU39" s="144"/>
      <c r="FB39" s="146"/>
      <c r="FC39" s="146" cm="1">
        <f t="array" ref="FC39">ROW()-ROW(New[#Headers])</f>
        <v>33</v>
      </c>
    </row>
    <row r="40" spans="2:159" s="139" customFormat="1" ht="10.5" x14ac:dyDescent="0.2">
      <c r="B40" s="133"/>
      <c r="C40" s="887" t="s">
        <v>387</v>
      </c>
      <c r="D40" t="s" s="888">
        <v>388</v>
      </c>
      <c r="E40" s="889" t="s">
        <v>13</v>
      </c>
      <c r="F40" t="s" s="890">
        <v>933</v>
      </c>
      <c r="G40" t="s" s="891">
        <v>1597</v>
      </c>
      <c r="H40" s="892" t="s">
        <v>46</v>
      </c>
      <c r="I40" t="s" s="893">
        <v>41</v>
      </c>
      <c r="J40" t="s" s="894">
        <v>64</v>
      </c>
      <c r="K40" t="s" s="895">
        <v>1639</v>
      </c>
      <c r="L40" t="s" s="896">
        <v>305</v>
      </c>
      <c r="M40" t="s" s="897">
        <v>305</v>
      </c>
      <c r="N40" s="898" t="s">
        <v>3873</v>
      </c>
      <c r="O40" s="899" t="s">
        <v>3871</v>
      </c>
      <c r="P40" s="141"/>
      <c r="Q40" s="142">
        <f>SUM(R40:AQ40)</f>
      </c>
      <c r="R40" s="143"/>
      <c r="S40" s="143"/>
      <c r="T40" s="143"/>
      <c r="U40" s="143"/>
      <c r="V40" s="143"/>
      <c r="W40" s="143"/>
      <c r="X40" s="143"/>
      <c r="Y40" s="143"/>
      <c r="Z40" s="143"/>
      <c r="AA40" s="143"/>
      <c r="AB40" s="143"/>
      <c r="AC40" s="143"/>
      <c r="AD40" s="143"/>
      <c r="AE40" s="143"/>
      <c r="AF40" s="900" t="n">
        <v>704.0</v>
      </c>
      <c r="AG40" s="143"/>
      <c r="AH40" s="143"/>
      <c r="AI40" s="143"/>
      <c r="AJ40" s="143"/>
      <c r="AK40" s="143"/>
      <c r="AL40" s="143"/>
      <c r="AM40" s="143"/>
      <c r="AN40" s="143"/>
      <c r="AO40" s="143"/>
      <c r="AP40" s="143"/>
      <c r="AQ40" s="143"/>
      <c r="AR40" s="142">
        <f>SUM(AS40:AV40)</f>
      </c>
      <c r="AS40" s="143"/>
      <c r="AT40" s="143"/>
      <c r="AU40" s="143"/>
      <c r="AV40" s="143"/>
      <c r="AW40" s="142">
        <f>SUM(AX40:BI40)</f>
      </c>
      <c r="AX40" s="143"/>
      <c r="AY40" s="143"/>
      <c r="AZ40" s="143"/>
      <c r="BA40" s="143"/>
      <c r="BB40" s="143"/>
      <c r="BC40" s="143"/>
      <c r="BD40" s="143"/>
      <c r="BE40" s="143"/>
      <c r="BF40" s="143"/>
      <c r="BG40" s="143"/>
      <c r="BH40" s="143"/>
      <c r="BI40" s="143"/>
      <c r="BJ40" s="142"/>
      <c r="BK40" s="143"/>
      <c r="BL40" s="143"/>
      <c r="BM40" s="143"/>
      <c r="BN40" s="143"/>
      <c r="BO40" s="143"/>
      <c r="BP40" s="143"/>
      <c r="BQ40" s="142"/>
      <c r="BR40" s="143"/>
      <c r="BS40" s="143"/>
      <c r="BT40" s="142">
        <f>SUM(BU40:BW40)</f>
      </c>
      <c r="BU40" s="143"/>
      <c r="BV40" s="143"/>
      <c r="BW40" s="143"/>
      <c r="BX40" s="142">
        <f>SUM(BY40:CD40)</f>
      </c>
      <c r="BY40" s="143"/>
      <c r="BZ40" s="143"/>
      <c r="CA40" s="143"/>
      <c r="CB40" s="143"/>
      <c r="CC40" s="143"/>
      <c r="CD40" s="143"/>
      <c r="CE40" s="142"/>
      <c r="CF40" s="143"/>
      <c r="CG40" s="143"/>
      <c r="CH40" s="143"/>
      <c r="CI40" s="143"/>
      <c r="CJ40" s="143"/>
      <c r="CK40" s="142">
        <f>SUM(CL40:CN40)</f>
      </c>
      <c r="CL40" s="143"/>
      <c r="CM40" s="143"/>
      <c r="CN40" s="143"/>
      <c r="CO40" s="142">
        <f>SUM(CP40:CT40)</f>
      </c>
      <c r="CP40" s="143"/>
      <c r="CQ40" s="143"/>
      <c r="CR40" s="143"/>
      <c r="CS40" s="143"/>
      <c r="CT40" s="143"/>
      <c r="CU40" s="142"/>
      <c r="CV40" s="143"/>
      <c r="CW40" s="143"/>
      <c r="CX40" s="143"/>
      <c r="CY40" s="142"/>
      <c r="CZ40" s="143"/>
      <c r="DA40" s="143"/>
      <c r="DB40" s="143"/>
      <c r="DC40" s="143"/>
      <c r="DD40" s="143"/>
      <c r="DE40" s="143"/>
      <c r="DF40" s="143"/>
      <c r="DG40" s="142">
        <f>SUM(DH40:DH40)</f>
      </c>
      <c r="DH40" s="143"/>
      <c r="DI40" s="142"/>
      <c r="DJ40" s="143"/>
      <c r="DK40" s="142">
        <f>SUM(DL40:DQ40)</f>
      </c>
      <c r="DL40" s="143"/>
      <c r="DM40" s="143"/>
      <c r="DN40" s="143"/>
      <c r="DO40" s="143"/>
      <c r="DP40" s="143"/>
      <c r="DQ40" s="143"/>
      <c r="DR40" s="143"/>
      <c r="DS40" s="143"/>
      <c r="DT40" s="143"/>
      <c r="DU40" s="143"/>
      <c r="DV40" s="143"/>
      <c r="DW40" s="143"/>
      <c r="DX40" s="142"/>
      <c r="DY40" s="143"/>
      <c r="DZ40" s="142"/>
      <c r="EA40" s="143"/>
      <c r="EB40" s="143"/>
      <c r="EC40" s="142"/>
      <c r="ED40" s="143"/>
      <c r="EF40" s="143"/>
      <c r="EG40" s="142">
        <f>SUM(EH40:EQ40)</f>
      </c>
      <c r="EH40" s="143"/>
      <c r="EI40" s="143"/>
      <c r="EJ40" s="143"/>
      <c r="EK40" s="143"/>
      <c r="EL40" s="143"/>
      <c r="EM40" s="143"/>
      <c r="EN40" s="143"/>
      <c r="EO40" s="143"/>
      <c r="EP40" s="143"/>
      <c r="EQ40" s="143"/>
      <c r="ER40" s="142">
        <f>SUM(ES40:ET40)</f>
      </c>
      <c r="ES40" s="143"/>
      <c r="ET40" s="143"/>
      <c r="EU40" s="144"/>
      <c r="FB40" s="146"/>
      <c r="FC40" s="146" cm="1">
        <f t="array" ref="FC40">ROW()-ROW(New[#Headers])</f>
        <v>34</v>
      </c>
    </row>
    <row r="41" spans="2:159" s="139" customFormat="1" ht="10.5" x14ac:dyDescent="0.2">
      <c r="B41" s="133"/>
      <c r="C41" s="918" t="s">
        <v>516</v>
      </c>
      <c r="D41" t="s" s="919">
        <v>517</v>
      </c>
      <c r="E41" s="920" t="s">
        <v>13</v>
      </c>
      <c r="F41" t="s" s="921">
        <v>1618</v>
      </c>
      <c r="G41" t="s" s="922">
        <v>1597</v>
      </c>
      <c r="H41" s="923" t="s">
        <v>46</v>
      </c>
      <c r="I41" t="s" s="924">
        <v>22</v>
      </c>
      <c r="J41" t="s" s="925">
        <v>64</v>
      </c>
      <c r="K41" t="s" s="926">
        <v>839</v>
      </c>
      <c r="L41" t="s" s="927">
        <v>767</v>
      </c>
      <c r="M41" t="s" s="928">
        <v>305</v>
      </c>
      <c r="N41" s="929" t="s">
        <v>3870</v>
      </c>
      <c r="O41" s="930" t="s">
        <v>3874</v>
      </c>
      <c r="P41" s="141"/>
      <c r="Q41" s="142">
        <f>SUM(R41:AQ41)</f>
      </c>
      <c r="R41" s="143"/>
      <c r="S41" s="143"/>
      <c r="T41" s="143"/>
      <c r="U41" s="143"/>
      <c r="V41" s="143"/>
      <c r="W41" s="143"/>
      <c r="X41" s="143"/>
      <c r="Y41" s="143"/>
      <c r="Z41" s="143"/>
      <c r="AA41" s="143"/>
      <c r="AB41" s="143"/>
      <c r="AC41" s="143"/>
      <c r="AD41" s="143"/>
      <c r="AE41" s="143"/>
      <c r="AF41" s="143"/>
      <c r="AG41" s="143"/>
      <c r="AH41" s="143"/>
      <c r="AI41" s="143"/>
      <c r="AJ41" s="143"/>
      <c r="AK41" s="143"/>
      <c r="AL41" s="931" t="n">
        <v>125.0</v>
      </c>
      <c r="AM41" s="143"/>
      <c r="AN41" s="143"/>
      <c r="AO41" s="143"/>
      <c r="AP41" s="143"/>
      <c r="AQ41" s="143"/>
      <c r="AR41" s="142">
        <f>SUM(AS41:AV41)</f>
      </c>
      <c r="AS41" s="143"/>
      <c r="AT41" s="143"/>
      <c r="AU41" s="143"/>
      <c r="AV41" s="143"/>
      <c r="AW41" s="142">
        <f>SUM(AX41:BI41)</f>
      </c>
      <c r="AX41" s="143"/>
      <c r="AY41" s="143"/>
      <c r="AZ41" s="143"/>
      <c r="BA41" s="143"/>
      <c r="BB41" s="143"/>
      <c r="BC41" s="143"/>
      <c r="BD41" s="143"/>
      <c r="BE41" s="143"/>
      <c r="BF41" s="143"/>
      <c r="BG41" s="143"/>
      <c r="BH41" s="143"/>
      <c r="BI41" s="143"/>
      <c r="BJ41" s="142"/>
      <c r="BK41" s="143"/>
      <c r="BL41" s="143"/>
      <c r="BM41" s="143"/>
      <c r="BN41" s="143"/>
      <c r="BO41" s="143"/>
      <c r="BP41" s="143"/>
      <c r="BQ41" s="142"/>
      <c r="BR41" s="143"/>
      <c r="BS41" s="143"/>
      <c r="BT41" s="142">
        <f>SUM(BU41:BW41)</f>
      </c>
      <c r="BU41" s="143"/>
      <c r="BV41" s="143"/>
      <c r="BW41" s="143"/>
      <c r="BX41" s="142">
        <f>SUM(BY41:CD41)</f>
      </c>
      <c r="BY41" s="143"/>
      <c r="BZ41" s="143"/>
      <c r="CA41" s="143"/>
      <c r="CB41" s="143"/>
      <c r="CC41" s="143"/>
      <c r="CD41" s="143"/>
      <c r="CE41" s="142"/>
      <c r="CF41" s="143"/>
      <c r="CG41" s="143"/>
      <c r="CH41" s="143"/>
      <c r="CI41" s="143"/>
      <c r="CJ41" s="143"/>
      <c r="CK41" s="142">
        <f>SUM(CL41:CN41)</f>
      </c>
      <c r="CL41" s="143"/>
      <c r="CM41" s="143"/>
      <c r="CN41" s="143"/>
      <c r="CO41" s="142">
        <f>SUM(CP41:CT41)</f>
      </c>
      <c r="CP41" s="143"/>
      <c r="CQ41" s="143"/>
      <c r="CR41" s="143"/>
      <c r="CS41" s="143"/>
      <c r="CT41" s="143"/>
      <c r="CU41" s="142"/>
      <c r="CV41" s="143"/>
      <c r="CW41" s="143"/>
      <c r="CX41" s="143"/>
      <c r="CY41" s="142"/>
      <c r="CZ41" s="143"/>
      <c r="DA41" s="143"/>
      <c r="DB41" s="143"/>
      <c r="DC41" s="143"/>
      <c r="DD41" s="143"/>
      <c r="DE41" s="143"/>
      <c r="DF41" s="143"/>
      <c r="DG41" s="142">
        <f>SUM(DH41:DH41)</f>
      </c>
      <c r="DH41" s="932" t="n">
        <v>50.0</v>
      </c>
      <c r="DI41" s="142"/>
      <c r="DJ41" s="143"/>
      <c r="DK41" s="142">
        <f>SUM(DL41:DQ41)</f>
      </c>
      <c r="DL41" s="143"/>
      <c r="DM41" s="143"/>
      <c r="DN41" s="143"/>
      <c r="DO41" s="143"/>
      <c r="DP41" s="143"/>
      <c r="DQ41" s="143"/>
      <c r="DR41" s="143"/>
      <c r="DS41" s="143"/>
      <c r="DT41" s="143"/>
      <c r="DU41" s="143"/>
      <c r="DV41" s="143"/>
      <c r="DW41" s="143"/>
      <c r="DX41" s="142"/>
      <c r="DY41" s="143"/>
      <c r="DZ41" s="142"/>
      <c r="EA41" s="143"/>
      <c r="EB41" s="143"/>
      <c r="EC41" s="142"/>
      <c r="ED41" s="143"/>
      <c r="EF41" s="143"/>
      <c r="EG41" s="142">
        <f>SUM(EH41:EQ41)</f>
      </c>
      <c r="EH41" s="143"/>
      <c r="EI41" s="143"/>
      <c r="EJ41" s="143"/>
      <c r="EK41" s="143"/>
      <c r="EL41" s="143"/>
      <c r="EM41" s="143"/>
      <c r="EN41" s="143"/>
      <c r="EO41" s="143"/>
      <c r="EP41" s="143"/>
      <c r="EQ41" s="143"/>
      <c r="ER41" s="142">
        <f>SUM(ES41:ET41)</f>
      </c>
      <c r="ES41" s="143"/>
      <c r="ET41" s="143"/>
      <c r="EU41" s="144"/>
      <c r="FB41" s="146"/>
      <c r="FC41" s="146" cm="1">
        <f t="array" ref="FC41">ROW()-ROW(New[#Headers])</f>
        <v>35</v>
      </c>
    </row>
    <row r="42" spans="2:159" s="139" customFormat="1" ht="10.5" x14ac:dyDescent="0.2">
      <c r="B42" s="133"/>
      <c r="C42" s="933" t="s">
        <v>331</v>
      </c>
      <c r="D42" t="s" s="934">
        <v>332</v>
      </c>
      <c r="E42" s="935" t="s">
        <v>13</v>
      </c>
      <c r="F42" t="s" s="936">
        <v>984</v>
      </c>
      <c r="G42" t="s" s="937">
        <v>1597</v>
      </c>
      <c r="H42" s="938" t="s">
        <v>305</v>
      </c>
      <c r="I42" t="s" s="939">
        <v>22</v>
      </c>
      <c r="J42" t="s" s="940">
        <v>64</v>
      </c>
      <c r="K42" t="s" s="941">
        <v>985</v>
      </c>
      <c r="L42" t="s" s="942">
        <v>934</v>
      </c>
      <c r="M42" t="s" s="943">
        <v>305</v>
      </c>
      <c r="N42" s="944" t="s">
        <v>3873</v>
      </c>
      <c r="O42" s="945" t="s">
        <v>3876</v>
      </c>
      <c r="P42" s="141"/>
      <c r="Q42" s="142">
        <f>SUM(R42:AQ42)</f>
      </c>
      <c r="R42" s="143"/>
      <c r="S42" s="946" t="n">
        <v>100.0</v>
      </c>
      <c r="T42" s="143"/>
      <c r="U42" s="143"/>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2">
        <f>SUM(AS42:AV42)</f>
      </c>
      <c r="AS42" s="143"/>
      <c r="AT42" s="143"/>
      <c r="AU42" s="143"/>
      <c r="AV42" s="143"/>
      <c r="AW42" s="142">
        <f>SUM(AX42:BI42)</f>
      </c>
      <c r="AX42" s="143"/>
      <c r="AY42" s="143"/>
      <c r="AZ42" s="143"/>
      <c r="BA42" s="143"/>
      <c r="BB42" s="143"/>
      <c r="BC42" s="143"/>
      <c r="BD42" s="143"/>
      <c r="BE42" s="143"/>
      <c r="BF42" s="143"/>
      <c r="BG42" s="143"/>
      <c r="BH42" s="143"/>
      <c r="BI42" s="143"/>
      <c r="BJ42" s="142"/>
      <c r="BK42" s="143"/>
      <c r="BL42" s="143"/>
      <c r="BM42" s="143"/>
      <c r="BN42" s="143"/>
      <c r="BO42" s="143"/>
      <c r="BP42" s="143"/>
      <c r="BQ42" s="142"/>
      <c r="BR42" s="143"/>
      <c r="BS42" s="143"/>
      <c r="BT42" s="142">
        <f>SUM(BU42:BW42)</f>
      </c>
      <c r="BU42" s="143"/>
      <c r="BV42" s="143"/>
      <c r="BW42" s="143"/>
      <c r="BX42" s="142">
        <f>SUM(BY42:CD42)</f>
      </c>
      <c r="BY42" s="143"/>
      <c r="BZ42" s="143"/>
      <c r="CA42" s="143"/>
      <c r="CB42" s="143"/>
      <c r="CC42" s="143"/>
      <c r="CD42" s="143"/>
      <c r="CE42" s="142"/>
      <c r="CF42" s="143"/>
      <c r="CG42" s="143"/>
      <c r="CH42" s="143"/>
      <c r="CI42" s="143"/>
      <c r="CJ42" s="143"/>
      <c r="CK42" s="142">
        <f>SUM(CL42:CN42)</f>
      </c>
      <c r="CL42" s="143"/>
      <c r="CM42" s="143"/>
      <c r="CN42" s="143"/>
      <c r="CO42" s="142">
        <f>SUM(CP42:CT42)</f>
      </c>
      <c r="CP42" s="143"/>
      <c r="CQ42" s="143"/>
      <c r="CR42" s="143"/>
      <c r="CS42" s="143"/>
      <c r="CT42" s="143"/>
      <c r="CU42" s="142"/>
      <c r="CV42" s="143"/>
      <c r="CW42" s="143"/>
      <c r="CX42" s="143"/>
      <c r="CY42" s="142"/>
      <c r="CZ42" s="143"/>
      <c r="DA42" s="143"/>
      <c r="DB42" s="143"/>
      <c r="DC42" s="143"/>
      <c r="DD42" s="143"/>
      <c r="DE42" s="143"/>
      <c r="DF42" s="143"/>
      <c r="DG42" s="142">
        <f>SUM(DH42:DH42)</f>
      </c>
      <c r="DH42" s="143"/>
      <c r="DI42" s="142"/>
      <c r="DJ42" s="143"/>
      <c r="DK42" s="142">
        <f>SUM(DL42:DQ42)</f>
      </c>
      <c r="DL42" s="143"/>
      <c r="DM42" s="143"/>
      <c r="DN42" s="143"/>
      <c r="DO42" s="143"/>
      <c r="DP42" s="143"/>
      <c r="DQ42" s="143"/>
      <c r="DR42" s="143"/>
      <c r="DS42" s="143"/>
      <c r="DT42" s="143"/>
      <c r="DU42" s="143"/>
      <c r="DV42" s="143"/>
      <c r="DW42" s="143"/>
      <c r="DX42" s="142"/>
      <c r="DY42" s="143"/>
      <c r="DZ42" s="142"/>
      <c r="EA42" s="143"/>
      <c r="EB42" s="143"/>
      <c r="EC42" s="142"/>
      <c r="ED42" s="143"/>
      <c r="EF42" s="143"/>
      <c r="EG42" s="142">
        <f>SUM(EH42:EQ42)</f>
      </c>
      <c r="EH42" s="143"/>
      <c r="EI42" s="143"/>
      <c r="EJ42" s="143"/>
      <c r="EK42" s="143"/>
      <c r="EL42" s="143"/>
      <c r="EM42" s="143"/>
      <c r="EN42" s="143"/>
      <c r="EO42" s="143"/>
      <c r="EP42" s="143"/>
      <c r="EQ42" s="143"/>
      <c r="ER42" s="142">
        <f>SUM(ES42:ET42)</f>
      </c>
      <c r="ES42" s="143"/>
      <c r="ET42" s="143"/>
      <c r="EU42" s="144"/>
      <c r="FB42" s="146"/>
      <c r="FC42" s="146" cm="1">
        <f t="array" ref="FC42">ROW()-ROW(New[#Headers])</f>
        <v>36</v>
      </c>
    </row>
    <row r="43" spans="2:159" s="139" customFormat="1" ht="10.5" x14ac:dyDescent="0.2">
      <c r="B43" s="133"/>
      <c r="C43" s="961" t="s">
        <v>414</v>
      </c>
      <c r="D43" t="s" s="962">
        <v>415</v>
      </c>
      <c r="E43" s="963" t="s">
        <v>889</v>
      </c>
      <c r="F43" t="s" s="964">
        <v>766</v>
      </c>
      <c r="G43" t="s" s="965">
        <v>1597</v>
      </c>
      <c r="H43" s="966" t="s">
        <v>46</v>
      </c>
      <c r="I43" t="s" s="967">
        <v>43</v>
      </c>
      <c r="J43" t="s" s="968">
        <v>68</v>
      </c>
      <c r="K43" t="s" s="969">
        <v>774</v>
      </c>
      <c r="L43" t="s" s="970">
        <v>767</v>
      </c>
      <c r="M43" t="s" s="971">
        <v>305</v>
      </c>
      <c r="N43" s="972" t="s">
        <v>3873</v>
      </c>
      <c r="O43" s="973" t="s">
        <v>3871</v>
      </c>
      <c r="P43" s="141"/>
      <c r="Q43" s="142">
        <f>SUM(R43:AQ43)</f>
      </c>
      <c r="R43" s="143"/>
      <c r="S43" s="143"/>
      <c r="T43" s="143"/>
      <c r="U43" s="143"/>
      <c r="V43" s="143"/>
      <c r="W43" s="143"/>
      <c r="X43" s="143"/>
      <c r="Y43" s="143"/>
      <c r="Z43" s="143"/>
      <c r="AA43" s="143"/>
      <c r="AB43" s="143"/>
      <c r="AC43" s="143"/>
      <c r="AD43" s="143"/>
      <c r="AE43" s="143"/>
      <c r="AF43" s="143"/>
      <c r="AG43" s="974" t="n">
        <v>150.0</v>
      </c>
      <c r="AH43" s="143"/>
      <c r="AI43" s="143"/>
      <c r="AJ43" s="143"/>
      <c r="AK43" s="143"/>
      <c r="AL43" s="143"/>
      <c r="AM43" s="143"/>
      <c r="AN43" s="143"/>
      <c r="AO43" s="143"/>
      <c r="AP43" s="143"/>
      <c r="AQ43" s="143"/>
      <c r="AR43" s="142">
        <f>SUM(AS43:AV43)</f>
      </c>
      <c r="AS43" s="143"/>
      <c r="AT43" s="143"/>
      <c r="AU43" s="143"/>
      <c r="AV43" s="143"/>
      <c r="AW43" s="142">
        <f>SUM(AX43:BI43)</f>
      </c>
      <c r="AX43" s="143"/>
      <c r="AY43" s="143"/>
      <c r="AZ43" s="143"/>
      <c r="BA43" s="143"/>
      <c r="BB43" s="143"/>
      <c r="BC43" s="143"/>
      <c r="BD43" s="143"/>
      <c r="BE43" s="143"/>
      <c r="BF43" s="143"/>
      <c r="BG43" s="143"/>
      <c r="BH43" s="143"/>
      <c r="BI43" s="143"/>
      <c r="BJ43" s="142"/>
      <c r="BK43" s="143"/>
      <c r="BL43" s="143"/>
      <c r="BM43" s="143"/>
      <c r="BN43" s="143"/>
      <c r="BO43" s="143"/>
      <c r="BP43" s="143"/>
      <c r="BQ43" s="142"/>
      <c r="BR43" s="143"/>
      <c r="BS43" s="143"/>
      <c r="BT43" s="142">
        <f>SUM(BU43:BW43)</f>
      </c>
      <c r="BU43" s="143"/>
      <c r="BV43" s="143"/>
      <c r="BW43" s="143"/>
      <c r="BX43" s="142">
        <f>SUM(BY43:CD43)</f>
      </c>
      <c r="BY43" s="143"/>
      <c r="BZ43" s="143"/>
      <c r="CA43" s="143"/>
      <c r="CB43" s="143"/>
      <c r="CC43" s="143"/>
      <c r="CD43" s="143"/>
      <c r="CE43" s="142"/>
      <c r="CF43" s="143"/>
      <c r="CG43" s="143"/>
      <c r="CH43" s="143"/>
      <c r="CI43" s="143"/>
      <c r="CJ43" s="143"/>
      <c r="CK43" s="142">
        <f>SUM(CL43:CN43)</f>
      </c>
      <c r="CL43" s="143"/>
      <c r="CM43" s="143"/>
      <c r="CN43" s="143"/>
      <c r="CO43" s="142">
        <f>SUM(CP43:CT43)</f>
      </c>
      <c r="CP43" s="143"/>
      <c r="CQ43" s="143"/>
      <c r="CR43" s="143"/>
      <c r="CS43" s="143"/>
      <c r="CT43" s="143"/>
      <c r="CU43" s="142"/>
      <c r="CV43" s="143"/>
      <c r="CW43" s="143"/>
      <c r="CX43" s="143"/>
      <c r="CY43" s="142"/>
      <c r="CZ43" s="143"/>
      <c r="DA43" s="143"/>
      <c r="DB43" s="143"/>
      <c r="DC43" s="143"/>
      <c r="DD43" s="143"/>
      <c r="DE43" s="143"/>
      <c r="DF43" s="143"/>
      <c r="DG43" s="142">
        <f>SUM(DH43:DH43)</f>
      </c>
      <c r="DH43" s="143"/>
      <c r="DI43" s="142"/>
      <c r="DJ43" s="143"/>
      <c r="DK43" s="142">
        <f>SUM(DL43:DQ43)</f>
      </c>
      <c r="DL43" s="143"/>
      <c r="DM43" s="143"/>
      <c r="DN43" s="143"/>
      <c r="DO43" s="143"/>
      <c r="DP43" s="143"/>
      <c r="DQ43" s="143"/>
      <c r="DR43" s="143"/>
      <c r="DS43" s="143"/>
      <c r="DT43" s="143"/>
      <c r="DU43" s="143"/>
      <c r="DV43" s="143"/>
      <c r="DW43" s="143"/>
      <c r="DX43" s="142"/>
      <c r="DY43" s="143"/>
      <c r="DZ43" s="142"/>
      <c r="EA43" s="143"/>
      <c r="EB43" s="143"/>
      <c r="EC43" s="142"/>
      <c r="ED43" s="143"/>
      <c r="EF43" s="143"/>
      <c r="EG43" s="142">
        <f>SUM(EH43:EQ43)</f>
      </c>
      <c r="EH43" s="143"/>
      <c r="EI43" s="143"/>
      <c r="EJ43" s="143"/>
      <c r="EK43" s="143"/>
      <c r="EL43" s="143"/>
      <c r="EM43" s="143"/>
      <c r="EN43" s="143"/>
      <c r="EO43" s="143"/>
      <c r="EP43" s="143"/>
      <c r="EQ43" s="143"/>
      <c r="ER43" s="142">
        <f>SUM(ES43:ET43)</f>
      </c>
      <c r="ES43" s="143"/>
      <c r="ET43" s="143"/>
      <c r="EU43" s="144"/>
      <c r="FB43" s="146"/>
      <c r="FC43" s="146" cm="1">
        <f t="array" ref="FC43">ROW()-ROW(New[#Headers])</f>
        <v>37</v>
      </c>
    </row>
    <row r="44" spans="2:159" s="139" customFormat="1" ht="10.5" x14ac:dyDescent="0.2">
      <c r="B44" s="133"/>
      <c r="C44" s="1006" t="s">
        <v>583</v>
      </c>
      <c r="D44" t="s" s="1007">
        <v>584</v>
      </c>
      <c r="E44" s="1008" t="s">
        <v>13</v>
      </c>
      <c r="F44" t="s" s="1009">
        <v>750</v>
      </c>
      <c r="G44" t="s" s="1010">
        <v>1597</v>
      </c>
      <c r="H44" s="1011" t="s">
        <v>46</v>
      </c>
      <c r="I44" t="s" s="1012">
        <v>41</v>
      </c>
      <c r="J44" t="s" s="1013">
        <v>64</v>
      </c>
      <c r="K44" t="s" s="1014">
        <v>1617</v>
      </c>
      <c r="L44" t="s" s="1015">
        <v>934</v>
      </c>
      <c r="M44" t="s" s="1016">
        <v>305</v>
      </c>
      <c r="N44" s="1017" t="s">
        <v>3870</v>
      </c>
      <c r="O44" s="1018" t="s">
        <v>3878</v>
      </c>
      <c r="P44" s="141"/>
      <c r="Q44" s="142">
        <f>SUM(R44:AQ44)</f>
      </c>
      <c r="R44" s="143"/>
      <c r="S44" s="143"/>
      <c r="T44" s="1019" t="n">
        <v>110.0</v>
      </c>
      <c r="U44" s="143"/>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2">
        <f>SUM(AS44:AV44)</f>
      </c>
      <c r="AS44" s="143"/>
      <c r="AT44" s="143"/>
      <c r="AU44" s="143"/>
      <c r="AV44" s="143"/>
      <c r="AW44" s="142">
        <f>SUM(AX44:BI44)</f>
      </c>
      <c r="AX44" s="143"/>
      <c r="AY44" s="143"/>
      <c r="AZ44" s="143"/>
      <c r="BA44" s="143"/>
      <c r="BB44" s="143"/>
      <c r="BC44" s="143"/>
      <c r="BD44" s="143"/>
      <c r="BE44" s="143"/>
      <c r="BF44" s="143"/>
      <c r="BG44" s="143"/>
      <c r="BH44" s="143"/>
      <c r="BI44" s="143"/>
      <c r="BJ44" s="142"/>
      <c r="BK44" s="143"/>
      <c r="BL44" s="143"/>
      <c r="BM44" s="143"/>
      <c r="BN44" s="143"/>
      <c r="BO44" s="143"/>
      <c r="BP44" s="143"/>
      <c r="BQ44" s="142"/>
      <c r="BR44" s="143"/>
      <c r="BS44" s="143"/>
      <c r="BT44" s="142">
        <f>SUM(BU44:BW44)</f>
      </c>
      <c r="BU44" s="143"/>
      <c r="BV44" s="143"/>
      <c r="BW44" s="143"/>
      <c r="BX44" s="142">
        <f>SUM(BY44:CD44)</f>
      </c>
      <c r="BY44" s="143"/>
      <c r="BZ44" s="143"/>
      <c r="CA44" s="143"/>
      <c r="CB44" s="143"/>
      <c r="CC44" s="143"/>
      <c r="CD44" s="143"/>
      <c r="CE44" s="142"/>
      <c r="CF44" s="143"/>
      <c r="CG44" s="143"/>
      <c r="CH44" s="143"/>
      <c r="CI44" s="143"/>
      <c r="CJ44" s="143"/>
      <c r="CK44" s="142">
        <f>SUM(CL44:CN44)</f>
      </c>
      <c r="CL44" s="143"/>
      <c r="CM44" s="143"/>
      <c r="CN44" s="143"/>
      <c r="CO44" s="142">
        <f>SUM(CP44:CT44)</f>
      </c>
      <c r="CP44" s="143"/>
      <c r="CQ44" s="143"/>
      <c r="CR44" s="143"/>
      <c r="CS44" s="143"/>
      <c r="CT44" s="143"/>
      <c r="CU44" s="142"/>
      <c r="CV44" s="143"/>
      <c r="CW44" s="143"/>
      <c r="CX44" s="143"/>
      <c r="CY44" s="142"/>
      <c r="CZ44" s="143"/>
      <c r="DA44" s="143"/>
      <c r="DB44" s="143"/>
      <c r="DC44" s="143"/>
      <c r="DD44" s="143"/>
      <c r="DE44" s="143"/>
      <c r="DF44" s="143"/>
      <c r="DG44" s="142">
        <f>SUM(DH44:DH44)</f>
      </c>
      <c r="DH44" s="143"/>
      <c r="DI44" s="142"/>
      <c r="DJ44" s="143"/>
      <c r="DK44" s="142">
        <f>SUM(DL44:DQ44)</f>
      </c>
      <c r="DL44" s="143"/>
      <c r="DM44" s="143"/>
      <c r="DN44" s="143"/>
      <c r="DO44" s="143"/>
      <c r="DP44" s="143"/>
      <c r="DQ44" s="143"/>
      <c r="DR44" s="143"/>
      <c r="DS44" s="143"/>
      <c r="DT44" s="143"/>
      <c r="DU44" s="143"/>
      <c r="DV44" s="143"/>
      <c r="DW44" s="143"/>
      <c r="DX44" s="142"/>
      <c r="DY44" s="143"/>
      <c r="DZ44" s="142"/>
      <c r="EA44" s="143"/>
      <c r="EB44" s="143"/>
      <c r="EC44" s="142"/>
      <c r="ED44" s="143"/>
      <c r="EF44" s="143"/>
      <c r="EG44" s="142">
        <f>SUM(EH44:EQ44)</f>
      </c>
      <c r="EH44" s="143"/>
      <c r="EI44" s="143"/>
      <c r="EJ44" s="143"/>
      <c r="EK44" s="143"/>
      <c r="EL44" s="143"/>
      <c r="EM44" s="143"/>
      <c r="EN44" s="143"/>
      <c r="EO44" s="143"/>
      <c r="EP44" s="143"/>
      <c r="EQ44" s="143"/>
      <c r="ER44" s="142">
        <f>SUM(ES44:ET44)</f>
      </c>
      <c r="ES44" s="143"/>
      <c r="ET44" s="143"/>
      <c r="EU44" s="144"/>
      <c r="FB44" s="146"/>
      <c r="FC44" s="146" cm="1">
        <f t="array" ref="FC44">ROW()-ROW(New[#Headers])</f>
        <v>38</v>
      </c>
    </row>
    <row r="45" spans="2:159" s="139" customFormat="1" ht="10.5" x14ac:dyDescent="0.2">
      <c r="B45" s="133"/>
      <c r="C45" s="1020" t="s">
        <v>430</v>
      </c>
      <c r="D45" t="s" s="1021">
        <v>431</v>
      </c>
      <c r="E45" s="1022" t="s">
        <v>13</v>
      </c>
      <c r="F45" t="s" s="1023">
        <v>933</v>
      </c>
      <c r="G45" t="s" s="1024">
        <v>1597</v>
      </c>
      <c r="H45" s="1025" t="s">
        <v>46</v>
      </c>
      <c r="I45" t="s" s="1026">
        <v>22</v>
      </c>
      <c r="J45" t="s" s="1027">
        <v>64</v>
      </c>
      <c r="K45" t="s" s="1028">
        <v>1639</v>
      </c>
      <c r="L45" t="s" s="1029">
        <v>305</v>
      </c>
      <c r="M45" t="s" s="1030">
        <v>305</v>
      </c>
      <c r="N45" s="1031" t="s">
        <v>3873</v>
      </c>
      <c r="O45" s="1032" t="s">
        <v>3871</v>
      </c>
      <c r="P45" s="141"/>
      <c r="Q45" s="142">
        <f>SUM(R45:AQ45)</f>
      </c>
      <c r="R45" s="143"/>
      <c r="S45" s="143"/>
      <c r="T45" s="143"/>
      <c r="U45" s="143"/>
      <c r="V45" s="143"/>
      <c r="W45" s="143"/>
      <c r="X45" s="143"/>
      <c r="Y45" s="143"/>
      <c r="Z45" s="143"/>
      <c r="AA45" s="143"/>
      <c r="AB45" s="143"/>
      <c r="AC45" s="143"/>
      <c r="AD45" s="143"/>
      <c r="AE45" s="143"/>
      <c r="AF45" s="1033" t="n">
        <v>851.0</v>
      </c>
      <c r="AG45" s="143"/>
      <c r="AH45" s="143"/>
      <c r="AI45" s="143"/>
      <c r="AJ45" s="143"/>
      <c r="AK45" s="143"/>
      <c r="AL45" s="143"/>
      <c r="AM45" s="143"/>
      <c r="AN45" s="143"/>
      <c r="AO45" s="143"/>
      <c r="AP45" s="143"/>
      <c r="AQ45" s="143"/>
      <c r="AR45" s="142">
        <f>SUM(AS45:AV45)</f>
      </c>
      <c r="AS45" s="143"/>
      <c r="AT45" s="143"/>
      <c r="AU45" s="143"/>
      <c r="AV45" s="143"/>
      <c r="AW45" s="142">
        <f>SUM(AX45:BI45)</f>
      </c>
      <c r="AX45" s="143"/>
      <c r="AY45" s="143"/>
      <c r="AZ45" s="143"/>
      <c r="BA45" s="143"/>
      <c r="BB45" s="143"/>
      <c r="BC45" s="143"/>
      <c r="BD45" s="143"/>
      <c r="BE45" s="143"/>
      <c r="BF45" s="143"/>
      <c r="BG45" s="143"/>
      <c r="BH45" s="143"/>
      <c r="BI45" s="143"/>
      <c r="BJ45" s="142"/>
      <c r="BK45" s="143"/>
      <c r="BL45" s="143"/>
      <c r="BM45" s="143"/>
      <c r="BN45" s="143"/>
      <c r="BO45" s="143"/>
      <c r="BP45" s="143"/>
      <c r="BQ45" s="142"/>
      <c r="BR45" s="143"/>
      <c r="BS45" s="143"/>
      <c r="BT45" s="142">
        <f>SUM(BU45:BW45)</f>
      </c>
      <c r="BU45" s="143"/>
      <c r="BV45" s="143"/>
      <c r="BW45" s="143"/>
      <c r="BX45" s="142">
        <f>SUM(BY45:CD45)</f>
      </c>
      <c r="BY45" s="143"/>
      <c r="BZ45" s="143"/>
      <c r="CA45" s="143"/>
      <c r="CB45" s="143"/>
      <c r="CC45" s="143"/>
      <c r="CD45" s="143"/>
      <c r="CE45" s="142"/>
      <c r="CF45" s="143"/>
      <c r="CG45" s="143"/>
      <c r="CH45" s="143"/>
      <c r="CI45" s="143"/>
      <c r="CJ45" s="143"/>
      <c r="CK45" s="142">
        <f>SUM(CL45:CN45)</f>
      </c>
      <c r="CL45" s="143"/>
      <c r="CM45" s="143"/>
      <c r="CN45" s="143"/>
      <c r="CO45" s="142">
        <f>SUM(CP45:CT45)</f>
      </c>
      <c r="CP45" s="143"/>
      <c r="CQ45" s="143"/>
      <c r="CR45" s="143"/>
      <c r="CS45" s="143"/>
      <c r="CT45" s="143"/>
      <c r="CU45" s="142"/>
      <c r="CV45" s="143"/>
      <c r="CW45" s="143"/>
      <c r="CX45" s="143"/>
      <c r="CY45" s="142"/>
      <c r="CZ45" s="143"/>
      <c r="DA45" s="143"/>
      <c r="DB45" s="143"/>
      <c r="DC45" s="143"/>
      <c r="DD45" s="143"/>
      <c r="DE45" s="143"/>
      <c r="DF45" s="143"/>
      <c r="DG45" s="142">
        <f>SUM(DH45:DH45)</f>
      </c>
      <c r="DH45" s="143"/>
      <c r="DI45" s="142"/>
      <c r="DJ45" s="143"/>
      <c r="DK45" s="142">
        <f>SUM(DL45:DQ45)</f>
      </c>
      <c r="DL45" s="143"/>
      <c r="DM45" s="143"/>
      <c r="DN45" s="143"/>
      <c r="DO45" s="143"/>
      <c r="DP45" s="143"/>
      <c r="DQ45" s="143"/>
      <c r="DR45" s="143"/>
      <c r="DS45" s="143"/>
      <c r="DT45" s="143"/>
      <c r="DU45" s="143"/>
      <c r="DV45" s="143"/>
      <c r="DW45" s="143"/>
      <c r="DX45" s="142"/>
      <c r="DY45" s="143"/>
      <c r="DZ45" s="142"/>
      <c r="EA45" s="143"/>
      <c r="EB45" s="143"/>
      <c r="EC45" s="142"/>
      <c r="ED45" s="143"/>
      <c r="EF45" s="143"/>
      <c r="EG45" s="142">
        <f>SUM(EH45:EQ45)</f>
      </c>
      <c r="EH45" s="143"/>
      <c r="EI45" s="143"/>
      <c r="EJ45" s="143"/>
      <c r="EK45" s="143"/>
      <c r="EL45" s="143"/>
      <c r="EM45" s="143"/>
      <c r="EN45" s="143"/>
      <c r="EO45" s="143"/>
      <c r="EP45" s="143"/>
      <c r="EQ45" s="143"/>
      <c r="ER45" s="142">
        <f>SUM(ES45:ET45)</f>
      </c>
      <c r="ES45" s="143"/>
      <c r="ET45" s="143"/>
      <c r="EU45" s="144"/>
      <c r="FB45" s="146"/>
      <c r="FC45" s="146" cm="1">
        <f t="array" ref="FC45">ROW()-ROW(New[#Headers])</f>
        <v>39</v>
      </c>
    </row>
    <row r="46" spans="2:159" s="139" customFormat="1" ht="10.5" x14ac:dyDescent="0.2">
      <c r="B46" s="133"/>
      <c r="C46" s="1062" t="s">
        <v>454</v>
      </c>
      <c r="D46" t="s" s="1063">
        <v>455</v>
      </c>
      <c r="E46" s="1064" t="s">
        <v>13</v>
      </c>
      <c r="F46" t="s" s="1065">
        <v>1618</v>
      </c>
      <c r="G46" t="s" s="1066">
        <v>1597</v>
      </c>
      <c r="H46" s="1067" t="s">
        <v>46</v>
      </c>
      <c r="I46" t="s" s="1068">
        <v>22</v>
      </c>
      <c r="J46" t="s" s="1069">
        <v>71</v>
      </c>
      <c r="K46" t="s" s="1070">
        <v>839</v>
      </c>
      <c r="L46" t="s" s="1071">
        <v>767</v>
      </c>
      <c r="M46" t="s" s="1072">
        <v>305</v>
      </c>
      <c r="N46" s="1073" t="s">
        <v>3867</v>
      </c>
      <c r="O46" s="1074" t="s">
        <v>3871</v>
      </c>
      <c r="P46" s="141"/>
      <c r="Q46" s="142">
        <f>SUM(R46:AQ46)</f>
      </c>
      <c r="R46" s="143"/>
      <c r="S46" s="143"/>
      <c r="T46" s="143"/>
      <c r="U46" s="143"/>
      <c r="V46" s="143"/>
      <c r="W46" s="143"/>
      <c r="X46" s="143"/>
      <c r="Y46" s="143"/>
      <c r="Z46" s="143"/>
      <c r="AA46" s="143"/>
      <c r="AB46" s="143"/>
      <c r="AC46" s="143"/>
      <c r="AD46" s="143"/>
      <c r="AE46" s="143"/>
      <c r="AF46" s="143"/>
      <c r="AG46" s="143"/>
      <c r="AH46" s="143"/>
      <c r="AI46" s="143"/>
      <c r="AJ46" s="143"/>
      <c r="AK46" s="143"/>
      <c r="AL46" s="1075" t="n">
        <v>50.0</v>
      </c>
      <c r="AM46" s="143"/>
      <c r="AN46" s="143"/>
      <c r="AO46" s="143"/>
      <c r="AP46" s="143"/>
      <c r="AQ46" s="143"/>
      <c r="AR46" s="142">
        <f>SUM(AS46:AV46)</f>
      </c>
      <c r="AS46" s="143"/>
      <c r="AT46" s="143"/>
      <c r="AU46" s="143"/>
      <c r="AV46" s="143"/>
      <c r="AW46" s="142">
        <f>SUM(AX46:BI46)</f>
      </c>
      <c r="AX46" s="143"/>
      <c r="AY46" s="143"/>
      <c r="AZ46" s="143"/>
      <c r="BA46" s="143"/>
      <c r="BB46" s="143"/>
      <c r="BC46" s="143"/>
      <c r="BD46" s="143"/>
      <c r="BE46" s="143"/>
      <c r="BF46" s="143"/>
      <c r="BG46" s="143"/>
      <c r="BH46" s="143"/>
      <c r="BI46" s="143"/>
      <c r="BJ46" s="142"/>
      <c r="BK46" s="143"/>
      <c r="BL46" s="143"/>
      <c r="BM46" s="143"/>
      <c r="BN46" s="143"/>
      <c r="BO46" s="143"/>
      <c r="BP46" s="143"/>
      <c r="BQ46" s="142"/>
      <c r="BR46" s="143"/>
      <c r="BS46" s="143"/>
      <c r="BT46" s="142">
        <f>SUM(BU46:BW46)</f>
      </c>
      <c r="BU46" s="143"/>
      <c r="BV46" s="143"/>
      <c r="BW46" s="143"/>
      <c r="BX46" s="142">
        <f>SUM(BY46:CD46)</f>
      </c>
      <c r="BY46" s="143"/>
      <c r="BZ46" s="143"/>
      <c r="CA46" s="143"/>
      <c r="CB46" s="143"/>
      <c r="CC46" s="143"/>
      <c r="CD46" s="143"/>
      <c r="CE46" s="142"/>
      <c r="CF46" s="143"/>
      <c r="CG46" s="143"/>
      <c r="CH46" s="143"/>
      <c r="CI46" s="143"/>
      <c r="CJ46" s="143"/>
      <c r="CK46" s="142">
        <f>SUM(CL46:CN46)</f>
      </c>
      <c r="CL46" s="143"/>
      <c r="CM46" s="143"/>
      <c r="CN46" s="143"/>
      <c r="CO46" s="142">
        <f>SUM(CP46:CT46)</f>
      </c>
      <c r="CP46" s="143"/>
      <c r="CQ46" s="143"/>
      <c r="CR46" s="143"/>
      <c r="CS46" s="143"/>
      <c r="CT46" s="143"/>
      <c r="CU46" s="142"/>
      <c r="CV46" s="143"/>
      <c r="CW46" s="143"/>
      <c r="CX46" s="143"/>
      <c r="CY46" s="142"/>
      <c r="CZ46" s="143"/>
      <c r="DA46" s="143"/>
      <c r="DB46" s="143"/>
      <c r="DC46" s="143"/>
      <c r="DD46" s="143"/>
      <c r="DE46" s="143"/>
      <c r="DF46" s="143"/>
      <c r="DG46" s="142">
        <f>SUM(DH46:DH46)</f>
      </c>
      <c r="DH46" s="143"/>
      <c r="DI46" s="142"/>
      <c r="DJ46" s="143"/>
      <c r="DK46" s="142">
        <f>SUM(DL46:DQ46)</f>
      </c>
      <c r="DL46" s="143"/>
      <c r="DM46" s="143"/>
      <c r="DN46" s="143"/>
      <c r="DO46" s="143"/>
      <c r="DP46" s="143"/>
      <c r="DQ46" s="143"/>
      <c r="DR46" s="143"/>
      <c r="DS46" s="143"/>
      <c r="DT46" s="143"/>
      <c r="DU46" s="143"/>
      <c r="DV46" s="143"/>
      <c r="DW46" s="143"/>
      <c r="DX46" s="142"/>
      <c r="DY46" s="143"/>
      <c r="DZ46" s="142"/>
      <c r="EA46" s="143"/>
      <c r="EB46" s="143"/>
      <c r="EC46" s="142"/>
      <c r="ED46" s="143"/>
      <c r="EF46" s="143"/>
      <c r="EG46" s="142">
        <f>SUM(EH46:EQ46)</f>
      </c>
      <c r="EH46" s="143"/>
      <c r="EI46" s="143"/>
      <c r="EJ46" s="143"/>
      <c r="EK46" s="143"/>
      <c r="EL46" s="143"/>
      <c r="EM46" s="143"/>
      <c r="EN46" s="143"/>
      <c r="EO46" s="143"/>
      <c r="EP46" s="143"/>
      <c r="EQ46" s="143"/>
      <c r="ER46" s="142">
        <f>SUM(ES46:ET46)</f>
      </c>
      <c r="ES46" s="143"/>
      <c r="ET46" s="143"/>
      <c r="EU46" s="144"/>
      <c r="FB46" s="146"/>
      <c r="FC46" s="146" cm="1">
        <f t="array" ref="FC46">ROW()-ROW(New[#Headers])</f>
        <v>40</v>
      </c>
    </row>
    <row r="47" spans="2:159" s="139" customFormat="1" ht="10.5" x14ac:dyDescent="0.2">
      <c r="B47" s="133"/>
      <c r="C47" s="1091" t="s">
        <v>712</v>
      </c>
      <c r="D47" t="s" s="1092">
        <v>713</v>
      </c>
      <c r="E47" s="1093" t="s">
        <v>889</v>
      </c>
      <c r="F47" t="s" s="1094">
        <v>1618</v>
      </c>
      <c r="G47" t="s" s="1095">
        <v>1597</v>
      </c>
      <c r="H47" s="1096" t="s">
        <v>49</v>
      </c>
      <c r="I47" t="s" s="1097">
        <v>41</v>
      </c>
      <c r="J47" t="s" s="1098">
        <v>64</v>
      </c>
      <c r="K47" t="s" s="1099">
        <v>839</v>
      </c>
      <c r="L47" t="s" s="1100">
        <v>767</v>
      </c>
      <c r="M47" t="s" s="1101">
        <v>305</v>
      </c>
      <c r="N47" s="1102" t="s">
        <v>3873</v>
      </c>
      <c r="O47" s="1103" t="s">
        <v>3876</v>
      </c>
      <c r="P47" s="141"/>
      <c r="Q47" s="142">
        <f>SUM(R47:AQ47)</f>
      </c>
      <c r="R47" s="143"/>
      <c r="S47" s="143"/>
      <c r="T47" s="143"/>
      <c r="U47" s="143"/>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2">
        <f>SUM(AS47:AV47)</f>
      </c>
      <c r="AS47" s="143"/>
      <c r="AT47" s="143"/>
      <c r="AU47" s="143"/>
      <c r="AV47" s="143"/>
      <c r="AW47" s="142">
        <f>SUM(AX47:BI47)</f>
      </c>
      <c r="AX47" s="143"/>
      <c r="AY47" s="143"/>
      <c r="AZ47" s="143"/>
      <c r="BA47" s="143"/>
      <c r="BB47" s="143"/>
      <c r="BC47" s="143"/>
      <c r="BD47" s="143"/>
      <c r="BE47" s="143"/>
      <c r="BF47" s="143"/>
      <c r="BG47" s="143"/>
      <c r="BH47" s="143"/>
      <c r="BI47" s="143"/>
      <c r="BJ47" s="142"/>
      <c r="BK47" s="143"/>
      <c r="BL47" s="143"/>
      <c r="BM47" s="143"/>
      <c r="BN47" s="143"/>
      <c r="BO47" s="143"/>
      <c r="BP47" s="143"/>
      <c r="BQ47" s="142"/>
      <c r="BR47" s="143"/>
      <c r="BS47" s="143"/>
      <c r="BT47" s="142">
        <f>SUM(BU47:BW47)</f>
      </c>
      <c r="BU47" s="143"/>
      <c r="BV47" s="143"/>
      <c r="BW47" s="143"/>
      <c r="BX47" s="142">
        <f>SUM(BY47:CD47)</f>
      </c>
      <c r="BY47" s="143"/>
      <c r="BZ47" s="143"/>
      <c r="CA47" s="143"/>
      <c r="CB47" s="143"/>
      <c r="CC47" s="143"/>
      <c r="CD47" s="143"/>
      <c r="CE47" s="142"/>
      <c r="CF47" s="143"/>
      <c r="CG47" s="143"/>
      <c r="CH47" s="143"/>
      <c r="CI47" s="143"/>
      <c r="CJ47" s="143"/>
      <c r="CK47" s="142">
        <f>SUM(CL47:CN47)</f>
      </c>
      <c r="CL47" s="143"/>
      <c r="CM47" s="143"/>
      <c r="CN47" s="143"/>
      <c r="CO47" s="142">
        <f>SUM(CP47:CT47)</f>
      </c>
      <c r="CP47" s="143"/>
      <c r="CQ47" s="143"/>
      <c r="CR47" s="143"/>
      <c r="CS47" s="143"/>
      <c r="CT47" s="143"/>
      <c r="CU47" s="142"/>
      <c r="CV47" s="143"/>
      <c r="CW47" s="143"/>
      <c r="CX47" s="143"/>
      <c r="CY47" s="142"/>
      <c r="CZ47" s="143"/>
      <c r="DA47" s="143"/>
      <c r="DB47" s="143"/>
      <c r="DC47" s="143"/>
      <c r="DD47" s="143"/>
      <c r="DE47" s="143"/>
      <c r="DF47" s="143"/>
      <c r="DG47" s="142">
        <f>SUM(DH47:DH47)</f>
      </c>
      <c r="DH47" s="1104" t="n">
        <v>100.0</v>
      </c>
      <c r="DI47" s="142"/>
      <c r="DJ47" s="143"/>
      <c r="DK47" s="142">
        <f>SUM(DL47:DQ47)</f>
      </c>
      <c r="DL47" s="143"/>
      <c r="DM47" s="143"/>
      <c r="DN47" s="143"/>
      <c r="DO47" s="143"/>
      <c r="DP47" s="143"/>
      <c r="DQ47" s="143"/>
      <c r="DR47" s="143"/>
      <c r="DS47" s="143"/>
      <c r="DT47" s="143"/>
      <c r="DU47" s="143"/>
      <c r="DV47" s="143"/>
      <c r="DW47" s="143"/>
      <c r="DX47" s="142"/>
      <c r="DY47" s="143"/>
      <c r="DZ47" s="142"/>
      <c r="EA47" s="143"/>
      <c r="EB47" s="143"/>
      <c r="EC47" s="142"/>
      <c r="ED47" s="143"/>
      <c r="EF47" s="143"/>
      <c r="EG47" s="142">
        <f>SUM(EH47:EQ47)</f>
      </c>
      <c r="EH47" s="143"/>
      <c r="EI47" s="143"/>
      <c r="EJ47" s="143"/>
      <c r="EK47" s="143"/>
      <c r="EL47" s="143"/>
      <c r="EM47" s="143"/>
      <c r="EN47" s="143"/>
      <c r="EO47" s="143"/>
      <c r="EP47" s="143"/>
      <c r="EQ47" s="143"/>
      <c r="ER47" s="142">
        <f>SUM(ES47:ET47)</f>
      </c>
      <c r="ES47" s="143"/>
      <c r="ET47" s="143"/>
      <c r="EU47" s="144"/>
      <c r="FB47" s="146"/>
      <c r="FC47" s="146" cm="1">
        <f t="array" ref="FC47">ROW()-ROW(New[#Headers])</f>
        <v>41</v>
      </c>
    </row>
    <row r="48" spans="2:159" s="139" customFormat="1" ht="10.5" x14ac:dyDescent="0.2">
      <c r="B48" s="133"/>
      <c r="C48" s="1105" t="s">
        <v>3816</v>
      </c>
      <c r="D48" t="s" s="1106">
        <v>3817</v>
      </c>
      <c r="E48" s="1107" t="s">
        <v>35</v>
      </c>
      <c r="F48" t="s" s="1108">
        <v>1641</v>
      </c>
      <c r="G48" t="s" s="1109">
        <v>345</v>
      </c>
      <c r="H48" s="1110" t="s">
        <v>55</v>
      </c>
      <c r="I48" t="s" s="1111">
        <v>41</v>
      </c>
      <c r="J48" t="s" s="1112">
        <v>68</v>
      </c>
      <c r="K48" t="s" s="1113">
        <v>1059</v>
      </c>
      <c r="L48" t="s" s="1114">
        <v>1242</v>
      </c>
      <c r="M48" t="s" s="1115">
        <v>305</v>
      </c>
      <c r="N48" s="1116" t="s">
        <v>3873</v>
      </c>
      <c r="O48" s="1117" t="s">
        <v>3871</v>
      </c>
      <c r="P48" s="141"/>
      <c r="Q48" s="142">
        <f>SUM(R48:AQ48)</f>
      </c>
      <c r="R48" s="143"/>
      <c r="S48" s="143"/>
      <c r="T48" s="143"/>
      <c r="U48" s="143"/>
      <c r="V48" s="143"/>
      <c r="W48" s="143"/>
      <c r="X48" s="143"/>
      <c r="Y48" s="143"/>
      <c r="Z48" s="143"/>
      <c r="AA48" s="143"/>
      <c r="AB48" s="143"/>
      <c r="AC48" s="143"/>
      <c r="AD48" s="143"/>
      <c r="AE48" s="143"/>
      <c r="AF48" s="143"/>
      <c r="AG48" s="143"/>
      <c r="AH48" s="143"/>
      <c r="AI48" s="143"/>
      <c r="AJ48" s="143"/>
      <c r="AK48" s="143"/>
      <c r="AL48" s="143"/>
      <c r="AM48" s="143"/>
      <c r="AN48" s="1118" t="n">
        <v>400.0</v>
      </c>
      <c r="AO48" s="1119" t="n">
        <v>320.0</v>
      </c>
      <c r="AP48" s="143"/>
      <c r="AQ48" s="143"/>
      <c r="AR48" s="142">
        <f>SUM(AS48:AV48)</f>
      </c>
      <c r="AS48" s="143"/>
      <c r="AT48" s="143"/>
      <c r="AU48" s="143"/>
      <c r="AV48" s="143"/>
      <c r="AW48" s="142">
        <f>SUM(AX48:BI48)</f>
      </c>
      <c r="AX48" s="143"/>
      <c r="AY48" s="143"/>
      <c r="AZ48" s="143"/>
      <c r="BA48" s="143"/>
      <c r="BB48" s="143"/>
      <c r="BC48" s="143"/>
      <c r="BD48" s="143"/>
      <c r="BE48" s="143"/>
      <c r="BF48" s="143"/>
      <c r="BG48" s="143"/>
      <c r="BH48" s="143"/>
      <c r="BI48" s="143"/>
      <c r="BJ48" s="142"/>
      <c r="BK48" s="143"/>
      <c r="BL48" s="143"/>
      <c r="BM48" s="143"/>
      <c r="BN48" s="143"/>
      <c r="BO48" s="143"/>
      <c r="BP48" s="143"/>
      <c r="BQ48" s="142"/>
      <c r="BR48" s="143"/>
      <c r="BS48" s="143"/>
      <c r="BT48" s="142">
        <f>SUM(BU48:BW48)</f>
      </c>
      <c r="BU48" s="143"/>
      <c r="BV48" s="143"/>
      <c r="BW48" s="143"/>
      <c r="BX48" s="142">
        <f>SUM(BY48:CD48)</f>
      </c>
      <c r="BY48" s="143"/>
      <c r="BZ48" s="143"/>
      <c r="CA48" s="143"/>
      <c r="CB48" s="143"/>
      <c r="CC48" s="143"/>
      <c r="CD48" s="143"/>
      <c r="CE48" s="142"/>
      <c r="CF48" s="143"/>
      <c r="CG48" s="143"/>
      <c r="CH48" s="143"/>
      <c r="CI48" s="143"/>
      <c r="CJ48" s="143"/>
      <c r="CK48" s="142">
        <f>SUM(CL48:CN48)</f>
      </c>
      <c r="CL48" s="143"/>
      <c r="CM48" s="143"/>
      <c r="CN48" s="143"/>
      <c r="CO48" s="142">
        <f>SUM(CP48:CT48)</f>
      </c>
      <c r="CP48" s="143"/>
      <c r="CQ48" s="143"/>
      <c r="CR48" s="143"/>
      <c r="CS48" s="143"/>
      <c r="CT48" s="143"/>
      <c r="CU48" s="142"/>
      <c r="CV48" s="143"/>
      <c r="CW48" s="143"/>
      <c r="CX48" s="143"/>
      <c r="CY48" s="142"/>
      <c r="CZ48" s="143"/>
      <c r="DA48" s="143"/>
      <c r="DB48" s="143"/>
      <c r="DC48" s="143"/>
      <c r="DD48" s="143"/>
      <c r="DE48" s="143"/>
      <c r="DF48" s="143"/>
      <c r="DG48" s="142">
        <f>SUM(DH48:DH48)</f>
      </c>
      <c r="DH48" s="143"/>
      <c r="DI48" s="142"/>
      <c r="DJ48" s="143"/>
      <c r="DK48" s="142">
        <f>SUM(DL48:DQ48)</f>
      </c>
      <c r="DL48" s="143"/>
      <c r="DM48" s="143"/>
      <c r="DN48" s="143"/>
      <c r="DO48" s="143"/>
      <c r="DP48" s="143"/>
      <c r="DQ48" s="143"/>
      <c r="DR48" s="143"/>
      <c r="DS48" s="143"/>
      <c r="DT48" s="143"/>
      <c r="DU48" s="143"/>
      <c r="DV48" s="143"/>
      <c r="DW48" s="143"/>
      <c r="DX48" s="142"/>
      <c r="DY48" s="143"/>
      <c r="DZ48" s="142"/>
      <c r="EA48" s="143"/>
      <c r="EB48" s="143"/>
      <c r="EC48" s="142"/>
      <c r="ED48" s="143"/>
      <c r="EF48" s="143"/>
      <c r="EG48" s="142">
        <f>SUM(EH48:EQ48)</f>
      </c>
      <c r="EH48" s="143"/>
      <c r="EI48" s="143"/>
      <c r="EJ48" s="143"/>
      <c r="EK48" s="143"/>
      <c r="EL48" s="143"/>
      <c r="EM48" s="143"/>
      <c r="EN48" s="143"/>
      <c r="EO48" s="143"/>
      <c r="EP48" s="143"/>
      <c r="EQ48" s="143"/>
      <c r="ER48" s="142">
        <f>SUM(ES48:ET48)</f>
      </c>
      <c r="ES48" s="143"/>
      <c r="ET48" s="143"/>
      <c r="EU48" s="144"/>
      <c r="FB48" s="146"/>
      <c r="FC48" s="146" cm="1">
        <f t="array" ref="FC48">ROW()-ROW(New[#Headers])</f>
        <v>42</v>
      </c>
    </row>
    <row r="49" spans="2:159" s="139" customFormat="1" ht="10.5" x14ac:dyDescent="0.2">
      <c r="B49" s="133"/>
      <c r="C49" s="1120" t="s">
        <v>407</v>
      </c>
      <c r="D49" t="s" s="1121">
        <v>408</v>
      </c>
      <c r="E49" s="1122" t="s">
        <v>23</v>
      </c>
      <c r="F49" t="s" s="1123">
        <v>766</v>
      </c>
      <c r="G49" t="s" s="1124">
        <v>1597</v>
      </c>
      <c r="H49" s="1125" t="s">
        <v>51</v>
      </c>
      <c r="I49" t="s" s="1126">
        <v>41</v>
      </c>
      <c r="J49" t="s" s="1127">
        <v>68</v>
      </c>
      <c r="K49" t="s" s="1128">
        <v>1643</v>
      </c>
      <c r="L49" t="s" s="1129">
        <v>767</v>
      </c>
      <c r="M49" t="s" s="1130">
        <v>305</v>
      </c>
      <c r="N49" s="1131" t="s">
        <v>3873</v>
      </c>
      <c r="O49" s="1132" t="s">
        <v>3876</v>
      </c>
      <c r="P49" s="141"/>
      <c r="Q49" s="142">
        <f>SUM(R49:AQ49)</f>
      </c>
      <c r="R49" s="143"/>
      <c r="S49" s="143"/>
      <c r="T49" s="143"/>
      <c r="U49" s="143"/>
      <c r="V49" s="143"/>
      <c r="W49" s="143"/>
      <c r="X49" s="143"/>
      <c r="Y49" s="143"/>
      <c r="Z49" s="143"/>
      <c r="AA49" s="143"/>
      <c r="AB49" s="143"/>
      <c r="AC49" s="143"/>
      <c r="AD49" s="143"/>
      <c r="AE49" s="143"/>
      <c r="AF49" s="143"/>
      <c r="AG49" s="1133" t="n">
        <v>120.0</v>
      </c>
      <c r="AH49" s="143"/>
      <c r="AI49" s="143"/>
      <c r="AJ49" s="143"/>
      <c r="AK49" s="143"/>
      <c r="AL49" s="143"/>
      <c r="AM49" s="143"/>
      <c r="AN49" s="143"/>
      <c r="AO49" s="143"/>
      <c r="AP49" s="143"/>
      <c r="AQ49" s="143"/>
      <c r="AR49" s="142">
        <f>SUM(AS49:AV49)</f>
      </c>
      <c r="AS49" s="143"/>
      <c r="AT49" s="143"/>
      <c r="AU49" s="143"/>
      <c r="AV49" s="143"/>
      <c r="AW49" s="142">
        <f>SUM(AX49:BI49)</f>
      </c>
      <c r="AX49" s="143"/>
      <c r="AY49" s="143"/>
      <c r="AZ49" s="143"/>
      <c r="BA49" s="143"/>
      <c r="BB49" s="143"/>
      <c r="BC49" s="143"/>
      <c r="BD49" s="143"/>
      <c r="BE49" s="143"/>
      <c r="BF49" s="143"/>
      <c r="BG49" s="143"/>
      <c r="BH49" s="143"/>
      <c r="BI49" s="143"/>
      <c r="BJ49" s="142"/>
      <c r="BK49" s="143"/>
      <c r="BL49" s="143"/>
      <c r="BM49" s="143"/>
      <c r="BN49" s="143"/>
      <c r="BO49" s="143"/>
      <c r="BP49" s="143"/>
      <c r="BQ49" s="142"/>
      <c r="BR49" s="143"/>
      <c r="BS49" s="143"/>
      <c r="BT49" s="142">
        <f>SUM(BU49:BW49)</f>
      </c>
      <c r="BU49" s="143"/>
      <c r="BV49" s="143"/>
      <c r="BW49" s="143"/>
      <c r="BX49" s="142">
        <f>SUM(BY49:CD49)</f>
      </c>
      <c r="BY49" s="143"/>
      <c r="BZ49" s="143"/>
      <c r="CA49" s="143"/>
      <c r="CB49" s="143"/>
      <c r="CC49" s="143"/>
      <c r="CD49" s="143"/>
      <c r="CE49" s="142"/>
      <c r="CF49" s="143"/>
      <c r="CG49" s="143"/>
      <c r="CH49" s="143"/>
      <c r="CI49" s="143"/>
      <c r="CJ49" s="143"/>
      <c r="CK49" s="142">
        <f>SUM(CL49:CN49)</f>
      </c>
      <c r="CL49" s="143"/>
      <c r="CM49" s="143"/>
      <c r="CN49" s="143"/>
      <c r="CO49" s="142">
        <f>SUM(CP49:CT49)</f>
      </c>
      <c r="CP49" s="143"/>
      <c r="CQ49" s="143"/>
      <c r="CR49" s="143"/>
      <c r="CS49" s="143"/>
      <c r="CT49" s="143"/>
      <c r="CU49" s="142"/>
      <c r="CV49" s="143"/>
      <c r="CW49" s="143"/>
      <c r="CX49" s="143"/>
      <c r="CY49" s="142"/>
      <c r="CZ49" s="143"/>
      <c r="DA49" s="143"/>
      <c r="DB49" s="143"/>
      <c r="DC49" s="143"/>
      <c r="DD49" s="143"/>
      <c r="DE49" s="143"/>
      <c r="DF49" s="143"/>
      <c r="DG49" s="142">
        <f>SUM(DH49:DH49)</f>
      </c>
      <c r="DH49" s="143"/>
      <c r="DI49" s="142"/>
      <c r="DJ49" s="143"/>
      <c r="DK49" s="142">
        <f>SUM(DL49:DQ49)</f>
      </c>
      <c r="DL49" s="143"/>
      <c r="DM49" s="143"/>
      <c r="DN49" s="143"/>
      <c r="DO49" s="143"/>
      <c r="DP49" s="143"/>
      <c r="DQ49" s="143"/>
      <c r="DR49" s="143"/>
      <c r="DS49" s="143"/>
      <c r="DT49" s="143"/>
      <c r="DU49" s="143"/>
      <c r="DV49" s="143"/>
      <c r="DW49" s="143"/>
      <c r="DX49" s="142"/>
      <c r="DY49" s="143"/>
      <c r="DZ49" s="142"/>
      <c r="EA49" s="143"/>
      <c r="EB49" s="143"/>
      <c r="EC49" s="142"/>
      <c r="ED49" s="143"/>
      <c r="EF49" s="143"/>
      <c r="EG49" s="142">
        <f>SUM(EH49:EQ49)</f>
      </c>
      <c r="EH49" s="143"/>
      <c r="EI49" s="143"/>
      <c r="EJ49" s="143"/>
      <c r="EK49" s="143"/>
      <c r="EL49" s="143"/>
      <c r="EM49" s="143"/>
      <c r="EN49" s="143"/>
      <c r="EO49" s="143"/>
      <c r="EP49" s="143"/>
      <c r="EQ49" s="143"/>
      <c r="ER49" s="142">
        <f>SUM(ES49:ET49)</f>
      </c>
      <c r="ES49" s="143"/>
      <c r="ET49" s="143"/>
      <c r="EU49" s="144"/>
      <c r="FB49" s="146"/>
      <c r="FC49" s="146" cm="1">
        <f t="array" ref="FC49">ROW()-ROW(New[#Headers])</f>
        <v>43</v>
      </c>
    </row>
    <row r="50" spans="2:159" s="139" customFormat="1" ht="10.5" x14ac:dyDescent="0.2">
      <c r="B50" s="133"/>
      <c r="C50" s="1148" t="s">
        <v>580</v>
      </c>
      <c r="D50" t="s" s="1149">
        <v>581</v>
      </c>
      <c r="E50" s="1150" t="s">
        <v>13</v>
      </c>
      <c r="F50" t="s" s="1151">
        <v>1262</v>
      </c>
      <c r="G50" t="s" s="1152">
        <v>1597</v>
      </c>
      <c r="H50" s="1153" t="s">
        <v>46</v>
      </c>
      <c r="I50" t="s" s="1154">
        <v>41</v>
      </c>
      <c r="J50" t="s" s="1155">
        <v>64</v>
      </c>
      <c r="K50" t="s" s="1156">
        <v>1617</v>
      </c>
      <c r="L50" t="s" s="1157">
        <v>934</v>
      </c>
      <c r="M50" t="s" s="1158">
        <v>305</v>
      </c>
      <c r="N50" s="1159" t="s">
        <v>3875</v>
      </c>
      <c r="O50" s="1160" t="s">
        <v>3874</v>
      </c>
      <c r="P50" s="141"/>
      <c r="Q50" s="142">
        <f>SUM(R50:AQ50)</f>
      </c>
      <c r="R50" s="143"/>
      <c r="S50" s="143"/>
      <c r="T50" s="143"/>
      <c r="U50" s="1161" t="n">
        <v>100.0</v>
      </c>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2">
        <f>SUM(AS50:AV50)</f>
      </c>
      <c r="AS50" s="143"/>
      <c r="AT50" s="143"/>
      <c r="AU50" s="143"/>
      <c r="AV50" s="143"/>
      <c r="AW50" s="142">
        <f>SUM(AX50:BI50)</f>
      </c>
      <c r="AX50" s="143"/>
      <c r="AY50" s="143"/>
      <c r="AZ50" s="143"/>
      <c r="BA50" s="143"/>
      <c r="BB50" s="143"/>
      <c r="BC50" s="143"/>
      <c r="BD50" s="143"/>
      <c r="BE50" s="143"/>
      <c r="BF50" s="143"/>
      <c r="BG50" s="143"/>
      <c r="BH50" s="143"/>
      <c r="BI50" s="143"/>
      <c r="BJ50" s="142"/>
      <c r="BK50" s="143"/>
      <c r="BL50" s="143"/>
      <c r="BM50" s="143"/>
      <c r="BN50" s="143"/>
      <c r="BO50" s="143"/>
      <c r="BP50" s="143"/>
      <c r="BQ50" s="142"/>
      <c r="BR50" s="143"/>
      <c r="BS50" s="143"/>
      <c r="BT50" s="142">
        <f>SUM(BU50:BW50)</f>
      </c>
      <c r="BU50" s="143"/>
      <c r="BV50" s="143"/>
      <c r="BW50" s="143"/>
      <c r="BX50" s="142">
        <f>SUM(BY50:CD50)</f>
      </c>
      <c r="BY50" s="143"/>
      <c r="BZ50" s="143"/>
      <c r="CA50" s="143"/>
      <c r="CB50" s="143"/>
      <c r="CC50" s="143"/>
      <c r="CD50" s="143"/>
      <c r="CE50" s="142"/>
      <c r="CF50" s="143"/>
      <c r="CG50" s="143"/>
      <c r="CH50" s="143"/>
      <c r="CI50" s="143"/>
      <c r="CJ50" s="143"/>
      <c r="CK50" s="142">
        <f>SUM(CL50:CN50)</f>
      </c>
      <c r="CL50" s="143"/>
      <c r="CM50" s="143"/>
      <c r="CN50" s="143"/>
      <c r="CO50" s="142">
        <f>SUM(CP50:CT50)</f>
      </c>
      <c r="CP50" s="143"/>
      <c r="CQ50" s="143"/>
      <c r="CR50" s="143"/>
      <c r="CS50" s="143"/>
      <c r="CT50" s="143"/>
      <c r="CU50" s="142"/>
      <c r="CV50" s="143"/>
      <c r="CW50" s="143"/>
      <c r="CX50" s="143"/>
      <c r="CY50" s="142"/>
      <c r="CZ50" s="143"/>
      <c r="DA50" s="143"/>
      <c r="DB50" s="143"/>
      <c r="DC50" s="143"/>
      <c r="DD50" s="143"/>
      <c r="DE50" s="143"/>
      <c r="DF50" s="143"/>
      <c r="DG50" s="142">
        <f>SUM(DH50:DH50)</f>
      </c>
      <c r="DH50" s="143"/>
      <c r="DI50" s="142"/>
      <c r="DJ50" s="143"/>
      <c r="DK50" s="142">
        <f>SUM(DL50:DQ50)</f>
      </c>
      <c r="DL50" s="143"/>
      <c r="DM50" s="143"/>
      <c r="DN50" s="143"/>
      <c r="DO50" s="143"/>
      <c r="DP50" s="143"/>
      <c r="DQ50" s="143"/>
      <c r="DR50" s="143"/>
      <c r="DS50" s="143"/>
      <c r="DT50" s="143"/>
      <c r="DU50" s="143"/>
      <c r="DV50" s="143"/>
      <c r="DW50" s="143"/>
      <c r="DX50" s="142"/>
      <c r="DY50" s="143"/>
      <c r="DZ50" s="142"/>
      <c r="EA50" s="143"/>
      <c r="EB50" s="143"/>
      <c r="EC50" s="142"/>
      <c r="ED50" s="143"/>
      <c r="EF50" s="143"/>
      <c r="EG50" s="142">
        <f>SUM(EH50:EQ50)</f>
      </c>
      <c r="EH50" s="143"/>
      <c r="EI50" s="143"/>
      <c r="EJ50" s="143"/>
      <c r="EK50" s="143"/>
      <c r="EL50" s="143"/>
      <c r="EM50" s="143"/>
      <c r="EN50" s="143"/>
      <c r="EO50" s="143"/>
      <c r="EP50" s="143"/>
      <c r="EQ50" s="143"/>
      <c r="ER50" s="142">
        <f>SUM(ES50:ET50)</f>
      </c>
      <c r="ES50" s="143"/>
      <c r="ET50" s="143"/>
      <c r="EU50" s="144"/>
      <c r="FB50" s="146"/>
      <c r="FC50" s="146" cm="1">
        <f t="array" ref="FC50">ROW()-ROW(New[#Headers])</f>
        <v>44</v>
      </c>
    </row>
    <row r="51" spans="2:159" s="139" customFormat="1" ht="10.5" x14ac:dyDescent="0.2">
      <c r="B51" s="133"/>
      <c r="C51" s="1162" t="s">
        <v>382</v>
      </c>
      <c r="D51" t="s" s="1163">
        <v>383</v>
      </c>
      <c r="E51" s="1164" t="s">
        <v>13</v>
      </c>
      <c r="F51" t="s" s="1165">
        <v>766</v>
      </c>
      <c r="G51" t="s" s="1166">
        <v>1597</v>
      </c>
      <c r="H51" s="1167" t="s">
        <v>46</v>
      </c>
      <c r="I51" t="s" s="1168">
        <v>41</v>
      </c>
      <c r="J51" t="s" s="1169">
        <v>68</v>
      </c>
      <c r="K51" t="s" s="1170">
        <v>1059</v>
      </c>
      <c r="L51" t="s" s="1171">
        <v>767</v>
      </c>
      <c r="M51" t="s" s="1172">
        <v>305</v>
      </c>
      <c r="N51" s="1173" t="s">
        <v>3873</v>
      </c>
      <c r="O51" s="1174" t="s">
        <v>3871</v>
      </c>
      <c r="P51" s="141"/>
      <c r="Q51" s="142">
        <f>SUM(R51:AQ51)</f>
      </c>
      <c r="R51" s="143"/>
      <c r="S51" s="143"/>
      <c r="T51" s="143"/>
      <c r="U51" s="143"/>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2">
        <f>SUM(AS51:AV51)</f>
      </c>
      <c r="AS51" s="143"/>
      <c r="AT51" s="143"/>
      <c r="AU51" s="143"/>
      <c r="AV51" s="143"/>
      <c r="AW51" s="142">
        <f>SUM(AX51:BI51)</f>
      </c>
      <c r="AX51" s="143"/>
      <c r="AY51" s="143"/>
      <c r="AZ51" s="143"/>
      <c r="BA51" s="143"/>
      <c r="BB51" s="143"/>
      <c r="BC51" s="143"/>
      <c r="BD51" s="143"/>
      <c r="BE51" s="143"/>
      <c r="BF51" s="143"/>
      <c r="BG51" s="143"/>
      <c r="BH51" s="143"/>
      <c r="BI51" s="143"/>
      <c r="BJ51" s="142"/>
      <c r="BK51" s="143"/>
      <c r="BL51" s="143"/>
      <c r="BM51" s="143"/>
      <c r="BN51" s="143"/>
      <c r="BO51" s="143"/>
      <c r="BP51" s="143"/>
      <c r="BQ51" s="142"/>
      <c r="BR51" s="143"/>
      <c r="BS51" s="143"/>
      <c r="BT51" s="142">
        <f>SUM(BU51:BW51)</f>
      </c>
      <c r="BU51" s="143"/>
      <c r="BV51" s="143"/>
      <c r="BW51" s="143"/>
      <c r="BX51" s="142">
        <f>SUM(BY51:CD51)</f>
      </c>
      <c r="BY51" s="143"/>
      <c r="BZ51" s="143"/>
      <c r="CA51" s="143"/>
      <c r="CB51" s="143"/>
      <c r="CC51" s="143"/>
      <c r="CD51" s="143"/>
      <c r="CE51" s="142"/>
      <c r="CF51" s="143"/>
      <c r="CG51" s="143"/>
      <c r="CH51" s="143"/>
      <c r="CI51" s="143"/>
      <c r="CJ51" s="143"/>
      <c r="CK51" s="142">
        <f>SUM(CL51:CN51)</f>
      </c>
      <c r="CL51" s="143"/>
      <c r="CM51" s="143"/>
      <c r="CN51" s="143"/>
      <c r="CO51" s="142">
        <f>SUM(CP51:CT51)</f>
      </c>
      <c r="CP51" s="143"/>
      <c r="CQ51" s="143"/>
      <c r="CR51" s="143"/>
      <c r="CS51" s="143"/>
      <c r="CT51" s="143"/>
      <c r="CU51" s="142"/>
      <c r="CV51" s="143"/>
      <c r="CW51" s="143"/>
      <c r="CX51" s="143"/>
      <c r="CY51" s="142"/>
      <c r="CZ51" s="143"/>
      <c r="DA51" s="143"/>
      <c r="DB51" s="143"/>
      <c r="DC51" s="143"/>
      <c r="DD51" s="143"/>
      <c r="DE51" s="143"/>
      <c r="DF51" s="143"/>
      <c r="DG51" s="142">
        <f>SUM(DH51:DH51)</f>
      </c>
      <c r="DH51" s="143"/>
      <c r="DI51" s="142"/>
      <c r="DJ51" s="143"/>
      <c r="DK51" s="142">
        <f>SUM(DL51:DQ51)</f>
      </c>
      <c r="DL51" s="143"/>
      <c r="DM51" s="143"/>
      <c r="DN51" s="143"/>
      <c r="DO51" s="143"/>
      <c r="DP51" s="143"/>
      <c r="DQ51" s="143"/>
      <c r="DR51" s="143"/>
      <c r="DS51" s="143"/>
      <c r="DT51" s="143"/>
      <c r="DU51" s="143"/>
      <c r="DV51" s="143"/>
      <c r="DW51" s="143"/>
      <c r="DX51" s="142"/>
      <c r="DY51" s="143"/>
      <c r="DZ51" s="142"/>
      <c r="EA51" s="143"/>
      <c r="EB51" s="143"/>
      <c r="EC51" s="142"/>
      <c r="ED51" s="143"/>
      <c r="EF51" s="143"/>
      <c r="EG51" s="142">
        <f>SUM(EH51:EQ51)</f>
      </c>
      <c r="EH51" s="143"/>
      <c r="EI51" s="143"/>
      <c r="EJ51" s="143"/>
      <c r="EK51" s="143"/>
      <c r="EL51" s="143"/>
      <c r="EM51" s="143"/>
      <c r="EN51" s="143"/>
      <c r="EO51" s="143"/>
      <c r="EP51" s="143"/>
      <c r="EQ51" s="143"/>
      <c r="ER51" s="142">
        <f>SUM(ES51:ET51)</f>
      </c>
      <c r="ES51" s="143"/>
      <c r="ET51" s="143"/>
      <c r="EU51" s="144"/>
      <c r="FB51" s="146"/>
      <c r="FC51" s="146" cm="1">
        <f t="array" ref="FC51">ROW()-ROW(New[#Headers])</f>
        <v>45</v>
      </c>
    </row>
    <row r="52" spans="2:159" s="139" customFormat="1" ht="10.5" x14ac:dyDescent="0.2">
      <c r="B52" s="133"/>
      <c r="C52" s="1192" t="s">
        <v>477</v>
      </c>
      <c r="D52" t="s" s="1193">
        <v>478</v>
      </c>
      <c r="E52" s="1194" t="s">
        <v>13</v>
      </c>
      <c r="F52" t="s" s="1195">
        <v>1109</v>
      </c>
      <c r="G52" t="s" s="1196">
        <v>305</v>
      </c>
      <c r="H52" s="1197" t="s">
        <v>55</v>
      </c>
      <c r="I52" t="s" s="1198">
        <v>41</v>
      </c>
      <c r="J52" t="s" s="1199">
        <v>68</v>
      </c>
      <c r="K52" t="s" s="1200">
        <v>1659</v>
      </c>
      <c r="L52" t="s" s="1201">
        <v>751</v>
      </c>
      <c r="M52" t="s" s="1202">
        <v>305</v>
      </c>
      <c r="N52" s="1203" t="s">
        <v>3873</v>
      </c>
      <c r="O52" s="1204" t="s">
        <v>3874</v>
      </c>
      <c r="P52" s="141"/>
      <c r="Q52" s="142">
        <f>SUM(R52:AQ52)</f>
      </c>
      <c r="R52" s="143"/>
      <c r="S52" s="143"/>
      <c r="T52" s="143"/>
      <c r="U52" s="143"/>
      <c r="V52" s="143"/>
      <c r="W52" s="143"/>
      <c r="X52" s="143"/>
      <c r="Y52" s="143"/>
      <c r="Z52" s="143"/>
      <c r="AA52" s="143"/>
      <c r="AB52" s="143"/>
      <c r="AC52" s="143"/>
      <c r="AD52" s="1205" t="n">
        <v>400.0</v>
      </c>
      <c r="AE52" s="143"/>
      <c r="AF52" s="143"/>
      <c r="AG52" s="143"/>
      <c r="AH52" s="143"/>
      <c r="AI52" s="143"/>
      <c r="AJ52" s="143"/>
      <c r="AK52" s="143"/>
      <c r="AL52" s="143"/>
      <c r="AM52" s="143"/>
      <c r="AN52" s="143"/>
      <c r="AO52" s="143"/>
      <c r="AP52" s="143"/>
      <c r="AQ52" s="143"/>
      <c r="AR52" s="142">
        <f>SUM(AS52:AV52)</f>
      </c>
      <c r="AS52" s="143"/>
      <c r="AT52" s="143"/>
      <c r="AU52" s="143"/>
      <c r="AV52" s="143"/>
      <c r="AW52" s="142">
        <f>SUM(AX52:BI52)</f>
      </c>
      <c r="AX52" s="143"/>
      <c r="AY52" s="143"/>
      <c r="AZ52" s="143"/>
      <c r="BA52" s="143"/>
      <c r="BB52" s="143"/>
      <c r="BC52" s="143"/>
      <c r="BD52" s="143"/>
      <c r="BE52" s="143"/>
      <c r="BF52" s="143"/>
      <c r="BG52" s="143"/>
      <c r="BH52" s="143"/>
      <c r="BI52" s="143"/>
      <c r="BJ52" s="142"/>
      <c r="BK52" s="143"/>
      <c r="BL52" s="143"/>
      <c r="BM52" s="143"/>
      <c r="BN52" s="143"/>
      <c r="BO52" s="143"/>
      <c r="BP52" s="143"/>
      <c r="BQ52" s="142"/>
      <c r="BR52" s="143"/>
      <c r="BS52" s="143"/>
      <c r="BT52" s="142">
        <f>SUM(BU52:BW52)</f>
      </c>
      <c r="BU52" s="143"/>
      <c r="BV52" s="143"/>
      <c r="BW52" s="143"/>
      <c r="BX52" s="142">
        <f>SUM(BY52:CD52)</f>
      </c>
      <c r="BY52" s="143"/>
      <c r="BZ52" s="143"/>
      <c r="CA52" s="143"/>
      <c r="CB52" s="143"/>
      <c r="CC52" s="143"/>
      <c r="CD52" s="143"/>
      <c r="CE52" s="142"/>
      <c r="CF52" s="143"/>
      <c r="CG52" s="143"/>
      <c r="CH52" s="143"/>
      <c r="CI52" s="143"/>
      <c r="CJ52" s="143"/>
      <c r="CK52" s="142">
        <f>SUM(CL52:CN52)</f>
      </c>
      <c r="CL52" s="143"/>
      <c r="CM52" s="143"/>
      <c r="CN52" s="143"/>
      <c r="CO52" s="142">
        <f>SUM(CP52:CT52)</f>
      </c>
      <c r="CP52" s="143"/>
      <c r="CQ52" s="143"/>
      <c r="CR52" s="143"/>
      <c r="CS52" s="143"/>
      <c r="CT52" s="143"/>
      <c r="CU52" s="142"/>
      <c r="CV52" s="143"/>
      <c r="CW52" s="143"/>
      <c r="CX52" s="143"/>
      <c r="CY52" s="142"/>
      <c r="CZ52" s="143"/>
      <c r="DA52" s="143"/>
      <c r="DB52" s="143"/>
      <c r="DC52" s="143"/>
      <c r="DD52" s="143"/>
      <c r="DE52" s="143"/>
      <c r="DF52" s="143"/>
      <c r="DG52" s="142">
        <f>SUM(DH52:DH52)</f>
      </c>
      <c r="DH52" s="143"/>
      <c r="DI52" s="142"/>
      <c r="DJ52" s="143"/>
      <c r="DK52" s="142">
        <f>SUM(DL52:DQ52)</f>
      </c>
      <c r="DL52" s="143"/>
      <c r="DM52" s="143"/>
      <c r="DN52" s="143"/>
      <c r="DO52" s="143"/>
      <c r="DP52" s="143"/>
      <c r="DQ52" s="143"/>
      <c r="DR52" s="143"/>
      <c r="DS52" s="143"/>
      <c r="DT52" s="143"/>
      <c r="DU52" s="143"/>
      <c r="DV52" s="143"/>
      <c r="DW52" s="143"/>
      <c r="DX52" s="142"/>
      <c r="DY52" s="143"/>
      <c r="DZ52" s="142"/>
      <c r="EA52" s="143"/>
      <c r="EB52" s="143"/>
      <c r="EC52" s="142"/>
      <c r="ED52" s="143"/>
      <c r="EF52" s="143"/>
      <c r="EG52" s="142">
        <f>SUM(EH52:EQ52)</f>
      </c>
      <c r="EH52" s="143"/>
      <c r="EI52" s="143"/>
      <c r="EJ52" s="143"/>
      <c r="EK52" s="143"/>
      <c r="EL52" s="143"/>
      <c r="EM52" s="143"/>
      <c r="EN52" s="143"/>
      <c r="EO52" s="143"/>
      <c r="EP52" s="143"/>
      <c r="EQ52" s="143"/>
      <c r="ER52" s="142">
        <f>SUM(ES52:ET52)</f>
      </c>
      <c r="ES52" s="143"/>
      <c r="ET52" s="143"/>
      <c r="EU52" s="144"/>
      <c r="FB52" s="146"/>
      <c r="FC52" s="146" cm="1">
        <f t="array" ref="FC52">ROW()-ROW(New[#Headers])</f>
        <v>46</v>
      </c>
    </row>
    <row r="53" spans="2:159" s="139" customFormat="1" ht="10.5" x14ac:dyDescent="0.2">
      <c r="B53" s="133"/>
      <c r="C53" s="1234" t="s">
        <v>3881</v>
      </c>
      <c r="D53" t="s" s="1235">
        <v>613</v>
      </c>
      <c r="E53" s="1236" t="s">
        <v>13</v>
      </c>
      <c r="F53" t="s" s="1237">
        <v>750</v>
      </c>
      <c r="G53" t="s" s="1238">
        <v>1597</v>
      </c>
      <c r="H53" s="1239" t="s">
        <v>46</v>
      </c>
      <c r="I53" t="s" s="1240">
        <v>41</v>
      </c>
      <c r="J53" t="s" s="1241">
        <v>64</v>
      </c>
      <c r="K53" t="s" s="1242">
        <v>1609</v>
      </c>
      <c r="L53" t="s" s="1243">
        <v>305</v>
      </c>
      <c r="M53" t="s" s="1244">
        <v>305</v>
      </c>
      <c r="N53" s="1245" t="s">
        <v>3875</v>
      </c>
      <c r="O53" s="1246" t="s">
        <v>3871</v>
      </c>
      <c r="P53" s="141"/>
      <c r="Q53" s="142">
        <f>SUM(R53:AQ53)</f>
      </c>
      <c r="R53" s="143"/>
      <c r="S53" s="143"/>
      <c r="T53" s="1247" t="n">
        <v>300.0</v>
      </c>
      <c r="U53" s="143"/>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2">
        <f>SUM(AS53:AV53)</f>
      </c>
      <c r="AS53" s="143"/>
      <c r="AT53" s="143"/>
      <c r="AU53" s="143"/>
      <c r="AV53" s="143"/>
      <c r="AW53" s="142">
        <f>SUM(AX53:BI53)</f>
      </c>
      <c r="AX53" s="143"/>
      <c r="AY53" s="143"/>
      <c r="AZ53" s="143"/>
      <c r="BA53" s="143"/>
      <c r="BB53" s="143"/>
      <c r="BC53" s="143"/>
      <c r="BD53" s="143"/>
      <c r="BE53" s="143"/>
      <c r="BF53" s="143"/>
      <c r="BG53" s="143"/>
      <c r="BH53" s="143"/>
      <c r="BI53" s="143"/>
      <c r="BJ53" s="142"/>
      <c r="BK53" s="143"/>
      <c r="BL53" s="143"/>
      <c r="BM53" s="143"/>
      <c r="BN53" s="143"/>
      <c r="BO53" s="143"/>
      <c r="BP53" s="143"/>
      <c r="BQ53" s="142"/>
      <c r="BR53" s="143"/>
      <c r="BS53" s="143"/>
      <c r="BT53" s="142">
        <f>SUM(BU53:BW53)</f>
      </c>
      <c r="BU53" s="143"/>
      <c r="BV53" s="143"/>
      <c r="BW53" s="143"/>
      <c r="BX53" s="142">
        <f>SUM(BY53:CD53)</f>
      </c>
      <c r="BY53" s="143"/>
      <c r="BZ53" s="143"/>
      <c r="CA53" s="143"/>
      <c r="CB53" s="143"/>
      <c r="CC53" s="143"/>
      <c r="CD53" s="143"/>
      <c r="CE53" s="142"/>
      <c r="CF53" s="143"/>
      <c r="CG53" s="143"/>
      <c r="CH53" s="143"/>
      <c r="CI53" s="143"/>
      <c r="CJ53" s="143"/>
      <c r="CK53" s="142">
        <f>SUM(CL53:CN53)</f>
      </c>
      <c r="CL53" s="143"/>
      <c r="CM53" s="143"/>
      <c r="CN53" s="143"/>
      <c r="CO53" s="142">
        <f>SUM(CP53:CT53)</f>
      </c>
      <c r="CP53" s="143"/>
      <c r="CQ53" s="143"/>
      <c r="CR53" s="143"/>
      <c r="CS53" s="143"/>
      <c r="CT53" s="143"/>
      <c r="CU53" s="142"/>
      <c r="CV53" s="143"/>
      <c r="CW53" s="143"/>
      <c r="CX53" s="143"/>
      <c r="CY53" s="142"/>
      <c r="CZ53" s="143"/>
      <c r="DA53" s="143"/>
      <c r="DB53" s="143"/>
      <c r="DC53" s="143"/>
      <c r="DD53" s="143"/>
      <c r="DE53" s="143"/>
      <c r="DF53" s="143"/>
      <c r="DG53" s="142">
        <f>SUM(DH53:DH53)</f>
      </c>
      <c r="DH53" s="143"/>
      <c r="DI53" s="142"/>
      <c r="DJ53" s="143"/>
      <c r="DK53" s="142">
        <f>SUM(DL53:DQ53)</f>
      </c>
      <c r="DL53" s="143"/>
      <c r="DM53" s="143"/>
      <c r="DN53" s="143"/>
      <c r="DO53" s="143"/>
      <c r="DP53" s="143"/>
      <c r="DQ53" s="143"/>
      <c r="DR53" s="143"/>
      <c r="DS53" s="143"/>
      <c r="DT53" s="143"/>
      <c r="DU53" s="143"/>
      <c r="DV53" s="143"/>
      <c r="DW53" s="143"/>
      <c r="DX53" s="142"/>
      <c r="DY53" s="143"/>
      <c r="DZ53" s="142"/>
      <c r="EA53" s="143"/>
      <c r="EB53" s="143"/>
      <c r="EC53" s="142"/>
      <c r="ED53" s="143"/>
      <c r="EF53" s="143"/>
      <c r="EG53" s="142">
        <f>SUM(EH53:EQ53)</f>
      </c>
      <c r="EH53" s="143"/>
      <c r="EI53" s="143"/>
      <c r="EJ53" s="143"/>
      <c r="EK53" s="143"/>
      <c r="EL53" s="143"/>
      <c r="EM53" s="143"/>
      <c r="EN53" s="143"/>
      <c r="EO53" s="143"/>
      <c r="EP53" s="143"/>
      <c r="EQ53" s="143"/>
      <c r="ER53" s="142">
        <f>SUM(ES53:ET53)</f>
      </c>
      <c r="ES53" s="143"/>
      <c r="ET53" s="143"/>
      <c r="EU53" s="144"/>
      <c r="FB53" s="146"/>
      <c r="FC53" s="146" cm="1">
        <f t="array" ref="FC53">ROW()-ROW(New[#Headers])</f>
        <v>47</v>
      </c>
    </row>
    <row r="54" spans="2:159" s="139" customFormat="1" ht="10.5" x14ac:dyDescent="0.2">
      <c r="B54" s="133"/>
      <c r="C54" s="1262" t="s">
        <v>1731</v>
      </c>
      <c r="D54" t="s" s="1263">
        <v>699</v>
      </c>
      <c r="E54" s="1264" t="s">
        <v>13</v>
      </c>
      <c r="F54" t="s" s="1265">
        <v>1241</v>
      </c>
      <c r="G54" t="s" s="1266">
        <v>1597</v>
      </c>
      <c r="H54" s="1267" t="s">
        <v>46</v>
      </c>
      <c r="I54" t="s" s="1268">
        <v>41</v>
      </c>
      <c r="J54" t="s" s="1269">
        <v>74</v>
      </c>
      <c r="K54" t="s" s="1270">
        <v>1651</v>
      </c>
      <c r="L54" t="s" s="1271">
        <v>305</v>
      </c>
      <c r="M54" t="s" s="1272">
        <v>305</v>
      </c>
      <c r="N54" s="1273" t="s">
        <v>3873</v>
      </c>
      <c r="O54" s="1274" t="s">
        <v>3876</v>
      </c>
      <c r="P54" s="141"/>
      <c r="Q54" s="142">
        <f>SUM(R54:AQ54)</f>
      </c>
      <c r="R54" s="143"/>
      <c r="S54" s="143"/>
      <c r="T54" s="143"/>
      <c r="U54" s="143"/>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2">
        <f>SUM(AS54:AV54)</f>
      </c>
      <c r="AS54" s="143"/>
      <c r="AT54" s="143"/>
      <c r="AU54" s="143"/>
      <c r="AV54" s="143"/>
      <c r="AW54" s="142">
        <f>SUM(AX54:BI54)</f>
      </c>
      <c r="AX54" s="143"/>
      <c r="AY54" s="143"/>
      <c r="AZ54" s="143"/>
      <c r="BA54" s="143"/>
      <c r="BB54" s="143"/>
      <c r="BC54" s="143"/>
      <c r="BD54" s="143"/>
      <c r="BE54" s="143"/>
      <c r="BF54" s="143"/>
      <c r="BG54" s="143"/>
      <c r="BH54" s="143"/>
      <c r="BI54" s="143"/>
      <c r="BJ54" s="142"/>
      <c r="BK54" s="143"/>
      <c r="BL54" s="143"/>
      <c r="BM54" s="143"/>
      <c r="BN54" s="143"/>
      <c r="BO54" s="143"/>
      <c r="BP54" s="143"/>
      <c r="BQ54" s="142"/>
      <c r="BR54" s="143"/>
      <c r="BS54" s="143"/>
      <c r="BT54" s="142">
        <f>SUM(BU54:BW54)</f>
      </c>
      <c r="BU54" s="143"/>
      <c r="BV54" s="143"/>
      <c r="BW54" s="143"/>
      <c r="BX54" s="142">
        <f>SUM(BY54:CD54)</f>
      </c>
      <c r="BY54" s="143"/>
      <c r="BZ54" s="143"/>
      <c r="CA54" s="143"/>
      <c r="CB54" s="143"/>
      <c r="CC54" s="143"/>
      <c r="CD54" s="143"/>
      <c r="CE54" s="142"/>
      <c r="CF54" s="143"/>
      <c r="CG54" s="143"/>
      <c r="CH54" s="143"/>
      <c r="CI54" s="143"/>
      <c r="CJ54" s="143"/>
      <c r="CK54" s="142">
        <f>SUM(CL54:CN54)</f>
      </c>
      <c r="CL54" s="143"/>
      <c r="CM54" s="143"/>
      <c r="CN54" s="143"/>
      <c r="CO54" s="142">
        <f>SUM(CP54:CT54)</f>
      </c>
      <c r="CP54" s="143"/>
      <c r="CQ54" s="143"/>
      <c r="CR54" s="143"/>
      <c r="CS54" s="143"/>
      <c r="CT54" s="143"/>
      <c r="CU54" s="142"/>
      <c r="CV54" s="143"/>
      <c r="CW54" s="143"/>
      <c r="CX54" s="143"/>
      <c r="CY54" s="142"/>
      <c r="CZ54" s="143"/>
      <c r="DA54" s="143"/>
      <c r="DB54" s="143"/>
      <c r="DC54" s="143"/>
      <c r="DD54" s="143"/>
      <c r="DE54" s="143"/>
      <c r="DF54" s="143"/>
      <c r="DG54" s="142">
        <f>SUM(DH54:DH54)</f>
      </c>
      <c r="DH54" s="143"/>
      <c r="DI54" s="142"/>
      <c r="DJ54" s="143"/>
      <c r="DK54" s="142">
        <f>SUM(DL54:DQ54)</f>
      </c>
      <c r="DL54" s="143"/>
      <c r="DM54" s="143"/>
      <c r="DN54" s="143"/>
      <c r="DO54" s="143"/>
      <c r="DP54" s="143"/>
      <c r="DQ54" s="143"/>
      <c r="DR54" s="143"/>
      <c r="DS54" s="143"/>
      <c r="DT54" s="143"/>
      <c r="DU54" s="143"/>
      <c r="DV54" s="143"/>
      <c r="DW54" s="143"/>
      <c r="DX54" s="142"/>
      <c r="DY54" s="143"/>
      <c r="DZ54" s="142"/>
      <c r="EA54" s="143"/>
      <c r="EB54" s="143"/>
      <c r="EC54" s="142"/>
      <c r="ED54" s="143"/>
      <c r="EF54" s="143"/>
      <c r="EG54" s="142">
        <f>SUM(EH54:EQ54)</f>
      </c>
      <c r="EH54" s="143"/>
      <c r="EI54" s="143"/>
      <c r="EJ54" s="143"/>
      <c r="EK54" s="143"/>
      <c r="EL54" s="143"/>
      <c r="EM54" s="143"/>
      <c r="EN54" s="143"/>
      <c r="EO54" s="143"/>
      <c r="EP54" s="143"/>
      <c r="EQ54" s="143"/>
      <c r="ER54" s="142">
        <f>SUM(ES54:ET54)</f>
      </c>
      <c r="ES54" s="143"/>
      <c r="ET54" s="143"/>
      <c r="EU54" s="144"/>
      <c r="FB54" s="146"/>
      <c r="FC54" s="146" cm="1">
        <f t="array" ref="FC54">ROW()-ROW(New[#Headers])</f>
        <v>48</v>
      </c>
    </row>
    <row r="55" spans="2:159" s="139" customFormat="1" ht="10.5" x14ac:dyDescent="0.2">
      <c r="B55" s="133"/>
      <c r="C55" s="1275" t="s">
        <v>3882</v>
      </c>
      <c r="D55" t="s" s="1276">
        <v>630</v>
      </c>
      <c r="E55" s="1277" t="s">
        <v>732</v>
      </c>
      <c r="F55" t="s" s="1278">
        <v>766</v>
      </c>
      <c r="G55" t="s" s="1279">
        <v>305</v>
      </c>
      <c r="H55" s="1280" t="s">
        <v>57</v>
      </c>
      <c r="I55" t="s" s="1281">
        <v>41</v>
      </c>
      <c r="J55" t="s" s="1282">
        <v>68</v>
      </c>
      <c r="K55" t="s" s="1283">
        <v>1697</v>
      </c>
      <c r="L55" t="s" s="1284">
        <v>305</v>
      </c>
      <c r="M55" t="s" s="1285">
        <v>305</v>
      </c>
      <c r="N55" s="1286" t="s">
        <v>3867</v>
      </c>
      <c r="O55" s="1287" t="s">
        <v>3868</v>
      </c>
      <c r="P55" s="141"/>
      <c r="Q55" s="142">
        <f>SUM(R55:AQ55)</f>
      </c>
      <c r="R55" s="143"/>
      <c r="S55" s="143"/>
      <c r="T55" s="143"/>
      <c r="U55" s="143"/>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2">
        <f>SUM(AS55:AV55)</f>
      </c>
      <c r="AS55" s="143"/>
      <c r="AT55" s="143"/>
      <c r="AU55" s="143"/>
      <c r="AV55" s="143"/>
      <c r="AW55" s="142">
        <f>SUM(AX55:BI55)</f>
      </c>
      <c r="AX55" s="143"/>
      <c r="AY55" s="143"/>
      <c r="AZ55" s="143"/>
      <c r="BA55" s="143"/>
      <c r="BB55" s="143"/>
      <c r="BC55" s="143"/>
      <c r="BD55" s="143"/>
      <c r="BE55" s="143"/>
      <c r="BF55" s="143"/>
      <c r="BG55" s="143"/>
      <c r="BH55" s="143"/>
      <c r="BI55" s="143"/>
      <c r="BJ55" s="142"/>
      <c r="BK55" s="143"/>
      <c r="BL55" s="143"/>
      <c r="BM55" s="143"/>
      <c r="BN55" s="143"/>
      <c r="BO55" s="143"/>
      <c r="BP55" s="143"/>
      <c r="BQ55" s="142"/>
      <c r="BR55" s="143"/>
      <c r="BS55" s="143"/>
      <c r="BT55" s="142">
        <f>SUM(BU55:BW55)</f>
      </c>
      <c r="BU55" s="143"/>
      <c r="BV55" s="143"/>
      <c r="BW55" s="143"/>
      <c r="BX55" s="142">
        <f>SUM(BY55:CD55)</f>
      </c>
      <c r="BY55" s="143"/>
      <c r="BZ55" s="143"/>
      <c r="CA55" s="143"/>
      <c r="CB55" s="143"/>
      <c r="CC55" s="143"/>
      <c r="CD55" s="143"/>
      <c r="CE55" s="142"/>
      <c r="CF55" s="143"/>
      <c r="CG55" s="143"/>
      <c r="CH55" s="143"/>
      <c r="CI55" s="143"/>
      <c r="CJ55" s="143"/>
      <c r="CK55" s="142">
        <f>SUM(CL55:CN55)</f>
      </c>
      <c r="CL55" s="143"/>
      <c r="CM55" s="143"/>
      <c r="CN55" s="143"/>
      <c r="CO55" s="142">
        <f>SUM(CP55:CT55)</f>
      </c>
      <c r="CP55" s="143"/>
      <c r="CQ55" s="143"/>
      <c r="CR55" s="143"/>
      <c r="CS55" s="143"/>
      <c r="CT55" s="143"/>
      <c r="CU55" s="142"/>
      <c r="CV55" s="143"/>
      <c r="CW55" s="143"/>
      <c r="CX55" s="143"/>
      <c r="CY55" s="142"/>
      <c r="CZ55" s="143"/>
      <c r="DA55" s="143"/>
      <c r="DB55" s="143"/>
      <c r="DC55" s="143"/>
      <c r="DD55" s="143"/>
      <c r="DE55" s="143"/>
      <c r="DF55" s="143"/>
      <c r="DG55" s="142">
        <f>SUM(DH55:DH55)</f>
      </c>
      <c r="DH55" s="143"/>
      <c r="DI55" s="142"/>
      <c r="DJ55" s="143"/>
      <c r="DK55" s="142">
        <f>SUM(DL55:DQ55)</f>
      </c>
      <c r="DL55" s="143"/>
      <c r="DM55" s="143"/>
      <c r="DN55" s="143"/>
      <c r="DO55" s="143"/>
      <c r="DP55" s="143"/>
      <c r="DQ55" s="143"/>
      <c r="DR55" s="143"/>
      <c r="DS55" s="143"/>
      <c r="DT55" s="143"/>
      <c r="DU55" s="143"/>
      <c r="DV55" s="143"/>
      <c r="DW55" s="143"/>
      <c r="DX55" s="142"/>
      <c r="DY55" s="143"/>
      <c r="DZ55" s="142"/>
      <c r="EA55" s="143"/>
      <c r="EB55" s="143"/>
      <c r="EC55" s="142"/>
      <c r="ED55" s="143"/>
      <c r="EF55" s="143"/>
      <c r="EG55" s="142">
        <f>SUM(EH55:EQ55)</f>
      </c>
      <c r="EH55" s="143"/>
      <c r="EI55" s="143"/>
      <c r="EJ55" s="143"/>
      <c r="EK55" s="143"/>
      <c r="EL55" s="143"/>
      <c r="EM55" s="143"/>
      <c r="EN55" s="143"/>
      <c r="EO55" s="143"/>
      <c r="EP55" s="143"/>
      <c r="EQ55" s="143"/>
      <c r="ER55" s="142">
        <f>SUM(ES55:ET55)</f>
      </c>
      <c r="ES55" s="143"/>
      <c r="ET55" s="143"/>
      <c r="EU55" s="144"/>
      <c r="FB55" s="146"/>
      <c r="FC55" s="146" cm="1">
        <f t="array" ref="FC55">ROW()-ROW(New[#Headers])</f>
        <v>49</v>
      </c>
    </row>
    <row r="56" spans="2:159" s="139" customFormat="1" ht="10.5" x14ac:dyDescent="0.2">
      <c r="B56" s="133"/>
      <c r="C56" s="1288" t="s">
        <v>1633</v>
      </c>
      <c r="D56" t="s" s="1289">
        <v>372</v>
      </c>
      <c r="E56" s="1290" t="s">
        <v>889</v>
      </c>
      <c r="F56" t="s" s="1291">
        <v>810</v>
      </c>
      <c r="G56" t="s" s="1292">
        <v>1597</v>
      </c>
      <c r="H56" s="1293" t="s">
        <v>53</v>
      </c>
      <c r="I56" t="s" s="1294">
        <v>41</v>
      </c>
      <c r="J56" t="s" s="1295">
        <v>71</v>
      </c>
      <c r="K56" t="s" s="1296">
        <v>1603</v>
      </c>
      <c r="L56" t="s" s="1297">
        <v>305</v>
      </c>
      <c r="M56" t="s" s="1298">
        <v>305</v>
      </c>
      <c r="N56" s="1299" t="s">
        <v>3867</v>
      </c>
      <c r="O56" s="1300" t="s">
        <v>3868</v>
      </c>
      <c r="P56" s="141"/>
      <c r="Q56" s="142">
        <f>SUM(R56:AQ56)</f>
      </c>
      <c r="R56" s="143"/>
      <c r="S56" s="143"/>
      <c r="T56" s="143"/>
      <c r="U56" s="143"/>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2">
        <f>SUM(AS56:AV56)</f>
      </c>
      <c r="AS56" s="143"/>
      <c r="AT56" s="143"/>
      <c r="AU56" s="143"/>
      <c r="AV56" s="143"/>
      <c r="AW56" s="142">
        <f>SUM(AX56:BI56)</f>
      </c>
      <c r="AX56" s="143"/>
      <c r="AY56" s="143"/>
      <c r="AZ56" s="143"/>
      <c r="BA56" s="143"/>
      <c r="BB56" s="143"/>
      <c r="BC56" s="143"/>
      <c r="BD56" s="143"/>
      <c r="BE56" s="143"/>
      <c r="BF56" s="143"/>
      <c r="BG56" s="143"/>
      <c r="BH56" s="143"/>
      <c r="BI56" s="143"/>
      <c r="BJ56" s="142"/>
      <c r="BK56" s="143"/>
      <c r="BL56" s="143"/>
      <c r="BM56" s="143"/>
      <c r="BN56" s="143"/>
      <c r="BO56" s="143"/>
      <c r="BP56" s="143"/>
      <c r="BQ56" s="142"/>
      <c r="BR56" s="143"/>
      <c r="BS56" s="143"/>
      <c r="BT56" s="142">
        <f>SUM(BU56:BW56)</f>
      </c>
      <c r="BU56" s="143"/>
      <c r="BV56" s="143"/>
      <c r="BW56" s="143"/>
      <c r="BX56" s="142">
        <f>SUM(BY56:CD56)</f>
      </c>
      <c r="BY56" s="143"/>
      <c r="BZ56" s="143"/>
      <c r="CA56" s="143"/>
      <c r="CB56" s="143"/>
      <c r="CC56" s="143"/>
      <c r="CD56" s="143"/>
      <c r="CE56" s="142"/>
      <c r="CF56" s="143"/>
      <c r="CG56" s="143"/>
      <c r="CH56" s="143"/>
      <c r="CI56" s="143"/>
      <c r="CJ56" s="143"/>
      <c r="CK56" s="142">
        <f>SUM(CL56:CN56)</f>
      </c>
      <c r="CL56" s="143"/>
      <c r="CM56" s="143"/>
      <c r="CN56" s="143"/>
      <c r="CO56" s="142">
        <f>SUM(CP56:CT56)</f>
      </c>
      <c r="CP56" s="143"/>
      <c r="CQ56" s="143"/>
      <c r="CR56" s="143"/>
      <c r="CS56" s="143"/>
      <c r="CT56" s="143"/>
      <c r="CU56" s="142"/>
      <c r="CV56" s="143"/>
      <c r="CW56" s="143"/>
      <c r="CX56" s="143"/>
      <c r="CY56" s="142"/>
      <c r="CZ56" s="143"/>
      <c r="DA56" s="143"/>
      <c r="DB56" s="143"/>
      <c r="DC56" s="143"/>
      <c r="DD56" s="143"/>
      <c r="DE56" s="143"/>
      <c r="DF56" s="143"/>
      <c r="DG56" s="142">
        <f>SUM(DH56:DH56)</f>
      </c>
      <c r="DH56" s="143"/>
      <c r="DI56" s="142"/>
      <c r="DJ56" s="143"/>
      <c r="DK56" s="142">
        <f>SUM(DL56:DQ56)</f>
      </c>
      <c r="DL56" s="143"/>
      <c r="DM56" s="143"/>
      <c r="DN56" s="143"/>
      <c r="DO56" s="143"/>
      <c r="DP56" s="143"/>
      <c r="DQ56" s="143"/>
      <c r="DR56" s="143"/>
      <c r="DS56" s="143"/>
      <c r="DT56" s="143"/>
      <c r="DU56" s="143"/>
      <c r="DV56" s="143"/>
      <c r="DW56" s="143"/>
      <c r="DX56" s="142"/>
      <c r="DY56" s="143"/>
      <c r="DZ56" s="142"/>
      <c r="EA56" s="143"/>
      <c r="EB56" s="143"/>
      <c r="EC56" s="142"/>
      <c r="ED56" s="143"/>
      <c r="EF56" s="143"/>
      <c r="EG56" s="142">
        <f>SUM(EH56:EQ56)</f>
      </c>
      <c r="EH56" s="143"/>
      <c r="EI56" s="143"/>
      <c r="EJ56" s="143"/>
      <c r="EK56" s="143"/>
      <c r="EL56" s="143"/>
      <c r="EM56" s="143"/>
      <c r="EN56" s="143"/>
      <c r="EO56" s="143"/>
      <c r="EP56" s="143"/>
      <c r="EQ56" s="143"/>
      <c r="ER56" s="142">
        <f>SUM(ES56:ET56)</f>
      </c>
      <c r="ES56" s="143"/>
      <c r="ET56" s="143"/>
      <c r="EU56" s="144"/>
      <c r="FB56" s="146"/>
      <c r="FC56" s="146" cm="1">
        <f t="array" ref="FC56">ROW()-ROW(New[#Headers])</f>
        <v>50</v>
      </c>
    </row>
    <row r="57" spans="2:159" s="139" customFormat="1" ht="10.5" x14ac:dyDescent="0.2">
      <c r="B57" s="133"/>
      <c r="C57" s="1301" t="s">
        <v>1673</v>
      </c>
      <c r="D57" t="s" s="1302">
        <v>546</v>
      </c>
      <c r="E57" s="1303" t="s">
        <v>13</v>
      </c>
      <c r="F57" t="s" s="1304">
        <v>766</v>
      </c>
      <c r="G57" t="s" s="1305">
        <v>345</v>
      </c>
      <c r="H57" s="1306" t="s">
        <v>46</v>
      </c>
      <c r="I57" t="s" s="1307">
        <v>41</v>
      </c>
      <c r="J57" t="s" s="1308">
        <v>68</v>
      </c>
      <c r="K57" t="s" s="1309">
        <v>1672</v>
      </c>
      <c r="L57" t="s" s="1310">
        <v>305</v>
      </c>
      <c r="M57" t="s" s="1311">
        <v>305</v>
      </c>
      <c r="N57" s="1312" t="s">
        <v>3873</v>
      </c>
      <c r="O57" s="1313" t="s">
        <v>3871</v>
      </c>
      <c r="P57" s="141"/>
      <c r="Q57" s="142">
        <f>SUM(R57:AQ57)</f>
      </c>
      <c r="R57" s="143"/>
      <c r="S57" s="143"/>
      <c r="T57" s="143"/>
      <c r="U57" s="143"/>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2">
        <f>SUM(AS57:AV57)</f>
      </c>
      <c r="AS57" s="143"/>
      <c r="AT57" s="143"/>
      <c r="AU57" s="143"/>
      <c r="AV57" s="143"/>
      <c r="AW57" s="142">
        <f>SUM(AX57:BI57)</f>
      </c>
      <c r="AX57" s="143"/>
      <c r="AY57" s="143"/>
      <c r="AZ57" s="143"/>
      <c r="BA57" s="143"/>
      <c r="BB57" s="143"/>
      <c r="BC57" s="143"/>
      <c r="BD57" s="143"/>
      <c r="BE57" s="143"/>
      <c r="BF57" s="143"/>
      <c r="BG57" s="143"/>
      <c r="BH57" s="143"/>
      <c r="BI57" s="143"/>
      <c r="BJ57" s="142"/>
      <c r="BK57" s="143"/>
      <c r="BL57" s="143"/>
      <c r="BM57" s="143"/>
      <c r="BN57" s="143"/>
      <c r="BO57" s="143"/>
      <c r="BP57" s="143"/>
      <c r="BQ57" s="142"/>
      <c r="BR57" s="143"/>
      <c r="BS57" s="143"/>
      <c r="BT57" s="142">
        <f>SUM(BU57:BW57)</f>
      </c>
      <c r="BU57" s="143"/>
      <c r="BV57" s="143"/>
      <c r="BW57" s="143"/>
      <c r="BX57" s="142">
        <f>SUM(BY57:CD57)</f>
      </c>
      <c r="BY57" s="143"/>
      <c r="BZ57" s="143"/>
      <c r="CA57" s="143"/>
      <c r="CB57" s="143"/>
      <c r="CC57" s="143"/>
      <c r="CD57" s="143"/>
      <c r="CE57" s="142"/>
      <c r="CF57" s="143"/>
      <c r="CG57" s="143"/>
      <c r="CH57" s="143"/>
      <c r="CI57" s="143"/>
      <c r="CJ57" s="143"/>
      <c r="CK57" s="142">
        <f>SUM(CL57:CN57)</f>
      </c>
      <c r="CL57" s="143"/>
      <c r="CM57" s="143"/>
      <c r="CN57" s="143"/>
      <c r="CO57" s="142">
        <f>SUM(CP57:CT57)</f>
      </c>
      <c r="CP57" s="143"/>
      <c r="CQ57" s="143"/>
      <c r="CR57" s="143"/>
      <c r="CS57" s="143"/>
      <c r="CT57" s="143"/>
      <c r="CU57" s="142"/>
      <c r="CV57" s="143"/>
      <c r="CW57" s="143"/>
      <c r="CX57" s="143"/>
      <c r="CY57" s="142"/>
      <c r="CZ57" s="143"/>
      <c r="DA57" s="143"/>
      <c r="DB57" s="143"/>
      <c r="DC57" s="143"/>
      <c r="DD57" s="143"/>
      <c r="DE57" s="143"/>
      <c r="DF57" s="143"/>
      <c r="DG57" s="142">
        <f>SUM(DH57:DH57)</f>
      </c>
      <c r="DH57" s="143"/>
      <c r="DI57" s="142"/>
      <c r="DJ57" s="143"/>
      <c r="DK57" s="142">
        <f>SUM(DL57:DQ57)</f>
      </c>
      <c r="DL57" s="143"/>
      <c r="DM57" s="143"/>
      <c r="DN57" s="143"/>
      <c r="DO57" s="143"/>
      <c r="DP57" s="143"/>
      <c r="DQ57" s="143"/>
      <c r="DR57" s="143"/>
      <c r="DS57" s="143"/>
      <c r="DT57" s="143"/>
      <c r="DU57" s="143"/>
      <c r="DV57" s="143"/>
      <c r="DW57" s="143"/>
      <c r="DX57" s="142"/>
      <c r="DY57" s="143"/>
      <c r="DZ57" s="142"/>
      <c r="EA57" s="143"/>
      <c r="EB57" s="143"/>
      <c r="EC57" s="142"/>
      <c r="ED57" s="143"/>
      <c r="EF57" s="143"/>
      <c r="EG57" s="142">
        <f>SUM(EH57:EQ57)</f>
      </c>
      <c r="EH57" s="143"/>
      <c r="EI57" s="143"/>
      <c r="EJ57" s="143"/>
      <c r="EK57" s="143"/>
      <c r="EL57" s="143"/>
      <c r="EM57" s="143"/>
      <c r="EN57" s="143"/>
      <c r="EO57" s="143"/>
      <c r="EP57" s="143"/>
      <c r="EQ57" s="143"/>
      <c r="ER57" s="142">
        <f>SUM(ES57:ET57)</f>
      </c>
      <c r="ES57" s="143"/>
      <c r="ET57" s="143"/>
      <c r="EU57" s="144"/>
      <c r="FB57" s="146"/>
      <c r="FC57" s="146" cm="1">
        <f t="array" ref="FC57">ROW()-ROW(New[#Headers])</f>
        <v>51</v>
      </c>
    </row>
    <row r="58" spans="2:159" s="139" customFormat="1" ht="10.5" x14ac:dyDescent="0.2">
      <c r="B58" s="133"/>
      <c r="C58" s="1314" t="s">
        <v>1668</v>
      </c>
      <c r="D58" t="s" s="1315">
        <v>543</v>
      </c>
      <c r="E58" s="1316" t="s">
        <v>37</v>
      </c>
      <c r="F58" t="s" s="1317">
        <v>810</v>
      </c>
      <c r="G58" t="s" s="1318">
        <v>1597</v>
      </c>
      <c r="H58" s="1319" t="s">
        <v>55</v>
      </c>
      <c r="I58" t="s" s="1320">
        <v>43</v>
      </c>
      <c r="J58" t="s" s="1321">
        <v>71</v>
      </c>
      <c r="K58" t="s" s="1322">
        <v>811</v>
      </c>
      <c r="L58" t="s" s="1323">
        <v>779</v>
      </c>
      <c r="M58" t="s" s="1324">
        <v>305</v>
      </c>
      <c r="N58" s="1325" t="s">
        <v>3867</v>
      </c>
      <c r="O58" s="1326" t="s">
        <v>3868</v>
      </c>
      <c r="P58" s="141"/>
      <c r="Q58" s="142">
        <f>SUM(R58:AQ58)</f>
      </c>
      <c r="R58" s="143"/>
      <c r="S58" s="143"/>
      <c r="T58" s="143"/>
      <c r="U58" s="143"/>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2">
        <f>SUM(AS58:AV58)</f>
      </c>
      <c r="AS58" s="143"/>
      <c r="AT58" s="143"/>
      <c r="AU58" s="143"/>
      <c r="AV58" s="143"/>
      <c r="AW58" s="142">
        <f>SUM(AX58:BI58)</f>
      </c>
      <c r="AX58" s="143"/>
      <c r="AY58" s="143"/>
      <c r="AZ58" s="143"/>
      <c r="BA58" s="143"/>
      <c r="BB58" s="143"/>
      <c r="BC58" s="143"/>
      <c r="BD58" s="143"/>
      <c r="BE58" s="143"/>
      <c r="BF58" s="143"/>
      <c r="BG58" s="143"/>
      <c r="BH58" s="143"/>
      <c r="BI58" s="143"/>
      <c r="BJ58" s="142"/>
      <c r="BK58" s="143"/>
      <c r="BL58" s="143"/>
      <c r="BM58" s="143"/>
      <c r="BN58" s="143"/>
      <c r="BO58" s="143"/>
      <c r="BP58" s="143"/>
      <c r="BQ58" s="142"/>
      <c r="BR58" s="143"/>
      <c r="BS58" s="143"/>
      <c r="BT58" s="142">
        <f>SUM(BU58:BW58)</f>
      </c>
      <c r="BU58" s="143"/>
      <c r="BV58" s="143"/>
      <c r="BW58" s="143"/>
      <c r="BX58" s="142">
        <f>SUM(BY58:CD58)</f>
      </c>
      <c r="BY58" s="143"/>
      <c r="BZ58" s="143"/>
      <c r="CA58" s="143"/>
      <c r="CB58" s="143"/>
      <c r="CC58" s="143"/>
      <c r="CD58" s="143"/>
      <c r="CE58" s="142"/>
      <c r="CF58" s="143"/>
      <c r="CG58" s="143"/>
      <c r="CH58" s="143"/>
      <c r="CI58" s="143"/>
      <c r="CJ58" s="143"/>
      <c r="CK58" s="142">
        <f>SUM(CL58:CN58)</f>
      </c>
      <c r="CL58" s="143"/>
      <c r="CM58" s="143"/>
      <c r="CN58" s="143"/>
      <c r="CO58" s="142">
        <f>SUM(CP58:CT58)</f>
      </c>
      <c r="CP58" s="143"/>
      <c r="CQ58" s="143"/>
      <c r="CR58" s="143"/>
      <c r="CS58" s="143"/>
      <c r="CT58" s="143"/>
      <c r="CU58" s="142"/>
      <c r="CV58" s="143"/>
      <c r="CW58" s="143"/>
      <c r="CX58" s="143"/>
      <c r="CY58" s="142"/>
      <c r="CZ58" s="143"/>
      <c r="DA58" s="143"/>
      <c r="DB58" s="143"/>
      <c r="DC58" s="143"/>
      <c r="DD58" s="143"/>
      <c r="DE58" s="143"/>
      <c r="DF58" s="143"/>
      <c r="DG58" s="142">
        <f>SUM(DH58:DH58)</f>
      </c>
      <c r="DH58" s="143"/>
      <c r="DI58" s="142"/>
      <c r="DJ58" s="143"/>
      <c r="DK58" s="142">
        <f>SUM(DL58:DQ58)</f>
      </c>
      <c r="DL58" s="143"/>
      <c r="DM58" s="143"/>
      <c r="DN58" s="143"/>
      <c r="DO58" s="143"/>
      <c r="DP58" s="143"/>
      <c r="DQ58" s="143"/>
      <c r="DR58" s="143"/>
      <c r="DS58" s="143"/>
      <c r="DT58" s="143"/>
      <c r="DU58" s="143"/>
      <c r="DV58" s="143"/>
      <c r="DW58" s="143"/>
      <c r="DX58" s="142"/>
      <c r="DY58" s="143"/>
      <c r="DZ58" s="142"/>
      <c r="EA58" s="143"/>
      <c r="EB58" s="143"/>
      <c r="EC58" s="142"/>
      <c r="ED58" s="143"/>
      <c r="EF58" s="143"/>
      <c r="EG58" s="142">
        <f>SUM(EH58:EQ58)</f>
      </c>
      <c r="EH58" s="143"/>
      <c r="EI58" s="143"/>
      <c r="EJ58" s="143"/>
      <c r="EK58" s="143"/>
      <c r="EL58" s="143"/>
      <c r="EM58" s="143"/>
      <c r="EN58" s="143"/>
      <c r="EO58" s="143"/>
      <c r="EP58" s="143"/>
      <c r="EQ58" s="143"/>
      <c r="ER58" s="142">
        <f>SUM(ES58:ET58)</f>
      </c>
      <c r="ES58" s="143"/>
      <c r="ET58" s="143"/>
      <c r="EU58" s="144"/>
      <c r="FB58" s="146"/>
      <c r="FC58" s="146" cm="1">
        <f t="array" ref="FC58">ROW()-ROW(New[#Headers])</f>
        <v>52</v>
      </c>
    </row>
    <row r="59" spans="2:159" s="139" customFormat="1" ht="10.5" x14ac:dyDescent="0.2">
      <c r="B59" s="133"/>
      <c r="C59" s="1327" t="s">
        <v>1721</v>
      </c>
      <c r="D59" t="s" s="1328">
        <v>685</v>
      </c>
      <c r="E59" s="1329" t="s">
        <v>13</v>
      </c>
      <c r="F59" t="s" s="1330">
        <v>1224</v>
      </c>
      <c r="G59" t="s" s="1331">
        <v>305</v>
      </c>
      <c r="H59" s="1332" t="s">
        <v>46</v>
      </c>
      <c r="I59" t="s" s="1333">
        <v>41</v>
      </c>
      <c r="J59" t="s" s="1334">
        <v>71</v>
      </c>
      <c r="K59" t="s" s="1335">
        <v>1706</v>
      </c>
      <c r="L59" t="s" s="1336">
        <v>305</v>
      </c>
      <c r="M59" t="s" s="1337">
        <v>305</v>
      </c>
      <c r="N59" s="1338" t="s">
        <v>3867</v>
      </c>
      <c r="O59" s="1339" t="s">
        <v>3868</v>
      </c>
      <c r="P59" s="141"/>
      <c r="Q59" s="142">
        <f>SUM(R59:AQ59)</f>
      </c>
      <c r="R59" s="143"/>
      <c r="S59" s="143"/>
      <c r="T59" s="143"/>
      <c r="U59" s="143"/>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2">
        <f>SUM(AS59:AV59)</f>
      </c>
      <c r="AS59" s="143"/>
      <c r="AT59" s="143"/>
      <c r="AU59" s="143"/>
      <c r="AV59" s="143"/>
      <c r="AW59" s="142">
        <f>SUM(AX59:BI59)</f>
      </c>
      <c r="AX59" s="143"/>
      <c r="AY59" s="143"/>
      <c r="AZ59" s="143"/>
      <c r="BA59" s="143"/>
      <c r="BB59" s="143"/>
      <c r="BC59" s="143"/>
      <c r="BD59" s="143"/>
      <c r="BE59" s="143"/>
      <c r="BF59" s="143"/>
      <c r="BG59" s="143"/>
      <c r="BH59" s="143"/>
      <c r="BI59" s="143"/>
      <c r="BJ59" s="142"/>
      <c r="BK59" s="143"/>
      <c r="BL59" s="143"/>
      <c r="BM59" s="143"/>
      <c r="BN59" s="143"/>
      <c r="BO59" s="143"/>
      <c r="BP59" s="143"/>
      <c r="BQ59" s="142"/>
      <c r="BR59" s="143"/>
      <c r="BS59" s="143"/>
      <c r="BT59" s="142">
        <f>SUM(BU59:BW59)</f>
      </c>
      <c r="BU59" s="143"/>
      <c r="BV59" s="143"/>
      <c r="BW59" s="143"/>
      <c r="BX59" s="142">
        <f>SUM(BY59:CD59)</f>
      </c>
      <c r="BY59" s="143"/>
      <c r="BZ59" s="143"/>
      <c r="CA59" s="143"/>
      <c r="CB59" s="143"/>
      <c r="CC59" s="143"/>
      <c r="CD59" s="143"/>
      <c r="CE59" s="142"/>
      <c r="CF59" s="143"/>
      <c r="CG59" s="143"/>
      <c r="CH59" s="143"/>
      <c r="CI59" s="143"/>
      <c r="CJ59" s="143"/>
      <c r="CK59" s="142">
        <f>SUM(CL59:CN59)</f>
      </c>
      <c r="CL59" s="143"/>
      <c r="CM59" s="143"/>
      <c r="CN59" s="143"/>
      <c r="CO59" s="142">
        <f>SUM(CP59:CT59)</f>
      </c>
      <c r="CP59" s="143"/>
      <c r="CQ59" s="143"/>
      <c r="CR59" s="143"/>
      <c r="CS59" s="143"/>
      <c r="CT59" s="143"/>
      <c r="CU59" s="142"/>
      <c r="CV59" s="143"/>
      <c r="CW59" s="143"/>
      <c r="CX59" s="143"/>
      <c r="CY59" s="142"/>
      <c r="CZ59" s="143"/>
      <c r="DA59" s="143"/>
      <c r="DB59" s="143"/>
      <c r="DC59" s="143"/>
      <c r="DD59" s="143"/>
      <c r="DE59" s="143"/>
      <c r="DF59" s="143"/>
      <c r="DG59" s="142">
        <f>SUM(DH59:DH59)</f>
      </c>
      <c r="DH59" s="143"/>
      <c r="DI59" s="142"/>
      <c r="DJ59" s="143"/>
      <c r="DK59" s="142">
        <f>SUM(DL59:DQ59)</f>
      </c>
      <c r="DL59" s="143"/>
      <c r="DM59" s="143"/>
      <c r="DN59" s="143"/>
      <c r="DO59" s="143"/>
      <c r="DP59" s="143"/>
      <c r="DQ59" s="143"/>
      <c r="DR59" s="143"/>
      <c r="DS59" s="143"/>
      <c r="DT59" s="143"/>
      <c r="DU59" s="143"/>
      <c r="DV59" s="143"/>
      <c r="DW59" s="143"/>
      <c r="DX59" s="142"/>
      <c r="DY59" s="143"/>
      <c r="DZ59" s="142"/>
      <c r="EA59" s="143"/>
      <c r="EB59" s="143"/>
      <c r="EC59" s="142"/>
      <c r="ED59" s="143"/>
      <c r="EF59" s="143"/>
      <c r="EG59" s="142">
        <f>SUM(EH59:EQ59)</f>
      </c>
      <c r="EH59" s="143"/>
      <c r="EI59" s="143"/>
      <c r="EJ59" s="143"/>
      <c r="EK59" s="143"/>
      <c r="EL59" s="143"/>
      <c r="EM59" s="143"/>
      <c r="EN59" s="143"/>
      <c r="EO59" s="143"/>
      <c r="EP59" s="143"/>
      <c r="EQ59" s="143"/>
      <c r="ER59" s="142">
        <f>SUM(ES59:ET59)</f>
      </c>
      <c r="ES59" s="143"/>
      <c r="ET59" s="143"/>
      <c r="EU59" s="144"/>
      <c r="FB59" s="146"/>
      <c r="FC59" s="146" cm="1">
        <f t="array" ref="FC59">ROW()-ROW(New[#Headers])</f>
        <v>53</v>
      </c>
    </row>
    <row r="60" spans="2:159" s="139" customFormat="1" ht="10.5" x14ac:dyDescent="0.2">
      <c r="B60" s="133"/>
      <c r="C60" s="1340" t="s">
        <v>1675</v>
      </c>
      <c r="D60" t="s" s="1341">
        <v>548</v>
      </c>
      <c r="E60" s="1342" t="s">
        <v>13</v>
      </c>
      <c r="F60" t="s" s="1343">
        <v>898</v>
      </c>
      <c r="G60" t="s" s="1344">
        <v>1597</v>
      </c>
      <c r="H60" s="1345" t="s">
        <v>49</v>
      </c>
      <c r="I60" t="s" s="1346">
        <v>41</v>
      </c>
      <c r="J60" t="s" s="1347">
        <v>71</v>
      </c>
      <c r="K60" t="s" s="1348">
        <v>791</v>
      </c>
      <c r="L60" t="s" s="1349">
        <v>779</v>
      </c>
      <c r="M60" t="s" s="1350">
        <v>305</v>
      </c>
      <c r="N60" s="1351" t="s">
        <v>3875</v>
      </c>
      <c r="O60" s="1352" t="s">
        <v>3871</v>
      </c>
      <c r="P60" s="141"/>
      <c r="Q60" s="142">
        <f>SUM(R60:AQ60)</f>
      </c>
      <c r="R60" s="143"/>
      <c r="S60" s="143"/>
      <c r="T60" s="143"/>
      <c r="U60" s="143"/>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2">
        <f>SUM(AS60:AV60)</f>
      </c>
      <c r="AS60" s="143"/>
      <c r="AT60" s="143"/>
      <c r="AU60" s="143"/>
      <c r="AV60" s="143"/>
      <c r="AW60" s="142">
        <f>SUM(AX60:BI60)</f>
      </c>
      <c r="AX60" s="143"/>
      <c r="AY60" s="143"/>
      <c r="AZ60" s="143"/>
      <c r="BA60" s="143"/>
      <c r="BB60" s="143"/>
      <c r="BC60" s="143"/>
      <c r="BD60" s="143"/>
      <c r="BE60" s="143"/>
      <c r="BF60" s="143"/>
      <c r="BG60" s="143"/>
      <c r="BH60" s="143"/>
      <c r="BI60" s="143"/>
      <c r="BJ60" s="142"/>
      <c r="BK60" s="143"/>
      <c r="BL60" s="143"/>
      <c r="BM60" s="143"/>
      <c r="BN60" s="143"/>
      <c r="BO60" s="143"/>
      <c r="BP60" s="143"/>
      <c r="BQ60" s="142"/>
      <c r="BR60" s="143"/>
      <c r="BS60" s="143"/>
      <c r="BT60" s="142">
        <f>SUM(BU60:BW60)</f>
      </c>
      <c r="BU60" s="143"/>
      <c r="BV60" s="143"/>
      <c r="BW60" s="143"/>
      <c r="BX60" s="142">
        <f>SUM(BY60:CD60)</f>
      </c>
      <c r="BY60" s="143"/>
      <c r="BZ60" s="143"/>
      <c r="CA60" s="143"/>
      <c r="CB60" s="143"/>
      <c r="CC60" s="143"/>
      <c r="CD60" s="143"/>
      <c r="CE60" s="142"/>
      <c r="CF60" s="143"/>
      <c r="CG60" s="143"/>
      <c r="CH60" s="143"/>
      <c r="CI60" s="143"/>
      <c r="CJ60" s="143"/>
      <c r="CK60" s="142">
        <f>SUM(CL60:CN60)</f>
      </c>
      <c r="CL60" s="143"/>
      <c r="CM60" s="143"/>
      <c r="CN60" s="143"/>
      <c r="CO60" s="142">
        <f>SUM(CP60:CT60)</f>
      </c>
      <c r="CP60" s="143"/>
      <c r="CQ60" s="143"/>
      <c r="CR60" s="143"/>
      <c r="CS60" s="143"/>
      <c r="CT60" s="143"/>
      <c r="CU60" s="142"/>
      <c r="CV60" s="143"/>
      <c r="CW60" s="143"/>
      <c r="CX60" s="143"/>
      <c r="CY60" s="142"/>
      <c r="CZ60" s="143"/>
      <c r="DA60" s="143"/>
      <c r="DB60" s="143"/>
      <c r="DC60" s="143"/>
      <c r="DD60" s="143"/>
      <c r="DE60" s="143"/>
      <c r="DF60" s="143"/>
      <c r="DG60" s="142">
        <f>SUM(DH60:DH60)</f>
      </c>
      <c r="DH60" s="143"/>
      <c r="DI60" s="142"/>
      <c r="DJ60" s="143"/>
      <c r="DK60" s="142">
        <f>SUM(DL60:DQ60)</f>
      </c>
      <c r="DL60" s="143"/>
      <c r="DM60" s="143"/>
      <c r="DN60" s="143"/>
      <c r="DO60" s="143"/>
      <c r="DP60" s="143"/>
      <c r="DQ60" s="143"/>
      <c r="DR60" s="143"/>
      <c r="DS60" s="143"/>
      <c r="DT60" s="143"/>
      <c r="DU60" s="143"/>
      <c r="DV60" s="143"/>
      <c r="DW60" s="143"/>
      <c r="DX60" s="142"/>
      <c r="DY60" s="143"/>
      <c r="DZ60" s="142"/>
      <c r="EA60" s="143"/>
      <c r="EB60" s="143"/>
      <c r="EC60" s="142"/>
      <c r="ED60" s="143"/>
      <c r="EF60" s="143"/>
      <c r="EG60" s="142">
        <f>SUM(EH60:EQ60)</f>
      </c>
      <c r="EH60" s="143"/>
      <c r="EI60" s="143"/>
      <c r="EJ60" s="143"/>
      <c r="EK60" s="143"/>
      <c r="EL60" s="143"/>
      <c r="EM60" s="143"/>
      <c r="EN60" s="143"/>
      <c r="EO60" s="143"/>
      <c r="EP60" s="143"/>
      <c r="EQ60" s="143"/>
      <c r="ER60" s="142">
        <f>SUM(ES60:ET60)</f>
      </c>
      <c r="ES60" s="143"/>
      <c r="ET60" s="143"/>
      <c r="EU60" s="144"/>
      <c r="FB60" s="146"/>
      <c r="FC60" s="146" cm="1">
        <f t="array" ref="FC60">ROW()-ROW(New[#Headers])</f>
        <v>54</v>
      </c>
    </row>
    <row r="61" spans="2:159" s="139" customFormat="1" ht="10.5" x14ac:dyDescent="0.2">
      <c r="B61" s="133"/>
      <c r="C61" s="1353" t="s">
        <v>633</v>
      </c>
      <c r="D61" t="s" s="1354">
        <v>634</v>
      </c>
      <c r="E61" s="1355" t="s">
        <v>13</v>
      </c>
      <c r="F61" t="s" s="1356">
        <v>1241</v>
      </c>
      <c r="G61" t="s" s="1357">
        <v>1597</v>
      </c>
      <c r="H61" s="1358" t="s">
        <v>49</v>
      </c>
      <c r="I61" t="s" s="1359">
        <v>41</v>
      </c>
      <c r="J61" t="s" s="1360">
        <v>74</v>
      </c>
      <c r="K61" t="s" s="1361">
        <v>1246</v>
      </c>
      <c r="L61" t="s" s="1362">
        <v>305</v>
      </c>
      <c r="M61" t="s" s="1363">
        <v>305</v>
      </c>
      <c r="N61" s="1364" t="s">
        <v>3873</v>
      </c>
      <c r="O61" s="1365" t="s">
        <v>3871</v>
      </c>
      <c r="P61" s="141"/>
      <c r="Q61" s="142">
        <f>SUM(R61:AQ61)</f>
      </c>
      <c r="R61" s="143"/>
      <c r="S61" s="143"/>
      <c r="T61" s="143"/>
      <c r="U61" s="143"/>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2">
        <f>SUM(AS61:AV61)</f>
      </c>
      <c r="AS61" s="143"/>
      <c r="AT61" s="143"/>
      <c r="AU61" s="143"/>
      <c r="AV61" s="143"/>
      <c r="AW61" s="142">
        <f>SUM(AX61:BI61)</f>
      </c>
      <c r="AX61" s="143"/>
      <c r="AY61" s="143"/>
      <c r="AZ61" s="143"/>
      <c r="BA61" s="143"/>
      <c r="BB61" s="143"/>
      <c r="BC61" s="143"/>
      <c r="BD61" s="143"/>
      <c r="BE61" s="143"/>
      <c r="BF61" s="143"/>
      <c r="BG61" s="143"/>
      <c r="BH61" s="143"/>
      <c r="BI61" s="143"/>
      <c r="BJ61" s="142"/>
      <c r="BK61" s="143"/>
      <c r="BL61" s="143"/>
      <c r="BM61" s="143"/>
      <c r="BN61" s="143"/>
      <c r="BO61" s="143"/>
      <c r="BP61" s="143"/>
      <c r="BQ61" s="142"/>
      <c r="BR61" s="143"/>
      <c r="BS61" s="143"/>
      <c r="BT61" s="142">
        <f>SUM(BU61:BW61)</f>
      </c>
      <c r="BU61" s="143"/>
      <c r="BV61" s="143"/>
      <c r="BW61" s="143"/>
      <c r="BX61" s="142">
        <f>SUM(BY61:CD61)</f>
      </c>
      <c r="BY61" s="143"/>
      <c r="BZ61" s="143"/>
      <c r="CA61" s="143"/>
      <c r="CB61" s="143"/>
      <c r="CC61" s="143"/>
      <c r="CD61" s="143"/>
      <c r="CE61" s="142"/>
      <c r="CF61" s="143"/>
      <c r="CG61" s="143"/>
      <c r="CH61" s="143"/>
      <c r="CI61" s="143"/>
      <c r="CJ61" s="143"/>
      <c r="CK61" s="142">
        <f>SUM(CL61:CN61)</f>
      </c>
      <c r="CL61" s="143"/>
      <c r="CM61" s="143"/>
      <c r="CN61" s="143"/>
      <c r="CO61" s="142">
        <f>SUM(CP61:CT61)</f>
      </c>
      <c r="CP61" s="143"/>
      <c r="CQ61" s="143"/>
      <c r="CR61" s="143"/>
      <c r="CS61" s="143"/>
      <c r="CT61" s="143"/>
      <c r="CU61" s="142"/>
      <c r="CV61" s="143"/>
      <c r="CW61" s="143"/>
      <c r="CX61" s="143"/>
      <c r="CY61" s="142"/>
      <c r="CZ61" s="143"/>
      <c r="DA61" s="143"/>
      <c r="DB61" s="143"/>
      <c r="DC61" s="143"/>
      <c r="DD61" s="143"/>
      <c r="DE61" s="143"/>
      <c r="DF61" s="143"/>
      <c r="DG61" s="142">
        <f>SUM(DH61:DH61)</f>
      </c>
      <c r="DH61" s="1366" t="n">
        <v>400.0</v>
      </c>
      <c r="DI61" s="142"/>
      <c r="DJ61" s="143"/>
      <c r="DK61" s="142">
        <f>SUM(DL61:DQ61)</f>
      </c>
      <c r="DL61" s="143"/>
      <c r="DM61" s="143"/>
      <c r="DN61" s="143"/>
      <c r="DO61" s="143"/>
      <c r="DP61" s="143"/>
      <c r="DQ61" s="143"/>
      <c r="DR61" s="143"/>
      <c r="DS61" s="143"/>
      <c r="DT61" s="143"/>
      <c r="DU61" s="143"/>
      <c r="DV61" s="143"/>
      <c r="DW61" s="143"/>
      <c r="DX61" s="142"/>
      <c r="DY61" s="143"/>
      <c r="DZ61" s="142"/>
      <c r="EA61" s="143"/>
      <c r="EB61" s="143"/>
      <c r="EC61" s="142"/>
      <c r="ED61" s="143"/>
      <c r="EF61" s="143"/>
      <c r="EG61" s="142">
        <f>SUM(EH61:EQ61)</f>
      </c>
      <c r="EH61" s="143"/>
      <c r="EI61" s="143"/>
      <c r="EJ61" s="143"/>
      <c r="EK61" s="143"/>
      <c r="EL61" s="143"/>
      <c r="EM61" s="143"/>
      <c r="EN61" s="143"/>
      <c r="EO61" s="143"/>
      <c r="EP61" s="143"/>
      <c r="EQ61" s="143"/>
      <c r="ER61" s="142">
        <f>SUM(ES61:ET61)</f>
      </c>
      <c r="ES61" s="143"/>
      <c r="ET61" s="143"/>
      <c r="EU61" s="144"/>
      <c r="FB61" s="146"/>
      <c r="FC61" s="146" cm="1">
        <f t="array" ref="FC61">ROW()-ROW(New[#Headers])</f>
        <v>55</v>
      </c>
    </row>
    <row r="62" spans="2:159" s="139" customFormat="1" ht="10.5" x14ac:dyDescent="0.2">
      <c r="B62" s="133"/>
      <c r="C62" s="1367" t="s">
        <v>426</v>
      </c>
      <c r="D62" t="s" s="1368">
        <v>427</v>
      </c>
      <c r="E62" s="1369" t="s">
        <v>13</v>
      </c>
      <c r="F62" t="s" s="1370">
        <v>933</v>
      </c>
      <c r="G62" t="s" s="1371">
        <v>1597</v>
      </c>
      <c r="H62" s="1372" t="s">
        <v>46</v>
      </c>
      <c r="I62" t="s" s="1373">
        <v>41</v>
      </c>
      <c r="J62" t="s" s="1374">
        <v>64</v>
      </c>
      <c r="K62" t="s" s="1375">
        <v>1639</v>
      </c>
      <c r="L62" t="s" s="1376">
        <v>305</v>
      </c>
      <c r="M62" t="s" s="1377">
        <v>305</v>
      </c>
      <c r="N62" s="1378" t="s">
        <v>3873</v>
      </c>
      <c r="O62" s="1379" t="s">
        <v>3871</v>
      </c>
      <c r="P62" s="141"/>
      <c r="Q62" s="142">
        <f>SUM(R62:AQ62)</f>
      </c>
      <c r="R62" s="143"/>
      <c r="S62" s="143"/>
      <c r="T62" s="143"/>
      <c r="U62" s="143"/>
      <c r="V62" s="143"/>
      <c r="W62" s="143"/>
      <c r="X62" s="143"/>
      <c r="Y62" s="143"/>
      <c r="Z62" s="143"/>
      <c r="AA62" s="143"/>
      <c r="AB62" s="143"/>
      <c r="AC62" s="143"/>
      <c r="AD62" s="143"/>
      <c r="AE62" s="143"/>
      <c r="AF62" s="1380" t="n">
        <v>452.0</v>
      </c>
      <c r="AG62" s="143"/>
      <c r="AH62" s="143"/>
      <c r="AI62" s="143"/>
      <c r="AJ62" s="143"/>
      <c r="AK62" s="143"/>
      <c r="AL62" s="143"/>
      <c r="AM62" s="143"/>
      <c r="AN62" s="143"/>
      <c r="AO62" s="143"/>
      <c r="AP62" s="143"/>
      <c r="AQ62" s="143"/>
      <c r="AR62" s="142">
        <f>SUM(AS62:AV62)</f>
      </c>
      <c r="AS62" s="143"/>
      <c r="AT62" s="143"/>
      <c r="AU62" s="143"/>
      <c r="AV62" s="143"/>
      <c r="AW62" s="142">
        <f>SUM(AX62:BI62)</f>
      </c>
      <c r="AX62" s="143"/>
      <c r="AY62" s="143"/>
      <c r="AZ62" s="143"/>
      <c r="BA62" s="143"/>
      <c r="BB62" s="143"/>
      <c r="BC62" s="143"/>
      <c r="BD62" s="143"/>
      <c r="BE62" s="143"/>
      <c r="BF62" s="143"/>
      <c r="BG62" s="143"/>
      <c r="BH62" s="143"/>
      <c r="BI62" s="143"/>
      <c r="BJ62" s="142"/>
      <c r="BK62" s="143"/>
      <c r="BL62" s="143"/>
      <c r="BM62" s="143"/>
      <c r="BN62" s="143"/>
      <c r="BO62" s="143"/>
      <c r="BP62" s="143"/>
      <c r="BQ62" s="142"/>
      <c r="BR62" s="143"/>
      <c r="BS62" s="143"/>
      <c r="BT62" s="142">
        <f>SUM(BU62:BW62)</f>
      </c>
      <c r="BU62" s="143"/>
      <c r="BV62" s="143"/>
      <c r="BW62" s="143"/>
      <c r="BX62" s="142">
        <f>SUM(BY62:CD62)</f>
      </c>
      <c r="BY62" s="143"/>
      <c r="BZ62" s="143"/>
      <c r="CA62" s="143"/>
      <c r="CB62" s="143"/>
      <c r="CC62" s="143"/>
      <c r="CD62" s="143"/>
      <c r="CE62" s="142"/>
      <c r="CF62" s="143"/>
      <c r="CG62" s="143"/>
      <c r="CH62" s="143"/>
      <c r="CI62" s="143"/>
      <c r="CJ62" s="143"/>
      <c r="CK62" s="142">
        <f>SUM(CL62:CN62)</f>
      </c>
      <c r="CL62" s="143"/>
      <c r="CM62" s="143"/>
      <c r="CN62" s="143"/>
      <c r="CO62" s="142">
        <f>SUM(CP62:CT62)</f>
      </c>
      <c r="CP62" s="143"/>
      <c r="CQ62" s="143"/>
      <c r="CR62" s="143"/>
      <c r="CS62" s="143"/>
      <c r="CT62" s="143"/>
      <c r="CU62" s="142"/>
      <c r="CV62" s="143"/>
      <c r="CW62" s="143"/>
      <c r="CX62" s="143"/>
      <c r="CY62" s="142"/>
      <c r="CZ62" s="143"/>
      <c r="DA62" s="143"/>
      <c r="DB62" s="143"/>
      <c r="DC62" s="143"/>
      <c r="DD62" s="143"/>
      <c r="DE62" s="143"/>
      <c r="DF62" s="143"/>
      <c r="DG62" s="142">
        <f>SUM(DH62:DH62)</f>
      </c>
      <c r="DH62" s="143"/>
      <c r="DI62" s="142"/>
      <c r="DJ62" s="143"/>
      <c r="DK62" s="142">
        <f>SUM(DL62:DQ62)</f>
      </c>
      <c r="DL62" s="143"/>
      <c r="DM62" s="143"/>
      <c r="DN62" s="143"/>
      <c r="DO62" s="143"/>
      <c r="DP62" s="143"/>
      <c r="DQ62" s="143"/>
      <c r="DR62" s="143"/>
      <c r="DS62" s="143"/>
      <c r="DT62" s="143"/>
      <c r="DU62" s="143"/>
      <c r="DV62" s="143"/>
      <c r="DW62" s="143"/>
      <c r="DX62" s="142"/>
      <c r="DY62" s="143"/>
      <c r="DZ62" s="142"/>
      <c r="EA62" s="143"/>
      <c r="EB62" s="143"/>
      <c r="EC62" s="142"/>
      <c r="ED62" s="143"/>
      <c r="EF62" s="143"/>
      <c r="EG62" s="142">
        <f>SUM(EH62:EQ62)</f>
      </c>
      <c r="EH62" s="143"/>
      <c r="EI62" s="143"/>
      <c r="EJ62" s="143"/>
      <c r="EK62" s="143"/>
      <c r="EL62" s="143"/>
      <c r="EM62" s="143"/>
      <c r="EN62" s="143"/>
      <c r="EO62" s="143"/>
      <c r="EP62" s="143"/>
      <c r="EQ62" s="143"/>
      <c r="ER62" s="142">
        <f>SUM(ES62:ET62)</f>
      </c>
      <c r="ES62" s="143"/>
      <c r="ET62" s="143"/>
      <c r="EU62" s="144"/>
      <c r="FB62" s="146"/>
      <c r="FC62" s="146" cm="1">
        <f t="array" ref="FC62">ROW()-ROW(New[#Headers])</f>
        <v>56</v>
      </c>
    </row>
    <row r="63" spans="2:159" s="139" customFormat="1" ht="10.5" x14ac:dyDescent="0.2">
      <c r="B63" s="133"/>
      <c r="C63" s="1395" t="s">
        <v>1682</v>
      </c>
      <c r="D63" t="s" s="1396">
        <v>603</v>
      </c>
      <c r="E63" s="1397" t="s">
        <v>13</v>
      </c>
      <c r="F63" t="s" s="1398">
        <v>750</v>
      </c>
      <c r="G63" t="s" s="1399">
        <v>1597</v>
      </c>
      <c r="H63" s="1400" t="s">
        <v>51</v>
      </c>
      <c r="I63" t="s" s="1401">
        <v>41</v>
      </c>
      <c r="J63" t="s" s="1402">
        <v>64</v>
      </c>
      <c r="K63" t="s" s="1403">
        <v>1679</v>
      </c>
      <c r="L63" t="s" s="1404">
        <v>934</v>
      </c>
      <c r="M63" t="s" s="1405">
        <v>305</v>
      </c>
      <c r="N63" s="1406" t="s">
        <v>3867</v>
      </c>
      <c r="O63" s="1407" t="s">
        <v>3868</v>
      </c>
      <c r="P63" s="141"/>
      <c r="Q63" s="142">
        <f>SUM(R63:AQ63)</f>
      </c>
      <c r="R63" s="143"/>
      <c r="S63" s="143"/>
      <c r="T63" s="143"/>
      <c r="U63" s="143"/>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2">
        <f>SUM(AS63:AV63)</f>
      </c>
      <c r="AS63" s="143"/>
      <c r="AT63" s="143"/>
      <c r="AU63" s="143"/>
      <c r="AV63" s="143"/>
      <c r="AW63" s="142">
        <f>SUM(AX63:BI63)</f>
      </c>
      <c r="AX63" s="143"/>
      <c r="AY63" s="143"/>
      <c r="AZ63" s="143"/>
      <c r="BA63" s="143"/>
      <c r="BB63" s="143"/>
      <c r="BC63" s="143"/>
      <c r="BD63" s="143"/>
      <c r="BE63" s="143"/>
      <c r="BF63" s="143"/>
      <c r="BG63" s="143"/>
      <c r="BH63" s="143"/>
      <c r="BI63" s="143"/>
      <c r="BJ63" s="142"/>
      <c r="BK63" s="143"/>
      <c r="BL63" s="143"/>
      <c r="BM63" s="143"/>
      <c r="BN63" s="143"/>
      <c r="BO63" s="143"/>
      <c r="BP63" s="143"/>
      <c r="BQ63" s="142"/>
      <c r="BR63" s="143"/>
      <c r="BS63" s="143"/>
      <c r="BT63" s="142">
        <f>SUM(BU63:BW63)</f>
      </c>
      <c r="BU63" s="143"/>
      <c r="BV63" s="143"/>
      <c r="BW63" s="143"/>
      <c r="BX63" s="142">
        <f>SUM(BY63:CD63)</f>
      </c>
      <c r="BY63" s="143"/>
      <c r="BZ63" s="143"/>
      <c r="CA63" s="143"/>
      <c r="CB63" s="143"/>
      <c r="CC63" s="143"/>
      <c r="CD63" s="143"/>
      <c r="CE63" s="142"/>
      <c r="CF63" s="143"/>
      <c r="CG63" s="143"/>
      <c r="CH63" s="143"/>
      <c r="CI63" s="143"/>
      <c r="CJ63" s="143"/>
      <c r="CK63" s="142">
        <f>SUM(CL63:CN63)</f>
      </c>
      <c r="CL63" s="143"/>
      <c r="CM63" s="143"/>
      <c r="CN63" s="143"/>
      <c r="CO63" s="142">
        <f>SUM(CP63:CT63)</f>
      </c>
      <c r="CP63" s="143"/>
      <c r="CQ63" s="143"/>
      <c r="CR63" s="143"/>
      <c r="CS63" s="143"/>
      <c r="CT63" s="143"/>
      <c r="CU63" s="142"/>
      <c r="CV63" s="143"/>
      <c r="CW63" s="143"/>
      <c r="CX63" s="143"/>
      <c r="CY63" s="142"/>
      <c r="CZ63" s="143"/>
      <c r="DA63" s="143"/>
      <c r="DB63" s="143"/>
      <c r="DC63" s="143"/>
      <c r="DD63" s="143"/>
      <c r="DE63" s="143"/>
      <c r="DF63" s="143"/>
      <c r="DG63" s="142">
        <f>SUM(DH63:DH63)</f>
      </c>
      <c r="DH63" s="143"/>
      <c r="DI63" s="142"/>
      <c r="DJ63" s="143"/>
      <c r="DK63" s="142">
        <f>SUM(DL63:DQ63)</f>
      </c>
      <c r="DL63" s="143"/>
      <c r="DM63" s="143"/>
      <c r="DN63" s="143"/>
      <c r="DO63" s="143"/>
      <c r="DP63" s="143"/>
      <c r="DQ63" s="143"/>
      <c r="DR63" s="143"/>
      <c r="DS63" s="143"/>
      <c r="DT63" s="143"/>
      <c r="DU63" s="143"/>
      <c r="DV63" s="143"/>
      <c r="DW63" s="143"/>
      <c r="DX63" s="142"/>
      <c r="DY63" s="143"/>
      <c r="DZ63" s="142"/>
      <c r="EA63" s="143"/>
      <c r="EB63" s="143"/>
      <c r="EC63" s="142"/>
      <c r="ED63" s="143"/>
      <c r="EF63" s="143"/>
      <c r="EG63" s="142">
        <f>SUM(EH63:EQ63)</f>
      </c>
      <c r="EH63" s="143"/>
      <c r="EI63" s="143"/>
      <c r="EJ63" s="143"/>
      <c r="EK63" s="143"/>
      <c r="EL63" s="143"/>
      <c r="EM63" s="143"/>
      <c r="EN63" s="143"/>
      <c r="EO63" s="143"/>
      <c r="EP63" s="143"/>
      <c r="EQ63" s="143"/>
      <c r="ER63" s="142">
        <f>SUM(ES63:ET63)</f>
      </c>
      <c r="ES63" s="143"/>
      <c r="ET63" s="143"/>
      <c r="EU63" s="144"/>
      <c r="FB63" s="146"/>
      <c r="FC63" s="146" cm="1">
        <f t="array" ref="FC63">ROW()-ROW(New[#Headers])</f>
        <v>57</v>
      </c>
    </row>
    <row r="64" spans="2:159" s="139" customFormat="1" ht="10.5" x14ac:dyDescent="0.2">
      <c r="B64" s="133"/>
      <c r="C64" s="1425" t="s">
        <v>389</v>
      </c>
      <c r="D64" t="s" s="1426">
        <v>390</v>
      </c>
      <c r="E64" s="1427" t="s">
        <v>13</v>
      </c>
      <c r="F64" t="s" s="1428">
        <v>933</v>
      </c>
      <c r="G64" t="s" s="1429">
        <v>1597</v>
      </c>
      <c r="H64" s="1430" t="s">
        <v>46</v>
      </c>
      <c r="I64" t="s" s="1431">
        <v>22</v>
      </c>
      <c r="J64" t="s" s="1432">
        <v>64</v>
      </c>
      <c r="K64" t="s" s="1433">
        <v>1639</v>
      </c>
      <c r="L64" t="s" s="1434">
        <v>305</v>
      </c>
      <c r="M64" t="s" s="1435">
        <v>305</v>
      </c>
      <c r="N64" s="1436" t="s">
        <v>3873</v>
      </c>
      <c r="O64" s="1437" t="s">
        <v>3871</v>
      </c>
      <c r="P64" s="141"/>
      <c r="Q64" s="142">
        <f>SUM(R64:AQ64)</f>
      </c>
      <c r="R64" s="143"/>
      <c r="S64" s="143"/>
      <c r="T64" s="143"/>
      <c r="U64" s="143"/>
      <c r="V64" s="143"/>
      <c r="W64" s="143"/>
      <c r="X64" s="143"/>
      <c r="Y64" s="143"/>
      <c r="Z64" s="143"/>
      <c r="AA64" s="143"/>
      <c r="AB64" s="143"/>
      <c r="AC64" s="143"/>
      <c r="AD64" s="143"/>
      <c r="AE64" s="143"/>
      <c r="AF64" s="1438" t="n">
        <v>652.0</v>
      </c>
      <c r="AG64" s="143"/>
      <c r="AH64" s="143"/>
      <c r="AI64" s="143"/>
      <c r="AJ64" s="143"/>
      <c r="AK64" s="143"/>
      <c r="AL64" s="143"/>
      <c r="AM64" s="143"/>
      <c r="AN64" s="143"/>
      <c r="AO64" s="143"/>
      <c r="AP64" s="143"/>
      <c r="AQ64" s="143"/>
      <c r="AR64" s="142">
        <f>SUM(AS64:AV64)</f>
      </c>
      <c r="AS64" s="143"/>
      <c r="AT64" s="143"/>
      <c r="AU64" s="143"/>
      <c r="AV64" s="143"/>
      <c r="AW64" s="142">
        <f>SUM(AX64:BI64)</f>
      </c>
      <c r="AX64" s="143"/>
      <c r="AY64" s="143"/>
      <c r="AZ64" s="143"/>
      <c r="BA64" s="143"/>
      <c r="BB64" s="143"/>
      <c r="BC64" s="143"/>
      <c r="BD64" s="143"/>
      <c r="BE64" s="143"/>
      <c r="BF64" s="143"/>
      <c r="BG64" s="143"/>
      <c r="BH64" s="143"/>
      <c r="BI64" s="143"/>
      <c r="BJ64" s="142"/>
      <c r="BK64" s="143"/>
      <c r="BL64" s="143"/>
      <c r="BM64" s="143"/>
      <c r="BN64" s="143"/>
      <c r="BO64" s="143"/>
      <c r="BP64" s="143"/>
      <c r="BQ64" s="142"/>
      <c r="BR64" s="143"/>
      <c r="BS64" s="143"/>
      <c r="BT64" s="142">
        <f>SUM(BU64:BW64)</f>
      </c>
      <c r="BU64" s="143"/>
      <c r="BV64" s="143"/>
      <c r="BW64" s="143"/>
      <c r="BX64" s="142">
        <f>SUM(BY64:CD64)</f>
      </c>
      <c r="BY64" s="143"/>
      <c r="BZ64" s="143"/>
      <c r="CA64" s="143"/>
      <c r="CB64" s="143"/>
      <c r="CC64" s="143"/>
      <c r="CD64" s="143"/>
      <c r="CE64" s="142"/>
      <c r="CF64" s="143"/>
      <c r="CG64" s="143"/>
      <c r="CH64" s="143"/>
      <c r="CI64" s="143"/>
      <c r="CJ64" s="143"/>
      <c r="CK64" s="142">
        <f>SUM(CL64:CN64)</f>
      </c>
      <c r="CL64" s="143"/>
      <c r="CM64" s="143"/>
      <c r="CN64" s="143"/>
      <c r="CO64" s="142">
        <f>SUM(CP64:CT64)</f>
      </c>
      <c r="CP64" s="143"/>
      <c r="CQ64" s="143"/>
      <c r="CR64" s="143"/>
      <c r="CS64" s="143"/>
      <c r="CT64" s="143"/>
      <c r="CU64" s="142"/>
      <c r="CV64" s="143"/>
      <c r="CW64" s="143"/>
      <c r="CX64" s="143"/>
      <c r="CY64" s="142"/>
      <c r="CZ64" s="143"/>
      <c r="DA64" s="143"/>
      <c r="DB64" s="143"/>
      <c r="DC64" s="143"/>
      <c r="DD64" s="143"/>
      <c r="DE64" s="143"/>
      <c r="DF64" s="143"/>
      <c r="DG64" s="142">
        <f>SUM(DH64:DH64)</f>
      </c>
      <c r="DH64" s="143"/>
      <c r="DI64" s="142"/>
      <c r="DJ64" s="143"/>
      <c r="DK64" s="142">
        <f>SUM(DL64:DQ64)</f>
      </c>
      <c r="DL64" s="143"/>
      <c r="DM64" s="143"/>
      <c r="DN64" s="143"/>
      <c r="DO64" s="143"/>
      <c r="DP64" s="143"/>
      <c r="DQ64" s="143"/>
      <c r="DR64" s="143"/>
      <c r="DS64" s="143"/>
      <c r="DT64" s="143"/>
      <c r="DU64" s="143"/>
      <c r="DV64" s="143"/>
      <c r="DW64" s="143"/>
      <c r="DX64" s="142"/>
      <c r="DY64" s="143"/>
      <c r="DZ64" s="142"/>
      <c r="EA64" s="143"/>
      <c r="EB64" s="143"/>
      <c r="EC64" s="142"/>
      <c r="ED64" s="143"/>
      <c r="EF64" s="143"/>
      <c r="EG64" s="142">
        <f>SUM(EH64:EQ64)</f>
      </c>
      <c r="EH64" s="143"/>
      <c r="EI64" s="143"/>
      <c r="EJ64" s="143"/>
      <c r="EK64" s="143"/>
      <c r="EL64" s="143"/>
      <c r="EM64" s="143"/>
      <c r="EN64" s="143"/>
      <c r="EO64" s="143"/>
      <c r="EP64" s="143"/>
      <c r="EQ64" s="143"/>
      <c r="ER64" s="142">
        <f>SUM(ES64:ET64)</f>
      </c>
      <c r="ES64" s="143"/>
      <c r="ET64" s="143"/>
      <c r="EU64" s="144"/>
      <c r="FB64" s="146"/>
      <c r="FC64" s="146" cm="1">
        <f t="array" ref="FC64">ROW()-ROW(New[#Headers])</f>
        <v>58</v>
      </c>
    </row>
    <row r="65" spans="2:159" s="139" customFormat="1" ht="10.5" x14ac:dyDescent="0.2">
      <c r="B65" s="133"/>
      <c r="C65" s="1439" t="s">
        <v>499</v>
      </c>
      <c r="D65" t="s" s="1440">
        <v>500</v>
      </c>
      <c r="E65" s="1441" t="s">
        <v>13</v>
      </c>
      <c r="F65" t="s" s="1442">
        <v>933</v>
      </c>
      <c r="G65" t="s" s="1443">
        <v>1597</v>
      </c>
      <c r="H65" s="1444" t="s">
        <v>46</v>
      </c>
      <c r="I65" t="s" s="1445">
        <v>41</v>
      </c>
      <c r="J65" t="s" s="1446">
        <v>64</v>
      </c>
      <c r="K65" t="s" s="1447">
        <v>1639</v>
      </c>
      <c r="L65" t="s" s="1448">
        <v>305</v>
      </c>
      <c r="M65" t="s" s="1449">
        <v>305</v>
      </c>
      <c r="N65" s="1450" t="s">
        <v>3870</v>
      </c>
      <c r="O65" s="1451" t="s">
        <v>3871</v>
      </c>
      <c r="P65" s="141"/>
      <c r="Q65" s="142">
        <f>SUM(R65:AQ65)</f>
      </c>
      <c r="R65" s="143"/>
      <c r="S65" s="143"/>
      <c r="T65" s="143"/>
      <c r="U65" s="143"/>
      <c r="V65" s="143"/>
      <c r="W65" s="143"/>
      <c r="X65" s="143"/>
      <c r="Y65" s="143"/>
      <c r="Z65" s="143"/>
      <c r="AA65" s="143"/>
      <c r="AB65" s="143"/>
      <c r="AC65" s="143"/>
      <c r="AD65" s="143"/>
      <c r="AE65" s="143"/>
      <c r="AF65" s="1452" t="n">
        <v>200.0</v>
      </c>
      <c r="AG65" s="143"/>
      <c r="AH65" s="143"/>
      <c r="AI65" s="143"/>
      <c r="AJ65" s="143"/>
      <c r="AK65" s="143"/>
      <c r="AL65" s="143"/>
      <c r="AM65" s="143"/>
      <c r="AN65" s="143"/>
      <c r="AO65" s="143"/>
      <c r="AP65" s="143"/>
      <c r="AQ65" s="143"/>
      <c r="AR65" s="142">
        <f>SUM(AS65:AV65)</f>
      </c>
      <c r="AS65" s="143"/>
      <c r="AT65" s="143"/>
      <c r="AU65" s="143"/>
      <c r="AV65" s="143"/>
      <c r="AW65" s="142">
        <f>SUM(AX65:BI65)</f>
      </c>
      <c r="AX65" s="143"/>
      <c r="AY65" s="143"/>
      <c r="AZ65" s="143"/>
      <c r="BA65" s="143"/>
      <c r="BB65" s="143"/>
      <c r="BC65" s="143"/>
      <c r="BD65" s="143"/>
      <c r="BE65" s="143"/>
      <c r="BF65" s="143"/>
      <c r="BG65" s="143"/>
      <c r="BH65" s="143"/>
      <c r="BI65" s="143"/>
      <c r="BJ65" s="142"/>
      <c r="BK65" s="143"/>
      <c r="BL65" s="143"/>
      <c r="BM65" s="143"/>
      <c r="BN65" s="143"/>
      <c r="BO65" s="143"/>
      <c r="BP65" s="143"/>
      <c r="BQ65" s="142"/>
      <c r="BR65" s="143"/>
      <c r="BS65" s="143"/>
      <c r="BT65" s="142">
        <f>SUM(BU65:BW65)</f>
      </c>
      <c r="BU65" s="143"/>
      <c r="BV65" s="143"/>
      <c r="BW65" s="143"/>
      <c r="BX65" s="142">
        <f>SUM(BY65:CD65)</f>
      </c>
      <c r="BY65" s="143"/>
      <c r="BZ65" s="143"/>
      <c r="CA65" s="143"/>
      <c r="CB65" s="143"/>
      <c r="CC65" s="143"/>
      <c r="CD65" s="143"/>
      <c r="CE65" s="142"/>
      <c r="CF65" s="143"/>
      <c r="CG65" s="143"/>
      <c r="CH65" s="143"/>
      <c r="CI65" s="143"/>
      <c r="CJ65" s="143"/>
      <c r="CK65" s="142">
        <f>SUM(CL65:CN65)</f>
      </c>
      <c r="CL65" s="143"/>
      <c r="CM65" s="143"/>
      <c r="CN65" s="143"/>
      <c r="CO65" s="142">
        <f>SUM(CP65:CT65)</f>
      </c>
      <c r="CP65" s="143"/>
      <c r="CQ65" s="143"/>
      <c r="CR65" s="143"/>
      <c r="CS65" s="143"/>
      <c r="CT65" s="143"/>
      <c r="CU65" s="142"/>
      <c r="CV65" s="143"/>
      <c r="CW65" s="143"/>
      <c r="CX65" s="143"/>
      <c r="CY65" s="142"/>
      <c r="CZ65" s="143"/>
      <c r="DA65" s="143"/>
      <c r="DB65" s="143"/>
      <c r="DC65" s="143"/>
      <c r="DD65" s="143"/>
      <c r="DE65" s="143"/>
      <c r="DF65" s="143"/>
      <c r="DG65" s="142">
        <f>SUM(DH65:DH65)</f>
      </c>
      <c r="DH65" s="143"/>
      <c r="DI65" s="142"/>
      <c r="DJ65" s="143"/>
      <c r="DK65" s="142">
        <f>SUM(DL65:DQ65)</f>
      </c>
      <c r="DL65" s="143"/>
      <c r="DM65" s="143"/>
      <c r="DN65" s="143"/>
      <c r="DO65" s="143"/>
      <c r="DP65" s="143"/>
      <c r="DQ65" s="143"/>
      <c r="DR65" s="143"/>
      <c r="DS65" s="143"/>
      <c r="DT65" s="143"/>
      <c r="DU65" s="143"/>
      <c r="DV65" s="143"/>
      <c r="DW65" s="143"/>
      <c r="DX65" s="142"/>
      <c r="DY65" s="143"/>
      <c r="DZ65" s="142"/>
      <c r="EA65" s="143"/>
      <c r="EB65" s="143"/>
      <c r="EC65" s="142"/>
      <c r="ED65" s="143"/>
      <c r="EF65" s="143"/>
      <c r="EG65" s="142">
        <f>SUM(EH65:EQ65)</f>
      </c>
      <c r="EH65" s="143"/>
      <c r="EI65" s="143"/>
      <c r="EJ65" s="143"/>
      <c r="EK65" s="143"/>
      <c r="EL65" s="143"/>
      <c r="EM65" s="143"/>
      <c r="EN65" s="143"/>
      <c r="EO65" s="143"/>
      <c r="EP65" s="143"/>
      <c r="EQ65" s="143"/>
      <c r="ER65" s="142">
        <f>SUM(ES65:ET65)</f>
      </c>
      <c r="ES65" s="143"/>
      <c r="ET65" s="143"/>
      <c r="EU65" s="144"/>
      <c r="FB65" s="146"/>
      <c r="FC65" s="146" cm="1">
        <f t="array" ref="FC65">ROW()-ROW(New[#Headers])</f>
        <v>59</v>
      </c>
    </row>
    <row r="66" spans="2:159" s="139" customFormat="1" ht="10.5" x14ac:dyDescent="0.2">
      <c r="B66" s="133"/>
      <c r="C66" s="1467" t="s">
        <v>442</v>
      </c>
      <c r="D66" t="s" s="1468">
        <v>443</v>
      </c>
      <c r="E66" s="1469" t="s">
        <v>35</v>
      </c>
      <c r="F66" t="s" s="1470">
        <v>766</v>
      </c>
      <c r="G66" t="s" s="1471">
        <v>1597</v>
      </c>
      <c r="H66" s="1472" t="s">
        <v>49</v>
      </c>
      <c r="I66" t="s" s="1473">
        <v>41</v>
      </c>
      <c r="J66" t="s" s="1474">
        <v>68</v>
      </c>
      <c r="K66" t="s" s="1475">
        <v>1571</v>
      </c>
      <c r="L66" t="s" s="1476">
        <v>767</v>
      </c>
      <c r="M66" t="s" s="1477">
        <v>305</v>
      </c>
      <c r="N66" s="1478" t="s">
        <v>3873</v>
      </c>
      <c r="O66" s="1479" t="s">
        <v>3871</v>
      </c>
      <c r="P66" s="141"/>
      <c r="Q66" s="142">
        <f>SUM(R66:AQ66)</f>
      </c>
      <c r="R66" s="143"/>
      <c r="S66" s="143"/>
      <c r="T66" s="143"/>
      <c r="U66" s="143"/>
      <c r="V66" s="143"/>
      <c r="W66" s="143"/>
      <c r="X66" s="143"/>
      <c r="Y66" s="143"/>
      <c r="Z66" s="143"/>
      <c r="AA66" s="143"/>
      <c r="AB66" s="143"/>
      <c r="AC66" s="143"/>
      <c r="AD66" s="143"/>
      <c r="AE66" s="143"/>
      <c r="AF66" s="143"/>
      <c r="AG66" s="1480" t="n">
        <v>862.5</v>
      </c>
      <c r="AH66" s="143"/>
      <c r="AI66" s="143"/>
      <c r="AJ66" s="143"/>
      <c r="AK66" s="143"/>
      <c r="AL66" s="143"/>
      <c r="AM66" s="143"/>
      <c r="AN66" s="143"/>
      <c r="AO66" s="143"/>
      <c r="AP66" s="143"/>
      <c r="AQ66" s="143"/>
      <c r="AR66" s="142">
        <f>SUM(AS66:AV66)</f>
      </c>
      <c r="AS66" s="143"/>
      <c r="AT66" s="143"/>
      <c r="AU66" s="143"/>
      <c r="AV66" s="143"/>
      <c r="AW66" s="142">
        <f>SUM(AX66:BI66)</f>
      </c>
      <c r="AX66" s="143"/>
      <c r="AY66" s="143"/>
      <c r="AZ66" s="143"/>
      <c r="BA66" s="143"/>
      <c r="BB66" s="143"/>
      <c r="BC66" s="143"/>
      <c r="BD66" s="143"/>
      <c r="BE66" s="143"/>
      <c r="BF66" s="143"/>
      <c r="BG66" s="143"/>
      <c r="BH66" s="143"/>
      <c r="BI66" s="143"/>
      <c r="BJ66" s="142"/>
      <c r="BK66" s="143"/>
      <c r="BL66" s="143"/>
      <c r="BM66" s="143"/>
      <c r="BN66" s="143"/>
      <c r="BO66" s="143"/>
      <c r="BP66" s="143"/>
      <c r="BQ66" s="142"/>
      <c r="BR66" s="143"/>
      <c r="BS66" s="143"/>
      <c r="BT66" s="142">
        <f>SUM(BU66:BW66)</f>
      </c>
      <c r="BU66" s="143"/>
      <c r="BV66" s="143"/>
      <c r="BW66" s="143"/>
      <c r="BX66" s="142">
        <f>SUM(BY66:CD66)</f>
      </c>
      <c r="BY66" s="143"/>
      <c r="BZ66" s="143"/>
      <c r="CA66" s="143"/>
      <c r="CB66" s="143"/>
      <c r="CC66" s="143"/>
      <c r="CD66" s="143"/>
      <c r="CE66" s="142"/>
      <c r="CF66" s="143"/>
      <c r="CG66" s="143"/>
      <c r="CH66" s="143"/>
      <c r="CI66" s="143"/>
      <c r="CJ66" s="143"/>
      <c r="CK66" s="142">
        <f>SUM(CL66:CN66)</f>
      </c>
      <c r="CL66" s="143"/>
      <c r="CM66" s="143"/>
      <c r="CN66" s="143"/>
      <c r="CO66" s="142">
        <f>SUM(CP66:CT66)</f>
      </c>
      <c r="CP66" s="143"/>
      <c r="CQ66" s="143"/>
      <c r="CR66" s="143"/>
      <c r="CS66" s="143"/>
      <c r="CT66" s="143"/>
      <c r="CU66" s="142"/>
      <c r="CV66" s="143"/>
      <c r="CW66" s="143"/>
      <c r="CX66" s="143"/>
      <c r="CY66" s="142"/>
      <c r="CZ66" s="143"/>
      <c r="DA66" s="143"/>
      <c r="DB66" s="143"/>
      <c r="DC66" s="143"/>
      <c r="DD66" s="143"/>
      <c r="DE66" s="143"/>
      <c r="DF66" s="143"/>
      <c r="DG66" s="142">
        <f>SUM(DH66:DH66)</f>
      </c>
      <c r="DH66" s="143"/>
      <c r="DI66" s="142"/>
      <c r="DJ66" s="143"/>
      <c r="DK66" s="142">
        <f>SUM(DL66:DQ66)</f>
      </c>
      <c r="DL66" s="143"/>
      <c r="DM66" s="143"/>
      <c r="DN66" s="143"/>
      <c r="DO66" s="143"/>
      <c r="DP66" s="143"/>
      <c r="DQ66" s="143"/>
      <c r="DR66" s="143"/>
      <c r="DS66" s="143"/>
      <c r="DT66" s="143"/>
      <c r="DU66" s="143"/>
      <c r="DV66" s="143"/>
      <c r="DW66" s="143"/>
      <c r="DX66" s="142"/>
      <c r="DY66" s="143"/>
      <c r="DZ66" s="142"/>
      <c r="EA66" s="143"/>
      <c r="EB66" s="143"/>
      <c r="EC66" s="142"/>
      <c r="ED66" s="143"/>
      <c r="EF66" s="143"/>
      <c r="EG66" s="142">
        <f>SUM(EH66:EQ66)</f>
      </c>
      <c r="EH66" s="143"/>
      <c r="EI66" s="143"/>
      <c r="EJ66" s="143"/>
      <c r="EK66" s="143"/>
      <c r="EL66" s="143"/>
      <c r="EM66" s="143"/>
      <c r="EN66" s="143"/>
      <c r="EO66" s="143"/>
      <c r="EP66" s="143"/>
      <c r="EQ66" s="143"/>
      <c r="ER66" s="142">
        <f>SUM(ES66:ET66)</f>
      </c>
      <c r="ES66" s="143"/>
      <c r="ET66" s="143"/>
      <c r="EU66" s="144"/>
      <c r="FB66" s="146"/>
      <c r="FC66" s="146" cm="1">
        <f t="array" ref="FC66">ROW()-ROW(New[#Headers])</f>
        <v>60</v>
      </c>
    </row>
    <row r="67" spans="2:159" s="139" customFormat="1" ht="10.5" x14ac:dyDescent="0.2">
      <c r="B67" s="133"/>
      <c r="C67" s="1499" t="s">
        <v>463</v>
      </c>
      <c r="D67" t="s" s="1500">
        <v>464</v>
      </c>
      <c r="E67" s="1501" t="s">
        <v>13</v>
      </c>
      <c r="F67" t="s" s="1502">
        <v>1109</v>
      </c>
      <c r="G67" t="s" s="1503">
        <v>305</v>
      </c>
      <c r="H67" s="1504" t="s">
        <v>53</v>
      </c>
      <c r="I67" t="s" s="1505">
        <v>41</v>
      </c>
      <c r="J67" t="s" s="1506">
        <v>68</v>
      </c>
      <c r="K67" t="s" s="1507">
        <v>1659</v>
      </c>
      <c r="L67" t="s" s="1508">
        <v>751</v>
      </c>
      <c r="M67" t="s" s="1509">
        <v>305</v>
      </c>
      <c r="N67" s="1510" t="s">
        <v>3873</v>
      </c>
      <c r="O67" s="1511" t="s">
        <v>3871</v>
      </c>
      <c r="P67" s="141"/>
      <c r="Q67" s="142">
        <f>SUM(R67:AQ67)</f>
      </c>
      <c r="R67" s="143"/>
      <c r="S67" s="143"/>
      <c r="T67" s="143"/>
      <c r="U67" s="143"/>
      <c r="V67" s="143"/>
      <c r="W67" s="143"/>
      <c r="X67" s="143"/>
      <c r="Y67" s="143"/>
      <c r="Z67" s="143"/>
      <c r="AA67" s="143"/>
      <c r="AB67" s="143"/>
      <c r="AC67" s="143"/>
      <c r="AD67" s="1512" t="n">
        <v>400.0</v>
      </c>
      <c r="AE67" s="143"/>
      <c r="AF67" s="143"/>
      <c r="AG67" s="143"/>
      <c r="AH67" s="143"/>
      <c r="AI67" s="143"/>
      <c r="AJ67" s="143"/>
      <c r="AK67" s="143"/>
      <c r="AL67" s="143"/>
      <c r="AM67" s="143"/>
      <c r="AN67" s="143"/>
      <c r="AO67" s="143"/>
      <c r="AP67" s="143"/>
      <c r="AQ67" s="143"/>
      <c r="AR67" s="142">
        <f>SUM(AS67:AV67)</f>
      </c>
      <c r="AS67" s="143"/>
      <c r="AT67" s="143"/>
      <c r="AU67" s="143"/>
      <c r="AV67" s="143"/>
      <c r="AW67" s="142">
        <f>SUM(AX67:BI67)</f>
      </c>
      <c r="AX67" s="143"/>
      <c r="AY67" s="143"/>
      <c r="AZ67" s="143"/>
      <c r="BA67" s="143"/>
      <c r="BB67" s="143"/>
      <c r="BC67" s="143"/>
      <c r="BD67" s="143"/>
      <c r="BE67" s="143"/>
      <c r="BF67" s="143"/>
      <c r="BG67" s="143"/>
      <c r="BH67" s="143"/>
      <c r="BI67" s="143"/>
      <c r="BJ67" s="142"/>
      <c r="BK67" s="143"/>
      <c r="BL67" s="143"/>
      <c r="BM67" s="143"/>
      <c r="BN67" s="143"/>
      <c r="BO67" s="143"/>
      <c r="BP67" s="143"/>
      <c r="BQ67" s="142"/>
      <c r="BR67" s="143"/>
      <c r="BS67" s="143"/>
      <c r="BT67" s="142">
        <f>SUM(BU67:BW67)</f>
      </c>
      <c r="BU67" s="143"/>
      <c r="BV67" s="143"/>
      <c r="BW67" s="143"/>
      <c r="BX67" s="142">
        <f>SUM(BY67:CD67)</f>
      </c>
      <c r="BY67" s="143"/>
      <c r="BZ67" s="143"/>
      <c r="CA67" s="143"/>
      <c r="CB67" s="143"/>
      <c r="CC67" s="143"/>
      <c r="CD67" s="143"/>
      <c r="CE67" s="142"/>
      <c r="CF67" s="143"/>
      <c r="CG67" s="143"/>
      <c r="CH67" s="143"/>
      <c r="CI67" s="143"/>
      <c r="CJ67" s="143"/>
      <c r="CK67" s="142">
        <f>SUM(CL67:CN67)</f>
      </c>
      <c r="CL67" s="143"/>
      <c r="CM67" s="143"/>
      <c r="CN67" s="143"/>
      <c r="CO67" s="142">
        <f>SUM(CP67:CT67)</f>
      </c>
      <c r="CP67" s="143"/>
      <c r="CQ67" s="143"/>
      <c r="CR67" s="143"/>
      <c r="CS67" s="143"/>
      <c r="CT67" s="143"/>
      <c r="CU67" s="142"/>
      <c r="CV67" s="143"/>
      <c r="CW67" s="143"/>
      <c r="CX67" s="143"/>
      <c r="CY67" s="142"/>
      <c r="CZ67" s="143"/>
      <c r="DA67" s="143"/>
      <c r="DB67" s="143"/>
      <c r="DC67" s="143"/>
      <c r="DD67" s="143"/>
      <c r="DE67" s="143"/>
      <c r="DF67" s="143"/>
      <c r="DG67" s="142">
        <f>SUM(DH67:DH67)</f>
      </c>
      <c r="DH67" s="143"/>
      <c r="DI67" s="142"/>
      <c r="DJ67" s="143"/>
      <c r="DK67" s="142">
        <f>SUM(DL67:DQ67)</f>
      </c>
      <c r="DL67" s="143"/>
      <c r="DM67" s="143"/>
      <c r="DN67" s="143"/>
      <c r="DO67" s="143"/>
      <c r="DP67" s="143"/>
      <c r="DQ67" s="143"/>
      <c r="DR67" s="143"/>
      <c r="DS67" s="143"/>
      <c r="DT67" s="143"/>
      <c r="DU67" s="143"/>
      <c r="DV67" s="143"/>
      <c r="DW67" s="143"/>
      <c r="DX67" s="142"/>
      <c r="DY67" s="143"/>
      <c r="DZ67" s="142"/>
      <c r="EA67" s="143"/>
      <c r="EB67" s="143"/>
      <c r="EC67" s="142"/>
      <c r="ED67" s="143"/>
      <c r="EF67" s="143"/>
      <c r="EG67" s="142">
        <f>SUM(EH67:EQ67)</f>
      </c>
      <c r="EH67" s="143"/>
      <c r="EI67" s="143"/>
      <c r="EJ67" s="143"/>
      <c r="EK67" s="143"/>
      <c r="EL67" s="143"/>
      <c r="EM67" s="143"/>
      <c r="EN67" s="143"/>
      <c r="EO67" s="143"/>
      <c r="EP67" s="143"/>
      <c r="EQ67" s="143"/>
      <c r="ER67" s="142">
        <f>SUM(ES67:ET67)</f>
      </c>
      <c r="ES67" s="143"/>
      <c r="ET67" s="143"/>
      <c r="EU67" s="144"/>
      <c r="FB67" s="146"/>
      <c r="FC67" s="146" cm="1">
        <f t="array" ref="FC67">ROW()-ROW(New[#Headers])</f>
        <v>61</v>
      </c>
    </row>
    <row r="68" spans="2:159" s="139" customFormat="1" ht="10.5" x14ac:dyDescent="0.2">
      <c r="B68" s="133"/>
      <c r="C68" s="1513" t="s">
        <v>3815</v>
      </c>
      <c r="D68" t="s" s="1514">
        <v>3831</v>
      </c>
      <c r="E68" s="1515" t="s">
        <v>13</v>
      </c>
      <c r="F68" t="s" s="1516">
        <v>750</v>
      </c>
      <c r="G68" t="s" s="1517">
        <v>345</v>
      </c>
      <c r="H68" s="1518" t="s">
        <v>46</v>
      </c>
      <c r="I68" t="s" s="1519">
        <v>22</v>
      </c>
      <c r="J68" t="s" s="1520">
        <v>64</v>
      </c>
      <c r="K68" t="s" s="1521">
        <v>1617</v>
      </c>
      <c r="L68" t="s" s="1522">
        <v>305</v>
      </c>
      <c r="M68" t="s" s="1523">
        <v>1615</v>
      </c>
      <c r="N68" s="1524" t="s">
        <v>3873</v>
      </c>
      <c r="O68" s="1525" t="s">
        <v>3871</v>
      </c>
      <c r="P68" s="141"/>
      <c r="Q68" s="142">
        <f>SUM(R68:AQ68)</f>
      </c>
      <c r="R68" s="143"/>
      <c r="S68" s="143"/>
      <c r="T68" s="1526" t="n">
        <v>1220.0</v>
      </c>
      <c r="U68" s="143"/>
      <c r="V68" s="143"/>
      <c r="W68" s="143"/>
      <c r="X68" s="143"/>
      <c r="Y68" s="143"/>
      <c r="Z68" s="143"/>
      <c r="AA68" s="143"/>
      <c r="AB68" s="143"/>
      <c r="AC68" s="143"/>
      <c r="AD68" s="143"/>
      <c r="AE68" s="143"/>
      <c r="AF68" s="143"/>
      <c r="AG68" s="143"/>
      <c r="AH68" s="143"/>
      <c r="AI68" s="143"/>
      <c r="AJ68" s="143"/>
      <c r="AK68" s="143"/>
      <c r="AL68" s="143"/>
      <c r="AM68" s="143"/>
      <c r="AN68" s="1527" t="n">
        <v>392.0</v>
      </c>
      <c r="AO68" s="143"/>
      <c r="AP68" s="143"/>
      <c r="AQ68" s="143"/>
      <c r="AR68" s="142">
        <f>SUM(AS68:AV68)</f>
      </c>
      <c r="AS68" s="1528" t="n">
        <v>320.0</v>
      </c>
      <c r="AT68" s="143"/>
      <c r="AU68" s="143"/>
      <c r="AV68" s="143"/>
      <c r="AW68" s="142">
        <f>SUM(AX68:BI68)</f>
      </c>
      <c r="AX68" s="1529" t="n">
        <v>150.0</v>
      </c>
      <c r="AY68" s="143"/>
      <c r="AZ68" s="143"/>
      <c r="BA68" s="143"/>
      <c r="BB68" s="143"/>
      <c r="BC68" s="143"/>
      <c r="BD68" s="143"/>
      <c r="BE68" s="143"/>
      <c r="BF68" s="143"/>
      <c r="BG68" s="143"/>
      <c r="BH68" s="143"/>
      <c r="BI68" s="143"/>
      <c r="BJ68" s="142"/>
      <c r="BK68" s="143"/>
      <c r="BL68" s="143"/>
      <c r="BM68" s="143"/>
      <c r="BN68" s="143"/>
      <c r="BO68" s="143"/>
      <c r="BP68" s="143"/>
      <c r="BQ68" s="142"/>
      <c r="BR68" s="143"/>
      <c r="BS68" s="143"/>
      <c r="BT68" s="142">
        <f>SUM(BU68:BW68)</f>
      </c>
      <c r="BU68" s="143"/>
      <c r="BV68" s="143"/>
      <c r="BW68" s="143"/>
      <c r="BX68" s="142">
        <f>SUM(BY68:CD68)</f>
      </c>
      <c r="BY68" s="143"/>
      <c r="BZ68" s="143"/>
      <c r="CA68" s="143"/>
      <c r="CB68" s="143"/>
      <c r="CC68" s="143"/>
      <c r="CD68" s="143"/>
      <c r="CE68" s="142"/>
      <c r="CF68" s="143"/>
      <c r="CG68" s="143"/>
      <c r="CH68" s="143"/>
      <c r="CI68" s="143"/>
      <c r="CJ68" s="143"/>
      <c r="CK68" s="142">
        <f>SUM(CL68:CN68)</f>
      </c>
      <c r="CL68" s="143"/>
      <c r="CM68" s="143"/>
      <c r="CN68" s="143"/>
      <c r="CO68" s="142">
        <f>SUM(CP68:CT68)</f>
      </c>
      <c r="CP68" s="143"/>
      <c r="CQ68" s="143"/>
      <c r="CR68" s="143"/>
      <c r="CS68" s="143"/>
      <c r="CT68" s="143"/>
      <c r="CU68" s="142"/>
      <c r="CV68" s="143"/>
      <c r="CW68" s="143"/>
      <c r="CX68" s="143"/>
      <c r="CY68" s="142"/>
      <c r="CZ68" s="143"/>
      <c r="DA68" s="143"/>
      <c r="DB68" s="143"/>
      <c r="DC68" s="143"/>
      <c r="DD68" s="143"/>
      <c r="DE68" s="143"/>
      <c r="DF68" s="143"/>
      <c r="DG68" s="142">
        <f>SUM(DH68:DH68)</f>
      </c>
      <c r="DH68" s="1530" t="n">
        <v>50.0</v>
      </c>
      <c r="DI68" s="142"/>
      <c r="DJ68" s="143"/>
      <c r="DK68" s="142">
        <f>SUM(DL68:DQ68)</f>
      </c>
      <c r="DL68" s="143"/>
      <c r="DM68" s="143"/>
      <c r="DN68" s="143"/>
      <c r="DO68" s="143"/>
      <c r="DP68" s="143"/>
      <c r="DQ68" s="143"/>
      <c r="DR68" s="143"/>
      <c r="DS68" s="143"/>
      <c r="DT68" s="143"/>
      <c r="DU68" s="143"/>
      <c r="DV68" s="143"/>
      <c r="DW68" s="143"/>
      <c r="DX68" s="142"/>
      <c r="DY68" s="143"/>
      <c r="DZ68" s="142"/>
      <c r="EA68" s="143"/>
      <c r="EB68" s="143"/>
      <c r="EC68" s="142"/>
      <c r="ED68" s="143"/>
      <c r="EF68" s="143"/>
      <c r="EG68" s="142">
        <f>SUM(EH68:EQ68)</f>
      </c>
      <c r="EH68" s="143"/>
      <c r="EI68" s="143"/>
      <c r="EJ68" s="143"/>
      <c r="EK68" s="143"/>
      <c r="EL68" s="143"/>
      <c r="EM68" s="143"/>
      <c r="EN68" s="143"/>
      <c r="EO68" s="143"/>
      <c r="EP68" s="143"/>
      <c r="EQ68" s="143"/>
      <c r="ER68" s="142">
        <f>SUM(ES68:ET68)</f>
      </c>
      <c r="ES68" s="143"/>
      <c r="ET68" s="143"/>
      <c r="EU68" s="144"/>
      <c r="FB68" s="146"/>
      <c r="FC68" s="146" cm="1">
        <f t="array" ref="FC68">ROW()-ROW(New[#Headers])</f>
        <v>62</v>
      </c>
    </row>
    <row r="69" spans="2:159" s="139" customFormat="1" ht="10.5" x14ac:dyDescent="0.2">
      <c r="B69" s="133"/>
      <c r="C69" s="1545" t="s">
        <v>323</v>
      </c>
      <c r="D69" t="s" s="1546">
        <v>324</v>
      </c>
      <c r="E69" s="1547" t="s">
        <v>13</v>
      </c>
      <c r="F69" t="s" s="1548">
        <v>984</v>
      </c>
      <c r="G69" t="s" s="1549">
        <v>1597</v>
      </c>
      <c r="H69" s="1550" t="s">
        <v>46</v>
      </c>
      <c r="I69" t="s" s="1551">
        <v>22</v>
      </c>
      <c r="J69" t="s" s="1552">
        <v>64</v>
      </c>
      <c r="K69" t="s" s="1553">
        <v>985</v>
      </c>
      <c r="L69" t="s" s="1554">
        <v>934</v>
      </c>
      <c r="M69" t="s" s="1555">
        <v>305</v>
      </c>
      <c r="N69" s="1556" t="s">
        <v>3873</v>
      </c>
      <c r="O69" s="1557" t="s">
        <v>3874</v>
      </c>
      <c r="P69" s="141"/>
      <c r="Q69" s="142">
        <f>SUM(R69:AQ69)</f>
      </c>
      <c r="R69" s="143"/>
      <c r="S69" s="1558" t="n">
        <v>550.0</v>
      </c>
      <c r="T69" s="143"/>
      <c r="U69" s="143"/>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2">
        <f>SUM(AS69:AV69)</f>
      </c>
      <c r="AS69" s="143"/>
      <c r="AT69" s="143"/>
      <c r="AU69" s="143"/>
      <c r="AV69" s="143"/>
      <c r="AW69" s="142">
        <f>SUM(AX69:BI69)</f>
      </c>
      <c r="AX69" s="143"/>
      <c r="AY69" s="143"/>
      <c r="AZ69" s="143"/>
      <c r="BA69" s="143"/>
      <c r="BB69" s="143"/>
      <c r="BC69" s="143"/>
      <c r="BD69" s="143"/>
      <c r="BE69" s="143"/>
      <c r="BF69" s="143"/>
      <c r="BG69" s="143"/>
      <c r="BH69" s="143"/>
      <c r="BI69" s="143"/>
      <c r="BJ69" s="142"/>
      <c r="BK69" s="143"/>
      <c r="BL69" s="143"/>
      <c r="BM69" s="143"/>
      <c r="BN69" s="143"/>
      <c r="BO69" s="143"/>
      <c r="BP69" s="143"/>
      <c r="BQ69" s="142"/>
      <c r="BR69" s="143"/>
      <c r="BS69" s="143"/>
      <c r="BT69" s="142">
        <f>SUM(BU69:BW69)</f>
      </c>
      <c r="BU69" s="143"/>
      <c r="BV69" s="143"/>
      <c r="BW69" s="143"/>
      <c r="BX69" s="142">
        <f>SUM(BY69:CD69)</f>
      </c>
      <c r="BY69" s="143"/>
      <c r="BZ69" s="143"/>
      <c r="CA69" s="143"/>
      <c r="CB69" s="143"/>
      <c r="CC69" s="143"/>
      <c r="CD69" s="143"/>
      <c r="CE69" s="142"/>
      <c r="CF69" s="143"/>
      <c r="CG69" s="143"/>
      <c r="CH69" s="143"/>
      <c r="CI69" s="143"/>
      <c r="CJ69" s="143"/>
      <c r="CK69" s="142">
        <f>SUM(CL69:CN69)</f>
      </c>
      <c r="CL69" s="143"/>
      <c r="CM69" s="143"/>
      <c r="CN69" s="143"/>
      <c r="CO69" s="142">
        <f>SUM(CP69:CT69)</f>
      </c>
      <c r="CP69" s="143"/>
      <c r="CQ69" s="143"/>
      <c r="CR69" s="143"/>
      <c r="CS69" s="143"/>
      <c r="CT69" s="143"/>
      <c r="CU69" s="142"/>
      <c r="CV69" s="143"/>
      <c r="CW69" s="143"/>
      <c r="CX69" s="143"/>
      <c r="CY69" s="142"/>
      <c r="CZ69" s="143"/>
      <c r="DA69" s="143"/>
      <c r="DB69" s="143"/>
      <c r="DC69" s="143"/>
      <c r="DD69" s="143"/>
      <c r="DE69" s="143"/>
      <c r="DF69" s="143"/>
      <c r="DG69" s="142">
        <f>SUM(DH69:DH69)</f>
      </c>
      <c r="DH69" s="143"/>
      <c r="DI69" s="142"/>
      <c r="DJ69" s="143"/>
      <c r="DK69" s="142">
        <f>SUM(DL69:DQ69)</f>
      </c>
      <c r="DL69" s="143"/>
      <c r="DM69" s="143"/>
      <c r="DN69" s="143"/>
      <c r="DO69" s="143"/>
      <c r="DP69" s="143"/>
      <c r="DQ69" s="143"/>
      <c r="DR69" s="143"/>
      <c r="DS69" s="143"/>
      <c r="DT69" s="143"/>
      <c r="DU69" s="143"/>
      <c r="DV69" s="143"/>
      <c r="DW69" s="143"/>
      <c r="DX69" s="142"/>
      <c r="DY69" s="143"/>
      <c r="DZ69" s="142"/>
      <c r="EA69" s="143"/>
      <c r="EB69" s="143"/>
      <c r="EC69" s="142"/>
      <c r="ED69" s="143"/>
      <c r="EF69" s="143"/>
      <c r="EG69" s="142">
        <f>SUM(EH69:EQ69)</f>
      </c>
      <c r="EH69" s="143"/>
      <c r="EI69" s="143"/>
      <c r="EJ69" s="143"/>
      <c r="EK69" s="143"/>
      <c r="EL69" s="143"/>
      <c r="EM69" s="143"/>
      <c r="EN69" s="143"/>
      <c r="EO69" s="143"/>
      <c r="EP69" s="143"/>
      <c r="EQ69" s="143"/>
      <c r="ER69" s="142">
        <f>SUM(ES69:ET69)</f>
      </c>
      <c r="ES69" s="143"/>
      <c r="ET69" s="143"/>
      <c r="EU69" s="144"/>
      <c r="FB69" s="146"/>
      <c r="FC69" s="146" cm="1">
        <f t="array" ref="FC69">ROW()-ROW(New[#Headers])</f>
        <v>63</v>
      </c>
    </row>
    <row r="70" spans="2:159" s="139" customFormat="1" ht="10.5" x14ac:dyDescent="0.2">
      <c r="B70" s="133"/>
      <c r="C70" s="1559" t="s">
        <v>539</v>
      </c>
      <c r="D70" t="s" s="1560">
        <v>540</v>
      </c>
      <c r="E70" s="1561" t="s">
        <v>13</v>
      </c>
      <c r="F70" t="s" s="1562">
        <v>810</v>
      </c>
      <c r="G70" t="s" s="1563">
        <v>1597</v>
      </c>
      <c r="H70" s="1564" t="s">
        <v>46</v>
      </c>
      <c r="I70" t="s" s="1565">
        <v>41</v>
      </c>
      <c r="J70" t="s" s="1566">
        <v>71</v>
      </c>
      <c r="K70" t="s" s="1567">
        <v>811</v>
      </c>
      <c r="L70" t="s" s="1568">
        <v>779</v>
      </c>
      <c r="M70" t="s" s="1569">
        <v>305</v>
      </c>
      <c r="N70" s="1570" t="s">
        <v>3873</v>
      </c>
      <c r="O70" s="1571" t="s">
        <v>3871</v>
      </c>
      <c r="P70" s="141"/>
      <c r="Q70" s="142">
        <f>SUM(R70:AQ70)</f>
      </c>
      <c r="R70" s="143"/>
      <c r="S70" s="143"/>
      <c r="T70" s="143"/>
      <c r="U70" s="143"/>
      <c r="V70" s="143"/>
      <c r="W70" s="1572" t="n">
        <v>50.0</v>
      </c>
      <c r="X70" s="143"/>
      <c r="Y70" s="143"/>
      <c r="Z70" s="143"/>
      <c r="AA70" s="143"/>
      <c r="AB70" s="143"/>
      <c r="AC70" s="143"/>
      <c r="AD70" s="143"/>
      <c r="AE70" s="143"/>
      <c r="AF70" s="143"/>
      <c r="AG70" s="143"/>
      <c r="AH70" s="143"/>
      <c r="AI70" s="143"/>
      <c r="AJ70" s="143"/>
      <c r="AK70" s="143"/>
      <c r="AL70" s="143"/>
      <c r="AM70" s="143"/>
      <c r="AN70" s="143"/>
      <c r="AO70" s="143"/>
      <c r="AP70" s="143"/>
      <c r="AQ70" s="143"/>
      <c r="AR70" s="142">
        <f>SUM(AS70:AV70)</f>
      </c>
      <c r="AS70" s="143"/>
      <c r="AT70" s="143"/>
      <c r="AU70" s="143"/>
      <c r="AV70" s="143"/>
      <c r="AW70" s="142">
        <f>SUM(AX70:BI70)</f>
      </c>
      <c r="AX70" s="143"/>
      <c r="AY70" s="143"/>
      <c r="AZ70" s="143"/>
      <c r="BA70" s="143"/>
      <c r="BB70" s="143"/>
      <c r="BC70" s="143"/>
      <c r="BD70" s="143"/>
      <c r="BE70" s="143"/>
      <c r="BF70" s="143"/>
      <c r="BG70" s="143"/>
      <c r="BH70" s="143"/>
      <c r="BI70" s="143"/>
      <c r="BJ70" s="142"/>
      <c r="BK70" s="143"/>
      <c r="BL70" s="143"/>
      <c r="BM70" s="143"/>
      <c r="BN70" s="143"/>
      <c r="BO70" s="143"/>
      <c r="BP70" s="143"/>
      <c r="BQ70" s="142"/>
      <c r="BR70" s="143"/>
      <c r="BS70" s="143"/>
      <c r="BT70" s="142">
        <f>SUM(BU70:BW70)</f>
      </c>
      <c r="BU70" s="143"/>
      <c r="BV70" s="143"/>
      <c r="BW70" s="143"/>
      <c r="BX70" s="142">
        <f>SUM(BY70:CD70)</f>
      </c>
      <c r="BY70" s="143"/>
      <c r="BZ70" s="143"/>
      <c r="CA70" s="143"/>
      <c r="CB70" s="143"/>
      <c r="CC70" s="143"/>
      <c r="CD70" s="143"/>
      <c r="CE70" s="142"/>
      <c r="CF70" s="143"/>
      <c r="CG70" s="143"/>
      <c r="CH70" s="143"/>
      <c r="CI70" s="143"/>
      <c r="CJ70" s="143"/>
      <c r="CK70" s="142">
        <f>SUM(CL70:CN70)</f>
      </c>
      <c r="CL70" s="143"/>
      <c r="CM70" s="143"/>
      <c r="CN70" s="143"/>
      <c r="CO70" s="142">
        <f>SUM(CP70:CT70)</f>
      </c>
      <c r="CP70" s="143"/>
      <c r="CQ70" s="143"/>
      <c r="CR70" s="143"/>
      <c r="CS70" s="143"/>
      <c r="CT70" s="143"/>
      <c r="CU70" s="142"/>
      <c r="CV70" s="143"/>
      <c r="CW70" s="143"/>
      <c r="CX70" s="143"/>
      <c r="CY70" s="142"/>
      <c r="CZ70" s="143"/>
      <c r="DA70" s="143"/>
      <c r="DB70" s="143"/>
      <c r="DC70" s="143"/>
      <c r="DD70" s="143"/>
      <c r="DE70" s="143"/>
      <c r="DF70" s="143"/>
      <c r="DG70" s="142">
        <f>SUM(DH70:DH70)</f>
      </c>
      <c r="DH70" s="143"/>
      <c r="DI70" s="142"/>
      <c r="DJ70" s="143"/>
      <c r="DK70" s="142">
        <f>SUM(DL70:DQ70)</f>
      </c>
      <c r="DL70" s="143"/>
      <c r="DM70" s="143"/>
      <c r="DN70" s="143"/>
      <c r="DO70" s="143"/>
      <c r="DP70" s="143"/>
      <c r="DQ70" s="143"/>
      <c r="DR70" s="143"/>
      <c r="DS70" s="143"/>
      <c r="DT70" s="143"/>
      <c r="DU70" s="143"/>
      <c r="DV70" s="143"/>
      <c r="DW70" s="143"/>
      <c r="DX70" s="142"/>
      <c r="DY70" s="143"/>
      <c r="DZ70" s="142"/>
      <c r="EA70" s="143"/>
      <c r="EB70" s="143"/>
      <c r="EC70" s="142"/>
      <c r="ED70" s="143"/>
      <c r="EF70" s="143"/>
      <c r="EG70" s="142">
        <f>SUM(EH70:EQ70)</f>
      </c>
      <c r="EH70" s="143"/>
      <c r="EI70" s="143"/>
      <c r="EJ70" s="143"/>
      <c r="EK70" s="143"/>
      <c r="EL70" s="143"/>
      <c r="EM70" s="143"/>
      <c r="EN70" s="143"/>
      <c r="EO70" s="143"/>
      <c r="EP70" s="143"/>
      <c r="EQ70" s="143"/>
      <c r="ER70" s="142">
        <f>SUM(ES70:ET70)</f>
      </c>
      <c r="ES70" s="143"/>
      <c r="ET70" s="143"/>
      <c r="EU70" s="144"/>
      <c r="FB70" s="146"/>
      <c r="FC70" s="146" cm="1">
        <f t="array" ref="FC70">ROW()-ROW(New[#Headers])</f>
        <v>64</v>
      </c>
    </row>
    <row r="71" spans="2:159" s="139" customFormat="1" ht="10.5" x14ac:dyDescent="0.2">
      <c r="B71" s="133"/>
      <c r="C71" s="1573" t="s">
        <v>1666</v>
      </c>
      <c r="D71" t="s" s="1574">
        <v>535</v>
      </c>
      <c r="E71" s="1575" t="s">
        <v>37</v>
      </c>
      <c r="F71" t="s" s="1576">
        <v>810</v>
      </c>
      <c r="G71" t="s" s="1577">
        <v>345</v>
      </c>
      <c r="H71" s="1578" t="s">
        <v>55</v>
      </c>
      <c r="I71" t="s" s="1579">
        <v>43</v>
      </c>
      <c r="J71" t="s" s="1580">
        <v>71</v>
      </c>
      <c r="K71" t="s" s="1581">
        <v>811</v>
      </c>
      <c r="L71" t="s" s="1582">
        <v>787</v>
      </c>
      <c r="M71" t="s" s="1583">
        <v>1615</v>
      </c>
      <c r="N71" s="1584" t="s">
        <v>3867</v>
      </c>
      <c r="O71" s="1585" t="s">
        <v>3868</v>
      </c>
      <c r="P71" s="141"/>
      <c r="Q71" s="142">
        <f>SUM(R71:AQ71)</f>
      </c>
      <c r="R71" s="143"/>
      <c r="S71" s="143"/>
      <c r="T71" s="143"/>
      <c r="U71" s="143"/>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2">
        <f>SUM(AS71:AV71)</f>
      </c>
      <c r="AS71" s="143"/>
      <c r="AT71" s="143"/>
      <c r="AU71" s="143"/>
      <c r="AV71" s="143"/>
      <c r="AW71" s="142">
        <f>SUM(AX71:BI71)</f>
      </c>
      <c r="AX71" s="143"/>
      <c r="AY71" s="143"/>
      <c r="AZ71" s="143"/>
      <c r="BA71" s="143"/>
      <c r="BB71" s="143"/>
      <c r="BC71" s="143"/>
      <c r="BD71" s="143"/>
      <c r="BE71" s="143"/>
      <c r="BF71" s="143"/>
      <c r="BG71" s="143"/>
      <c r="BH71" s="143"/>
      <c r="BI71" s="143"/>
      <c r="BJ71" s="142"/>
      <c r="BK71" s="143"/>
      <c r="BL71" s="143"/>
      <c r="BM71" s="143"/>
      <c r="BN71" s="143"/>
      <c r="BO71" s="143"/>
      <c r="BP71" s="143"/>
      <c r="BQ71" s="142"/>
      <c r="BR71" s="143"/>
      <c r="BS71" s="143"/>
      <c r="BT71" s="142">
        <f>SUM(BU71:BW71)</f>
      </c>
      <c r="BU71" s="143"/>
      <c r="BV71" s="143"/>
      <c r="BW71" s="143"/>
      <c r="BX71" s="142">
        <f>SUM(BY71:CD71)</f>
      </c>
      <c r="BY71" s="143"/>
      <c r="BZ71" s="143"/>
      <c r="CA71" s="143"/>
      <c r="CB71" s="143"/>
      <c r="CC71" s="143"/>
      <c r="CD71" s="143"/>
      <c r="CE71" s="142"/>
      <c r="CF71" s="143"/>
      <c r="CG71" s="143"/>
      <c r="CH71" s="143"/>
      <c r="CI71" s="143"/>
      <c r="CJ71" s="143"/>
      <c r="CK71" s="142">
        <f>SUM(CL71:CN71)</f>
      </c>
      <c r="CL71" s="143"/>
      <c r="CM71" s="143"/>
      <c r="CN71" s="143"/>
      <c r="CO71" s="142">
        <f>SUM(CP71:CT71)</f>
      </c>
      <c r="CP71" s="143"/>
      <c r="CQ71" s="143"/>
      <c r="CR71" s="143"/>
      <c r="CS71" s="143"/>
      <c r="CT71" s="143"/>
      <c r="CU71" s="142"/>
      <c r="CV71" s="143"/>
      <c r="CW71" s="143"/>
      <c r="CX71" s="143"/>
      <c r="CY71" s="142"/>
      <c r="CZ71" s="143"/>
      <c r="DA71" s="143"/>
      <c r="DB71" s="143"/>
      <c r="DC71" s="143"/>
      <c r="DD71" s="143"/>
      <c r="DE71" s="143"/>
      <c r="DF71" s="143"/>
      <c r="DG71" s="142">
        <f>SUM(DH71:DH71)</f>
      </c>
      <c r="DH71" s="143"/>
      <c r="DI71" s="142"/>
      <c r="DJ71" s="143"/>
      <c r="DK71" s="142">
        <f>SUM(DL71:DQ71)</f>
      </c>
      <c r="DL71" s="143"/>
      <c r="DM71" s="143"/>
      <c r="DN71" s="143"/>
      <c r="DO71" s="143"/>
      <c r="DP71" s="143"/>
      <c r="DQ71" s="143"/>
      <c r="DR71" s="143"/>
      <c r="DS71" s="143"/>
      <c r="DT71" s="143"/>
      <c r="DU71" s="143"/>
      <c r="DV71" s="143"/>
      <c r="DW71" s="143"/>
      <c r="DX71" s="142"/>
      <c r="DY71" s="143"/>
      <c r="DZ71" s="142"/>
      <c r="EA71" s="143"/>
      <c r="EB71" s="143"/>
      <c r="EC71" s="142"/>
      <c r="ED71" s="143"/>
      <c r="EF71" s="143"/>
      <c r="EG71" s="142">
        <f>SUM(EH71:EQ71)</f>
      </c>
      <c r="EH71" s="143"/>
      <c r="EI71" s="143"/>
      <c r="EJ71" s="143"/>
      <c r="EK71" s="143"/>
      <c r="EL71" s="143"/>
      <c r="EM71" s="143"/>
      <c r="EN71" s="143"/>
      <c r="EO71" s="143"/>
      <c r="EP71" s="143"/>
      <c r="EQ71" s="143"/>
      <c r="ER71" s="142">
        <f>SUM(ES71:ET71)</f>
      </c>
      <c r="ES71" s="143"/>
      <c r="ET71" s="143"/>
      <c r="EU71" s="144"/>
      <c r="FB71" s="146"/>
      <c r="FC71" s="146" cm="1">
        <f t="array" ref="FC71">ROW()-ROW(New[#Headers])</f>
        <v>65</v>
      </c>
    </row>
    <row r="72" spans="2:159" s="139" customFormat="1" ht="10.5" x14ac:dyDescent="0.2">
      <c r="B72" s="133"/>
      <c r="C72" s="1600" t="s">
        <v>566</v>
      </c>
      <c r="D72" t="s" s="1601">
        <v>567</v>
      </c>
      <c r="E72" s="1602" t="s">
        <v>13</v>
      </c>
      <c r="F72" t="s" s="1603">
        <v>1262</v>
      </c>
      <c r="G72" t="s" s="1604">
        <v>1597</v>
      </c>
      <c r="H72" s="1605" t="s">
        <v>46</v>
      </c>
      <c r="I72" t="s" s="1606">
        <v>22</v>
      </c>
      <c r="J72" t="s" s="1607">
        <v>64</v>
      </c>
      <c r="K72" t="s" s="1608">
        <v>1617</v>
      </c>
      <c r="L72" t="s" s="1609">
        <v>934</v>
      </c>
      <c r="M72" t="s" s="1610">
        <v>305</v>
      </c>
      <c r="N72" s="1611" t="s">
        <v>3875</v>
      </c>
      <c r="O72" s="1612" t="s">
        <v>3874</v>
      </c>
      <c r="P72" s="141"/>
      <c r="Q72" s="142">
        <f>SUM(R72:AQ72)</f>
      </c>
      <c r="R72" s="143"/>
      <c r="S72" s="143"/>
      <c r="T72" s="143"/>
      <c r="U72" s="1613" t="n">
        <v>100.0</v>
      </c>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2">
        <f>SUM(AS72:AV72)</f>
      </c>
      <c r="AS72" s="143"/>
      <c r="AT72" s="143"/>
      <c r="AU72" s="143"/>
      <c r="AV72" s="143"/>
      <c r="AW72" s="142">
        <f>SUM(AX72:BI72)</f>
      </c>
      <c r="AX72" s="143"/>
      <c r="AY72" s="143"/>
      <c r="AZ72" s="143"/>
      <c r="BA72" s="143"/>
      <c r="BB72" s="143"/>
      <c r="BC72" s="143"/>
      <c r="BD72" s="143"/>
      <c r="BE72" s="143"/>
      <c r="BF72" s="143"/>
      <c r="BG72" s="143"/>
      <c r="BH72" s="143"/>
      <c r="BI72" s="143"/>
      <c r="BJ72" s="142"/>
      <c r="BK72" s="143"/>
      <c r="BL72" s="143"/>
      <c r="BM72" s="143"/>
      <c r="BN72" s="143"/>
      <c r="BO72" s="143"/>
      <c r="BP72" s="143"/>
      <c r="BQ72" s="142"/>
      <c r="BR72" s="143"/>
      <c r="BS72" s="143"/>
      <c r="BT72" s="142">
        <f>SUM(BU72:BW72)</f>
      </c>
      <c r="BU72" s="143"/>
      <c r="BV72" s="143"/>
      <c r="BW72" s="143"/>
      <c r="BX72" s="142">
        <f>SUM(BY72:CD72)</f>
      </c>
      <c r="BY72" s="143"/>
      <c r="BZ72" s="143"/>
      <c r="CA72" s="143"/>
      <c r="CB72" s="143"/>
      <c r="CC72" s="143"/>
      <c r="CD72" s="143"/>
      <c r="CE72" s="142"/>
      <c r="CF72" s="143"/>
      <c r="CG72" s="143"/>
      <c r="CH72" s="143"/>
      <c r="CI72" s="143"/>
      <c r="CJ72" s="143"/>
      <c r="CK72" s="142">
        <f>SUM(CL72:CN72)</f>
      </c>
      <c r="CL72" s="143"/>
      <c r="CM72" s="143"/>
      <c r="CN72" s="143"/>
      <c r="CO72" s="142">
        <f>SUM(CP72:CT72)</f>
      </c>
      <c r="CP72" s="143"/>
      <c r="CQ72" s="143"/>
      <c r="CR72" s="143"/>
      <c r="CS72" s="143"/>
      <c r="CT72" s="143"/>
      <c r="CU72" s="142"/>
      <c r="CV72" s="143"/>
      <c r="CW72" s="143"/>
      <c r="CX72" s="143"/>
      <c r="CY72" s="142"/>
      <c r="CZ72" s="143"/>
      <c r="DA72" s="143"/>
      <c r="DB72" s="143"/>
      <c r="DC72" s="143"/>
      <c r="DD72" s="143"/>
      <c r="DE72" s="143"/>
      <c r="DF72" s="143"/>
      <c r="DG72" s="142">
        <f>SUM(DH72:DH72)</f>
      </c>
      <c r="DH72" s="143"/>
      <c r="DI72" s="142"/>
      <c r="DJ72" s="143"/>
      <c r="DK72" s="142">
        <f>SUM(DL72:DQ72)</f>
      </c>
      <c r="DL72" s="143"/>
      <c r="DM72" s="143"/>
      <c r="DN72" s="143"/>
      <c r="DO72" s="143"/>
      <c r="DP72" s="143"/>
      <c r="DQ72" s="143"/>
      <c r="DR72" s="143"/>
      <c r="DS72" s="143"/>
      <c r="DT72" s="143"/>
      <c r="DU72" s="143"/>
      <c r="DV72" s="143"/>
      <c r="DW72" s="143"/>
      <c r="DX72" s="142"/>
      <c r="DY72" s="143"/>
      <c r="DZ72" s="142"/>
      <c r="EA72" s="143"/>
      <c r="EB72" s="143"/>
      <c r="EC72" s="142"/>
      <c r="ED72" s="143"/>
      <c r="EF72" s="143"/>
      <c r="EG72" s="142">
        <f>SUM(EH72:EQ72)</f>
      </c>
      <c r="EH72" s="143"/>
      <c r="EI72" s="143"/>
      <c r="EJ72" s="143"/>
      <c r="EK72" s="143"/>
      <c r="EL72" s="143"/>
      <c r="EM72" s="143"/>
      <c r="EN72" s="143"/>
      <c r="EO72" s="143"/>
      <c r="EP72" s="143"/>
      <c r="EQ72" s="143"/>
      <c r="ER72" s="142">
        <f>SUM(ES72:ET72)</f>
      </c>
      <c r="ES72" s="143"/>
      <c r="ET72" s="143"/>
      <c r="EU72" s="144"/>
      <c r="FB72" s="146"/>
      <c r="FC72" s="146" cm="1">
        <f t="array" ref="FC72">ROW()-ROW(New[#Headers])</f>
        <v>66</v>
      </c>
    </row>
    <row r="73" spans="2:159" s="139" customFormat="1" ht="10.5" x14ac:dyDescent="0.2">
      <c r="B73" s="133"/>
      <c r="C73" s="1634" t="s">
        <v>508</v>
      </c>
      <c r="D73" t="s" s="1635">
        <v>509</v>
      </c>
      <c r="E73" s="1636" t="s">
        <v>13</v>
      </c>
      <c r="F73" t="s" s="1637">
        <v>1618</v>
      </c>
      <c r="G73" t="s" s="1638">
        <v>1597</v>
      </c>
      <c r="H73" s="1639" t="s">
        <v>49</v>
      </c>
      <c r="I73" t="s" s="1640">
        <v>41</v>
      </c>
      <c r="J73" t="s" s="1641">
        <v>64</v>
      </c>
      <c r="K73" t="s" s="1642">
        <v>839</v>
      </c>
      <c r="L73" t="s" s="1643">
        <v>767</v>
      </c>
      <c r="M73" t="s" s="1644">
        <v>305</v>
      </c>
      <c r="N73" s="1645" t="s">
        <v>3873</v>
      </c>
      <c r="O73" s="1646" t="s">
        <v>3876</v>
      </c>
      <c r="P73" s="141"/>
      <c r="Q73" s="142">
        <f>SUM(R73:AQ73)</f>
      </c>
      <c r="R73" s="143"/>
      <c r="S73" s="143"/>
      <c r="T73" s="143"/>
      <c r="U73" s="143"/>
      <c r="V73" s="143"/>
      <c r="W73" s="143"/>
      <c r="X73" s="143"/>
      <c r="Y73" s="143"/>
      <c r="Z73" s="143"/>
      <c r="AA73" s="143"/>
      <c r="AB73" s="143"/>
      <c r="AC73" s="143"/>
      <c r="AD73" s="143"/>
      <c r="AE73" s="143"/>
      <c r="AF73" s="143"/>
      <c r="AG73" s="143"/>
      <c r="AH73" s="143"/>
      <c r="AI73" s="143"/>
      <c r="AJ73" s="143"/>
      <c r="AK73" s="143"/>
      <c r="AL73" s="1647" t="n">
        <v>50.0</v>
      </c>
      <c r="AM73" s="143"/>
      <c r="AN73" s="143"/>
      <c r="AO73" s="143"/>
      <c r="AP73" s="143"/>
      <c r="AQ73" s="143"/>
      <c r="AR73" s="142">
        <f>SUM(AS73:AV73)</f>
      </c>
      <c r="AS73" s="143"/>
      <c r="AT73" s="143"/>
      <c r="AU73" s="143"/>
      <c r="AV73" s="143"/>
      <c r="AW73" s="142">
        <f>SUM(AX73:BI73)</f>
      </c>
      <c r="AX73" s="143"/>
      <c r="AY73" s="143"/>
      <c r="AZ73" s="143"/>
      <c r="BA73" s="143"/>
      <c r="BB73" s="143"/>
      <c r="BC73" s="143"/>
      <c r="BD73" s="143"/>
      <c r="BE73" s="143"/>
      <c r="BF73" s="143"/>
      <c r="BG73" s="143"/>
      <c r="BH73" s="143"/>
      <c r="BI73" s="143"/>
      <c r="BJ73" s="142"/>
      <c r="BK73" s="143"/>
      <c r="BL73" s="143"/>
      <c r="BM73" s="143"/>
      <c r="BN73" s="143"/>
      <c r="BO73" s="143"/>
      <c r="BP73" s="143"/>
      <c r="BQ73" s="142"/>
      <c r="BR73" s="143"/>
      <c r="BS73" s="143"/>
      <c r="BT73" s="142">
        <f>SUM(BU73:BW73)</f>
      </c>
      <c r="BU73" s="143"/>
      <c r="BV73" s="143"/>
      <c r="BW73" s="143"/>
      <c r="BX73" s="142">
        <f>SUM(BY73:CD73)</f>
      </c>
      <c r="BY73" s="143"/>
      <c r="BZ73" s="143"/>
      <c r="CA73" s="143"/>
      <c r="CB73" s="143"/>
      <c r="CC73" s="143"/>
      <c r="CD73" s="143"/>
      <c r="CE73" s="142"/>
      <c r="CF73" s="143"/>
      <c r="CG73" s="143"/>
      <c r="CH73" s="143"/>
      <c r="CI73" s="143"/>
      <c r="CJ73" s="143"/>
      <c r="CK73" s="142">
        <f>SUM(CL73:CN73)</f>
      </c>
      <c r="CL73" s="143"/>
      <c r="CM73" s="143"/>
      <c r="CN73" s="143"/>
      <c r="CO73" s="142">
        <f>SUM(CP73:CT73)</f>
      </c>
      <c r="CP73" s="143"/>
      <c r="CQ73" s="143"/>
      <c r="CR73" s="143"/>
      <c r="CS73" s="143"/>
      <c r="CT73" s="143"/>
      <c r="CU73" s="142"/>
      <c r="CV73" s="143"/>
      <c r="CW73" s="143"/>
      <c r="CX73" s="143"/>
      <c r="CY73" s="142"/>
      <c r="CZ73" s="143"/>
      <c r="DA73" s="143"/>
      <c r="DB73" s="143"/>
      <c r="DC73" s="143"/>
      <c r="DD73" s="143"/>
      <c r="DE73" s="143"/>
      <c r="DF73" s="143"/>
      <c r="DG73" s="142">
        <f>SUM(DH73:DH73)</f>
      </c>
      <c r="DH73" s="143"/>
      <c r="DI73" s="142"/>
      <c r="DJ73" s="143"/>
      <c r="DK73" s="142">
        <f>SUM(DL73:DQ73)</f>
      </c>
      <c r="DL73" s="143"/>
      <c r="DM73" s="143"/>
      <c r="DN73" s="143"/>
      <c r="DO73" s="143"/>
      <c r="DP73" s="143"/>
      <c r="DQ73" s="143"/>
      <c r="DR73" s="143"/>
      <c r="DS73" s="143"/>
      <c r="DT73" s="143"/>
      <c r="DU73" s="143"/>
      <c r="DV73" s="143"/>
      <c r="DW73" s="143"/>
      <c r="DX73" s="142"/>
      <c r="DY73" s="143"/>
      <c r="DZ73" s="142"/>
      <c r="EA73" s="143"/>
      <c r="EB73" s="143"/>
      <c r="EC73" s="142"/>
      <c r="ED73" s="143"/>
      <c r="EF73" s="143"/>
      <c r="EG73" s="142">
        <f>SUM(EH73:EQ73)</f>
      </c>
      <c r="EH73" s="143"/>
      <c r="EI73" s="143"/>
      <c r="EJ73" s="143"/>
      <c r="EK73" s="143"/>
      <c r="EL73" s="143"/>
      <c r="EM73" s="143"/>
      <c r="EN73" s="143"/>
      <c r="EO73" s="143"/>
      <c r="EP73" s="143"/>
      <c r="EQ73" s="143"/>
      <c r="ER73" s="142">
        <f>SUM(ES73:ET73)</f>
      </c>
      <c r="ES73" s="143"/>
      <c r="ET73" s="143"/>
      <c r="EU73" s="144"/>
      <c r="FB73" s="146"/>
      <c r="FC73" s="146" cm="1">
        <f t="array" ref="FC73">ROW()-ROW(New[#Headers])</f>
        <v>67</v>
      </c>
    </row>
    <row r="74" spans="2:159" s="139" customFormat="1" ht="10.5" x14ac:dyDescent="0.2">
      <c r="B74" s="133"/>
      <c r="C74" s="1648" t="s">
        <v>514</v>
      </c>
      <c r="D74" t="s" s="1649">
        <v>515</v>
      </c>
      <c r="E74" s="1650" t="s">
        <v>37</v>
      </c>
      <c r="F74" t="s" s="1651">
        <v>1618</v>
      </c>
      <c r="G74" t="s" s="1652">
        <v>1597</v>
      </c>
      <c r="H74" s="1653" t="s">
        <v>49</v>
      </c>
      <c r="I74" t="s" s="1654">
        <v>41</v>
      </c>
      <c r="J74" t="s" s="1655">
        <v>64</v>
      </c>
      <c r="K74" t="s" s="1656">
        <v>839</v>
      </c>
      <c r="L74" t="s" s="1657">
        <v>767</v>
      </c>
      <c r="M74" t="s" s="1658">
        <v>305</v>
      </c>
      <c r="N74" s="1659" t="s">
        <v>3867</v>
      </c>
      <c r="O74" s="1660" t="s">
        <v>3871</v>
      </c>
      <c r="P74" s="141"/>
      <c r="Q74" s="142">
        <f>SUM(R74:AQ74)</f>
      </c>
      <c r="R74" s="143"/>
      <c r="S74" s="143"/>
      <c r="T74" s="143"/>
      <c r="U74" s="143"/>
      <c r="V74" s="143"/>
      <c r="W74" s="143"/>
      <c r="X74" s="143"/>
      <c r="Y74" s="143"/>
      <c r="Z74" s="143"/>
      <c r="AA74" s="143"/>
      <c r="AB74" s="143"/>
      <c r="AC74" s="143"/>
      <c r="AD74" s="143"/>
      <c r="AE74" s="143"/>
      <c r="AF74" s="143"/>
      <c r="AG74" s="143"/>
      <c r="AH74" s="143"/>
      <c r="AI74" s="143"/>
      <c r="AJ74" s="143"/>
      <c r="AK74" s="143"/>
      <c r="AL74" s="1661" t="n">
        <v>125.0</v>
      </c>
      <c r="AM74" s="143"/>
      <c r="AN74" s="143"/>
      <c r="AO74" s="143"/>
      <c r="AP74" s="143"/>
      <c r="AQ74" s="143"/>
      <c r="AR74" s="142">
        <f>SUM(AS74:AV74)</f>
      </c>
      <c r="AS74" s="143"/>
      <c r="AT74" s="143"/>
      <c r="AU74" s="143"/>
      <c r="AV74" s="143"/>
      <c r="AW74" s="142">
        <f>SUM(AX74:BI74)</f>
      </c>
      <c r="AX74" s="143"/>
      <c r="AY74" s="143"/>
      <c r="AZ74" s="143"/>
      <c r="BA74" s="143"/>
      <c r="BB74" s="143"/>
      <c r="BC74" s="143"/>
      <c r="BD74" s="143"/>
      <c r="BE74" s="143"/>
      <c r="BF74" s="143"/>
      <c r="BG74" s="143"/>
      <c r="BH74" s="143"/>
      <c r="BI74" s="143"/>
      <c r="BJ74" s="142"/>
      <c r="BK74" s="143"/>
      <c r="BL74" s="143"/>
      <c r="BM74" s="143"/>
      <c r="BN74" s="143"/>
      <c r="BO74" s="143"/>
      <c r="BP74" s="143"/>
      <c r="BQ74" s="142"/>
      <c r="BR74" s="143"/>
      <c r="BS74" s="143"/>
      <c r="BT74" s="142">
        <f>SUM(BU74:BW74)</f>
      </c>
      <c r="BU74" s="143"/>
      <c r="BV74" s="143"/>
      <c r="BW74" s="143"/>
      <c r="BX74" s="142">
        <f>SUM(BY74:CD74)</f>
      </c>
      <c r="BY74" s="143"/>
      <c r="BZ74" s="143"/>
      <c r="CA74" s="143"/>
      <c r="CB74" s="143"/>
      <c r="CC74" s="143"/>
      <c r="CD74" s="143"/>
      <c r="CE74" s="142"/>
      <c r="CF74" s="143"/>
      <c r="CG74" s="143"/>
      <c r="CH74" s="143"/>
      <c r="CI74" s="143"/>
      <c r="CJ74" s="143"/>
      <c r="CK74" s="142">
        <f>SUM(CL74:CN74)</f>
      </c>
      <c r="CL74" s="143"/>
      <c r="CM74" s="143"/>
      <c r="CN74" s="143"/>
      <c r="CO74" s="142">
        <f>SUM(CP74:CT74)</f>
      </c>
      <c r="CP74" s="143"/>
      <c r="CQ74" s="143"/>
      <c r="CR74" s="143"/>
      <c r="CS74" s="143"/>
      <c r="CT74" s="143"/>
      <c r="CU74" s="142"/>
      <c r="CV74" s="143"/>
      <c r="CW74" s="143"/>
      <c r="CX74" s="143"/>
      <c r="CY74" s="142"/>
      <c r="CZ74" s="143"/>
      <c r="DA74" s="143"/>
      <c r="DB74" s="143"/>
      <c r="DC74" s="143"/>
      <c r="DD74" s="143"/>
      <c r="DE74" s="143"/>
      <c r="DF74" s="143"/>
      <c r="DG74" s="142">
        <f>SUM(DH74:DH74)</f>
      </c>
      <c r="DH74" s="1662" t="n">
        <v>50.0</v>
      </c>
      <c r="DI74" s="142"/>
      <c r="DJ74" s="143"/>
      <c r="DK74" s="142">
        <f>SUM(DL74:DQ74)</f>
      </c>
      <c r="DL74" s="143"/>
      <c r="DM74" s="143"/>
      <c r="DN74" s="143"/>
      <c r="DO74" s="143"/>
      <c r="DP74" s="143"/>
      <c r="DQ74" s="143"/>
      <c r="DR74" s="143"/>
      <c r="DS74" s="143"/>
      <c r="DT74" s="143"/>
      <c r="DU74" s="143"/>
      <c r="DV74" s="143"/>
      <c r="DW74" s="143"/>
      <c r="DX74" s="142"/>
      <c r="DY74" s="143"/>
      <c r="DZ74" s="142"/>
      <c r="EA74" s="143"/>
      <c r="EB74" s="143"/>
      <c r="EC74" s="142"/>
      <c r="ED74" s="143"/>
      <c r="EF74" s="143"/>
      <c r="EG74" s="142">
        <f>SUM(EH74:EQ74)</f>
      </c>
      <c r="EH74" s="143"/>
      <c r="EI74" s="143"/>
      <c r="EJ74" s="143"/>
      <c r="EK74" s="143"/>
      <c r="EL74" s="143"/>
      <c r="EM74" s="143"/>
      <c r="EN74" s="143"/>
      <c r="EO74" s="143"/>
      <c r="EP74" s="143"/>
      <c r="EQ74" s="143"/>
      <c r="ER74" s="142">
        <f>SUM(ES74:ET74)</f>
      </c>
      <c r="ES74" s="143"/>
      <c r="ET74" s="143"/>
      <c r="EU74" s="144"/>
      <c r="FB74" s="146"/>
      <c r="FC74" s="146" cm="1">
        <f t="array" ref="FC74">ROW()-ROW(New[#Headers])</f>
        <v>68</v>
      </c>
    </row>
    <row r="75" spans="2:159" s="139" customFormat="1" ht="10.5" x14ac:dyDescent="0.2">
      <c r="B75" s="133"/>
      <c r="C75" s="1663" t="s">
        <v>639</v>
      </c>
      <c r="D75" t="s" s="1664">
        <v>640</v>
      </c>
      <c r="E75" s="1665" t="s">
        <v>13</v>
      </c>
      <c r="F75" t="s" s="1666">
        <v>1241</v>
      </c>
      <c r="G75" t="s" s="1667">
        <v>1597</v>
      </c>
      <c r="H75" s="1668" t="s">
        <v>46</v>
      </c>
      <c r="I75" t="s" s="1669">
        <v>41</v>
      </c>
      <c r="J75" t="s" s="1670">
        <v>74</v>
      </c>
      <c r="K75" t="s" s="1671">
        <v>1246</v>
      </c>
      <c r="L75" t="s" s="1672">
        <v>305</v>
      </c>
      <c r="M75" t="s" s="1673">
        <v>305</v>
      </c>
      <c r="N75" s="1674" t="s">
        <v>3870</v>
      </c>
      <c r="O75" s="1675" t="s">
        <v>3871</v>
      </c>
      <c r="P75" s="141"/>
      <c r="Q75" s="142">
        <f>SUM(R75:AQ75)</f>
      </c>
      <c r="R75" s="143"/>
      <c r="S75" s="143"/>
      <c r="T75" s="143"/>
      <c r="U75" s="143"/>
      <c r="V75" s="143"/>
      <c r="W75" s="143"/>
      <c r="X75" s="143"/>
      <c r="Y75" s="143"/>
      <c r="Z75" s="143"/>
      <c r="AA75" s="143"/>
      <c r="AB75" s="143"/>
      <c r="AC75" s="143"/>
      <c r="AD75" s="143"/>
      <c r="AE75" s="143"/>
      <c r="AF75" s="143"/>
      <c r="AG75" s="143"/>
      <c r="AH75" s="143"/>
      <c r="AI75" s="143"/>
      <c r="AJ75" s="143"/>
      <c r="AK75" s="143"/>
      <c r="AL75" s="143"/>
      <c r="AM75" s="143"/>
      <c r="AN75" s="1676" t="n">
        <v>270.0</v>
      </c>
      <c r="AO75" s="143"/>
      <c r="AP75" s="143"/>
      <c r="AQ75" s="143"/>
      <c r="AR75" s="142">
        <f>SUM(AS75:AV75)</f>
      </c>
      <c r="AS75" s="143"/>
      <c r="AT75" s="143"/>
      <c r="AU75" s="143"/>
      <c r="AV75" s="143"/>
      <c r="AW75" s="142">
        <f>SUM(AX75:BI75)</f>
      </c>
      <c r="AX75" s="143"/>
      <c r="AY75" s="143"/>
      <c r="AZ75" s="143"/>
      <c r="BA75" s="143"/>
      <c r="BB75" s="143"/>
      <c r="BC75" s="143"/>
      <c r="BD75" s="143"/>
      <c r="BE75" s="143"/>
      <c r="BF75" s="143"/>
      <c r="BG75" s="143"/>
      <c r="BH75" s="143"/>
      <c r="BI75" s="143"/>
      <c r="BJ75" s="142"/>
      <c r="BK75" s="143"/>
      <c r="BL75" s="143"/>
      <c r="BM75" s="143"/>
      <c r="BN75" s="143"/>
      <c r="BO75" s="143"/>
      <c r="BP75" s="143"/>
      <c r="BQ75" s="142"/>
      <c r="BR75" s="143"/>
      <c r="BS75" s="143"/>
      <c r="BT75" s="142">
        <f>SUM(BU75:BW75)</f>
      </c>
      <c r="BU75" s="143"/>
      <c r="BV75" s="143"/>
      <c r="BW75" s="143"/>
      <c r="BX75" s="142">
        <f>SUM(BY75:CD75)</f>
      </c>
      <c r="BY75" s="143"/>
      <c r="BZ75" s="143"/>
      <c r="CA75" s="143"/>
      <c r="CB75" s="143"/>
      <c r="CC75" s="143"/>
      <c r="CD75" s="143"/>
      <c r="CE75" s="142"/>
      <c r="CF75" s="143"/>
      <c r="CG75" s="143"/>
      <c r="CH75" s="143"/>
      <c r="CI75" s="143"/>
      <c r="CJ75" s="143"/>
      <c r="CK75" s="142">
        <f>SUM(CL75:CN75)</f>
      </c>
      <c r="CL75" s="143"/>
      <c r="CM75" s="143"/>
      <c r="CN75" s="143"/>
      <c r="CO75" s="142">
        <f>SUM(CP75:CT75)</f>
      </c>
      <c r="CP75" s="143"/>
      <c r="CQ75" s="143"/>
      <c r="CR75" s="143"/>
      <c r="CS75" s="143"/>
      <c r="CT75" s="143"/>
      <c r="CU75" s="142"/>
      <c r="CV75" s="143"/>
      <c r="CW75" s="143"/>
      <c r="CX75" s="143"/>
      <c r="CY75" s="142"/>
      <c r="CZ75" s="143"/>
      <c r="DA75" s="143"/>
      <c r="DB75" s="143"/>
      <c r="DC75" s="143"/>
      <c r="DD75" s="143"/>
      <c r="DE75" s="143"/>
      <c r="DF75" s="143"/>
      <c r="DG75" s="142">
        <f>SUM(DH75:DH75)</f>
      </c>
      <c r="DH75" s="143"/>
      <c r="DI75" s="142"/>
      <c r="DJ75" s="143"/>
      <c r="DK75" s="142">
        <f>SUM(DL75:DQ75)</f>
      </c>
      <c r="DL75" s="143"/>
      <c r="DM75" s="143"/>
      <c r="DN75" s="143"/>
      <c r="DO75" s="143"/>
      <c r="DP75" s="143"/>
      <c r="DQ75" s="143"/>
      <c r="DR75" s="143"/>
      <c r="DS75" s="143"/>
      <c r="DT75" s="143"/>
      <c r="DU75" s="143"/>
      <c r="DV75" s="143"/>
      <c r="DW75" s="143"/>
      <c r="DX75" s="142"/>
      <c r="DY75" s="143"/>
      <c r="DZ75" s="142"/>
      <c r="EA75" s="143"/>
      <c r="EB75" s="143"/>
      <c r="EC75" s="142"/>
      <c r="ED75" s="143"/>
      <c r="EF75" s="143"/>
      <c r="EG75" s="142">
        <f>SUM(EH75:EQ75)</f>
      </c>
      <c r="EH75" s="143"/>
      <c r="EI75" s="143"/>
      <c r="EJ75" s="143"/>
      <c r="EK75" s="143"/>
      <c r="EL75" s="143"/>
      <c r="EM75" s="143"/>
      <c r="EN75" s="143"/>
      <c r="EO75" s="143"/>
      <c r="EP75" s="143"/>
      <c r="EQ75" s="143"/>
      <c r="ER75" s="142">
        <f>SUM(ES75:ET75)</f>
      </c>
      <c r="ES75" s="143"/>
      <c r="ET75" s="143"/>
      <c r="EU75" s="144"/>
      <c r="FB75" s="146"/>
      <c r="FC75" s="146" cm="1">
        <f t="array" ref="FC75">ROW()-ROW(New[#Headers])</f>
        <v>69</v>
      </c>
    </row>
    <row r="76" spans="2:159" s="139" customFormat="1" ht="10.5" x14ac:dyDescent="0.2">
      <c r="B76" s="133"/>
      <c r="C76" s="1692" t="s">
        <v>697</v>
      </c>
      <c r="D76" t="s" s="1693">
        <v>698</v>
      </c>
      <c r="E76" s="1694" t="s">
        <v>35</v>
      </c>
      <c r="F76" t="s" s="1695">
        <v>766</v>
      </c>
      <c r="G76" t="s" s="1696">
        <v>1597</v>
      </c>
      <c r="H76" s="1697" t="s">
        <v>57</v>
      </c>
      <c r="I76" t="s" s="1698">
        <v>43</v>
      </c>
      <c r="J76" t="s" s="1699">
        <v>68</v>
      </c>
      <c r="K76" t="s" s="1700">
        <v>1567</v>
      </c>
      <c r="L76" t="s" s="1701">
        <v>767</v>
      </c>
      <c r="M76" t="s" s="1702">
        <v>305</v>
      </c>
      <c r="N76" s="1703" t="s">
        <v>3873</v>
      </c>
      <c r="O76" s="1704" t="s">
        <v>3871</v>
      </c>
      <c r="P76" s="141"/>
      <c r="Q76" s="142">
        <f>SUM(R76:AQ76)</f>
      </c>
      <c r="R76" s="143"/>
      <c r="S76" s="143"/>
      <c r="T76" s="143"/>
      <c r="U76" s="143"/>
      <c r="V76" s="143"/>
      <c r="W76" s="143"/>
      <c r="X76" s="143"/>
      <c r="Y76" s="143"/>
      <c r="Z76" s="143"/>
      <c r="AA76" s="143"/>
      <c r="AB76" s="143"/>
      <c r="AC76" s="143"/>
      <c r="AD76" s="143"/>
      <c r="AE76" s="143"/>
      <c r="AF76" s="143"/>
      <c r="AG76" s="1705" t="n">
        <v>744.9000000000001</v>
      </c>
      <c r="AH76" s="143"/>
      <c r="AI76" s="143"/>
      <c r="AJ76" s="143"/>
      <c r="AK76" s="143"/>
      <c r="AL76" s="143"/>
      <c r="AM76" s="143"/>
      <c r="AN76" s="143"/>
      <c r="AO76" s="143"/>
      <c r="AP76" s="143"/>
      <c r="AQ76" s="143"/>
      <c r="AR76" s="142">
        <f>SUM(AS76:AV76)</f>
      </c>
      <c r="AS76" s="143"/>
      <c r="AT76" s="143"/>
      <c r="AU76" s="143"/>
      <c r="AV76" s="143"/>
      <c r="AW76" s="142">
        <f>SUM(AX76:BI76)</f>
      </c>
      <c r="AX76" s="143"/>
      <c r="AY76" s="143"/>
      <c r="AZ76" s="143"/>
      <c r="BA76" s="143"/>
      <c r="BB76" s="143"/>
      <c r="BC76" s="143"/>
      <c r="BD76" s="143"/>
      <c r="BE76" s="143"/>
      <c r="BF76" s="143"/>
      <c r="BG76" s="143"/>
      <c r="BH76" s="143"/>
      <c r="BI76" s="143"/>
      <c r="BJ76" s="142"/>
      <c r="BK76" s="143"/>
      <c r="BL76" s="143"/>
      <c r="BM76" s="143"/>
      <c r="BN76" s="143"/>
      <c r="BO76" s="143"/>
      <c r="BP76" s="143"/>
      <c r="BQ76" s="142"/>
      <c r="BR76" s="143"/>
      <c r="BS76" s="143"/>
      <c r="BT76" s="142">
        <f>SUM(BU76:BW76)</f>
      </c>
      <c r="BU76" s="143"/>
      <c r="BV76" s="143"/>
      <c r="BW76" s="143"/>
      <c r="BX76" s="142">
        <f>SUM(BY76:CD76)</f>
      </c>
      <c r="BY76" s="143"/>
      <c r="BZ76" s="143"/>
      <c r="CA76" s="143"/>
      <c r="CB76" s="143"/>
      <c r="CC76" s="143"/>
      <c r="CD76" s="143"/>
      <c r="CE76" s="142"/>
      <c r="CF76" s="143"/>
      <c r="CG76" s="143"/>
      <c r="CH76" s="143"/>
      <c r="CI76" s="143"/>
      <c r="CJ76" s="143"/>
      <c r="CK76" s="142">
        <f>SUM(CL76:CN76)</f>
      </c>
      <c r="CL76" s="143"/>
      <c r="CM76" s="143"/>
      <c r="CN76" s="143"/>
      <c r="CO76" s="142">
        <f>SUM(CP76:CT76)</f>
      </c>
      <c r="CP76" s="143"/>
      <c r="CQ76" s="143"/>
      <c r="CR76" s="143"/>
      <c r="CS76" s="143"/>
      <c r="CT76" s="143"/>
      <c r="CU76" s="142"/>
      <c r="CV76" s="143"/>
      <c r="CW76" s="143"/>
      <c r="CX76" s="143"/>
      <c r="CY76" s="142"/>
      <c r="CZ76" s="143"/>
      <c r="DA76" s="143"/>
      <c r="DB76" s="143"/>
      <c r="DC76" s="143"/>
      <c r="DD76" s="143"/>
      <c r="DE76" s="143"/>
      <c r="DF76" s="143"/>
      <c r="DG76" s="142">
        <f>SUM(DH76:DH76)</f>
      </c>
      <c r="DH76" s="143"/>
      <c r="DI76" s="142"/>
      <c r="DJ76" s="143"/>
      <c r="DK76" s="142">
        <f>SUM(DL76:DQ76)</f>
      </c>
      <c r="DL76" s="143"/>
      <c r="DM76" s="143"/>
      <c r="DN76" s="143"/>
      <c r="DO76" s="143"/>
      <c r="DP76" s="143"/>
      <c r="DQ76" s="143"/>
      <c r="DR76" s="143"/>
      <c r="DS76" s="143"/>
      <c r="DT76" s="143"/>
      <c r="DU76" s="143"/>
      <c r="DV76" s="143"/>
      <c r="DW76" s="143"/>
      <c r="DX76" s="142"/>
      <c r="DY76" s="143"/>
      <c r="DZ76" s="142"/>
      <c r="EA76" s="143"/>
      <c r="EB76" s="143"/>
      <c r="EC76" s="142"/>
      <c r="ED76" s="143"/>
      <c r="EF76" s="143"/>
      <c r="EG76" s="142">
        <f>SUM(EH76:EQ76)</f>
      </c>
      <c r="EH76" s="143"/>
      <c r="EI76" s="143"/>
      <c r="EJ76" s="143"/>
      <c r="EK76" s="143"/>
      <c r="EL76" s="143"/>
      <c r="EM76" s="143"/>
      <c r="EN76" s="143"/>
      <c r="EO76" s="143"/>
      <c r="EP76" s="143"/>
      <c r="EQ76" s="143"/>
      <c r="ER76" s="142">
        <f>SUM(ES76:ET76)</f>
      </c>
      <c r="ES76" s="143"/>
      <c r="ET76" s="143"/>
      <c r="EU76" s="144"/>
      <c r="FB76" s="146"/>
      <c r="FC76" s="146" cm="1">
        <f t="array" ref="FC76">ROW()-ROW(New[#Headers])</f>
        <v>70</v>
      </c>
    </row>
    <row r="77" spans="2:159" s="139" customFormat="1" ht="10.5" x14ac:dyDescent="0.2">
      <c r="B77" s="133"/>
      <c r="C77" s="1720" t="s">
        <v>3824</v>
      </c>
      <c r="D77" t="s" s="1721">
        <v>3883</v>
      </c>
      <c r="E77" s="1722" t="s">
        <v>13</v>
      </c>
      <c r="F77" t="s" s="1723">
        <v>1671</v>
      </c>
      <c r="G77" t="s" s="1724">
        <v>345</v>
      </c>
      <c r="H77" s="1725" t="s">
        <v>55</v>
      </c>
      <c r="I77" t="s" s="1726">
        <v>41</v>
      </c>
      <c r="J77" t="s" s="1727">
        <v>74</v>
      </c>
      <c r="K77" t="s" s="1728">
        <v>1622</v>
      </c>
      <c r="L77" t="s" s="1729">
        <v>305</v>
      </c>
      <c r="M77" t="s" s="1730">
        <v>1615</v>
      </c>
      <c r="N77" s="1731" t="s">
        <v>3870</v>
      </c>
      <c r="O77" s="1732" t="s">
        <v>3871</v>
      </c>
      <c r="P77" s="141"/>
      <c r="Q77" s="142">
        <f>SUM(R77:AQ77)</f>
      </c>
      <c r="R77" s="143"/>
      <c r="S77" s="143"/>
      <c r="T77" s="143"/>
      <c r="U77" s="143"/>
      <c r="V77" s="143"/>
      <c r="W77" s="143"/>
      <c r="X77" s="143"/>
      <c r="Y77" s="143"/>
      <c r="Z77" s="143"/>
      <c r="AA77" s="143"/>
      <c r="AB77" s="143"/>
      <c r="AC77" s="143"/>
      <c r="AD77" s="143"/>
      <c r="AE77" s="143"/>
      <c r="AF77" s="143"/>
      <c r="AG77" s="143"/>
      <c r="AH77" s="143"/>
      <c r="AI77" s="143"/>
      <c r="AJ77" s="143"/>
      <c r="AK77" s="143"/>
      <c r="AL77" s="143"/>
      <c r="AM77" s="143"/>
      <c r="AN77" s="1733" t="n">
        <v>1820.0</v>
      </c>
      <c r="AO77" s="143"/>
      <c r="AP77" s="143"/>
      <c r="AQ77" s="143"/>
      <c r="AR77" s="142">
        <f>SUM(AS77:AV77)</f>
      </c>
      <c r="AS77" s="143"/>
      <c r="AT77" s="143"/>
      <c r="AU77" s="143"/>
      <c r="AV77" s="143"/>
      <c r="AW77" s="142">
        <f>SUM(AX77:BI77)</f>
      </c>
      <c r="AX77" s="143"/>
      <c r="AY77" s="143"/>
      <c r="AZ77" s="143"/>
      <c r="BA77" s="143"/>
      <c r="BB77" s="143"/>
      <c r="BC77" s="143"/>
      <c r="BD77" s="143"/>
      <c r="BE77" s="143"/>
      <c r="BF77" s="143"/>
      <c r="BG77" s="143"/>
      <c r="BH77" s="143"/>
      <c r="BI77" s="143"/>
      <c r="BJ77" s="142"/>
      <c r="BK77" s="143"/>
      <c r="BL77" s="143"/>
      <c r="BM77" s="143"/>
      <c r="BN77" s="143"/>
      <c r="BO77" s="143"/>
      <c r="BP77" s="143"/>
      <c r="BQ77" s="142"/>
      <c r="BR77" s="143"/>
      <c r="BS77" s="143"/>
      <c r="BT77" s="142">
        <f>SUM(BU77:BW77)</f>
      </c>
      <c r="BU77" s="143"/>
      <c r="BV77" s="143"/>
      <c r="BW77" s="143"/>
      <c r="BX77" s="142">
        <f>SUM(BY77:CD77)</f>
      </c>
      <c r="BY77" s="143"/>
      <c r="BZ77" s="143"/>
      <c r="CA77" s="143"/>
      <c r="CB77" s="143"/>
      <c r="CC77" s="143"/>
      <c r="CD77" s="143"/>
      <c r="CE77" s="142"/>
      <c r="CF77" s="143"/>
      <c r="CG77" s="143"/>
      <c r="CH77" s="143"/>
      <c r="CI77" s="143"/>
      <c r="CJ77" s="143"/>
      <c r="CK77" s="142">
        <f>SUM(CL77:CN77)</f>
      </c>
      <c r="CL77" s="143"/>
      <c r="CM77" s="143"/>
      <c r="CN77" s="143"/>
      <c r="CO77" s="142">
        <f>SUM(CP77:CT77)</f>
      </c>
      <c r="CP77" s="143"/>
      <c r="CQ77" s="143"/>
      <c r="CR77" s="143"/>
      <c r="CS77" s="143"/>
      <c r="CT77" s="143"/>
      <c r="CU77" s="142"/>
      <c r="CV77" s="143"/>
      <c r="CW77" s="143"/>
      <c r="CX77" s="143"/>
      <c r="CY77" s="142"/>
      <c r="CZ77" s="143"/>
      <c r="DA77" s="143"/>
      <c r="DB77" s="143"/>
      <c r="DC77" s="143"/>
      <c r="DD77" s="143"/>
      <c r="DE77" s="143"/>
      <c r="DF77" s="143"/>
      <c r="DG77" s="142">
        <f>SUM(DH77:DH77)</f>
      </c>
      <c r="DH77" s="143"/>
      <c r="DI77" s="142"/>
      <c r="DJ77" s="143"/>
      <c r="DK77" s="142">
        <f>SUM(DL77:DQ77)</f>
      </c>
      <c r="DL77" s="143"/>
      <c r="DM77" s="143"/>
      <c r="DN77" s="143"/>
      <c r="DO77" s="143"/>
      <c r="DP77" s="143"/>
      <c r="DQ77" s="143"/>
      <c r="DR77" s="143"/>
      <c r="DS77" s="143"/>
      <c r="DT77" s="143"/>
      <c r="DU77" s="143"/>
      <c r="DV77" s="143"/>
      <c r="DW77" s="143"/>
      <c r="DX77" s="142"/>
      <c r="DY77" s="143"/>
      <c r="DZ77" s="142"/>
      <c r="EA77" s="143"/>
      <c r="EB77" s="143"/>
      <c r="EC77" s="142"/>
      <c r="ED77" s="143"/>
      <c r="EF77" s="143"/>
      <c r="EG77" s="142">
        <f>SUM(EH77:EQ77)</f>
      </c>
      <c r="EH77" s="143"/>
      <c r="EI77" s="143"/>
      <c r="EJ77" s="143"/>
      <c r="EK77" s="143"/>
      <c r="EL77" s="143"/>
      <c r="EM77" s="143"/>
      <c r="EN77" s="143"/>
      <c r="EO77" s="143"/>
      <c r="EP77" s="143"/>
      <c r="EQ77" s="143"/>
      <c r="ER77" s="142">
        <f>SUM(ES77:ET77)</f>
      </c>
      <c r="ES77" s="143"/>
      <c r="ET77" s="143"/>
      <c r="EU77" s="144"/>
      <c r="FB77" s="146"/>
      <c r="FC77" s="146" cm="1">
        <f t="array" ref="FC77">ROW()-ROW(New[#Headers])</f>
        <v>71</v>
      </c>
    </row>
    <row r="78" spans="2:159" s="139" customFormat="1" ht="10.5" x14ac:dyDescent="0.2">
      <c r="B78" s="133"/>
      <c r="C78" s="1734" t="s">
        <v>1722</v>
      </c>
      <c r="D78" t="s" s="1735">
        <v>686</v>
      </c>
      <c r="E78" s="1736" t="s">
        <v>23</v>
      </c>
      <c r="F78" t="s" s="1737">
        <v>766</v>
      </c>
      <c r="G78" t="s" s="1738">
        <v>345</v>
      </c>
      <c r="H78" s="1739" t="s">
        <v>51</v>
      </c>
      <c r="I78" t="s" s="1740">
        <v>41</v>
      </c>
      <c r="J78" t="s" s="1741">
        <v>68</v>
      </c>
      <c r="K78" t="s" s="1742">
        <v>1672</v>
      </c>
      <c r="L78" t="s" s="1743">
        <v>305</v>
      </c>
      <c r="M78" t="s" s="1744">
        <v>305</v>
      </c>
      <c r="N78" s="1745" t="s">
        <v>3873</v>
      </c>
      <c r="O78" s="1746" t="s">
        <v>3871</v>
      </c>
      <c r="P78" s="141"/>
      <c r="Q78" s="142">
        <f>SUM(R78:AQ78)</f>
      </c>
      <c r="R78" s="143"/>
      <c r="S78" s="143"/>
      <c r="T78" s="143"/>
      <c r="U78" s="143"/>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2">
        <f>SUM(AS78:AV78)</f>
      </c>
      <c r="AS78" s="143"/>
      <c r="AT78" s="143"/>
      <c r="AU78" s="143"/>
      <c r="AV78" s="143"/>
      <c r="AW78" s="142">
        <f>SUM(AX78:BI78)</f>
      </c>
      <c r="AX78" s="143"/>
      <c r="AY78" s="143"/>
      <c r="AZ78" s="143"/>
      <c r="BA78" s="143"/>
      <c r="BB78" s="143"/>
      <c r="BC78" s="143"/>
      <c r="BD78" s="143"/>
      <c r="BE78" s="143"/>
      <c r="BF78" s="143"/>
      <c r="BG78" s="143"/>
      <c r="BH78" s="143"/>
      <c r="BI78" s="143"/>
      <c r="BJ78" s="142"/>
      <c r="BK78" s="143"/>
      <c r="BL78" s="143"/>
      <c r="BM78" s="143"/>
      <c r="BN78" s="143"/>
      <c r="BO78" s="143"/>
      <c r="BP78" s="143"/>
      <c r="BQ78" s="142"/>
      <c r="BR78" s="143"/>
      <c r="BS78" s="143"/>
      <c r="BT78" s="142">
        <f>SUM(BU78:BW78)</f>
      </c>
      <c r="BU78" s="143"/>
      <c r="BV78" s="143"/>
      <c r="BW78" s="143"/>
      <c r="BX78" s="142">
        <f>SUM(BY78:CD78)</f>
      </c>
      <c r="BY78" s="143"/>
      <c r="BZ78" s="143"/>
      <c r="CA78" s="143"/>
      <c r="CB78" s="143"/>
      <c r="CC78" s="143"/>
      <c r="CD78" s="143"/>
      <c r="CE78" s="142"/>
      <c r="CF78" s="143"/>
      <c r="CG78" s="143"/>
      <c r="CH78" s="143"/>
      <c r="CI78" s="143"/>
      <c r="CJ78" s="143"/>
      <c r="CK78" s="142">
        <f>SUM(CL78:CN78)</f>
      </c>
      <c r="CL78" s="143"/>
      <c r="CM78" s="143"/>
      <c r="CN78" s="143"/>
      <c r="CO78" s="142">
        <f>SUM(CP78:CT78)</f>
      </c>
      <c r="CP78" s="143"/>
      <c r="CQ78" s="143"/>
      <c r="CR78" s="143"/>
      <c r="CS78" s="143"/>
      <c r="CT78" s="143"/>
      <c r="CU78" s="142"/>
      <c r="CV78" s="143"/>
      <c r="CW78" s="143"/>
      <c r="CX78" s="143"/>
      <c r="CY78" s="142"/>
      <c r="CZ78" s="143"/>
      <c r="DA78" s="143"/>
      <c r="DB78" s="143"/>
      <c r="DC78" s="143"/>
      <c r="DD78" s="143"/>
      <c r="DE78" s="143"/>
      <c r="DF78" s="143"/>
      <c r="DG78" s="142">
        <f>SUM(DH78:DH78)</f>
      </c>
      <c r="DH78" s="143"/>
      <c r="DI78" s="142"/>
      <c r="DJ78" s="143"/>
      <c r="DK78" s="142">
        <f>SUM(DL78:DQ78)</f>
      </c>
      <c r="DL78" s="143"/>
      <c r="DM78" s="143"/>
      <c r="DN78" s="143"/>
      <c r="DO78" s="143"/>
      <c r="DP78" s="143"/>
      <c r="DQ78" s="143"/>
      <c r="DR78" s="143"/>
      <c r="DS78" s="143"/>
      <c r="DT78" s="143"/>
      <c r="DU78" s="143"/>
      <c r="DV78" s="143"/>
      <c r="DW78" s="143"/>
      <c r="DX78" s="142"/>
      <c r="DY78" s="143"/>
      <c r="DZ78" s="142"/>
      <c r="EA78" s="143"/>
      <c r="EB78" s="143"/>
      <c r="EC78" s="142"/>
      <c r="ED78" s="143"/>
      <c r="EF78" s="143"/>
      <c r="EG78" s="142">
        <f>SUM(EH78:EQ78)</f>
      </c>
      <c r="EH78" s="143"/>
      <c r="EI78" s="143"/>
      <c r="EJ78" s="143"/>
      <c r="EK78" s="143"/>
      <c r="EL78" s="143"/>
      <c r="EM78" s="143"/>
      <c r="EN78" s="143"/>
      <c r="EO78" s="143"/>
      <c r="EP78" s="143"/>
      <c r="EQ78" s="143"/>
      <c r="ER78" s="142">
        <f>SUM(ES78:ET78)</f>
      </c>
      <c r="ES78" s="143"/>
      <c r="ET78" s="143"/>
      <c r="EU78" s="144"/>
      <c r="FB78" s="146"/>
      <c r="FC78" s="146" cm="1">
        <f t="array" ref="FC78">ROW()-ROW(New[#Headers])</f>
        <v>72</v>
      </c>
    </row>
    <row r="79" spans="2:159" s="139" customFormat="1" ht="10.5" x14ac:dyDescent="0.2">
      <c r="B79" s="133"/>
      <c r="C79" s="1762" t="s">
        <v>707</v>
      </c>
      <c r="D79" t="s" s="1763">
        <v>708</v>
      </c>
      <c r="E79" s="1764" t="s">
        <v>13</v>
      </c>
      <c r="F79" t="s" s="1765">
        <v>1241</v>
      </c>
      <c r="G79" t="s" s="1766">
        <v>1597</v>
      </c>
      <c r="H79" s="1767" t="s">
        <v>46</v>
      </c>
      <c r="I79" t="s" s="1768">
        <v>43</v>
      </c>
      <c r="J79" t="s" s="1769">
        <v>74</v>
      </c>
      <c r="K79" t="s" s="1770">
        <v>1246</v>
      </c>
      <c r="L79" t="s" s="1771">
        <v>305</v>
      </c>
      <c r="M79" t="s" s="1772">
        <v>305</v>
      </c>
      <c r="N79" s="1773" t="s">
        <v>3873</v>
      </c>
      <c r="O79" s="1774" t="s">
        <v>3871</v>
      </c>
      <c r="P79" s="141"/>
      <c r="Q79" s="142">
        <f>SUM(R79:AQ79)</f>
      </c>
      <c r="R79" s="143"/>
      <c r="S79" s="143"/>
      <c r="T79" s="143"/>
      <c r="U79" s="143"/>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2">
        <f>SUM(AS79:AV79)</f>
      </c>
      <c r="AS79" s="143"/>
      <c r="AT79" s="143"/>
      <c r="AU79" s="143"/>
      <c r="AV79" s="143"/>
      <c r="AW79" s="142">
        <f>SUM(AX79:BI79)</f>
      </c>
      <c r="AX79" s="143"/>
      <c r="AY79" s="143"/>
      <c r="AZ79" s="143"/>
      <c r="BA79" s="143"/>
      <c r="BB79" s="143"/>
      <c r="BC79" s="143"/>
      <c r="BD79" s="143"/>
      <c r="BE79" s="143"/>
      <c r="BF79" s="143"/>
      <c r="BG79" s="143"/>
      <c r="BH79" s="143"/>
      <c r="BI79" s="143"/>
      <c r="BJ79" s="142"/>
      <c r="BK79" s="143"/>
      <c r="BL79" s="143"/>
      <c r="BM79" s="143"/>
      <c r="BN79" s="143"/>
      <c r="BO79" s="143"/>
      <c r="BP79" s="143"/>
      <c r="BQ79" s="142"/>
      <c r="BR79" s="143"/>
      <c r="BS79" s="143"/>
      <c r="BT79" s="142">
        <f>SUM(BU79:BW79)</f>
      </c>
      <c r="BU79" s="143"/>
      <c r="BV79" s="143"/>
      <c r="BW79" s="143"/>
      <c r="BX79" s="142">
        <f>SUM(BY79:CD79)</f>
      </c>
      <c r="BY79" s="143"/>
      <c r="BZ79" s="143"/>
      <c r="CA79" s="143"/>
      <c r="CB79" s="143"/>
      <c r="CC79" s="143"/>
      <c r="CD79" s="143"/>
      <c r="CE79" s="142"/>
      <c r="CF79" s="143"/>
      <c r="CG79" s="143"/>
      <c r="CH79" s="143"/>
      <c r="CI79" s="143"/>
      <c r="CJ79" s="143"/>
      <c r="CK79" s="142">
        <f>SUM(CL79:CN79)</f>
      </c>
      <c r="CL79" s="143"/>
      <c r="CM79" s="143"/>
      <c r="CN79" s="143"/>
      <c r="CO79" s="142">
        <f>SUM(CP79:CT79)</f>
      </c>
      <c r="CP79" s="143"/>
      <c r="CQ79" s="143"/>
      <c r="CR79" s="143"/>
      <c r="CS79" s="143"/>
      <c r="CT79" s="143"/>
      <c r="CU79" s="142"/>
      <c r="CV79" s="143"/>
      <c r="CW79" s="143"/>
      <c r="CX79" s="143"/>
      <c r="CY79" s="142"/>
      <c r="CZ79" s="143"/>
      <c r="DA79" s="143"/>
      <c r="DB79" s="143"/>
      <c r="DC79" s="143"/>
      <c r="DD79" s="143"/>
      <c r="DE79" s="143"/>
      <c r="DF79" s="143"/>
      <c r="DG79" s="142">
        <f>SUM(DH79:DH79)</f>
      </c>
      <c r="DH79" s="143"/>
      <c r="DI79" s="142"/>
      <c r="DJ79" s="143"/>
      <c r="DK79" s="142">
        <f>SUM(DL79:DQ79)</f>
      </c>
      <c r="DL79" s="143"/>
      <c r="DM79" s="1775" t="n">
        <v>105.0</v>
      </c>
      <c r="DN79" s="143"/>
      <c r="DO79" s="143"/>
      <c r="DP79" s="143"/>
      <c r="DQ79" s="143"/>
      <c r="DR79" s="143"/>
      <c r="DS79" s="143"/>
      <c r="DT79" s="143"/>
      <c r="DU79" s="143"/>
      <c r="DV79" s="143"/>
      <c r="DW79" s="143"/>
      <c r="DX79" s="142"/>
      <c r="DY79" s="143"/>
      <c r="DZ79" s="142"/>
      <c r="EA79" s="143"/>
      <c r="EB79" s="143"/>
      <c r="EC79" s="142"/>
      <c r="ED79" s="143"/>
      <c r="EF79" s="143"/>
      <c r="EG79" s="142">
        <f>SUM(EH79:EQ79)</f>
      </c>
      <c r="EH79" s="143"/>
      <c r="EI79" s="143"/>
      <c r="EJ79" s="143"/>
      <c r="EK79" s="143"/>
      <c r="EL79" s="143"/>
      <c r="EM79" s="143"/>
      <c r="EN79" s="143"/>
      <c r="EO79" s="143"/>
      <c r="EP79" s="143"/>
      <c r="EQ79" s="143"/>
      <c r="ER79" s="142">
        <f>SUM(ES79:ET79)</f>
      </c>
      <c r="ES79" s="143"/>
      <c r="ET79" s="143"/>
      <c r="EU79" s="144"/>
      <c r="FB79" s="146"/>
      <c r="FC79" s="146" cm="1">
        <f t="array" ref="FC79">ROW()-ROW(New[#Headers])</f>
        <v>73</v>
      </c>
    </row>
    <row r="80" spans="2:159" s="139" customFormat="1" ht="10.5" x14ac:dyDescent="0.2">
      <c r="B80" s="133"/>
      <c r="C80" s="1779" t="s">
        <v>574</v>
      </c>
      <c r="D80" t="s" s="1780">
        <v>575</v>
      </c>
      <c r="E80" s="1781" t="s">
        <v>13</v>
      </c>
      <c r="F80" t="s" s="1782">
        <v>1262</v>
      </c>
      <c r="G80" t="s" s="1783">
        <v>1597</v>
      </c>
      <c r="H80" s="1784" t="s">
        <v>46</v>
      </c>
      <c r="I80" t="s" s="1785">
        <v>41</v>
      </c>
      <c r="J80" t="s" s="1786">
        <v>64</v>
      </c>
      <c r="K80" t="s" s="1787">
        <v>1617</v>
      </c>
      <c r="L80" t="s" s="1788">
        <v>934</v>
      </c>
      <c r="M80" t="s" s="1789">
        <v>305</v>
      </c>
      <c r="N80" s="1790" t="s">
        <v>3867</v>
      </c>
      <c r="O80" s="1791" t="s">
        <v>3871</v>
      </c>
      <c r="P80" s="141"/>
      <c r="Q80" s="142">
        <f>SUM(R80:AQ80)</f>
      </c>
      <c r="R80" s="143"/>
      <c r="S80" s="143"/>
      <c r="T80" s="143"/>
      <c r="U80" s="1792" t="n">
        <v>150.0</v>
      </c>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2">
        <f>SUM(AS80:AV80)</f>
      </c>
      <c r="AS80" s="143"/>
      <c r="AT80" s="143"/>
      <c r="AU80" s="143"/>
      <c r="AV80" s="143"/>
      <c r="AW80" s="142">
        <f>SUM(AX80:BI80)</f>
      </c>
      <c r="AX80" s="143"/>
      <c r="AY80" s="143"/>
      <c r="AZ80" s="143"/>
      <c r="BA80" s="143"/>
      <c r="BB80" s="143"/>
      <c r="BC80" s="143"/>
      <c r="BD80" s="143"/>
      <c r="BE80" s="143"/>
      <c r="BF80" s="143"/>
      <c r="BG80" s="143"/>
      <c r="BH80" s="143"/>
      <c r="BI80" s="143"/>
      <c r="BJ80" s="142"/>
      <c r="BK80" s="143"/>
      <c r="BL80" s="143"/>
      <c r="BM80" s="143"/>
      <c r="BN80" s="143"/>
      <c r="BO80" s="143"/>
      <c r="BP80" s="143"/>
      <c r="BQ80" s="142"/>
      <c r="BR80" s="143"/>
      <c r="BS80" s="143"/>
      <c r="BT80" s="142">
        <f>SUM(BU80:BW80)</f>
      </c>
      <c r="BU80" s="143"/>
      <c r="BV80" s="143"/>
      <c r="BW80" s="143"/>
      <c r="BX80" s="142">
        <f>SUM(BY80:CD80)</f>
      </c>
      <c r="BY80" s="143"/>
      <c r="BZ80" s="143"/>
      <c r="CA80" s="143"/>
      <c r="CB80" s="143"/>
      <c r="CC80" s="143"/>
      <c r="CD80" s="143"/>
      <c r="CE80" s="142"/>
      <c r="CF80" s="143"/>
      <c r="CG80" s="143"/>
      <c r="CH80" s="143"/>
      <c r="CI80" s="143"/>
      <c r="CJ80" s="143"/>
      <c r="CK80" s="142">
        <f>SUM(CL80:CN80)</f>
      </c>
      <c r="CL80" s="143"/>
      <c r="CM80" s="143"/>
      <c r="CN80" s="143"/>
      <c r="CO80" s="142">
        <f>SUM(CP80:CT80)</f>
      </c>
      <c r="CP80" s="143"/>
      <c r="CQ80" s="143"/>
      <c r="CR80" s="143"/>
      <c r="CS80" s="143"/>
      <c r="CT80" s="143"/>
      <c r="CU80" s="142"/>
      <c r="CV80" s="143"/>
      <c r="CW80" s="143"/>
      <c r="CX80" s="143"/>
      <c r="CY80" s="142"/>
      <c r="CZ80" s="143"/>
      <c r="DA80" s="143"/>
      <c r="DB80" s="143"/>
      <c r="DC80" s="143"/>
      <c r="DD80" s="143"/>
      <c r="DE80" s="143"/>
      <c r="DF80" s="143"/>
      <c r="DG80" s="142">
        <f>SUM(DH80:DH80)</f>
      </c>
      <c r="DH80" s="143"/>
      <c r="DI80" s="142"/>
      <c r="DJ80" s="143"/>
      <c r="DK80" s="142">
        <f>SUM(DL80:DQ80)</f>
      </c>
      <c r="DL80" s="143"/>
      <c r="DM80" s="143"/>
      <c r="DN80" s="143"/>
      <c r="DO80" s="143"/>
      <c r="DP80" s="143"/>
      <c r="DQ80" s="143"/>
      <c r="DR80" s="143"/>
      <c r="DS80" s="143"/>
      <c r="DT80" s="143"/>
      <c r="DU80" s="143"/>
      <c r="DV80" s="143"/>
      <c r="DW80" s="143"/>
      <c r="DX80" s="142"/>
      <c r="DY80" s="143"/>
      <c r="DZ80" s="142"/>
      <c r="EA80" s="143"/>
      <c r="EB80" s="143"/>
      <c r="EC80" s="142"/>
      <c r="ED80" s="143"/>
      <c r="EF80" s="143"/>
      <c r="EG80" s="142">
        <f>SUM(EH80:EQ80)</f>
      </c>
      <c r="EH80" s="143"/>
      <c r="EI80" s="143"/>
      <c r="EJ80" s="143"/>
      <c r="EK80" s="143"/>
      <c r="EL80" s="143"/>
      <c r="EM80" s="143"/>
      <c r="EN80" s="143"/>
      <c r="EO80" s="143"/>
      <c r="EP80" s="143"/>
      <c r="EQ80" s="143"/>
      <c r="ER80" s="142">
        <f>SUM(ES80:ET80)</f>
      </c>
      <c r="ES80" s="143"/>
      <c r="ET80" s="143"/>
      <c r="EU80" s="144"/>
      <c r="FB80" s="146"/>
      <c r="FC80" s="146" cm="1">
        <f t="array" ref="FC80">ROW()-ROW(New[#Headers])</f>
        <v>74</v>
      </c>
    </row>
    <row r="81" spans="2:159" s="139" customFormat="1" ht="10.5" x14ac:dyDescent="0.2">
      <c r="B81" s="133"/>
      <c r="C81" s="1793" t="s">
        <v>1698</v>
      </c>
      <c r="D81" t="s" s="1794">
        <v>643</v>
      </c>
      <c r="E81" s="1795" t="s">
        <v>13</v>
      </c>
      <c r="F81" t="s" s="1796">
        <v>1241</v>
      </c>
      <c r="G81" t="s" s="1797">
        <v>305</v>
      </c>
      <c r="H81" s="1798" t="s">
        <v>46</v>
      </c>
      <c r="I81" t="s" s="1799">
        <v>41</v>
      </c>
      <c r="J81" t="s" s="1800">
        <v>74</v>
      </c>
      <c r="K81" t="s" s="1801">
        <v>1699</v>
      </c>
      <c r="L81" t="s" s="1802">
        <v>305</v>
      </c>
      <c r="M81" t="s" s="1803">
        <v>305</v>
      </c>
      <c r="N81" s="1804" t="s">
        <v>3875</v>
      </c>
      <c r="O81" s="1805" t="s">
        <v>3871</v>
      </c>
      <c r="P81" s="141"/>
      <c r="Q81" s="142">
        <f>SUM(R81:AQ81)</f>
      </c>
      <c r="R81" s="143"/>
      <c r="S81" s="143"/>
      <c r="T81" s="143"/>
      <c r="U81" s="143"/>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2">
        <f>SUM(AS81:AV81)</f>
      </c>
      <c r="AS81" s="143"/>
      <c r="AT81" s="143"/>
      <c r="AU81" s="143"/>
      <c r="AV81" s="143"/>
      <c r="AW81" s="142">
        <f>SUM(AX81:BI81)</f>
      </c>
      <c r="AX81" s="143"/>
      <c r="AY81" s="143"/>
      <c r="AZ81" s="143"/>
      <c r="BA81" s="143"/>
      <c r="BB81" s="143"/>
      <c r="BC81" s="143"/>
      <c r="BD81" s="143"/>
      <c r="BE81" s="143"/>
      <c r="BF81" s="143"/>
      <c r="BG81" s="143"/>
      <c r="BH81" s="143"/>
      <c r="BI81" s="143"/>
      <c r="BJ81" s="142"/>
      <c r="BK81" s="143"/>
      <c r="BL81" s="143"/>
      <c r="BM81" s="143"/>
      <c r="BN81" s="143"/>
      <c r="BO81" s="143"/>
      <c r="BP81" s="143"/>
      <c r="BQ81" s="142"/>
      <c r="BR81" s="143"/>
      <c r="BS81" s="143"/>
      <c r="BT81" s="142">
        <f>SUM(BU81:BW81)</f>
      </c>
      <c r="BU81" s="143"/>
      <c r="BV81" s="143"/>
      <c r="BW81" s="143"/>
      <c r="BX81" s="142">
        <f>SUM(BY81:CD81)</f>
      </c>
      <c r="BY81" s="143"/>
      <c r="BZ81" s="143"/>
      <c r="CA81" s="143"/>
      <c r="CB81" s="143"/>
      <c r="CC81" s="143"/>
      <c r="CD81" s="143"/>
      <c r="CE81" s="142"/>
      <c r="CF81" s="143"/>
      <c r="CG81" s="143"/>
      <c r="CH81" s="143"/>
      <c r="CI81" s="143"/>
      <c r="CJ81" s="143"/>
      <c r="CK81" s="142">
        <f>SUM(CL81:CN81)</f>
      </c>
      <c r="CL81" s="143"/>
      <c r="CM81" s="143"/>
      <c r="CN81" s="143"/>
      <c r="CO81" s="142">
        <f>SUM(CP81:CT81)</f>
      </c>
      <c r="CP81" s="143"/>
      <c r="CQ81" s="143"/>
      <c r="CR81" s="143"/>
      <c r="CS81" s="143"/>
      <c r="CT81" s="143"/>
      <c r="CU81" s="142"/>
      <c r="CV81" s="143"/>
      <c r="CW81" s="143"/>
      <c r="CX81" s="143"/>
      <c r="CY81" s="142"/>
      <c r="CZ81" s="143"/>
      <c r="DA81" s="143"/>
      <c r="DB81" s="143"/>
      <c r="DC81" s="143"/>
      <c r="DD81" s="143"/>
      <c r="DE81" s="143"/>
      <c r="DF81" s="143"/>
      <c r="DG81" s="142">
        <f>SUM(DH81:DH81)</f>
      </c>
      <c r="DH81" s="143"/>
      <c r="DI81" s="142"/>
      <c r="DJ81" s="143"/>
      <c r="DK81" s="142">
        <f>SUM(DL81:DQ81)</f>
      </c>
      <c r="DL81" s="143"/>
      <c r="DM81" s="143"/>
      <c r="DN81" s="143"/>
      <c r="DO81" s="143"/>
      <c r="DP81" s="143"/>
      <c r="DQ81" s="143"/>
      <c r="DR81" s="143"/>
      <c r="DS81" s="143"/>
      <c r="DT81" s="143"/>
      <c r="DU81" s="143"/>
      <c r="DV81" s="143"/>
      <c r="DW81" s="143"/>
      <c r="DX81" s="142"/>
      <c r="DY81" s="143"/>
      <c r="DZ81" s="142"/>
      <c r="EA81" s="143"/>
      <c r="EB81" s="143"/>
      <c r="EC81" s="142"/>
      <c r="ED81" s="143"/>
      <c r="EF81" s="143"/>
      <c r="EG81" s="142">
        <f>SUM(EH81:EQ81)</f>
      </c>
      <c r="EH81" s="143"/>
      <c r="EI81" s="143"/>
      <c r="EJ81" s="143"/>
      <c r="EK81" s="143"/>
      <c r="EL81" s="143"/>
      <c r="EM81" s="143"/>
      <c r="EN81" s="143"/>
      <c r="EO81" s="143"/>
      <c r="EP81" s="143"/>
      <c r="EQ81" s="143"/>
      <c r="ER81" s="142">
        <f>SUM(ES81:ET81)</f>
      </c>
      <c r="ES81" s="143"/>
      <c r="ET81" s="143"/>
      <c r="EU81" s="144"/>
      <c r="FB81" s="146"/>
      <c r="FC81" s="146" cm="1">
        <f t="array" ref="FC81">ROW()-ROW(New[#Headers])</f>
        <v>75</v>
      </c>
    </row>
    <row r="82" spans="2:159" s="139" customFormat="1" ht="10.5" x14ac:dyDescent="0.2">
      <c r="B82" s="133"/>
      <c r="C82" s="1820" t="s">
        <v>486</v>
      </c>
      <c r="D82" t="s" s="1821">
        <v>487</v>
      </c>
      <c r="E82" s="1822" t="s">
        <v>889</v>
      </c>
      <c r="F82" t="s" s="1823">
        <v>1109</v>
      </c>
      <c r="G82" t="s" s="1824">
        <v>305</v>
      </c>
      <c r="H82" s="1825" t="s">
        <v>61</v>
      </c>
      <c r="I82" t="s" s="1826">
        <v>41</v>
      </c>
      <c r="J82" t="s" s="1827">
        <v>68</v>
      </c>
      <c r="K82" t="s" s="1828">
        <v>1659</v>
      </c>
      <c r="L82" t="s" s="1829">
        <v>751</v>
      </c>
      <c r="M82" t="s" s="1830">
        <v>305</v>
      </c>
      <c r="N82" s="1831" t="s">
        <v>3873</v>
      </c>
      <c r="O82" s="1832" t="s">
        <v>3871</v>
      </c>
      <c r="P82" s="141"/>
      <c r="Q82" s="142">
        <f>SUM(R82:AQ82)</f>
      </c>
      <c r="R82" s="143"/>
      <c r="S82" s="143"/>
      <c r="T82" s="143"/>
      <c r="U82" s="143"/>
      <c r="V82" s="143"/>
      <c r="W82" s="143"/>
      <c r="X82" s="143"/>
      <c r="Y82" s="143"/>
      <c r="Z82" s="143"/>
      <c r="AA82" s="143"/>
      <c r="AB82" s="143"/>
      <c r="AC82" s="143"/>
      <c r="AD82" s="1833" t="n">
        <v>200.0</v>
      </c>
      <c r="AE82" s="143"/>
      <c r="AF82" s="143"/>
      <c r="AG82" s="143"/>
      <c r="AH82" s="143"/>
      <c r="AI82" s="143"/>
      <c r="AJ82" s="143"/>
      <c r="AK82" s="143"/>
      <c r="AL82" s="143"/>
      <c r="AM82" s="143"/>
      <c r="AN82" s="143"/>
      <c r="AO82" s="143"/>
      <c r="AP82" s="143"/>
      <c r="AQ82" s="143"/>
      <c r="AR82" s="142">
        <f>SUM(AS82:AV82)</f>
      </c>
      <c r="AS82" s="143"/>
      <c r="AT82" s="143"/>
      <c r="AU82" s="143"/>
      <c r="AV82" s="143"/>
      <c r="AW82" s="142">
        <f>SUM(AX82:BI82)</f>
      </c>
      <c r="AX82" s="143"/>
      <c r="AY82" s="143"/>
      <c r="AZ82" s="143"/>
      <c r="BA82" s="143"/>
      <c r="BB82" s="143"/>
      <c r="BC82" s="143"/>
      <c r="BD82" s="143"/>
      <c r="BE82" s="143"/>
      <c r="BF82" s="143"/>
      <c r="BG82" s="143"/>
      <c r="BH82" s="143"/>
      <c r="BI82" s="143"/>
      <c r="BJ82" s="142"/>
      <c r="BK82" s="143"/>
      <c r="BL82" s="143"/>
      <c r="BM82" s="143"/>
      <c r="BN82" s="143"/>
      <c r="BO82" s="143"/>
      <c r="BP82" s="143"/>
      <c r="BQ82" s="142"/>
      <c r="BR82" s="143"/>
      <c r="BS82" s="143"/>
      <c r="BT82" s="142">
        <f>SUM(BU82:BW82)</f>
      </c>
      <c r="BU82" s="143"/>
      <c r="BV82" s="143"/>
      <c r="BW82" s="143"/>
      <c r="BX82" s="142">
        <f>SUM(BY82:CD82)</f>
      </c>
      <c r="BY82" s="143"/>
      <c r="BZ82" s="143"/>
      <c r="CA82" s="143"/>
      <c r="CB82" s="143"/>
      <c r="CC82" s="143"/>
      <c r="CD82" s="143"/>
      <c r="CE82" s="142"/>
      <c r="CF82" s="143"/>
      <c r="CG82" s="143"/>
      <c r="CH82" s="143"/>
      <c r="CI82" s="143"/>
      <c r="CJ82" s="143"/>
      <c r="CK82" s="142">
        <f>SUM(CL82:CN82)</f>
      </c>
      <c r="CL82" s="143"/>
      <c r="CM82" s="143"/>
      <c r="CN82" s="143"/>
      <c r="CO82" s="142">
        <f>SUM(CP82:CT82)</f>
      </c>
      <c r="CP82" s="143"/>
      <c r="CQ82" s="143"/>
      <c r="CR82" s="143"/>
      <c r="CS82" s="143"/>
      <c r="CT82" s="143"/>
      <c r="CU82" s="142"/>
      <c r="CV82" s="143"/>
      <c r="CW82" s="143"/>
      <c r="CX82" s="143"/>
      <c r="CY82" s="142"/>
      <c r="CZ82" s="143"/>
      <c r="DA82" s="143"/>
      <c r="DB82" s="143"/>
      <c r="DC82" s="143"/>
      <c r="DD82" s="143"/>
      <c r="DE82" s="143"/>
      <c r="DF82" s="143"/>
      <c r="DG82" s="142">
        <f>SUM(DH82:DH82)</f>
      </c>
      <c r="DH82" s="143"/>
      <c r="DI82" s="142"/>
      <c r="DJ82" s="143"/>
      <c r="DK82" s="142">
        <f>SUM(DL82:DQ82)</f>
      </c>
      <c r="DL82" s="143"/>
      <c r="DM82" s="143"/>
      <c r="DN82" s="143"/>
      <c r="DO82" s="143"/>
      <c r="DP82" s="143"/>
      <c r="DQ82" s="143"/>
      <c r="DR82" s="143"/>
      <c r="DS82" s="143"/>
      <c r="DT82" s="143"/>
      <c r="DU82" s="143"/>
      <c r="DV82" s="143"/>
      <c r="DW82" s="143"/>
      <c r="DX82" s="142"/>
      <c r="DY82" s="143"/>
      <c r="DZ82" s="142"/>
      <c r="EA82" s="143"/>
      <c r="EB82" s="143"/>
      <c r="EC82" s="142"/>
      <c r="ED82" s="143"/>
      <c r="EF82" s="143"/>
      <c r="EG82" s="142">
        <f>SUM(EH82:EQ82)</f>
      </c>
      <c r="EH82" s="143"/>
      <c r="EI82" s="143"/>
      <c r="EJ82" s="143"/>
      <c r="EK82" s="143"/>
      <c r="EL82" s="143"/>
      <c r="EM82" s="143"/>
      <c r="EN82" s="143"/>
      <c r="EO82" s="143"/>
      <c r="EP82" s="143"/>
      <c r="EQ82" s="143"/>
      <c r="ER82" s="142">
        <f>SUM(ES82:ET82)</f>
      </c>
      <c r="ES82" s="143"/>
      <c r="ET82" s="143"/>
      <c r="EU82" s="144"/>
      <c r="FB82" s="146"/>
      <c r="FC82" s="146" cm="1">
        <f t="array" ref="FC82">ROW()-ROW(New[#Headers])</f>
        <v>76</v>
      </c>
    </row>
    <row r="83" spans="2:159" s="139" customFormat="1" ht="10.5" x14ac:dyDescent="0.2">
      <c r="B83" s="133"/>
      <c r="C83" s="1834" t="s">
        <v>1660</v>
      </c>
      <c r="D83" t="s" s="1835">
        <v>483</v>
      </c>
      <c r="E83" s="1836" t="s">
        <v>732</v>
      </c>
      <c r="F83" t="s" s="1837">
        <v>766</v>
      </c>
      <c r="G83" t="s" s="1838">
        <v>1597</v>
      </c>
      <c r="H83" s="1839" t="s">
        <v>46</v>
      </c>
      <c r="I83" t="s" s="1840">
        <v>41</v>
      </c>
      <c r="J83" t="s" s="1841">
        <v>68</v>
      </c>
      <c r="K83" t="s" s="1842">
        <v>873</v>
      </c>
      <c r="L83" t="s" s="1843">
        <v>767</v>
      </c>
      <c r="M83" t="s" s="1844">
        <v>305</v>
      </c>
      <c r="N83" s="1845" t="s">
        <v>3873</v>
      </c>
      <c r="O83" s="1846" t="s">
        <v>3871</v>
      </c>
      <c r="P83" s="141"/>
      <c r="Q83" s="142">
        <f>SUM(R83:AQ83)</f>
      </c>
      <c r="R83" s="143"/>
      <c r="S83" s="143"/>
      <c r="T83" s="143"/>
      <c r="U83" s="143"/>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2">
        <f>SUM(AS83:AV83)</f>
      </c>
      <c r="AS83" s="143"/>
      <c r="AT83" s="143"/>
      <c r="AU83" s="143"/>
      <c r="AV83" s="143"/>
      <c r="AW83" s="142">
        <f>SUM(AX83:BI83)</f>
      </c>
      <c r="AX83" s="143"/>
      <c r="AY83" s="143"/>
      <c r="AZ83" s="143"/>
      <c r="BA83" s="143"/>
      <c r="BB83" s="143"/>
      <c r="BC83" s="143"/>
      <c r="BD83" s="143"/>
      <c r="BE83" s="143"/>
      <c r="BF83" s="143"/>
      <c r="BG83" s="143"/>
      <c r="BH83" s="143"/>
      <c r="BI83" s="143"/>
      <c r="BJ83" s="142"/>
      <c r="BK83" s="143"/>
      <c r="BL83" s="143"/>
      <c r="BM83" s="143"/>
      <c r="BN83" s="143"/>
      <c r="BO83" s="143"/>
      <c r="BP83" s="143"/>
      <c r="BQ83" s="142"/>
      <c r="BR83" s="143"/>
      <c r="BS83" s="143"/>
      <c r="BT83" s="142">
        <f>SUM(BU83:BW83)</f>
      </c>
      <c r="BU83" s="143"/>
      <c r="BV83" s="143"/>
      <c r="BW83" s="143"/>
      <c r="BX83" s="142">
        <f>SUM(BY83:CD83)</f>
      </c>
      <c r="BY83" s="143"/>
      <c r="BZ83" s="143"/>
      <c r="CA83" s="143"/>
      <c r="CB83" s="143"/>
      <c r="CC83" s="143"/>
      <c r="CD83" s="143"/>
      <c r="CE83" s="142"/>
      <c r="CF83" s="143"/>
      <c r="CG83" s="143"/>
      <c r="CH83" s="143"/>
      <c r="CI83" s="143"/>
      <c r="CJ83" s="143"/>
      <c r="CK83" s="142">
        <f>SUM(CL83:CN83)</f>
      </c>
      <c r="CL83" s="143"/>
      <c r="CM83" s="143"/>
      <c r="CN83" s="143"/>
      <c r="CO83" s="142">
        <f>SUM(CP83:CT83)</f>
      </c>
      <c r="CP83" s="143"/>
      <c r="CQ83" s="143"/>
      <c r="CR83" s="143"/>
      <c r="CS83" s="143"/>
      <c r="CT83" s="143"/>
      <c r="CU83" s="142"/>
      <c r="CV83" s="143"/>
      <c r="CW83" s="143"/>
      <c r="CX83" s="143"/>
      <c r="CY83" s="142"/>
      <c r="CZ83" s="143"/>
      <c r="DA83" s="143"/>
      <c r="DB83" s="143"/>
      <c r="DC83" s="143"/>
      <c r="DD83" s="143"/>
      <c r="DE83" s="143"/>
      <c r="DF83" s="143"/>
      <c r="DG83" s="142">
        <f>SUM(DH83:DH83)</f>
      </c>
      <c r="DH83" s="143"/>
      <c r="DI83" s="142"/>
      <c r="DJ83" s="143"/>
      <c r="DK83" s="142">
        <f>SUM(DL83:DQ83)</f>
      </c>
      <c r="DL83" s="143"/>
      <c r="DM83" s="143"/>
      <c r="DN83" s="143"/>
      <c r="DO83" s="143"/>
      <c r="DP83" s="143"/>
      <c r="DQ83" s="143"/>
      <c r="DR83" s="143"/>
      <c r="DS83" s="143"/>
      <c r="DT83" s="143"/>
      <c r="DU83" s="143"/>
      <c r="DV83" s="143"/>
      <c r="DW83" s="143"/>
      <c r="DX83" s="142"/>
      <c r="DY83" s="143"/>
      <c r="DZ83" s="142"/>
      <c r="EA83" s="143"/>
      <c r="EB83" s="143"/>
      <c r="EC83" s="142"/>
      <c r="ED83" s="143"/>
      <c r="EF83" s="143"/>
      <c r="EG83" s="142">
        <f>SUM(EH83:EQ83)</f>
      </c>
      <c r="EH83" s="143"/>
      <c r="EI83" s="143"/>
      <c r="EJ83" s="143"/>
      <c r="EK83" s="143"/>
      <c r="EL83" s="143"/>
      <c r="EM83" s="143"/>
      <c r="EN83" s="143"/>
      <c r="EO83" s="143"/>
      <c r="EP83" s="143"/>
      <c r="EQ83" s="143"/>
      <c r="ER83" s="142">
        <f>SUM(ES83:ET83)</f>
      </c>
      <c r="ES83" s="143"/>
      <c r="ET83" s="143"/>
      <c r="EU83" s="144"/>
      <c r="FB83" s="146"/>
      <c r="FC83" s="146" cm="1">
        <f t="array" ref="FC83">ROW()-ROW(New[#Headers])</f>
        <v>77</v>
      </c>
    </row>
    <row r="84" spans="2:159" s="139" customFormat="1" ht="10.5" x14ac:dyDescent="0.2">
      <c r="B84" s="133"/>
      <c r="C84" s="1860" t="s">
        <v>562</v>
      </c>
      <c r="D84" t="s" s="1861">
        <v>563</v>
      </c>
      <c r="E84" s="1862" t="s">
        <v>732</v>
      </c>
      <c r="F84" t="s" s="1863">
        <v>1262</v>
      </c>
      <c r="G84" t="s" s="1864">
        <v>1597</v>
      </c>
      <c r="H84" s="1865" t="s">
        <v>49</v>
      </c>
      <c r="I84" t="s" s="1866">
        <v>41</v>
      </c>
      <c r="J84" t="s" s="1867">
        <v>64</v>
      </c>
      <c r="K84" t="s" s="1868">
        <v>1617</v>
      </c>
      <c r="L84" t="s" s="1869">
        <v>934</v>
      </c>
      <c r="M84" t="s" s="1870">
        <v>305</v>
      </c>
      <c r="N84" s="1871" t="s">
        <v>3873</v>
      </c>
      <c r="O84" s="1872" t="s">
        <v>3871</v>
      </c>
      <c r="P84" s="141"/>
      <c r="Q84" s="142">
        <f>SUM(R84:AQ84)</f>
      </c>
      <c r="R84" s="143"/>
      <c r="S84" s="143"/>
      <c r="T84" s="143"/>
      <c r="U84" s="1873" t="n">
        <v>880.0</v>
      </c>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2">
        <f>SUM(AS84:AV84)</f>
      </c>
      <c r="AS84" s="143"/>
      <c r="AT84" s="143"/>
      <c r="AU84" s="143"/>
      <c r="AV84" s="143"/>
      <c r="AW84" s="142">
        <f>SUM(AX84:BI84)</f>
      </c>
      <c r="AX84" s="143"/>
      <c r="AY84" s="143"/>
      <c r="AZ84" s="143"/>
      <c r="BA84" s="143"/>
      <c r="BB84" s="143"/>
      <c r="BC84" s="143"/>
      <c r="BD84" s="143"/>
      <c r="BE84" s="143"/>
      <c r="BF84" s="143"/>
      <c r="BG84" s="143"/>
      <c r="BH84" s="143"/>
      <c r="BI84" s="143"/>
      <c r="BJ84" s="142"/>
      <c r="BK84" s="143"/>
      <c r="BL84" s="143"/>
      <c r="BM84" s="143"/>
      <c r="BN84" s="143"/>
      <c r="BO84" s="143"/>
      <c r="BP84" s="143"/>
      <c r="BQ84" s="142"/>
      <c r="BR84" s="143"/>
      <c r="BS84" s="143"/>
      <c r="BT84" s="142">
        <f>SUM(BU84:BW84)</f>
      </c>
      <c r="BU84" s="143"/>
      <c r="BV84" s="143"/>
      <c r="BW84" s="143"/>
      <c r="BX84" s="142">
        <f>SUM(BY84:CD84)</f>
      </c>
      <c r="BY84" s="143"/>
      <c r="BZ84" s="143"/>
      <c r="CA84" s="143"/>
      <c r="CB84" s="143"/>
      <c r="CC84" s="143"/>
      <c r="CD84" s="143"/>
      <c r="CE84" s="142"/>
      <c r="CF84" s="143"/>
      <c r="CG84" s="143"/>
      <c r="CH84" s="143"/>
      <c r="CI84" s="143"/>
      <c r="CJ84" s="143"/>
      <c r="CK84" s="142">
        <f>SUM(CL84:CN84)</f>
      </c>
      <c r="CL84" s="143"/>
      <c r="CM84" s="143"/>
      <c r="CN84" s="143"/>
      <c r="CO84" s="142">
        <f>SUM(CP84:CT84)</f>
      </c>
      <c r="CP84" s="143"/>
      <c r="CQ84" s="143"/>
      <c r="CR84" s="143"/>
      <c r="CS84" s="143"/>
      <c r="CT84" s="143"/>
      <c r="CU84" s="142"/>
      <c r="CV84" s="143"/>
      <c r="CW84" s="143"/>
      <c r="CX84" s="143"/>
      <c r="CY84" s="142"/>
      <c r="CZ84" s="143"/>
      <c r="DA84" s="143"/>
      <c r="DB84" s="143"/>
      <c r="DC84" s="143"/>
      <c r="DD84" s="143"/>
      <c r="DE84" s="143"/>
      <c r="DF84" s="143"/>
      <c r="DG84" s="142">
        <f>SUM(DH84:DH84)</f>
      </c>
      <c r="DH84" s="143"/>
      <c r="DI84" s="142"/>
      <c r="DJ84" s="143"/>
      <c r="DK84" s="142">
        <f>SUM(DL84:DQ84)</f>
      </c>
      <c r="DL84" s="143"/>
      <c r="DM84" s="143"/>
      <c r="DN84" s="143"/>
      <c r="DO84" s="143"/>
      <c r="DP84" s="143"/>
      <c r="DQ84" s="143"/>
      <c r="DR84" s="143"/>
      <c r="DS84" s="143"/>
      <c r="DT84" s="143"/>
      <c r="DU84" s="143"/>
      <c r="DV84" s="143"/>
      <c r="DW84" s="143"/>
      <c r="DX84" s="142"/>
      <c r="DY84" s="143"/>
      <c r="DZ84" s="142"/>
      <c r="EA84" s="143"/>
      <c r="EB84" s="143"/>
      <c r="EC84" s="142"/>
      <c r="ED84" s="143"/>
      <c r="EF84" s="143"/>
      <c r="EG84" s="142">
        <f>SUM(EH84:EQ84)</f>
      </c>
      <c r="EH84" s="143"/>
      <c r="EI84" s="143"/>
      <c r="EJ84" s="143"/>
      <c r="EK84" s="143"/>
      <c r="EL84" s="143"/>
      <c r="EM84" s="143"/>
      <c r="EN84" s="143"/>
      <c r="EO84" s="143"/>
      <c r="EP84" s="143"/>
      <c r="EQ84" s="143"/>
      <c r="ER84" s="142">
        <f>SUM(ES84:ET84)</f>
      </c>
      <c r="ES84" s="143"/>
      <c r="ET84" s="143"/>
      <c r="EU84" s="144"/>
      <c r="FB84" s="146"/>
      <c r="FC84" s="146" cm="1">
        <f t="array" ref="FC84">ROW()-ROW(New[#Headers])</f>
        <v>78</v>
      </c>
    </row>
    <row r="85" spans="2:159" s="139" customFormat="1" ht="10.5" x14ac:dyDescent="0.2">
      <c r="B85" s="133"/>
      <c r="C85" s="1889" t="s">
        <v>1676</v>
      </c>
      <c r="D85" t="s" s="1890">
        <v>553</v>
      </c>
      <c r="E85" s="1891" t="s">
        <v>13</v>
      </c>
      <c r="F85" t="s" s="1892">
        <v>1618</v>
      </c>
      <c r="G85" t="s" s="1893">
        <v>1597</v>
      </c>
      <c r="H85" s="1894" t="s">
        <v>46</v>
      </c>
      <c r="I85" t="s" s="1895">
        <v>22</v>
      </c>
      <c r="J85" t="s" s="1896">
        <v>71</v>
      </c>
      <c r="K85" t="s" s="1897">
        <v>839</v>
      </c>
      <c r="L85" t="s" s="1898">
        <v>767</v>
      </c>
      <c r="M85" t="s" s="1899">
        <v>305</v>
      </c>
      <c r="N85" s="1900" t="s">
        <v>3867</v>
      </c>
      <c r="O85" s="1901" t="s">
        <v>3868</v>
      </c>
      <c r="P85" s="141"/>
      <c r="Q85" s="142">
        <f>SUM(R85:AQ85)</f>
      </c>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2">
        <f>SUM(AS85:AV85)</f>
      </c>
      <c r="AS85" s="143"/>
      <c r="AT85" s="143"/>
      <c r="AU85" s="143"/>
      <c r="AV85" s="143"/>
      <c r="AW85" s="142">
        <f>SUM(AX85:BI85)</f>
      </c>
      <c r="AX85" s="143"/>
      <c r="AY85" s="143"/>
      <c r="AZ85" s="143"/>
      <c r="BA85" s="143"/>
      <c r="BB85" s="143"/>
      <c r="BC85" s="143"/>
      <c r="BD85" s="143"/>
      <c r="BE85" s="143"/>
      <c r="BF85" s="143"/>
      <c r="BG85" s="143"/>
      <c r="BH85" s="143"/>
      <c r="BI85" s="143"/>
      <c r="BJ85" s="142"/>
      <c r="BK85" s="143"/>
      <c r="BL85" s="143"/>
      <c r="BM85" s="143"/>
      <c r="BN85" s="143"/>
      <c r="BO85" s="143"/>
      <c r="BP85" s="143"/>
      <c r="BQ85" s="142"/>
      <c r="BR85" s="143"/>
      <c r="BS85" s="143"/>
      <c r="BT85" s="142">
        <f>SUM(BU85:BW85)</f>
      </c>
      <c r="BU85" s="143"/>
      <c r="BV85" s="143"/>
      <c r="BW85" s="143"/>
      <c r="BX85" s="142">
        <f>SUM(BY85:CD85)</f>
      </c>
      <c r="BY85" s="143"/>
      <c r="BZ85" s="143"/>
      <c r="CA85" s="143"/>
      <c r="CB85" s="143"/>
      <c r="CC85" s="143"/>
      <c r="CD85" s="143"/>
      <c r="CE85" s="142"/>
      <c r="CF85" s="143"/>
      <c r="CG85" s="143"/>
      <c r="CH85" s="143"/>
      <c r="CI85" s="143"/>
      <c r="CJ85" s="143"/>
      <c r="CK85" s="142">
        <f>SUM(CL85:CN85)</f>
      </c>
      <c r="CL85" s="143"/>
      <c r="CM85" s="143"/>
      <c r="CN85" s="143"/>
      <c r="CO85" s="142">
        <f>SUM(CP85:CT85)</f>
      </c>
      <c r="CP85" s="143"/>
      <c r="CQ85" s="143"/>
      <c r="CR85" s="143"/>
      <c r="CS85" s="143"/>
      <c r="CT85" s="143"/>
      <c r="CU85" s="142"/>
      <c r="CV85" s="143"/>
      <c r="CW85" s="143"/>
      <c r="CX85" s="143"/>
      <c r="CY85" s="142"/>
      <c r="CZ85" s="143"/>
      <c r="DA85" s="143"/>
      <c r="DB85" s="143"/>
      <c r="DC85" s="143"/>
      <c r="DD85" s="143"/>
      <c r="DE85" s="143"/>
      <c r="DF85" s="143"/>
      <c r="DG85" s="142">
        <f>SUM(DH85:DH85)</f>
      </c>
      <c r="DH85" s="143"/>
      <c r="DI85" s="142"/>
      <c r="DJ85" s="143"/>
      <c r="DK85" s="142">
        <f>SUM(DL85:DQ85)</f>
      </c>
      <c r="DL85" s="143"/>
      <c r="DM85" s="143"/>
      <c r="DN85" s="143"/>
      <c r="DO85" s="143"/>
      <c r="DP85" s="143"/>
      <c r="DQ85" s="143"/>
      <c r="DR85" s="143"/>
      <c r="DS85" s="143"/>
      <c r="DT85" s="143"/>
      <c r="DU85" s="143"/>
      <c r="DV85" s="143"/>
      <c r="DW85" s="143"/>
      <c r="DX85" s="142"/>
      <c r="DY85" s="143"/>
      <c r="DZ85" s="142"/>
      <c r="EA85" s="143"/>
      <c r="EB85" s="143"/>
      <c r="EC85" s="142"/>
      <c r="ED85" s="143"/>
      <c r="EF85" s="143"/>
      <c r="EG85" s="142">
        <f>SUM(EH85:EQ85)</f>
      </c>
      <c r="EH85" s="143"/>
      <c r="EI85" s="143"/>
      <c r="EJ85" s="143"/>
      <c r="EK85" s="143"/>
      <c r="EL85" s="143"/>
      <c r="EM85" s="143"/>
      <c r="EN85" s="143"/>
      <c r="EO85" s="143"/>
      <c r="EP85" s="143"/>
      <c r="EQ85" s="143"/>
      <c r="ER85" s="142">
        <f>SUM(ES85:ET85)</f>
      </c>
      <c r="ES85" s="143"/>
      <c r="ET85" s="143"/>
      <c r="EU85" s="144"/>
      <c r="FB85" s="146"/>
      <c r="FC85" s="146" cm="1">
        <f t="array" ref="FC85">ROW()-ROW(New[#Headers])</f>
        <v>79</v>
      </c>
    </row>
    <row r="86" spans="2:159" s="139" customFormat="1" ht="10.5" x14ac:dyDescent="0.2">
      <c r="B86" s="133"/>
      <c r="C86" s="1902" t="s">
        <v>701</v>
      </c>
      <c r="D86" t="s" s="1903">
        <v>702</v>
      </c>
      <c r="E86" s="1904" t="s">
        <v>13</v>
      </c>
      <c r="F86" t="s" s="1905">
        <v>1241</v>
      </c>
      <c r="G86" t="s" s="1906">
        <v>1597</v>
      </c>
      <c r="H86" s="1907" t="s">
        <v>49</v>
      </c>
      <c r="I86" t="s" s="1908">
        <v>41</v>
      </c>
      <c r="J86" t="s" s="1909">
        <v>74</v>
      </c>
      <c r="K86" t="s" s="1910">
        <v>1246</v>
      </c>
      <c r="L86" t="s" s="1911">
        <v>305</v>
      </c>
      <c r="M86" t="s" s="1912">
        <v>305</v>
      </c>
      <c r="N86" s="1913" t="s">
        <v>3873</v>
      </c>
      <c r="O86" s="1914" t="s">
        <v>3871</v>
      </c>
      <c r="P86" s="141"/>
      <c r="Q86" s="142">
        <f>SUM(R86:AQ86)</f>
      </c>
      <c r="R86" s="143"/>
      <c r="S86" s="143"/>
      <c r="T86" s="143"/>
      <c r="U86" s="143"/>
      <c r="V86" s="143"/>
      <c r="W86" s="143"/>
      <c r="X86" s="143"/>
      <c r="Y86" s="143"/>
      <c r="Z86" s="143"/>
      <c r="AA86" s="1915" t="n">
        <v>500.0</v>
      </c>
      <c r="AB86" s="143"/>
      <c r="AC86" s="143"/>
      <c r="AD86" s="143"/>
      <c r="AE86" s="143"/>
      <c r="AF86" s="143"/>
      <c r="AG86" s="143"/>
      <c r="AH86" s="143"/>
      <c r="AI86" s="143"/>
      <c r="AJ86" s="143"/>
      <c r="AK86" s="143"/>
      <c r="AL86" s="143"/>
      <c r="AM86" s="143"/>
      <c r="AN86" s="1916" t="n">
        <v>125.0</v>
      </c>
      <c r="AO86" s="143"/>
      <c r="AP86" s="143"/>
      <c r="AQ86" s="143"/>
      <c r="AR86" s="142">
        <f>SUM(AS86:AV86)</f>
      </c>
      <c r="AS86" s="143"/>
      <c r="AT86" s="143"/>
      <c r="AU86" s="143"/>
      <c r="AV86" s="143"/>
      <c r="AW86" s="142">
        <f>SUM(AX86:BI86)</f>
      </c>
      <c r="AX86" s="143"/>
      <c r="AY86" s="143"/>
      <c r="AZ86" s="143"/>
      <c r="BA86" s="143"/>
      <c r="BB86" s="143"/>
      <c r="BC86" s="143"/>
      <c r="BD86" s="143"/>
      <c r="BE86" s="143"/>
      <c r="BF86" s="143"/>
      <c r="BG86" s="143"/>
      <c r="BH86" s="143"/>
      <c r="BI86" s="143"/>
      <c r="BJ86" s="142"/>
      <c r="BK86" s="143"/>
      <c r="BL86" s="143"/>
      <c r="BM86" s="143"/>
      <c r="BN86" s="143"/>
      <c r="BO86" s="143"/>
      <c r="BP86" s="143"/>
      <c r="BQ86" s="142"/>
      <c r="BR86" s="143"/>
      <c r="BS86" s="143"/>
      <c r="BT86" s="142">
        <f>SUM(BU86:BW86)</f>
      </c>
      <c r="BU86" s="143"/>
      <c r="BV86" s="143"/>
      <c r="BW86" s="143"/>
      <c r="BX86" s="142">
        <f>SUM(BY86:CD86)</f>
      </c>
      <c r="BY86" s="143"/>
      <c r="BZ86" s="143"/>
      <c r="CA86" s="143"/>
      <c r="CB86" s="143"/>
      <c r="CC86" s="143"/>
      <c r="CD86" s="143"/>
      <c r="CE86" s="142"/>
      <c r="CF86" s="143"/>
      <c r="CG86" s="143"/>
      <c r="CH86" s="143"/>
      <c r="CI86" s="143"/>
      <c r="CJ86" s="143"/>
      <c r="CK86" s="142">
        <f>SUM(CL86:CN86)</f>
      </c>
      <c r="CL86" s="143"/>
      <c r="CM86" s="143"/>
      <c r="CN86" s="143"/>
      <c r="CO86" s="142">
        <f>SUM(CP86:CT86)</f>
      </c>
      <c r="CP86" s="143"/>
      <c r="CQ86" s="143"/>
      <c r="CR86" s="143"/>
      <c r="CS86" s="143"/>
      <c r="CT86" s="143"/>
      <c r="CU86" s="142"/>
      <c r="CV86" s="143"/>
      <c r="CW86" s="143"/>
      <c r="CX86" s="143"/>
      <c r="CY86" s="142"/>
      <c r="CZ86" s="143"/>
      <c r="DA86" s="143"/>
      <c r="DB86" s="143"/>
      <c r="DC86" s="143"/>
      <c r="DD86" s="143"/>
      <c r="DE86" s="143"/>
      <c r="DF86" s="143"/>
      <c r="DG86" s="142">
        <f>SUM(DH86:DH86)</f>
      </c>
      <c r="DH86" s="143"/>
      <c r="DI86" s="142"/>
      <c r="DJ86" s="143"/>
      <c r="DK86" s="142">
        <f>SUM(DL86:DQ86)</f>
      </c>
      <c r="DL86" s="143"/>
      <c r="DM86" s="143"/>
      <c r="DN86" s="143"/>
      <c r="DO86" s="143"/>
      <c r="DP86" s="143"/>
      <c r="DQ86" s="143"/>
      <c r="DR86" s="143"/>
      <c r="DS86" s="143"/>
      <c r="DT86" s="143"/>
      <c r="DU86" s="143"/>
      <c r="DV86" s="143"/>
      <c r="DW86" s="143"/>
      <c r="DX86" s="142"/>
      <c r="DY86" s="143"/>
      <c r="DZ86" s="142"/>
      <c r="EA86" s="143"/>
      <c r="EB86" s="143"/>
      <c r="EC86" s="142"/>
      <c r="ED86" s="143"/>
      <c r="EF86" s="143"/>
      <c r="EG86" s="142">
        <f>SUM(EH86:EQ86)</f>
      </c>
      <c r="EH86" s="143"/>
      <c r="EI86" s="143"/>
      <c r="EJ86" s="143"/>
      <c r="EK86" s="143"/>
      <c r="EL86" s="143"/>
      <c r="EM86" s="143"/>
      <c r="EN86" s="143"/>
      <c r="EO86" s="143"/>
      <c r="EP86" s="143"/>
      <c r="EQ86" s="143"/>
      <c r="ER86" s="142">
        <f>SUM(ES86:ET86)</f>
      </c>
      <c r="ES86" s="143"/>
      <c r="ET86" s="143"/>
      <c r="EU86" s="144"/>
      <c r="FB86" s="146"/>
      <c r="FC86" s="146" cm="1">
        <f t="array" ref="FC86">ROW()-ROW(New[#Headers])</f>
        <v>80</v>
      </c>
    </row>
    <row r="87" spans="2:159" s="139" customFormat="1" ht="10.5" x14ac:dyDescent="0.2">
      <c r="B87" s="133"/>
      <c r="C87" s="1917" t="s">
        <v>492</v>
      </c>
      <c r="D87" t="s" s="1918">
        <v>493</v>
      </c>
      <c r="E87" s="1919" t="s">
        <v>35</v>
      </c>
      <c r="F87" t="s" s="1920">
        <v>1109</v>
      </c>
      <c r="G87" t="s" s="1921">
        <v>305</v>
      </c>
      <c r="H87" s="1922" t="s">
        <v>49</v>
      </c>
      <c r="I87" t="s" s="1923">
        <v>41</v>
      </c>
      <c r="J87" t="s" s="1924">
        <v>68</v>
      </c>
      <c r="K87" t="s" s="1925">
        <v>1659</v>
      </c>
      <c r="L87" t="s" s="1926">
        <v>751</v>
      </c>
      <c r="M87" t="s" s="1927">
        <v>305</v>
      </c>
      <c r="N87" s="1928" t="s">
        <v>3873</v>
      </c>
      <c r="O87" s="1929" t="s">
        <v>3871</v>
      </c>
      <c r="P87" s="141"/>
      <c r="Q87" s="142">
        <f>SUM(R87:AQ87)</f>
      </c>
      <c r="R87" s="143"/>
      <c r="S87" s="143"/>
      <c r="T87" s="143"/>
      <c r="U87" s="143"/>
      <c r="V87" s="143"/>
      <c r="W87" s="143"/>
      <c r="X87" s="143"/>
      <c r="Y87" s="143"/>
      <c r="Z87" s="143"/>
      <c r="AA87" s="143"/>
      <c r="AB87" s="143"/>
      <c r="AC87" s="143"/>
      <c r="AD87" s="1930" t="n">
        <v>400.0</v>
      </c>
      <c r="AE87" s="143"/>
      <c r="AF87" s="143"/>
      <c r="AG87" s="143"/>
      <c r="AH87" s="143"/>
      <c r="AI87" s="143"/>
      <c r="AJ87" s="143"/>
      <c r="AK87" s="143"/>
      <c r="AL87" s="143"/>
      <c r="AM87" s="143"/>
      <c r="AN87" s="143"/>
      <c r="AO87" s="143"/>
      <c r="AP87" s="143"/>
      <c r="AQ87" s="143"/>
      <c r="AR87" s="142">
        <f>SUM(AS87:AV87)</f>
      </c>
      <c r="AS87" s="143"/>
      <c r="AT87" s="143"/>
      <c r="AU87" s="143"/>
      <c r="AV87" s="143"/>
      <c r="AW87" s="142">
        <f>SUM(AX87:BI87)</f>
      </c>
      <c r="AX87" s="143"/>
      <c r="AY87" s="143"/>
      <c r="AZ87" s="143"/>
      <c r="BA87" s="143"/>
      <c r="BB87" s="143"/>
      <c r="BC87" s="143"/>
      <c r="BD87" s="143"/>
      <c r="BE87" s="143"/>
      <c r="BF87" s="143"/>
      <c r="BG87" s="143"/>
      <c r="BH87" s="143"/>
      <c r="BI87" s="143"/>
      <c r="BJ87" s="142"/>
      <c r="BK87" s="143"/>
      <c r="BL87" s="143"/>
      <c r="BM87" s="143"/>
      <c r="BN87" s="143"/>
      <c r="BO87" s="143"/>
      <c r="BP87" s="143"/>
      <c r="BQ87" s="142"/>
      <c r="BR87" s="143"/>
      <c r="BS87" s="143"/>
      <c r="BT87" s="142">
        <f>SUM(BU87:BW87)</f>
      </c>
      <c r="BU87" s="143"/>
      <c r="BV87" s="143"/>
      <c r="BW87" s="143"/>
      <c r="BX87" s="142">
        <f>SUM(BY87:CD87)</f>
      </c>
      <c r="BY87" s="143"/>
      <c r="BZ87" s="143"/>
      <c r="CA87" s="143"/>
      <c r="CB87" s="143"/>
      <c r="CC87" s="143"/>
      <c r="CD87" s="143"/>
      <c r="CE87" s="142"/>
      <c r="CF87" s="143"/>
      <c r="CG87" s="143"/>
      <c r="CH87" s="143"/>
      <c r="CI87" s="143"/>
      <c r="CJ87" s="143"/>
      <c r="CK87" s="142">
        <f>SUM(CL87:CN87)</f>
      </c>
      <c r="CL87" s="143"/>
      <c r="CM87" s="143"/>
      <c r="CN87" s="143"/>
      <c r="CO87" s="142">
        <f>SUM(CP87:CT87)</f>
      </c>
      <c r="CP87" s="143"/>
      <c r="CQ87" s="143"/>
      <c r="CR87" s="143"/>
      <c r="CS87" s="143"/>
      <c r="CT87" s="143"/>
      <c r="CU87" s="142"/>
      <c r="CV87" s="143"/>
      <c r="CW87" s="143"/>
      <c r="CX87" s="143"/>
      <c r="CY87" s="142"/>
      <c r="CZ87" s="143"/>
      <c r="DA87" s="143"/>
      <c r="DB87" s="143"/>
      <c r="DC87" s="143"/>
      <c r="DD87" s="143"/>
      <c r="DE87" s="143"/>
      <c r="DF87" s="143"/>
      <c r="DG87" s="142">
        <f>SUM(DH87:DH87)</f>
      </c>
      <c r="DH87" s="143"/>
      <c r="DI87" s="142"/>
      <c r="DJ87" s="143"/>
      <c r="DK87" s="142">
        <f>SUM(DL87:DQ87)</f>
      </c>
      <c r="DL87" s="143"/>
      <c r="DM87" s="143"/>
      <c r="DN87" s="143"/>
      <c r="DO87" s="143"/>
      <c r="DP87" s="143"/>
      <c r="DQ87" s="143"/>
      <c r="DR87" s="143"/>
      <c r="DS87" s="143"/>
      <c r="DT87" s="143"/>
      <c r="DU87" s="143"/>
      <c r="DV87" s="143"/>
      <c r="DW87" s="143"/>
      <c r="DX87" s="142"/>
      <c r="DY87" s="143"/>
      <c r="DZ87" s="142"/>
      <c r="EA87" s="143"/>
      <c r="EB87" s="143"/>
      <c r="EC87" s="142"/>
      <c r="ED87" s="143"/>
      <c r="EF87" s="143"/>
      <c r="EG87" s="142">
        <f>SUM(EH87:EQ87)</f>
      </c>
      <c r="EH87" s="143"/>
      <c r="EI87" s="143"/>
      <c r="EJ87" s="143"/>
      <c r="EK87" s="143"/>
      <c r="EL87" s="143"/>
      <c r="EM87" s="143"/>
      <c r="EN87" s="143"/>
      <c r="EO87" s="143"/>
      <c r="EP87" s="143"/>
      <c r="EQ87" s="143"/>
      <c r="ER87" s="142">
        <f>SUM(ES87:ET87)</f>
      </c>
      <c r="ES87" s="143"/>
      <c r="ET87" s="143"/>
      <c r="EU87" s="144"/>
      <c r="FB87" s="146"/>
      <c r="FC87" s="146" cm="1">
        <f t="array" ref="FC87">ROW()-ROW(New[#Headers])</f>
        <v>81</v>
      </c>
    </row>
    <row r="88" spans="2:159" s="139" customFormat="1" ht="10.5" x14ac:dyDescent="0.2">
      <c r="B88" s="133"/>
      <c r="C88" s="1931" t="s">
        <v>675</v>
      </c>
      <c r="D88" t="s" s="1932">
        <v>676</v>
      </c>
      <c r="E88" s="1933" t="s">
        <v>20</v>
      </c>
      <c r="F88" t="s" s="1934">
        <v>750</v>
      </c>
      <c r="G88" t="s" s="1935">
        <v>1597</v>
      </c>
      <c r="H88" s="1936" t="s">
        <v>61</v>
      </c>
      <c r="I88" t="s" s="1937">
        <v>41</v>
      </c>
      <c r="J88" t="s" s="1938">
        <v>64</v>
      </c>
      <c r="K88" t="s" s="1939">
        <v>1609</v>
      </c>
      <c r="L88" t="s" s="1940">
        <v>305</v>
      </c>
      <c r="M88" t="s" s="1941">
        <v>305</v>
      </c>
      <c r="N88" s="1942" t="s">
        <v>3873</v>
      </c>
      <c r="O88" s="1943" t="s">
        <v>3876</v>
      </c>
      <c r="P88" s="141"/>
      <c r="Q88" s="142">
        <f>SUM(R88:AQ88)</f>
      </c>
      <c r="R88" s="143"/>
      <c r="S88" s="143"/>
      <c r="T88" s="1944" t="n">
        <v>50.0</v>
      </c>
      <c r="U88" s="143"/>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2">
        <f>SUM(AS88:AV88)</f>
      </c>
      <c r="AS88" s="143"/>
      <c r="AT88" s="143"/>
      <c r="AU88" s="143"/>
      <c r="AV88" s="143"/>
      <c r="AW88" s="142">
        <f>SUM(AX88:BI88)</f>
      </c>
      <c r="AX88" s="143"/>
      <c r="AY88" s="143"/>
      <c r="AZ88" s="143"/>
      <c r="BA88" s="143"/>
      <c r="BB88" s="143"/>
      <c r="BC88" s="143"/>
      <c r="BD88" s="143"/>
      <c r="BE88" s="143"/>
      <c r="BF88" s="143"/>
      <c r="BG88" s="143"/>
      <c r="BH88" s="143"/>
      <c r="BI88" s="143"/>
      <c r="BJ88" s="142"/>
      <c r="BK88" s="143"/>
      <c r="BL88" s="143"/>
      <c r="BM88" s="143"/>
      <c r="BN88" s="143"/>
      <c r="BO88" s="143"/>
      <c r="BP88" s="143"/>
      <c r="BQ88" s="142"/>
      <c r="BR88" s="143"/>
      <c r="BS88" s="143"/>
      <c r="BT88" s="142">
        <f>SUM(BU88:BW88)</f>
      </c>
      <c r="BU88" s="143"/>
      <c r="BV88" s="143"/>
      <c r="BW88" s="143"/>
      <c r="BX88" s="142">
        <f>SUM(BY88:CD88)</f>
      </c>
      <c r="BY88" s="143"/>
      <c r="BZ88" s="143"/>
      <c r="CA88" s="143"/>
      <c r="CB88" s="143"/>
      <c r="CC88" s="143"/>
      <c r="CD88" s="143"/>
      <c r="CE88" s="142"/>
      <c r="CF88" s="143"/>
      <c r="CG88" s="143"/>
      <c r="CH88" s="143"/>
      <c r="CI88" s="143"/>
      <c r="CJ88" s="143"/>
      <c r="CK88" s="142">
        <f>SUM(CL88:CN88)</f>
      </c>
      <c r="CL88" s="143"/>
      <c r="CM88" s="143"/>
      <c r="CN88" s="143"/>
      <c r="CO88" s="142">
        <f>SUM(CP88:CT88)</f>
      </c>
      <c r="CP88" s="143"/>
      <c r="CQ88" s="143"/>
      <c r="CR88" s="143"/>
      <c r="CS88" s="143"/>
      <c r="CT88" s="143"/>
      <c r="CU88" s="142"/>
      <c r="CV88" s="143"/>
      <c r="CW88" s="143"/>
      <c r="CX88" s="143"/>
      <c r="CY88" s="142"/>
      <c r="CZ88" s="143"/>
      <c r="DA88" s="143"/>
      <c r="DB88" s="143"/>
      <c r="DC88" s="143"/>
      <c r="DD88" s="143"/>
      <c r="DE88" s="143"/>
      <c r="DF88" s="143"/>
      <c r="DG88" s="142">
        <f>SUM(DH88:DH88)</f>
      </c>
      <c r="DH88" s="143"/>
      <c r="DI88" s="142"/>
      <c r="DJ88" s="143"/>
      <c r="DK88" s="142">
        <f>SUM(DL88:DQ88)</f>
      </c>
      <c r="DL88" s="143"/>
      <c r="DM88" s="143"/>
      <c r="DN88" s="143"/>
      <c r="DO88" s="143"/>
      <c r="DP88" s="143"/>
      <c r="DQ88" s="143"/>
      <c r="DR88" s="143"/>
      <c r="DS88" s="143"/>
      <c r="DT88" s="143"/>
      <c r="DU88" s="143"/>
      <c r="DV88" s="143"/>
      <c r="DW88" s="143"/>
      <c r="DX88" s="142"/>
      <c r="DY88" s="143"/>
      <c r="DZ88" s="142"/>
      <c r="EA88" s="143"/>
      <c r="EB88" s="143"/>
      <c r="EC88" s="142"/>
      <c r="ED88" s="143"/>
      <c r="EF88" s="143"/>
      <c r="EG88" s="142">
        <f>SUM(EH88:EQ88)</f>
      </c>
      <c r="EH88" s="143"/>
      <c r="EI88" s="143"/>
      <c r="EJ88" s="143"/>
      <c r="EK88" s="143"/>
      <c r="EL88" s="143"/>
      <c r="EM88" s="143"/>
      <c r="EN88" s="143"/>
      <c r="EO88" s="143"/>
      <c r="EP88" s="143"/>
      <c r="EQ88" s="143"/>
      <c r="ER88" s="142">
        <f>SUM(ES88:ET88)</f>
      </c>
      <c r="ES88" s="143"/>
      <c r="ET88" s="143"/>
      <c r="EU88" s="144"/>
      <c r="FB88" s="146"/>
      <c r="FC88" s="146" cm="1">
        <f t="array" ref="FC88">ROW()-ROW(New[#Headers])</f>
        <v>82</v>
      </c>
    </row>
    <row r="89" spans="2:159" s="139" customFormat="1" ht="10.5" x14ac:dyDescent="0.2">
      <c r="B89" s="133"/>
      <c r="C89" s="1948" t="s">
        <v>422</v>
      </c>
      <c r="D89" t="s" s="1949">
        <v>423</v>
      </c>
      <c r="E89" s="1950" t="s">
        <v>35</v>
      </c>
      <c r="F89" t="s" s="1951">
        <v>766</v>
      </c>
      <c r="G89" t="s" s="1952">
        <v>1597</v>
      </c>
      <c r="H89" s="1953" t="s">
        <v>57</v>
      </c>
      <c r="I89" t="s" s="1954">
        <v>41</v>
      </c>
      <c r="J89" t="s" s="1955">
        <v>68</v>
      </c>
      <c r="K89" t="s" s="1956">
        <v>774</v>
      </c>
      <c r="L89" t="s" s="1957">
        <v>767</v>
      </c>
      <c r="M89" t="s" s="1958">
        <v>305</v>
      </c>
      <c r="N89" s="1959" t="s">
        <v>3870</v>
      </c>
      <c r="O89" s="1960" t="s">
        <v>3871</v>
      </c>
      <c r="P89" s="141"/>
      <c r="Q89" s="142">
        <f>SUM(R89:AQ89)</f>
      </c>
      <c r="R89" s="143"/>
      <c r="S89" s="143"/>
      <c r="T89" s="143"/>
      <c r="U89" s="143"/>
      <c r="V89" s="143"/>
      <c r="W89" s="143"/>
      <c r="X89" s="143"/>
      <c r="Y89" s="143"/>
      <c r="Z89" s="143"/>
      <c r="AA89" s="143"/>
      <c r="AB89" s="143"/>
      <c r="AC89" s="143"/>
      <c r="AD89" s="143"/>
      <c r="AE89" s="143"/>
      <c r="AF89" s="143"/>
      <c r="AG89" s="1961" t="n">
        <v>420.0</v>
      </c>
      <c r="AH89" s="143"/>
      <c r="AI89" s="143"/>
      <c r="AJ89" s="143"/>
      <c r="AK89" s="143"/>
      <c r="AL89" s="143"/>
      <c r="AM89" s="143"/>
      <c r="AN89" s="143"/>
      <c r="AO89" s="143"/>
      <c r="AP89" s="143"/>
      <c r="AQ89" s="143"/>
      <c r="AR89" s="142">
        <f>SUM(AS89:AV89)</f>
      </c>
      <c r="AS89" s="143"/>
      <c r="AT89" s="143"/>
      <c r="AU89" s="143"/>
      <c r="AV89" s="143"/>
      <c r="AW89" s="142">
        <f>SUM(AX89:BI89)</f>
      </c>
      <c r="AX89" s="143"/>
      <c r="AY89" s="143"/>
      <c r="AZ89" s="143"/>
      <c r="BA89" s="143"/>
      <c r="BB89" s="143"/>
      <c r="BC89" s="143"/>
      <c r="BD89" s="143"/>
      <c r="BE89" s="143"/>
      <c r="BF89" s="143"/>
      <c r="BG89" s="143"/>
      <c r="BH89" s="143"/>
      <c r="BI89" s="143"/>
      <c r="BJ89" s="142"/>
      <c r="BK89" s="143"/>
      <c r="BL89" s="143"/>
      <c r="BM89" s="143"/>
      <c r="BN89" s="143"/>
      <c r="BO89" s="143"/>
      <c r="BP89" s="143"/>
      <c r="BQ89" s="142"/>
      <c r="BR89" s="143"/>
      <c r="BS89" s="143"/>
      <c r="BT89" s="142">
        <f>SUM(BU89:BW89)</f>
      </c>
      <c r="BU89" s="143"/>
      <c r="BV89" s="143"/>
      <c r="BW89" s="143"/>
      <c r="BX89" s="142">
        <f>SUM(BY89:CD89)</f>
      </c>
      <c r="BY89" s="143"/>
      <c r="BZ89" s="143"/>
      <c r="CA89" s="143"/>
      <c r="CB89" s="143"/>
      <c r="CC89" s="143"/>
      <c r="CD89" s="143"/>
      <c r="CE89" s="142"/>
      <c r="CF89" s="143"/>
      <c r="CG89" s="143"/>
      <c r="CH89" s="143"/>
      <c r="CI89" s="143"/>
      <c r="CJ89" s="143"/>
      <c r="CK89" s="142">
        <f>SUM(CL89:CN89)</f>
      </c>
      <c r="CL89" s="143"/>
      <c r="CM89" s="143"/>
      <c r="CN89" s="143"/>
      <c r="CO89" s="142">
        <f>SUM(CP89:CT89)</f>
      </c>
      <c r="CP89" s="143"/>
      <c r="CQ89" s="143"/>
      <c r="CR89" s="143"/>
      <c r="CS89" s="143"/>
      <c r="CT89" s="143"/>
      <c r="CU89" s="142"/>
      <c r="CV89" s="143"/>
      <c r="CW89" s="143"/>
      <c r="CX89" s="143"/>
      <c r="CY89" s="142"/>
      <c r="CZ89" s="143"/>
      <c r="DA89" s="143"/>
      <c r="DB89" s="143"/>
      <c r="DC89" s="143"/>
      <c r="DD89" s="143"/>
      <c r="DE89" s="143"/>
      <c r="DF89" s="143"/>
      <c r="DG89" s="142">
        <f>SUM(DH89:DH89)</f>
      </c>
      <c r="DH89" s="143"/>
      <c r="DI89" s="142"/>
      <c r="DJ89" s="143"/>
      <c r="DK89" s="142">
        <f>SUM(DL89:DQ89)</f>
      </c>
      <c r="DL89" s="143"/>
      <c r="DM89" s="143"/>
      <c r="DN89" s="143"/>
      <c r="DO89" s="143"/>
      <c r="DP89" s="143"/>
      <c r="DQ89" s="143"/>
      <c r="DR89" s="143"/>
      <c r="DS89" s="143"/>
      <c r="DT89" s="143"/>
      <c r="DU89" s="143"/>
      <c r="DV89" s="143"/>
      <c r="DW89" s="143"/>
      <c r="DX89" s="142"/>
      <c r="DY89" s="143"/>
      <c r="DZ89" s="142"/>
      <c r="EA89" s="143"/>
      <c r="EB89" s="143"/>
      <c r="EC89" s="142"/>
      <c r="ED89" s="143"/>
      <c r="EF89" s="143"/>
      <c r="EG89" s="142">
        <f>SUM(EH89:EQ89)</f>
      </c>
      <c r="EH89" s="143"/>
      <c r="EI89" s="143"/>
      <c r="EJ89" s="143"/>
      <c r="EK89" s="143"/>
      <c r="EL89" s="143"/>
      <c r="EM89" s="143"/>
      <c r="EN89" s="143"/>
      <c r="EO89" s="143"/>
      <c r="EP89" s="143"/>
      <c r="EQ89" s="143"/>
      <c r="ER89" s="142">
        <f>SUM(ES89:ET89)</f>
      </c>
      <c r="ES89" s="143"/>
      <c r="ET89" s="143"/>
      <c r="EU89" s="144"/>
      <c r="FB89" s="146"/>
      <c r="FC89" s="146" cm="1">
        <f t="array" ref="FC89">ROW()-ROW(New[#Headers])</f>
        <v>83</v>
      </c>
    </row>
    <row r="90" spans="2:159" s="139" customFormat="1" ht="10.5" x14ac:dyDescent="0.2">
      <c r="B90" s="133"/>
      <c r="C90" s="1962" t="s">
        <v>641</v>
      </c>
      <c r="D90" t="s" s="1963">
        <v>642</v>
      </c>
      <c r="E90" s="1964" t="s">
        <v>13</v>
      </c>
      <c r="F90" t="s" s="1965">
        <v>1241</v>
      </c>
      <c r="G90" t="s" s="1966">
        <v>1597</v>
      </c>
      <c r="H90" s="1967" t="s">
        <v>46</v>
      </c>
      <c r="I90" t="s" s="1968">
        <v>22</v>
      </c>
      <c r="J90" t="s" s="1969">
        <v>74</v>
      </c>
      <c r="K90" t="s" s="1970">
        <v>1246</v>
      </c>
      <c r="L90" t="s" s="1971">
        <v>305</v>
      </c>
      <c r="M90" t="s" s="1972">
        <v>305</v>
      </c>
      <c r="N90" s="1973" t="s">
        <v>3875</v>
      </c>
      <c r="O90" s="1974" t="s">
        <v>3871</v>
      </c>
      <c r="P90" s="141"/>
      <c r="Q90" s="142">
        <f>SUM(R90:AQ90)</f>
      </c>
      <c r="R90" s="143"/>
      <c r="S90" s="143"/>
      <c r="T90" s="143"/>
      <c r="U90" s="143"/>
      <c r="V90" s="143"/>
      <c r="W90" s="143"/>
      <c r="X90" s="143"/>
      <c r="Y90" s="143"/>
      <c r="Z90" s="143"/>
      <c r="AA90" s="143"/>
      <c r="AB90" s="143"/>
      <c r="AC90" s="143"/>
      <c r="AD90" s="143"/>
      <c r="AE90" s="143"/>
      <c r="AF90" s="143"/>
      <c r="AG90" s="143"/>
      <c r="AH90" s="143"/>
      <c r="AI90" s="143"/>
      <c r="AJ90" s="143"/>
      <c r="AK90" s="143"/>
      <c r="AL90" s="143"/>
      <c r="AM90" s="143"/>
      <c r="AN90" s="1975" t="n">
        <v>60.0</v>
      </c>
      <c r="AO90" s="143"/>
      <c r="AP90" s="143"/>
      <c r="AQ90" s="143"/>
      <c r="AR90" s="142">
        <f>SUM(AS90:AV90)</f>
      </c>
      <c r="AS90" s="143"/>
      <c r="AT90" s="143"/>
      <c r="AU90" s="143"/>
      <c r="AV90" s="143"/>
      <c r="AW90" s="142">
        <f>SUM(AX90:BI90)</f>
      </c>
      <c r="AX90" s="143"/>
      <c r="AY90" s="143"/>
      <c r="AZ90" s="143"/>
      <c r="BA90" s="143"/>
      <c r="BB90" s="143"/>
      <c r="BC90" s="143"/>
      <c r="BD90" s="143"/>
      <c r="BE90" s="143"/>
      <c r="BF90" s="143"/>
      <c r="BG90" s="143"/>
      <c r="BH90" s="143"/>
      <c r="BI90" s="143"/>
      <c r="BJ90" s="142"/>
      <c r="BK90" s="143"/>
      <c r="BL90" s="143"/>
      <c r="BM90" s="143"/>
      <c r="BN90" s="143"/>
      <c r="BO90" s="143"/>
      <c r="BP90" s="143"/>
      <c r="BQ90" s="142"/>
      <c r="BR90" s="143"/>
      <c r="BS90" s="143"/>
      <c r="BT90" s="142">
        <f>SUM(BU90:BW90)</f>
      </c>
      <c r="BU90" s="143"/>
      <c r="BV90" s="143"/>
      <c r="BW90" s="143"/>
      <c r="BX90" s="142">
        <f>SUM(BY90:CD90)</f>
      </c>
      <c r="BY90" s="143"/>
      <c r="BZ90" s="143"/>
      <c r="CA90" s="143"/>
      <c r="CB90" s="143"/>
      <c r="CC90" s="143"/>
      <c r="CD90" s="143"/>
      <c r="CE90" s="142"/>
      <c r="CF90" s="143"/>
      <c r="CG90" s="143"/>
      <c r="CH90" s="143"/>
      <c r="CI90" s="143"/>
      <c r="CJ90" s="143"/>
      <c r="CK90" s="142">
        <f>SUM(CL90:CN90)</f>
      </c>
      <c r="CL90" s="143"/>
      <c r="CM90" s="143"/>
      <c r="CN90" s="143"/>
      <c r="CO90" s="142">
        <f>SUM(CP90:CT90)</f>
      </c>
      <c r="CP90" s="143"/>
      <c r="CQ90" s="143"/>
      <c r="CR90" s="143"/>
      <c r="CS90" s="143"/>
      <c r="CT90" s="143"/>
      <c r="CU90" s="142"/>
      <c r="CV90" s="143"/>
      <c r="CW90" s="143"/>
      <c r="CX90" s="143"/>
      <c r="CY90" s="142"/>
      <c r="CZ90" s="143"/>
      <c r="DA90" s="143"/>
      <c r="DB90" s="143"/>
      <c r="DC90" s="143"/>
      <c r="DD90" s="143"/>
      <c r="DE90" s="143"/>
      <c r="DF90" s="143"/>
      <c r="DG90" s="142">
        <f>SUM(DH90:DH90)</f>
      </c>
      <c r="DH90" s="143"/>
      <c r="DI90" s="142"/>
      <c r="DJ90" s="143"/>
      <c r="DK90" s="142">
        <f>SUM(DL90:DQ90)</f>
      </c>
      <c r="DL90" s="143"/>
      <c r="DM90" s="143"/>
      <c r="DN90" s="143"/>
      <c r="DO90" s="143"/>
      <c r="DP90" s="143"/>
      <c r="DQ90" s="1976" t="n">
        <v>200.0</v>
      </c>
      <c r="DR90" s="143"/>
      <c r="DS90" s="143"/>
      <c r="DT90" s="143"/>
      <c r="DU90" s="143"/>
      <c r="DV90" s="143"/>
      <c r="DW90" s="143"/>
      <c r="DX90" s="142"/>
      <c r="DY90" s="143"/>
      <c r="DZ90" s="142"/>
      <c r="EA90" s="143"/>
      <c r="EB90" s="143"/>
      <c r="EC90" s="142"/>
      <c r="ED90" s="143"/>
      <c r="EF90" s="143"/>
      <c r="EG90" s="142">
        <f>SUM(EH90:EQ90)</f>
      </c>
      <c r="EH90" s="143"/>
      <c r="EI90" s="143"/>
      <c r="EJ90" s="143"/>
      <c r="EK90" s="143"/>
      <c r="EL90" s="143"/>
      <c r="EM90" s="143"/>
      <c r="EN90" s="143"/>
      <c r="EO90" s="143"/>
      <c r="EP90" s="143"/>
      <c r="EQ90" s="143"/>
      <c r="ER90" s="142">
        <f>SUM(ES90:ET90)</f>
      </c>
      <c r="ES90" s="143"/>
      <c r="ET90" s="143"/>
      <c r="EU90" s="144"/>
      <c r="FB90" s="146"/>
      <c r="FC90" s="146" cm="1">
        <f t="array" ref="FC90">ROW()-ROW(New[#Headers])</f>
        <v>84</v>
      </c>
    </row>
    <row r="91" spans="2:159" s="139" customFormat="1" ht="10.5" x14ac:dyDescent="0.2">
      <c r="B91" s="133"/>
      <c r="C91" s="1991" t="s">
        <v>449</v>
      </c>
      <c r="D91" t="s" s="1992">
        <v>450</v>
      </c>
      <c r="E91" s="1993" t="s">
        <v>13</v>
      </c>
      <c r="F91" t="s" s="1994">
        <v>1618</v>
      </c>
      <c r="G91" t="s" s="1995">
        <v>1597</v>
      </c>
      <c r="H91" s="1996" t="s">
        <v>46</v>
      </c>
      <c r="I91" t="s" s="1997">
        <v>41</v>
      </c>
      <c r="J91" t="s" s="1998">
        <v>71</v>
      </c>
      <c r="K91" t="s" s="1999">
        <v>839</v>
      </c>
      <c r="L91" t="s" s="2000">
        <v>767</v>
      </c>
      <c r="M91" t="s" s="2001">
        <v>305</v>
      </c>
      <c r="N91" s="2002" t="s">
        <v>3873</v>
      </c>
      <c r="O91" s="2003" t="s">
        <v>3871</v>
      </c>
      <c r="P91" s="141"/>
      <c r="Q91" s="142">
        <f>SUM(R91:AQ91)</f>
      </c>
      <c r="R91" s="143"/>
      <c r="S91" s="143"/>
      <c r="T91" s="143"/>
      <c r="U91" s="143"/>
      <c r="V91" s="143"/>
      <c r="W91" s="143"/>
      <c r="X91" s="143"/>
      <c r="Y91" s="143"/>
      <c r="Z91" s="143"/>
      <c r="AA91" s="143"/>
      <c r="AB91" s="143"/>
      <c r="AC91" s="143"/>
      <c r="AD91" s="143"/>
      <c r="AE91" s="143"/>
      <c r="AF91" s="143"/>
      <c r="AG91" s="143"/>
      <c r="AH91" s="143"/>
      <c r="AI91" s="143"/>
      <c r="AJ91" s="2004" t="n">
        <v>720.0</v>
      </c>
      <c r="AK91" s="143"/>
      <c r="AL91" s="143"/>
      <c r="AM91" s="143"/>
      <c r="AN91" s="143"/>
      <c r="AO91" s="143"/>
      <c r="AP91" s="143"/>
      <c r="AQ91" s="143"/>
      <c r="AR91" s="142">
        <f>SUM(AS91:AV91)</f>
      </c>
      <c r="AS91" s="143"/>
      <c r="AT91" s="143"/>
      <c r="AU91" s="143"/>
      <c r="AV91" s="143"/>
      <c r="AW91" s="142">
        <f>SUM(AX91:BI91)</f>
      </c>
      <c r="AX91" s="143"/>
      <c r="AY91" s="143"/>
      <c r="AZ91" s="143"/>
      <c r="BA91" s="143"/>
      <c r="BB91" s="143"/>
      <c r="BC91" s="143"/>
      <c r="BD91" s="143"/>
      <c r="BE91" s="143"/>
      <c r="BF91" s="143"/>
      <c r="BG91" s="143"/>
      <c r="BH91" s="143"/>
      <c r="BI91" s="143"/>
      <c r="BJ91" s="142"/>
      <c r="BK91" s="143"/>
      <c r="BL91" s="143"/>
      <c r="BM91" s="143"/>
      <c r="BN91" s="143"/>
      <c r="BO91" s="143"/>
      <c r="BP91" s="143"/>
      <c r="BQ91" s="142"/>
      <c r="BR91" s="143"/>
      <c r="BS91" s="143"/>
      <c r="BT91" s="142">
        <f>SUM(BU91:BW91)</f>
      </c>
      <c r="BU91" s="143"/>
      <c r="BV91" s="143"/>
      <c r="BW91" s="143"/>
      <c r="BX91" s="142">
        <f>SUM(BY91:CD91)</f>
      </c>
      <c r="BY91" s="143"/>
      <c r="BZ91" s="143"/>
      <c r="CA91" s="143"/>
      <c r="CB91" s="143"/>
      <c r="CC91" s="143"/>
      <c r="CD91" s="143"/>
      <c r="CE91" s="142"/>
      <c r="CF91" s="143"/>
      <c r="CG91" s="143"/>
      <c r="CH91" s="143"/>
      <c r="CI91" s="143"/>
      <c r="CJ91" s="143"/>
      <c r="CK91" s="142">
        <f>SUM(CL91:CN91)</f>
      </c>
      <c r="CL91" s="143"/>
      <c r="CM91" s="143"/>
      <c r="CN91" s="143"/>
      <c r="CO91" s="142">
        <f>SUM(CP91:CT91)</f>
      </c>
      <c r="CP91" s="143"/>
      <c r="CQ91" s="143"/>
      <c r="CR91" s="143"/>
      <c r="CS91" s="143"/>
      <c r="CT91" s="143"/>
      <c r="CU91" s="142"/>
      <c r="CV91" s="143"/>
      <c r="CW91" s="143"/>
      <c r="CX91" s="143"/>
      <c r="CY91" s="142"/>
      <c r="CZ91" s="143"/>
      <c r="DA91" s="143"/>
      <c r="DB91" s="143"/>
      <c r="DC91" s="143"/>
      <c r="DD91" s="143"/>
      <c r="DE91" s="143"/>
      <c r="DF91" s="143"/>
      <c r="DG91" s="142">
        <f>SUM(DH91:DH91)</f>
      </c>
      <c r="DH91" s="2005" t="n">
        <v>200.0</v>
      </c>
      <c r="DI91" s="142"/>
      <c r="DJ91" s="143"/>
      <c r="DK91" s="142">
        <f>SUM(DL91:DQ91)</f>
      </c>
      <c r="DL91" s="143"/>
      <c r="DM91" s="143"/>
      <c r="DN91" s="143"/>
      <c r="DO91" s="143"/>
      <c r="DP91" s="143"/>
      <c r="DQ91" s="143"/>
      <c r="DR91" s="143"/>
      <c r="DS91" s="143"/>
      <c r="DT91" s="143"/>
      <c r="DU91" s="143"/>
      <c r="DV91" s="143"/>
      <c r="DW91" s="143"/>
      <c r="DX91" s="142"/>
      <c r="DY91" s="143"/>
      <c r="DZ91" s="142"/>
      <c r="EA91" s="143"/>
      <c r="EB91" s="143"/>
      <c r="EC91" s="142"/>
      <c r="ED91" s="143"/>
      <c r="EF91" s="143"/>
      <c r="EG91" s="142">
        <f>SUM(EH91:EQ91)</f>
      </c>
      <c r="EH91" s="143"/>
      <c r="EI91" s="143"/>
      <c r="EJ91" s="143"/>
      <c r="EK91" s="143"/>
      <c r="EL91" s="143"/>
      <c r="EM91" s="143"/>
      <c r="EN91" s="143"/>
      <c r="EO91" s="143"/>
      <c r="EP91" s="143"/>
      <c r="EQ91" s="143"/>
      <c r="ER91" s="142">
        <f>SUM(ES91:ET91)</f>
      </c>
      <c r="ES91" s="143"/>
      <c r="ET91" s="143"/>
      <c r="EU91" s="144"/>
      <c r="FB91" s="146"/>
      <c r="FC91" s="146" cm="1">
        <f t="array" ref="FC91">ROW()-ROW(New[#Headers])</f>
        <v>85</v>
      </c>
    </row>
    <row r="92" spans="2:159" s="139" customFormat="1" ht="10.5" x14ac:dyDescent="0.2">
      <c r="B92" s="133"/>
      <c r="C92" s="2006" t="s">
        <v>369</v>
      </c>
      <c r="D92" t="s" s="2007">
        <v>370</v>
      </c>
      <c r="E92" s="2008" t="s">
        <v>35</v>
      </c>
      <c r="F92" t="s" s="2009">
        <v>766</v>
      </c>
      <c r="G92" t="s" s="2010">
        <v>1597</v>
      </c>
      <c r="H92" s="2011" t="s">
        <v>57</v>
      </c>
      <c r="I92" t="s" s="2012">
        <v>43</v>
      </c>
      <c r="J92" t="s" s="2013">
        <v>68</v>
      </c>
      <c r="K92" t="s" s="2014">
        <v>1567</v>
      </c>
      <c r="L92" t="s" s="2015">
        <v>767</v>
      </c>
      <c r="M92" t="s" s="2016">
        <v>305</v>
      </c>
      <c r="N92" s="2017" t="s">
        <v>3873</v>
      </c>
      <c r="O92" s="2018" t="s">
        <v>3871</v>
      </c>
      <c r="P92" s="141"/>
      <c r="Q92" s="142">
        <f>SUM(R92:AQ92)</f>
      </c>
      <c r="R92" s="143"/>
      <c r="S92" s="143"/>
      <c r="T92" s="143"/>
      <c r="U92" s="143"/>
      <c r="V92" s="143"/>
      <c r="W92" s="143"/>
      <c r="X92" s="143"/>
      <c r="Y92" s="143"/>
      <c r="Z92" s="143"/>
      <c r="AA92" s="143"/>
      <c r="AB92" s="143"/>
      <c r="AC92" s="143"/>
      <c r="AD92" s="143"/>
      <c r="AE92" s="143"/>
      <c r="AF92" s="143"/>
      <c r="AG92" s="2019" t="n">
        <v>1032.0</v>
      </c>
      <c r="AH92" s="143"/>
      <c r="AI92" s="143"/>
      <c r="AJ92" s="143"/>
      <c r="AK92" s="143"/>
      <c r="AL92" s="143"/>
      <c r="AM92" s="143"/>
      <c r="AN92" s="143"/>
      <c r="AO92" s="143"/>
      <c r="AP92" s="143"/>
      <c r="AQ92" s="143"/>
      <c r="AR92" s="142">
        <f>SUM(AS92:AV92)</f>
      </c>
      <c r="AS92" s="143"/>
      <c r="AT92" s="143"/>
      <c r="AU92" s="143"/>
      <c r="AV92" s="143"/>
      <c r="AW92" s="142">
        <f>SUM(AX92:BI92)</f>
      </c>
      <c r="AX92" s="143"/>
      <c r="AY92" s="143"/>
      <c r="AZ92" s="143"/>
      <c r="BA92" s="143"/>
      <c r="BB92" s="143"/>
      <c r="BC92" s="143"/>
      <c r="BD92" s="143"/>
      <c r="BE92" s="143"/>
      <c r="BF92" s="143"/>
      <c r="BG92" s="143"/>
      <c r="BH92" s="143"/>
      <c r="BI92" s="143"/>
      <c r="BJ92" s="142"/>
      <c r="BK92" s="143"/>
      <c r="BL92" s="143"/>
      <c r="BM92" s="143"/>
      <c r="BN92" s="143"/>
      <c r="BO92" s="143"/>
      <c r="BP92" s="143"/>
      <c r="BQ92" s="142"/>
      <c r="BR92" s="143"/>
      <c r="BS92" s="143"/>
      <c r="BT92" s="142">
        <f>SUM(BU92:BW92)</f>
      </c>
      <c r="BU92" s="143"/>
      <c r="BV92" s="143"/>
      <c r="BW92" s="143"/>
      <c r="BX92" s="142">
        <f>SUM(BY92:CD92)</f>
      </c>
      <c r="BY92" s="143"/>
      <c r="BZ92" s="143"/>
      <c r="CA92" s="143"/>
      <c r="CB92" s="143"/>
      <c r="CC92" s="143"/>
      <c r="CD92" s="143"/>
      <c r="CE92" s="142"/>
      <c r="CF92" s="143"/>
      <c r="CG92" s="143"/>
      <c r="CH92" s="143"/>
      <c r="CI92" s="143"/>
      <c r="CJ92" s="143"/>
      <c r="CK92" s="142">
        <f>SUM(CL92:CN92)</f>
      </c>
      <c r="CL92" s="143"/>
      <c r="CM92" s="143"/>
      <c r="CN92" s="143"/>
      <c r="CO92" s="142">
        <f>SUM(CP92:CT92)</f>
      </c>
      <c r="CP92" s="143"/>
      <c r="CQ92" s="143"/>
      <c r="CR92" s="143"/>
      <c r="CS92" s="143"/>
      <c r="CT92" s="143"/>
      <c r="CU92" s="142"/>
      <c r="CV92" s="143"/>
      <c r="CW92" s="143"/>
      <c r="CX92" s="143"/>
      <c r="CY92" s="142"/>
      <c r="CZ92" s="143"/>
      <c r="DA92" s="143"/>
      <c r="DB92" s="143"/>
      <c r="DC92" s="143"/>
      <c r="DD92" s="143"/>
      <c r="DE92" s="143"/>
      <c r="DF92" s="143"/>
      <c r="DG92" s="142">
        <f>SUM(DH92:DH92)</f>
      </c>
      <c r="DH92" s="143"/>
      <c r="DI92" s="142"/>
      <c r="DJ92" s="143"/>
      <c r="DK92" s="142">
        <f>SUM(DL92:DQ92)</f>
      </c>
      <c r="DL92" s="143"/>
      <c r="DM92" s="143"/>
      <c r="DN92" s="143"/>
      <c r="DO92" s="143"/>
      <c r="DP92" s="143"/>
      <c r="DQ92" s="143"/>
      <c r="DR92" s="143"/>
      <c r="DS92" s="143"/>
      <c r="DT92" s="143"/>
      <c r="DU92" s="143"/>
      <c r="DV92" s="143"/>
      <c r="DW92" s="143"/>
      <c r="DX92" s="142"/>
      <c r="DY92" s="143"/>
      <c r="DZ92" s="142"/>
      <c r="EA92" s="143"/>
      <c r="EB92" s="143"/>
      <c r="EC92" s="142"/>
      <c r="ED92" s="143"/>
      <c r="EF92" s="143"/>
      <c r="EG92" s="142">
        <f>SUM(EH92:EQ92)</f>
      </c>
      <c r="EH92" s="143"/>
      <c r="EI92" s="143"/>
      <c r="EJ92" s="143"/>
      <c r="EK92" s="143"/>
      <c r="EL92" s="143"/>
      <c r="EM92" s="143"/>
      <c r="EN92" s="143"/>
      <c r="EO92" s="143"/>
      <c r="EP92" s="143"/>
      <c r="EQ92" s="143"/>
      <c r="ER92" s="142">
        <f>SUM(ES92:ET92)</f>
      </c>
      <c r="ES92" s="143"/>
      <c r="ET92" s="143"/>
      <c r="EU92" s="144"/>
      <c r="FB92" s="146"/>
      <c r="FC92" s="146" cm="1">
        <f t="array" ref="FC92">ROW()-ROW(New[#Headers])</f>
        <v>86</v>
      </c>
    </row>
    <row r="93" spans="2:159" s="139" customFormat="1" ht="10.5" x14ac:dyDescent="0.2">
      <c r="B93" s="133"/>
      <c r="C93" s="2034" t="s">
        <v>342</v>
      </c>
      <c r="D93" t="s" s="2035">
        <v>343</v>
      </c>
      <c r="E93" s="2036" t="s">
        <v>13</v>
      </c>
      <c r="F93" t="s" s="2037">
        <v>766</v>
      </c>
      <c r="G93" t="s" s="2038">
        <v>1597</v>
      </c>
      <c r="H93" s="2039" t="s">
        <v>46</v>
      </c>
      <c r="I93" t="s" s="2040">
        <v>41</v>
      </c>
      <c r="J93" t="s" s="2041">
        <v>68</v>
      </c>
      <c r="K93" t="s" s="2042">
        <v>1059</v>
      </c>
      <c r="L93" t="s" s="2043">
        <v>767</v>
      </c>
      <c r="M93" t="s" s="2044">
        <v>305</v>
      </c>
      <c r="N93" s="2045" t="s">
        <v>3875</v>
      </c>
      <c r="O93" s="2046" t="s">
        <v>3874</v>
      </c>
      <c r="P93" s="141"/>
      <c r="Q93" s="142">
        <f>SUM(R93:AQ93)</f>
      </c>
      <c r="R93" s="143"/>
      <c r="S93" s="143"/>
      <c r="T93" s="143"/>
      <c r="U93" s="143"/>
      <c r="V93" s="143"/>
      <c r="W93" s="143"/>
      <c r="X93" s="143"/>
      <c r="Y93" s="143"/>
      <c r="Z93" s="143"/>
      <c r="AA93" s="143"/>
      <c r="AB93" s="143"/>
      <c r="AC93" s="143"/>
      <c r="AD93" s="143"/>
      <c r="AE93" s="143"/>
      <c r="AF93" s="143"/>
      <c r="AG93" s="2047" t="n">
        <v>480.0</v>
      </c>
      <c r="AH93" s="143"/>
      <c r="AI93" s="143"/>
      <c r="AJ93" s="143"/>
      <c r="AK93" s="143"/>
      <c r="AL93" s="143"/>
      <c r="AM93" s="143"/>
      <c r="AN93" s="143"/>
      <c r="AO93" s="143"/>
      <c r="AP93" s="143"/>
      <c r="AQ93" s="143"/>
      <c r="AR93" s="142">
        <f>SUM(AS93:AV93)</f>
      </c>
      <c r="AS93" s="143"/>
      <c r="AT93" s="143"/>
      <c r="AU93" s="143"/>
      <c r="AV93" s="143"/>
      <c r="AW93" s="142">
        <f>SUM(AX93:BI93)</f>
      </c>
      <c r="AX93" s="143"/>
      <c r="AY93" s="143"/>
      <c r="AZ93" s="143"/>
      <c r="BA93" s="143"/>
      <c r="BB93" s="143"/>
      <c r="BC93" s="143"/>
      <c r="BD93" s="143"/>
      <c r="BE93" s="143"/>
      <c r="BF93" s="143"/>
      <c r="BG93" s="143"/>
      <c r="BH93" s="143"/>
      <c r="BI93" s="143"/>
      <c r="BJ93" s="142"/>
      <c r="BK93" s="143"/>
      <c r="BL93" s="143"/>
      <c r="BM93" s="143"/>
      <c r="BN93" s="143"/>
      <c r="BO93" s="143"/>
      <c r="BP93" s="143"/>
      <c r="BQ93" s="142"/>
      <c r="BR93" s="143"/>
      <c r="BS93" s="143"/>
      <c r="BT93" s="142">
        <f>SUM(BU93:BW93)</f>
      </c>
      <c r="BU93" s="143"/>
      <c r="BV93" s="143"/>
      <c r="BW93" s="143"/>
      <c r="BX93" s="142">
        <f>SUM(BY93:CD93)</f>
      </c>
      <c r="BY93" s="143"/>
      <c r="BZ93" s="143"/>
      <c r="CA93" s="143"/>
      <c r="CB93" s="143"/>
      <c r="CC93" s="143"/>
      <c r="CD93" s="143"/>
      <c r="CE93" s="142"/>
      <c r="CF93" s="143"/>
      <c r="CG93" s="143"/>
      <c r="CH93" s="143"/>
      <c r="CI93" s="143"/>
      <c r="CJ93" s="143"/>
      <c r="CK93" s="142">
        <f>SUM(CL93:CN93)</f>
      </c>
      <c r="CL93" s="143"/>
      <c r="CM93" s="143"/>
      <c r="CN93" s="143"/>
      <c r="CO93" s="142">
        <f>SUM(CP93:CT93)</f>
      </c>
      <c r="CP93" s="143"/>
      <c r="CQ93" s="143"/>
      <c r="CR93" s="143"/>
      <c r="CS93" s="143"/>
      <c r="CT93" s="143"/>
      <c r="CU93" s="142"/>
      <c r="CV93" s="143"/>
      <c r="CW93" s="143"/>
      <c r="CX93" s="143"/>
      <c r="CY93" s="142"/>
      <c r="CZ93" s="143"/>
      <c r="DA93" s="143"/>
      <c r="DB93" s="143"/>
      <c r="DC93" s="143"/>
      <c r="DD93" s="143"/>
      <c r="DE93" s="143"/>
      <c r="DF93" s="143"/>
      <c r="DG93" s="142">
        <f>SUM(DH93:DH93)</f>
      </c>
      <c r="DH93" s="143"/>
      <c r="DI93" s="142"/>
      <c r="DJ93" s="143"/>
      <c r="DK93" s="142">
        <f>SUM(DL93:DQ93)</f>
      </c>
      <c r="DL93" s="143"/>
      <c r="DM93" s="143"/>
      <c r="DN93" s="143"/>
      <c r="DO93" s="143"/>
      <c r="DP93" s="143"/>
      <c r="DQ93" s="143"/>
      <c r="DR93" s="143"/>
      <c r="DS93" s="143"/>
      <c r="DT93" s="143"/>
      <c r="DU93" s="143"/>
      <c r="DV93" s="143"/>
      <c r="DW93" s="143"/>
      <c r="DX93" s="142"/>
      <c r="DY93" s="143"/>
      <c r="DZ93" s="142"/>
      <c r="EA93" s="143"/>
      <c r="EB93" s="143"/>
      <c r="EC93" s="142"/>
      <c r="ED93" s="143"/>
      <c r="EF93" s="143"/>
      <c r="EG93" s="142">
        <f>SUM(EH93:EQ93)</f>
      </c>
      <c r="EH93" s="143"/>
      <c r="EI93" s="143"/>
      <c r="EJ93" s="143"/>
      <c r="EK93" s="143"/>
      <c r="EL93" s="143"/>
      <c r="EM93" s="143"/>
      <c r="EN93" s="143"/>
      <c r="EO93" s="143"/>
      <c r="EP93" s="143"/>
      <c r="EQ93" s="143"/>
      <c r="ER93" s="142">
        <f>SUM(ES93:ET93)</f>
      </c>
      <c r="ES93" s="143"/>
      <c r="ET93" s="143"/>
      <c r="EU93" s="144"/>
      <c r="FB93" s="146"/>
      <c r="FC93" s="146" cm="1">
        <f t="array" ref="FC93">ROW()-ROW(New[#Headers])</f>
        <v>87</v>
      </c>
    </row>
    <row r="94" spans="2:159" s="139" customFormat="1" ht="10.5" x14ac:dyDescent="0.2">
      <c r="B94" s="133"/>
      <c r="C94" s="2051" t="s">
        <v>325</v>
      </c>
      <c r="D94" t="s" s="2052">
        <v>326</v>
      </c>
      <c r="E94" s="2053" t="s">
        <v>13</v>
      </c>
      <c r="F94" t="s" s="2054">
        <v>984</v>
      </c>
      <c r="G94" t="s" s="2055">
        <v>1597</v>
      </c>
      <c r="H94" s="2056" t="s">
        <v>46</v>
      </c>
      <c r="I94" t="s" s="2057">
        <v>22</v>
      </c>
      <c r="J94" t="s" s="2058">
        <v>64</v>
      </c>
      <c r="K94" t="s" s="2059">
        <v>985</v>
      </c>
      <c r="L94" t="s" s="2060">
        <v>934</v>
      </c>
      <c r="M94" t="s" s="2061">
        <v>305</v>
      </c>
      <c r="N94" s="2062" t="s">
        <v>3870</v>
      </c>
      <c r="O94" s="2063" t="s">
        <v>3871</v>
      </c>
      <c r="P94" s="141"/>
      <c r="Q94" s="142">
        <f>SUM(R94:AQ94)</f>
      </c>
      <c r="R94" s="143"/>
      <c r="S94" s="2064" t="n">
        <v>680.0</v>
      </c>
      <c r="T94" s="143"/>
      <c r="U94" s="143"/>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2">
        <f>SUM(AS94:AV94)</f>
      </c>
      <c r="AS94" s="143"/>
      <c r="AT94" s="143"/>
      <c r="AU94" s="143"/>
      <c r="AV94" s="143"/>
      <c r="AW94" s="142">
        <f>SUM(AX94:BI94)</f>
      </c>
      <c r="AX94" s="143"/>
      <c r="AY94" s="143"/>
      <c r="AZ94" s="143"/>
      <c r="BA94" s="143"/>
      <c r="BB94" s="143"/>
      <c r="BC94" s="143"/>
      <c r="BD94" s="143"/>
      <c r="BE94" s="143"/>
      <c r="BF94" s="143"/>
      <c r="BG94" s="143"/>
      <c r="BH94" s="143"/>
      <c r="BI94" s="143"/>
      <c r="BJ94" s="142"/>
      <c r="BK94" s="143"/>
      <c r="BL94" s="143"/>
      <c r="BM94" s="143"/>
      <c r="BN94" s="143"/>
      <c r="BO94" s="143"/>
      <c r="BP94" s="143"/>
      <c r="BQ94" s="142"/>
      <c r="BR94" s="143"/>
      <c r="BS94" s="143"/>
      <c r="BT94" s="142">
        <f>SUM(BU94:BW94)</f>
      </c>
      <c r="BU94" s="143"/>
      <c r="BV94" s="143"/>
      <c r="BW94" s="143"/>
      <c r="BX94" s="142">
        <f>SUM(BY94:CD94)</f>
      </c>
      <c r="BY94" s="143"/>
      <c r="BZ94" s="143"/>
      <c r="CA94" s="143"/>
      <c r="CB94" s="143"/>
      <c r="CC94" s="143"/>
      <c r="CD94" s="143"/>
      <c r="CE94" s="142"/>
      <c r="CF94" s="143"/>
      <c r="CG94" s="143"/>
      <c r="CH94" s="143"/>
      <c r="CI94" s="143"/>
      <c r="CJ94" s="143"/>
      <c r="CK94" s="142">
        <f>SUM(CL94:CN94)</f>
      </c>
      <c r="CL94" s="143"/>
      <c r="CM94" s="143"/>
      <c r="CN94" s="143"/>
      <c r="CO94" s="142">
        <f>SUM(CP94:CT94)</f>
      </c>
      <c r="CP94" s="143"/>
      <c r="CQ94" s="143"/>
      <c r="CR94" s="143"/>
      <c r="CS94" s="143"/>
      <c r="CT94" s="143"/>
      <c r="CU94" s="142"/>
      <c r="CV94" s="143"/>
      <c r="CW94" s="143"/>
      <c r="CX94" s="143"/>
      <c r="CY94" s="142"/>
      <c r="CZ94" s="143"/>
      <c r="DA94" s="143"/>
      <c r="DB94" s="143"/>
      <c r="DC94" s="143"/>
      <c r="DD94" s="143"/>
      <c r="DE94" s="143"/>
      <c r="DF94" s="143"/>
      <c r="DG94" s="142">
        <f>SUM(DH94:DH94)</f>
      </c>
      <c r="DH94" s="143"/>
      <c r="DI94" s="142"/>
      <c r="DJ94" s="143"/>
      <c r="DK94" s="142">
        <f>SUM(DL94:DQ94)</f>
      </c>
      <c r="DL94" s="143"/>
      <c r="DM94" s="143"/>
      <c r="DN94" s="143"/>
      <c r="DO94" s="143"/>
      <c r="DP94" s="143"/>
      <c r="DQ94" s="143"/>
      <c r="DR94" s="143"/>
      <c r="DS94" s="143"/>
      <c r="DT94" s="143"/>
      <c r="DU94" s="143"/>
      <c r="DV94" s="143"/>
      <c r="DW94" s="143"/>
      <c r="DX94" s="142"/>
      <c r="DY94" s="143"/>
      <c r="DZ94" s="142"/>
      <c r="EA94" s="143"/>
      <c r="EB94" s="143"/>
      <c r="EC94" s="142"/>
      <c r="ED94" s="143"/>
      <c r="EF94" s="143"/>
      <c r="EG94" s="142">
        <f>SUM(EH94:EQ94)</f>
      </c>
      <c r="EH94" s="143"/>
      <c r="EI94" s="143"/>
      <c r="EJ94" s="143"/>
      <c r="EK94" s="143"/>
      <c r="EL94" s="143"/>
      <c r="EM94" s="143"/>
      <c r="EN94" s="143"/>
      <c r="EO94" s="143"/>
      <c r="EP94" s="143"/>
      <c r="EQ94" s="143"/>
      <c r="ER94" s="142">
        <f>SUM(ES94:ET94)</f>
      </c>
      <c r="ES94" s="143"/>
      <c r="ET94" s="143"/>
      <c r="EU94" s="144"/>
      <c r="FB94" s="146"/>
      <c r="FC94" s="146" cm="1">
        <f t="array" ref="FC94">ROW()-ROW(New[#Headers])</f>
        <v>88</v>
      </c>
    </row>
    <row r="95" spans="2:159" s="139" customFormat="1" ht="10.5" x14ac:dyDescent="0.2">
      <c r="B95" s="133"/>
      <c r="C95" s="2079" t="s">
        <v>594</v>
      </c>
      <c r="D95" t="s" s="2080">
        <v>595</v>
      </c>
      <c r="E95" s="2081" t="s">
        <v>13</v>
      </c>
      <c r="F95" t="s" s="2082">
        <v>750</v>
      </c>
      <c r="G95" t="s" s="2083">
        <v>1597</v>
      </c>
      <c r="H95" s="2084" t="s">
        <v>46</v>
      </c>
      <c r="I95" t="s" s="2085">
        <v>41</v>
      </c>
      <c r="J95" t="s" s="2086">
        <v>64</v>
      </c>
      <c r="K95" t="s" s="2087">
        <v>1679</v>
      </c>
      <c r="L95" t="s" s="2088">
        <v>934</v>
      </c>
      <c r="M95" t="s" s="2089">
        <v>305</v>
      </c>
      <c r="N95" s="2090" t="s">
        <v>3875</v>
      </c>
      <c r="O95" s="2091" t="s">
        <v>3871</v>
      </c>
      <c r="P95" s="141"/>
      <c r="Q95" s="142">
        <f>SUM(R95:AQ95)</f>
      </c>
      <c r="R95" s="143"/>
      <c r="S95" s="143"/>
      <c r="T95" s="2092" t="n">
        <v>170.0</v>
      </c>
      <c r="U95" s="143"/>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2">
        <f>SUM(AS95:AV95)</f>
      </c>
      <c r="AS95" s="143"/>
      <c r="AT95" s="143"/>
      <c r="AU95" s="143"/>
      <c r="AV95" s="143"/>
      <c r="AW95" s="142">
        <f>SUM(AX95:BI95)</f>
      </c>
      <c r="AX95" s="143"/>
      <c r="AY95" s="143"/>
      <c r="AZ95" s="143"/>
      <c r="BA95" s="143"/>
      <c r="BB95" s="143"/>
      <c r="BC95" s="143"/>
      <c r="BD95" s="143"/>
      <c r="BE95" s="143"/>
      <c r="BF95" s="143"/>
      <c r="BG95" s="143"/>
      <c r="BH95" s="143"/>
      <c r="BI95" s="143"/>
      <c r="BJ95" s="142"/>
      <c r="BK95" s="143"/>
      <c r="BL95" s="143"/>
      <c r="BM95" s="143"/>
      <c r="BN95" s="143"/>
      <c r="BO95" s="143"/>
      <c r="BP95" s="143"/>
      <c r="BQ95" s="142"/>
      <c r="BR95" s="143"/>
      <c r="BS95" s="143"/>
      <c r="BT95" s="142">
        <f>SUM(BU95:BW95)</f>
      </c>
      <c r="BU95" s="143"/>
      <c r="BV95" s="143"/>
      <c r="BW95" s="143"/>
      <c r="BX95" s="142">
        <f>SUM(BY95:CD95)</f>
      </c>
      <c r="BY95" s="143"/>
      <c r="BZ95" s="143"/>
      <c r="CA95" s="143"/>
      <c r="CB95" s="143"/>
      <c r="CC95" s="143"/>
      <c r="CD95" s="143"/>
      <c r="CE95" s="142"/>
      <c r="CF95" s="143"/>
      <c r="CG95" s="143"/>
      <c r="CH95" s="143"/>
      <c r="CI95" s="143"/>
      <c r="CJ95" s="143"/>
      <c r="CK95" s="142">
        <f>SUM(CL95:CN95)</f>
      </c>
      <c r="CL95" s="143"/>
      <c r="CM95" s="143"/>
      <c r="CN95" s="143"/>
      <c r="CO95" s="142">
        <f>SUM(CP95:CT95)</f>
      </c>
      <c r="CP95" s="143"/>
      <c r="CQ95" s="143"/>
      <c r="CR95" s="143"/>
      <c r="CS95" s="143"/>
      <c r="CT95" s="143"/>
      <c r="CU95" s="142"/>
      <c r="CV95" s="143"/>
      <c r="CW95" s="143"/>
      <c r="CX95" s="143"/>
      <c r="CY95" s="142"/>
      <c r="CZ95" s="143"/>
      <c r="DA95" s="143"/>
      <c r="DB95" s="143"/>
      <c r="DC95" s="143"/>
      <c r="DD95" s="143"/>
      <c r="DE95" s="143"/>
      <c r="DF95" s="143"/>
      <c r="DG95" s="142">
        <f>SUM(DH95:DH95)</f>
      </c>
      <c r="DH95" s="143"/>
      <c r="DI95" s="142"/>
      <c r="DJ95" s="143"/>
      <c r="DK95" s="142">
        <f>SUM(DL95:DQ95)</f>
      </c>
      <c r="DL95" s="143"/>
      <c r="DM95" s="143"/>
      <c r="DN95" s="143"/>
      <c r="DO95" s="143"/>
      <c r="DP95" s="143"/>
      <c r="DQ95" s="143"/>
      <c r="DR95" s="143"/>
      <c r="DS95" s="143"/>
      <c r="DT95" s="143"/>
      <c r="DU95" s="143"/>
      <c r="DV95" s="143"/>
      <c r="DW95" s="143"/>
      <c r="DX95" s="142"/>
      <c r="DY95" s="143"/>
      <c r="DZ95" s="142"/>
      <c r="EA95" s="143"/>
      <c r="EB95" s="143"/>
      <c r="EC95" s="142"/>
      <c r="ED95" s="143"/>
      <c r="EF95" s="143"/>
      <c r="EG95" s="142">
        <f>SUM(EH95:EQ95)</f>
      </c>
      <c r="EH95" s="143"/>
      <c r="EI95" s="143"/>
      <c r="EJ95" s="143"/>
      <c r="EK95" s="143"/>
      <c r="EL95" s="143"/>
      <c r="EM95" s="143"/>
      <c r="EN95" s="143"/>
      <c r="EO95" s="143"/>
      <c r="EP95" s="143"/>
      <c r="EQ95" s="143"/>
      <c r="ER95" s="142">
        <f>SUM(ES95:ET95)</f>
      </c>
      <c r="ES95" s="143"/>
      <c r="ET95" s="143"/>
      <c r="EU95" s="144"/>
      <c r="FB95" s="146"/>
      <c r="FC95" s="146" cm="1">
        <f t="array" ref="FC95">ROW()-ROW(New[#Headers])</f>
        <v>89</v>
      </c>
    </row>
    <row r="96" spans="2:159" s="139" customFormat="1" ht="10.5" x14ac:dyDescent="0.2">
      <c r="B96" s="133"/>
      <c r="C96" s="2093" t="s">
        <v>303</v>
      </c>
      <c r="D96" t="s" s="2094">
        <v>304</v>
      </c>
      <c r="E96" s="2095" t="s">
        <v>13</v>
      </c>
      <c r="F96" t="s" s="2096">
        <v>766</v>
      </c>
      <c r="G96" t="s" s="2097">
        <v>1597</v>
      </c>
      <c r="H96" s="2098" t="s">
        <v>46</v>
      </c>
      <c r="I96" t="s" s="2099">
        <v>41</v>
      </c>
      <c r="J96" t="s" s="2100">
        <v>68</v>
      </c>
      <c r="K96" t="s" s="2101">
        <v>1059</v>
      </c>
      <c r="L96" t="s" s="2102">
        <v>767</v>
      </c>
      <c r="M96" t="s" s="2103">
        <v>305</v>
      </c>
      <c r="N96" s="2104" t="s">
        <v>3873</v>
      </c>
      <c r="O96" s="2105" t="s">
        <v>3871</v>
      </c>
      <c r="P96" s="141"/>
      <c r="Q96" s="142">
        <f>SUM(R96:AQ96)</f>
      </c>
      <c r="R96" s="143"/>
      <c r="S96" s="143"/>
      <c r="T96" s="143"/>
      <c r="U96" s="143"/>
      <c r="V96" s="143"/>
      <c r="W96" s="143"/>
      <c r="X96" s="143"/>
      <c r="Y96" s="143"/>
      <c r="Z96" s="143"/>
      <c r="AA96" s="143"/>
      <c r="AB96" s="143"/>
      <c r="AC96" s="143"/>
      <c r="AD96" s="143"/>
      <c r="AE96" s="143"/>
      <c r="AF96" s="143"/>
      <c r="AG96" s="2106" t="n">
        <v>480.0</v>
      </c>
      <c r="AH96" s="143"/>
      <c r="AI96" s="143"/>
      <c r="AJ96" s="143"/>
      <c r="AK96" s="143"/>
      <c r="AL96" s="143"/>
      <c r="AM96" s="143"/>
      <c r="AN96" s="2107" t="n">
        <v>125.0</v>
      </c>
      <c r="AO96" s="143"/>
      <c r="AP96" s="143"/>
      <c r="AQ96" s="143"/>
      <c r="AR96" s="142">
        <f>SUM(AS96:AV96)</f>
      </c>
      <c r="AS96" s="143"/>
      <c r="AT96" s="143"/>
      <c r="AU96" s="143"/>
      <c r="AV96" s="143"/>
      <c r="AW96" s="142">
        <f>SUM(AX96:BI96)</f>
      </c>
      <c r="AX96" s="143"/>
      <c r="AY96" s="143"/>
      <c r="AZ96" s="143"/>
      <c r="BA96" s="143"/>
      <c r="BB96" s="143"/>
      <c r="BC96" s="143"/>
      <c r="BD96" s="143"/>
      <c r="BE96" s="143"/>
      <c r="BF96" s="143"/>
      <c r="BG96" s="143"/>
      <c r="BH96" s="143"/>
      <c r="BI96" s="143"/>
      <c r="BJ96" s="142"/>
      <c r="BK96" s="143"/>
      <c r="BL96" s="143"/>
      <c r="BM96" s="143"/>
      <c r="BN96" s="143"/>
      <c r="BO96" s="143"/>
      <c r="BP96" s="143"/>
      <c r="BQ96" s="142"/>
      <c r="BR96" s="143"/>
      <c r="BS96" s="143"/>
      <c r="BT96" s="142">
        <f>SUM(BU96:BW96)</f>
      </c>
      <c r="BU96" s="143"/>
      <c r="BV96" s="143"/>
      <c r="BW96" s="143"/>
      <c r="BX96" s="142">
        <f>SUM(BY96:CD96)</f>
      </c>
      <c r="BY96" s="143"/>
      <c r="BZ96" s="143"/>
      <c r="CA96" s="143"/>
      <c r="CB96" s="143"/>
      <c r="CC96" s="143"/>
      <c r="CD96" s="143"/>
      <c r="CE96" s="142"/>
      <c r="CF96" s="143"/>
      <c r="CG96" s="143"/>
      <c r="CH96" s="143"/>
      <c r="CI96" s="143"/>
      <c r="CJ96" s="143"/>
      <c r="CK96" s="142">
        <f>SUM(CL96:CN96)</f>
      </c>
      <c r="CL96" s="143"/>
      <c r="CM96" s="143"/>
      <c r="CN96" s="143"/>
      <c r="CO96" s="142">
        <f>SUM(CP96:CT96)</f>
      </c>
      <c r="CP96" s="143"/>
      <c r="CQ96" s="143"/>
      <c r="CR96" s="143"/>
      <c r="CS96" s="143"/>
      <c r="CT96" s="143"/>
      <c r="CU96" s="142"/>
      <c r="CV96" s="143"/>
      <c r="CW96" s="143"/>
      <c r="CX96" s="143"/>
      <c r="CY96" s="142"/>
      <c r="CZ96" s="143"/>
      <c r="DA96" s="143"/>
      <c r="DB96" s="143"/>
      <c r="DC96" s="143"/>
      <c r="DD96" s="143"/>
      <c r="DE96" s="143"/>
      <c r="DF96" s="143"/>
      <c r="DG96" s="142">
        <f>SUM(DH96:DH96)</f>
      </c>
      <c r="DH96" s="2108" t="n">
        <v>150.0</v>
      </c>
      <c r="DI96" s="142"/>
      <c r="DJ96" s="143"/>
      <c r="DK96" s="142">
        <f>SUM(DL96:DQ96)</f>
      </c>
      <c r="DL96" s="143"/>
      <c r="DM96" s="143"/>
      <c r="DN96" s="143"/>
      <c r="DO96" s="143"/>
      <c r="DP96" s="143"/>
      <c r="DQ96" s="143"/>
      <c r="DR96" s="143"/>
      <c r="DS96" s="143"/>
      <c r="DT96" s="143"/>
      <c r="DU96" s="143"/>
      <c r="DV96" s="143"/>
      <c r="DW96" s="143"/>
      <c r="DX96" s="142"/>
      <c r="DY96" s="143"/>
      <c r="DZ96" s="142"/>
      <c r="EA96" s="143"/>
      <c r="EB96" s="143"/>
      <c r="EC96" s="142"/>
      <c r="ED96" s="143"/>
      <c r="EF96" s="143"/>
      <c r="EG96" s="142">
        <f>SUM(EH96:EQ96)</f>
      </c>
      <c r="EH96" s="143"/>
      <c r="EI96" s="143"/>
      <c r="EJ96" s="143"/>
      <c r="EK96" s="143"/>
      <c r="EL96" s="143"/>
      <c r="EM96" s="143"/>
      <c r="EN96" s="143"/>
      <c r="EO96" s="143"/>
      <c r="EP96" s="143"/>
      <c r="EQ96" s="143"/>
      <c r="ER96" s="142">
        <f>SUM(ES96:ET96)</f>
      </c>
      <c r="ES96" s="143"/>
      <c r="ET96" s="143"/>
      <c r="EU96" s="144"/>
      <c r="FB96" s="146"/>
      <c r="FC96" s="146" cm="1">
        <f t="array" ref="FC96">ROW()-ROW(New[#Headers])</f>
        <v>90</v>
      </c>
    </row>
    <row r="97" spans="2:159" s="139" customFormat="1" ht="10.5" x14ac:dyDescent="0.2">
      <c r="B97" s="133"/>
      <c r="C97" s="2109" t="s">
        <v>671</v>
      </c>
      <c r="D97" t="s" s="2110">
        <v>672</v>
      </c>
      <c r="E97" s="2111" t="s">
        <v>13</v>
      </c>
      <c r="F97" t="s" s="2112">
        <v>810</v>
      </c>
      <c r="G97" t="s" s="2113">
        <v>305</v>
      </c>
      <c r="H97" s="2114" t="s">
        <v>46</v>
      </c>
      <c r="I97" t="s" s="2115">
        <v>41</v>
      </c>
      <c r="J97" t="s" s="2116">
        <v>71</v>
      </c>
      <c r="K97" t="s" s="2117">
        <v>1706</v>
      </c>
      <c r="L97" t="s" s="2118">
        <v>305</v>
      </c>
      <c r="M97" t="s" s="2119">
        <v>305</v>
      </c>
      <c r="N97" s="2120" t="s">
        <v>3873</v>
      </c>
      <c r="O97" s="2121" t="s">
        <v>3871</v>
      </c>
      <c r="P97" s="141"/>
      <c r="Q97" s="142">
        <f>SUM(R97:AQ97)</f>
      </c>
      <c r="R97" s="143"/>
      <c r="S97" s="143"/>
      <c r="T97" s="143"/>
      <c r="U97" s="143"/>
      <c r="V97" s="143"/>
      <c r="W97" s="143"/>
      <c r="X97" s="143"/>
      <c r="Y97" s="143"/>
      <c r="Z97" s="143"/>
      <c r="AA97" s="143"/>
      <c r="AB97" s="143"/>
      <c r="AC97" s="143"/>
      <c r="AD97" s="143"/>
      <c r="AE97" s="143"/>
      <c r="AF97" s="143"/>
      <c r="AG97" s="143"/>
      <c r="AH97" s="143"/>
      <c r="AI97" s="143"/>
      <c r="AJ97" s="143"/>
      <c r="AK97" s="143"/>
      <c r="AL97" s="143"/>
      <c r="AM97" s="143"/>
      <c r="AN97" s="2122" t="n">
        <v>250.0</v>
      </c>
      <c r="AO97" s="143"/>
      <c r="AP97" s="143"/>
      <c r="AQ97" s="143"/>
      <c r="AR97" s="142">
        <f>SUM(AS97:AV97)</f>
      </c>
      <c r="AS97" s="143"/>
      <c r="AT97" s="143"/>
      <c r="AU97" s="143"/>
      <c r="AV97" s="143"/>
      <c r="AW97" s="142">
        <f>SUM(AX97:BI97)</f>
      </c>
      <c r="AX97" s="143"/>
      <c r="AY97" s="143"/>
      <c r="AZ97" s="143"/>
      <c r="BA97" s="143"/>
      <c r="BB97" s="143"/>
      <c r="BC97" s="143"/>
      <c r="BD97" s="143"/>
      <c r="BE97" s="143"/>
      <c r="BF97" s="143"/>
      <c r="BG97" s="143"/>
      <c r="BH97" s="143"/>
      <c r="BI97" s="143"/>
      <c r="BJ97" s="142"/>
      <c r="BK97" s="143"/>
      <c r="BL97" s="143"/>
      <c r="BM97" s="143"/>
      <c r="BN97" s="143"/>
      <c r="BO97" s="143"/>
      <c r="BP97" s="143"/>
      <c r="BQ97" s="142"/>
      <c r="BR97" s="143"/>
      <c r="BS97" s="143"/>
      <c r="BT97" s="142">
        <f>SUM(BU97:BW97)</f>
      </c>
      <c r="BU97" s="143"/>
      <c r="BV97" s="143"/>
      <c r="BW97" s="143"/>
      <c r="BX97" s="142">
        <f>SUM(BY97:CD97)</f>
      </c>
      <c r="BY97" s="143"/>
      <c r="BZ97" s="143"/>
      <c r="CA97" s="143"/>
      <c r="CB97" s="143"/>
      <c r="CC97" s="143"/>
      <c r="CD97" s="143"/>
      <c r="CE97" s="142"/>
      <c r="CF97" s="143"/>
      <c r="CG97" s="143"/>
      <c r="CH97" s="143"/>
      <c r="CI97" s="143"/>
      <c r="CJ97" s="143"/>
      <c r="CK97" s="142">
        <f>SUM(CL97:CN97)</f>
      </c>
      <c r="CL97" s="143"/>
      <c r="CM97" s="143"/>
      <c r="CN97" s="143"/>
      <c r="CO97" s="142">
        <f>SUM(CP97:CT97)</f>
      </c>
      <c r="CP97" s="143"/>
      <c r="CQ97" s="143"/>
      <c r="CR97" s="143"/>
      <c r="CS97" s="143"/>
      <c r="CT97" s="143"/>
      <c r="CU97" s="142"/>
      <c r="CV97" s="143"/>
      <c r="CW97" s="143"/>
      <c r="CX97" s="143"/>
      <c r="CY97" s="142"/>
      <c r="CZ97" s="143"/>
      <c r="DA97" s="143"/>
      <c r="DB97" s="143"/>
      <c r="DC97" s="143"/>
      <c r="DD97" s="143"/>
      <c r="DE97" s="143"/>
      <c r="DF97" s="143"/>
      <c r="DG97" s="142">
        <f>SUM(DH97:DH97)</f>
      </c>
      <c r="DH97" s="143"/>
      <c r="DI97" s="142"/>
      <c r="DJ97" s="143"/>
      <c r="DK97" s="142">
        <f>SUM(DL97:DQ97)</f>
      </c>
      <c r="DL97" s="143"/>
      <c r="DM97" s="143"/>
      <c r="DN97" s="143"/>
      <c r="DO97" s="143"/>
      <c r="DP97" s="143"/>
      <c r="DQ97" s="143"/>
      <c r="DR97" s="143"/>
      <c r="DS97" s="143"/>
      <c r="DT97" s="143"/>
      <c r="DU97" s="143"/>
      <c r="DV97" s="143"/>
      <c r="DW97" s="143"/>
      <c r="DX97" s="142"/>
      <c r="DY97" s="143"/>
      <c r="DZ97" s="142"/>
      <c r="EA97" s="143"/>
      <c r="EB97" s="143"/>
      <c r="EC97" s="142"/>
      <c r="ED97" s="143"/>
      <c r="EF97" s="143"/>
      <c r="EG97" s="142">
        <f>SUM(EH97:EQ97)</f>
      </c>
      <c r="EH97" s="143"/>
      <c r="EI97" s="143"/>
      <c r="EJ97" s="143"/>
      <c r="EK97" s="143"/>
      <c r="EL97" s="143"/>
      <c r="EM97" s="143"/>
      <c r="EN97" s="143"/>
      <c r="EO97" s="143"/>
      <c r="EP97" s="143"/>
      <c r="EQ97" s="143"/>
      <c r="ER97" s="142">
        <f>SUM(ES97:ET97)</f>
      </c>
      <c r="ES97" s="143"/>
      <c r="ET97" s="143"/>
      <c r="EU97" s="144"/>
      <c r="FB97" s="146"/>
      <c r="FC97" s="146" cm="1">
        <f t="array" ref="FC97">ROW()-ROW(New[#Headers])</f>
        <v>91</v>
      </c>
    </row>
    <row r="98" spans="2:159" s="139" customFormat="1" ht="10.5" x14ac:dyDescent="0.2">
      <c r="B98" s="133"/>
      <c r="C98" s="2139" t="s">
        <v>397</v>
      </c>
      <c r="D98" t="s" s="2140">
        <v>398</v>
      </c>
      <c r="E98" s="2141" t="s">
        <v>23</v>
      </c>
      <c r="F98" t="s" s="2142">
        <v>766</v>
      </c>
      <c r="G98" t="s" s="2143">
        <v>1597</v>
      </c>
      <c r="H98" s="2144" t="s">
        <v>51</v>
      </c>
      <c r="I98" t="s" s="2145">
        <v>41</v>
      </c>
      <c r="J98" t="s" s="2146">
        <v>68</v>
      </c>
      <c r="K98" t="s" s="2147">
        <v>1643</v>
      </c>
      <c r="L98" t="s" s="2148">
        <v>767</v>
      </c>
      <c r="M98" t="s" s="2149">
        <v>305</v>
      </c>
      <c r="N98" s="2150" t="s">
        <v>3873</v>
      </c>
      <c r="O98" s="2151" t="s">
        <v>3876</v>
      </c>
      <c r="P98" s="141"/>
      <c r="Q98" s="142">
        <f>SUM(R98:AQ98)</f>
      </c>
      <c r="R98" s="143"/>
      <c r="S98" s="143"/>
      <c r="T98" s="143"/>
      <c r="U98" s="143"/>
      <c r="V98" s="143"/>
      <c r="W98" s="143"/>
      <c r="X98" s="143"/>
      <c r="Y98" s="143"/>
      <c r="Z98" s="143"/>
      <c r="AA98" s="143"/>
      <c r="AB98" s="143"/>
      <c r="AC98" s="143"/>
      <c r="AD98" s="143"/>
      <c r="AE98" s="143"/>
      <c r="AF98" s="143"/>
      <c r="AG98" s="2152" t="n">
        <v>180.0</v>
      </c>
      <c r="AH98" s="143"/>
      <c r="AI98" s="143"/>
      <c r="AJ98" s="143"/>
      <c r="AK98" s="143"/>
      <c r="AL98" s="143"/>
      <c r="AM98" s="143"/>
      <c r="AN98" s="143"/>
      <c r="AO98" s="143"/>
      <c r="AP98" s="143"/>
      <c r="AQ98" s="143"/>
      <c r="AR98" s="142">
        <f>SUM(AS98:AV98)</f>
      </c>
      <c r="AS98" s="143"/>
      <c r="AT98" s="143"/>
      <c r="AU98" s="143"/>
      <c r="AV98" s="143"/>
      <c r="AW98" s="142">
        <f>SUM(AX98:BI98)</f>
      </c>
      <c r="AX98" s="143"/>
      <c r="AY98" s="143"/>
      <c r="AZ98" s="143"/>
      <c r="BA98" s="143"/>
      <c r="BB98" s="143"/>
      <c r="BC98" s="143"/>
      <c r="BD98" s="143"/>
      <c r="BE98" s="143"/>
      <c r="BF98" s="143"/>
      <c r="BG98" s="143"/>
      <c r="BH98" s="143"/>
      <c r="BI98" s="143"/>
      <c r="BJ98" s="142"/>
      <c r="BK98" s="143"/>
      <c r="BL98" s="143"/>
      <c r="BM98" s="143"/>
      <c r="BN98" s="143"/>
      <c r="BO98" s="143"/>
      <c r="BP98" s="143"/>
      <c r="BQ98" s="142"/>
      <c r="BR98" s="143"/>
      <c r="BS98" s="143"/>
      <c r="BT98" s="142">
        <f>SUM(BU98:BW98)</f>
      </c>
      <c r="BU98" s="143"/>
      <c r="BV98" s="143"/>
      <c r="BW98" s="143"/>
      <c r="BX98" s="142">
        <f>SUM(BY98:CD98)</f>
      </c>
      <c r="BY98" s="143"/>
      <c r="BZ98" s="143"/>
      <c r="CA98" s="143"/>
      <c r="CB98" s="143"/>
      <c r="CC98" s="143"/>
      <c r="CD98" s="143"/>
      <c r="CE98" s="142"/>
      <c r="CF98" s="143"/>
      <c r="CG98" s="143"/>
      <c r="CH98" s="143"/>
      <c r="CI98" s="143"/>
      <c r="CJ98" s="143"/>
      <c r="CK98" s="142">
        <f>SUM(CL98:CN98)</f>
      </c>
      <c r="CL98" s="143"/>
      <c r="CM98" s="143"/>
      <c r="CN98" s="143"/>
      <c r="CO98" s="142">
        <f>SUM(CP98:CT98)</f>
      </c>
      <c r="CP98" s="143"/>
      <c r="CQ98" s="143"/>
      <c r="CR98" s="143"/>
      <c r="CS98" s="143"/>
      <c r="CT98" s="143"/>
      <c r="CU98" s="142"/>
      <c r="CV98" s="143"/>
      <c r="CW98" s="143"/>
      <c r="CX98" s="143"/>
      <c r="CY98" s="142"/>
      <c r="CZ98" s="143"/>
      <c r="DA98" s="143"/>
      <c r="DB98" s="143"/>
      <c r="DC98" s="143"/>
      <c r="DD98" s="143"/>
      <c r="DE98" s="143"/>
      <c r="DF98" s="143"/>
      <c r="DG98" s="142">
        <f>SUM(DH98:DH98)</f>
      </c>
      <c r="DH98" s="143"/>
      <c r="DI98" s="142"/>
      <c r="DJ98" s="143"/>
      <c r="DK98" s="142">
        <f>SUM(DL98:DQ98)</f>
      </c>
      <c r="DL98" s="143"/>
      <c r="DM98" s="143"/>
      <c r="DN98" s="143"/>
      <c r="DO98" s="143"/>
      <c r="DP98" s="143"/>
      <c r="DQ98" s="143"/>
      <c r="DR98" s="143"/>
      <c r="DS98" s="143"/>
      <c r="DT98" s="143"/>
      <c r="DU98" s="143"/>
      <c r="DV98" s="143"/>
      <c r="DW98" s="143"/>
      <c r="DX98" s="142"/>
      <c r="DY98" s="143"/>
      <c r="DZ98" s="142"/>
      <c r="EA98" s="143"/>
      <c r="EB98" s="143"/>
      <c r="EC98" s="142"/>
      <c r="ED98" s="143"/>
      <c r="EF98" s="143"/>
      <c r="EG98" s="142">
        <f>SUM(EH98:EQ98)</f>
      </c>
      <c r="EH98" s="143"/>
      <c r="EI98" s="143"/>
      <c r="EJ98" s="143"/>
      <c r="EK98" s="143"/>
      <c r="EL98" s="143"/>
      <c r="EM98" s="143"/>
      <c r="EN98" s="143"/>
      <c r="EO98" s="143"/>
      <c r="EP98" s="143"/>
      <c r="EQ98" s="143"/>
      <c r="ER98" s="142">
        <f>SUM(ES98:ET98)</f>
      </c>
      <c r="ES98" s="143"/>
      <c r="ET98" s="143"/>
      <c r="EU98" s="144"/>
      <c r="FB98" s="146"/>
      <c r="FC98" s="146" cm="1">
        <f t="array" ref="FC98">ROW()-ROW(New[#Headers])</f>
        <v>92</v>
      </c>
    </row>
    <row r="99" spans="2:159" s="139" customFormat="1" ht="10.5" x14ac:dyDescent="0.2">
      <c r="B99" s="133"/>
      <c r="C99" s="2212" t="s">
        <v>510</v>
      </c>
      <c r="D99" t="s" s="2213">
        <v>511</v>
      </c>
      <c r="E99" s="2214" t="s">
        <v>13</v>
      </c>
      <c r="F99" t="s" s="2215">
        <v>1618</v>
      </c>
      <c r="G99" t="s" s="2216">
        <v>1597</v>
      </c>
      <c r="H99" s="2217" t="s">
        <v>46</v>
      </c>
      <c r="I99" t="s" s="2218">
        <v>22</v>
      </c>
      <c r="J99" t="s" s="2219">
        <v>64</v>
      </c>
      <c r="K99" t="s" s="2220">
        <v>839</v>
      </c>
      <c r="L99" t="s" s="2221">
        <v>767</v>
      </c>
      <c r="M99" t="s" s="2222">
        <v>305</v>
      </c>
      <c r="N99" s="2223" t="s">
        <v>3873</v>
      </c>
      <c r="O99" s="2224" t="s">
        <v>3874</v>
      </c>
      <c r="P99" s="141"/>
      <c r="Q99" s="142">
        <f>SUM(R99:AQ99)</f>
      </c>
      <c r="R99" s="143"/>
      <c r="S99" s="143"/>
      <c r="T99" s="143"/>
      <c r="U99" s="143"/>
      <c r="V99" s="143"/>
      <c r="W99" s="143"/>
      <c r="X99" s="143"/>
      <c r="Y99" s="143"/>
      <c r="Z99" s="143"/>
      <c r="AA99" s="143"/>
      <c r="AB99" s="143"/>
      <c r="AC99" s="143"/>
      <c r="AD99" s="143"/>
      <c r="AE99" s="143"/>
      <c r="AF99" s="143"/>
      <c r="AG99" s="143"/>
      <c r="AH99" s="143"/>
      <c r="AI99" s="143"/>
      <c r="AJ99" s="143"/>
      <c r="AK99" s="143"/>
      <c r="AL99" s="2225" t="n">
        <v>150.0</v>
      </c>
      <c r="AM99" s="143"/>
      <c r="AN99" s="143"/>
      <c r="AO99" s="143"/>
      <c r="AP99" s="143"/>
      <c r="AQ99" s="143"/>
      <c r="AR99" s="142">
        <f>SUM(AS99:AV99)</f>
      </c>
      <c r="AS99" s="143"/>
      <c r="AT99" s="143"/>
      <c r="AU99" s="143"/>
      <c r="AV99" s="143"/>
      <c r="AW99" s="142">
        <f>SUM(AX99:BI99)</f>
      </c>
      <c r="AX99" s="143"/>
      <c r="AY99" s="143"/>
      <c r="AZ99" s="143"/>
      <c r="BA99" s="143"/>
      <c r="BB99" s="143"/>
      <c r="BC99" s="143"/>
      <c r="BD99" s="143"/>
      <c r="BE99" s="143"/>
      <c r="BF99" s="143"/>
      <c r="BG99" s="143"/>
      <c r="BH99" s="143"/>
      <c r="BI99" s="143"/>
      <c r="BJ99" s="142"/>
      <c r="BK99" s="143"/>
      <c r="BL99" s="143"/>
      <c r="BM99" s="143"/>
      <c r="BN99" s="143"/>
      <c r="BO99" s="143"/>
      <c r="BP99" s="143"/>
      <c r="BQ99" s="142"/>
      <c r="BR99" s="143"/>
      <c r="BS99" s="143"/>
      <c r="BT99" s="142">
        <f>SUM(BU99:BW99)</f>
      </c>
      <c r="BU99" s="143"/>
      <c r="BV99" s="143"/>
      <c r="BW99" s="143"/>
      <c r="BX99" s="142">
        <f>SUM(BY99:CD99)</f>
      </c>
      <c r="BY99" s="143"/>
      <c r="BZ99" s="143"/>
      <c r="CA99" s="143"/>
      <c r="CB99" s="143"/>
      <c r="CC99" s="143"/>
      <c r="CD99" s="143"/>
      <c r="CE99" s="142"/>
      <c r="CF99" s="143"/>
      <c r="CG99" s="143"/>
      <c r="CH99" s="143"/>
      <c r="CI99" s="143"/>
      <c r="CJ99" s="143"/>
      <c r="CK99" s="142">
        <f>SUM(CL99:CN99)</f>
      </c>
      <c r="CL99" s="143"/>
      <c r="CM99" s="143"/>
      <c r="CN99" s="143"/>
      <c r="CO99" s="142">
        <f>SUM(CP99:CT99)</f>
      </c>
      <c r="CP99" s="143"/>
      <c r="CQ99" s="143"/>
      <c r="CR99" s="143"/>
      <c r="CS99" s="143"/>
      <c r="CT99" s="143"/>
      <c r="CU99" s="142"/>
      <c r="CV99" s="143"/>
      <c r="CW99" s="143"/>
      <c r="CX99" s="143"/>
      <c r="CY99" s="142"/>
      <c r="CZ99" s="143"/>
      <c r="DA99" s="143"/>
      <c r="DB99" s="143"/>
      <c r="DC99" s="143"/>
      <c r="DD99" s="143"/>
      <c r="DE99" s="143"/>
      <c r="DF99" s="143"/>
      <c r="DG99" s="142">
        <f>SUM(DH99:DH99)</f>
      </c>
      <c r="DH99" s="2226" t="n">
        <v>200.0</v>
      </c>
      <c r="DI99" s="142"/>
      <c r="DJ99" s="143"/>
      <c r="DK99" s="142">
        <f>SUM(DL99:DQ99)</f>
      </c>
      <c r="DL99" s="143"/>
      <c r="DM99" s="143"/>
      <c r="DN99" s="143"/>
      <c r="DO99" s="143"/>
      <c r="DP99" s="143"/>
      <c r="DQ99" s="143"/>
      <c r="DR99" s="143"/>
      <c r="DS99" s="143"/>
      <c r="DT99" s="143"/>
      <c r="DU99" s="143"/>
      <c r="DV99" s="143"/>
      <c r="DW99" s="143"/>
      <c r="DX99" s="142"/>
      <c r="DY99" s="143"/>
      <c r="DZ99" s="142"/>
      <c r="EA99" s="143"/>
      <c r="EB99" s="143"/>
      <c r="EC99" s="142"/>
      <c r="ED99" s="143"/>
      <c r="EF99" s="143"/>
      <c r="EG99" s="142">
        <f>SUM(EH99:EQ99)</f>
      </c>
      <c r="EH99" s="143"/>
      <c r="EI99" s="143"/>
      <c r="EJ99" s="143"/>
      <c r="EK99" s="143"/>
      <c r="EL99" s="143"/>
      <c r="EM99" s="143"/>
      <c r="EN99" s="143"/>
      <c r="EO99" s="143"/>
      <c r="EP99" s="143"/>
      <c r="EQ99" s="143"/>
      <c r="ER99" s="142">
        <f>SUM(ES99:ET99)</f>
      </c>
      <c r="ES99" s="143"/>
      <c r="ET99" s="143"/>
      <c r="EU99" s="144"/>
      <c r="FB99" s="146"/>
      <c r="FC99" s="146" cm="1">
        <f t="array" ref="FC99">ROW()-ROW(New[#Headers])</f>
        <v>93</v>
      </c>
    </row>
    <row r="100" spans="2:159" s="139" customFormat="1" ht="10.5" x14ac:dyDescent="0.2">
      <c r="B100" s="133"/>
      <c r="C100" s="2227" t="s">
        <v>335</v>
      </c>
      <c r="D100" t="s" s="2228">
        <v>336</v>
      </c>
      <c r="E100" s="2229" t="s">
        <v>35</v>
      </c>
      <c r="F100" t="s" s="2230">
        <v>984</v>
      </c>
      <c r="G100" t="s" s="2231">
        <v>1597</v>
      </c>
      <c r="H100" s="2232" t="s">
        <v>53</v>
      </c>
      <c r="I100" t="s" s="2233">
        <v>43</v>
      </c>
      <c r="J100" t="s" s="2234">
        <v>64</v>
      </c>
      <c r="K100" t="s" s="2235">
        <v>985</v>
      </c>
      <c r="L100" t="s" s="2236">
        <v>934</v>
      </c>
      <c r="M100" t="s" s="2237">
        <v>305</v>
      </c>
      <c r="N100" s="2238" t="s">
        <v>3873</v>
      </c>
      <c r="O100" s="2239" t="s">
        <v>3878</v>
      </c>
      <c r="P100" s="141"/>
      <c r="Q100" s="142">
        <f>SUM(R100:AQ100)</f>
      </c>
      <c r="R100" s="143"/>
      <c r="S100" s="2240" t="n">
        <v>50.0</v>
      </c>
      <c r="T100" s="143"/>
      <c r="U100" s="143"/>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2">
        <f>SUM(AS100:AV100)</f>
      </c>
      <c r="AS100" s="143"/>
      <c r="AT100" s="143"/>
      <c r="AU100" s="143"/>
      <c r="AV100" s="143"/>
      <c r="AW100" s="142">
        <f>SUM(AX100:BI100)</f>
      </c>
      <c r="AX100" s="143"/>
      <c r="AY100" s="143"/>
      <c r="AZ100" s="143"/>
      <c r="BA100" s="143"/>
      <c r="BB100" s="143"/>
      <c r="BC100" s="143"/>
      <c r="BD100" s="143"/>
      <c r="BE100" s="143"/>
      <c r="BF100" s="143"/>
      <c r="BG100" s="143"/>
      <c r="BH100" s="143"/>
      <c r="BI100" s="143"/>
      <c r="BJ100" s="142"/>
      <c r="BK100" s="143"/>
      <c r="BL100" s="143"/>
      <c r="BM100" s="143"/>
      <c r="BN100" s="143"/>
      <c r="BO100" s="143"/>
      <c r="BP100" s="143"/>
      <c r="BQ100" s="142"/>
      <c r="BR100" s="143"/>
      <c r="BS100" s="143"/>
      <c r="BT100" s="142">
        <f>SUM(BU100:BW100)</f>
      </c>
      <c r="BU100" s="143"/>
      <c r="BV100" s="143"/>
      <c r="BW100" s="143"/>
      <c r="BX100" s="142">
        <f>SUM(BY100:CD100)</f>
      </c>
      <c r="BY100" s="143"/>
      <c r="BZ100" s="143"/>
      <c r="CA100" s="143"/>
      <c r="CB100" s="143"/>
      <c r="CC100" s="143"/>
      <c r="CD100" s="143"/>
      <c r="CE100" s="142"/>
      <c r="CF100" s="143"/>
      <c r="CG100" s="143"/>
      <c r="CH100" s="143"/>
      <c r="CI100" s="143"/>
      <c r="CJ100" s="143"/>
      <c r="CK100" s="142">
        <f>SUM(CL100:CN100)</f>
      </c>
      <c r="CL100" s="143"/>
      <c r="CM100" s="143"/>
      <c r="CN100" s="143"/>
      <c r="CO100" s="142">
        <f>SUM(CP100:CT100)</f>
      </c>
      <c r="CP100" s="143"/>
      <c r="CQ100" s="143"/>
      <c r="CR100" s="143"/>
      <c r="CS100" s="143"/>
      <c r="CT100" s="143"/>
      <c r="CU100" s="142"/>
      <c r="CV100" s="143"/>
      <c r="CW100" s="143"/>
      <c r="CX100" s="143"/>
      <c r="CY100" s="142"/>
      <c r="CZ100" s="143"/>
      <c r="DA100" s="143"/>
      <c r="DB100" s="143"/>
      <c r="DC100" s="143"/>
      <c r="DD100" s="143"/>
      <c r="DE100" s="143"/>
      <c r="DF100" s="143"/>
      <c r="DG100" s="142">
        <f>SUM(DH100:DH100)</f>
      </c>
      <c r="DH100" s="143"/>
      <c r="DI100" s="142"/>
      <c r="DJ100" s="143"/>
      <c r="DK100" s="142">
        <f>SUM(DL100:DQ100)</f>
      </c>
      <c r="DL100" s="143"/>
      <c r="DM100" s="143"/>
      <c r="DN100" s="143"/>
      <c r="DO100" s="143"/>
      <c r="DP100" s="143"/>
      <c r="DQ100" s="143"/>
      <c r="DR100" s="143"/>
      <c r="DS100" s="143"/>
      <c r="DT100" s="143"/>
      <c r="DU100" s="143"/>
      <c r="DV100" s="143"/>
      <c r="DW100" s="143"/>
      <c r="DX100" s="142"/>
      <c r="DY100" s="143"/>
      <c r="DZ100" s="142"/>
      <c r="EA100" s="143"/>
      <c r="EB100" s="143"/>
      <c r="EC100" s="142"/>
      <c r="ED100" s="143"/>
      <c r="EF100" s="143"/>
      <c r="EG100" s="142">
        <f>SUM(EH100:EQ100)</f>
      </c>
      <c r="EH100" s="143"/>
      <c r="EI100" s="143"/>
      <c r="EJ100" s="143"/>
      <c r="EK100" s="143"/>
      <c r="EL100" s="143"/>
      <c r="EM100" s="143"/>
      <c r="EN100" s="143"/>
      <c r="EO100" s="143"/>
      <c r="EP100" s="143"/>
      <c r="EQ100" s="143"/>
      <c r="ER100" s="142">
        <f>SUM(ES100:ET100)</f>
      </c>
      <c r="ES100" s="143"/>
      <c r="ET100" s="143"/>
      <c r="EU100" s="144"/>
      <c r="FB100" s="146"/>
      <c r="FC100" s="146" cm="1">
        <f t="array" ref="FC100">ROW()-ROW(New[#Headers])</f>
        <v>94</v>
      </c>
    </row>
    <row r="101" spans="2:159" s="139" customFormat="1" ht="10.5" x14ac:dyDescent="0.2">
      <c r="B101" s="133"/>
      <c r="C101" s="2241" t="s">
        <v>631</v>
      </c>
      <c r="D101" t="s" s="2242">
        <v>632</v>
      </c>
      <c r="E101" s="2243" t="s">
        <v>13</v>
      </c>
      <c r="F101" t="s" s="2244">
        <v>1241</v>
      </c>
      <c r="G101" t="s" s="2245">
        <v>1597</v>
      </c>
      <c r="H101" s="2246" t="s">
        <v>61</v>
      </c>
      <c r="I101" t="s" s="2247">
        <v>41</v>
      </c>
      <c r="J101" t="s" s="2248">
        <v>74</v>
      </c>
      <c r="K101" t="s" s="2249">
        <v>1246</v>
      </c>
      <c r="L101" t="s" s="2250">
        <v>305</v>
      </c>
      <c r="M101" t="s" s="2251">
        <v>305</v>
      </c>
      <c r="N101" s="2252" t="s">
        <v>3875</v>
      </c>
      <c r="O101" s="2253" t="s">
        <v>3871</v>
      </c>
      <c r="P101" s="141"/>
      <c r="Q101" s="142">
        <f>SUM(R101:AQ101)</f>
      </c>
      <c r="R101" s="143"/>
      <c r="S101" s="143"/>
      <c r="T101" s="143"/>
      <c r="U101" s="143"/>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2">
        <f>SUM(AS101:AV101)</f>
      </c>
      <c r="AS101" s="143"/>
      <c r="AT101" s="143"/>
      <c r="AU101" s="143"/>
      <c r="AV101" s="143"/>
      <c r="AW101" s="142">
        <f>SUM(AX101:BI101)</f>
      </c>
      <c r="AX101" s="143"/>
      <c r="AY101" s="143"/>
      <c r="AZ101" s="143"/>
      <c r="BA101" s="143"/>
      <c r="BB101" s="143"/>
      <c r="BC101" s="143"/>
      <c r="BD101" s="143"/>
      <c r="BE101" s="143"/>
      <c r="BF101" s="143"/>
      <c r="BG101" s="143"/>
      <c r="BH101" s="143"/>
      <c r="BI101" s="143"/>
      <c r="BJ101" s="142"/>
      <c r="BK101" s="143"/>
      <c r="BL101" s="143"/>
      <c r="BM101" s="143"/>
      <c r="BN101" s="143"/>
      <c r="BO101" s="143"/>
      <c r="BP101" s="143"/>
      <c r="BQ101" s="142"/>
      <c r="BR101" s="143"/>
      <c r="BS101" s="143"/>
      <c r="BT101" s="142">
        <f>SUM(BU101:BW101)</f>
      </c>
      <c r="BU101" s="143"/>
      <c r="BV101" s="143"/>
      <c r="BW101" s="143"/>
      <c r="BX101" s="142">
        <f>SUM(BY101:CD101)</f>
      </c>
      <c r="BY101" s="143"/>
      <c r="BZ101" s="143"/>
      <c r="CA101" s="143"/>
      <c r="CB101" s="143"/>
      <c r="CC101" s="143"/>
      <c r="CD101" s="143"/>
      <c r="CE101" s="142"/>
      <c r="CF101" s="143"/>
      <c r="CG101" s="143"/>
      <c r="CH101" s="143"/>
      <c r="CI101" s="143"/>
      <c r="CJ101" s="143"/>
      <c r="CK101" s="142">
        <f>SUM(CL101:CN101)</f>
      </c>
      <c r="CL101" s="143"/>
      <c r="CM101" s="143"/>
      <c r="CN101" s="143"/>
      <c r="CO101" s="142">
        <f>SUM(CP101:CT101)</f>
      </c>
      <c r="CP101" s="143"/>
      <c r="CQ101" s="143"/>
      <c r="CR101" s="143"/>
      <c r="CS101" s="143"/>
      <c r="CT101" s="143"/>
      <c r="CU101" s="142"/>
      <c r="CV101" s="143"/>
      <c r="CW101" s="143"/>
      <c r="CX101" s="143"/>
      <c r="CY101" s="142"/>
      <c r="CZ101" s="143"/>
      <c r="DA101" s="143"/>
      <c r="DB101" s="143"/>
      <c r="DC101" s="143"/>
      <c r="DD101" s="143"/>
      <c r="DE101" s="143"/>
      <c r="DF101" s="143"/>
      <c r="DG101" s="142">
        <f>SUM(DH101:DH101)</f>
      </c>
      <c r="DH101" s="2254" t="n">
        <v>100.0</v>
      </c>
      <c r="DI101" s="142"/>
      <c r="DJ101" s="143"/>
      <c r="DK101" s="142">
        <f>SUM(DL101:DQ101)</f>
      </c>
      <c r="DL101" s="143"/>
      <c r="DM101" s="143"/>
      <c r="DN101" s="143"/>
      <c r="DO101" s="143"/>
      <c r="DP101" s="143"/>
      <c r="DQ101" s="143"/>
      <c r="DR101" s="143"/>
      <c r="DS101" s="143"/>
      <c r="DT101" s="143"/>
      <c r="DU101" s="143"/>
      <c r="DV101" s="143"/>
      <c r="DW101" s="143"/>
      <c r="DX101" s="142"/>
      <c r="DY101" s="143"/>
      <c r="DZ101" s="142"/>
      <c r="EA101" s="143"/>
      <c r="EB101" s="143"/>
      <c r="EC101" s="142"/>
      <c r="ED101" s="143"/>
      <c r="EF101" s="143"/>
      <c r="EG101" s="142">
        <f>SUM(EH101:EQ101)</f>
      </c>
      <c r="EH101" s="143"/>
      <c r="EI101" s="143"/>
      <c r="EJ101" s="143"/>
      <c r="EK101" s="143"/>
      <c r="EL101" s="143"/>
      <c r="EM101" s="143"/>
      <c r="EN101" s="143"/>
      <c r="EO101" s="143"/>
      <c r="EP101" s="143"/>
      <c r="EQ101" s="143"/>
      <c r="ER101" s="142">
        <f>SUM(ES101:ET101)</f>
      </c>
      <c r="ES101" s="143"/>
      <c r="ET101" s="143"/>
      <c r="EU101" s="144"/>
      <c r="FB101" s="146"/>
      <c r="FC101" s="146" cm="1">
        <f t="array" ref="FC101">ROW()-ROW(New[#Headers])</f>
        <v>95</v>
      </c>
    </row>
    <row r="102" spans="2:159" s="139" customFormat="1" ht="10.5" x14ac:dyDescent="0.2">
      <c r="B102" s="133"/>
      <c r="C102" s="2255" t="s">
        <v>560</v>
      </c>
      <c r="D102" t="s" s="2256">
        <v>561</v>
      </c>
      <c r="E102" s="2257" t="s">
        <v>23</v>
      </c>
      <c r="F102" t="s" s="2258">
        <v>1262</v>
      </c>
      <c r="G102" t="s" s="2259">
        <v>1597</v>
      </c>
      <c r="H102" s="2260" t="s">
        <v>51</v>
      </c>
      <c r="I102" t="s" s="2261">
        <v>786</v>
      </c>
      <c r="J102" t="s" s="2262">
        <v>64</v>
      </c>
      <c r="K102" t="s" s="2263">
        <v>1617</v>
      </c>
      <c r="L102" t="s" s="2264">
        <v>934</v>
      </c>
      <c r="M102" t="s" s="2265">
        <v>305</v>
      </c>
      <c r="N102" s="2266" t="s">
        <v>3873</v>
      </c>
      <c r="O102" s="2267" t="s">
        <v>3878</v>
      </c>
      <c r="P102" s="141"/>
      <c r="Q102" s="142">
        <f>SUM(R102:AQ102)</f>
      </c>
      <c r="R102" s="143"/>
      <c r="S102" s="143"/>
      <c r="T102" s="143"/>
      <c r="U102" s="2268" t="n">
        <v>100.0</v>
      </c>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2">
        <f>SUM(AS102:AV102)</f>
      </c>
      <c r="AS102" s="143"/>
      <c r="AT102" s="143"/>
      <c r="AU102" s="143"/>
      <c r="AV102" s="143"/>
      <c r="AW102" s="142">
        <f>SUM(AX102:BI102)</f>
      </c>
      <c r="AX102" s="143"/>
      <c r="AY102" s="143"/>
      <c r="AZ102" s="143"/>
      <c r="BA102" s="143"/>
      <c r="BB102" s="143"/>
      <c r="BC102" s="143"/>
      <c r="BD102" s="143"/>
      <c r="BE102" s="143"/>
      <c r="BF102" s="143"/>
      <c r="BG102" s="143"/>
      <c r="BH102" s="143"/>
      <c r="BI102" s="143"/>
      <c r="BJ102" s="142"/>
      <c r="BK102" s="143"/>
      <c r="BL102" s="143"/>
      <c r="BM102" s="143"/>
      <c r="BN102" s="143"/>
      <c r="BO102" s="143"/>
      <c r="BP102" s="143"/>
      <c r="BQ102" s="142"/>
      <c r="BR102" s="143"/>
      <c r="BS102" s="143"/>
      <c r="BT102" s="142">
        <f>SUM(BU102:BW102)</f>
      </c>
      <c r="BU102" s="143"/>
      <c r="BV102" s="143"/>
      <c r="BW102" s="143"/>
      <c r="BX102" s="142">
        <f>SUM(BY102:CD102)</f>
      </c>
      <c r="BY102" s="143"/>
      <c r="BZ102" s="143"/>
      <c r="CA102" s="143"/>
      <c r="CB102" s="143"/>
      <c r="CC102" s="143"/>
      <c r="CD102" s="143"/>
      <c r="CE102" s="142"/>
      <c r="CF102" s="143"/>
      <c r="CG102" s="143"/>
      <c r="CH102" s="143"/>
      <c r="CI102" s="143"/>
      <c r="CJ102" s="143"/>
      <c r="CK102" s="142">
        <f>SUM(CL102:CN102)</f>
      </c>
      <c r="CL102" s="143"/>
      <c r="CM102" s="143"/>
      <c r="CN102" s="143"/>
      <c r="CO102" s="142">
        <f>SUM(CP102:CT102)</f>
      </c>
      <c r="CP102" s="143"/>
      <c r="CQ102" s="143"/>
      <c r="CR102" s="143"/>
      <c r="CS102" s="143"/>
      <c r="CT102" s="143"/>
      <c r="CU102" s="142"/>
      <c r="CV102" s="143"/>
      <c r="CW102" s="143"/>
      <c r="CX102" s="143"/>
      <c r="CY102" s="142"/>
      <c r="CZ102" s="143"/>
      <c r="DA102" s="143"/>
      <c r="DB102" s="143"/>
      <c r="DC102" s="143"/>
      <c r="DD102" s="143"/>
      <c r="DE102" s="143"/>
      <c r="DF102" s="143"/>
      <c r="DG102" s="142">
        <f>SUM(DH102:DH102)</f>
      </c>
      <c r="DH102" s="143"/>
      <c r="DI102" s="142"/>
      <c r="DJ102" s="143"/>
      <c r="DK102" s="142">
        <f>SUM(DL102:DQ102)</f>
      </c>
      <c r="DL102" s="143"/>
      <c r="DM102" s="143"/>
      <c r="DN102" s="143"/>
      <c r="DO102" s="143"/>
      <c r="DP102" s="143"/>
      <c r="DQ102" s="143"/>
      <c r="DR102" s="143"/>
      <c r="DS102" s="143"/>
      <c r="DT102" s="143"/>
      <c r="DU102" s="143"/>
      <c r="DV102" s="143"/>
      <c r="DW102" s="143"/>
      <c r="DX102" s="142"/>
      <c r="DY102" s="143"/>
      <c r="DZ102" s="142"/>
      <c r="EA102" s="143"/>
      <c r="EB102" s="143"/>
      <c r="EC102" s="142"/>
      <c r="ED102" s="143"/>
      <c r="EF102" s="143"/>
      <c r="EG102" s="142">
        <f>SUM(EH102:EQ102)</f>
      </c>
      <c r="EH102" s="143"/>
      <c r="EI102" s="143"/>
      <c r="EJ102" s="143"/>
      <c r="EK102" s="143"/>
      <c r="EL102" s="143"/>
      <c r="EM102" s="143"/>
      <c r="EN102" s="143"/>
      <c r="EO102" s="143"/>
      <c r="EP102" s="143"/>
      <c r="EQ102" s="143"/>
      <c r="ER102" s="142">
        <f>SUM(ES102:ET102)</f>
      </c>
      <c r="ES102" s="143"/>
      <c r="ET102" s="143"/>
      <c r="EU102" s="144"/>
      <c r="FB102" s="146"/>
      <c r="FC102" s="146" cm="1">
        <f t="array" ref="FC102">ROW()-ROW(New[#Headers])</f>
        <v>96</v>
      </c>
    </row>
    <row r="103" spans="2:159" s="139" customFormat="1" ht="10.5" x14ac:dyDescent="0.2">
      <c r="B103" s="133"/>
      <c r="C103" s="2269" t="s">
        <v>319</v>
      </c>
      <c r="D103" t="s" s="2270">
        <v>320</v>
      </c>
      <c r="E103" s="2271" t="s">
        <v>23</v>
      </c>
      <c r="F103" t="s" s="2272">
        <v>984</v>
      </c>
      <c r="G103" t="s" s="2273">
        <v>1597</v>
      </c>
      <c r="H103" s="2274" t="s">
        <v>51</v>
      </c>
      <c r="I103" t="s" s="2275">
        <v>43</v>
      </c>
      <c r="J103" t="s" s="2276">
        <v>64</v>
      </c>
      <c r="K103" t="s" s="2277">
        <v>985</v>
      </c>
      <c r="L103" t="s" s="2278">
        <v>934</v>
      </c>
      <c r="M103" t="s" s="2279">
        <v>305</v>
      </c>
      <c r="N103" s="2280" t="s">
        <v>3873</v>
      </c>
      <c r="O103" s="2281" t="s">
        <v>3876</v>
      </c>
      <c r="P103" s="141"/>
      <c r="Q103" s="142">
        <f>SUM(R103:AQ103)</f>
      </c>
      <c r="R103" s="143"/>
      <c r="S103" s="2282" t="n">
        <v>250.0</v>
      </c>
      <c r="T103" s="143"/>
      <c r="U103" s="143"/>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2">
        <f>SUM(AS103:AV103)</f>
      </c>
      <c r="AS103" s="143"/>
      <c r="AT103" s="143"/>
      <c r="AU103" s="143"/>
      <c r="AV103" s="143"/>
      <c r="AW103" s="142">
        <f>SUM(AX103:BI103)</f>
      </c>
      <c r="AX103" s="143"/>
      <c r="AY103" s="143"/>
      <c r="AZ103" s="143"/>
      <c r="BA103" s="143"/>
      <c r="BB103" s="143"/>
      <c r="BC103" s="143"/>
      <c r="BD103" s="143"/>
      <c r="BE103" s="143"/>
      <c r="BF103" s="143"/>
      <c r="BG103" s="143"/>
      <c r="BH103" s="143"/>
      <c r="BI103" s="143"/>
      <c r="BJ103" s="142"/>
      <c r="BK103" s="143"/>
      <c r="BL103" s="143"/>
      <c r="BM103" s="143"/>
      <c r="BN103" s="143"/>
      <c r="BO103" s="143"/>
      <c r="BP103" s="143"/>
      <c r="BQ103" s="142"/>
      <c r="BR103" s="143"/>
      <c r="BS103" s="143"/>
      <c r="BT103" s="142">
        <f>SUM(BU103:BW103)</f>
      </c>
      <c r="BU103" s="143"/>
      <c r="BV103" s="143"/>
      <c r="BW103" s="143"/>
      <c r="BX103" s="142">
        <f>SUM(BY103:CD103)</f>
      </c>
      <c r="BY103" s="143"/>
      <c r="BZ103" s="143"/>
      <c r="CA103" s="143"/>
      <c r="CB103" s="143"/>
      <c r="CC103" s="143"/>
      <c r="CD103" s="143"/>
      <c r="CE103" s="142"/>
      <c r="CF103" s="143"/>
      <c r="CG103" s="143"/>
      <c r="CH103" s="143"/>
      <c r="CI103" s="143"/>
      <c r="CJ103" s="143"/>
      <c r="CK103" s="142">
        <f>SUM(CL103:CN103)</f>
      </c>
      <c r="CL103" s="143"/>
      <c r="CM103" s="143"/>
      <c r="CN103" s="143"/>
      <c r="CO103" s="142">
        <f>SUM(CP103:CT103)</f>
      </c>
      <c r="CP103" s="143"/>
      <c r="CQ103" s="143"/>
      <c r="CR103" s="143"/>
      <c r="CS103" s="143"/>
      <c r="CT103" s="143"/>
      <c r="CU103" s="142"/>
      <c r="CV103" s="143"/>
      <c r="CW103" s="143"/>
      <c r="CX103" s="143"/>
      <c r="CY103" s="142"/>
      <c r="CZ103" s="143"/>
      <c r="DA103" s="143"/>
      <c r="DB103" s="143"/>
      <c r="DC103" s="143"/>
      <c r="DD103" s="143"/>
      <c r="DE103" s="143"/>
      <c r="DF103" s="143"/>
      <c r="DG103" s="142">
        <f>SUM(DH103:DH103)</f>
      </c>
      <c r="DH103" s="143"/>
      <c r="DI103" s="142"/>
      <c r="DJ103" s="143"/>
      <c r="DK103" s="142">
        <f>SUM(DL103:DQ103)</f>
      </c>
      <c r="DL103" s="143"/>
      <c r="DM103" s="143"/>
      <c r="DN103" s="143"/>
      <c r="DO103" s="143"/>
      <c r="DP103" s="143"/>
      <c r="DQ103" s="143"/>
      <c r="DR103" s="143"/>
      <c r="DS103" s="143"/>
      <c r="DT103" s="143"/>
      <c r="DU103" s="143"/>
      <c r="DV103" s="143"/>
      <c r="DW103" s="143"/>
      <c r="DX103" s="142"/>
      <c r="DY103" s="143"/>
      <c r="DZ103" s="142"/>
      <c r="EA103" s="143"/>
      <c r="EB103" s="143"/>
      <c r="EC103" s="142"/>
      <c r="ED103" s="143"/>
      <c r="EF103" s="143"/>
      <c r="EG103" s="142">
        <f>SUM(EH103:EQ103)</f>
      </c>
      <c r="EH103" s="143"/>
      <c r="EI103" s="143"/>
      <c r="EJ103" s="143"/>
      <c r="EK103" s="143"/>
      <c r="EL103" s="143"/>
      <c r="EM103" s="143"/>
      <c r="EN103" s="143"/>
      <c r="EO103" s="143"/>
      <c r="EP103" s="143"/>
      <c r="EQ103" s="143"/>
      <c r="ER103" s="142">
        <f>SUM(ES103:ET103)</f>
      </c>
      <c r="ES103" s="143"/>
      <c r="ET103" s="143"/>
      <c r="EU103" s="144"/>
      <c r="FB103" s="146"/>
      <c r="FC103" s="146" cm="1">
        <f t="array" ref="FC103">ROW()-ROW(New[#Headers])</f>
        <v>97</v>
      </c>
    </row>
    <row r="104" spans="2:159" s="139" customFormat="1" ht="10.5" x14ac:dyDescent="0.2">
      <c r="B104" s="133"/>
      <c r="C104" s="2283" t="s">
        <v>418</v>
      </c>
      <c r="D104" t="s" s="2284">
        <v>419</v>
      </c>
      <c r="E104" s="2285" t="s">
        <v>13</v>
      </c>
      <c r="F104" t="s" s="2286">
        <v>766</v>
      </c>
      <c r="G104" t="s" s="2287">
        <v>1597</v>
      </c>
      <c r="H104" s="2288" t="s">
        <v>46</v>
      </c>
      <c r="I104" t="s" s="2289">
        <v>41</v>
      </c>
      <c r="J104" t="s" s="2290">
        <v>68</v>
      </c>
      <c r="K104" t="s" s="2291">
        <v>1059</v>
      </c>
      <c r="L104" t="s" s="2292">
        <v>767</v>
      </c>
      <c r="M104" t="s" s="2293">
        <v>305</v>
      </c>
      <c r="N104" s="2294" t="s">
        <v>3873</v>
      </c>
      <c r="O104" s="2295" t="s">
        <v>3871</v>
      </c>
      <c r="P104" s="141"/>
      <c r="Q104" s="142">
        <f>SUM(R104:AQ104)</f>
      </c>
      <c r="R104" s="143"/>
      <c r="S104" s="143"/>
      <c r="T104" s="143"/>
      <c r="U104" s="143"/>
      <c r="V104" s="143"/>
      <c r="W104" s="143"/>
      <c r="X104" s="143"/>
      <c r="Y104" s="143"/>
      <c r="Z104" s="143"/>
      <c r="AA104" s="143"/>
      <c r="AB104" s="143"/>
      <c r="AC104" s="143"/>
      <c r="AD104" s="143"/>
      <c r="AE104" s="143"/>
      <c r="AF104" s="143"/>
      <c r="AG104" s="2296" t="n">
        <v>860.0</v>
      </c>
      <c r="AH104" s="143"/>
      <c r="AI104" s="143"/>
      <c r="AJ104" s="143"/>
      <c r="AK104" s="143"/>
      <c r="AL104" s="143"/>
      <c r="AM104" s="143"/>
      <c r="AN104" s="143"/>
      <c r="AO104" s="143"/>
      <c r="AP104" s="143"/>
      <c r="AQ104" s="143"/>
      <c r="AR104" s="142">
        <f>SUM(AS104:AV104)</f>
      </c>
      <c r="AS104" s="143"/>
      <c r="AT104" s="143"/>
      <c r="AU104" s="143"/>
      <c r="AV104" s="143"/>
      <c r="AW104" s="142">
        <f>SUM(AX104:BI104)</f>
      </c>
      <c r="AX104" s="143"/>
      <c r="AY104" s="143"/>
      <c r="AZ104" s="143"/>
      <c r="BA104" s="143"/>
      <c r="BB104" s="143"/>
      <c r="BC104" s="143"/>
      <c r="BD104" s="143"/>
      <c r="BE104" s="143"/>
      <c r="BF104" s="143"/>
      <c r="BG104" s="143"/>
      <c r="BH104" s="143"/>
      <c r="BI104" s="143"/>
      <c r="BJ104" s="142"/>
      <c r="BK104" s="143"/>
      <c r="BL104" s="143"/>
      <c r="BM104" s="143"/>
      <c r="BN104" s="143"/>
      <c r="BO104" s="143"/>
      <c r="BP104" s="143"/>
      <c r="BQ104" s="142"/>
      <c r="BR104" s="143"/>
      <c r="BS104" s="143"/>
      <c r="BT104" s="142">
        <f>SUM(BU104:BW104)</f>
      </c>
      <c r="BU104" s="143"/>
      <c r="BV104" s="143"/>
      <c r="BW104" s="143"/>
      <c r="BX104" s="142">
        <f>SUM(BY104:CD104)</f>
      </c>
      <c r="BY104" s="143"/>
      <c r="BZ104" s="143"/>
      <c r="CA104" s="143"/>
      <c r="CB104" s="143"/>
      <c r="CC104" s="143"/>
      <c r="CD104" s="143"/>
      <c r="CE104" s="142"/>
      <c r="CF104" s="143"/>
      <c r="CG104" s="143"/>
      <c r="CH104" s="143"/>
      <c r="CI104" s="143"/>
      <c r="CJ104" s="143"/>
      <c r="CK104" s="142">
        <f>SUM(CL104:CN104)</f>
      </c>
      <c r="CL104" s="143"/>
      <c r="CM104" s="143"/>
      <c r="CN104" s="143"/>
      <c r="CO104" s="142">
        <f>SUM(CP104:CT104)</f>
      </c>
      <c r="CP104" s="143"/>
      <c r="CQ104" s="143"/>
      <c r="CR104" s="143"/>
      <c r="CS104" s="143"/>
      <c r="CT104" s="143"/>
      <c r="CU104" s="142"/>
      <c r="CV104" s="143"/>
      <c r="CW104" s="143"/>
      <c r="CX104" s="143"/>
      <c r="CY104" s="142"/>
      <c r="CZ104" s="143"/>
      <c r="DA104" s="143"/>
      <c r="DB104" s="143"/>
      <c r="DC104" s="143"/>
      <c r="DD104" s="143"/>
      <c r="DE104" s="143"/>
      <c r="DF104" s="143"/>
      <c r="DG104" s="142">
        <f>SUM(DH104:DH104)</f>
      </c>
      <c r="DH104" s="2297" t="n">
        <v>120.0</v>
      </c>
      <c r="DI104" s="142"/>
      <c r="DJ104" s="143"/>
      <c r="DK104" s="142">
        <f>SUM(DL104:DQ104)</f>
      </c>
      <c r="DL104" s="143"/>
      <c r="DM104" s="143"/>
      <c r="DN104" s="143"/>
      <c r="DO104" s="143"/>
      <c r="DP104" s="143"/>
      <c r="DQ104" s="2298" t="n">
        <v>75.0</v>
      </c>
      <c r="DR104" s="143"/>
      <c r="DS104" s="143"/>
      <c r="DT104" s="143"/>
      <c r="DU104" s="143"/>
      <c r="DV104" s="143"/>
      <c r="DW104" s="143"/>
      <c r="DX104" s="142"/>
      <c r="DY104" s="143"/>
      <c r="DZ104" s="142"/>
      <c r="EA104" s="143"/>
      <c r="EB104" s="143"/>
      <c r="EC104" s="142"/>
      <c r="ED104" s="143"/>
      <c r="EF104" s="143"/>
      <c r="EG104" s="142">
        <f>SUM(EH104:EQ104)</f>
      </c>
      <c r="EH104" s="143"/>
      <c r="EI104" s="143"/>
      <c r="EJ104" s="143"/>
      <c r="EK104" s="143"/>
      <c r="EL104" s="143"/>
      <c r="EM104" s="143"/>
      <c r="EN104" s="143"/>
      <c r="EO104" s="143"/>
      <c r="EP104" s="143"/>
      <c r="EQ104" s="143"/>
      <c r="ER104" s="142">
        <f>SUM(ES104:ET104)</f>
      </c>
      <c r="ES104" s="143"/>
      <c r="ET104" s="143"/>
      <c r="EU104" s="144"/>
      <c r="FB104" s="146"/>
      <c r="FC104" s="146" cm="1">
        <f t="array" ref="FC104">ROW()-ROW(New[#Headers])</f>
        <v>98</v>
      </c>
    </row>
    <row r="105" spans="2:159" s="139" customFormat="1" ht="10.5" x14ac:dyDescent="0.2">
      <c r="B105" s="133"/>
      <c r="C105" s="2299" t="s">
        <v>681</v>
      </c>
      <c r="D105" t="s" s="2300">
        <v>682</v>
      </c>
      <c r="E105" s="2301" t="s">
        <v>305</v>
      </c>
      <c r="F105" t="s" s="2302">
        <v>1641</v>
      </c>
      <c r="G105" t="s" s="2303">
        <v>1597</v>
      </c>
      <c r="H105" s="2304" t="s">
        <v>305</v>
      </c>
      <c r="I105" t="s" s="2305">
        <v>41</v>
      </c>
      <c r="J105" t="s" s="2306">
        <v>68</v>
      </c>
      <c r="K105" t="s" s="2307">
        <v>1643</v>
      </c>
      <c r="L105" t="s" s="2308">
        <v>305</v>
      </c>
      <c r="M105" t="s" s="2309">
        <v>305</v>
      </c>
      <c r="N105" s="2310" t="s">
        <v>3870</v>
      </c>
      <c r="O105" s="2311" t="s">
        <v>3871</v>
      </c>
      <c r="P105" s="141"/>
      <c r="Q105" s="142">
        <f>SUM(R105:AQ105)</f>
      </c>
      <c r="R105" s="143"/>
      <c r="S105" s="143"/>
      <c r="T105" s="143"/>
      <c r="U105" s="143"/>
      <c r="V105" s="143"/>
      <c r="W105" s="143"/>
      <c r="X105" s="143"/>
      <c r="Y105" s="143"/>
      <c r="Z105" s="143"/>
      <c r="AA105" s="143"/>
      <c r="AB105" s="143"/>
      <c r="AC105" s="143"/>
      <c r="AD105" s="143"/>
      <c r="AE105" s="143"/>
      <c r="AF105" s="143"/>
      <c r="AG105" s="143"/>
      <c r="AH105" s="143"/>
      <c r="AI105" s="143"/>
      <c r="AJ105" s="143"/>
      <c r="AK105" s="143"/>
      <c r="AL105" s="143"/>
      <c r="AM105" s="143"/>
      <c r="AN105" s="143"/>
      <c r="AO105" s="2312" t="n">
        <v>650.0</v>
      </c>
      <c r="AP105" s="143"/>
      <c r="AQ105" s="143"/>
      <c r="AR105" s="142">
        <f>SUM(AS105:AV105)</f>
      </c>
      <c r="AS105" s="143"/>
      <c r="AT105" s="143"/>
      <c r="AU105" s="143"/>
      <c r="AV105" s="143"/>
      <c r="AW105" s="142">
        <f>SUM(AX105:BI105)</f>
      </c>
      <c r="AX105" s="143"/>
      <c r="AY105" s="143"/>
      <c r="AZ105" s="143"/>
      <c r="BA105" s="143"/>
      <c r="BB105" s="143"/>
      <c r="BC105" s="143"/>
      <c r="BD105" s="143"/>
      <c r="BE105" s="143"/>
      <c r="BF105" s="143"/>
      <c r="BG105" s="143"/>
      <c r="BH105" s="143"/>
      <c r="BI105" s="143"/>
      <c r="BJ105" s="142"/>
      <c r="BK105" s="143"/>
      <c r="BL105" s="143"/>
      <c r="BM105" s="143"/>
      <c r="BN105" s="143"/>
      <c r="BO105" s="143"/>
      <c r="BP105" s="143"/>
      <c r="BQ105" s="142"/>
      <c r="BR105" s="143"/>
      <c r="BS105" s="143"/>
      <c r="BT105" s="142">
        <f>SUM(BU105:BW105)</f>
      </c>
      <c r="BU105" s="143"/>
      <c r="BV105" s="143"/>
      <c r="BW105" s="143"/>
      <c r="BX105" s="142">
        <f>SUM(BY105:CD105)</f>
      </c>
      <c r="BY105" s="143"/>
      <c r="BZ105" s="143"/>
      <c r="CA105" s="143"/>
      <c r="CB105" s="143"/>
      <c r="CC105" s="143"/>
      <c r="CD105" s="143"/>
      <c r="CE105" s="142"/>
      <c r="CF105" s="143"/>
      <c r="CG105" s="143"/>
      <c r="CH105" s="143"/>
      <c r="CI105" s="143"/>
      <c r="CJ105" s="143"/>
      <c r="CK105" s="142">
        <f>SUM(CL105:CN105)</f>
      </c>
      <c r="CL105" s="143"/>
      <c r="CM105" s="143"/>
      <c r="CN105" s="143"/>
      <c r="CO105" s="142">
        <f>SUM(CP105:CT105)</f>
      </c>
      <c r="CP105" s="143"/>
      <c r="CQ105" s="143"/>
      <c r="CR105" s="143"/>
      <c r="CS105" s="143"/>
      <c r="CT105" s="143"/>
      <c r="CU105" s="142"/>
      <c r="CV105" s="143"/>
      <c r="CW105" s="143"/>
      <c r="CX105" s="143"/>
      <c r="CY105" s="142"/>
      <c r="CZ105" s="143"/>
      <c r="DA105" s="143"/>
      <c r="DB105" s="143"/>
      <c r="DC105" s="143"/>
      <c r="DD105" s="143"/>
      <c r="DE105" s="143"/>
      <c r="DF105" s="143"/>
      <c r="DG105" s="142">
        <f>SUM(DH105:DH105)</f>
      </c>
      <c r="DH105" s="143"/>
      <c r="DI105" s="142"/>
      <c r="DJ105" s="143"/>
      <c r="DK105" s="142">
        <f>SUM(DL105:DQ105)</f>
      </c>
      <c r="DL105" s="143"/>
      <c r="DM105" s="143"/>
      <c r="DN105" s="143"/>
      <c r="DO105" s="143"/>
      <c r="DP105" s="143"/>
      <c r="DQ105" s="143"/>
      <c r="DR105" s="143"/>
      <c r="DS105" s="143"/>
      <c r="DT105" s="143"/>
      <c r="DU105" s="143"/>
      <c r="DV105" s="143"/>
      <c r="DW105" s="143"/>
      <c r="DX105" s="142"/>
      <c r="DY105" s="143"/>
      <c r="DZ105" s="142"/>
      <c r="EA105" s="143"/>
      <c r="EB105" s="143"/>
      <c r="EC105" s="142"/>
      <c r="ED105" s="143"/>
      <c r="EF105" s="143"/>
      <c r="EG105" s="142">
        <f>SUM(EH105:EQ105)</f>
      </c>
      <c r="EH105" s="143"/>
      <c r="EI105" s="143"/>
      <c r="EJ105" s="143"/>
      <c r="EK105" s="143"/>
      <c r="EL105" s="143"/>
      <c r="EM105" s="143"/>
      <c r="EN105" s="143"/>
      <c r="EO105" s="143"/>
      <c r="EP105" s="143"/>
      <c r="EQ105" s="143"/>
      <c r="ER105" s="142">
        <f>SUM(ES105:ET105)</f>
      </c>
      <c r="ES105" s="143"/>
      <c r="ET105" s="143"/>
      <c r="EU105" s="144"/>
      <c r="FB105" s="146"/>
      <c r="FC105" s="146" cm="1">
        <f t="array" ref="FC105">ROW()-ROW(New[#Headers])</f>
        <v>99</v>
      </c>
    </row>
    <row r="106" spans="2:159" s="139" customFormat="1" ht="10.5" x14ac:dyDescent="0.2">
      <c r="B106" s="133"/>
      <c r="C106" s="2357" t="s">
        <v>405</v>
      </c>
      <c r="D106" t="s" s="2358">
        <v>406</v>
      </c>
      <c r="E106" s="2359" t="s">
        <v>23</v>
      </c>
      <c r="F106" t="s" s="2360">
        <v>766</v>
      </c>
      <c r="G106" t="s" s="2361">
        <v>1597</v>
      </c>
      <c r="H106" s="2362" t="s">
        <v>51</v>
      </c>
      <c r="I106" t="s" s="2363">
        <v>41</v>
      </c>
      <c r="J106" t="s" s="2364">
        <v>68</v>
      </c>
      <c r="K106" t="s" s="2365">
        <v>1643</v>
      </c>
      <c r="L106" t="s" s="2366">
        <v>767</v>
      </c>
      <c r="M106" t="s" s="2367">
        <v>305</v>
      </c>
      <c r="N106" s="2368" t="s">
        <v>3870</v>
      </c>
      <c r="O106" s="2369" t="s">
        <v>3878</v>
      </c>
      <c r="P106" s="141"/>
      <c r="Q106" s="142">
        <f>SUM(R106:AQ106)</f>
      </c>
      <c r="R106" s="143"/>
      <c r="S106" s="143"/>
      <c r="T106" s="143"/>
      <c r="U106" s="143"/>
      <c r="V106" s="143"/>
      <c r="W106" s="143"/>
      <c r="X106" s="143"/>
      <c r="Y106" s="143"/>
      <c r="Z106" s="143"/>
      <c r="AA106" s="143"/>
      <c r="AB106" s="143"/>
      <c r="AC106" s="143"/>
      <c r="AD106" s="143"/>
      <c r="AE106" s="143"/>
      <c r="AF106" s="143"/>
      <c r="AG106" s="2370" t="n">
        <v>120.0</v>
      </c>
      <c r="AH106" s="143"/>
      <c r="AI106" s="143"/>
      <c r="AJ106" s="143"/>
      <c r="AK106" s="143"/>
      <c r="AL106" s="143"/>
      <c r="AM106" s="143"/>
      <c r="AN106" s="143"/>
      <c r="AO106" s="143"/>
      <c r="AP106" s="143"/>
      <c r="AQ106" s="143"/>
      <c r="AR106" s="142">
        <f>SUM(AS106:AV106)</f>
      </c>
      <c r="AS106" s="143"/>
      <c r="AT106" s="143"/>
      <c r="AU106" s="143"/>
      <c r="AV106" s="143"/>
      <c r="AW106" s="142">
        <f>SUM(AX106:BI106)</f>
      </c>
      <c r="AX106" s="143"/>
      <c r="AY106" s="143"/>
      <c r="AZ106" s="143"/>
      <c r="BA106" s="143"/>
      <c r="BB106" s="143"/>
      <c r="BC106" s="143"/>
      <c r="BD106" s="143"/>
      <c r="BE106" s="143"/>
      <c r="BF106" s="143"/>
      <c r="BG106" s="143"/>
      <c r="BH106" s="143"/>
      <c r="BI106" s="143"/>
      <c r="BJ106" s="142"/>
      <c r="BK106" s="143"/>
      <c r="BL106" s="143"/>
      <c r="BM106" s="143"/>
      <c r="BN106" s="143"/>
      <c r="BO106" s="143"/>
      <c r="BP106" s="143"/>
      <c r="BQ106" s="142"/>
      <c r="BR106" s="143"/>
      <c r="BS106" s="143"/>
      <c r="BT106" s="142">
        <f>SUM(BU106:BW106)</f>
      </c>
      <c r="BU106" s="143"/>
      <c r="BV106" s="143"/>
      <c r="BW106" s="143"/>
      <c r="BX106" s="142">
        <f>SUM(BY106:CD106)</f>
      </c>
      <c r="BY106" s="143"/>
      <c r="BZ106" s="143"/>
      <c r="CA106" s="143"/>
      <c r="CB106" s="143"/>
      <c r="CC106" s="143"/>
      <c r="CD106" s="143"/>
      <c r="CE106" s="142"/>
      <c r="CF106" s="143"/>
      <c r="CG106" s="143"/>
      <c r="CH106" s="143"/>
      <c r="CI106" s="143"/>
      <c r="CJ106" s="143"/>
      <c r="CK106" s="142">
        <f>SUM(CL106:CN106)</f>
      </c>
      <c r="CL106" s="143"/>
      <c r="CM106" s="143"/>
      <c r="CN106" s="143"/>
      <c r="CO106" s="142">
        <f>SUM(CP106:CT106)</f>
      </c>
      <c r="CP106" s="143"/>
      <c r="CQ106" s="143"/>
      <c r="CR106" s="143"/>
      <c r="CS106" s="143"/>
      <c r="CT106" s="143"/>
      <c r="CU106" s="142"/>
      <c r="CV106" s="143"/>
      <c r="CW106" s="143"/>
      <c r="CX106" s="143"/>
      <c r="CY106" s="142"/>
      <c r="CZ106" s="143"/>
      <c r="DA106" s="143"/>
      <c r="DB106" s="143"/>
      <c r="DC106" s="143"/>
      <c r="DD106" s="143"/>
      <c r="DE106" s="143"/>
      <c r="DF106" s="143"/>
      <c r="DG106" s="142">
        <f>SUM(DH106:DH106)</f>
      </c>
      <c r="DH106" s="143"/>
      <c r="DI106" s="142"/>
      <c r="DJ106" s="143"/>
      <c r="DK106" s="142">
        <f>SUM(DL106:DQ106)</f>
      </c>
      <c r="DL106" s="143"/>
      <c r="DM106" s="143"/>
      <c r="DN106" s="143"/>
      <c r="DO106" s="143"/>
      <c r="DP106" s="143"/>
      <c r="DQ106" s="143"/>
      <c r="DR106" s="143"/>
      <c r="DS106" s="143"/>
      <c r="DT106" s="143"/>
      <c r="DU106" s="143"/>
      <c r="DV106" s="143"/>
      <c r="DW106" s="143"/>
      <c r="DX106" s="142"/>
      <c r="DY106" s="143"/>
      <c r="DZ106" s="142"/>
      <c r="EA106" s="143"/>
      <c r="EB106" s="143"/>
      <c r="EC106" s="142"/>
      <c r="ED106" s="143"/>
      <c r="EF106" s="143"/>
      <c r="EG106" s="142">
        <f>SUM(EH106:EQ106)</f>
      </c>
      <c r="EH106" s="143"/>
      <c r="EI106" s="143"/>
      <c r="EJ106" s="143"/>
      <c r="EK106" s="143"/>
      <c r="EL106" s="143"/>
      <c r="EM106" s="143"/>
      <c r="EN106" s="143"/>
      <c r="EO106" s="143"/>
      <c r="EP106" s="143"/>
      <c r="EQ106" s="143"/>
      <c r="ER106" s="142">
        <f>SUM(ES106:ET106)</f>
      </c>
      <c r="ES106" s="143"/>
      <c r="ET106" s="143"/>
      <c r="EU106" s="144"/>
      <c r="FB106" s="146"/>
      <c r="FC106" s="146" cm="1">
        <f t="array" ref="FC106">ROW()-ROW(New[#Headers])</f>
        <v>100</v>
      </c>
    </row>
    <row r="107" spans="2:159" s="139" customFormat="1" ht="10.5" x14ac:dyDescent="0.2">
      <c r="B107" s="133"/>
      <c r="C107" s="2385" t="s">
        <v>321</v>
      </c>
      <c r="D107" t="s" s="2386">
        <v>322</v>
      </c>
      <c r="E107" s="2387" t="s">
        <v>23</v>
      </c>
      <c r="F107" t="s" s="2388">
        <v>984</v>
      </c>
      <c r="G107" t="s" s="2389">
        <v>1597</v>
      </c>
      <c r="H107" s="2390" t="s">
        <v>51</v>
      </c>
      <c r="I107" t="s" s="2391">
        <v>43</v>
      </c>
      <c r="J107" t="s" s="2392">
        <v>64</v>
      </c>
      <c r="K107" t="s" s="2393">
        <v>985</v>
      </c>
      <c r="L107" t="s" s="2394">
        <v>934</v>
      </c>
      <c r="M107" t="s" s="2395">
        <v>305</v>
      </c>
      <c r="N107" s="2396" t="s">
        <v>3875</v>
      </c>
      <c r="O107" s="2397" t="s">
        <v>3871</v>
      </c>
      <c r="P107" s="141"/>
      <c r="Q107" s="142">
        <f>SUM(R107:AQ107)</f>
      </c>
      <c r="R107" s="143"/>
      <c r="S107" s="2398" t="n">
        <v>375.0</v>
      </c>
      <c r="T107" s="143"/>
      <c r="U107" s="143"/>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2">
        <f>SUM(AS107:AV107)</f>
      </c>
      <c r="AS107" s="143"/>
      <c r="AT107" s="143"/>
      <c r="AU107" s="143"/>
      <c r="AV107" s="143"/>
      <c r="AW107" s="142">
        <f>SUM(AX107:BI107)</f>
      </c>
      <c r="AX107" s="143"/>
      <c r="AY107" s="143"/>
      <c r="AZ107" s="143"/>
      <c r="BA107" s="143"/>
      <c r="BB107" s="143"/>
      <c r="BC107" s="143"/>
      <c r="BD107" s="143"/>
      <c r="BE107" s="143"/>
      <c r="BF107" s="143"/>
      <c r="BG107" s="143"/>
      <c r="BH107" s="143"/>
      <c r="BI107" s="143"/>
      <c r="BJ107" s="142"/>
      <c r="BK107" s="143"/>
      <c r="BL107" s="143"/>
      <c r="BM107" s="143"/>
      <c r="BN107" s="143"/>
      <c r="BO107" s="143"/>
      <c r="BP107" s="143"/>
      <c r="BQ107" s="142"/>
      <c r="BR107" s="143"/>
      <c r="BS107" s="143"/>
      <c r="BT107" s="142">
        <f>SUM(BU107:BW107)</f>
      </c>
      <c r="BU107" s="143"/>
      <c r="BV107" s="143"/>
      <c r="BW107" s="143"/>
      <c r="BX107" s="142">
        <f>SUM(BY107:CD107)</f>
      </c>
      <c r="BY107" s="143"/>
      <c r="BZ107" s="143"/>
      <c r="CA107" s="143"/>
      <c r="CB107" s="143"/>
      <c r="CC107" s="143"/>
      <c r="CD107" s="143"/>
      <c r="CE107" s="142"/>
      <c r="CF107" s="143"/>
      <c r="CG107" s="143"/>
      <c r="CH107" s="143"/>
      <c r="CI107" s="143"/>
      <c r="CJ107" s="143"/>
      <c r="CK107" s="142">
        <f>SUM(CL107:CN107)</f>
      </c>
      <c r="CL107" s="143"/>
      <c r="CM107" s="143"/>
      <c r="CN107" s="143"/>
      <c r="CO107" s="142">
        <f>SUM(CP107:CT107)</f>
      </c>
      <c r="CP107" s="143"/>
      <c r="CQ107" s="143"/>
      <c r="CR107" s="143"/>
      <c r="CS107" s="143"/>
      <c r="CT107" s="143"/>
      <c r="CU107" s="142"/>
      <c r="CV107" s="143"/>
      <c r="CW107" s="143"/>
      <c r="CX107" s="143"/>
      <c r="CY107" s="142"/>
      <c r="CZ107" s="143"/>
      <c r="DA107" s="143"/>
      <c r="DB107" s="143"/>
      <c r="DC107" s="143"/>
      <c r="DD107" s="143"/>
      <c r="DE107" s="143"/>
      <c r="DF107" s="143"/>
      <c r="DG107" s="142">
        <f>SUM(DH107:DH107)</f>
      </c>
      <c r="DH107" s="143"/>
      <c r="DI107" s="142"/>
      <c r="DJ107" s="143"/>
      <c r="DK107" s="142">
        <f>SUM(DL107:DQ107)</f>
      </c>
      <c r="DL107" s="143"/>
      <c r="DM107" s="143"/>
      <c r="DN107" s="143"/>
      <c r="DO107" s="143"/>
      <c r="DP107" s="143"/>
      <c r="DQ107" s="143"/>
      <c r="DR107" s="143"/>
      <c r="DS107" s="143"/>
      <c r="DT107" s="143"/>
      <c r="DU107" s="143"/>
      <c r="DV107" s="143"/>
      <c r="DW107" s="143"/>
      <c r="DX107" s="142"/>
      <c r="DY107" s="143"/>
      <c r="DZ107" s="142"/>
      <c r="EA107" s="143"/>
      <c r="EB107" s="143"/>
      <c r="EC107" s="142"/>
      <c r="ED107" s="143"/>
      <c r="EF107" s="143"/>
      <c r="EG107" s="142">
        <f>SUM(EH107:EQ107)</f>
      </c>
      <c r="EH107" s="143"/>
      <c r="EI107" s="143"/>
      <c r="EJ107" s="143"/>
      <c r="EK107" s="143"/>
      <c r="EL107" s="143"/>
      <c r="EM107" s="143"/>
      <c r="EN107" s="143"/>
      <c r="EO107" s="143"/>
      <c r="EP107" s="143"/>
      <c r="EQ107" s="143"/>
      <c r="ER107" s="142">
        <f>SUM(ES107:ET107)</f>
      </c>
      <c r="ES107" s="143"/>
      <c r="ET107" s="143"/>
      <c r="EU107" s="144"/>
      <c r="FB107" s="146"/>
      <c r="FC107" s="146" cm="1">
        <f t="array" ref="FC107">ROW()-ROW(New[#Headers])</f>
        <v>101</v>
      </c>
    </row>
    <row r="108" spans="2:159" s="139" customFormat="1" ht="10.5" x14ac:dyDescent="0.2">
      <c r="B108" s="133"/>
      <c r="C108" s="2399" t="s">
        <v>307</v>
      </c>
      <c r="D108" t="s" s="2400">
        <v>308</v>
      </c>
      <c r="E108" s="2401" t="s">
        <v>13</v>
      </c>
      <c r="F108" t="s" s="2402">
        <v>766</v>
      </c>
      <c r="G108" t="s" s="2403">
        <v>1597</v>
      </c>
      <c r="H108" s="2404" t="s">
        <v>46</v>
      </c>
      <c r="I108" t="s" s="2405">
        <v>41</v>
      </c>
      <c r="J108" t="s" s="2406">
        <v>68</v>
      </c>
      <c r="K108" t="s" s="2407">
        <v>1059</v>
      </c>
      <c r="L108" t="s" s="2408">
        <v>767</v>
      </c>
      <c r="M108" t="s" s="2409">
        <v>305</v>
      </c>
      <c r="N108" s="2410" t="s">
        <v>3873</v>
      </c>
      <c r="O108" s="2411" t="s">
        <v>3871</v>
      </c>
      <c r="P108" s="141"/>
      <c r="Q108" s="142">
        <f>SUM(R108:AQ108)</f>
      </c>
      <c r="R108" s="143"/>
      <c r="S108" s="143"/>
      <c r="T108" s="143"/>
      <c r="U108" s="143"/>
      <c r="V108" s="143"/>
      <c r="W108" s="143"/>
      <c r="X108" s="143"/>
      <c r="Y108" s="143"/>
      <c r="Z108" s="143"/>
      <c r="AA108" s="143"/>
      <c r="AB108" s="143"/>
      <c r="AC108" s="143"/>
      <c r="AD108" s="143"/>
      <c r="AE108" s="143"/>
      <c r="AF108" s="143"/>
      <c r="AG108" s="2412" t="n">
        <v>160.0</v>
      </c>
      <c r="AH108" s="143"/>
      <c r="AI108" s="143"/>
      <c r="AJ108" s="143"/>
      <c r="AK108" s="143"/>
      <c r="AL108" s="143"/>
      <c r="AM108" s="143"/>
      <c r="AN108" s="143"/>
      <c r="AO108" s="143"/>
      <c r="AP108" s="143"/>
      <c r="AQ108" s="143"/>
      <c r="AR108" s="142">
        <f>SUM(AS108:AV108)</f>
      </c>
      <c r="AS108" s="143"/>
      <c r="AT108" s="143"/>
      <c r="AU108" s="143"/>
      <c r="AV108" s="143"/>
      <c r="AW108" s="142">
        <f>SUM(AX108:BI108)</f>
      </c>
      <c r="AX108" s="143"/>
      <c r="AY108" s="143"/>
      <c r="AZ108" s="143"/>
      <c r="BA108" s="143"/>
      <c r="BB108" s="143"/>
      <c r="BC108" s="143"/>
      <c r="BD108" s="143"/>
      <c r="BE108" s="143"/>
      <c r="BF108" s="143"/>
      <c r="BG108" s="143"/>
      <c r="BH108" s="143"/>
      <c r="BI108" s="143"/>
      <c r="BJ108" s="142"/>
      <c r="BK108" s="143"/>
      <c r="BL108" s="143"/>
      <c r="BM108" s="143"/>
      <c r="BN108" s="143"/>
      <c r="BO108" s="143"/>
      <c r="BP108" s="143"/>
      <c r="BQ108" s="142"/>
      <c r="BR108" s="143"/>
      <c r="BS108" s="143"/>
      <c r="BT108" s="142">
        <f>SUM(BU108:BW108)</f>
      </c>
      <c r="BU108" s="143"/>
      <c r="BV108" s="143"/>
      <c r="BW108" s="143"/>
      <c r="BX108" s="142">
        <f>SUM(BY108:CD108)</f>
      </c>
      <c r="BY108" s="143"/>
      <c r="BZ108" s="143"/>
      <c r="CA108" s="143"/>
      <c r="CB108" s="143"/>
      <c r="CC108" s="143"/>
      <c r="CD108" s="143"/>
      <c r="CE108" s="142"/>
      <c r="CF108" s="143"/>
      <c r="CG108" s="143"/>
      <c r="CH108" s="143"/>
      <c r="CI108" s="143"/>
      <c r="CJ108" s="143"/>
      <c r="CK108" s="142">
        <f>SUM(CL108:CN108)</f>
      </c>
      <c r="CL108" s="143"/>
      <c r="CM108" s="143"/>
      <c r="CN108" s="143"/>
      <c r="CO108" s="142">
        <f>SUM(CP108:CT108)</f>
      </c>
      <c r="CP108" s="143"/>
      <c r="CQ108" s="143"/>
      <c r="CR108" s="143"/>
      <c r="CS108" s="143"/>
      <c r="CT108" s="143"/>
      <c r="CU108" s="142"/>
      <c r="CV108" s="143"/>
      <c r="CW108" s="143"/>
      <c r="CX108" s="143"/>
      <c r="CY108" s="142"/>
      <c r="CZ108" s="143"/>
      <c r="DA108" s="143"/>
      <c r="DB108" s="143"/>
      <c r="DC108" s="143"/>
      <c r="DD108" s="143"/>
      <c r="DE108" s="143"/>
      <c r="DF108" s="143"/>
      <c r="DG108" s="142">
        <f>SUM(DH108:DH108)</f>
      </c>
      <c r="DH108" s="143"/>
      <c r="DI108" s="142"/>
      <c r="DJ108" s="143"/>
      <c r="DK108" s="142">
        <f>SUM(DL108:DQ108)</f>
      </c>
      <c r="DL108" s="143"/>
      <c r="DM108" s="143"/>
      <c r="DN108" s="143"/>
      <c r="DO108" s="143"/>
      <c r="DP108" s="143"/>
      <c r="DQ108" s="143"/>
      <c r="DR108" s="143"/>
      <c r="DS108" s="143"/>
      <c r="DT108" s="143"/>
      <c r="DU108" s="143"/>
      <c r="DV108" s="143"/>
      <c r="DW108" s="143"/>
      <c r="DX108" s="142"/>
      <c r="DY108" s="143"/>
      <c r="DZ108" s="142"/>
      <c r="EA108" s="143"/>
      <c r="EB108" s="143"/>
      <c r="EC108" s="142"/>
      <c r="ED108" s="143"/>
      <c r="EF108" s="143"/>
      <c r="EG108" s="142">
        <f>SUM(EH108:EQ108)</f>
      </c>
      <c r="EH108" s="143"/>
      <c r="EI108" s="143"/>
      <c r="EJ108" s="143"/>
      <c r="EK108" s="143"/>
      <c r="EL108" s="143"/>
      <c r="EM108" s="143"/>
      <c r="EN108" s="143"/>
      <c r="EO108" s="143"/>
      <c r="EP108" s="143"/>
      <c r="EQ108" s="143"/>
      <c r="ER108" s="142">
        <f>SUM(ES108:ET108)</f>
      </c>
      <c r="ES108" s="143"/>
      <c r="ET108" s="143"/>
      <c r="EU108" s="144"/>
      <c r="FB108" s="146"/>
      <c r="FC108" s="146" cm="1">
        <f t="array" ref="FC108">ROW()-ROW(New[#Headers])</f>
        <v>102</v>
      </c>
    </row>
    <row r="109" spans="2:159" s="139" customFormat="1" ht="10.5" x14ac:dyDescent="0.2">
      <c r="B109" s="133"/>
      <c r="C109" s="2446" t="s">
        <v>598</v>
      </c>
      <c r="D109" t="s" s="2447">
        <v>599</v>
      </c>
      <c r="E109" s="2448" t="s">
        <v>13</v>
      </c>
      <c r="F109" t="s" s="2449">
        <v>750</v>
      </c>
      <c r="G109" t="s" s="2450">
        <v>1597</v>
      </c>
      <c r="H109" s="2451" t="s">
        <v>46</v>
      </c>
      <c r="I109" t="s" s="2452">
        <v>41</v>
      </c>
      <c r="J109" t="s" s="2453">
        <v>64</v>
      </c>
      <c r="K109" t="s" s="2454">
        <v>1679</v>
      </c>
      <c r="L109" t="s" s="2455">
        <v>934</v>
      </c>
      <c r="M109" t="s" s="2456">
        <v>305</v>
      </c>
      <c r="N109" s="2457" t="s">
        <v>3867</v>
      </c>
      <c r="O109" s="2458" t="s">
        <v>3871</v>
      </c>
      <c r="P109" s="141"/>
      <c r="Q109" s="142">
        <f>SUM(R109:AQ109)</f>
      </c>
      <c r="R109" s="143"/>
      <c r="S109" s="143"/>
      <c r="T109" s="2459" t="n">
        <v>170.0</v>
      </c>
      <c r="U109" s="143"/>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2">
        <f>SUM(AS109:AV109)</f>
      </c>
      <c r="AS109" s="143"/>
      <c r="AT109" s="143"/>
      <c r="AU109" s="143"/>
      <c r="AV109" s="143"/>
      <c r="AW109" s="142">
        <f>SUM(AX109:BI109)</f>
      </c>
      <c r="AX109" s="143"/>
      <c r="AY109" s="143"/>
      <c r="AZ109" s="143"/>
      <c r="BA109" s="143"/>
      <c r="BB109" s="143"/>
      <c r="BC109" s="143"/>
      <c r="BD109" s="143"/>
      <c r="BE109" s="143"/>
      <c r="BF109" s="143"/>
      <c r="BG109" s="143"/>
      <c r="BH109" s="143"/>
      <c r="BI109" s="143"/>
      <c r="BJ109" s="142"/>
      <c r="BK109" s="143"/>
      <c r="BL109" s="143"/>
      <c r="BM109" s="143"/>
      <c r="BN109" s="143"/>
      <c r="BO109" s="143"/>
      <c r="BP109" s="143"/>
      <c r="BQ109" s="142"/>
      <c r="BR109" s="143"/>
      <c r="BS109" s="143"/>
      <c r="BT109" s="142">
        <f>SUM(BU109:BW109)</f>
      </c>
      <c r="BU109" s="143"/>
      <c r="BV109" s="143"/>
      <c r="BW109" s="143"/>
      <c r="BX109" s="142">
        <f>SUM(BY109:CD109)</f>
      </c>
      <c r="BY109" s="143"/>
      <c r="BZ109" s="143"/>
      <c r="CA109" s="143"/>
      <c r="CB109" s="143"/>
      <c r="CC109" s="143"/>
      <c r="CD109" s="143"/>
      <c r="CE109" s="142"/>
      <c r="CF109" s="143"/>
      <c r="CG109" s="143"/>
      <c r="CH109" s="143"/>
      <c r="CI109" s="143"/>
      <c r="CJ109" s="143"/>
      <c r="CK109" s="142">
        <f>SUM(CL109:CN109)</f>
      </c>
      <c r="CL109" s="143"/>
      <c r="CM109" s="143"/>
      <c r="CN109" s="143"/>
      <c r="CO109" s="142">
        <f>SUM(CP109:CT109)</f>
      </c>
      <c r="CP109" s="143"/>
      <c r="CQ109" s="143"/>
      <c r="CR109" s="143"/>
      <c r="CS109" s="143"/>
      <c r="CT109" s="143"/>
      <c r="CU109" s="142"/>
      <c r="CV109" s="143"/>
      <c r="CW109" s="143"/>
      <c r="CX109" s="143"/>
      <c r="CY109" s="142"/>
      <c r="CZ109" s="143"/>
      <c r="DA109" s="143"/>
      <c r="DB109" s="143"/>
      <c r="DC109" s="143"/>
      <c r="DD109" s="143"/>
      <c r="DE109" s="143"/>
      <c r="DF109" s="143"/>
      <c r="DG109" s="142">
        <f>SUM(DH109:DH109)</f>
      </c>
      <c r="DH109" s="143"/>
      <c r="DI109" s="142"/>
      <c r="DJ109" s="143"/>
      <c r="DK109" s="142">
        <f>SUM(DL109:DQ109)</f>
      </c>
      <c r="DL109" s="143"/>
      <c r="DM109" s="143"/>
      <c r="DN109" s="143"/>
      <c r="DO109" s="143"/>
      <c r="DP109" s="143"/>
      <c r="DQ109" s="143"/>
      <c r="DR109" s="143"/>
      <c r="DS109" s="143"/>
      <c r="DT109" s="143"/>
      <c r="DU109" s="143"/>
      <c r="DV109" s="143"/>
      <c r="DW109" s="143"/>
      <c r="DX109" s="142"/>
      <c r="DY109" s="143"/>
      <c r="DZ109" s="142"/>
      <c r="EA109" s="143"/>
      <c r="EB109" s="143"/>
      <c r="EC109" s="142"/>
      <c r="ED109" s="143"/>
      <c r="EF109" s="143"/>
      <c r="EG109" s="142">
        <f>SUM(EH109:EQ109)</f>
      </c>
      <c r="EH109" s="143"/>
      <c r="EI109" s="143"/>
      <c r="EJ109" s="143"/>
      <c r="EK109" s="143"/>
      <c r="EL109" s="143"/>
      <c r="EM109" s="143"/>
      <c r="EN109" s="143"/>
      <c r="EO109" s="143"/>
      <c r="EP109" s="143"/>
      <c r="EQ109" s="143"/>
      <c r="ER109" s="142">
        <f>SUM(ES109:ET109)</f>
      </c>
      <c r="ES109" s="143"/>
      <c r="ET109" s="143"/>
      <c r="EU109" s="144"/>
      <c r="FB109" s="146"/>
      <c r="FC109" s="146" cm="1">
        <f t="array" ref="FC109">ROW()-ROW(New[#Headers])</f>
        <v>103</v>
      </c>
    </row>
    <row r="110" spans="2:159" s="139" customFormat="1" ht="10.5" x14ac:dyDescent="0.2">
      <c r="B110" s="133"/>
      <c r="C110" s="2460" t="s">
        <v>522</v>
      </c>
      <c r="D110" t="s" s="2461">
        <v>523</v>
      </c>
      <c r="E110" s="2462" t="s">
        <v>13</v>
      </c>
      <c r="F110" t="s" s="2463">
        <v>1618</v>
      </c>
      <c r="G110" t="s" s="2464">
        <v>1597</v>
      </c>
      <c r="H110" s="2465" t="s">
        <v>46</v>
      </c>
      <c r="I110" t="s" s="2466">
        <v>41</v>
      </c>
      <c r="J110" t="s" s="2467">
        <v>64</v>
      </c>
      <c r="K110" t="s" s="2468">
        <v>839</v>
      </c>
      <c r="L110" t="s" s="2469">
        <v>767</v>
      </c>
      <c r="M110" t="s" s="2470">
        <v>305</v>
      </c>
      <c r="N110" s="2471" t="s">
        <v>3873</v>
      </c>
      <c r="O110" s="2472" t="s">
        <v>3878</v>
      </c>
      <c r="P110" s="141"/>
      <c r="Q110" s="142">
        <f>SUM(R110:AQ110)</f>
      </c>
      <c r="R110" s="143"/>
      <c r="S110" s="143"/>
      <c r="T110" s="143"/>
      <c r="U110" s="143"/>
      <c r="V110" s="143"/>
      <c r="W110" s="143"/>
      <c r="X110" s="143"/>
      <c r="Y110" s="143"/>
      <c r="Z110" s="143"/>
      <c r="AA110" s="143"/>
      <c r="AB110" s="143"/>
      <c r="AC110" s="143"/>
      <c r="AD110" s="143"/>
      <c r="AE110" s="143"/>
      <c r="AF110" s="143"/>
      <c r="AG110" s="143"/>
      <c r="AH110" s="143"/>
      <c r="AI110" s="143"/>
      <c r="AJ110" s="143"/>
      <c r="AK110" s="143"/>
      <c r="AL110" s="2473" t="n">
        <v>350.0</v>
      </c>
      <c r="AM110" s="143"/>
      <c r="AN110" s="143"/>
      <c r="AO110" s="143"/>
      <c r="AP110" s="143"/>
      <c r="AQ110" s="143"/>
      <c r="AR110" s="142">
        <f>SUM(AS110:AV110)</f>
      </c>
      <c r="AS110" s="143"/>
      <c r="AT110" s="143"/>
      <c r="AU110" s="143"/>
      <c r="AV110" s="143"/>
      <c r="AW110" s="142">
        <f>SUM(AX110:BI110)</f>
      </c>
      <c r="AX110" s="143"/>
      <c r="AY110" s="143"/>
      <c r="AZ110" s="143"/>
      <c r="BA110" s="143"/>
      <c r="BB110" s="143"/>
      <c r="BC110" s="143"/>
      <c r="BD110" s="143"/>
      <c r="BE110" s="143"/>
      <c r="BF110" s="143"/>
      <c r="BG110" s="143"/>
      <c r="BH110" s="143"/>
      <c r="BI110" s="143"/>
      <c r="BJ110" s="142"/>
      <c r="BK110" s="143"/>
      <c r="BL110" s="143"/>
      <c r="BM110" s="143"/>
      <c r="BN110" s="143"/>
      <c r="BO110" s="143"/>
      <c r="BP110" s="143"/>
      <c r="BQ110" s="142"/>
      <c r="BR110" s="143"/>
      <c r="BS110" s="143"/>
      <c r="BT110" s="142">
        <f>SUM(BU110:BW110)</f>
      </c>
      <c r="BU110" s="143"/>
      <c r="BV110" s="143"/>
      <c r="BW110" s="143"/>
      <c r="BX110" s="142">
        <f>SUM(BY110:CD110)</f>
      </c>
      <c r="BY110" s="143"/>
      <c r="BZ110" s="143"/>
      <c r="CA110" s="143"/>
      <c r="CB110" s="143"/>
      <c r="CC110" s="143"/>
      <c r="CD110" s="143"/>
      <c r="CE110" s="142"/>
      <c r="CF110" s="143"/>
      <c r="CG110" s="143"/>
      <c r="CH110" s="143"/>
      <c r="CI110" s="143"/>
      <c r="CJ110" s="143"/>
      <c r="CK110" s="142">
        <f>SUM(CL110:CN110)</f>
      </c>
      <c r="CL110" s="143"/>
      <c r="CM110" s="143"/>
      <c r="CN110" s="143"/>
      <c r="CO110" s="142">
        <f>SUM(CP110:CT110)</f>
      </c>
      <c r="CP110" s="143"/>
      <c r="CQ110" s="143"/>
      <c r="CR110" s="143"/>
      <c r="CS110" s="143"/>
      <c r="CT110" s="143"/>
      <c r="CU110" s="142"/>
      <c r="CV110" s="143"/>
      <c r="CW110" s="143"/>
      <c r="CX110" s="143"/>
      <c r="CY110" s="142"/>
      <c r="CZ110" s="143"/>
      <c r="DA110" s="143"/>
      <c r="DB110" s="143"/>
      <c r="DC110" s="143"/>
      <c r="DD110" s="143"/>
      <c r="DE110" s="143"/>
      <c r="DF110" s="143"/>
      <c r="DG110" s="142">
        <f>SUM(DH110:DH110)</f>
      </c>
      <c r="DH110" s="2474" t="n">
        <v>50.0</v>
      </c>
      <c r="DI110" s="142"/>
      <c r="DJ110" s="143"/>
      <c r="DK110" s="142">
        <f>SUM(DL110:DQ110)</f>
      </c>
      <c r="DL110" s="143"/>
      <c r="DM110" s="143"/>
      <c r="DN110" s="143"/>
      <c r="DO110" s="143"/>
      <c r="DP110" s="143"/>
      <c r="DQ110" s="143"/>
      <c r="DR110" s="143"/>
      <c r="DS110" s="143"/>
      <c r="DT110" s="143"/>
      <c r="DU110" s="143"/>
      <c r="DV110" s="143"/>
      <c r="DW110" s="143"/>
      <c r="DX110" s="142"/>
      <c r="DY110" s="143"/>
      <c r="DZ110" s="142"/>
      <c r="EA110" s="143"/>
      <c r="EB110" s="143"/>
      <c r="EC110" s="142"/>
      <c r="ED110" s="143"/>
      <c r="EF110" s="143"/>
      <c r="EG110" s="142">
        <f>SUM(EH110:EQ110)</f>
      </c>
      <c r="EH110" s="143"/>
      <c r="EI110" s="143"/>
      <c r="EJ110" s="143"/>
      <c r="EK110" s="143"/>
      <c r="EL110" s="143"/>
      <c r="EM110" s="143"/>
      <c r="EN110" s="143"/>
      <c r="EO110" s="143"/>
      <c r="EP110" s="143"/>
      <c r="EQ110" s="143"/>
      <c r="ER110" s="142">
        <f>SUM(ES110:ET110)</f>
      </c>
      <c r="ES110" s="143"/>
      <c r="ET110" s="143"/>
      <c r="EU110" s="144"/>
      <c r="FB110" s="146"/>
      <c r="FC110" s="146" cm="1">
        <f t="array" ref="FC110">ROW()-ROW(New[#Headers])</f>
        <v>104</v>
      </c>
    </row>
    <row r="111" spans="2:159" s="139" customFormat="1" ht="10.5" x14ac:dyDescent="0.2">
      <c r="B111" s="133"/>
      <c r="C111" s="2475" t="s">
        <v>471</v>
      </c>
      <c r="D111" t="s" s="2476">
        <v>472</v>
      </c>
      <c r="E111" s="2477" t="s">
        <v>13</v>
      </c>
      <c r="F111" t="s" s="2478">
        <v>1109</v>
      </c>
      <c r="G111" t="s" s="2479">
        <v>305</v>
      </c>
      <c r="H111" s="2480" t="s">
        <v>46</v>
      </c>
      <c r="I111" t="s" s="2481">
        <v>41</v>
      </c>
      <c r="J111" t="s" s="2482">
        <v>68</v>
      </c>
      <c r="K111" t="s" s="2483">
        <v>1659</v>
      </c>
      <c r="L111" t="s" s="2484">
        <v>751</v>
      </c>
      <c r="M111" t="s" s="2485">
        <v>305</v>
      </c>
      <c r="N111" s="2486" t="s">
        <v>3873</v>
      </c>
      <c r="O111" s="2487" t="s">
        <v>3871</v>
      </c>
      <c r="P111" s="141"/>
      <c r="Q111" s="142">
        <f>SUM(R111:AQ111)</f>
      </c>
      <c r="R111" s="143"/>
      <c r="S111" s="143"/>
      <c r="T111" s="143"/>
      <c r="U111" s="143"/>
      <c r="V111" s="143"/>
      <c r="W111" s="143"/>
      <c r="X111" s="143"/>
      <c r="Y111" s="143"/>
      <c r="Z111" s="143"/>
      <c r="AA111" s="143"/>
      <c r="AB111" s="143"/>
      <c r="AC111" s="143"/>
      <c r="AD111" s="2488" t="n">
        <v>400.0</v>
      </c>
      <c r="AE111" s="143"/>
      <c r="AF111" s="143"/>
      <c r="AG111" s="143"/>
      <c r="AH111" s="143"/>
      <c r="AI111" s="143"/>
      <c r="AJ111" s="143"/>
      <c r="AK111" s="143"/>
      <c r="AL111" s="143"/>
      <c r="AM111" s="143"/>
      <c r="AN111" s="143"/>
      <c r="AO111" s="143"/>
      <c r="AP111" s="143"/>
      <c r="AQ111" s="143"/>
      <c r="AR111" s="142">
        <f>SUM(AS111:AV111)</f>
      </c>
      <c r="AS111" s="143"/>
      <c r="AT111" s="143"/>
      <c r="AU111" s="143"/>
      <c r="AV111" s="143"/>
      <c r="AW111" s="142">
        <f>SUM(AX111:BI111)</f>
      </c>
      <c r="AX111" s="143"/>
      <c r="AY111" s="143"/>
      <c r="AZ111" s="143"/>
      <c r="BA111" s="143"/>
      <c r="BB111" s="143"/>
      <c r="BC111" s="143"/>
      <c r="BD111" s="143"/>
      <c r="BE111" s="143"/>
      <c r="BF111" s="143"/>
      <c r="BG111" s="143"/>
      <c r="BH111" s="143"/>
      <c r="BI111" s="143"/>
      <c r="BJ111" s="142"/>
      <c r="BK111" s="143"/>
      <c r="BL111" s="143"/>
      <c r="BM111" s="143"/>
      <c r="BN111" s="143"/>
      <c r="BO111" s="143"/>
      <c r="BP111" s="143"/>
      <c r="BQ111" s="142"/>
      <c r="BR111" s="143"/>
      <c r="BS111" s="143"/>
      <c r="BT111" s="142">
        <f>SUM(BU111:BW111)</f>
      </c>
      <c r="BU111" s="143"/>
      <c r="BV111" s="143"/>
      <c r="BW111" s="143"/>
      <c r="BX111" s="142">
        <f>SUM(BY111:CD111)</f>
      </c>
      <c r="BY111" s="143"/>
      <c r="BZ111" s="143"/>
      <c r="CA111" s="143"/>
      <c r="CB111" s="143"/>
      <c r="CC111" s="143"/>
      <c r="CD111" s="143"/>
      <c r="CE111" s="142"/>
      <c r="CF111" s="143"/>
      <c r="CG111" s="143"/>
      <c r="CH111" s="143"/>
      <c r="CI111" s="143"/>
      <c r="CJ111" s="143"/>
      <c r="CK111" s="142">
        <f>SUM(CL111:CN111)</f>
      </c>
      <c r="CL111" s="143"/>
      <c r="CM111" s="143"/>
      <c r="CN111" s="143"/>
      <c r="CO111" s="142">
        <f>SUM(CP111:CT111)</f>
      </c>
      <c r="CP111" s="143"/>
      <c r="CQ111" s="143"/>
      <c r="CR111" s="143"/>
      <c r="CS111" s="143"/>
      <c r="CT111" s="143"/>
      <c r="CU111" s="142"/>
      <c r="CV111" s="143"/>
      <c r="CW111" s="143"/>
      <c r="CX111" s="143"/>
      <c r="CY111" s="142"/>
      <c r="CZ111" s="143"/>
      <c r="DA111" s="143"/>
      <c r="DB111" s="143"/>
      <c r="DC111" s="143"/>
      <c r="DD111" s="143"/>
      <c r="DE111" s="143"/>
      <c r="DF111" s="143"/>
      <c r="DG111" s="142">
        <f>SUM(DH111:DH111)</f>
      </c>
      <c r="DH111" s="143"/>
      <c r="DI111" s="142"/>
      <c r="DJ111" s="143"/>
      <c r="DK111" s="142">
        <f>SUM(DL111:DQ111)</f>
      </c>
      <c r="DL111" s="143"/>
      <c r="DM111" s="143"/>
      <c r="DN111" s="143"/>
      <c r="DO111" s="143"/>
      <c r="DP111" s="143"/>
      <c r="DQ111" s="143"/>
      <c r="DR111" s="143"/>
      <c r="DS111" s="143"/>
      <c r="DT111" s="143"/>
      <c r="DU111" s="143"/>
      <c r="DV111" s="143"/>
      <c r="DW111" s="143"/>
      <c r="DX111" s="142"/>
      <c r="DY111" s="143"/>
      <c r="DZ111" s="142"/>
      <c r="EA111" s="143"/>
      <c r="EB111" s="143"/>
      <c r="EC111" s="142"/>
      <c r="ED111" s="143"/>
      <c r="EF111" s="143"/>
      <c r="EG111" s="142">
        <f>SUM(EH111:EQ111)</f>
      </c>
      <c r="EH111" s="143"/>
      <c r="EI111" s="143"/>
      <c r="EJ111" s="143"/>
      <c r="EK111" s="143"/>
      <c r="EL111" s="143"/>
      <c r="EM111" s="143"/>
      <c r="EN111" s="143"/>
      <c r="EO111" s="143"/>
      <c r="EP111" s="143"/>
      <c r="EQ111" s="143"/>
      <c r="ER111" s="142">
        <f>SUM(ES111:ET111)</f>
      </c>
      <c r="ES111" s="143"/>
      <c r="ET111" s="143"/>
      <c r="EU111" s="144"/>
      <c r="FB111" s="146"/>
      <c r="FC111" s="146" cm="1">
        <f t="array" ref="FC111">ROW()-ROW(New[#Headers])</f>
        <v>105</v>
      </c>
    </row>
    <row r="112" spans="2:159" s="139" customFormat="1" ht="10.5" x14ac:dyDescent="0.2">
      <c r="B112" s="133"/>
      <c r="C112" s="2489" t="s">
        <v>445</v>
      </c>
      <c r="D112" t="s" s="2490">
        <v>446</v>
      </c>
      <c r="E112" s="2491" t="s">
        <v>889</v>
      </c>
      <c r="F112" t="s" s="2492">
        <v>1473</v>
      </c>
      <c r="G112" t="s" s="2493">
        <v>1597</v>
      </c>
      <c r="H112" s="2494" t="s">
        <v>57</v>
      </c>
      <c r="I112" t="s" s="2495">
        <v>41</v>
      </c>
      <c r="J112" t="s" s="2496">
        <v>95</v>
      </c>
      <c r="K112" t="s" s="2497">
        <v>839</v>
      </c>
      <c r="L112" t="s" s="2498">
        <v>767</v>
      </c>
      <c r="M112" t="s" s="2499">
        <v>305</v>
      </c>
      <c r="N112" s="2500" t="s">
        <v>3875</v>
      </c>
      <c r="O112" s="2501" t="s">
        <v>3871</v>
      </c>
      <c r="P112" s="141"/>
      <c r="Q112" s="142">
        <f>SUM(R112:AQ112)</f>
      </c>
      <c r="R112" s="143"/>
      <c r="S112" s="143"/>
      <c r="T112" s="143"/>
      <c r="U112" s="143"/>
      <c r="V112" s="143"/>
      <c r="W112" s="143"/>
      <c r="X112" s="143"/>
      <c r="Y112" s="143"/>
      <c r="Z112" s="143"/>
      <c r="AA112" s="143"/>
      <c r="AB112" s="143"/>
      <c r="AC112" s="143"/>
      <c r="AD112" s="143"/>
      <c r="AE112" s="143"/>
      <c r="AF112" s="143"/>
      <c r="AG112" s="143"/>
      <c r="AH112" s="143"/>
      <c r="AI112" s="143"/>
      <c r="AJ112" s="143"/>
      <c r="AK112" s="143"/>
      <c r="AL112" s="2502" t="n">
        <v>100.0</v>
      </c>
      <c r="AM112" s="143"/>
      <c r="AN112" s="143"/>
      <c r="AO112" s="143"/>
      <c r="AP112" s="143"/>
      <c r="AQ112" s="143"/>
      <c r="AR112" s="142">
        <f>SUM(AS112:AV112)</f>
      </c>
      <c r="AS112" s="143"/>
      <c r="AT112" s="143"/>
      <c r="AU112" s="143"/>
      <c r="AV112" s="143"/>
      <c r="AW112" s="142">
        <f>SUM(AX112:BI112)</f>
      </c>
      <c r="AX112" s="143"/>
      <c r="AY112" s="143"/>
      <c r="AZ112" s="143"/>
      <c r="BA112" s="143"/>
      <c r="BB112" s="143"/>
      <c r="BC112" s="143"/>
      <c r="BD112" s="143"/>
      <c r="BE112" s="143"/>
      <c r="BF112" s="143"/>
      <c r="BG112" s="143"/>
      <c r="BH112" s="143"/>
      <c r="BI112" s="143"/>
      <c r="BJ112" s="142"/>
      <c r="BK112" s="143"/>
      <c r="BL112" s="143"/>
      <c r="BM112" s="143"/>
      <c r="BN112" s="143"/>
      <c r="BO112" s="143"/>
      <c r="BP112" s="143"/>
      <c r="BQ112" s="142"/>
      <c r="BR112" s="143"/>
      <c r="BS112" s="143"/>
      <c r="BT112" s="142">
        <f>SUM(BU112:BW112)</f>
      </c>
      <c r="BU112" s="143"/>
      <c r="BV112" s="143"/>
      <c r="BW112" s="143"/>
      <c r="BX112" s="142">
        <f>SUM(BY112:CD112)</f>
      </c>
      <c r="BY112" s="143"/>
      <c r="BZ112" s="143"/>
      <c r="CA112" s="143"/>
      <c r="CB112" s="143"/>
      <c r="CC112" s="143"/>
      <c r="CD112" s="143"/>
      <c r="CE112" s="142"/>
      <c r="CF112" s="143"/>
      <c r="CG112" s="143"/>
      <c r="CH112" s="143"/>
      <c r="CI112" s="143"/>
      <c r="CJ112" s="143"/>
      <c r="CK112" s="142">
        <f>SUM(CL112:CN112)</f>
      </c>
      <c r="CL112" s="143"/>
      <c r="CM112" s="143"/>
      <c r="CN112" s="143"/>
      <c r="CO112" s="142">
        <f>SUM(CP112:CT112)</f>
      </c>
      <c r="CP112" s="143"/>
      <c r="CQ112" s="143"/>
      <c r="CR112" s="143"/>
      <c r="CS112" s="143"/>
      <c r="CT112" s="143"/>
      <c r="CU112" s="142"/>
      <c r="CV112" s="143"/>
      <c r="CW112" s="143"/>
      <c r="CX112" s="143"/>
      <c r="CY112" s="142"/>
      <c r="CZ112" s="143"/>
      <c r="DA112" s="143"/>
      <c r="DB112" s="143"/>
      <c r="DC112" s="143"/>
      <c r="DD112" s="143"/>
      <c r="DE112" s="143"/>
      <c r="DF112" s="143"/>
      <c r="DG112" s="142">
        <f>SUM(DH112:DH112)</f>
      </c>
      <c r="DH112" s="2503" t="n">
        <v>100.0</v>
      </c>
      <c r="DI112" s="142"/>
      <c r="DJ112" s="143"/>
      <c r="DK112" s="142">
        <f>SUM(DL112:DQ112)</f>
      </c>
      <c r="DL112" s="143"/>
      <c r="DM112" s="143"/>
      <c r="DN112" s="143"/>
      <c r="DO112" s="143"/>
      <c r="DP112" s="143"/>
      <c r="DQ112" s="143"/>
      <c r="DR112" s="143"/>
      <c r="DS112" s="143"/>
      <c r="DT112" s="143"/>
      <c r="DU112" s="143"/>
      <c r="DV112" s="143"/>
      <c r="DW112" s="143"/>
      <c r="DX112" s="142"/>
      <c r="DY112" s="143"/>
      <c r="DZ112" s="142"/>
      <c r="EA112" s="143"/>
      <c r="EB112" s="143"/>
      <c r="EC112" s="142"/>
      <c r="ED112" s="143"/>
      <c r="EF112" s="143"/>
      <c r="EG112" s="142">
        <f>SUM(EH112:EQ112)</f>
      </c>
      <c r="EH112" s="143"/>
      <c r="EI112" s="143"/>
      <c r="EJ112" s="143"/>
      <c r="EK112" s="143"/>
      <c r="EL112" s="143"/>
      <c r="EM112" s="143"/>
      <c r="EN112" s="143"/>
      <c r="EO112" s="143"/>
      <c r="EP112" s="143"/>
      <c r="EQ112" s="143"/>
      <c r="ER112" s="142">
        <f>SUM(ES112:ET112)</f>
      </c>
      <c r="ES112" s="143"/>
      <c r="ET112" s="143"/>
      <c r="EU112" s="144"/>
      <c r="FB112" s="146"/>
      <c r="FC112" s="146" cm="1">
        <f t="array" ref="FC112">ROW()-ROW(New[#Headers])</f>
        <v>106</v>
      </c>
    </row>
    <row r="113" spans="2:159" s="139" customFormat="1" ht="10.5" x14ac:dyDescent="0.2">
      <c r="B113" s="133"/>
      <c r="C113" s="2504" t="s">
        <v>3820</v>
      </c>
      <c r="D113" t="s" s="2505">
        <v>3821</v>
      </c>
      <c r="E113" s="2506" t="s">
        <v>13</v>
      </c>
      <c r="F113" t="s" s="2507">
        <v>1671</v>
      </c>
      <c r="G113" t="s" s="2508">
        <v>345</v>
      </c>
      <c r="H113" s="2509" t="s">
        <v>46</v>
      </c>
      <c r="I113" t="s" s="2510">
        <v>41</v>
      </c>
      <c r="J113" t="s" s="2511">
        <v>68</v>
      </c>
      <c r="K113" t="s" s="2512">
        <v>1672</v>
      </c>
      <c r="L113" t="s" s="2513">
        <v>305</v>
      </c>
      <c r="M113" t="s" s="2514">
        <v>305</v>
      </c>
      <c r="N113" s="2515" t="s">
        <v>3873</v>
      </c>
      <c r="O113" s="2516" t="s">
        <v>3871</v>
      </c>
      <c r="P113" s="141"/>
      <c r="Q113" s="142">
        <f>SUM(R113:AQ113)</f>
      </c>
      <c r="R113" s="143"/>
      <c r="S113" s="143"/>
      <c r="T113" s="143"/>
      <c r="U113" s="143"/>
      <c r="V113" s="143"/>
      <c r="W113" s="143"/>
      <c r="X113" s="143"/>
      <c r="Y113" s="143"/>
      <c r="Z113" s="143"/>
      <c r="AA113" s="143"/>
      <c r="AB113" s="143"/>
      <c r="AC113" s="143"/>
      <c r="AD113" s="143"/>
      <c r="AE113" s="143"/>
      <c r="AF113" s="143"/>
      <c r="AG113" s="143"/>
      <c r="AH113" s="143"/>
      <c r="AI113" s="143"/>
      <c r="AJ113" s="143"/>
      <c r="AK113" s="143"/>
      <c r="AL113" s="143"/>
      <c r="AM113" s="143"/>
      <c r="AN113" s="2517" t="n">
        <v>1200.0</v>
      </c>
      <c r="AO113" s="143"/>
      <c r="AP113" s="143"/>
      <c r="AQ113" s="143"/>
      <c r="AR113" s="142">
        <f>SUM(AS113:AV113)</f>
      </c>
      <c r="AS113" s="143"/>
      <c r="AT113" s="143"/>
      <c r="AU113" s="143"/>
      <c r="AV113" s="143"/>
      <c r="AW113" s="142">
        <f>SUM(AX113:BI113)</f>
      </c>
      <c r="AX113" s="143"/>
      <c r="AY113" s="143"/>
      <c r="AZ113" s="143"/>
      <c r="BA113" s="143"/>
      <c r="BB113" s="143"/>
      <c r="BC113" s="143"/>
      <c r="BD113" s="143"/>
      <c r="BE113" s="143"/>
      <c r="BF113" s="143"/>
      <c r="BG113" s="143"/>
      <c r="BH113" s="143"/>
      <c r="BI113" s="143"/>
      <c r="BJ113" s="142"/>
      <c r="BK113" s="143"/>
      <c r="BL113" s="143"/>
      <c r="BM113" s="143"/>
      <c r="BN113" s="143"/>
      <c r="BO113" s="143"/>
      <c r="BP113" s="143"/>
      <c r="BQ113" s="142"/>
      <c r="BR113" s="143"/>
      <c r="BS113" s="143"/>
      <c r="BT113" s="142">
        <f>SUM(BU113:BW113)</f>
      </c>
      <c r="BU113" s="143"/>
      <c r="BV113" s="143"/>
      <c r="BW113" s="143"/>
      <c r="BX113" s="142">
        <f>SUM(BY113:CD113)</f>
      </c>
      <c r="BY113" s="143"/>
      <c r="BZ113" s="143"/>
      <c r="CA113" s="143"/>
      <c r="CB113" s="143"/>
      <c r="CC113" s="143"/>
      <c r="CD113" s="143"/>
      <c r="CE113" s="142"/>
      <c r="CF113" s="143"/>
      <c r="CG113" s="143"/>
      <c r="CH113" s="143"/>
      <c r="CI113" s="143"/>
      <c r="CJ113" s="143"/>
      <c r="CK113" s="142">
        <f>SUM(CL113:CN113)</f>
      </c>
      <c r="CL113" s="143"/>
      <c r="CM113" s="143"/>
      <c r="CN113" s="143"/>
      <c r="CO113" s="142">
        <f>SUM(CP113:CT113)</f>
      </c>
      <c r="CP113" s="143"/>
      <c r="CQ113" s="143"/>
      <c r="CR113" s="143"/>
      <c r="CS113" s="143"/>
      <c r="CT113" s="143"/>
      <c r="CU113" s="142"/>
      <c r="CV113" s="143"/>
      <c r="CW113" s="143"/>
      <c r="CX113" s="143"/>
      <c r="CY113" s="142"/>
      <c r="CZ113" s="143"/>
      <c r="DA113" s="143"/>
      <c r="DB113" s="143"/>
      <c r="DC113" s="143"/>
      <c r="DD113" s="143"/>
      <c r="DE113" s="143"/>
      <c r="DF113" s="143"/>
      <c r="DG113" s="142">
        <f>SUM(DH113:DH113)</f>
      </c>
      <c r="DH113" s="143"/>
      <c r="DI113" s="142"/>
      <c r="DJ113" s="143"/>
      <c r="DK113" s="142">
        <f>SUM(DL113:DQ113)</f>
      </c>
      <c r="DL113" s="143"/>
      <c r="DM113" s="143"/>
      <c r="DN113" s="143"/>
      <c r="DO113" s="143"/>
      <c r="DP113" s="143"/>
      <c r="DQ113" s="143"/>
      <c r="DR113" s="143"/>
      <c r="DS113" s="143"/>
      <c r="DT113" s="143"/>
      <c r="DU113" s="143"/>
      <c r="DV113" s="143"/>
      <c r="DW113" s="143"/>
      <c r="DX113" s="142"/>
      <c r="DY113" s="143"/>
      <c r="DZ113" s="142"/>
      <c r="EA113" s="143"/>
      <c r="EB113" s="143"/>
      <c r="EC113" s="142"/>
      <c r="ED113" s="143"/>
      <c r="EF113" s="143"/>
      <c r="EG113" s="142">
        <f>SUM(EH113:EQ113)</f>
      </c>
      <c r="EH113" s="143"/>
      <c r="EI113" s="143"/>
      <c r="EJ113" s="143"/>
      <c r="EK113" s="143"/>
      <c r="EL113" s="143"/>
      <c r="EM113" s="143"/>
      <c r="EN113" s="143"/>
      <c r="EO113" s="143"/>
      <c r="EP113" s="143"/>
      <c r="EQ113" s="143"/>
      <c r="ER113" s="142">
        <f>SUM(ES113:ET113)</f>
      </c>
      <c r="ES113" s="143"/>
      <c r="ET113" s="143"/>
      <c r="EU113" s="144"/>
      <c r="FB113" s="146"/>
      <c r="FC113" s="146" cm="1">
        <f t="array" ref="FC113">ROW()-ROW(New[#Headers])</f>
        <v>107</v>
      </c>
    </row>
    <row r="114" spans="2:159" s="139" customFormat="1" ht="10.5" x14ac:dyDescent="0.2">
      <c r="B114" s="133"/>
      <c r="C114" s="2518" t="s">
        <v>645</v>
      </c>
      <c r="D114" t="s" s="2519">
        <v>646</v>
      </c>
      <c r="E114" s="2520" t="s">
        <v>305</v>
      </c>
      <c r="F114" t="s" s="2521">
        <v>1618</v>
      </c>
      <c r="G114" t="s" s="2522">
        <v>305</v>
      </c>
      <c r="H114" s="2523" t="s">
        <v>53</v>
      </c>
      <c r="I114" t="s" s="2524">
        <v>41</v>
      </c>
      <c r="J114" t="s" s="2525">
        <v>64</v>
      </c>
      <c r="K114" t="s" s="2526">
        <v>1701</v>
      </c>
      <c r="L114" t="s" s="2527">
        <v>305</v>
      </c>
      <c r="M114" t="s" s="2528">
        <v>305</v>
      </c>
      <c r="N114" s="2529" t="s">
        <v>3870</v>
      </c>
      <c r="O114" s="2530" t="s">
        <v>3874</v>
      </c>
      <c r="P114" s="141"/>
      <c r="Q114" s="142">
        <f>SUM(R114:AQ114)</f>
      </c>
      <c r="R114" s="143"/>
      <c r="S114" s="143"/>
      <c r="T114" s="143"/>
      <c r="U114" s="143"/>
      <c r="V114" s="143"/>
      <c r="W114" s="143"/>
      <c r="X114" s="143"/>
      <c r="Y114" s="143"/>
      <c r="Z114" s="143"/>
      <c r="AA114" s="143"/>
      <c r="AB114" s="143"/>
      <c r="AC114" s="143"/>
      <c r="AD114" s="143"/>
      <c r="AE114" s="143"/>
      <c r="AF114" s="143"/>
      <c r="AG114" s="143"/>
      <c r="AH114" s="143"/>
      <c r="AI114" s="143"/>
      <c r="AJ114" s="143"/>
      <c r="AK114" s="143"/>
      <c r="AL114" s="2531" t="n">
        <v>100.0</v>
      </c>
      <c r="AM114" s="143"/>
      <c r="AN114" s="143"/>
      <c r="AO114" s="143"/>
      <c r="AP114" s="143"/>
      <c r="AQ114" s="143"/>
      <c r="AR114" s="142">
        <f>SUM(AS114:AV114)</f>
      </c>
      <c r="AS114" s="143"/>
      <c r="AT114" s="143"/>
      <c r="AU114" s="143"/>
      <c r="AV114" s="143"/>
      <c r="AW114" s="142">
        <f>SUM(AX114:BI114)</f>
      </c>
      <c r="AX114" s="143"/>
      <c r="AY114" s="143"/>
      <c r="AZ114" s="143"/>
      <c r="BA114" s="143"/>
      <c r="BB114" s="143"/>
      <c r="BC114" s="143"/>
      <c r="BD114" s="143"/>
      <c r="BE114" s="143"/>
      <c r="BF114" s="143"/>
      <c r="BG114" s="143"/>
      <c r="BH114" s="143"/>
      <c r="BI114" s="143"/>
      <c r="BJ114" s="142"/>
      <c r="BK114" s="143"/>
      <c r="BL114" s="143"/>
      <c r="BM114" s="143"/>
      <c r="BN114" s="143"/>
      <c r="BO114" s="143"/>
      <c r="BP114" s="143"/>
      <c r="BQ114" s="142"/>
      <c r="BR114" s="143"/>
      <c r="BS114" s="143"/>
      <c r="BT114" s="142">
        <f>SUM(BU114:BW114)</f>
      </c>
      <c r="BU114" s="143"/>
      <c r="BV114" s="143"/>
      <c r="BW114" s="143"/>
      <c r="BX114" s="142">
        <f>SUM(BY114:CD114)</f>
      </c>
      <c r="BY114" s="143"/>
      <c r="BZ114" s="143"/>
      <c r="CA114" s="143"/>
      <c r="CB114" s="143"/>
      <c r="CC114" s="143"/>
      <c r="CD114" s="143"/>
      <c r="CE114" s="142"/>
      <c r="CF114" s="143"/>
      <c r="CG114" s="143"/>
      <c r="CH114" s="143"/>
      <c r="CI114" s="143"/>
      <c r="CJ114" s="143"/>
      <c r="CK114" s="142">
        <f>SUM(CL114:CN114)</f>
      </c>
      <c r="CL114" s="143"/>
      <c r="CM114" s="143"/>
      <c r="CN114" s="143"/>
      <c r="CO114" s="142">
        <f>SUM(CP114:CT114)</f>
      </c>
      <c r="CP114" s="143"/>
      <c r="CQ114" s="143"/>
      <c r="CR114" s="143"/>
      <c r="CS114" s="143"/>
      <c r="CT114" s="143"/>
      <c r="CU114" s="142"/>
      <c r="CV114" s="143"/>
      <c r="CW114" s="143"/>
      <c r="CX114" s="143"/>
      <c r="CY114" s="142"/>
      <c r="CZ114" s="143"/>
      <c r="DA114" s="143"/>
      <c r="DB114" s="143"/>
      <c r="DC114" s="143"/>
      <c r="DD114" s="143"/>
      <c r="DE114" s="143"/>
      <c r="DF114" s="143"/>
      <c r="DG114" s="142">
        <f>SUM(DH114:DH114)</f>
      </c>
      <c r="DH114" s="143"/>
      <c r="DI114" s="142"/>
      <c r="DJ114" s="143"/>
      <c r="DK114" s="142">
        <f>SUM(DL114:DQ114)</f>
      </c>
      <c r="DL114" s="143"/>
      <c r="DM114" s="143"/>
      <c r="DN114" s="143"/>
      <c r="DO114" s="143"/>
      <c r="DP114" s="143"/>
      <c r="DQ114" s="143"/>
      <c r="DR114" s="143"/>
      <c r="DS114" s="143"/>
      <c r="DT114" s="143"/>
      <c r="DU114" s="143"/>
      <c r="DV114" s="143"/>
      <c r="DW114" s="143"/>
      <c r="DX114" s="142"/>
      <c r="DY114" s="143"/>
      <c r="DZ114" s="142"/>
      <c r="EA114" s="143"/>
      <c r="EB114" s="143"/>
      <c r="EC114" s="142"/>
      <c r="ED114" s="143"/>
      <c r="EF114" s="143"/>
      <c r="EG114" s="142">
        <f>SUM(EH114:EQ114)</f>
      </c>
      <c r="EH114" s="143"/>
      <c r="EI114" s="143"/>
      <c r="EJ114" s="143"/>
      <c r="EK114" s="143"/>
      <c r="EL114" s="143"/>
      <c r="EM114" s="143"/>
      <c r="EN114" s="143"/>
      <c r="EO114" s="143"/>
      <c r="EP114" s="143"/>
      <c r="EQ114" s="143"/>
      <c r="ER114" s="142">
        <f>SUM(ES114:ET114)</f>
      </c>
      <c r="ES114" s="143"/>
      <c r="ET114" s="143"/>
      <c r="EU114" s="144"/>
      <c r="FB114" s="146"/>
      <c r="FC114" s="146" cm="1">
        <f t="array" ref="FC114">ROW()-ROW(New[#Headers])</f>
        <v>108</v>
      </c>
    </row>
    <row r="115" spans="2:159" s="139" customFormat="1" ht="10.5" x14ac:dyDescent="0.2">
      <c r="B115" s="133"/>
      <c r="C115" s="2563" t="s">
        <v>475</v>
      </c>
      <c r="D115" t="s" s="2564">
        <v>476</v>
      </c>
      <c r="E115" s="2565" t="s">
        <v>13</v>
      </c>
      <c r="F115" t="s" s="2566">
        <v>1109</v>
      </c>
      <c r="G115" t="s" s="2567">
        <v>305</v>
      </c>
      <c r="H115" s="2568" t="s">
        <v>46</v>
      </c>
      <c r="I115" t="s" s="2569">
        <v>41</v>
      </c>
      <c r="J115" t="s" s="2570">
        <v>68</v>
      </c>
      <c r="K115" t="s" s="2571">
        <v>1659</v>
      </c>
      <c r="L115" t="s" s="2572">
        <v>751</v>
      </c>
      <c r="M115" t="s" s="2573">
        <v>305</v>
      </c>
      <c r="N115" s="2574" t="s">
        <v>3873</v>
      </c>
      <c r="O115" s="2575" t="s">
        <v>3871</v>
      </c>
      <c r="P115" s="141"/>
      <c r="Q115" s="142">
        <f>SUM(R115:AQ115)</f>
      </c>
      <c r="R115" s="143"/>
      <c r="S115" s="143"/>
      <c r="T115" s="143"/>
      <c r="U115" s="143"/>
      <c r="V115" s="143"/>
      <c r="W115" s="143"/>
      <c r="X115" s="143"/>
      <c r="Y115" s="143"/>
      <c r="Z115" s="143"/>
      <c r="AA115" s="143"/>
      <c r="AB115" s="143"/>
      <c r="AC115" s="143"/>
      <c r="AD115" s="2576" t="n">
        <v>400.0</v>
      </c>
      <c r="AE115" s="143"/>
      <c r="AF115" s="143"/>
      <c r="AG115" s="143"/>
      <c r="AH115" s="143"/>
      <c r="AI115" s="143"/>
      <c r="AJ115" s="143"/>
      <c r="AK115" s="143"/>
      <c r="AL115" s="143"/>
      <c r="AM115" s="143"/>
      <c r="AN115" s="143"/>
      <c r="AO115" s="143"/>
      <c r="AP115" s="143"/>
      <c r="AQ115" s="143"/>
      <c r="AR115" s="142">
        <f>SUM(AS115:AV115)</f>
      </c>
      <c r="AS115" s="143"/>
      <c r="AT115" s="143"/>
      <c r="AU115" s="143"/>
      <c r="AV115" s="143"/>
      <c r="AW115" s="142">
        <f>SUM(AX115:BI115)</f>
      </c>
      <c r="AX115" s="143"/>
      <c r="AY115" s="143"/>
      <c r="AZ115" s="143"/>
      <c r="BA115" s="143"/>
      <c r="BB115" s="143"/>
      <c r="BC115" s="143"/>
      <c r="BD115" s="143"/>
      <c r="BE115" s="143"/>
      <c r="BF115" s="143"/>
      <c r="BG115" s="143"/>
      <c r="BH115" s="143"/>
      <c r="BI115" s="143"/>
      <c r="BJ115" s="142"/>
      <c r="BK115" s="143"/>
      <c r="BL115" s="143"/>
      <c r="BM115" s="143"/>
      <c r="BN115" s="143"/>
      <c r="BO115" s="143"/>
      <c r="BP115" s="143"/>
      <c r="BQ115" s="142"/>
      <c r="BR115" s="143"/>
      <c r="BS115" s="143"/>
      <c r="BT115" s="142">
        <f>SUM(BU115:BW115)</f>
      </c>
      <c r="BU115" s="143"/>
      <c r="BV115" s="143"/>
      <c r="BW115" s="143"/>
      <c r="BX115" s="142">
        <f>SUM(BY115:CD115)</f>
      </c>
      <c r="BY115" s="143"/>
      <c r="BZ115" s="143"/>
      <c r="CA115" s="143"/>
      <c r="CB115" s="143"/>
      <c r="CC115" s="143"/>
      <c r="CD115" s="143"/>
      <c r="CE115" s="142"/>
      <c r="CF115" s="143"/>
      <c r="CG115" s="143"/>
      <c r="CH115" s="143"/>
      <c r="CI115" s="143"/>
      <c r="CJ115" s="143"/>
      <c r="CK115" s="142">
        <f>SUM(CL115:CN115)</f>
      </c>
      <c r="CL115" s="143"/>
      <c r="CM115" s="143"/>
      <c r="CN115" s="143"/>
      <c r="CO115" s="142">
        <f>SUM(CP115:CT115)</f>
      </c>
      <c r="CP115" s="143"/>
      <c r="CQ115" s="143"/>
      <c r="CR115" s="143"/>
      <c r="CS115" s="143"/>
      <c r="CT115" s="143"/>
      <c r="CU115" s="142"/>
      <c r="CV115" s="143"/>
      <c r="CW115" s="143"/>
      <c r="CX115" s="143"/>
      <c r="CY115" s="142"/>
      <c r="CZ115" s="143"/>
      <c r="DA115" s="143"/>
      <c r="DB115" s="143"/>
      <c r="DC115" s="143"/>
      <c r="DD115" s="143"/>
      <c r="DE115" s="143"/>
      <c r="DF115" s="143"/>
      <c r="DG115" s="142">
        <f>SUM(DH115:DH115)</f>
      </c>
      <c r="DH115" s="143"/>
      <c r="DI115" s="142"/>
      <c r="DJ115" s="143"/>
      <c r="DK115" s="142">
        <f>SUM(DL115:DQ115)</f>
      </c>
      <c r="DL115" s="143"/>
      <c r="DM115" s="143"/>
      <c r="DN115" s="143"/>
      <c r="DO115" s="143"/>
      <c r="DP115" s="143"/>
      <c r="DQ115" s="143"/>
      <c r="DR115" s="143"/>
      <c r="DS115" s="143"/>
      <c r="DT115" s="143"/>
      <c r="DU115" s="143"/>
      <c r="DV115" s="143"/>
      <c r="DW115" s="143"/>
      <c r="DX115" s="142"/>
      <c r="DY115" s="143"/>
      <c r="DZ115" s="142"/>
      <c r="EA115" s="143"/>
      <c r="EB115" s="143"/>
      <c r="EC115" s="142"/>
      <c r="ED115" s="143"/>
      <c r="EF115" s="143"/>
      <c r="EG115" s="142">
        <f>SUM(EH115:EQ115)</f>
      </c>
      <c r="EH115" s="143"/>
      <c r="EI115" s="143"/>
      <c r="EJ115" s="143"/>
      <c r="EK115" s="143"/>
      <c r="EL115" s="143"/>
      <c r="EM115" s="143"/>
      <c r="EN115" s="143"/>
      <c r="EO115" s="143"/>
      <c r="EP115" s="143"/>
      <c r="EQ115" s="143"/>
      <c r="ER115" s="142">
        <f>SUM(ES115:ET115)</f>
      </c>
      <c r="ES115" s="143"/>
      <c r="ET115" s="143"/>
      <c r="EU115" s="144"/>
      <c r="FB115" s="146"/>
      <c r="FC115" s="146" cm="1">
        <f t="array" ref="FC115">ROW()-ROW(New[#Headers])</f>
        <v>109</v>
      </c>
    </row>
    <row r="116" spans="2:159" s="139" customFormat="1" ht="10.5" x14ac:dyDescent="0.2">
      <c r="B116" s="133"/>
      <c r="C116" s="2577" t="s">
        <v>452</v>
      </c>
      <c r="D116" t="s" s="2578">
        <v>453</v>
      </c>
      <c r="E116" s="2579" t="s">
        <v>13</v>
      </c>
      <c r="F116" t="s" s="2580">
        <v>1618</v>
      </c>
      <c r="G116" t="s" s="2581">
        <v>1597</v>
      </c>
      <c r="H116" s="2582" t="s">
        <v>46</v>
      </c>
      <c r="I116" t="s" s="2583">
        <v>22</v>
      </c>
      <c r="J116" t="s" s="2584">
        <v>64</v>
      </c>
      <c r="K116" t="s" s="2585">
        <v>839</v>
      </c>
      <c r="L116" t="s" s="2586">
        <v>767</v>
      </c>
      <c r="M116" t="s" s="2587">
        <v>305</v>
      </c>
      <c r="N116" s="2588" t="s">
        <v>3873</v>
      </c>
      <c r="O116" s="2589" t="s">
        <v>3876</v>
      </c>
      <c r="P116" s="141"/>
      <c r="Q116" s="142">
        <f>SUM(R116:AQ116)</f>
      </c>
      <c r="R116" s="143"/>
      <c r="S116" s="143"/>
      <c r="T116" s="143"/>
      <c r="U116" s="143"/>
      <c r="V116" s="143"/>
      <c r="W116" s="143"/>
      <c r="X116" s="143"/>
      <c r="Y116" s="143"/>
      <c r="Z116" s="143"/>
      <c r="AA116" s="143"/>
      <c r="AB116" s="143"/>
      <c r="AC116" s="143"/>
      <c r="AD116" s="143"/>
      <c r="AE116" s="143"/>
      <c r="AF116" s="143"/>
      <c r="AG116" s="143"/>
      <c r="AH116" s="143"/>
      <c r="AI116" s="143"/>
      <c r="AJ116" s="2590" t="n">
        <v>160.0</v>
      </c>
      <c r="AK116" s="143"/>
      <c r="AL116" s="143"/>
      <c r="AM116" s="143"/>
      <c r="AN116" s="143"/>
      <c r="AO116" s="143"/>
      <c r="AP116" s="143"/>
      <c r="AQ116" s="143"/>
      <c r="AR116" s="142">
        <f>SUM(AS116:AV116)</f>
      </c>
      <c r="AS116" s="143"/>
      <c r="AT116" s="143"/>
      <c r="AU116" s="143"/>
      <c r="AV116" s="143"/>
      <c r="AW116" s="142">
        <f>SUM(AX116:BI116)</f>
      </c>
      <c r="AX116" s="143"/>
      <c r="AY116" s="143"/>
      <c r="AZ116" s="143"/>
      <c r="BA116" s="143"/>
      <c r="BB116" s="143"/>
      <c r="BC116" s="143"/>
      <c r="BD116" s="143"/>
      <c r="BE116" s="143"/>
      <c r="BF116" s="143"/>
      <c r="BG116" s="143"/>
      <c r="BH116" s="143"/>
      <c r="BI116" s="143"/>
      <c r="BJ116" s="142"/>
      <c r="BK116" s="143"/>
      <c r="BL116" s="143"/>
      <c r="BM116" s="143"/>
      <c r="BN116" s="143"/>
      <c r="BO116" s="143"/>
      <c r="BP116" s="143"/>
      <c r="BQ116" s="142"/>
      <c r="BR116" s="143"/>
      <c r="BS116" s="143"/>
      <c r="BT116" s="142">
        <f>SUM(BU116:BW116)</f>
      </c>
      <c r="BU116" s="143"/>
      <c r="BV116" s="143"/>
      <c r="BW116" s="143"/>
      <c r="BX116" s="142">
        <f>SUM(BY116:CD116)</f>
      </c>
      <c r="BY116" s="143"/>
      <c r="BZ116" s="143"/>
      <c r="CA116" s="143"/>
      <c r="CB116" s="143"/>
      <c r="CC116" s="143"/>
      <c r="CD116" s="143"/>
      <c r="CE116" s="142"/>
      <c r="CF116" s="143"/>
      <c r="CG116" s="143"/>
      <c r="CH116" s="143"/>
      <c r="CI116" s="143"/>
      <c r="CJ116" s="143"/>
      <c r="CK116" s="142">
        <f>SUM(CL116:CN116)</f>
      </c>
      <c r="CL116" s="143"/>
      <c r="CM116" s="143"/>
      <c r="CN116" s="143"/>
      <c r="CO116" s="142">
        <f>SUM(CP116:CT116)</f>
      </c>
      <c r="CP116" s="143"/>
      <c r="CQ116" s="143"/>
      <c r="CR116" s="143"/>
      <c r="CS116" s="143"/>
      <c r="CT116" s="143"/>
      <c r="CU116" s="142"/>
      <c r="CV116" s="143"/>
      <c r="CW116" s="143"/>
      <c r="CX116" s="143"/>
      <c r="CY116" s="142"/>
      <c r="CZ116" s="143"/>
      <c r="DA116" s="143"/>
      <c r="DB116" s="143"/>
      <c r="DC116" s="143"/>
      <c r="DD116" s="143"/>
      <c r="DE116" s="143"/>
      <c r="DF116" s="143"/>
      <c r="DG116" s="142">
        <f>SUM(DH116:DH116)</f>
      </c>
      <c r="DH116" s="2591" t="n">
        <v>100.0</v>
      </c>
      <c r="DI116" s="142"/>
      <c r="DJ116" s="143"/>
      <c r="DK116" s="142">
        <f>SUM(DL116:DQ116)</f>
      </c>
      <c r="DL116" s="143"/>
      <c r="DM116" s="143"/>
      <c r="DN116" s="143"/>
      <c r="DO116" s="143"/>
      <c r="DP116" s="143"/>
      <c r="DQ116" s="143"/>
      <c r="DR116" s="143"/>
      <c r="DS116" s="143"/>
      <c r="DT116" s="143"/>
      <c r="DU116" s="143"/>
      <c r="DV116" s="143"/>
      <c r="DW116" s="143"/>
      <c r="DX116" s="142"/>
      <c r="DY116" s="143"/>
      <c r="DZ116" s="142"/>
      <c r="EA116" s="143"/>
      <c r="EB116" s="143"/>
      <c r="EC116" s="142"/>
      <c r="ED116" s="143"/>
      <c r="EF116" s="143"/>
      <c r="EG116" s="142">
        <f>SUM(EH116:EQ116)</f>
      </c>
      <c r="EH116" s="143"/>
      <c r="EI116" s="143"/>
      <c r="EJ116" s="143"/>
      <c r="EK116" s="143"/>
      <c r="EL116" s="143"/>
      <c r="EM116" s="143"/>
      <c r="EN116" s="143"/>
      <c r="EO116" s="143"/>
      <c r="EP116" s="143"/>
      <c r="EQ116" s="143"/>
      <c r="ER116" s="142">
        <f>SUM(ES116:ET116)</f>
      </c>
      <c r="ES116" s="143"/>
      <c r="ET116" s="143"/>
      <c r="EU116" s="144"/>
      <c r="FB116" s="146"/>
      <c r="FC116" s="146" cm="1">
        <f t="array" ref="FC116">ROW()-ROW(New[#Headers])</f>
        <v>110</v>
      </c>
    </row>
    <row r="117" spans="2:159" s="139" customFormat="1" ht="10.5" x14ac:dyDescent="0.2">
      <c r="B117" s="133"/>
      <c r="C117" s="2592" t="s">
        <v>315</v>
      </c>
      <c r="D117" t="s" s="2593">
        <v>316</v>
      </c>
      <c r="E117" s="2594" t="s">
        <v>13</v>
      </c>
      <c r="F117" t="s" s="2595">
        <v>898</v>
      </c>
      <c r="G117" t="s" s="2596">
        <v>1597</v>
      </c>
      <c r="H117" s="2597" t="s">
        <v>46</v>
      </c>
      <c r="I117" t="s" s="2598">
        <v>41</v>
      </c>
      <c r="J117" t="s" s="2599">
        <v>71</v>
      </c>
      <c r="K117" t="s" s="2600">
        <v>1609</v>
      </c>
      <c r="L117" t="s" s="2601">
        <v>779</v>
      </c>
      <c r="M117" t="s" s="2602">
        <v>305</v>
      </c>
      <c r="N117" s="2603" t="s">
        <v>3875</v>
      </c>
      <c r="O117" s="2604" t="s">
        <v>3871</v>
      </c>
      <c r="P117" s="141"/>
      <c r="Q117" s="142">
        <f>SUM(R117:AQ117)</f>
      </c>
      <c r="R117" s="143"/>
      <c r="S117" s="143"/>
      <c r="T117" s="143"/>
      <c r="U117" s="143"/>
      <c r="V117" s="143"/>
      <c r="W117" s="143"/>
      <c r="X117" s="143"/>
      <c r="Y117" s="143"/>
      <c r="Z117" s="143"/>
      <c r="AA117" s="143"/>
      <c r="AB117" s="143"/>
      <c r="AC117" s="143"/>
      <c r="AD117" s="143"/>
      <c r="AE117" s="143"/>
      <c r="AF117" s="143"/>
      <c r="AG117" s="143"/>
      <c r="AH117" s="143"/>
      <c r="AI117" s="2605" t="n">
        <v>50.0</v>
      </c>
      <c r="AJ117" s="143"/>
      <c r="AK117" s="143"/>
      <c r="AL117" s="143"/>
      <c r="AM117" s="143"/>
      <c r="AN117" s="143"/>
      <c r="AO117" s="143"/>
      <c r="AP117" s="143"/>
      <c r="AQ117" s="143"/>
      <c r="AR117" s="142">
        <f>SUM(AS117:AV117)</f>
      </c>
      <c r="AS117" s="143"/>
      <c r="AT117" s="143"/>
      <c r="AU117" s="143"/>
      <c r="AV117" s="143"/>
      <c r="AW117" s="142">
        <f>SUM(AX117:BI117)</f>
      </c>
      <c r="AX117" s="143"/>
      <c r="AY117" s="143"/>
      <c r="AZ117" s="143"/>
      <c r="BA117" s="143"/>
      <c r="BB117" s="143"/>
      <c r="BC117" s="143"/>
      <c r="BD117" s="143"/>
      <c r="BE117" s="143"/>
      <c r="BF117" s="143"/>
      <c r="BG117" s="143"/>
      <c r="BH117" s="143"/>
      <c r="BI117" s="143"/>
      <c r="BJ117" s="142"/>
      <c r="BK117" s="143"/>
      <c r="BL117" s="143"/>
      <c r="BM117" s="143"/>
      <c r="BN117" s="143"/>
      <c r="BO117" s="143"/>
      <c r="BP117" s="143"/>
      <c r="BQ117" s="142"/>
      <c r="BR117" s="143"/>
      <c r="BS117" s="143"/>
      <c r="BT117" s="142">
        <f>SUM(BU117:BW117)</f>
      </c>
      <c r="BU117" s="143"/>
      <c r="BV117" s="143"/>
      <c r="BW117" s="143"/>
      <c r="BX117" s="142">
        <f>SUM(BY117:CD117)</f>
      </c>
      <c r="BY117" s="143"/>
      <c r="BZ117" s="143"/>
      <c r="CA117" s="143"/>
      <c r="CB117" s="143"/>
      <c r="CC117" s="143"/>
      <c r="CD117" s="143"/>
      <c r="CE117" s="142"/>
      <c r="CF117" s="143"/>
      <c r="CG117" s="143"/>
      <c r="CH117" s="143"/>
      <c r="CI117" s="143"/>
      <c r="CJ117" s="143"/>
      <c r="CK117" s="142">
        <f>SUM(CL117:CN117)</f>
      </c>
      <c r="CL117" s="143"/>
      <c r="CM117" s="143"/>
      <c r="CN117" s="143"/>
      <c r="CO117" s="142">
        <f>SUM(CP117:CT117)</f>
      </c>
      <c r="CP117" s="143"/>
      <c r="CQ117" s="143"/>
      <c r="CR117" s="143"/>
      <c r="CS117" s="143"/>
      <c r="CT117" s="143"/>
      <c r="CU117" s="142"/>
      <c r="CV117" s="143"/>
      <c r="CW117" s="143"/>
      <c r="CX117" s="143"/>
      <c r="CY117" s="142"/>
      <c r="CZ117" s="143"/>
      <c r="DA117" s="143"/>
      <c r="DB117" s="143"/>
      <c r="DC117" s="143"/>
      <c r="DD117" s="143"/>
      <c r="DE117" s="143"/>
      <c r="DF117" s="143"/>
      <c r="DG117" s="142">
        <f>SUM(DH117:DH117)</f>
      </c>
      <c r="DH117" s="143"/>
      <c r="DI117" s="142"/>
      <c r="DJ117" s="143"/>
      <c r="DK117" s="142">
        <f>SUM(DL117:DQ117)</f>
      </c>
      <c r="DL117" s="143"/>
      <c r="DM117" s="143"/>
      <c r="DN117" s="143"/>
      <c r="DO117" s="143"/>
      <c r="DP117" s="143"/>
      <c r="DQ117" s="143"/>
      <c r="DR117" s="143"/>
      <c r="DS117" s="143"/>
      <c r="DT117" s="143"/>
      <c r="DU117" s="143"/>
      <c r="DV117" s="143"/>
      <c r="DW117" s="143"/>
      <c r="DX117" s="142"/>
      <c r="DY117" s="143"/>
      <c r="DZ117" s="142"/>
      <c r="EA117" s="143"/>
      <c r="EB117" s="143"/>
      <c r="EC117" s="142"/>
      <c r="ED117" s="143"/>
      <c r="EF117" s="143"/>
      <c r="EG117" s="142">
        <f>SUM(EH117:EQ117)</f>
      </c>
      <c r="EH117" s="143"/>
      <c r="EI117" s="143"/>
      <c r="EJ117" s="143"/>
      <c r="EK117" s="143"/>
      <c r="EL117" s="143"/>
      <c r="EM117" s="143"/>
      <c r="EN117" s="143"/>
      <c r="EO117" s="143"/>
      <c r="EP117" s="143"/>
      <c r="EQ117" s="143"/>
      <c r="ER117" s="142">
        <f>SUM(ES117:ET117)</f>
      </c>
      <c r="ES117" s="143"/>
      <c r="ET117" s="143"/>
      <c r="EU117" s="144"/>
      <c r="FB117" s="146"/>
      <c r="FC117" s="146" cm="1">
        <f t="array" ref="FC117">ROW()-ROW(New[#Headers])</f>
        <v>111</v>
      </c>
    </row>
    <row r="118" spans="2:159" s="139" customFormat="1" ht="10.5" x14ac:dyDescent="0.2">
      <c r="B118" s="133"/>
      <c r="C118" s="2635" t="s">
        <v>541</v>
      </c>
      <c r="D118" t="s" s="2636">
        <v>542</v>
      </c>
      <c r="E118" s="2637" t="s">
        <v>20</v>
      </c>
      <c r="F118" t="s" s="2638">
        <v>810</v>
      </c>
      <c r="G118" t="s" s="2639">
        <v>1597</v>
      </c>
      <c r="H118" s="2640" t="s">
        <v>305</v>
      </c>
      <c r="I118" t="s" s="2641">
        <v>41</v>
      </c>
      <c r="J118" t="s" s="2642">
        <v>71</v>
      </c>
      <c r="K118" t="s" s="2643">
        <v>811</v>
      </c>
      <c r="L118" t="s" s="2644">
        <v>779</v>
      </c>
      <c r="M118" t="s" s="2645">
        <v>305</v>
      </c>
      <c r="N118" s="2646" t="s">
        <v>3870</v>
      </c>
      <c r="O118" s="2647" t="s">
        <v>3871</v>
      </c>
      <c r="P118" s="141"/>
      <c r="Q118" s="142">
        <f>SUM(R118:AQ118)</f>
      </c>
      <c r="R118" s="143"/>
      <c r="S118" s="143"/>
      <c r="T118" s="143"/>
      <c r="U118" s="143"/>
      <c r="V118" s="143"/>
      <c r="W118" s="2648" t="n">
        <v>200.0</v>
      </c>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2">
        <f>SUM(AS118:AV118)</f>
      </c>
      <c r="AS118" s="143"/>
      <c r="AT118" s="143"/>
      <c r="AU118" s="143"/>
      <c r="AV118" s="143"/>
      <c r="AW118" s="142">
        <f>SUM(AX118:BI118)</f>
      </c>
      <c r="AX118" s="143"/>
      <c r="AY118" s="143"/>
      <c r="AZ118" s="143"/>
      <c r="BA118" s="143"/>
      <c r="BB118" s="143"/>
      <c r="BC118" s="143"/>
      <c r="BD118" s="143"/>
      <c r="BE118" s="143"/>
      <c r="BF118" s="143"/>
      <c r="BG118" s="143"/>
      <c r="BH118" s="143"/>
      <c r="BI118" s="143"/>
      <c r="BJ118" s="142"/>
      <c r="BK118" s="143"/>
      <c r="BL118" s="143"/>
      <c r="BM118" s="143"/>
      <c r="BN118" s="143"/>
      <c r="BO118" s="143"/>
      <c r="BP118" s="143"/>
      <c r="BQ118" s="142"/>
      <c r="BR118" s="143"/>
      <c r="BS118" s="143"/>
      <c r="BT118" s="142">
        <f>SUM(BU118:BW118)</f>
      </c>
      <c r="BU118" s="143"/>
      <c r="BV118" s="143"/>
      <c r="BW118" s="143"/>
      <c r="BX118" s="142">
        <f>SUM(BY118:CD118)</f>
      </c>
      <c r="BY118" s="143"/>
      <c r="BZ118" s="143"/>
      <c r="CA118" s="143"/>
      <c r="CB118" s="143"/>
      <c r="CC118" s="143"/>
      <c r="CD118" s="143"/>
      <c r="CE118" s="142"/>
      <c r="CF118" s="143"/>
      <c r="CG118" s="143"/>
      <c r="CH118" s="143"/>
      <c r="CI118" s="143"/>
      <c r="CJ118" s="143"/>
      <c r="CK118" s="142">
        <f>SUM(CL118:CN118)</f>
      </c>
      <c r="CL118" s="143"/>
      <c r="CM118" s="143"/>
      <c r="CN118" s="143"/>
      <c r="CO118" s="142">
        <f>SUM(CP118:CT118)</f>
      </c>
      <c r="CP118" s="143"/>
      <c r="CQ118" s="143"/>
      <c r="CR118" s="143"/>
      <c r="CS118" s="143"/>
      <c r="CT118" s="143"/>
      <c r="CU118" s="142"/>
      <c r="CV118" s="143"/>
      <c r="CW118" s="143"/>
      <c r="CX118" s="143"/>
      <c r="CY118" s="142"/>
      <c r="CZ118" s="143"/>
      <c r="DA118" s="143"/>
      <c r="DB118" s="143"/>
      <c r="DC118" s="143"/>
      <c r="DD118" s="143"/>
      <c r="DE118" s="143"/>
      <c r="DF118" s="143"/>
      <c r="DG118" s="142">
        <f>SUM(DH118:DH118)</f>
      </c>
      <c r="DH118" s="143"/>
      <c r="DI118" s="142"/>
      <c r="DJ118" s="143"/>
      <c r="DK118" s="142">
        <f>SUM(DL118:DQ118)</f>
      </c>
      <c r="DL118" s="143"/>
      <c r="DM118" s="143"/>
      <c r="DN118" s="143"/>
      <c r="DO118" s="143"/>
      <c r="DP118" s="143"/>
      <c r="DQ118" s="143"/>
      <c r="DR118" s="143"/>
      <c r="DS118" s="143"/>
      <c r="DT118" s="143"/>
      <c r="DU118" s="143"/>
      <c r="DV118" s="143"/>
      <c r="DW118" s="143"/>
      <c r="DX118" s="142"/>
      <c r="DY118" s="143"/>
      <c r="DZ118" s="142"/>
      <c r="EA118" s="143"/>
      <c r="EB118" s="143"/>
      <c r="EC118" s="142"/>
      <c r="ED118" s="143"/>
      <c r="EF118" s="143"/>
      <c r="EG118" s="142">
        <f>SUM(EH118:EQ118)</f>
      </c>
      <c r="EH118" s="143"/>
      <c r="EI118" s="143"/>
      <c r="EJ118" s="143"/>
      <c r="EK118" s="143"/>
      <c r="EL118" s="143"/>
      <c r="EM118" s="143"/>
      <c r="EN118" s="143"/>
      <c r="EO118" s="143"/>
      <c r="EP118" s="143"/>
      <c r="EQ118" s="143"/>
      <c r="ER118" s="142">
        <f>SUM(ES118:ET118)</f>
      </c>
      <c r="ES118" s="143"/>
      <c r="ET118" s="143"/>
      <c r="EU118" s="144"/>
      <c r="FB118" s="146"/>
      <c r="FC118" s="146" cm="1">
        <f t="array" ref="FC118">ROW()-ROW(New[#Headers])</f>
        <v>112</v>
      </c>
    </row>
    <row r="119" spans="2:159" s="139" customFormat="1" ht="10.5" x14ac:dyDescent="0.2">
      <c r="B119" s="133"/>
      <c r="C119" s="2649" t="s">
        <v>424</v>
      </c>
      <c r="D119" t="s" s="2650">
        <v>425</v>
      </c>
      <c r="E119" s="2651" t="s">
        <v>13</v>
      </c>
      <c r="F119" t="s" s="2652">
        <v>766</v>
      </c>
      <c r="G119" t="s" s="2653">
        <v>1597</v>
      </c>
      <c r="H119" s="2654" t="s">
        <v>46</v>
      </c>
      <c r="I119" t="s" s="2655">
        <v>41</v>
      </c>
      <c r="J119" t="s" s="2656">
        <v>68</v>
      </c>
      <c r="K119" t="s" s="2657">
        <v>774</v>
      </c>
      <c r="L119" t="s" s="2658">
        <v>767</v>
      </c>
      <c r="M119" t="s" s="2659">
        <v>305</v>
      </c>
      <c r="N119" s="2660" t="s">
        <v>3873</v>
      </c>
      <c r="O119" s="2661" t="s">
        <v>3871</v>
      </c>
      <c r="P119" s="141"/>
      <c r="Q119" s="142">
        <f>SUM(R119:AQ119)</f>
      </c>
      <c r="R119" s="143"/>
      <c r="S119" s="143"/>
      <c r="T119" s="143"/>
      <c r="U119" s="143"/>
      <c r="V119" s="143"/>
      <c r="W119" s="143"/>
      <c r="X119" s="143"/>
      <c r="Y119" s="143"/>
      <c r="Z119" s="143"/>
      <c r="AA119" s="143"/>
      <c r="AB119" s="143"/>
      <c r="AC119" s="143"/>
      <c r="AD119" s="143"/>
      <c r="AE119" s="143"/>
      <c r="AF119" s="143"/>
      <c r="AG119" s="2662" t="n">
        <v>430.0</v>
      </c>
      <c r="AH119" s="143"/>
      <c r="AI119" s="143"/>
      <c r="AJ119" s="143"/>
      <c r="AK119" s="143"/>
      <c r="AL119" s="143"/>
      <c r="AM119" s="143"/>
      <c r="AN119" s="143"/>
      <c r="AO119" s="143"/>
      <c r="AP119" s="143"/>
      <c r="AQ119" s="143"/>
      <c r="AR119" s="142">
        <f>SUM(AS119:AV119)</f>
      </c>
      <c r="AS119" s="143"/>
      <c r="AT119" s="143"/>
      <c r="AU119" s="143"/>
      <c r="AV119" s="143"/>
      <c r="AW119" s="142">
        <f>SUM(AX119:BI119)</f>
      </c>
      <c r="AX119" s="143"/>
      <c r="AY119" s="143"/>
      <c r="AZ119" s="143"/>
      <c r="BA119" s="143"/>
      <c r="BB119" s="143"/>
      <c r="BC119" s="143"/>
      <c r="BD119" s="143"/>
      <c r="BE119" s="143"/>
      <c r="BF119" s="143"/>
      <c r="BG119" s="143"/>
      <c r="BH119" s="143"/>
      <c r="BI119" s="143"/>
      <c r="BJ119" s="142"/>
      <c r="BK119" s="143"/>
      <c r="BL119" s="143"/>
      <c r="BM119" s="143"/>
      <c r="BN119" s="143"/>
      <c r="BO119" s="143"/>
      <c r="BP119" s="143"/>
      <c r="BQ119" s="142"/>
      <c r="BR119" s="143"/>
      <c r="BS119" s="143"/>
      <c r="BT119" s="142">
        <f>SUM(BU119:BW119)</f>
      </c>
      <c r="BU119" s="143"/>
      <c r="BV119" s="143"/>
      <c r="BW119" s="143"/>
      <c r="BX119" s="142">
        <f>SUM(BY119:CD119)</f>
      </c>
      <c r="BY119" s="143"/>
      <c r="BZ119" s="143"/>
      <c r="CA119" s="143"/>
      <c r="CB119" s="143"/>
      <c r="CC119" s="143"/>
      <c r="CD119" s="143"/>
      <c r="CE119" s="142"/>
      <c r="CF119" s="143"/>
      <c r="CG119" s="143"/>
      <c r="CH119" s="143"/>
      <c r="CI119" s="143"/>
      <c r="CJ119" s="143"/>
      <c r="CK119" s="142">
        <f>SUM(CL119:CN119)</f>
      </c>
      <c r="CL119" s="143"/>
      <c r="CM119" s="143"/>
      <c r="CN119" s="143"/>
      <c r="CO119" s="142">
        <f>SUM(CP119:CT119)</f>
      </c>
      <c r="CP119" s="143"/>
      <c r="CQ119" s="143"/>
      <c r="CR119" s="143"/>
      <c r="CS119" s="143"/>
      <c r="CT119" s="143"/>
      <c r="CU119" s="142"/>
      <c r="CV119" s="143"/>
      <c r="CW119" s="143"/>
      <c r="CX119" s="143"/>
      <c r="CY119" s="142"/>
      <c r="CZ119" s="143"/>
      <c r="DA119" s="143"/>
      <c r="DB119" s="143"/>
      <c r="DC119" s="143"/>
      <c r="DD119" s="143"/>
      <c r="DE119" s="143"/>
      <c r="DF119" s="143"/>
      <c r="DG119" s="142">
        <f>SUM(DH119:DH119)</f>
      </c>
      <c r="DH119" s="143"/>
      <c r="DI119" s="142"/>
      <c r="DJ119" s="143"/>
      <c r="DK119" s="142">
        <f>SUM(DL119:DQ119)</f>
      </c>
      <c r="DL119" s="143"/>
      <c r="DM119" s="143"/>
      <c r="DN119" s="143"/>
      <c r="DO119" s="143"/>
      <c r="DP119" s="143"/>
      <c r="DQ119" s="143"/>
      <c r="DR119" s="143"/>
      <c r="DS119" s="143"/>
      <c r="DT119" s="143"/>
      <c r="DU119" s="143"/>
      <c r="DV119" s="143"/>
      <c r="DW119" s="143"/>
      <c r="DX119" s="142"/>
      <c r="DY119" s="143"/>
      <c r="DZ119" s="142"/>
      <c r="EA119" s="143"/>
      <c r="EB119" s="143"/>
      <c r="EC119" s="142"/>
      <c r="ED119" s="143"/>
      <c r="EF119" s="143"/>
      <c r="EG119" s="142">
        <f>SUM(EH119:EQ119)</f>
      </c>
      <c r="EH119" s="143"/>
      <c r="EI119" s="143"/>
      <c r="EJ119" s="143"/>
      <c r="EK119" s="143"/>
      <c r="EL119" s="143"/>
      <c r="EM119" s="143"/>
      <c r="EN119" s="143"/>
      <c r="EO119" s="143"/>
      <c r="EP119" s="143"/>
      <c r="EQ119" s="143"/>
      <c r="ER119" s="142">
        <f>SUM(ES119:ET119)</f>
      </c>
      <c r="ES119" s="143"/>
      <c r="ET119" s="143"/>
      <c r="EU119" s="144"/>
      <c r="FB119" s="146"/>
      <c r="FC119" s="146" cm="1">
        <f t="array" ref="FC119">ROW()-ROW(New[#Headers])</f>
        <v>113</v>
      </c>
    </row>
    <row r="120" spans="2:159" s="139" customFormat="1" ht="10.5" x14ac:dyDescent="0.2">
      <c r="B120" s="133"/>
      <c r="C120" s="2663" t="s">
        <v>520</v>
      </c>
      <c r="D120" t="s" s="2664">
        <v>521</v>
      </c>
      <c r="E120" s="2665" t="s">
        <v>732</v>
      </c>
      <c r="F120" t="s" s="2666">
        <v>1618</v>
      </c>
      <c r="G120" t="s" s="2667">
        <v>1597</v>
      </c>
      <c r="H120" s="2668" t="s">
        <v>46</v>
      </c>
      <c r="I120" t="s" s="2669">
        <v>43</v>
      </c>
      <c r="J120" t="s" s="2670">
        <v>71</v>
      </c>
      <c r="K120" t="s" s="2671">
        <v>839</v>
      </c>
      <c r="L120" t="s" s="2672">
        <v>767</v>
      </c>
      <c r="M120" t="s" s="2673">
        <v>305</v>
      </c>
      <c r="N120" s="2674" t="s">
        <v>3870</v>
      </c>
      <c r="O120" s="2675" t="s">
        <v>3871</v>
      </c>
      <c r="P120" s="141"/>
      <c r="Q120" s="142">
        <f>SUM(R120:AQ120)</f>
      </c>
      <c r="R120" s="143"/>
      <c r="S120" s="143"/>
      <c r="T120" s="143"/>
      <c r="U120" s="143"/>
      <c r="V120" s="143"/>
      <c r="W120" s="143"/>
      <c r="X120" s="143"/>
      <c r="Y120" s="143"/>
      <c r="Z120" s="143"/>
      <c r="AA120" s="143"/>
      <c r="AB120" s="143"/>
      <c r="AC120" s="143"/>
      <c r="AD120" s="143"/>
      <c r="AE120" s="143"/>
      <c r="AF120" s="143"/>
      <c r="AG120" s="143"/>
      <c r="AH120" s="143"/>
      <c r="AI120" s="143"/>
      <c r="AJ120" s="2676" t="n">
        <v>100.0</v>
      </c>
      <c r="AK120" s="143"/>
      <c r="AL120" s="2677" t="n">
        <v>50.0</v>
      </c>
      <c r="AM120" s="143"/>
      <c r="AN120" s="143"/>
      <c r="AO120" s="143"/>
      <c r="AP120" s="143"/>
      <c r="AQ120" s="143"/>
      <c r="AR120" s="142">
        <f>SUM(AS120:AV120)</f>
      </c>
      <c r="AS120" s="143"/>
      <c r="AT120" s="143"/>
      <c r="AU120" s="143"/>
      <c r="AV120" s="143"/>
      <c r="AW120" s="142">
        <f>SUM(AX120:BI120)</f>
      </c>
      <c r="AX120" s="143"/>
      <c r="AY120" s="143"/>
      <c r="AZ120" s="143"/>
      <c r="BA120" s="143"/>
      <c r="BB120" s="143"/>
      <c r="BC120" s="143"/>
      <c r="BD120" s="143"/>
      <c r="BE120" s="143"/>
      <c r="BF120" s="143"/>
      <c r="BG120" s="143"/>
      <c r="BH120" s="143"/>
      <c r="BI120" s="143"/>
      <c r="BJ120" s="142"/>
      <c r="BK120" s="143"/>
      <c r="BL120" s="143"/>
      <c r="BM120" s="143"/>
      <c r="BN120" s="143"/>
      <c r="BO120" s="143"/>
      <c r="BP120" s="143"/>
      <c r="BQ120" s="142"/>
      <c r="BR120" s="143"/>
      <c r="BS120" s="143"/>
      <c r="BT120" s="142">
        <f>SUM(BU120:BW120)</f>
      </c>
      <c r="BU120" s="143"/>
      <c r="BV120" s="143"/>
      <c r="BW120" s="143"/>
      <c r="BX120" s="142">
        <f>SUM(BY120:CD120)</f>
      </c>
      <c r="BY120" s="143"/>
      <c r="BZ120" s="143"/>
      <c r="CA120" s="143"/>
      <c r="CB120" s="143"/>
      <c r="CC120" s="143"/>
      <c r="CD120" s="143"/>
      <c r="CE120" s="142"/>
      <c r="CF120" s="143"/>
      <c r="CG120" s="143"/>
      <c r="CH120" s="143"/>
      <c r="CI120" s="143"/>
      <c r="CJ120" s="143"/>
      <c r="CK120" s="142">
        <f>SUM(CL120:CN120)</f>
      </c>
      <c r="CL120" s="143"/>
      <c r="CM120" s="143"/>
      <c r="CN120" s="143"/>
      <c r="CO120" s="142">
        <f>SUM(CP120:CT120)</f>
      </c>
      <c r="CP120" s="143"/>
      <c r="CQ120" s="143"/>
      <c r="CR120" s="143"/>
      <c r="CS120" s="143"/>
      <c r="CT120" s="143"/>
      <c r="CU120" s="142"/>
      <c r="CV120" s="143"/>
      <c r="CW120" s="143"/>
      <c r="CX120" s="143"/>
      <c r="CY120" s="142"/>
      <c r="CZ120" s="143"/>
      <c r="DA120" s="143"/>
      <c r="DB120" s="143"/>
      <c r="DC120" s="143"/>
      <c r="DD120" s="143"/>
      <c r="DE120" s="143"/>
      <c r="DF120" s="143"/>
      <c r="DG120" s="142">
        <f>SUM(DH120:DH120)</f>
      </c>
      <c r="DH120" s="143"/>
      <c r="DI120" s="142"/>
      <c r="DJ120" s="143"/>
      <c r="DK120" s="142">
        <f>SUM(DL120:DQ120)</f>
      </c>
      <c r="DL120" s="143"/>
      <c r="DM120" s="143"/>
      <c r="DN120" s="143"/>
      <c r="DO120" s="143"/>
      <c r="DP120" s="143"/>
      <c r="DQ120" s="143"/>
      <c r="DR120" s="143"/>
      <c r="DS120" s="143"/>
      <c r="DT120" s="143"/>
      <c r="DU120" s="143"/>
      <c r="DV120" s="143"/>
      <c r="DW120" s="143"/>
      <c r="DX120" s="142"/>
      <c r="DY120" s="143"/>
      <c r="DZ120" s="142"/>
      <c r="EA120" s="143"/>
      <c r="EB120" s="143"/>
      <c r="EC120" s="142"/>
      <c r="ED120" s="143"/>
      <c r="EF120" s="143"/>
      <c r="EG120" s="142">
        <f>SUM(EH120:EQ120)</f>
      </c>
      <c r="EH120" s="143"/>
      <c r="EI120" s="143"/>
      <c r="EJ120" s="143"/>
      <c r="EK120" s="143"/>
      <c r="EL120" s="143"/>
      <c r="EM120" s="143"/>
      <c r="EN120" s="143"/>
      <c r="EO120" s="143"/>
      <c r="EP120" s="143"/>
      <c r="EQ120" s="143"/>
      <c r="ER120" s="142">
        <f>SUM(ES120:ET120)</f>
      </c>
      <c r="ES120" s="143"/>
      <c r="ET120" s="143"/>
      <c r="EU120" s="144"/>
      <c r="FB120" s="146"/>
      <c r="FC120" s="146" cm="1">
        <f t="array" ref="FC120">ROW()-ROW(New[#Headers])</f>
        <v>114</v>
      </c>
    </row>
    <row r="121" spans="2:159" s="139" customFormat="1" ht="10.5" x14ac:dyDescent="0.2">
      <c r="B121" s="133"/>
      <c r="C121" s="2775" t="s">
        <v>568</v>
      </c>
      <c r="D121" t="s" s="2776">
        <v>569</v>
      </c>
      <c r="E121" s="2777" t="s">
        <v>13</v>
      </c>
      <c r="F121" t="s" s="2778">
        <v>1262</v>
      </c>
      <c r="G121" t="s" s="2779">
        <v>1597</v>
      </c>
      <c r="H121" s="2780" t="s">
        <v>46</v>
      </c>
      <c r="I121" t="s" s="2781">
        <v>22</v>
      </c>
      <c r="J121" t="s" s="2782">
        <v>64</v>
      </c>
      <c r="K121" t="s" s="2783">
        <v>1617</v>
      </c>
      <c r="L121" t="s" s="2784">
        <v>934</v>
      </c>
      <c r="M121" t="s" s="2785">
        <v>305</v>
      </c>
      <c r="N121" s="2786" t="s">
        <v>3867</v>
      </c>
      <c r="O121" s="2787" t="s">
        <v>3871</v>
      </c>
      <c r="P121" s="141"/>
      <c r="Q121" s="142">
        <f>SUM(R121:AQ121)</f>
      </c>
      <c r="R121" s="143"/>
      <c r="S121" s="143"/>
      <c r="T121" s="143"/>
      <c r="U121" s="2788" t="n">
        <v>150.0</v>
      </c>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2">
        <f>SUM(AS121:AV121)</f>
      </c>
      <c r="AS121" s="143"/>
      <c r="AT121" s="143"/>
      <c r="AU121" s="143"/>
      <c r="AV121" s="143"/>
      <c r="AW121" s="142">
        <f>SUM(AX121:BI121)</f>
      </c>
      <c r="AX121" s="143"/>
      <c r="AY121" s="143"/>
      <c r="AZ121" s="143"/>
      <c r="BA121" s="143"/>
      <c r="BB121" s="143"/>
      <c r="BC121" s="143"/>
      <c r="BD121" s="143"/>
      <c r="BE121" s="143"/>
      <c r="BF121" s="143"/>
      <c r="BG121" s="143"/>
      <c r="BH121" s="143"/>
      <c r="BI121" s="143"/>
      <c r="BJ121" s="142"/>
      <c r="BK121" s="143"/>
      <c r="BL121" s="143"/>
      <c r="BM121" s="143"/>
      <c r="BN121" s="143"/>
      <c r="BO121" s="143"/>
      <c r="BP121" s="143"/>
      <c r="BQ121" s="142"/>
      <c r="BR121" s="143"/>
      <c r="BS121" s="143"/>
      <c r="BT121" s="142">
        <f>SUM(BU121:BW121)</f>
      </c>
      <c r="BU121" s="143"/>
      <c r="BV121" s="143"/>
      <c r="BW121" s="143"/>
      <c r="BX121" s="142">
        <f>SUM(BY121:CD121)</f>
      </c>
      <c r="BY121" s="143"/>
      <c r="BZ121" s="143"/>
      <c r="CA121" s="143"/>
      <c r="CB121" s="143"/>
      <c r="CC121" s="143"/>
      <c r="CD121" s="143"/>
      <c r="CE121" s="142"/>
      <c r="CF121" s="143"/>
      <c r="CG121" s="143"/>
      <c r="CH121" s="143"/>
      <c r="CI121" s="143"/>
      <c r="CJ121" s="143"/>
      <c r="CK121" s="142">
        <f>SUM(CL121:CN121)</f>
      </c>
      <c r="CL121" s="143"/>
      <c r="CM121" s="143"/>
      <c r="CN121" s="143"/>
      <c r="CO121" s="142">
        <f>SUM(CP121:CT121)</f>
      </c>
      <c r="CP121" s="143"/>
      <c r="CQ121" s="143"/>
      <c r="CR121" s="143"/>
      <c r="CS121" s="143"/>
      <c r="CT121" s="143"/>
      <c r="CU121" s="142"/>
      <c r="CV121" s="143"/>
      <c r="CW121" s="143"/>
      <c r="CX121" s="143"/>
      <c r="CY121" s="142"/>
      <c r="CZ121" s="143"/>
      <c r="DA121" s="143"/>
      <c r="DB121" s="143"/>
      <c r="DC121" s="143"/>
      <c r="DD121" s="143"/>
      <c r="DE121" s="143"/>
      <c r="DF121" s="143"/>
      <c r="DG121" s="142">
        <f>SUM(DH121:DH121)</f>
      </c>
      <c r="DH121" s="143"/>
      <c r="DI121" s="142"/>
      <c r="DJ121" s="143"/>
      <c r="DK121" s="142">
        <f>SUM(DL121:DQ121)</f>
      </c>
      <c r="DL121" s="143"/>
      <c r="DM121" s="143"/>
      <c r="DN121" s="143"/>
      <c r="DO121" s="143"/>
      <c r="DP121" s="143"/>
      <c r="DQ121" s="143"/>
      <c r="DR121" s="143"/>
      <c r="DS121" s="143"/>
      <c r="DT121" s="143"/>
      <c r="DU121" s="143"/>
      <c r="DV121" s="143"/>
      <c r="DW121" s="143"/>
      <c r="DX121" s="142"/>
      <c r="DY121" s="143"/>
      <c r="DZ121" s="142"/>
      <c r="EA121" s="143"/>
      <c r="EB121" s="143"/>
      <c r="EC121" s="142"/>
      <c r="ED121" s="143"/>
      <c r="EF121" s="143"/>
      <c r="EG121" s="142">
        <f>SUM(EH121:EQ121)</f>
      </c>
      <c r="EH121" s="143"/>
      <c r="EI121" s="143"/>
      <c r="EJ121" s="143"/>
      <c r="EK121" s="143"/>
      <c r="EL121" s="143"/>
      <c r="EM121" s="143"/>
      <c r="EN121" s="143"/>
      <c r="EO121" s="143"/>
      <c r="EP121" s="143"/>
      <c r="EQ121" s="143"/>
      <c r="ER121" s="142">
        <f>SUM(ES121:ET121)</f>
      </c>
      <c r="ES121" s="143"/>
      <c r="ET121" s="143"/>
      <c r="EU121" s="144"/>
      <c r="FB121" s="146"/>
      <c r="FC121" s="146" cm="1">
        <f t="array" ref="FC121">ROW()-ROW(New[#Headers])</f>
        <v>115</v>
      </c>
    </row>
    <row r="122" spans="2:159" s="139" customFormat="1" ht="10.5" x14ac:dyDescent="0.2">
      <c r="B122" s="133"/>
      <c r="C122" s="2789" t="s">
        <v>1703</v>
      </c>
      <c r="D122" t="s" s="2790">
        <v>652</v>
      </c>
      <c r="E122" s="2791" t="s">
        <v>305</v>
      </c>
      <c r="F122" t="s" s="2792">
        <v>810</v>
      </c>
      <c r="G122" t="s" s="2793">
        <v>305</v>
      </c>
      <c r="H122" s="2794" t="s">
        <v>305</v>
      </c>
      <c r="I122" t="s" s="2795">
        <v>41</v>
      </c>
      <c r="J122" t="s" s="2796">
        <v>71</v>
      </c>
      <c r="K122" t="s" s="2797">
        <v>811</v>
      </c>
      <c r="L122" t="s" s="2798">
        <v>305</v>
      </c>
      <c r="M122" t="s" s="2799">
        <v>305</v>
      </c>
      <c r="N122" s="2800" t="s">
        <v>3867</v>
      </c>
      <c r="O122" s="2801" t="s">
        <v>3868</v>
      </c>
      <c r="P122" s="141"/>
      <c r="Q122" s="142">
        <f>SUM(R122:AQ122)</f>
      </c>
      <c r="R122" s="143"/>
      <c r="S122" s="143"/>
      <c r="T122" s="143"/>
      <c r="U122" s="143"/>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2">
        <f>SUM(AS122:AV122)</f>
      </c>
      <c r="AS122" s="143"/>
      <c r="AT122" s="143"/>
      <c r="AU122" s="143"/>
      <c r="AV122" s="143"/>
      <c r="AW122" s="142">
        <f>SUM(AX122:BI122)</f>
      </c>
      <c r="AX122" s="143"/>
      <c r="AY122" s="143"/>
      <c r="AZ122" s="143"/>
      <c r="BA122" s="143"/>
      <c r="BB122" s="143"/>
      <c r="BC122" s="143"/>
      <c r="BD122" s="143"/>
      <c r="BE122" s="143"/>
      <c r="BF122" s="143"/>
      <c r="BG122" s="143"/>
      <c r="BH122" s="143"/>
      <c r="BI122" s="143"/>
      <c r="BJ122" s="142"/>
      <c r="BK122" s="143"/>
      <c r="BL122" s="143"/>
      <c r="BM122" s="143"/>
      <c r="BN122" s="143"/>
      <c r="BO122" s="143"/>
      <c r="BP122" s="143"/>
      <c r="BQ122" s="142"/>
      <c r="BR122" s="143"/>
      <c r="BS122" s="143"/>
      <c r="BT122" s="142">
        <f>SUM(BU122:BW122)</f>
      </c>
      <c r="BU122" s="143"/>
      <c r="BV122" s="143"/>
      <c r="BW122" s="143"/>
      <c r="BX122" s="142">
        <f>SUM(BY122:CD122)</f>
      </c>
      <c r="BY122" s="143"/>
      <c r="BZ122" s="143"/>
      <c r="CA122" s="143"/>
      <c r="CB122" s="143"/>
      <c r="CC122" s="143"/>
      <c r="CD122" s="143"/>
      <c r="CE122" s="142"/>
      <c r="CF122" s="143"/>
      <c r="CG122" s="143"/>
      <c r="CH122" s="143"/>
      <c r="CI122" s="143"/>
      <c r="CJ122" s="143"/>
      <c r="CK122" s="142">
        <f>SUM(CL122:CN122)</f>
      </c>
      <c r="CL122" s="143"/>
      <c r="CM122" s="143"/>
      <c r="CN122" s="143"/>
      <c r="CO122" s="142">
        <f>SUM(CP122:CT122)</f>
      </c>
      <c r="CP122" s="143"/>
      <c r="CQ122" s="143"/>
      <c r="CR122" s="143"/>
      <c r="CS122" s="143"/>
      <c r="CT122" s="143"/>
      <c r="CU122" s="142"/>
      <c r="CV122" s="143"/>
      <c r="CW122" s="143"/>
      <c r="CX122" s="143"/>
      <c r="CY122" s="142"/>
      <c r="CZ122" s="143"/>
      <c r="DA122" s="143"/>
      <c r="DB122" s="143"/>
      <c r="DC122" s="143"/>
      <c r="DD122" s="143"/>
      <c r="DE122" s="143"/>
      <c r="DF122" s="143"/>
      <c r="DG122" s="142">
        <f>SUM(DH122:DH122)</f>
      </c>
      <c r="DH122" s="143"/>
      <c r="DI122" s="142"/>
      <c r="DJ122" s="143"/>
      <c r="DK122" s="142">
        <f>SUM(DL122:DQ122)</f>
      </c>
      <c r="DL122" s="143"/>
      <c r="DM122" s="143"/>
      <c r="DN122" s="143"/>
      <c r="DO122" s="143"/>
      <c r="DP122" s="143"/>
      <c r="DQ122" s="143"/>
      <c r="DR122" s="143"/>
      <c r="DS122" s="143"/>
      <c r="DT122" s="143"/>
      <c r="DU122" s="143"/>
      <c r="DV122" s="143"/>
      <c r="DW122" s="143"/>
      <c r="DX122" s="142"/>
      <c r="DY122" s="143"/>
      <c r="DZ122" s="142"/>
      <c r="EA122" s="143"/>
      <c r="EB122" s="143"/>
      <c r="EC122" s="142"/>
      <c r="ED122" s="143"/>
      <c r="EF122" s="143"/>
      <c r="EG122" s="142">
        <f>SUM(EH122:EQ122)</f>
      </c>
      <c r="EH122" s="143"/>
      <c r="EI122" s="143"/>
      <c r="EJ122" s="143"/>
      <c r="EK122" s="143"/>
      <c r="EL122" s="143"/>
      <c r="EM122" s="143"/>
      <c r="EN122" s="143"/>
      <c r="EO122" s="143"/>
      <c r="EP122" s="143"/>
      <c r="EQ122" s="143"/>
      <c r="ER122" s="142">
        <f>SUM(ES122:ET122)</f>
      </c>
      <c r="ES122" s="143"/>
      <c r="ET122" s="143"/>
      <c r="EU122" s="144"/>
      <c r="FB122" s="146"/>
      <c r="FC122" s="146" cm="1">
        <f t="array" ref="FC122">ROW()-ROW(New[#Headers])</f>
        <v>116</v>
      </c>
    </row>
    <row r="123" spans="2:159" s="139" customFormat="1" ht="10.5" x14ac:dyDescent="0.2">
      <c r="B123" s="133"/>
      <c r="C123" s="2805" t="s">
        <v>655</v>
      </c>
      <c r="D123" t="s" s="2806">
        <v>656</v>
      </c>
      <c r="E123" s="2807" t="s">
        <v>13</v>
      </c>
      <c r="F123" t="s" s="2808">
        <v>898</v>
      </c>
      <c r="G123" t="s" s="2809">
        <v>1597</v>
      </c>
      <c r="H123" s="2810" t="s">
        <v>49</v>
      </c>
      <c r="I123" t="s" s="2811">
        <v>41</v>
      </c>
      <c r="J123" t="s" s="2812">
        <v>71</v>
      </c>
      <c r="K123" t="s" s="2813">
        <v>791</v>
      </c>
      <c r="L123" t="s" s="2814">
        <v>779</v>
      </c>
      <c r="M123" t="s" s="2815">
        <v>305</v>
      </c>
      <c r="N123" s="2816" t="s">
        <v>3873</v>
      </c>
      <c r="O123" s="2817" t="s">
        <v>3871</v>
      </c>
      <c r="P123" s="141"/>
      <c r="Q123" s="142">
        <f>SUM(R123:AQ123)</f>
      </c>
      <c r="R123" s="143"/>
      <c r="S123" s="143"/>
      <c r="T123" s="143"/>
      <c r="U123" s="143"/>
      <c r="V123" s="143"/>
      <c r="W123" s="143"/>
      <c r="X123" s="143"/>
      <c r="Y123" s="143"/>
      <c r="Z123" s="143"/>
      <c r="AA123" s="143"/>
      <c r="AB123" s="143"/>
      <c r="AC123" s="143"/>
      <c r="AD123" s="143"/>
      <c r="AE123" s="143"/>
      <c r="AF123" s="143"/>
      <c r="AG123" s="143"/>
      <c r="AH123" s="143"/>
      <c r="AI123" s="2818" t="n">
        <v>50.0</v>
      </c>
      <c r="AJ123" s="143"/>
      <c r="AK123" s="143"/>
      <c r="AL123" s="143"/>
      <c r="AM123" s="143"/>
      <c r="AN123" s="2819" t="n">
        <v>50.0</v>
      </c>
      <c r="AO123" s="143"/>
      <c r="AP123" s="143"/>
      <c r="AQ123" s="143"/>
      <c r="AR123" s="142">
        <f>SUM(AS123:AV123)</f>
      </c>
      <c r="AS123" s="143"/>
      <c r="AT123" s="143"/>
      <c r="AU123" s="143"/>
      <c r="AV123" s="143"/>
      <c r="AW123" s="142">
        <f>SUM(AX123:BI123)</f>
      </c>
      <c r="AX123" s="143"/>
      <c r="AY123" s="143"/>
      <c r="AZ123" s="143"/>
      <c r="BA123" s="143"/>
      <c r="BB123" s="143"/>
      <c r="BC123" s="143"/>
      <c r="BD123" s="143"/>
      <c r="BE123" s="143"/>
      <c r="BF123" s="143"/>
      <c r="BG123" s="143"/>
      <c r="BH123" s="143"/>
      <c r="BI123" s="143"/>
      <c r="BJ123" s="142"/>
      <c r="BK123" s="143"/>
      <c r="BL123" s="143"/>
      <c r="BM123" s="143"/>
      <c r="BN123" s="143"/>
      <c r="BO123" s="143"/>
      <c r="BP123" s="143"/>
      <c r="BQ123" s="142"/>
      <c r="BR123" s="143"/>
      <c r="BS123" s="143"/>
      <c r="BT123" s="142">
        <f>SUM(BU123:BW123)</f>
      </c>
      <c r="BU123" s="143"/>
      <c r="BV123" s="143"/>
      <c r="BW123" s="143"/>
      <c r="BX123" s="142">
        <f>SUM(BY123:CD123)</f>
      </c>
      <c r="BY123" s="143"/>
      <c r="BZ123" s="143"/>
      <c r="CA123" s="143"/>
      <c r="CB123" s="143"/>
      <c r="CC123" s="143"/>
      <c r="CD123" s="143"/>
      <c r="CE123" s="142"/>
      <c r="CF123" s="143"/>
      <c r="CG123" s="143"/>
      <c r="CH123" s="143"/>
      <c r="CI123" s="143"/>
      <c r="CJ123" s="143"/>
      <c r="CK123" s="142">
        <f>SUM(CL123:CN123)</f>
      </c>
      <c r="CL123" s="143"/>
      <c r="CM123" s="143"/>
      <c r="CN123" s="143"/>
      <c r="CO123" s="142">
        <f>SUM(CP123:CT123)</f>
      </c>
      <c r="CP123" s="143"/>
      <c r="CQ123" s="143"/>
      <c r="CR123" s="143"/>
      <c r="CS123" s="143"/>
      <c r="CT123" s="143"/>
      <c r="CU123" s="142"/>
      <c r="CV123" s="143"/>
      <c r="CW123" s="143"/>
      <c r="CX123" s="143"/>
      <c r="CY123" s="142"/>
      <c r="CZ123" s="143"/>
      <c r="DA123" s="143"/>
      <c r="DB123" s="143"/>
      <c r="DC123" s="143"/>
      <c r="DD123" s="143"/>
      <c r="DE123" s="143"/>
      <c r="DF123" s="143"/>
      <c r="DG123" s="142">
        <f>SUM(DH123:DH123)</f>
      </c>
      <c r="DH123" s="143"/>
      <c r="DI123" s="142"/>
      <c r="DJ123" s="143"/>
      <c r="DK123" s="142">
        <f>SUM(DL123:DQ123)</f>
      </c>
      <c r="DL123" s="143"/>
      <c r="DM123" s="143"/>
      <c r="DN123" s="143"/>
      <c r="DO123" s="143"/>
      <c r="DP123" s="143"/>
      <c r="DQ123" s="143"/>
      <c r="DR123" s="143"/>
      <c r="DS123" s="143"/>
      <c r="DT123" s="143"/>
      <c r="DU123" s="143"/>
      <c r="DV123" s="143"/>
      <c r="DW123" s="143"/>
      <c r="DX123" s="142"/>
      <c r="DY123" s="143"/>
      <c r="DZ123" s="142"/>
      <c r="EA123" s="143"/>
      <c r="EB123" s="143"/>
      <c r="EC123" s="142"/>
      <c r="ED123" s="143"/>
      <c r="EF123" s="143"/>
      <c r="EG123" s="142">
        <f>SUM(EH123:EQ123)</f>
      </c>
      <c r="EH123" s="143"/>
      <c r="EI123" s="143"/>
      <c r="EJ123" s="143"/>
      <c r="EK123" s="143"/>
      <c r="EL123" s="143"/>
      <c r="EM123" s="143"/>
      <c r="EN123" s="143"/>
      <c r="EO123" s="143"/>
      <c r="EP123" s="143"/>
      <c r="EQ123" s="143"/>
      <c r="ER123" s="142">
        <f>SUM(ES123:ET123)</f>
      </c>
      <c r="ES123" s="143"/>
      <c r="ET123" s="143"/>
      <c r="EU123" s="144"/>
      <c r="FB123" s="146"/>
      <c r="FC123" s="146" cm="1">
        <f t="array" ref="FC123">ROW()-ROW(New[#Headers])</f>
        <v>117</v>
      </c>
    </row>
    <row r="124" spans="2:159" s="139" customFormat="1" ht="10.5" x14ac:dyDescent="0.2">
      <c r="B124" s="133"/>
      <c r="C124" s="2851" t="s">
        <v>501</v>
      </c>
      <c r="D124" t="s" s="2852">
        <v>502</v>
      </c>
      <c r="E124" s="2853" t="s">
        <v>13</v>
      </c>
      <c r="F124" t="s" s="2854">
        <v>933</v>
      </c>
      <c r="G124" t="s" s="2855">
        <v>1597</v>
      </c>
      <c r="H124" s="2856" t="s">
        <v>46</v>
      </c>
      <c r="I124" t="s" s="2857">
        <v>41</v>
      </c>
      <c r="J124" t="s" s="2858">
        <v>64</v>
      </c>
      <c r="K124" t="s" s="2859">
        <v>1639</v>
      </c>
      <c r="L124" t="s" s="2860">
        <v>305</v>
      </c>
      <c r="M124" t="s" s="2861">
        <v>305</v>
      </c>
      <c r="N124" s="2862" t="s">
        <v>3873</v>
      </c>
      <c r="O124" s="2863" t="s">
        <v>3871</v>
      </c>
      <c r="P124" s="141"/>
      <c r="Q124" s="142">
        <f>SUM(R124:AQ124)</f>
      </c>
      <c r="R124" s="143"/>
      <c r="S124" s="143"/>
      <c r="T124" s="143"/>
      <c r="U124" s="143"/>
      <c r="V124" s="143"/>
      <c r="W124" s="143"/>
      <c r="X124" s="143"/>
      <c r="Y124" s="143"/>
      <c r="Z124" s="143"/>
      <c r="AA124" s="143"/>
      <c r="AB124" s="143"/>
      <c r="AC124" s="143"/>
      <c r="AD124" s="143"/>
      <c r="AE124" s="143"/>
      <c r="AF124" s="2864" t="n">
        <v>400.0</v>
      </c>
      <c r="AG124" s="143"/>
      <c r="AH124" s="143"/>
      <c r="AI124" s="143"/>
      <c r="AJ124" s="143"/>
      <c r="AK124" s="143"/>
      <c r="AL124" s="143"/>
      <c r="AM124" s="143"/>
      <c r="AN124" s="143"/>
      <c r="AO124" s="143"/>
      <c r="AP124" s="143"/>
      <c r="AQ124" s="143"/>
      <c r="AR124" s="142">
        <f>SUM(AS124:AV124)</f>
      </c>
      <c r="AS124" s="143"/>
      <c r="AT124" s="143"/>
      <c r="AU124" s="143"/>
      <c r="AV124" s="143"/>
      <c r="AW124" s="142">
        <f>SUM(AX124:BI124)</f>
      </c>
      <c r="AX124" s="143"/>
      <c r="AY124" s="143"/>
      <c r="AZ124" s="143"/>
      <c r="BA124" s="143"/>
      <c r="BB124" s="143"/>
      <c r="BC124" s="143"/>
      <c r="BD124" s="143"/>
      <c r="BE124" s="143"/>
      <c r="BF124" s="143"/>
      <c r="BG124" s="143"/>
      <c r="BH124" s="143"/>
      <c r="BI124" s="143"/>
      <c r="BJ124" s="142"/>
      <c r="BK124" s="143"/>
      <c r="BL124" s="143"/>
      <c r="BM124" s="143"/>
      <c r="BN124" s="143"/>
      <c r="BO124" s="143"/>
      <c r="BP124" s="143"/>
      <c r="BQ124" s="142"/>
      <c r="BR124" s="143"/>
      <c r="BS124" s="143"/>
      <c r="BT124" s="142">
        <f>SUM(BU124:BW124)</f>
      </c>
      <c r="BU124" s="143"/>
      <c r="BV124" s="143"/>
      <c r="BW124" s="143"/>
      <c r="BX124" s="142">
        <f>SUM(BY124:CD124)</f>
      </c>
      <c r="BY124" s="143"/>
      <c r="BZ124" s="143"/>
      <c r="CA124" s="143"/>
      <c r="CB124" s="143"/>
      <c r="CC124" s="143"/>
      <c r="CD124" s="143"/>
      <c r="CE124" s="142"/>
      <c r="CF124" s="143"/>
      <c r="CG124" s="143"/>
      <c r="CH124" s="143"/>
      <c r="CI124" s="143"/>
      <c r="CJ124" s="143"/>
      <c r="CK124" s="142">
        <f>SUM(CL124:CN124)</f>
      </c>
      <c r="CL124" s="143"/>
      <c r="CM124" s="143"/>
      <c r="CN124" s="143"/>
      <c r="CO124" s="142">
        <f>SUM(CP124:CT124)</f>
      </c>
      <c r="CP124" s="143"/>
      <c r="CQ124" s="143"/>
      <c r="CR124" s="143"/>
      <c r="CS124" s="143"/>
      <c r="CT124" s="143"/>
      <c r="CU124" s="142"/>
      <c r="CV124" s="143"/>
      <c r="CW124" s="143"/>
      <c r="CX124" s="143"/>
      <c r="CY124" s="142"/>
      <c r="CZ124" s="143"/>
      <c r="DA124" s="143"/>
      <c r="DB124" s="143"/>
      <c r="DC124" s="143"/>
      <c r="DD124" s="143"/>
      <c r="DE124" s="143"/>
      <c r="DF124" s="143"/>
      <c r="DG124" s="142">
        <f>SUM(DH124:DH124)</f>
      </c>
      <c r="DH124" s="143"/>
      <c r="DI124" s="142"/>
      <c r="DJ124" s="143"/>
      <c r="DK124" s="142">
        <f>SUM(DL124:DQ124)</f>
      </c>
      <c r="DL124" s="143"/>
      <c r="DM124" s="143"/>
      <c r="DN124" s="143"/>
      <c r="DO124" s="143"/>
      <c r="DP124" s="143"/>
      <c r="DQ124" s="143"/>
      <c r="DR124" s="143"/>
      <c r="DS124" s="143"/>
      <c r="DT124" s="143"/>
      <c r="DU124" s="143"/>
      <c r="DV124" s="143"/>
      <c r="DW124" s="143"/>
      <c r="DX124" s="142"/>
      <c r="DY124" s="143"/>
      <c r="DZ124" s="142"/>
      <c r="EA124" s="143"/>
      <c r="EB124" s="143"/>
      <c r="EC124" s="142"/>
      <c r="ED124" s="143"/>
      <c r="EF124" s="143"/>
      <c r="EG124" s="142">
        <f>SUM(EH124:EQ124)</f>
      </c>
      <c r="EH124" s="143"/>
      <c r="EI124" s="143"/>
      <c r="EJ124" s="143"/>
      <c r="EK124" s="143"/>
      <c r="EL124" s="143"/>
      <c r="EM124" s="143"/>
      <c r="EN124" s="143"/>
      <c r="EO124" s="143"/>
      <c r="EP124" s="143"/>
      <c r="EQ124" s="143"/>
      <c r="ER124" s="142">
        <f>SUM(ES124:ET124)</f>
      </c>
      <c r="ES124" s="143"/>
      <c r="ET124" s="143"/>
      <c r="EU124" s="144"/>
      <c r="FB124" s="146"/>
      <c r="FC124" s="146" cm="1">
        <f t="array" ref="FC124">ROW()-ROW(New[#Headers])</f>
        <v>118</v>
      </c>
    </row>
    <row r="125" spans="2:159" s="139" customFormat="1" ht="10.5" x14ac:dyDescent="0.2">
      <c r="B125" s="133"/>
      <c r="C125" s="2865" t="s">
        <v>1712</v>
      </c>
      <c r="D125" t="s" s="2866">
        <v>664</v>
      </c>
      <c r="E125" s="2867" t="s">
        <v>305</v>
      </c>
      <c r="F125" t="s" s="2868">
        <v>1241</v>
      </c>
      <c r="G125" t="s" s="2869">
        <v>345</v>
      </c>
      <c r="H125" s="2870" t="s">
        <v>46</v>
      </c>
      <c r="I125" t="s" s="2871">
        <v>41</v>
      </c>
      <c r="J125" t="s" s="2872">
        <v>74</v>
      </c>
      <c r="K125" t="s" s="2873">
        <v>1638</v>
      </c>
      <c r="L125" t="s" s="2874">
        <v>305</v>
      </c>
      <c r="M125" t="s" s="2875">
        <v>305</v>
      </c>
      <c r="N125" s="2876" t="s">
        <v>3867</v>
      </c>
      <c r="O125" s="2877" t="s">
        <v>3868</v>
      </c>
      <c r="P125" s="141"/>
      <c r="Q125" s="142">
        <f>SUM(R125:AQ125)</f>
      </c>
      <c r="R125" s="143"/>
      <c r="S125" s="143"/>
      <c r="T125" s="143"/>
      <c r="U125" s="143"/>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2">
        <f>SUM(AS125:AV125)</f>
      </c>
      <c r="AS125" s="143"/>
      <c r="AT125" s="143"/>
      <c r="AU125" s="143"/>
      <c r="AV125" s="143"/>
      <c r="AW125" s="142">
        <f>SUM(AX125:BI125)</f>
      </c>
      <c r="AX125" s="143"/>
      <c r="AY125" s="143"/>
      <c r="AZ125" s="143"/>
      <c r="BA125" s="143"/>
      <c r="BB125" s="143"/>
      <c r="BC125" s="143"/>
      <c r="BD125" s="143"/>
      <c r="BE125" s="143"/>
      <c r="BF125" s="143"/>
      <c r="BG125" s="143"/>
      <c r="BH125" s="143"/>
      <c r="BI125" s="143"/>
      <c r="BJ125" s="142"/>
      <c r="BK125" s="143"/>
      <c r="BL125" s="143"/>
      <c r="BM125" s="143"/>
      <c r="BN125" s="143"/>
      <c r="BO125" s="143"/>
      <c r="BP125" s="143"/>
      <c r="BQ125" s="142"/>
      <c r="BR125" s="143"/>
      <c r="BS125" s="143"/>
      <c r="BT125" s="142">
        <f>SUM(BU125:BW125)</f>
      </c>
      <c r="BU125" s="143"/>
      <c r="BV125" s="143"/>
      <c r="BW125" s="143"/>
      <c r="BX125" s="142">
        <f>SUM(BY125:CD125)</f>
      </c>
      <c r="BY125" s="143"/>
      <c r="BZ125" s="143"/>
      <c r="CA125" s="143"/>
      <c r="CB125" s="143"/>
      <c r="CC125" s="143"/>
      <c r="CD125" s="143"/>
      <c r="CE125" s="142"/>
      <c r="CF125" s="143"/>
      <c r="CG125" s="143"/>
      <c r="CH125" s="143"/>
      <c r="CI125" s="143"/>
      <c r="CJ125" s="143"/>
      <c r="CK125" s="142">
        <f>SUM(CL125:CN125)</f>
      </c>
      <c r="CL125" s="143"/>
      <c r="CM125" s="143"/>
      <c r="CN125" s="143"/>
      <c r="CO125" s="142">
        <f>SUM(CP125:CT125)</f>
      </c>
      <c r="CP125" s="143"/>
      <c r="CQ125" s="143"/>
      <c r="CR125" s="143"/>
      <c r="CS125" s="143"/>
      <c r="CT125" s="143"/>
      <c r="CU125" s="142"/>
      <c r="CV125" s="143"/>
      <c r="CW125" s="143"/>
      <c r="CX125" s="143"/>
      <c r="CY125" s="142"/>
      <c r="CZ125" s="143"/>
      <c r="DA125" s="143"/>
      <c r="DB125" s="143"/>
      <c r="DC125" s="143"/>
      <c r="DD125" s="143"/>
      <c r="DE125" s="143"/>
      <c r="DF125" s="143"/>
      <c r="DG125" s="142">
        <f>SUM(DH125:DH125)</f>
      </c>
      <c r="DH125" s="143"/>
      <c r="DI125" s="142"/>
      <c r="DJ125" s="143"/>
      <c r="DK125" s="142">
        <f>SUM(DL125:DQ125)</f>
      </c>
      <c r="DL125" s="143"/>
      <c r="DM125" s="143"/>
      <c r="DN125" s="143"/>
      <c r="DO125" s="143"/>
      <c r="DP125" s="143"/>
      <c r="DQ125" s="143"/>
      <c r="DR125" s="143"/>
      <c r="DS125" s="143"/>
      <c r="DT125" s="143"/>
      <c r="DU125" s="143"/>
      <c r="DV125" s="143"/>
      <c r="DW125" s="143"/>
      <c r="DX125" s="142"/>
      <c r="DY125" s="143"/>
      <c r="DZ125" s="142"/>
      <c r="EA125" s="143"/>
      <c r="EB125" s="143"/>
      <c r="EC125" s="142"/>
      <c r="ED125" s="143"/>
      <c r="EF125" s="143"/>
      <c r="EG125" s="142">
        <f>SUM(EH125:EQ125)</f>
      </c>
      <c r="EH125" s="143"/>
      <c r="EI125" s="143"/>
      <c r="EJ125" s="143"/>
      <c r="EK125" s="143"/>
      <c r="EL125" s="143"/>
      <c r="EM125" s="143"/>
      <c r="EN125" s="143"/>
      <c r="EO125" s="143"/>
      <c r="EP125" s="143"/>
      <c r="EQ125" s="143"/>
      <c r="ER125" s="142">
        <f>SUM(ES125:ET125)</f>
      </c>
      <c r="ES125" s="143"/>
      <c r="ET125" s="143"/>
      <c r="EU125" s="144"/>
      <c r="FB125" s="146"/>
      <c r="FC125" s="146" cm="1">
        <f t="array" ref="FC125">ROW()-ROW(New[#Headers])</f>
        <v>119</v>
      </c>
    </row>
    <row r="126" spans="2:159" s="139" customFormat="1" ht="10.5" x14ac:dyDescent="0.2">
      <c r="B126" s="133"/>
      <c r="C126" s="2895" t="s">
        <v>301</v>
      </c>
      <c r="D126" t="s" s="2896">
        <v>302</v>
      </c>
      <c r="E126" s="2897" t="s">
        <v>13</v>
      </c>
      <c r="F126" t="s" s="2898">
        <v>766</v>
      </c>
      <c r="G126" t="s" s="2899">
        <v>1597</v>
      </c>
      <c r="H126" s="2900" t="s">
        <v>46</v>
      </c>
      <c r="I126" t="s" s="2901">
        <v>41</v>
      </c>
      <c r="J126" t="s" s="2902">
        <v>68</v>
      </c>
      <c r="K126" t="s" s="2903">
        <v>1059</v>
      </c>
      <c r="L126" t="s" s="2904">
        <v>767</v>
      </c>
      <c r="M126" t="s" s="2905">
        <v>305</v>
      </c>
      <c r="N126" s="2906" t="s">
        <v>3873</v>
      </c>
      <c r="O126" s="2907" t="s">
        <v>3871</v>
      </c>
      <c r="P126" s="141"/>
      <c r="Q126" s="142">
        <f>SUM(R126:AQ126)</f>
      </c>
      <c r="R126" s="143"/>
      <c r="S126" s="143"/>
      <c r="T126" s="143"/>
      <c r="U126" s="143"/>
      <c r="V126" s="143"/>
      <c r="W126" s="143"/>
      <c r="X126" s="143"/>
      <c r="Y126" s="143"/>
      <c r="Z126" s="143"/>
      <c r="AA126" s="143"/>
      <c r="AB126" s="143"/>
      <c r="AC126" s="143"/>
      <c r="AD126" s="143"/>
      <c r="AE126" s="143"/>
      <c r="AF126" s="143"/>
      <c r="AG126" s="2908" t="n">
        <v>1070.0</v>
      </c>
      <c r="AH126" s="143"/>
      <c r="AI126" s="143"/>
      <c r="AJ126" s="143"/>
      <c r="AK126" s="143"/>
      <c r="AL126" s="143"/>
      <c r="AM126" s="143"/>
      <c r="AN126" s="2909" t="n">
        <v>250.0</v>
      </c>
      <c r="AO126" s="143"/>
      <c r="AP126" s="143"/>
      <c r="AQ126" s="143"/>
      <c r="AR126" s="142">
        <f>SUM(AS126:AV126)</f>
      </c>
      <c r="AS126" s="143"/>
      <c r="AT126" s="143"/>
      <c r="AU126" s="143"/>
      <c r="AV126" s="143"/>
      <c r="AW126" s="142">
        <f>SUM(AX126:BI126)</f>
      </c>
      <c r="AX126" s="143"/>
      <c r="AY126" s="143"/>
      <c r="AZ126" s="143"/>
      <c r="BA126" s="143"/>
      <c r="BB126" s="143"/>
      <c r="BC126" s="143"/>
      <c r="BD126" s="143"/>
      <c r="BE126" s="143"/>
      <c r="BF126" s="143"/>
      <c r="BG126" s="143"/>
      <c r="BH126" s="143"/>
      <c r="BI126" s="143"/>
      <c r="BJ126" s="142"/>
      <c r="BK126" s="143"/>
      <c r="BL126" s="143"/>
      <c r="BM126" s="143"/>
      <c r="BN126" s="143"/>
      <c r="BO126" s="143"/>
      <c r="BP126" s="143"/>
      <c r="BQ126" s="142"/>
      <c r="BR126" s="143"/>
      <c r="BS126" s="143"/>
      <c r="BT126" s="142">
        <f>SUM(BU126:BW126)</f>
      </c>
      <c r="BU126" s="143"/>
      <c r="BV126" s="143"/>
      <c r="BW126" s="143"/>
      <c r="BX126" s="142">
        <f>SUM(BY126:CD126)</f>
      </c>
      <c r="BY126" s="143"/>
      <c r="BZ126" s="143"/>
      <c r="CA126" s="143"/>
      <c r="CB126" s="143"/>
      <c r="CC126" s="143"/>
      <c r="CD126" s="143"/>
      <c r="CE126" s="142"/>
      <c r="CF126" s="143"/>
      <c r="CG126" s="143"/>
      <c r="CH126" s="143"/>
      <c r="CI126" s="143"/>
      <c r="CJ126" s="143"/>
      <c r="CK126" s="142">
        <f>SUM(CL126:CN126)</f>
      </c>
      <c r="CL126" s="143"/>
      <c r="CM126" s="143"/>
      <c r="CN126" s="143"/>
      <c r="CO126" s="142">
        <f>SUM(CP126:CT126)</f>
      </c>
      <c r="CP126" s="143"/>
      <c r="CQ126" s="143"/>
      <c r="CR126" s="143"/>
      <c r="CS126" s="143"/>
      <c r="CT126" s="143"/>
      <c r="CU126" s="142"/>
      <c r="CV126" s="143"/>
      <c r="CW126" s="143"/>
      <c r="CX126" s="143"/>
      <c r="CY126" s="142"/>
      <c r="CZ126" s="143"/>
      <c r="DA126" s="143"/>
      <c r="DB126" s="143"/>
      <c r="DC126" s="143"/>
      <c r="DD126" s="143"/>
      <c r="DE126" s="143"/>
      <c r="DF126" s="143"/>
      <c r="DG126" s="142">
        <f>SUM(DH126:DH126)</f>
      </c>
      <c r="DH126" s="2910" t="n">
        <v>880.0</v>
      </c>
      <c r="DI126" s="142"/>
      <c r="DJ126" s="143"/>
      <c r="DK126" s="142">
        <f>SUM(DL126:DQ126)</f>
      </c>
      <c r="DL126" s="143"/>
      <c r="DM126" s="2911" t="n">
        <v>133.0</v>
      </c>
      <c r="DN126" s="143"/>
      <c r="DO126" s="143"/>
      <c r="DP126" s="143"/>
      <c r="DQ126" s="143"/>
      <c r="DR126" s="143"/>
      <c r="DS126" s="143"/>
      <c r="DT126" s="143"/>
      <c r="DU126" s="143"/>
      <c r="DV126" s="143"/>
      <c r="DW126" s="143"/>
      <c r="DX126" s="142"/>
      <c r="DY126" s="143"/>
      <c r="DZ126" s="142"/>
      <c r="EA126" s="143"/>
      <c r="EB126" s="143"/>
      <c r="EC126" s="142"/>
      <c r="ED126" s="143"/>
      <c r="EF126" s="143"/>
      <c r="EG126" s="142">
        <f>SUM(EH126:EQ126)</f>
      </c>
      <c r="EH126" s="143"/>
      <c r="EI126" s="143"/>
      <c r="EJ126" s="143"/>
      <c r="EK126" s="143"/>
      <c r="EL126" s="143"/>
      <c r="EM126" s="143"/>
      <c r="EN126" s="143"/>
      <c r="EO126" s="143"/>
      <c r="EP126" s="143"/>
      <c r="EQ126" s="143"/>
      <c r="ER126" s="142">
        <f>SUM(ES126:ET126)</f>
      </c>
      <c r="ES126" s="143"/>
      <c r="ET126" s="143"/>
      <c r="EU126" s="144"/>
      <c r="FB126" s="146"/>
      <c r="FC126" s="146" cm="1">
        <f t="array" ref="FC126">ROW()-ROW(New[#Headers])</f>
        <v>120</v>
      </c>
    </row>
    <row r="127" spans="2:159" s="139" customFormat="1" ht="10.5" x14ac:dyDescent="0.2">
      <c r="B127" s="133"/>
      <c r="C127" s="2912" t="s">
        <v>469</v>
      </c>
      <c r="D127" t="s" s="2913">
        <v>470</v>
      </c>
      <c r="E127" s="2914" t="s">
        <v>23</v>
      </c>
      <c r="F127" t="s" s="2915">
        <v>1109</v>
      </c>
      <c r="G127" t="s" s="2916">
        <v>305</v>
      </c>
      <c r="H127" s="2917" t="s">
        <v>59</v>
      </c>
      <c r="I127" t="s" s="2918">
        <v>41</v>
      </c>
      <c r="J127" t="s" s="2919">
        <v>68</v>
      </c>
      <c r="K127" t="s" s="2920">
        <v>1659</v>
      </c>
      <c r="L127" t="s" s="2921">
        <v>751</v>
      </c>
      <c r="M127" t="s" s="2922">
        <v>305</v>
      </c>
      <c r="N127" s="2923" t="s">
        <v>3873</v>
      </c>
      <c r="O127" s="2924" t="s">
        <v>3871</v>
      </c>
      <c r="P127" s="141"/>
      <c r="Q127" s="142">
        <f>SUM(R127:AQ127)</f>
      </c>
      <c r="R127" s="143"/>
      <c r="S127" s="143"/>
      <c r="T127" s="143"/>
      <c r="U127" s="143"/>
      <c r="V127" s="143"/>
      <c r="W127" s="143"/>
      <c r="X127" s="143"/>
      <c r="Y127" s="143"/>
      <c r="Z127" s="143"/>
      <c r="AA127" s="143"/>
      <c r="AB127" s="143"/>
      <c r="AC127" s="143"/>
      <c r="AD127" s="2925" t="n">
        <v>400.0</v>
      </c>
      <c r="AE127" s="143"/>
      <c r="AF127" s="143"/>
      <c r="AG127" s="143"/>
      <c r="AH127" s="143"/>
      <c r="AI127" s="143"/>
      <c r="AJ127" s="143"/>
      <c r="AK127" s="143"/>
      <c r="AL127" s="143"/>
      <c r="AM127" s="143"/>
      <c r="AN127" s="143"/>
      <c r="AO127" s="143"/>
      <c r="AP127" s="143"/>
      <c r="AQ127" s="143"/>
      <c r="AR127" s="142">
        <f>SUM(AS127:AV127)</f>
      </c>
      <c r="AS127" s="143"/>
      <c r="AT127" s="143"/>
      <c r="AU127" s="143"/>
      <c r="AV127" s="143"/>
      <c r="AW127" s="142">
        <f>SUM(AX127:BI127)</f>
      </c>
      <c r="AX127" s="143"/>
      <c r="AY127" s="143"/>
      <c r="AZ127" s="143"/>
      <c r="BA127" s="143"/>
      <c r="BB127" s="143"/>
      <c r="BC127" s="143"/>
      <c r="BD127" s="143"/>
      <c r="BE127" s="143"/>
      <c r="BF127" s="143"/>
      <c r="BG127" s="143"/>
      <c r="BH127" s="143"/>
      <c r="BI127" s="143"/>
      <c r="BJ127" s="142"/>
      <c r="BK127" s="143"/>
      <c r="BL127" s="143"/>
      <c r="BM127" s="143"/>
      <c r="BN127" s="143"/>
      <c r="BO127" s="143"/>
      <c r="BP127" s="143"/>
      <c r="BQ127" s="142"/>
      <c r="BR127" s="143"/>
      <c r="BS127" s="143"/>
      <c r="BT127" s="142">
        <f>SUM(BU127:BW127)</f>
      </c>
      <c r="BU127" s="143"/>
      <c r="BV127" s="143"/>
      <c r="BW127" s="143"/>
      <c r="BX127" s="142">
        <f>SUM(BY127:CD127)</f>
      </c>
      <c r="BY127" s="143"/>
      <c r="BZ127" s="143"/>
      <c r="CA127" s="143"/>
      <c r="CB127" s="143"/>
      <c r="CC127" s="143"/>
      <c r="CD127" s="143"/>
      <c r="CE127" s="142"/>
      <c r="CF127" s="143"/>
      <c r="CG127" s="143"/>
      <c r="CH127" s="143"/>
      <c r="CI127" s="143"/>
      <c r="CJ127" s="143"/>
      <c r="CK127" s="142">
        <f>SUM(CL127:CN127)</f>
      </c>
      <c r="CL127" s="143"/>
      <c r="CM127" s="143"/>
      <c r="CN127" s="143"/>
      <c r="CO127" s="142">
        <f>SUM(CP127:CT127)</f>
      </c>
      <c r="CP127" s="143"/>
      <c r="CQ127" s="143"/>
      <c r="CR127" s="143"/>
      <c r="CS127" s="143"/>
      <c r="CT127" s="143"/>
      <c r="CU127" s="142"/>
      <c r="CV127" s="143"/>
      <c r="CW127" s="143"/>
      <c r="CX127" s="143"/>
      <c r="CY127" s="142"/>
      <c r="CZ127" s="143"/>
      <c r="DA127" s="143"/>
      <c r="DB127" s="143"/>
      <c r="DC127" s="143"/>
      <c r="DD127" s="143"/>
      <c r="DE127" s="143"/>
      <c r="DF127" s="143"/>
      <c r="DG127" s="142">
        <f>SUM(DH127:DH127)</f>
      </c>
      <c r="DH127" s="143"/>
      <c r="DI127" s="142"/>
      <c r="DJ127" s="143"/>
      <c r="DK127" s="142">
        <f>SUM(DL127:DQ127)</f>
      </c>
      <c r="DL127" s="143"/>
      <c r="DM127" s="143"/>
      <c r="DN127" s="143"/>
      <c r="DO127" s="143"/>
      <c r="DP127" s="143"/>
      <c r="DQ127" s="143"/>
      <c r="DR127" s="143"/>
      <c r="DS127" s="143"/>
      <c r="DT127" s="143"/>
      <c r="DU127" s="143"/>
      <c r="DV127" s="143"/>
      <c r="DW127" s="143"/>
      <c r="DX127" s="142"/>
      <c r="DY127" s="143"/>
      <c r="DZ127" s="142"/>
      <c r="EA127" s="143"/>
      <c r="EB127" s="143"/>
      <c r="EC127" s="142"/>
      <c r="ED127" s="143"/>
      <c r="EF127" s="143"/>
      <c r="EG127" s="142">
        <f>SUM(EH127:EQ127)</f>
      </c>
      <c r="EH127" s="143"/>
      <c r="EI127" s="143"/>
      <c r="EJ127" s="143"/>
      <c r="EK127" s="143"/>
      <c r="EL127" s="143"/>
      <c r="EM127" s="143"/>
      <c r="EN127" s="143"/>
      <c r="EO127" s="143"/>
      <c r="EP127" s="143"/>
      <c r="EQ127" s="143"/>
      <c r="ER127" s="142">
        <f>SUM(ES127:ET127)</f>
      </c>
      <c r="ES127" s="143"/>
      <c r="ET127" s="143"/>
      <c r="EU127" s="144"/>
      <c r="FB127" s="146"/>
      <c r="FC127" s="146" cm="1">
        <f t="array" ref="FC127">ROW()-ROW(New[#Headers])</f>
        <v>121</v>
      </c>
    </row>
    <row r="128" spans="2:159" s="139" customFormat="1" ht="10.5" x14ac:dyDescent="0.2">
      <c r="B128" s="133"/>
      <c r="C128" s="2926" t="s">
        <v>657</v>
      </c>
      <c r="D128" t="s" s="2927">
        <v>658</v>
      </c>
      <c r="E128" s="2928" t="s">
        <v>305</v>
      </c>
      <c r="F128" t="s" s="2929">
        <v>1641</v>
      </c>
      <c r="G128" t="s" s="2930">
        <v>1597</v>
      </c>
      <c r="H128" s="2931" t="s">
        <v>305</v>
      </c>
      <c r="I128" t="s" s="2932">
        <v>41</v>
      </c>
      <c r="J128" t="s" s="2933">
        <v>68</v>
      </c>
      <c r="K128" t="s" s="2934">
        <v>1643</v>
      </c>
      <c r="L128" t="s" s="2935">
        <v>305</v>
      </c>
      <c r="M128" t="s" s="2936">
        <v>305</v>
      </c>
      <c r="N128" s="2937" t="s">
        <v>3873</v>
      </c>
      <c r="O128" s="2938" t="s">
        <v>3871</v>
      </c>
      <c r="P128" s="141"/>
      <c r="Q128" s="142">
        <f>SUM(R128:AQ128)</f>
      </c>
      <c r="R128" s="143"/>
      <c r="S128" s="143"/>
      <c r="T128" s="143"/>
      <c r="U128" s="143"/>
      <c r="V128" s="143"/>
      <c r="W128" s="143"/>
      <c r="X128" s="143"/>
      <c r="Y128" s="143"/>
      <c r="Z128" s="143"/>
      <c r="AA128" s="143"/>
      <c r="AB128" s="143"/>
      <c r="AC128" s="143"/>
      <c r="AD128" s="143"/>
      <c r="AE128" s="143"/>
      <c r="AF128" s="143"/>
      <c r="AG128" s="143"/>
      <c r="AH128" s="143"/>
      <c r="AI128" s="143"/>
      <c r="AJ128" s="143"/>
      <c r="AK128" s="143"/>
      <c r="AL128" s="143"/>
      <c r="AM128" s="143"/>
      <c r="AN128" s="143"/>
      <c r="AO128" s="2939" t="n">
        <v>700.0</v>
      </c>
      <c r="AP128" s="143"/>
      <c r="AQ128" s="143"/>
      <c r="AR128" s="142">
        <f>SUM(AS128:AV128)</f>
      </c>
      <c r="AS128" s="143"/>
      <c r="AT128" s="143"/>
      <c r="AU128" s="143"/>
      <c r="AV128" s="143"/>
      <c r="AW128" s="142">
        <f>SUM(AX128:BI128)</f>
      </c>
      <c r="AX128" s="143"/>
      <c r="AY128" s="143"/>
      <c r="AZ128" s="143"/>
      <c r="BA128" s="143"/>
      <c r="BB128" s="143"/>
      <c r="BC128" s="143"/>
      <c r="BD128" s="143"/>
      <c r="BE128" s="143"/>
      <c r="BF128" s="143"/>
      <c r="BG128" s="143"/>
      <c r="BH128" s="143"/>
      <c r="BI128" s="143"/>
      <c r="BJ128" s="142"/>
      <c r="BK128" s="143"/>
      <c r="BL128" s="143"/>
      <c r="BM128" s="143"/>
      <c r="BN128" s="143"/>
      <c r="BO128" s="143"/>
      <c r="BP128" s="143"/>
      <c r="BQ128" s="142"/>
      <c r="BR128" s="143"/>
      <c r="BS128" s="143"/>
      <c r="BT128" s="142">
        <f>SUM(BU128:BW128)</f>
      </c>
      <c r="BU128" s="143"/>
      <c r="BV128" s="143"/>
      <c r="BW128" s="143"/>
      <c r="BX128" s="142">
        <f>SUM(BY128:CD128)</f>
      </c>
      <c r="BY128" s="143"/>
      <c r="BZ128" s="143"/>
      <c r="CA128" s="143"/>
      <c r="CB128" s="143"/>
      <c r="CC128" s="143"/>
      <c r="CD128" s="143"/>
      <c r="CE128" s="142"/>
      <c r="CF128" s="143"/>
      <c r="CG128" s="143"/>
      <c r="CH128" s="143"/>
      <c r="CI128" s="143"/>
      <c r="CJ128" s="143"/>
      <c r="CK128" s="142">
        <f>SUM(CL128:CN128)</f>
      </c>
      <c r="CL128" s="143"/>
      <c r="CM128" s="143"/>
      <c r="CN128" s="143"/>
      <c r="CO128" s="142">
        <f>SUM(CP128:CT128)</f>
      </c>
      <c r="CP128" s="143"/>
      <c r="CQ128" s="143"/>
      <c r="CR128" s="143"/>
      <c r="CS128" s="143"/>
      <c r="CT128" s="143"/>
      <c r="CU128" s="142"/>
      <c r="CV128" s="143"/>
      <c r="CW128" s="143"/>
      <c r="CX128" s="143"/>
      <c r="CY128" s="142"/>
      <c r="CZ128" s="143"/>
      <c r="DA128" s="143"/>
      <c r="DB128" s="143"/>
      <c r="DC128" s="143"/>
      <c r="DD128" s="143"/>
      <c r="DE128" s="143"/>
      <c r="DF128" s="143"/>
      <c r="DG128" s="142">
        <f>SUM(DH128:DH128)</f>
      </c>
      <c r="DH128" s="143"/>
      <c r="DI128" s="142"/>
      <c r="DJ128" s="143"/>
      <c r="DK128" s="142">
        <f>SUM(DL128:DQ128)</f>
      </c>
      <c r="DL128" s="143"/>
      <c r="DM128" s="143"/>
      <c r="DN128" s="143"/>
      <c r="DO128" s="143"/>
      <c r="DP128" s="143"/>
      <c r="DQ128" s="143"/>
      <c r="DR128" s="143"/>
      <c r="DS128" s="143"/>
      <c r="DT128" s="143"/>
      <c r="DU128" s="143"/>
      <c r="DV128" s="143"/>
      <c r="DW128" s="143"/>
      <c r="DX128" s="142"/>
      <c r="DY128" s="143"/>
      <c r="DZ128" s="142"/>
      <c r="EA128" s="143"/>
      <c r="EB128" s="143"/>
      <c r="EC128" s="142"/>
      <c r="ED128" s="143"/>
      <c r="EF128" s="143"/>
      <c r="EG128" s="142">
        <f>SUM(EH128:EQ128)</f>
      </c>
      <c r="EH128" s="143"/>
      <c r="EI128" s="143"/>
      <c r="EJ128" s="143"/>
      <c r="EK128" s="143"/>
      <c r="EL128" s="143"/>
      <c r="EM128" s="143"/>
      <c r="EN128" s="143"/>
      <c r="EO128" s="143"/>
      <c r="EP128" s="143"/>
      <c r="EQ128" s="143"/>
      <c r="ER128" s="142">
        <f>SUM(ES128:ET128)</f>
      </c>
      <c r="ES128" s="143"/>
      <c r="ET128" s="143"/>
      <c r="EU128" s="144"/>
      <c r="FB128" s="146"/>
      <c r="FC128" s="146" cm="1">
        <f t="array" ref="FC128">ROW()-ROW(New[#Headers])</f>
        <v>122</v>
      </c>
    </row>
    <row r="129" spans="2:159" s="139" customFormat="1" ht="10.5" x14ac:dyDescent="0.2">
      <c r="B129" s="133"/>
      <c r="C129" s="2940" t="s">
        <v>3825</v>
      </c>
      <c r="D129" t="s" s="2941">
        <v>3826</v>
      </c>
      <c r="E129" s="2942" t="s">
        <v>13</v>
      </c>
      <c r="F129" t="s" s="2943">
        <v>750</v>
      </c>
      <c r="G129" t="s" s="2944">
        <v>345</v>
      </c>
      <c r="H129" s="2945" t="s">
        <v>46</v>
      </c>
      <c r="I129" t="s" s="2946">
        <v>41</v>
      </c>
      <c r="J129" t="s" s="2947">
        <v>64</v>
      </c>
      <c r="K129" t="s" s="2948">
        <v>1679</v>
      </c>
      <c r="L129" t="s" s="2949">
        <v>305</v>
      </c>
      <c r="M129" t="s" s="2950">
        <v>1615</v>
      </c>
      <c r="N129" s="2951" t="s">
        <v>3875</v>
      </c>
      <c r="O129" s="2952" t="s">
        <v>3874</v>
      </c>
      <c r="P129" s="141"/>
      <c r="Q129" s="142">
        <f>SUM(R129:AQ129)</f>
      </c>
      <c r="R129" s="143"/>
      <c r="S129" s="143"/>
      <c r="T129" s="2953" t="n">
        <v>300.0</v>
      </c>
      <c r="U129" s="143"/>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2">
        <f>SUM(AS129:AV129)</f>
      </c>
      <c r="AS129" s="143"/>
      <c r="AT129" s="143"/>
      <c r="AU129" s="143"/>
      <c r="AV129" s="143"/>
      <c r="AW129" s="142">
        <f>SUM(AX129:BI129)</f>
      </c>
      <c r="AX129" s="143"/>
      <c r="AY129" s="143"/>
      <c r="AZ129" s="143"/>
      <c r="BA129" s="143"/>
      <c r="BB129" s="143"/>
      <c r="BC129" s="143"/>
      <c r="BD129" s="143"/>
      <c r="BE129" s="143"/>
      <c r="BF129" s="143"/>
      <c r="BG129" s="143"/>
      <c r="BH129" s="143"/>
      <c r="BI129" s="143"/>
      <c r="BJ129" s="142"/>
      <c r="BK129" s="143"/>
      <c r="BL129" s="143"/>
      <c r="BM129" s="143"/>
      <c r="BN129" s="143"/>
      <c r="BO129" s="143"/>
      <c r="BP129" s="143"/>
      <c r="BQ129" s="142"/>
      <c r="BR129" s="143"/>
      <c r="BS129" s="143"/>
      <c r="BT129" s="142">
        <f>SUM(BU129:BW129)</f>
      </c>
      <c r="BU129" s="143"/>
      <c r="BV129" s="143"/>
      <c r="BW129" s="143"/>
      <c r="BX129" s="142">
        <f>SUM(BY129:CD129)</f>
      </c>
      <c r="BY129" s="143"/>
      <c r="BZ129" s="143"/>
      <c r="CA129" s="143"/>
      <c r="CB129" s="143"/>
      <c r="CC129" s="143"/>
      <c r="CD129" s="143"/>
      <c r="CE129" s="142"/>
      <c r="CF129" s="143"/>
      <c r="CG129" s="143"/>
      <c r="CH129" s="143"/>
      <c r="CI129" s="143"/>
      <c r="CJ129" s="143"/>
      <c r="CK129" s="142">
        <f>SUM(CL129:CN129)</f>
      </c>
      <c r="CL129" s="143"/>
      <c r="CM129" s="143"/>
      <c r="CN129" s="143"/>
      <c r="CO129" s="142">
        <f>SUM(CP129:CT129)</f>
      </c>
      <c r="CP129" s="143"/>
      <c r="CQ129" s="143"/>
      <c r="CR129" s="143"/>
      <c r="CS129" s="143"/>
      <c r="CT129" s="143"/>
      <c r="CU129" s="142"/>
      <c r="CV129" s="143"/>
      <c r="CW129" s="143"/>
      <c r="CX129" s="143"/>
      <c r="CY129" s="142"/>
      <c r="CZ129" s="143"/>
      <c r="DA129" s="143"/>
      <c r="DB129" s="143"/>
      <c r="DC129" s="143"/>
      <c r="DD129" s="143"/>
      <c r="DE129" s="143"/>
      <c r="DF129" s="143"/>
      <c r="DG129" s="142">
        <f>SUM(DH129:DH129)</f>
      </c>
      <c r="DH129" s="143"/>
      <c r="DI129" s="142"/>
      <c r="DJ129" s="143"/>
      <c r="DK129" s="142">
        <f>SUM(DL129:DQ129)</f>
      </c>
      <c r="DL129" s="143"/>
      <c r="DM129" s="143"/>
      <c r="DN129" s="143"/>
      <c r="DO129" s="143"/>
      <c r="DP129" s="143"/>
      <c r="DQ129" s="143"/>
      <c r="DR129" s="143"/>
      <c r="DS129" s="143"/>
      <c r="DT129" s="143"/>
      <c r="DU129" s="143"/>
      <c r="DV129" s="143"/>
      <c r="DW129" s="143"/>
      <c r="DX129" s="142"/>
      <c r="DY129" s="143"/>
      <c r="DZ129" s="142"/>
      <c r="EA129" s="143"/>
      <c r="EB129" s="143"/>
      <c r="EC129" s="142"/>
      <c r="ED129" s="143"/>
      <c r="EF129" s="143"/>
      <c r="EG129" s="142">
        <f>SUM(EH129:EQ129)</f>
      </c>
      <c r="EH129" s="143"/>
      <c r="EI129" s="143"/>
      <c r="EJ129" s="143"/>
      <c r="EK129" s="143"/>
      <c r="EL129" s="143"/>
      <c r="EM129" s="143"/>
      <c r="EN129" s="143"/>
      <c r="EO129" s="143"/>
      <c r="EP129" s="143"/>
      <c r="EQ129" s="143"/>
      <c r="ER129" s="142">
        <f>SUM(ES129:ET129)</f>
      </c>
      <c r="ES129" s="143"/>
      <c r="ET129" s="143"/>
      <c r="EU129" s="144"/>
      <c r="FB129" s="146"/>
      <c r="FC129" s="146" cm="1">
        <f t="array" ref="FC129">ROW()-ROW(New[#Headers])</f>
        <v>123</v>
      </c>
    </row>
    <row r="130" spans="2:159" s="139" customFormat="1" ht="10.5" x14ac:dyDescent="0.2">
      <c r="B130" s="133"/>
      <c r="C130" s="2954" t="s">
        <v>647</v>
      </c>
      <c r="D130" t="s" s="2955">
        <v>648</v>
      </c>
      <c r="E130" s="2956" t="s">
        <v>305</v>
      </c>
      <c r="F130" t="s" s="2957">
        <v>1618</v>
      </c>
      <c r="G130" t="s" s="2958">
        <v>305</v>
      </c>
      <c r="H130" s="2959" t="s">
        <v>55</v>
      </c>
      <c r="I130" t="s" s="2960">
        <v>41</v>
      </c>
      <c r="J130" t="s" s="2961">
        <v>64</v>
      </c>
      <c r="K130" t="s" s="2962">
        <v>1701</v>
      </c>
      <c r="L130" t="s" s="2963">
        <v>305</v>
      </c>
      <c r="M130" t="s" s="2964">
        <v>305</v>
      </c>
      <c r="N130" s="2965" t="s">
        <v>3873</v>
      </c>
      <c r="O130" s="2966" t="s">
        <v>3871</v>
      </c>
      <c r="P130" s="141"/>
      <c r="Q130" s="142">
        <f>SUM(R130:AQ130)</f>
      </c>
      <c r="R130" s="143"/>
      <c r="S130" s="143"/>
      <c r="T130" s="143"/>
      <c r="U130" s="143"/>
      <c r="V130" s="143"/>
      <c r="W130" s="143"/>
      <c r="X130" s="143"/>
      <c r="Y130" s="143"/>
      <c r="Z130" s="143"/>
      <c r="AA130" s="143"/>
      <c r="AB130" s="143"/>
      <c r="AC130" s="143"/>
      <c r="AD130" s="143"/>
      <c r="AE130" s="143"/>
      <c r="AF130" s="143"/>
      <c r="AG130" s="143"/>
      <c r="AH130" s="143"/>
      <c r="AI130" s="143"/>
      <c r="AJ130" s="143"/>
      <c r="AK130" s="143"/>
      <c r="AL130" s="2967" t="n">
        <v>300.0</v>
      </c>
      <c r="AM130" s="143"/>
      <c r="AN130" s="143"/>
      <c r="AO130" s="143"/>
      <c r="AP130" s="143"/>
      <c r="AQ130" s="143"/>
      <c r="AR130" s="142">
        <f>SUM(AS130:AV130)</f>
      </c>
      <c r="AS130" s="143"/>
      <c r="AT130" s="143"/>
      <c r="AU130" s="143"/>
      <c r="AV130" s="143"/>
      <c r="AW130" s="142">
        <f>SUM(AX130:BI130)</f>
      </c>
      <c r="AX130" s="143"/>
      <c r="AY130" s="143"/>
      <c r="AZ130" s="143"/>
      <c r="BA130" s="143"/>
      <c r="BB130" s="143"/>
      <c r="BC130" s="143"/>
      <c r="BD130" s="143"/>
      <c r="BE130" s="143"/>
      <c r="BF130" s="143"/>
      <c r="BG130" s="143"/>
      <c r="BH130" s="143"/>
      <c r="BI130" s="143"/>
      <c r="BJ130" s="142"/>
      <c r="BK130" s="143"/>
      <c r="BL130" s="143"/>
      <c r="BM130" s="143"/>
      <c r="BN130" s="143"/>
      <c r="BO130" s="143"/>
      <c r="BP130" s="143"/>
      <c r="BQ130" s="142"/>
      <c r="BR130" s="143"/>
      <c r="BS130" s="143"/>
      <c r="BT130" s="142">
        <f>SUM(BU130:BW130)</f>
      </c>
      <c r="BU130" s="143"/>
      <c r="BV130" s="143"/>
      <c r="BW130" s="143"/>
      <c r="BX130" s="142">
        <f>SUM(BY130:CD130)</f>
      </c>
      <c r="BY130" s="143"/>
      <c r="BZ130" s="143"/>
      <c r="CA130" s="143"/>
      <c r="CB130" s="143"/>
      <c r="CC130" s="143"/>
      <c r="CD130" s="143"/>
      <c r="CE130" s="142"/>
      <c r="CF130" s="143"/>
      <c r="CG130" s="143"/>
      <c r="CH130" s="143"/>
      <c r="CI130" s="143"/>
      <c r="CJ130" s="143"/>
      <c r="CK130" s="142">
        <f>SUM(CL130:CN130)</f>
      </c>
      <c r="CL130" s="143"/>
      <c r="CM130" s="143"/>
      <c r="CN130" s="143"/>
      <c r="CO130" s="142">
        <f>SUM(CP130:CT130)</f>
      </c>
      <c r="CP130" s="143"/>
      <c r="CQ130" s="143"/>
      <c r="CR130" s="143"/>
      <c r="CS130" s="143"/>
      <c r="CT130" s="143"/>
      <c r="CU130" s="142"/>
      <c r="CV130" s="143"/>
      <c r="CW130" s="143"/>
      <c r="CX130" s="143"/>
      <c r="CY130" s="142"/>
      <c r="CZ130" s="143"/>
      <c r="DA130" s="143"/>
      <c r="DB130" s="143"/>
      <c r="DC130" s="143"/>
      <c r="DD130" s="143"/>
      <c r="DE130" s="143"/>
      <c r="DF130" s="143"/>
      <c r="DG130" s="142">
        <f>SUM(DH130:DH130)</f>
      </c>
      <c r="DH130" s="143"/>
      <c r="DI130" s="142"/>
      <c r="DJ130" s="143"/>
      <c r="DK130" s="142">
        <f>SUM(DL130:DQ130)</f>
      </c>
      <c r="DL130" s="143"/>
      <c r="DM130" s="143"/>
      <c r="DN130" s="143"/>
      <c r="DO130" s="143"/>
      <c r="DP130" s="143"/>
      <c r="DQ130" s="143"/>
      <c r="DR130" s="143"/>
      <c r="DS130" s="143"/>
      <c r="DT130" s="143"/>
      <c r="DU130" s="143"/>
      <c r="DV130" s="143"/>
      <c r="DW130" s="143"/>
      <c r="DX130" s="142"/>
      <c r="DY130" s="143"/>
      <c r="DZ130" s="142"/>
      <c r="EA130" s="143"/>
      <c r="EB130" s="143"/>
      <c r="EC130" s="142"/>
      <c r="ED130" s="143"/>
      <c r="EF130" s="143"/>
      <c r="EG130" s="142">
        <f>SUM(EH130:EQ130)</f>
      </c>
      <c r="EH130" s="143"/>
      <c r="EI130" s="143"/>
      <c r="EJ130" s="143"/>
      <c r="EK130" s="143"/>
      <c r="EL130" s="143"/>
      <c r="EM130" s="143"/>
      <c r="EN130" s="143"/>
      <c r="EO130" s="143"/>
      <c r="EP130" s="143"/>
      <c r="EQ130" s="143"/>
      <c r="ER130" s="142">
        <f>SUM(ES130:ET130)</f>
      </c>
      <c r="ES130" s="143"/>
      <c r="ET130" s="143"/>
      <c r="EU130" s="144"/>
      <c r="FB130" s="146"/>
      <c r="FC130" s="146" cm="1">
        <f t="array" ref="FC130">ROW()-ROW(New[#Headers])</f>
        <v>124</v>
      </c>
    </row>
    <row r="131" spans="2:159" s="139" customFormat="1" ht="10.5" x14ac:dyDescent="0.2">
      <c r="B131" s="133"/>
      <c r="C131" s="2968" t="s">
        <v>653</v>
      </c>
      <c r="D131" t="s" s="2969">
        <v>654</v>
      </c>
      <c r="E131" s="2970" t="s">
        <v>13</v>
      </c>
      <c r="F131" t="s" s="2971">
        <v>898</v>
      </c>
      <c r="G131" t="s" s="2972">
        <v>1597</v>
      </c>
      <c r="H131" s="2973" t="s">
        <v>46</v>
      </c>
      <c r="I131" t="s" s="2974">
        <v>22</v>
      </c>
      <c r="J131" t="s" s="2975">
        <v>71</v>
      </c>
      <c r="K131" t="s" s="2976">
        <v>791</v>
      </c>
      <c r="L131" t="s" s="2977">
        <v>779</v>
      </c>
      <c r="M131" t="s" s="2978">
        <v>305</v>
      </c>
      <c r="N131" s="2979" t="s">
        <v>3873</v>
      </c>
      <c r="O131" s="2980" t="s">
        <v>3871</v>
      </c>
      <c r="P131" s="141"/>
      <c r="Q131" s="142">
        <f>SUM(R131:AQ131)</f>
      </c>
      <c r="R131" s="143"/>
      <c r="S131" s="143"/>
      <c r="T131" s="143"/>
      <c r="U131" s="143"/>
      <c r="V131" s="143"/>
      <c r="W131" s="143"/>
      <c r="X131" s="143"/>
      <c r="Y131" s="143"/>
      <c r="Z131" s="143"/>
      <c r="AA131" s="143"/>
      <c r="AB131" s="143"/>
      <c r="AC131" s="143"/>
      <c r="AD131" s="143"/>
      <c r="AE131" s="143"/>
      <c r="AF131" s="143"/>
      <c r="AG131" s="143"/>
      <c r="AH131" s="143"/>
      <c r="AI131" s="2981" t="n">
        <v>820.0</v>
      </c>
      <c r="AJ131" s="143"/>
      <c r="AK131" s="143"/>
      <c r="AL131" s="143"/>
      <c r="AM131" s="143"/>
      <c r="AN131" s="143"/>
      <c r="AO131" s="143"/>
      <c r="AP131" s="143"/>
      <c r="AQ131" s="143"/>
      <c r="AR131" s="142">
        <f>SUM(AS131:AV131)</f>
      </c>
      <c r="AS131" s="143"/>
      <c r="AT131" s="143"/>
      <c r="AU131" s="143"/>
      <c r="AV131" s="143"/>
      <c r="AW131" s="142">
        <f>SUM(AX131:BI131)</f>
      </c>
      <c r="AX131" s="143"/>
      <c r="AY131" s="143"/>
      <c r="AZ131" s="143"/>
      <c r="BA131" s="143"/>
      <c r="BB131" s="143"/>
      <c r="BC131" s="143"/>
      <c r="BD131" s="143"/>
      <c r="BE131" s="143"/>
      <c r="BF131" s="143"/>
      <c r="BG131" s="143"/>
      <c r="BH131" s="143"/>
      <c r="BI131" s="143"/>
      <c r="BJ131" s="142"/>
      <c r="BK131" s="143"/>
      <c r="BL131" s="143"/>
      <c r="BM131" s="143"/>
      <c r="BN131" s="143"/>
      <c r="BO131" s="143"/>
      <c r="BP131" s="143"/>
      <c r="BQ131" s="142"/>
      <c r="BR131" s="143"/>
      <c r="BS131" s="143"/>
      <c r="BT131" s="142">
        <f>SUM(BU131:BW131)</f>
      </c>
      <c r="BU131" s="143"/>
      <c r="BV131" s="143"/>
      <c r="BW131" s="143"/>
      <c r="BX131" s="142">
        <f>SUM(BY131:CD131)</f>
      </c>
      <c r="BY131" s="143"/>
      <c r="BZ131" s="143"/>
      <c r="CA131" s="143"/>
      <c r="CB131" s="143"/>
      <c r="CC131" s="143"/>
      <c r="CD131" s="143"/>
      <c r="CE131" s="142"/>
      <c r="CF131" s="143"/>
      <c r="CG131" s="143"/>
      <c r="CH131" s="143"/>
      <c r="CI131" s="143"/>
      <c r="CJ131" s="143"/>
      <c r="CK131" s="142">
        <f>SUM(CL131:CN131)</f>
      </c>
      <c r="CL131" s="143"/>
      <c r="CM131" s="143"/>
      <c r="CN131" s="143"/>
      <c r="CO131" s="142">
        <f>SUM(CP131:CT131)</f>
      </c>
      <c r="CP131" s="143"/>
      <c r="CQ131" s="143"/>
      <c r="CR131" s="143"/>
      <c r="CS131" s="143"/>
      <c r="CT131" s="143"/>
      <c r="CU131" s="142"/>
      <c r="CV131" s="143"/>
      <c r="CW131" s="143"/>
      <c r="CX131" s="143"/>
      <c r="CY131" s="142"/>
      <c r="CZ131" s="143"/>
      <c r="DA131" s="143"/>
      <c r="DB131" s="143"/>
      <c r="DC131" s="143"/>
      <c r="DD131" s="143"/>
      <c r="DE131" s="143"/>
      <c r="DF131" s="143"/>
      <c r="DG131" s="142">
        <f>SUM(DH131:DH131)</f>
      </c>
      <c r="DH131" s="143"/>
      <c r="DI131" s="142"/>
      <c r="DJ131" s="143"/>
      <c r="DK131" s="142">
        <f>SUM(DL131:DQ131)</f>
      </c>
      <c r="DL131" s="143"/>
      <c r="DM131" s="143"/>
      <c r="DN131" s="143"/>
      <c r="DO131" s="143"/>
      <c r="DP131" s="143"/>
      <c r="DQ131" s="143"/>
      <c r="DR131" s="143"/>
      <c r="DS131" s="143"/>
      <c r="DT131" s="143"/>
      <c r="DU131" s="143"/>
      <c r="DV131" s="143"/>
      <c r="DW131" s="143"/>
      <c r="DX131" s="142"/>
      <c r="DY131" s="143"/>
      <c r="DZ131" s="142"/>
      <c r="EA131" s="143"/>
      <c r="EB131" s="143"/>
      <c r="EC131" s="142"/>
      <c r="ED131" s="143"/>
      <c r="EF131" s="143"/>
      <c r="EG131" s="142">
        <f>SUM(EH131:EQ131)</f>
      </c>
      <c r="EH131" s="143"/>
      <c r="EI131" s="143"/>
      <c r="EJ131" s="143"/>
      <c r="EK131" s="143"/>
      <c r="EL131" s="143"/>
      <c r="EM131" s="143"/>
      <c r="EN131" s="143"/>
      <c r="EO131" s="143"/>
      <c r="EP131" s="143"/>
      <c r="EQ131" s="143"/>
      <c r="ER131" s="142">
        <f>SUM(ES131:ET131)</f>
      </c>
      <c r="ES131" s="143"/>
      <c r="ET131" s="143"/>
      <c r="EU131" s="144"/>
      <c r="FB131" s="146"/>
      <c r="FC131" s="146" cm="1">
        <f t="array" ref="FC131">ROW()-ROW(New[#Headers])</f>
        <v>125</v>
      </c>
    </row>
    <row r="132" spans="2:159" s="139" customFormat="1" ht="10.5" x14ac:dyDescent="0.2">
      <c r="B132" s="133"/>
      <c r="C132" s="2982" t="s">
        <v>596</v>
      </c>
      <c r="D132" t="s" s="2983">
        <v>597</v>
      </c>
      <c r="E132" s="2984" t="s">
        <v>13</v>
      </c>
      <c r="F132" t="s" s="2985">
        <v>750</v>
      </c>
      <c r="G132" t="s" s="2986">
        <v>1597</v>
      </c>
      <c r="H132" s="2987" t="s">
        <v>46</v>
      </c>
      <c r="I132" t="s" s="2988">
        <v>41</v>
      </c>
      <c r="J132" t="s" s="2989">
        <v>64</v>
      </c>
      <c r="K132" t="s" s="2990">
        <v>1679</v>
      </c>
      <c r="L132" t="s" s="2991">
        <v>934</v>
      </c>
      <c r="M132" t="s" s="2992">
        <v>305</v>
      </c>
      <c r="N132" s="2993" t="s">
        <v>3867</v>
      </c>
      <c r="O132" s="2994" t="s">
        <v>3871</v>
      </c>
      <c r="P132" s="141"/>
      <c r="Q132" s="142">
        <f>SUM(R132:AQ132)</f>
      </c>
      <c r="R132" s="143"/>
      <c r="S132" s="143"/>
      <c r="T132" s="2995" t="n">
        <v>170.0</v>
      </c>
      <c r="U132" s="143"/>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2">
        <f>SUM(AS132:AV132)</f>
      </c>
      <c r="AS132" s="143"/>
      <c r="AT132" s="143"/>
      <c r="AU132" s="143"/>
      <c r="AV132" s="143"/>
      <c r="AW132" s="142">
        <f>SUM(AX132:BI132)</f>
      </c>
      <c r="AX132" s="143"/>
      <c r="AY132" s="143"/>
      <c r="AZ132" s="143"/>
      <c r="BA132" s="143"/>
      <c r="BB132" s="143"/>
      <c r="BC132" s="143"/>
      <c r="BD132" s="143"/>
      <c r="BE132" s="143"/>
      <c r="BF132" s="143"/>
      <c r="BG132" s="143"/>
      <c r="BH132" s="143"/>
      <c r="BI132" s="143"/>
      <c r="BJ132" s="142"/>
      <c r="BK132" s="143"/>
      <c r="BL132" s="143"/>
      <c r="BM132" s="143"/>
      <c r="BN132" s="143"/>
      <c r="BO132" s="143"/>
      <c r="BP132" s="143"/>
      <c r="BQ132" s="142"/>
      <c r="BR132" s="143"/>
      <c r="BS132" s="143"/>
      <c r="BT132" s="142">
        <f>SUM(BU132:BW132)</f>
      </c>
      <c r="BU132" s="143"/>
      <c r="BV132" s="143"/>
      <c r="BW132" s="143"/>
      <c r="BX132" s="142">
        <f>SUM(BY132:CD132)</f>
      </c>
      <c r="BY132" s="143"/>
      <c r="BZ132" s="143"/>
      <c r="CA132" s="143"/>
      <c r="CB132" s="143"/>
      <c r="CC132" s="143"/>
      <c r="CD132" s="143"/>
      <c r="CE132" s="142"/>
      <c r="CF132" s="143"/>
      <c r="CG132" s="143"/>
      <c r="CH132" s="143"/>
      <c r="CI132" s="143"/>
      <c r="CJ132" s="143"/>
      <c r="CK132" s="142">
        <f>SUM(CL132:CN132)</f>
      </c>
      <c r="CL132" s="143"/>
      <c r="CM132" s="143"/>
      <c r="CN132" s="143"/>
      <c r="CO132" s="142">
        <f>SUM(CP132:CT132)</f>
      </c>
      <c r="CP132" s="143"/>
      <c r="CQ132" s="143"/>
      <c r="CR132" s="143"/>
      <c r="CS132" s="143"/>
      <c r="CT132" s="143"/>
      <c r="CU132" s="142"/>
      <c r="CV132" s="143"/>
      <c r="CW132" s="143"/>
      <c r="CX132" s="143"/>
      <c r="CY132" s="142"/>
      <c r="CZ132" s="143"/>
      <c r="DA132" s="143"/>
      <c r="DB132" s="143"/>
      <c r="DC132" s="143"/>
      <c r="DD132" s="143"/>
      <c r="DE132" s="143"/>
      <c r="DF132" s="143"/>
      <c r="DG132" s="142">
        <f>SUM(DH132:DH132)</f>
      </c>
      <c r="DH132" s="143"/>
      <c r="DI132" s="142"/>
      <c r="DJ132" s="143"/>
      <c r="DK132" s="142">
        <f>SUM(DL132:DQ132)</f>
      </c>
      <c r="DL132" s="143"/>
      <c r="DM132" s="143"/>
      <c r="DN132" s="143"/>
      <c r="DO132" s="143"/>
      <c r="DP132" s="143"/>
      <c r="DQ132" s="143"/>
      <c r="DR132" s="143"/>
      <c r="DS132" s="143"/>
      <c r="DT132" s="143"/>
      <c r="DU132" s="143"/>
      <c r="DV132" s="143"/>
      <c r="DW132" s="143"/>
      <c r="DX132" s="142"/>
      <c r="DY132" s="143"/>
      <c r="DZ132" s="142"/>
      <c r="EA132" s="143"/>
      <c r="EB132" s="143"/>
      <c r="EC132" s="142"/>
      <c r="ED132" s="143"/>
      <c r="EF132" s="143"/>
      <c r="EG132" s="142">
        <f>SUM(EH132:EQ132)</f>
      </c>
      <c r="EH132" s="143"/>
      <c r="EI132" s="143"/>
      <c r="EJ132" s="143"/>
      <c r="EK132" s="143"/>
      <c r="EL132" s="143"/>
      <c r="EM132" s="143"/>
      <c r="EN132" s="143"/>
      <c r="EO132" s="143"/>
      <c r="EP132" s="143"/>
      <c r="EQ132" s="143"/>
      <c r="ER132" s="142">
        <f>SUM(ES132:ET132)</f>
      </c>
      <c r="ES132" s="143"/>
      <c r="ET132" s="143"/>
      <c r="EU132" s="144"/>
      <c r="FB132" s="146"/>
      <c r="FC132" s="146" cm="1">
        <f t="array" ref="FC132">ROW()-ROW(New[#Headers])</f>
        <v>126</v>
      </c>
    </row>
    <row r="133" spans="2:159" s="139" customFormat="1" ht="10.5" x14ac:dyDescent="0.2">
      <c r="B133" s="133"/>
      <c r="C133" s="2996" t="s">
        <v>1669</v>
      </c>
      <c r="D133" t="s" s="2997">
        <v>544</v>
      </c>
      <c r="E133" s="2998" t="s">
        <v>35</v>
      </c>
      <c r="F133" t="s" s="2999">
        <v>810</v>
      </c>
      <c r="G133" t="s" s="3000">
        <v>305</v>
      </c>
      <c r="H133" s="3001" t="s">
        <v>305</v>
      </c>
      <c r="I133" t="s" s="3002">
        <v>41</v>
      </c>
      <c r="J133" t="s" s="3003">
        <v>71</v>
      </c>
      <c r="K133" t="s" s="3004">
        <v>880</v>
      </c>
      <c r="L133" t="s" s="3005">
        <v>779</v>
      </c>
      <c r="M133" t="s" s="3006">
        <v>305</v>
      </c>
      <c r="N133" s="3007" t="s">
        <v>3867</v>
      </c>
      <c r="O133" s="3008" t="s">
        <v>3868</v>
      </c>
      <c r="P133" s="141"/>
      <c r="Q133" s="142">
        <f>SUM(R133:AQ133)</f>
      </c>
      <c r="R133" s="143"/>
      <c r="S133" s="143"/>
      <c r="T133" s="143"/>
      <c r="U133" s="143"/>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2">
        <f>SUM(AS133:AV133)</f>
      </c>
      <c r="AS133" s="143"/>
      <c r="AT133" s="143"/>
      <c r="AU133" s="143"/>
      <c r="AV133" s="143"/>
      <c r="AW133" s="142">
        <f>SUM(AX133:BI133)</f>
      </c>
      <c r="AX133" s="143"/>
      <c r="AY133" s="143"/>
      <c r="AZ133" s="143"/>
      <c r="BA133" s="143"/>
      <c r="BB133" s="143"/>
      <c r="BC133" s="143"/>
      <c r="BD133" s="143"/>
      <c r="BE133" s="143"/>
      <c r="BF133" s="143"/>
      <c r="BG133" s="143"/>
      <c r="BH133" s="143"/>
      <c r="BI133" s="143"/>
      <c r="BJ133" s="142"/>
      <c r="BK133" s="143"/>
      <c r="BL133" s="143"/>
      <c r="BM133" s="143"/>
      <c r="BN133" s="143"/>
      <c r="BO133" s="143"/>
      <c r="BP133" s="143"/>
      <c r="BQ133" s="142"/>
      <c r="BR133" s="143"/>
      <c r="BS133" s="143"/>
      <c r="BT133" s="142">
        <f>SUM(BU133:BW133)</f>
      </c>
      <c r="BU133" s="143"/>
      <c r="BV133" s="143"/>
      <c r="BW133" s="143"/>
      <c r="BX133" s="142">
        <f>SUM(BY133:CD133)</f>
      </c>
      <c r="BY133" s="143"/>
      <c r="BZ133" s="143"/>
      <c r="CA133" s="143"/>
      <c r="CB133" s="143"/>
      <c r="CC133" s="143"/>
      <c r="CD133" s="143"/>
      <c r="CE133" s="142"/>
      <c r="CF133" s="143"/>
      <c r="CG133" s="143"/>
      <c r="CH133" s="143"/>
      <c r="CI133" s="143"/>
      <c r="CJ133" s="143"/>
      <c r="CK133" s="142">
        <f>SUM(CL133:CN133)</f>
      </c>
      <c r="CL133" s="143"/>
      <c r="CM133" s="143"/>
      <c r="CN133" s="143"/>
      <c r="CO133" s="142">
        <f>SUM(CP133:CT133)</f>
      </c>
      <c r="CP133" s="143"/>
      <c r="CQ133" s="143"/>
      <c r="CR133" s="143"/>
      <c r="CS133" s="143"/>
      <c r="CT133" s="143"/>
      <c r="CU133" s="142"/>
      <c r="CV133" s="143"/>
      <c r="CW133" s="143"/>
      <c r="CX133" s="143"/>
      <c r="CY133" s="142"/>
      <c r="CZ133" s="143"/>
      <c r="DA133" s="143"/>
      <c r="DB133" s="143"/>
      <c r="DC133" s="143"/>
      <c r="DD133" s="143"/>
      <c r="DE133" s="143"/>
      <c r="DF133" s="143"/>
      <c r="DG133" s="142">
        <f>SUM(DH133:DH133)</f>
      </c>
      <c r="DH133" s="143"/>
      <c r="DI133" s="142"/>
      <c r="DJ133" s="143"/>
      <c r="DK133" s="142">
        <f>SUM(DL133:DQ133)</f>
      </c>
      <c r="DL133" s="143"/>
      <c r="DM133" s="143"/>
      <c r="DN133" s="143"/>
      <c r="DO133" s="143"/>
      <c r="DP133" s="143"/>
      <c r="DQ133" s="143"/>
      <c r="DR133" s="143"/>
      <c r="DS133" s="143"/>
      <c r="DT133" s="143"/>
      <c r="DU133" s="143"/>
      <c r="DV133" s="143"/>
      <c r="DW133" s="143"/>
      <c r="DX133" s="142"/>
      <c r="DY133" s="143"/>
      <c r="DZ133" s="142"/>
      <c r="EA133" s="143"/>
      <c r="EB133" s="143"/>
      <c r="EC133" s="142"/>
      <c r="ED133" s="143"/>
      <c r="EF133" s="143"/>
      <c r="EG133" s="142">
        <f>SUM(EH133:EQ133)</f>
      </c>
      <c r="EH133" s="143"/>
      <c r="EI133" s="143"/>
      <c r="EJ133" s="143"/>
      <c r="EK133" s="143"/>
      <c r="EL133" s="143"/>
      <c r="EM133" s="143"/>
      <c r="EN133" s="143"/>
      <c r="EO133" s="143"/>
      <c r="EP133" s="143"/>
      <c r="EQ133" s="143"/>
      <c r="ER133" s="142">
        <f>SUM(ES133:ET133)</f>
      </c>
      <c r="ES133" s="143"/>
      <c r="ET133" s="143"/>
      <c r="EU133" s="144"/>
      <c r="FB133" s="146"/>
      <c r="FC133" s="146" cm="1">
        <f t="array" ref="FC133">ROW()-ROW(New[#Headers])</f>
        <v>127</v>
      </c>
    </row>
    <row r="134" spans="2:159" s="139" customFormat="1" ht="10.5" x14ac:dyDescent="0.2">
      <c r="B134" s="133"/>
      <c r="C134" s="3055" t="s">
        <v>608</v>
      </c>
      <c r="D134" t="s" s="3056">
        <v>609</v>
      </c>
      <c r="E134" s="3057" t="s">
        <v>13</v>
      </c>
      <c r="F134" t="s" s="3058">
        <v>1687</v>
      </c>
      <c r="G134" t="s" s="3059">
        <v>1597</v>
      </c>
      <c r="H134" s="3060" t="s">
        <v>46</v>
      </c>
      <c r="I134" t="s" s="3061">
        <v>41</v>
      </c>
      <c r="J134" t="s" s="3062">
        <v>64</v>
      </c>
      <c r="K134" t="s" s="3063">
        <v>1232</v>
      </c>
      <c r="L134" t="s" s="3064">
        <v>1285</v>
      </c>
      <c r="M134" t="s" s="3065">
        <v>305</v>
      </c>
      <c r="N134" s="3066" t="s">
        <v>3873</v>
      </c>
      <c r="O134" s="3067" t="s">
        <v>3871</v>
      </c>
      <c r="P134" s="141"/>
      <c r="Q134" s="142">
        <f>SUM(R134:AQ134)</f>
      </c>
      <c r="R134" s="143"/>
      <c r="S134" s="143"/>
      <c r="T134" s="143"/>
      <c r="U134" s="143"/>
      <c r="V134" s="143"/>
      <c r="W134" s="143"/>
      <c r="X134" s="143"/>
      <c r="Y134" s="143"/>
      <c r="Z134" s="143"/>
      <c r="AA134" s="143"/>
      <c r="AB134" s="143"/>
      <c r="AC134" s="143"/>
      <c r="AD134" s="143"/>
      <c r="AE134" s="143"/>
      <c r="AF134" s="143"/>
      <c r="AG134" s="143"/>
      <c r="AH134" s="143"/>
      <c r="AI134" s="143"/>
      <c r="AJ134" s="143"/>
      <c r="AK134" s="3068" t="n">
        <v>485.0</v>
      </c>
      <c r="AL134" s="143"/>
      <c r="AM134" s="143"/>
      <c r="AN134" s="143"/>
      <c r="AO134" s="143"/>
      <c r="AP134" s="143"/>
      <c r="AQ134" s="143"/>
      <c r="AR134" s="142">
        <f>SUM(AS134:AV134)</f>
      </c>
      <c r="AS134" s="143"/>
      <c r="AT134" s="143"/>
      <c r="AU134" s="143"/>
      <c r="AV134" s="143"/>
      <c r="AW134" s="142">
        <f>SUM(AX134:BI134)</f>
      </c>
      <c r="AX134" s="143"/>
      <c r="AY134" s="143"/>
      <c r="AZ134" s="143"/>
      <c r="BA134" s="143"/>
      <c r="BB134" s="143"/>
      <c r="BC134" s="143"/>
      <c r="BD134" s="143"/>
      <c r="BE134" s="143"/>
      <c r="BF134" s="143"/>
      <c r="BG134" s="143"/>
      <c r="BH134" s="143"/>
      <c r="BI134" s="143"/>
      <c r="BJ134" s="142"/>
      <c r="BK134" s="143"/>
      <c r="BL134" s="143"/>
      <c r="BM134" s="143"/>
      <c r="BN134" s="143"/>
      <c r="BO134" s="143"/>
      <c r="BP134" s="143"/>
      <c r="BQ134" s="142"/>
      <c r="BR134" s="143"/>
      <c r="BS134" s="143"/>
      <c r="BT134" s="142">
        <f>SUM(BU134:BW134)</f>
      </c>
      <c r="BU134" s="143"/>
      <c r="BV134" s="143"/>
      <c r="BW134" s="143"/>
      <c r="BX134" s="142">
        <f>SUM(BY134:CD134)</f>
      </c>
      <c r="BY134" s="143"/>
      <c r="BZ134" s="143"/>
      <c r="CA134" s="143"/>
      <c r="CB134" s="143"/>
      <c r="CC134" s="143"/>
      <c r="CD134" s="143"/>
      <c r="CE134" s="142"/>
      <c r="CF134" s="143"/>
      <c r="CG134" s="143"/>
      <c r="CH134" s="143"/>
      <c r="CI134" s="143"/>
      <c r="CJ134" s="143"/>
      <c r="CK134" s="142">
        <f>SUM(CL134:CN134)</f>
      </c>
      <c r="CL134" s="143"/>
      <c r="CM134" s="143"/>
      <c r="CN134" s="143"/>
      <c r="CO134" s="142">
        <f>SUM(CP134:CT134)</f>
      </c>
      <c r="CP134" s="143"/>
      <c r="CQ134" s="143"/>
      <c r="CR134" s="143"/>
      <c r="CS134" s="143"/>
      <c r="CT134" s="143"/>
      <c r="CU134" s="142"/>
      <c r="CV134" s="143"/>
      <c r="CW134" s="143"/>
      <c r="CX134" s="143"/>
      <c r="CY134" s="142"/>
      <c r="CZ134" s="143"/>
      <c r="DA134" s="143"/>
      <c r="DB134" s="143"/>
      <c r="DC134" s="143"/>
      <c r="DD134" s="143"/>
      <c r="DE134" s="143"/>
      <c r="DF134" s="143"/>
      <c r="DG134" s="142">
        <f>SUM(DH134:DH134)</f>
      </c>
      <c r="DH134" s="143"/>
      <c r="DI134" s="142"/>
      <c r="DJ134" s="143"/>
      <c r="DK134" s="142">
        <f>SUM(DL134:DQ134)</f>
      </c>
      <c r="DL134" s="143"/>
      <c r="DM134" s="143"/>
      <c r="DN134" s="143"/>
      <c r="DO134" s="143"/>
      <c r="DP134" s="143"/>
      <c r="DQ134" s="143"/>
      <c r="DR134" s="143"/>
      <c r="DS134" s="143"/>
      <c r="DT134" s="143"/>
      <c r="DU134" s="143"/>
      <c r="DV134" s="143"/>
      <c r="DW134" s="143"/>
      <c r="DX134" s="142"/>
      <c r="DY134" s="143"/>
      <c r="DZ134" s="142"/>
      <c r="EA134" s="143"/>
      <c r="EB134" s="143"/>
      <c r="EC134" s="142"/>
      <c r="ED134" s="143"/>
      <c r="EF134" s="143"/>
      <c r="EG134" s="142">
        <f>SUM(EH134:EQ134)</f>
      </c>
      <c r="EH134" s="143"/>
      <c r="EI134" s="143"/>
      <c r="EJ134" s="143"/>
      <c r="EK134" s="143"/>
      <c r="EL134" s="143"/>
      <c r="EM134" s="143"/>
      <c r="EN134" s="143"/>
      <c r="EO134" s="143"/>
      <c r="EP134" s="143"/>
      <c r="EQ134" s="143"/>
      <c r="ER134" s="142">
        <f>SUM(ES134:ET134)</f>
      </c>
      <c r="ES134" s="143"/>
      <c r="ET134" s="143"/>
      <c r="EU134" s="144"/>
      <c r="FB134" s="146"/>
      <c r="FC134" s="146" cm="1">
        <f t="array" ref="FC134">ROW()-ROW(New[#Headers])</f>
        <v>128</v>
      </c>
    </row>
    <row r="135" spans="2:159" s="139" customFormat="1" ht="10.5" x14ac:dyDescent="0.2">
      <c r="B135" s="133"/>
      <c r="C135" s="3069" t="s">
        <v>309</v>
      </c>
      <c r="D135" t="s" s="3070">
        <v>310</v>
      </c>
      <c r="E135" s="3071" t="s">
        <v>13</v>
      </c>
      <c r="F135" t="s" s="3072">
        <v>766</v>
      </c>
      <c r="G135" t="s" s="3073">
        <v>1597</v>
      </c>
      <c r="H135" s="3074" t="s">
        <v>46</v>
      </c>
      <c r="I135" t="s" s="3075">
        <v>41</v>
      </c>
      <c r="J135" t="s" s="3076">
        <v>68</v>
      </c>
      <c r="K135" t="s" s="3077">
        <v>1059</v>
      </c>
      <c r="L135" t="s" s="3078">
        <v>767</v>
      </c>
      <c r="M135" t="s" s="3079">
        <v>305</v>
      </c>
      <c r="N135" s="3080" t="s">
        <v>3873</v>
      </c>
      <c r="O135" s="3081" t="s">
        <v>3878</v>
      </c>
      <c r="P135" s="141"/>
      <c r="Q135" s="142">
        <f>SUM(R135:AQ135)</f>
      </c>
      <c r="R135" s="143"/>
      <c r="S135" s="143"/>
      <c r="T135" s="143"/>
      <c r="U135" s="143"/>
      <c r="V135" s="143"/>
      <c r="W135" s="143"/>
      <c r="X135" s="143"/>
      <c r="Y135" s="143"/>
      <c r="Z135" s="143"/>
      <c r="AA135" s="143"/>
      <c r="AB135" s="143"/>
      <c r="AC135" s="143"/>
      <c r="AD135" s="143"/>
      <c r="AE135" s="143"/>
      <c r="AF135" s="143"/>
      <c r="AG135" s="3082" t="n">
        <v>920.0</v>
      </c>
      <c r="AH135" s="143"/>
      <c r="AI135" s="143"/>
      <c r="AJ135" s="143"/>
      <c r="AK135" s="143"/>
      <c r="AL135" s="143"/>
      <c r="AM135" s="143"/>
      <c r="AN135" s="143"/>
      <c r="AO135" s="143"/>
      <c r="AP135" s="143"/>
      <c r="AQ135" s="143"/>
      <c r="AR135" s="142">
        <f>SUM(AS135:AV135)</f>
      </c>
      <c r="AS135" s="143"/>
      <c r="AT135" s="143"/>
      <c r="AU135" s="143"/>
      <c r="AV135" s="143"/>
      <c r="AW135" s="142">
        <f>SUM(AX135:BI135)</f>
      </c>
      <c r="AX135" s="143"/>
      <c r="AY135" s="143"/>
      <c r="AZ135" s="143"/>
      <c r="BA135" s="143"/>
      <c r="BB135" s="143"/>
      <c r="BC135" s="143"/>
      <c r="BD135" s="143"/>
      <c r="BE135" s="143"/>
      <c r="BF135" s="143"/>
      <c r="BG135" s="143"/>
      <c r="BH135" s="143"/>
      <c r="BI135" s="143"/>
      <c r="BJ135" s="142"/>
      <c r="BK135" s="143"/>
      <c r="BL135" s="143"/>
      <c r="BM135" s="143"/>
      <c r="BN135" s="143"/>
      <c r="BO135" s="143"/>
      <c r="BP135" s="143"/>
      <c r="BQ135" s="142"/>
      <c r="BR135" s="143"/>
      <c r="BS135" s="143"/>
      <c r="BT135" s="142">
        <f>SUM(BU135:BW135)</f>
      </c>
      <c r="BU135" s="143"/>
      <c r="BV135" s="143"/>
      <c r="BW135" s="143"/>
      <c r="BX135" s="142">
        <f>SUM(BY135:CD135)</f>
      </c>
      <c r="BY135" s="143"/>
      <c r="BZ135" s="143"/>
      <c r="CA135" s="143"/>
      <c r="CB135" s="143"/>
      <c r="CC135" s="143"/>
      <c r="CD135" s="143"/>
      <c r="CE135" s="142"/>
      <c r="CF135" s="143"/>
      <c r="CG135" s="143"/>
      <c r="CH135" s="143"/>
      <c r="CI135" s="143"/>
      <c r="CJ135" s="143"/>
      <c r="CK135" s="142">
        <f>SUM(CL135:CN135)</f>
      </c>
      <c r="CL135" s="143"/>
      <c r="CM135" s="143"/>
      <c r="CN135" s="143"/>
      <c r="CO135" s="142">
        <f>SUM(CP135:CT135)</f>
      </c>
      <c r="CP135" s="143"/>
      <c r="CQ135" s="143"/>
      <c r="CR135" s="143"/>
      <c r="CS135" s="143"/>
      <c r="CT135" s="143"/>
      <c r="CU135" s="142"/>
      <c r="CV135" s="143"/>
      <c r="CW135" s="143"/>
      <c r="CX135" s="143"/>
      <c r="CY135" s="142"/>
      <c r="CZ135" s="143"/>
      <c r="DA135" s="143"/>
      <c r="DB135" s="143"/>
      <c r="DC135" s="143"/>
      <c r="DD135" s="143"/>
      <c r="DE135" s="143"/>
      <c r="DF135" s="143"/>
      <c r="DG135" s="142">
        <f>SUM(DH135:DH135)</f>
      </c>
      <c r="DH135" s="3083" t="n">
        <v>20.0</v>
      </c>
      <c r="DI135" s="142"/>
      <c r="DJ135" s="143"/>
      <c r="DK135" s="142">
        <f>SUM(DL135:DQ135)</f>
      </c>
      <c r="DL135" s="143"/>
      <c r="DM135" s="143"/>
      <c r="DN135" s="143"/>
      <c r="DO135" s="143"/>
      <c r="DP135" s="143"/>
      <c r="DQ135" s="143"/>
      <c r="DR135" s="143"/>
      <c r="DS135" s="143"/>
      <c r="DT135" s="143"/>
      <c r="DU135" s="143"/>
      <c r="DV135" s="143"/>
      <c r="DW135" s="143"/>
      <c r="DX135" s="142"/>
      <c r="DY135" s="143"/>
      <c r="DZ135" s="142"/>
      <c r="EA135" s="143"/>
      <c r="EB135" s="143"/>
      <c r="EC135" s="142"/>
      <c r="ED135" s="143"/>
      <c r="EF135" s="143"/>
      <c r="EG135" s="142">
        <f>SUM(EH135:EQ135)</f>
      </c>
      <c r="EH135" s="143"/>
      <c r="EI135" s="143"/>
      <c r="EJ135" s="143"/>
      <c r="EK135" s="143"/>
      <c r="EL135" s="143"/>
      <c r="EM135" s="143"/>
      <c r="EN135" s="143"/>
      <c r="EO135" s="143"/>
      <c r="EP135" s="143"/>
      <c r="EQ135" s="143"/>
      <c r="ER135" s="142">
        <f>SUM(ES135:ET135)</f>
      </c>
      <c r="ES135" s="143"/>
      <c r="ET135" s="143"/>
      <c r="EU135" s="144"/>
      <c r="FB135" s="146"/>
      <c r="FC135" s="146" cm="1">
        <f t="array" ref="FC135">ROW()-ROW(New[#Headers])</f>
        <v>129</v>
      </c>
    </row>
    <row r="136" spans="2:159" s="139" customFormat="1" ht="10.5" x14ac:dyDescent="0.2">
      <c r="B136" s="133"/>
      <c r="C136" s="3126" t="s">
        <v>401</v>
      </c>
      <c r="D136" t="s" s="3127">
        <v>402</v>
      </c>
      <c r="E136" s="3128" t="s">
        <v>35</v>
      </c>
      <c r="F136" t="s" s="3129">
        <v>766</v>
      </c>
      <c r="G136" t="s" s="3130">
        <v>1597</v>
      </c>
      <c r="H136" s="3131" t="s">
        <v>57</v>
      </c>
      <c r="I136" t="s" s="3132">
        <v>43</v>
      </c>
      <c r="J136" t="s" s="3133">
        <v>68</v>
      </c>
      <c r="K136" t="s" s="3134">
        <v>1567</v>
      </c>
      <c r="L136" t="s" s="3135">
        <v>767</v>
      </c>
      <c r="M136" t="s" s="3136">
        <v>305</v>
      </c>
      <c r="N136" s="3137" t="s">
        <v>3873</v>
      </c>
      <c r="O136" s="3138" t="s">
        <v>3871</v>
      </c>
      <c r="P136" s="141"/>
      <c r="Q136" s="142">
        <f>SUM(R136:AQ136)</f>
      </c>
      <c r="R136" s="143"/>
      <c r="S136" s="143"/>
      <c r="T136" s="143"/>
      <c r="U136" s="143"/>
      <c r="V136" s="143"/>
      <c r="W136" s="143"/>
      <c r="X136" s="143"/>
      <c r="Y136" s="143"/>
      <c r="Z136" s="143"/>
      <c r="AA136" s="143"/>
      <c r="AB136" s="143"/>
      <c r="AC136" s="143"/>
      <c r="AD136" s="143"/>
      <c r="AE136" s="143"/>
      <c r="AF136" s="143"/>
      <c r="AG136" s="3139" t="n">
        <v>459.0</v>
      </c>
      <c r="AH136" s="143"/>
      <c r="AI136" s="143"/>
      <c r="AJ136" s="143"/>
      <c r="AK136" s="143"/>
      <c r="AL136" s="143"/>
      <c r="AM136" s="143"/>
      <c r="AN136" s="143"/>
      <c r="AO136" s="143"/>
      <c r="AP136" s="143"/>
      <c r="AQ136" s="143"/>
      <c r="AR136" s="142">
        <f>SUM(AS136:AV136)</f>
      </c>
      <c r="AS136" s="143"/>
      <c r="AT136" s="143"/>
      <c r="AU136" s="143"/>
      <c r="AV136" s="143"/>
      <c r="AW136" s="142">
        <f>SUM(AX136:BI136)</f>
      </c>
      <c r="AX136" s="143"/>
      <c r="AY136" s="143"/>
      <c r="AZ136" s="143"/>
      <c r="BA136" s="143"/>
      <c r="BB136" s="143"/>
      <c r="BC136" s="143"/>
      <c r="BD136" s="143"/>
      <c r="BE136" s="143"/>
      <c r="BF136" s="143"/>
      <c r="BG136" s="143"/>
      <c r="BH136" s="143"/>
      <c r="BI136" s="143"/>
      <c r="BJ136" s="142"/>
      <c r="BK136" s="143"/>
      <c r="BL136" s="143"/>
      <c r="BM136" s="143"/>
      <c r="BN136" s="143"/>
      <c r="BO136" s="143"/>
      <c r="BP136" s="143"/>
      <c r="BQ136" s="142"/>
      <c r="BR136" s="143"/>
      <c r="BS136" s="143"/>
      <c r="BT136" s="142">
        <f>SUM(BU136:BW136)</f>
      </c>
      <c r="BU136" s="143"/>
      <c r="BV136" s="143"/>
      <c r="BW136" s="143"/>
      <c r="BX136" s="142">
        <f>SUM(BY136:CD136)</f>
      </c>
      <c r="BY136" s="143"/>
      <c r="BZ136" s="143"/>
      <c r="CA136" s="143"/>
      <c r="CB136" s="143"/>
      <c r="CC136" s="143"/>
      <c r="CD136" s="143"/>
      <c r="CE136" s="142"/>
      <c r="CF136" s="143"/>
      <c r="CG136" s="143"/>
      <c r="CH136" s="143"/>
      <c r="CI136" s="143"/>
      <c r="CJ136" s="143"/>
      <c r="CK136" s="142">
        <f>SUM(CL136:CN136)</f>
      </c>
      <c r="CL136" s="143"/>
      <c r="CM136" s="143"/>
      <c r="CN136" s="143"/>
      <c r="CO136" s="142">
        <f>SUM(CP136:CT136)</f>
      </c>
      <c r="CP136" s="143"/>
      <c r="CQ136" s="143"/>
      <c r="CR136" s="143"/>
      <c r="CS136" s="143"/>
      <c r="CT136" s="143"/>
      <c r="CU136" s="142"/>
      <c r="CV136" s="143"/>
      <c r="CW136" s="143"/>
      <c r="CX136" s="143"/>
      <c r="CY136" s="142"/>
      <c r="CZ136" s="143"/>
      <c r="DA136" s="143"/>
      <c r="DB136" s="143"/>
      <c r="DC136" s="143"/>
      <c r="DD136" s="143"/>
      <c r="DE136" s="143"/>
      <c r="DF136" s="143"/>
      <c r="DG136" s="142">
        <f>SUM(DH136:DH136)</f>
      </c>
      <c r="DH136" s="143"/>
      <c r="DI136" s="142"/>
      <c r="DJ136" s="143"/>
      <c r="DK136" s="142">
        <f>SUM(DL136:DQ136)</f>
      </c>
      <c r="DL136" s="143"/>
      <c r="DM136" s="143"/>
      <c r="DN136" s="143"/>
      <c r="DO136" s="143"/>
      <c r="DP136" s="143"/>
      <c r="DQ136" s="143"/>
      <c r="DR136" s="143"/>
      <c r="DS136" s="143"/>
      <c r="DT136" s="143"/>
      <c r="DU136" s="143"/>
      <c r="DV136" s="143"/>
      <c r="DW136" s="143"/>
      <c r="DX136" s="142"/>
      <c r="DY136" s="143"/>
      <c r="DZ136" s="142"/>
      <c r="EA136" s="143"/>
      <c r="EB136" s="143"/>
      <c r="EC136" s="142"/>
      <c r="ED136" s="143"/>
      <c r="EF136" s="143"/>
      <c r="EG136" s="142">
        <f>SUM(EH136:EQ136)</f>
      </c>
      <c r="EH136" s="143"/>
      <c r="EI136" s="143"/>
      <c r="EJ136" s="143"/>
      <c r="EK136" s="143"/>
      <c r="EL136" s="143"/>
      <c r="EM136" s="143"/>
      <c r="EN136" s="143"/>
      <c r="EO136" s="143"/>
      <c r="EP136" s="143"/>
      <c r="EQ136" s="143"/>
      <c r="ER136" s="142">
        <f>SUM(ES136:ET136)</f>
      </c>
      <c r="ES136" s="143"/>
      <c r="ET136" s="143"/>
      <c r="EU136" s="144"/>
      <c r="FB136" s="146"/>
      <c r="FC136" s="146" cm="1">
        <f t="array" ref="FC136">ROW()-ROW(New[#Headers])</f>
        <v>130</v>
      </c>
    </row>
    <row r="137" spans="2:159" s="139" customFormat="1" ht="10.5" x14ac:dyDescent="0.2">
      <c r="B137" s="133"/>
      <c r="C137" s="3140" t="s">
        <v>3808</v>
      </c>
      <c r="D137" t="s" s="3141">
        <v>3809</v>
      </c>
      <c r="E137" s="3142" t="s">
        <v>37</v>
      </c>
      <c r="F137" t="s" s="3143">
        <v>1473</v>
      </c>
      <c r="G137" t="s" s="3144">
        <v>345</v>
      </c>
      <c r="H137" s="3145" t="s">
        <v>46</v>
      </c>
      <c r="I137" t="s" s="3146">
        <v>43</v>
      </c>
      <c r="J137" t="s" s="3147">
        <v>64</v>
      </c>
      <c r="K137" t="s" s="3148">
        <v>839</v>
      </c>
      <c r="L137" t="s" s="3149">
        <v>305</v>
      </c>
      <c r="M137" t="s" s="3150">
        <v>1615</v>
      </c>
      <c r="N137" s="3151" t="s">
        <v>3873</v>
      </c>
      <c r="O137" s="3152" t="s">
        <v>3874</v>
      </c>
      <c r="P137" s="141"/>
      <c r="Q137" s="142">
        <f>SUM(R137:AQ137)</f>
      </c>
      <c r="R137" s="143"/>
      <c r="S137" s="143"/>
      <c r="T137" s="143"/>
      <c r="U137" s="143"/>
      <c r="V137" s="143"/>
      <c r="W137" s="143"/>
      <c r="X137" s="143"/>
      <c r="Y137" s="143"/>
      <c r="Z137" s="143"/>
      <c r="AA137" s="143"/>
      <c r="AB137" s="143"/>
      <c r="AC137" s="143"/>
      <c r="AD137" s="143"/>
      <c r="AE137" s="143"/>
      <c r="AF137" s="143"/>
      <c r="AG137" s="143"/>
      <c r="AH137" s="143"/>
      <c r="AI137" s="143"/>
      <c r="AJ137" s="3153" t="n">
        <v>240.0</v>
      </c>
      <c r="AK137" s="143"/>
      <c r="AL137" s="3154" t="n">
        <v>650.0</v>
      </c>
      <c r="AM137" s="143"/>
      <c r="AN137" s="143"/>
      <c r="AO137" s="143"/>
      <c r="AP137" s="143"/>
      <c r="AQ137" s="143"/>
      <c r="AR137" s="142">
        <f>SUM(AS137:AV137)</f>
      </c>
      <c r="AS137" s="143"/>
      <c r="AT137" s="143"/>
      <c r="AU137" s="143"/>
      <c r="AV137" s="143"/>
      <c r="AW137" s="142">
        <f>SUM(AX137:BI137)</f>
      </c>
      <c r="AX137" s="143"/>
      <c r="AY137" s="143"/>
      <c r="AZ137" s="143"/>
      <c r="BA137" s="143"/>
      <c r="BB137" s="143"/>
      <c r="BC137" s="143"/>
      <c r="BD137" s="143"/>
      <c r="BE137" s="143"/>
      <c r="BF137" s="143"/>
      <c r="BG137" s="143"/>
      <c r="BH137" s="143"/>
      <c r="BI137" s="143"/>
      <c r="BJ137" s="142"/>
      <c r="BK137" s="143"/>
      <c r="BL137" s="143"/>
      <c r="BM137" s="143"/>
      <c r="BN137" s="143"/>
      <c r="BO137" s="143"/>
      <c r="BP137" s="143"/>
      <c r="BQ137" s="142"/>
      <c r="BR137" s="143"/>
      <c r="BS137" s="143"/>
      <c r="BT137" s="142">
        <f>SUM(BU137:BW137)</f>
      </c>
      <c r="BU137" s="143"/>
      <c r="BV137" s="143"/>
      <c r="BW137" s="143"/>
      <c r="BX137" s="142">
        <f>SUM(BY137:CD137)</f>
      </c>
      <c r="BY137" s="143"/>
      <c r="BZ137" s="143"/>
      <c r="CA137" s="143"/>
      <c r="CB137" s="143"/>
      <c r="CC137" s="143"/>
      <c r="CD137" s="143"/>
      <c r="CE137" s="142"/>
      <c r="CF137" s="143"/>
      <c r="CG137" s="143"/>
      <c r="CH137" s="143"/>
      <c r="CI137" s="143"/>
      <c r="CJ137" s="143"/>
      <c r="CK137" s="142">
        <f>SUM(CL137:CN137)</f>
      </c>
      <c r="CL137" s="143"/>
      <c r="CM137" s="143"/>
      <c r="CN137" s="143"/>
      <c r="CO137" s="142">
        <f>SUM(CP137:CT137)</f>
      </c>
      <c r="CP137" s="143"/>
      <c r="CQ137" s="143"/>
      <c r="CR137" s="143"/>
      <c r="CS137" s="143"/>
      <c r="CT137" s="143"/>
      <c r="CU137" s="142"/>
      <c r="CV137" s="143"/>
      <c r="CW137" s="143"/>
      <c r="CX137" s="143"/>
      <c r="CY137" s="142"/>
      <c r="CZ137" s="143"/>
      <c r="DA137" s="143"/>
      <c r="DB137" s="143"/>
      <c r="DC137" s="143"/>
      <c r="DD137" s="143"/>
      <c r="DE137" s="143"/>
      <c r="DF137" s="143"/>
      <c r="DG137" s="142">
        <f>SUM(DH137:DH137)</f>
      </c>
      <c r="DH137" s="3155" t="n">
        <v>100.0</v>
      </c>
      <c r="DI137" s="142"/>
      <c r="DJ137" s="143"/>
      <c r="DK137" s="142">
        <f>SUM(DL137:DQ137)</f>
      </c>
      <c r="DL137" s="143"/>
      <c r="DM137" s="143"/>
      <c r="DN137" s="143"/>
      <c r="DO137" s="143"/>
      <c r="DP137" s="143"/>
      <c r="DQ137" s="143"/>
      <c r="DR137" s="143"/>
      <c r="DS137" s="143"/>
      <c r="DT137" s="143"/>
      <c r="DU137" s="143"/>
      <c r="DV137" s="143"/>
      <c r="DW137" s="143"/>
      <c r="DX137" s="142"/>
      <c r="DY137" s="143"/>
      <c r="DZ137" s="142"/>
      <c r="EA137" s="143"/>
      <c r="EB137" s="143"/>
      <c r="EC137" s="142"/>
      <c r="ED137" s="143"/>
      <c r="EF137" s="143"/>
      <c r="EG137" s="142">
        <f>SUM(EH137:EQ137)</f>
      </c>
      <c r="EH137" s="143"/>
      <c r="EI137" s="143"/>
      <c r="EJ137" s="143"/>
      <c r="EK137" s="143"/>
      <c r="EL137" s="143"/>
      <c r="EM137" s="143"/>
      <c r="EN137" s="143"/>
      <c r="EO137" s="143"/>
      <c r="EP137" s="143"/>
      <c r="EQ137" s="143"/>
      <c r="ER137" s="142">
        <f>SUM(ES137:ET137)</f>
      </c>
      <c r="ES137" s="143"/>
      <c r="ET137" s="143"/>
      <c r="EU137" s="144"/>
      <c r="FB137" s="146"/>
      <c r="FC137" s="146" cm="1">
        <f t="array" ref="FC137">ROW()-ROW(New[#Headers])</f>
        <v>131</v>
      </c>
    </row>
    <row r="138" spans="2:159" s="139" customFormat="1" ht="10.5" x14ac:dyDescent="0.2">
      <c r="B138" s="133"/>
      <c r="C138" s="3156" t="s">
        <v>385</v>
      </c>
      <c r="D138" t="s" s="3157">
        <v>386</v>
      </c>
      <c r="E138" s="3158" t="s">
        <v>13</v>
      </c>
      <c r="F138" t="s" s="3159">
        <v>933</v>
      </c>
      <c r="G138" t="s" s="3160">
        <v>1597</v>
      </c>
      <c r="H138" s="3161" t="s">
        <v>46</v>
      </c>
      <c r="I138" t="s" s="3162">
        <v>41</v>
      </c>
      <c r="J138" t="s" s="3163">
        <v>64</v>
      </c>
      <c r="K138" t="s" s="3164">
        <v>1639</v>
      </c>
      <c r="L138" t="s" s="3165">
        <v>305</v>
      </c>
      <c r="M138" t="s" s="3166">
        <v>305</v>
      </c>
      <c r="N138" s="3167" t="s">
        <v>3873</v>
      </c>
      <c r="O138" s="3168" t="s">
        <v>3871</v>
      </c>
      <c r="P138" s="141"/>
      <c r="Q138" s="142">
        <f>SUM(R138:AQ138)</f>
      </c>
      <c r="R138" s="143"/>
      <c r="S138" s="143"/>
      <c r="T138" s="143"/>
      <c r="U138" s="143"/>
      <c r="V138" s="143"/>
      <c r="W138" s="143"/>
      <c r="X138" s="143"/>
      <c r="Y138" s="143"/>
      <c r="Z138" s="143"/>
      <c r="AA138" s="143"/>
      <c r="AB138" s="143"/>
      <c r="AC138" s="143"/>
      <c r="AD138" s="143"/>
      <c r="AE138" s="143"/>
      <c r="AF138" s="3169" t="n">
        <v>452.0</v>
      </c>
      <c r="AG138" s="143"/>
      <c r="AH138" s="143"/>
      <c r="AI138" s="143"/>
      <c r="AJ138" s="143"/>
      <c r="AK138" s="143"/>
      <c r="AL138" s="143"/>
      <c r="AM138" s="143"/>
      <c r="AN138" s="143"/>
      <c r="AO138" s="143"/>
      <c r="AP138" s="143"/>
      <c r="AQ138" s="143"/>
      <c r="AR138" s="142">
        <f>SUM(AS138:AV138)</f>
      </c>
      <c r="AS138" s="143"/>
      <c r="AT138" s="143"/>
      <c r="AU138" s="143"/>
      <c r="AV138" s="143"/>
      <c r="AW138" s="142">
        <f>SUM(AX138:BI138)</f>
      </c>
      <c r="AX138" s="143"/>
      <c r="AY138" s="143"/>
      <c r="AZ138" s="143"/>
      <c r="BA138" s="143"/>
      <c r="BB138" s="143"/>
      <c r="BC138" s="143"/>
      <c r="BD138" s="143"/>
      <c r="BE138" s="143"/>
      <c r="BF138" s="143"/>
      <c r="BG138" s="143"/>
      <c r="BH138" s="143"/>
      <c r="BI138" s="143"/>
      <c r="BJ138" s="142"/>
      <c r="BK138" s="143"/>
      <c r="BL138" s="143"/>
      <c r="BM138" s="143"/>
      <c r="BN138" s="143"/>
      <c r="BO138" s="143"/>
      <c r="BP138" s="143"/>
      <c r="BQ138" s="142"/>
      <c r="BR138" s="143"/>
      <c r="BS138" s="143"/>
      <c r="BT138" s="142">
        <f>SUM(BU138:BW138)</f>
      </c>
      <c r="BU138" s="143"/>
      <c r="BV138" s="143"/>
      <c r="BW138" s="143"/>
      <c r="BX138" s="142">
        <f>SUM(BY138:CD138)</f>
      </c>
      <c r="BY138" s="143"/>
      <c r="BZ138" s="143"/>
      <c r="CA138" s="143"/>
      <c r="CB138" s="143"/>
      <c r="CC138" s="143"/>
      <c r="CD138" s="143"/>
      <c r="CE138" s="142"/>
      <c r="CF138" s="143"/>
      <c r="CG138" s="143"/>
      <c r="CH138" s="143"/>
      <c r="CI138" s="143"/>
      <c r="CJ138" s="143"/>
      <c r="CK138" s="142">
        <f>SUM(CL138:CN138)</f>
      </c>
      <c r="CL138" s="143"/>
      <c r="CM138" s="143"/>
      <c r="CN138" s="143"/>
      <c r="CO138" s="142">
        <f>SUM(CP138:CT138)</f>
      </c>
      <c r="CP138" s="143"/>
      <c r="CQ138" s="143"/>
      <c r="CR138" s="143"/>
      <c r="CS138" s="143"/>
      <c r="CT138" s="143"/>
      <c r="CU138" s="142"/>
      <c r="CV138" s="143"/>
      <c r="CW138" s="143"/>
      <c r="CX138" s="143"/>
      <c r="CY138" s="142"/>
      <c r="CZ138" s="143"/>
      <c r="DA138" s="143"/>
      <c r="DB138" s="143"/>
      <c r="DC138" s="143"/>
      <c r="DD138" s="143"/>
      <c r="DE138" s="143"/>
      <c r="DF138" s="143"/>
      <c r="DG138" s="142">
        <f>SUM(DH138:DH138)</f>
      </c>
      <c r="DH138" s="143"/>
      <c r="DI138" s="142"/>
      <c r="DJ138" s="143"/>
      <c r="DK138" s="142">
        <f>SUM(DL138:DQ138)</f>
      </c>
      <c r="DL138" s="143"/>
      <c r="DM138" s="143"/>
      <c r="DN138" s="143"/>
      <c r="DO138" s="143"/>
      <c r="DP138" s="143"/>
      <c r="DQ138" s="143"/>
      <c r="DR138" s="143"/>
      <c r="DS138" s="143"/>
      <c r="DT138" s="143"/>
      <c r="DU138" s="143"/>
      <c r="DV138" s="143"/>
      <c r="DW138" s="143"/>
      <c r="DX138" s="142"/>
      <c r="DY138" s="143"/>
      <c r="DZ138" s="142"/>
      <c r="EA138" s="143"/>
      <c r="EB138" s="143"/>
      <c r="EC138" s="142"/>
      <c r="ED138" s="143"/>
      <c r="EF138" s="143"/>
      <c r="EG138" s="142">
        <f>SUM(EH138:EQ138)</f>
      </c>
      <c r="EH138" s="143"/>
      <c r="EI138" s="143"/>
      <c r="EJ138" s="143"/>
      <c r="EK138" s="143"/>
      <c r="EL138" s="143"/>
      <c r="EM138" s="143"/>
      <c r="EN138" s="143"/>
      <c r="EO138" s="143"/>
      <c r="EP138" s="143"/>
      <c r="EQ138" s="143"/>
      <c r="ER138" s="142">
        <f>SUM(ES138:ET138)</f>
      </c>
      <c r="ES138" s="143"/>
      <c r="ET138" s="143"/>
      <c r="EU138" s="144"/>
      <c r="FB138" s="146"/>
      <c r="FC138" s="146" cm="1">
        <f t="array" ref="FC138">ROW()-ROW(New[#Headers])</f>
        <v>132</v>
      </c>
    </row>
    <row r="139" spans="2:159" s="139" customFormat="1" ht="10.5" x14ac:dyDescent="0.2">
      <c r="B139" s="133"/>
      <c r="C139" s="3170" t="s">
        <v>503</v>
      </c>
      <c r="D139" t="s" s="3171">
        <v>504</v>
      </c>
      <c r="E139" s="3172" t="s">
        <v>13</v>
      </c>
      <c r="F139" t="s" s="3173">
        <v>933</v>
      </c>
      <c r="G139" t="s" s="3174">
        <v>1597</v>
      </c>
      <c r="H139" s="3175" t="s">
        <v>46</v>
      </c>
      <c r="I139" t="s" s="3176">
        <v>41</v>
      </c>
      <c r="J139" t="s" s="3177">
        <v>64</v>
      </c>
      <c r="K139" t="s" s="3178">
        <v>1639</v>
      </c>
      <c r="L139" t="s" s="3179">
        <v>305</v>
      </c>
      <c r="M139" t="s" s="3180">
        <v>305</v>
      </c>
      <c r="N139" s="3181" t="s">
        <v>3873</v>
      </c>
      <c r="O139" s="3182" t="s">
        <v>3871</v>
      </c>
      <c r="P139" s="141"/>
      <c r="Q139" s="142">
        <f>SUM(R139:AQ139)</f>
      </c>
      <c r="R139" s="143"/>
      <c r="S139" s="143"/>
      <c r="T139" s="143"/>
      <c r="U139" s="143"/>
      <c r="V139" s="143"/>
      <c r="W139" s="143"/>
      <c r="X139" s="143"/>
      <c r="Y139" s="143"/>
      <c r="Z139" s="143"/>
      <c r="AA139" s="143"/>
      <c r="AB139" s="143"/>
      <c r="AC139" s="143"/>
      <c r="AD139" s="143"/>
      <c r="AE139" s="143"/>
      <c r="AF139" s="3183" t="n">
        <v>504.0</v>
      </c>
      <c r="AG139" s="143"/>
      <c r="AH139" s="143"/>
      <c r="AI139" s="143"/>
      <c r="AJ139" s="143"/>
      <c r="AK139" s="143"/>
      <c r="AL139" s="143"/>
      <c r="AM139" s="143"/>
      <c r="AN139" s="143"/>
      <c r="AO139" s="143"/>
      <c r="AP139" s="143"/>
      <c r="AQ139" s="143"/>
      <c r="AR139" s="142">
        <f>SUM(AS139:AV139)</f>
      </c>
      <c r="AS139" s="143"/>
      <c r="AT139" s="143"/>
      <c r="AU139" s="143"/>
      <c r="AV139" s="143"/>
      <c r="AW139" s="142">
        <f>SUM(AX139:BI139)</f>
      </c>
      <c r="AX139" s="143"/>
      <c r="AY139" s="143"/>
      <c r="AZ139" s="143"/>
      <c r="BA139" s="143"/>
      <c r="BB139" s="143"/>
      <c r="BC139" s="143"/>
      <c r="BD139" s="143"/>
      <c r="BE139" s="143"/>
      <c r="BF139" s="143"/>
      <c r="BG139" s="143"/>
      <c r="BH139" s="143"/>
      <c r="BI139" s="143"/>
      <c r="BJ139" s="142"/>
      <c r="BK139" s="143"/>
      <c r="BL139" s="143"/>
      <c r="BM139" s="143"/>
      <c r="BN139" s="143"/>
      <c r="BO139" s="143"/>
      <c r="BP139" s="143"/>
      <c r="BQ139" s="142"/>
      <c r="BR139" s="143"/>
      <c r="BS139" s="143"/>
      <c r="BT139" s="142">
        <f>SUM(BU139:BW139)</f>
      </c>
      <c r="BU139" s="143"/>
      <c r="BV139" s="143"/>
      <c r="BW139" s="143"/>
      <c r="BX139" s="142">
        <f>SUM(BY139:CD139)</f>
      </c>
      <c r="BY139" s="143"/>
      <c r="BZ139" s="143"/>
      <c r="CA139" s="143"/>
      <c r="CB139" s="143"/>
      <c r="CC139" s="143"/>
      <c r="CD139" s="143"/>
      <c r="CE139" s="142"/>
      <c r="CF139" s="143"/>
      <c r="CG139" s="143"/>
      <c r="CH139" s="143"/>
      <c r="CI139" s="143"/>
      <c r="CJ139" s="143"/>
      <c r="CK139" s="142">
        <f>SUM(CL139:CN139)</f>
      </c>
      <c r="CL139" s="143"/>
      <c r="CM139" s="143"/>
      <c r="CN139" s="143"/>
      <c r="CO139" s="142">
        <f>SUM(CP139:CT139)</f>
      </c>
      <c r="CP139" s="143"/>
      <c r="CQ139" s="143"/>
      <c r="CR139" s="143"/>
      <c r="CS139" s="143"/>
      <c r="CT139" s="143"/>
      <c r="CU139" s="142"/>
      <c r="CV139" s="143"/>
      <c r="CW139" s="143"/>
      <c r="CX139" s="143"/>
      <c r="CY139" s="142"/>
      <c r="CZ139" s="143"/>
      <c r="DA139" s="143"/>
      <c r="DB139" s="143"/>
      <c r="DC139" s="143"/>
      <c r="DD139" s="143"/>
      <c r="DE139" s="143"/>
      <c r="DF139" s="143"/>
      <c r="DG139" s="142">
        <f>SUM(DH139:DH139)</f>
      </c>
      <c r="DH139" s="143"/>
      <c r="DI139" s="142"/>
      <c r="DJ139" s="143"/>
      <c r="DK139" s="142">
        <f>SUM(DL139:DQ139)</f>
      </c>
      <c r="DL139" s="143"/>
      <c r="DM139" s="143"/>
      <c r="DN139" s="143"/>
      <c r="DO139" s="143"/>
      <c r="DP139" s="143"/>
      <c r="DQ139" s="143"/>
      <c r="DR139" s="143"/>
      <c r="DS139" s="143"/>
      <c r="DT139" s="143"/>
      <c r="DU139" s="143"/>
      <c r="DV139" s="143"/>
      <c r="DW139" s="143"/>
      <c r="DX139" s="142"/>
      <c r="DY139" s="143"/>
      <c r="DZ139" s="142"/>
      <c r="EA139" s="143"/>
      <c r="EB139" s="143"/>
      <c r="EC139" s="142"/>
      <c r="ED139" s="143"/>
      <c r="EF139" s="143"/>
      <c r="EG139" s="142">
        <f>SUM(EH139:EQ139)</f>
      </c>
      <c r="EH139" s="143"/>
      <c r="EI139" s="143"/>
      <c r="EJ139" s="143"/>
      <c r="EK139" s="143"/>
      <c r="EL139" s="143"/>
      <c r="EM139" s="143"/>
      <c r="EN139" s="143"/>
      <c r="EO139" s="143"/>
      <c r="EP139" s="143"/>
      <c r="EQ139" s="143"/>
      <c r="ER139" s="142">
        <f>SUM(ES139:ET139)</f>
      </c>
      <c r="ES139" s="143"/>
      <c r="ET139" s="143"/>
      <c r="EU139" s="144"/>
      <c r="FB139" s="146"/>
      <c r="FC139" s="146" cm="1">
        <f t="array" ref="FC139">ROW()-ROW(New[#Headers])</f>
        <v>133</v>
      </c>
    </row>
    <row r="140" spans="2:159" s="139" customFormat="1" ht="10.5" x14ac:dyDescent="0.2">
      <c r="B140" s="133"/>
      <c r="C140" s="3187" t="s">
        <v>373</v>
      </c>
      <c r="D140" t="s" s="3188">
        <v>374</v>
      </c>
      <c r="E140" s="3189" t="s">
        <v>23</v>
      </c>
      <c r="F140" t="s" s="3190">
        <v>984</v>
      </c>
      <c r="G140" t="s" s="3191">
        <v>1597</v>
      </c>
      <c r="H140" s="3192" t="s">
        <v>51</v>
      </c>
      <c r="I140" t="s" s="3193">
        <v>43</v>
      </c>
      <c r="J140" t="s" s="3194">
        <v>64</v>
      </c>
      <c r="K140" t="s" s="3195">
        <v>985</v>
      </c>
      <c r="L140" t="s" s="3196">
        <v>934</v>
      </c>
      <c r="M140" t="s" s="3197">
        <v>305</v>
      </c>
      <c r="N140" s="3198" t="s">
        <v>3867</v>
      </c>
      <c r="O140" s="3199" t="s">
        <v>3871</v>
      </c>
      <c r="P140" s="141"/>
      <c r="Q140" s="142">
        <f>SUM(R140:AQ140)</f>
      </c>
      <c r="R140" s="143"/>
      <c r="S140" s="3200" t="n">
        <v>40.0</v>
      </c>
      <c r="T140" s="143"/>
      <c r="U140" s="143"/>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2">
        <f>SUM(AS140:AV140)</f>
      </c>
      <c r="AS140" s="143"/>
      <c r="AT140" s="143"/>
      <c r="AU140" s="143"/>
      <c r="AV140" s="143"/>
      <c r="AW140" s="142">
        <f>SUM(AX140:BI140)</f>
      </c>
      <c r="AX140" s="143"/>
      <c r="AY140" s="143"/>
      <c r="AZ140" s="143"/>
      <c r="BA140" s="143"/>
      <c r="BB140" s="143"/>
      <c r="BC140" s="143"/>
      <c r="BD140" s="143"/>
      <c r="BE140" s="143"/>
      <c r="BF140" s="143"/>
      <c r="BG140" s="143"/>
      <c r="BH140" s="143"/>
      <c r="BI140" s="143"/>
      <c r="BJ140" s="142"/>
      <c r="BK140" s="143"/>
      <c r="BL140" s="143"/>
      <c r="BM140" s="143"/>
      <c r="BN140" s="143"/>
      <c r="BO140" s="143"/>
      <c r="BP140" s="143"/>
      <c r="BQ140" s="142"/>
      <c r="BR140" s="143"/>
      <c r="BS140" s="143"/>
      <c r="BT140" s="142">
        <f>SUM(BU140:BW140)</f>
      </c>
      <c r="BU140" s="143"/>
      <c r="BV140" s="143"/>
      <c r="BW140" s="143"/>
      <c r="BX140" s="142">
        <f>SUM(BY140:CD140)</f>
      </c>
      <c r="BY140" s="143"/>
      <c r="BZ140" s="143"/>
      <c r="CA140" s="143"/>
      <c r="CB140" s="143"/>
      <c r="CC140" s="143"/>
      <c r="CD140" s="143"/>
      <c r="CE140" s="142"/>
      <c r="CF140" s="143"/>
      <c r="CG140" s="143"/>
      <c r="CH140" s="143"/>
      <c r="CI140" s="143"/>
      <c r="CJ140" s="143"/>
      <c r="CK140" s="142">
        <f>SUM(CL140:CN140)</f>
      </c>
      <c r="CL140" s="143"/>
      <c r="CM140" s="143"/>
      <c r="CN140" s="143"/>
      <c r="CO140" s="142">
        <f>SUM(CP140:CT140)</f>
      </c>
      <c r="CP140" s="143"/>
      <c r="CQ140" s="143"/>
      <c r="CR140" s="143"/>
      <c r="CS140" s="143"/>
      <c r="CT140" s="143"/>
      <c r="CU140" s="142"/>
      <c r="CV140" s="143"/>
      <c r="CW140" s="143"/>
      <c r="CX140" s="143"/>
      <c r="CY140" s="142"/>
      <c r="CZ140" s="143"/>
      <c r="DA140" s="143"/>
      <c r="DB140" s="143"/>
      <c r="DC140" s="143"/>
      <c r="DD140" s="143"/>
      <c r="DE140" s="143"/>
      <c r="DF140" s="143"/>
      <c r="DG140" s="142">
        <f>SUM(DH140:DH140)</f>
      </c>
      <c r="DH140" s="143"/>
      <c r="DI140" s="142"/>
      <c r="DJ140" s="143"/>
      <c r="DK140" s="142">
        <f>SUM(DL140:DQ140)</f>
      </c>
      <c r="DL140" s="143"/>
      <c r="DM140" s="143"/>
      <c r="DN140" s="143"/>
      <c r="DO140" s="143"/>
      <c r="DP140" s="143"/>
      <c r="DQ140" s="143"/>
      <c r="DR140" s="143"/>
      <c r="DS140" s="143"/>
      <c r="DT140" s="143"/>
      <c r="DU140" s="143"/>
      <c r="DV140" s="143"/>
      <c r="DW140" s="143"/>
      <c r="DX140" s="142"/>
      <c r="DY140" s="143"/>
      <c r="DZ140" s="142"/>
      <c r="EA140" s="143"/>
      <c r="EB140" s="143"/>
      <c r="EC140" s="142"/>
      <c r="ED140" s="143"/>
      <c r="EF140" s="143"/>
      <c r="EG140" s="142">
        <f>SUM(EH140:EQ140)</f>
      </c>
      <c r="EH140" s="143"/>
      <c r="EI140" s="143"/>
      <c r="EJ140" s="143"/>
      <c r="EK140" s="143"/>
      <c r="EL140" s="143"/>
      <c r="EM140" s="143"/>
      <c r="EN140" s="143"/>
      <c r="EO140" s="143"/>
      <c r="EP140" s="143"/>
      <c r="EQ140" s="143"/>
      <c r="ER140" s="142">
        <f>SUM(ES140:ET140)</f>
      </c>
      <c r="ES140" s="143"/>
      <c r="ET140" s="143"/>
      <c r="EU140" s="144"/>
      <c r="FB140" s="146"/>
      <c r="FC140" s="146" cm="1">
        <f t="array" ref="FC140">ROW()-ROW(New[#Headers])</f>
        <v>134</v>
      </c>
    </row>
    <row r="141" spans="2:159" s="139" customFormat="1" ht="10.5" x14ac:dyDescent="0.2">
      <c r="B141" s="133"/>
      <c r="C141" s="3201" t="s">
        <v>600</v>
      </c>
      <c r="D141" t="s" s="3202">
        <v>601</v>
      </c>
      <c r="E141" s="3203" t="s">
        <v>13</v>
      </c>
      <c r="F141" t="s" s="3204">
        <v>750</v>
      </c>
      <c r="G141" t="s" s="3205">
        <v>1597</v>
      </c>
      <c r="H141" s="3206" t="s">
        <v>46</v>
      </c>
      <c r="I141" t="s" s="3207">
        <v>41</v>
      </c>
      <c r="J141" t="s" s="3208">
        <v>64</v>
      </c>
      <c r="K141" t="s" s="3209">
        <v>1679</v>
      </c>
      <c r="L141" t="s" s="3210">
        <v>934</v>
      </c>
      <c r="M141" t="s" s="3211">
        <v>305</v>
      </c>
      <c r="N141" s="3212" t="s">
        <v>3867</v>
      </c>
      <c r="O141" s="3213" t="s">
        <v>3871</v>
      </c>
      <c r="P141" s="141"/>
      <c r="Q141" s="142">
        <f>SUM(R141:AQ141)</f>
      </c>
      <c r="R141" s="143"/>
      <c r="S141" s="143"/>
      <c r="T141" s="3214" t="n">
        <v>170.0</v>
      </c>
      <c r="U141" s="143"/>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2">
        <f>SUM(AS141:AV141)</f>
      </c>
      <c r="AS141" s="143"/>
      <c r="AT141" s="143"/>
      <c r="AU141" s="143"/>
      <c r="AV141" s="143"/>
      <c r="AW141" s="142">
        <f>SUM(AX141:BI141)</f>
      </c>
      <c r="AX141" s="143"/>
      <c r="AY141" s="143"/>
      <c r="AZ141" s="143"/>
      <c r="BA141" s="143"/>
      <c r="BB141" s="143"/>
      <c r="BC141" s="143"/>
      <c r="BD141" s="143"/>
      <c r="BE141" s="143"/>
      <c r="BF141" s="143"/>
      <c r="BG141" s="143"/>
      <c r="BH141" s="143"/>
      <c r="BI141" s="143"/>
      <c r="BJ141" s="142"/>
      <c r="BK141" s="143"/>
      <c r="BL141" s="143"/>
      <c r="BM141" s="143"/>
      <c r="BN141" s="143"/>
      <c r="BO141" s="143"/>
      <c r="BP141" s="143"/>
      <c r="BQ141" s="142"/>
      <c r="BR141" s="143"/>
      <c r="BS141" s="143"/>
      <c r="BT141" s="142">
        <f>SUM(BU141:BW141)</f>
      </c>
      <c r="BU141" s="143"/>
      <c r="BV141" s="143"/>
      <c r="BW141" s="143"/>
      <c r="BX141" s="142">
        <f>SUM(BY141:CD141)</f>
      </c>
      <c r="BY141" s="143"/>
      <c r="BZ141" s="143"/>
      <c r="CA141" s="143"/>
      <c r="CB141" s="143"/>
      <c r="CC141" s="143"/>
      <c r="CD141" s="143"/>
      <c r="CE141" s="142"/>
      <c r="CF141" s="143"/>
      <c r="CG141" s="143"/>
      <c r="CH141" s="143"/>
      <c r="CI141" s="143"/>
      <c r="CJ141" s="143"/>
      <c r="CK141" s="142">
        <f>SUM(CL141:CN141)</f>
      </c>
      <c r="CL141" s="143"/>
      <c r="CM141" s="143"/>
      <c r="CN141" s="143"/>
      <c r="CO141" s="142">
        <f>SUM(CP141:CT141)</f>
      </c>
      <c r="CP141" s="143"/>
      <c r="CQ141" s="143"/>
      <c r="CR141" s="143"/>
      <c r="CS141" s="143"/>
      <c r="CT141" s="143"/>
      <c r="CU141" s="142"/>
      <c r="CV141" s="143"/>
      <c r="CW141" s="143"/>
      <c r="CX141" s="143"/>
      <c r="CY141" s="142"/>
      <c r="CZ141" s="143"/>
      <c r="DA141" s="143"/>
      <c r="DB141" s="143"/>
      <c r="DC141" s="143"/>
      <c r="DD141" s="143"/>
      <c r="DE141" s="143"/>
      <c r="DF141" s="143"/>
      <c r="DG141" s="142">
        <f>SUM(DH141:DH141)</f>
      </c>
      <c r="DH141" s="143"/>
      <c r="DI141" s="142"/>
      <c r="DJ141" s="143"/>
      <c r="DK141" s="142">
        <f>SUM(DL141:DQ141)</f>
      </c>
      <c r="DL141" s="143"/>
      <c r="DM141" s="143"/>
      <c r="DN141" s="143"/>
      <c r="DO141" s="143"/>
      <c r="DP141" s="143"/>
      <c r="DQ141" s="143"/>
      <c r="DR141" s="143"/>
      <c r="DS141" s="143"/>
      <c r="DT141" s="143"/>
      <c r="DU141" s="143"/>
      <c r="DV141" s="143"/>
      <c r="DW141" s="143"/>
      <c r="DX141" s="142"/>
      <c r="DY141" s="143"/>
      <c r="DZ141" s="142"/>
      <c r="EA141" s="143"/>
      <c r="EB141" s="143"/>
      <c r="EC141" s="142"/>
      <c r="ED141" s="143"/>
      <c r="EF141" s="143"/>
      <c r="EG141" s="142">
        <f>SUM(EH141:EQ141)</f>
      </c>
      <c r="EH141" s="143"/>
      <c r="EI141" s="143"/>
      <c r="EJ141" s="143"/>
      <c r="EK141" s="143"/>
      <c r="EL141" s="143"/>
      <c r="EM141" s="143"/>
      <c r="EN141" s="143"/>
      <c r="EO141" s="143"/>
      <c r="EP141" s="143"/>
      <c r="EQ141" s="143"/>
      <c r="ER141" s="142">
        <f>SUM(ES141:ET141)</f>
      </c>
      <c r="ES141" s="143"/>
      <c r="ET141" s="143"/>
      <c r="EU141" s="144"/>
      <c r="FB141" s="146"/>
      <c r="FC141" s="146" cm="1">
        <f t="array" ref="FC141">ROW()-ROW(New[#Headers])</f>
        <v>135</v>
      </c>
    </row>
    <row r="142" spans="2:159" s="139" customFormat="1" ht="10.5" x14ac:dyDescent="0.2">
      <c r="B142" s="133"/>
      <c r="C142" s="3215" t="s">
        <v>428</v>
      </c>
      <c r="D142" t="s" s="3216">
        <v>429</v>
      </c>
      <c r="E142" s="3217" t="s">
        <v>13</v>
      </c>
      <c r="F142" t="s" s="3218">
        <v>933</v>
      </c>
      <c r="G142" t="s" s="3219">
        <v>1597</v>
      </c>
      <c r="H142" s="3220" t="s">
        <v>46</v>
      </c>
      <c r="I142" t="s" s="3221">
        <v>22</v>
      </c>
      <c r="J142" t="s" s="3222">
        <v>64</v>
      </c>
      <c r="K142" t="s" s="3223">
        <v>1639</v>
      </c>
      <c r="L142" t="s" s="3224">
        <v>305</v>
      </c>
      <c r="M142" t="s" s="3225">
        <v>305</v>
      </c>
      <c r="N142" s="3226" t="s">
        <v>3873</v>
      </c>
      <c r="O142" s="3227" t="s">
        <v>3871</v>
      </c>
      <c r="P142" s="141"/>
      <c r="Q142" s="142">
        <f>SUM(R142:AQ142)</f>
      </c>
      <c r="R142" s="143"/>
      <c r="S142" s="143"/>
      <c r="T142" s="143"/>
      <c r="U142" s="143"/>
      <c r="V142" s="143"/>
      <c r="W142" s="143"/>
      <c r="X142" s="143"/>
      <c r="Y142" s="143"/>
      <c r="Z142" s="143"/>
      <c r="AA142" s="143"/>
      <c r="AB142" s="143"/>
      <c r="AC142" s="143"/>
      <c r="AD142" s="143"/>
      <c r="AE142" s="143"/>
      <c r="AF142" s="3228" t="n">
        <v>113.0</v>
      </c>
      <c r="AG142" s="143"/>
      <c r="AH142" s="143"/>
      <c r="AI142" s="143"/>
      <c r="AJ142" s="143"/>
      <c r="AK142" s="143"/>
      <c r="AL142" s="143"/>
      <c r="AM142" s="143"/>
      <c r="AN142" s="143"/>
      <c r="AO142" s="143"/>
      <c r="AP142" s="143"/>
      <c r="AQ142" s="143"/>
      <c r="AR142" s="142">
        <f>SUM(AS142:AV142)</f>
      </c>
      <c r="AS142" s="143"/>
      <c r="AT142" s="143"/>
      <c r="AU142" s="143"/>
      <c r="AV142" s="143"/>
      <c r="AW142" s="142">
        <f>SUM(AX142:BI142)</f>
      </c>
      <c r="AX142" s="143"/>
      <c r="AY142" s="143"/>
      <c r="AZ142" s="143"/>
      <c r="BA142" s="143"/>
      <c r="BB142" s="143"/>
      <c r="BC142" s="143"/>
      <c r="BD142" s="143"/>
      <c r="BE142" s="143"/>
      <c r="BF142" s="143"/>
      <c r="BG142" s="143"/>
      <c r="BH142" s="143"/>
      <c r="BI142" s="143"/>
      <c r="BJ142" s="142"/>
      <c r="BK142" s="143"/>
      <c r="BL142" s="143"/>
      <c r="BM142" s="143"/>
      <c r="BN142" s="143"/>
      <c r="BO142" s="143"/>
      <c r="BP142" s="143"/>
      <c r="BQ142" s="142"/>
      <c r="BR142" s="143"/>
      <c r="BS142" s="143"/>
      <c r="BT142" s="142">
        <f>SUM(BU142:BW142)</f>
      </c>
      <c r="BU142" s="143"/>
      <c r="BV142" s="143"/>
      <c r="BW142" s="143"/>
      <c r="BX142" s="142">
        <f>SUM(BY142:CD142)</f>
      </c>
      <c r="BY142" s="143"/>
      <c r="BZ142" s="143"/>
      <c r="CA142" s="143"/>
      <c r="CB142" s="143"/>
      <c r="CC142" s="143"/>
      <c r="CD142" s="143"/>
      <c r="CE142" s="142"/>
      <c r="CF142" s="143"/>
      <c r="CG142" s="143"/>
      <c r="CH142" s="143"/>
      <c r="CI142" s="143"/>
      <c r="CJ142" s="143"/>
      <c r="CK142" s="142">
        <f>SUM(CL142:CN142)</f>
      </c>
      <c r="CL142" s="143"/>
      <c r="CM142" s="143"/>
      <c r="CN142" s="143"/>
      <c r="CO142" s="142">
        <f>SUM(CP142:CT142)</f>
      </c>
      <c r="CP142" s="143"/>
      <c r="CQ142" s="143"/>
      <c r="CR142" s="143"/>
      <c r="CS142" s="143"/>
      <c r="CT142" s="143"/>
      <c r="CU142" s="142"/>
      <c r="CV142" s="143"/>
      <c r="CW142" s="143"/>
      <c r="CX142" s="143"/>
      <c r="CY142" s="142"/>
      <c r="CZ142" s="143"/>
      <c r="DA142" s="143"/>
      <c r="DB142" s="143"/>
      <c r="DC142" s="143"/>
      <c r="DD142" s="143"/>
      <c r="DE142" s="143"/>
      <c r="DF142" s="143"/>
      <c r="DG142" s="142">
        <f>SUM(DH142:DH142)</f>
      </c>
      <c r="DH142" s="143"/>
      <c r="DI142" s="142"/>
      <c r="DJ142" s="143"/>
      <c r="DK142" s="142">
        <f>SUM(DL142:DQ142)</f>
      </c>
      <c r="DL142" s="143"/>
      <c r="DM142" s="143"/>
      <c r="DN142" s="143"/>
      <c r="DO142" s="143"/>
      <c r="DP142" s="143"/>
      <c r="DQ142" s="143"/>
      <c r="DR142" s="143"/>
      <c r="DS142" s="143"/>
      <c r="DT142" s="143"/>
      <c r="DU142" s="143"/>
      <c r="DV142" s="143"/>
      <c r="DW142" s="143"/>
      <c r="DX142" s="142"/>
      <c r="DY142" s="143"/>
      <c r="DZ142" s="142"/>
      <c r="EA142" s="143"/>
      <c r="EB142" s="143"/>
      <c r="EC142" s="142"/>
      <c r="ED142" s="143"/>
      <c r="EF142" s="143"/>
      <c r="EG142" s="142">
        <f>SUM(EH142:EQ142)</f>
      </c>
      <c r="EH142" s="143"/>
      <c r="EI142" s="143"/>
      <c r="EJ142" s="143"/>
      <c r="EK142" s="143"/>
      <c r="EL142" s="143"/>
      <c r="EM142" s="143"/>
      <c r="EN142" s="143"/>
      <c r="EO142" s="143"/>
      <c r="EP142" s="143"/>
      <c r="EQ142" s="143"/>
      <c r="ER142" s="142">
        <f>SUM(ES142:ET142)</f>
      </c>
      <c r="ES142" s="143"/>
      <c r="ET142" s="143"/>
      <c r="EU142" s="144"/>
      <c r="FB142" s="146"/>
      <c r="FC142" s="146" cm="1">
        <f t="array" ref="FC142">ROW()-ROW(New[#Headers])</f>
        <v>136</v>
      </c>
    </row>
    <row r="143" spans="2:159" s="139" customFormat="1" ht="10.5" x14ac:dyDescent="0.2">
      <c r="B143" s="133"/>
      <c r="C143" s="3229" t="s">
        <v>1733</v>
      </c>
      <c r="D143" t="s" s="3230">
        <v>709</v>
      </c>
      <c r="E143" s="3231" t="s">
        <v>13</v>
      </c>
      <c r="F143" t="s" s="3232">
        <v>1241</v>
      </c>
      <c r="G143" t="s" s="3233">
        <v>1597</v>
      </c>
      <c r="H143" s="3234" t="s">
        <v>46</v>
      </c>
      <c r="I143" t="s" s="3235">
        <v>22</v>
      </c>
      <c r="J143" t="s" s="3236">
        <v>74</v>
      </c>
      <c r="K143" t="s" s="3237">
        <v>1651</v>
      </c>
      <c r="L143" t="s" s="3238">
        <v>1242</v>
      </c>
      <c r="M143" t="s" s="3239">
        <v>305</v>
      </c>
      <c r="N143" s="3240" t="s">
        <v>3875</v>
      </c>
      <c r="O143" s="3241" t="s">
        <v>3871</v>
      </c>
      <c r="P143" s="141"/>
      <c r="Q143" s="142">
        <f>SUM(R143:AQ143)</f>
      </c>
      <c r="R143" s="143"/>
      <c r="S143" s="143"/>
      <c r="T143" s="143"/>
      <c r="U143" s="143"/>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2">
        <f>SUM(AS143:AV143)</f>
      </c>
      <c r="AS143" s="143"/>
      <c r="AT143" s="143"/>
      <c r="AU143" s="143"/>
      <c r="AV143" s="143"/>
      <c r="AW143" s="142">
        <f>SUM(AX143:BI143)</f>
      </c>
      <c r="AX143" s="143"/>
      <c r="AY143" s="143"/>
      <c r="AZ143" s="143"/>
      <c r="BA143" s="143"/>
      <c r="BB143" s="143"/>
      <c r="BC143" s="143"/>
      <c r="BD143" s="143"/>
      <c r="BE143" s="143"/>
      <c r="BF143" s="143"/>
      <c r="BG143" s="143"/>
      <c r="BH143" s="143"/>
      <c r="BI143" s="143"/>
      <c r="BJ143" s="142"/>
      <c r="BK143" s="143"/>
      <c r="BL143" s="143"/>
      <c r="BM143" s="143"/>
      <c r="BN143" s="143"/>
      <c r="BO143" s="143"/>
      <c r="BP143" s="143"/>
      <c r="BQ143" s="142"/>
      <c r="BR143" s="143"/>
      <c r="BS143" s="143"/>
      <c r="BT143" s="142">
        <f>SUM(BU143:BW143)</f>
      </c>
      <c r="BU143" s="143"/>
      <c r="BV143" s="143"/>
      <c r="BW143" s="143"/>
      <c r="BX143" s="142">
        <f>SUM(BY143:CD143)</f>
      </c>
      <c r="BY143" s="143"/>
      <c r="BZ143" s="143"/>
      <c r="CA143" s="143"/>
      <c r="CB143" s="143"/>
      <c r="CC143" s="143"/>
      <c r="CD143" s="143"/>
      <c r="CE143" s="142"/>
      <c r="CF143" s="143"/>
      <c r="CG143" s="143"/>
      <c r="CH143" s="143"/>
      <c r="CI143" s="143"/>
      <c r="CJ143" s="143"/>
      <c r="CK143" s="142">
        <f>SUM(CL143:CN143)</f>
      </c>
      <c r="CL143" s="143"/>
      <c r="CM143" s="143"/>
      <c r="CN143" s="143"/>
      <c r="CO143" s="142">
        <f>SUM(CP143:CT143)</f>
      </c>
      <c r="CP143" s="143"/>
      <c r="CQ143" s="143"/>
      <c r="CR143" s="143"/>
      <c r="CS143" s="143"/>
      <c r="CT143" s="143"/>
      <c r="CU143" s="142"/>
      <c r="CV143" s="143"/>
      <c r="CW143" s="143"/>
      <c r="CX143" s="143"/>
      <c r="CY143" s="142"/>
      <c r="CZ143" s="143"/>
      <c r="DA143" s="143"/>
      <c r="DB143" s="143"/>
      <c r="DC143" s="143"/>
      <c r="DD143" s="143"/>
      <c r="DE143" s="143"/>
      <c r="DF143" s="143"/>
      <c r="DG143" s="142">
        <f>SUM(DH143:DH143)</f>
      </c>
      <c r="DH143" s="143"/>
      <c r="DI143" s="142"/>
      <c r="DJ143" s="143"/>
      <c r="DK143" s="142">
        <f>SUM(DL143:DQ143)</f>
      </c>
      <c r="DL143" s="143"/>
      <c r="DM143" s="143"/>
      <c r="DN143" s="143"/>
      <c r="DO143" s="143"/>
      <c r="DP143" s="143"/>
      <c r="DQ143" s="143"/>
      <c r="DR143" s="143"/>
      <c r="DS143" s="143"/>
      <c r="DT143" s="143"/>
      <c r="DU143" s="143"/>
      <c r="DV143" s="143"/>
      <c r="DW143" s="143"/>
      <c r="DX143" s="142"/>
      <c r="DY143" s="143"/>
      <c r="DZ143" s="142"/>
      <c r="EA143" s="143"/>
      <c r="EB143" s="143"/>
      <c r="EC143" s="142"/>
      <c r="ED143" s="143"/>
      <c r="EF143" s="143"/>
      <c r="EG143" s="142">
        <f>SUM(EH143:EQ143)</f>
      </c>
      <c r="EH143" s="143"/>
      <c r="EI143" s="143"/>
      <c r="EJ143" s="143"/>
      <c r="EK143" s="143"/>
      <c r="EL143" s="143"/>
      <c r="EM143" s="143"/>
      <c r="EN143" s="143"/>
      <c r="EO143" s="143"/>
      <c r="EP143" s="143"/>
      <c r="EQ143" s="143"/>
      <c r="ER143" s="142">
        <f>SUM(ES143:ET143)</f>
      </c>
      <c r="ES143" s="143"/>
      <c r="ET143" s="143"/>
      <c r="EU143" s="144"/>
      <c r="FB143" s="146"/>
      <c r="FC143" s="146" cm="1">
        <f t="array" ref="FC143">ROW()-ROW(New[#Headers])</f>
        <v>137</v>
      </c>
    </row>
    <row r="144" spans="2:159" s="139" customFormat="1" ht="10.5" x14ac:dyDescent="0.2">
      <c r="B144" s="133"/>
      <c r="C144" s="3242" t="s">
        <v>585</v>
      </c>
      <c r="D144" t="s" s="3243">
        <v>586</v>
      </c>
      <c r="E144" s="3244" t="s">
        <v>13</v>
      </c>
      <c r="F144" t="s" s="3245">
        <v>750</v>
      </c>
      <c r="G144" t="s" s="3246">
        <v>1597</v>
      </c>
      <c r="H144" s="3247" t="s">
        <v>46</v>
      </c>
      <c r="I144" t="s" s="3248">
        <v>41</v>
      </c>
      <c r="J144" t="s" s="3249">
        <v>64</v>
      </c>
      <c r="K144" t="s" s="3250">
        <v>1617</v>
      </c>
      <c r="L144" t="s" s="3251">
        <v>934</v>
      </c>
      <c r="M144" t="s" s="3252">
        <v>305</v>
      </c>
      <c r="N144" s="3253" t="s">
        <v>3875</v>
      </c>
      <c r="O144" s="3254" t="s">
        <v>3874</v>
      </c>
      <c r="P144" s="141"/>
      <c r="Q144" s="142">
        <f>SUM(R144:AQ144)</f>
      </c>
      <c r="R144" s="143"/>
      <c r="S144" s="143"/>
      <c r="T144" s="3255" t="n">
        <v>50.0</v>
      </c>
      <c r="U144" s="143"/>
      <c r="V144" s="143"/>
      <c r="W144" s="143"/>
      <c r="X144" s="143"/>
      <c r="Y144" s="143"/>
      <c r="Z144" s="143"/>
      <c r="AA144" s="143"/>
      <c r="AB144" s="143"/>
      <c r="AC144" s="143"/>
      <c r="AD144" s="143"/>
      <c r="AE144" s="143"/>
      <c r="AF144" s="143"/>
      <c r="AG144" s="143"/>
      <c r="AH144" s="143"/>
      <c r="AI144" s="143"/>
      <c r="AJ144" s="143"/>
      <c r="AK144" s="143"/>
      <c r="AL144" s="143"/>
      <c r="AM144" s="143"/>
      <c r="AN144" s="3256" t="n">
        <v>150.0</v>
      </c>
      <c r="AO144" s="143"/>
      <c r="AP144" s="143"/>
      <c r="AQ144" s="143"/>
      <c r="AR144" s="142">
        <f>SUM(AS144:AV144)</f>
      </c>
      <c r="AS144" s="143"/>
      <c r="AT144" s="143"/>
      <c r="AU144" s="143"/>
      <c r="AV144" s="143"/>
      <c r="AW144" s="142">
        <f>SUM(AX144:BI144)</f>
      </c>
      <c r="AX144" s="143"/>
      <c r="AY144" s="143"/>
      <c r="AZ144" s="143"/>
      <c r="BA144" s="143"/>
      <c r="BB144" s="143"/>
      <c r="BC144" s="143"/>
      <c r="BD144" s="143"/>
      <c r="BE144" s="143"/>
      <c r="BF144" s="143"/>
      <c r="BG144" s="143"/>
      <c r="BH144" s="143"/>
      <c r="BI144" s="143"/>
      <c r="BJ144" s="142"/>
      <c r="BK144" s="143"/>
      <c r="BL144" s="143"/>
      <c r="BM144" s="143"/>
      <c r="BN144" s="143"/>
      <c r="BO144" s="143"/>
      <c r="BP144" s="143"/>
      <c r="BQ144" s="142"/>
      <c r="BR144" s="143"/>
      <c r="BS144" s="143"/>
      <c r="BT144" s="142">
        <f>SUM(BU144:BW144)</f>
      </c>
      <c r="BU144" s="143"/>
      <c r="BV144" s="143"/>
      <c r="BW144" s="143"/>
      <c r="BX144" s="142">
        <f>SUM(BY144:CD144)</f>
      </c>
      <c r="BY144" s="143"/>
      <c r="BZ144" s="143"/>
      <c r="CA144" s="143"/>
      <c r="CB144" s="143"/>
      <c r="CC144" s="143"/>
      <c r="CD144" s="143"/>
      <c r="CE144" s="142"/>
      <c r="CF144" s="143"/>
      <c r="CG144" s="143"/>
      <c r="CH144" s="143"/>
      <c r="CI144" s="143"/>
      <c r="CJ144" s="143"/>
      <c r="CK144" s="142">
        <f>SUM(CL144:CN144)</f>
      </c>
      <c r="CL144" s="143"/>
      <c r="CM144" s="143"/>
      <c r="CN144" s="143"/>
      <c r="CO144" s="142">
        <f>SUM(CP144:CT144)</f>
      </c>
      <c r="CP144" s="143"/>
      <c r="CQ144" s="143"/>
      <c r="CR144" s="143"/>
      <c r="CS144" s="143"/>
      <c r="CT144" s="143"/>
      <c r="CU144" s="142"/>
      <c r="CV144" s="143"/>
      <c r="CW144" s="143"/>
      <c r="CX144" s="143"/>
      <c r="CY144" s="142"/>
      <c r="CZ144" s="143"/>
      <c r="DA144" s="143"/>
      <c r="DB144" s="143"/>
      <c r="DC144" s="143"/>
      <c r="DD144" s="143"/>
      <c r="DE144" s="143"/>
      <c r="DF144" s="143"/>
      <c r="DG144" s="142">
        <f>SUM(DH144:DH144)</f>
      </c>
      <c r="DH144" s="143"/>
      <c r="DI144" s="142"/>
      <c r="DJ144" s="143"/>
      <c r="DK144" s="142">
        <f>SUM(DL144:DQ144)</f>
      </c>
      <c r="DL144" s="143"/>
      <c r="DM144" s="143"/>
      <c r="DN144" s="143"/>
      <c r="DO144" s="143"/>
      <c r="DP144" s="143"/>
      <c r="DQ144" s="143"/>
      <c r="DR144" s="143"/>
      <c r="DS144" s="143"/>
      <c r="DT144" s="143"/>
      <c r="DU144" s="143"/>
      <c r="DV144" s="143"/>
      <c r="DW144" s="143"/>
      <c r="DX144" s="142"/>
      <c r="DY144" s="143"/>
      <c r="DZ144" s="142"/>
      <c r="EA144" s="143"/>
      <c r="EB144" s="143"/>
      <c r="EC144" s="142"/>
      <c r="ED144" s="143"/>
      <c r="EF144" s="143"/>
      <c r="EG144" s="142">
        <f>SUM(EH144:EQ144)</f>
      </c>
      <c r="EH144" s="143"/>
      <c r="EI144" s="143"/>
      <c r="EJ144" s="143"/>
      <c r="EK144" s="143"/>
      <c r="EL144" s="143"/>
      <c r="EM144" s="143"/>
      <c r="EN144" s="143"/>
      <c r="EO144" s="143"/>
      <c r="EP144" s="143"/>
      <c r="EQ144" s="143"/>
      <c r="ER144" s="142">
        <f>SUM(ES144:ET144)</f>
      </c>
      <c r="ES144" s="143"/>
      <c r="ET144" s="143"/>
      <c r="EU144" s="144"/>
      <c r="FB144" s="146"/>
      <c r="FC144" s="146" cm="1">
        <f t="array" ref="FC144">ROW()-ROW(New[#Headers])</f>
        <v>138</v>
      </c>
    </row>
    <row r="145" spans="2:159" s="139" customFormat="1" ht="10.5" x14ac:dyDescent="0.2">
      <c r="B145" s="133"/>
      <c r="C145" s="3257" t="s">
        <v>494</v>
      </c>
      <c r="D145" t="s" s="3258">
        <v>495</v>
      </c>
      <c r="E145" s="3259" t="s">
        <v>889</v>
      </c>
      <c r="F145" t="s" s="3260">
        <v>1109</v>
      </c>
      <c r="G145" t="s" s="3261">
        <v>305</v>
      </c>
      <c r="H145" s="3262" t="s">
        <v>61</v>
      </c>
      <c r="I145" t="s" s="3263">
        <v>41</v>
      </c>
      <c r="J145" t="s" s="3264">
        <v>68</v>
      </c>
      <c r="K145" t="s" s="3265">
        <v>1659</v>
      </c>
      <c r="L145" t="s" s="3266">
        <v>751</v>
      </c>
      <c r="M145" t="s" s="3267">
        <v>305</v>
      </c>
      <c r="N145" s="3268" t="s">
        <v>3873</v>
      </c>
      <c r="O145" s="3269" t="s">
        <v>3871</v>
      </c>
      <c r="P145" s="141"/>
      <c r="Q145" s="142">
        <f>SUM(R145:AQ145)</f>
      </c>
      <c r="R145" s="143"/>
      <c r="S145" s="143"/>
      <c r="T145" s="143"/>
      <c r="U145" s="143"/>
      <c r="V145" s="143"/>
      <c r="W145" s="143"/>
      <c r="X145" s="143"/>
      <c r="Y145" s="143"/>
      <c r="Z145" s="143"/>
      <c r="AA145" s="143"/>
      <c r="AB145" s="143"/>
      <c r="AC145" s="143"/>
      <c r="AD145" s="3270" t="n">
        <v>400.0</v>
      </c>
      <c r="AE145" s="143"/>
      <c r="AF145" s="143"/>
      <c r="AG145" s="143"/>
      <c r="AH145" s="143"/>
      <c r="AI145" s="143"/>
      <c r="AJ145" s="143"/>
      <c r="AK145" s="143"/>
      <c r="AL145" s="143"/>
      <c r="AM145" s="143"/>
      <c r="AN145" s="143"/>
      <c r="AO145" s="143"/>
      <c r="AP145" s="143"/>
      <c r="AQ145" s="143"/>
      <c r="AR145" s="142">
        <f>SUM(AS145:AV145)</f>
      </c>
      <c r="AS145" s="143"/>
      <c r="AT145" s="143"/>
      <c r="AU145" s="143"/>
      <c r="AV145" s="143"/>
      <c r="AW145" s="142">
        <f>SUM(AX145:BI145)</f>
      </c>
      <c r="AX145" s="143"/>
      <c r="AY145" s="143"/>
      <c r="AZ145" s="143"/>
      <c r="BA145" s="143"/>
      <c r="BB145" s="143"/>
      <c r="BC145" s="143"/>
      <c r="BD145" s="143"/>
      <c r="BE145" s="143"/>
      <c r="BF145" s="143"/>
      <c r="BG145" s="143"/>
      <c r="BH145" s="143"/>
      <c r="BI145" s="143"/>
      <c r="BJ145" s="142"/>
      <c r="BK145" s="143"/>
      <c r="BL145" s="143"/>
      <c r="BM145" s="143"/>
      <c r="BN145" s="143"/>
      <c r="BO145" s="143"/>
      <c r="BP145" s="143"/>
      <c r="BQ145" s="142"/>
      <c r="BR145" s="143"/>
      <c r="BS145" s="143"/>
      <c r="BT145" s="142">
        <f>SUM(BU145:BW145)</f>
      </c>
      <c r="BU145" s="143"/>
      <c r="BV145" s="143"/>
      <c r="BW145" s="143"/>
      <c r="BX145" s="142">
        <f>SUM(BY145:CD145)</f>
      </c>
      <c r="BY145" s="143"/>
      <c r="BZ145" s="143"/>
      <c r="CA145" s="143"/>
      <c r="CB145" s="143"/>
      <c r="CC145" s="143"/>
      <c r="CD145" s="143"/>
      <c r="CE145" s="142"/>
      <c r="CF145" s="143"/>
      <c r="CG145" s="143"/>
      <c r="CH145" s="143"/>
      <c r="CI145" s="143"/>
      <c r="CJ145" s="143"/>
      <c r="CK145" s="142">
        <f>SUM(CL145:CN145)</f>
      </c>
      <c r="CL145" s="143"/>
      <c r="CM145" s="143"/>
      <c r="CN145" s="143"/>
      <c r="CO145" s="142">
        <f>SUM(CP145:CT145)</f>
      </c>
      <c r="CP145" s="143"/>
      <c r="CQ145" s="143"/>
      <c r="CR145" s="143"/>
      <c r="CS145" s="143"/>
      <c r="CT145" s="143"/>
      <c r="CU145" s="142"/>
      <c r="CV145" s="143"/>
      <c r="CW145" s="143"/>
      <c r="CX145" s="143"/>
      <c r="CY145" s="142"/>
      <c r="CZ145" s="143"/>
      <c r="DA145" s="143"/>
      <c r="DB145" s="143"/>
      <c r="DC145" s="143"/>
      <c r="DD145" s="143"/>
      <c r="DE145" s="143"/>
      <c r="DF145" s="143"/>
      <c r="DG145" s="142">
        <f>SUM(DH145:DH145)</f>
      </c>
      <c r="DH145" s="143"/>
      <c r="DI145" s="142"/>
      <c r="DJ145" s="143"/>
      <c r="DK145" s="142">
        <f>SUM(DL145:DQ145)</f>
      </c>
      <c r="DL145" s="143"/>
      <c r="DM145" s="143"/>
      <c r="DN145" s="143"/>
      <c r="DO145" s="143"/>
      <c r="DP145" s="143"/>
      <c r="DQ145" s="143"/>
      <c r="DR145" s="143"/>
      <c r="DS145" s="143"/>
      <c r="DT145" s="143"/>
      <c r="DU145" s="143"/>
      <c r="DV145" s="143"/>
      <c r="DW145" s="143"/>
      <c r="DX145" s="142"/>
      <c r="DY145" s="143"/>
      <c r="DZ145" s="142"/>
      <c r="EA145" s="143"/>
      <c r="EB145" s="143"/>
      <c r="EC145" s="142"/>
      <c r="ED145" s="143"/>
      <c r="EF145" s="143"/>
      <c r="EG145" s="142">
        <f>SUM(EH145:EQ145)</f>
      </c>
      <c r="EH145" s="143"/>
      <c r="EI145" s="143"/>
      <c r="EJ145" s="143"/>
      <c r="EK145" s="143"/>
      <c r="EL145" s="143"/>
      <c r="EM145" s="143"/>
      <c r="EN145" s="143"/>
      <c r="EO145" s="143"/>
      <c r="EP145" s="143"/>
      <c r="EQ145" s="143"/>
      <c r="ER145" s="142">
        <f>SUM(ES145:ET145)</f>
      </c>
      <c r="ES145" s="143"/>
      <c r="ET145" s="143"/>
      <c r="EU145" s="144"/>
      <c r="FB145" s="146"/>
      <c r="FC145" s="146" cm="1">
        <f t="array" ref="FC145">ROW()-ROW(New[#Headers])</f>
        <v>139</v>
      </c>
    </row>
    <row r="146" spans="2:159" s="139" customFormat="1" ht="10.5" x14ac:dyDescent="0.2">
      <c r="B146" s="133"/>
      <c r="C146" s="3271" t="s">
        <v>606</v>
      </c>
      <c r="D146" t="s" s="3272">
        <v>607</v>
      </c>
      <c r="E146" s="3273" t="s">
        <v>13</v>
      </c>
      <c r="F146" t="s" s="3274">
        <v>750</v>
      </c>
      <c r="G146" t="s" s="3275">
        <v>305</v>
      </c>
      <c r="H146" s="3276" t="s">
        <v>46</v>
      </c>
      <c r="I146" t="s" s="3277">
        <v>41</v>
      </c>
      <c r="J146" t="s" s="3278">
        <v>74</v>
      </c>
      <c r="K146" t="s" s="3279">
        <v>1617</v>
      </c>
      <c r="L146" t="s" s="3280">
        <v>305</v>
      </c>
      <c r="M146" t="s" s="3281">
        <v>305</v>
      </c>
      <c r="N146" s="3282" t="s">
        <v>3870</v>
      </c>
      <c r="O146" s="3283" t="s">
        <v>3871</v>
      </c>
      <c r="P146" s="141"/>
      <c r="Q146" s="142">
        <f>SUM(R146:AQ146)</f>
      </c>
      <c r="R146" s="143"/>
      <c r="S146" s="143"/>
      <c r="T146" s="3284" t="n">
        <v>550.0</v>
      </c>
      <c r="U146" s="143"/>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2">
        <f>SUM(AS146:AV146)</f>
      </c>
      <c r="AS146" s="143"/>
      <c r="AT146" s="143"/>
      <c r="AU146" s="143"/>
      <c r="AV146" s="143"/>
      <c r="AW146" s="142">
        <f>SUM(AX146:BI146)</f>
      </c>
      <c r="AX146" s="143"/>
      <c r="AY146" s="143"/>
      <c r="AZ146" s="143"/>
      <c r="BA146" s="143"/>
      <c r="BB146" s="143"/>
      <c r="BC146" s="143"/>
      <c r="BD146" s="143"/>
      <c r="BE146" s="143"/>
      <c r="BF146" s="143"/>
      <c r="BG146" s="143"/>
      <c r="BH146" s="143"/>
      <c r="BI146" s="143"/>
      <c r="BJ146" s="142"/>
      <c r="BK146" s="143"/>
      <c r="BL146" s="143"/>
      <c r="BM146" s="143"/>
      <c r="BN146" s="143"/>
      <c r="BO146" s="143"/>
      <c r="BP146" s="143"/>
      <c r="BQ146" s="142"/>
      <c r="BR146" s="143"/>
      <c r="BS146" s="143"/>
      <c r="BT146" s="142">
        <f>SUM(BU146:BW146)</f>
      </c>
      <c r="BU146" s="143"/>
      <c r="BV146" s="143"/>
      <c r="BW146" s="143"/>
      <c r="BX146" s="142">
        <f>SUM(BY146:CD146)</f>
      </c>
      <c r="BY146" s="143"/>
      <c r="BZ146" s="143"/>
      <c r="CA146" s="143"/>
      <c r="CB146" s="143"/>
      <c r="CC146" s="143"/>
      <c r="CD146" s="143"/>
      <c r="CE146" s="142"/>
      <c r="CF146" s="143"/>
      <c r="CG146" s="143"/>
      <c r="CH146" s="143"/>
      <c r="CI146" s="143"/>
      <c r="CJ146" s="143"/>
      <c r="CK146" s="142">
        <f>SUM(CL146:CN146)</f>
      </c>
      <c r="CL146" s="143"/>
      <c r="CM146" s="143"/>
      <c r="CN146" s="143"/>
      <c r="CO146" s="142">
        <f>SUM(CP146:CT146)</f>
      </c>
      <c r="CP146" s="143"/>
      <c r="CQ146" s="143"/>
      <c r="CR146" s="143"/>
      <c r="CS146" s="143"/>
      <c r="CT146" s="143"/>
      <c r="CU146" s="142"/>
      <c r="CV146" s="143"/>
      <c r="CW146" s="143"/>
      <c r="CX146" s="143"/>
      <c r="CY146" s="142"/>
      <c r="CZ146" s="143"/>
      <c r="DA146" s="143"/>
      <c r="DB146" s="143"/>
      <c r="DC146" s="143"/>
      <c r="DD146" s="143"/>
      <c r="DE146" s="143"/>
      <c r="DF146" s="143"/>
      <c r="DG146" s="142">
        <f>SUM(DH146:DH146)</f>
      </c>
      <c r="DH146" s="143"/>
      <c r="DI146" s="142"/>
      <c r="DJ146" s="143"/>
      <c r="DK146" s="142">
        <f>SUM(DL146:DQ146)</f>
      </c>
      <c r="DL146" s="143"/>
      <c r="DM146" s="143"/>
      <c r="DN146" s="143"/>
      <c r="DO146" s="143"/>
      <c r="DP146" s="143"/>
      <c r="DQ146" s="143"/>
      <c r="DR146" s="143"/>
      <c r="DS146" s="143"/>
      <c r="DT146" s="143"/>
      <c r="DU146" s="143"/>
      <c r="DV146" s="143"/>
      <c r="DW146" s="143"/>
      <c r="DX146" s="142"/>
      <c r="DY146" s="143"/>
      <c r="DZ146" s="142"/>
      <c r="EA146" s="143"/>
      <c r="EB146" s="143"/>
      <c r="EC146" s="142"/>
      <c r="ED146" s="143"/>
      <c r="EF146" s="143"/>
      <c r="EG146" s="142">
        <f>SUM(EH146:EQ146)</f>
      </c>
      <c r="EH146" s="143"/>
      <c r="EI146" s="143"/>
      <c r="EJ146" s="143"/>
      <c r="EK146" s="143"/>
      <c r="EL146" s="143"/>
      <c r="EM146" s="143"/>
      <c r="EN146" s="143"/>
      <c r="EO146" s="143"/>
      <c r="EP146" s="143"/>
      <c r="EQ146" s="143"/>
      <c r="ER146" s="142">
        <f>SUM(ES146:ET146)</f>
      </c>
      <c r="ES146" s="143"/>
      <c r="ET146" s="143"/>
      <c r="EU146" s="144"/>
      <c r="FB146" s="146"/>
      <c r="FC146" s="146" cm="1">
        <f t="array" ref="FC146">ROW()-ROW(New[#Headers])</f>
        <v>140</v>
      </c>
    </row>
    <row r="147" spans="2:159" s="139" customFormat="1" ht="10.5" x14ac:dyDescent="0.2">
      <c r="B147" s="133"/>
      <c r="C147" s="3285" t="s">
        <v>1695</v>
      </c>
      <c r="D147" t="s" s="3286">
        <v>629</v>
      </c>
      <c r="E147" s="3287" t="s">
        <v>305</v>
      </c>
      <c r="F147" t="s" s="3288">
        <v>810</v>
      </c>
      <c r="G147" t="s" s="3289">
        <v>305</v>
      </c>
      <c r="H147" s="3290" t="s">
        <v>305</v>
      </c>
      <c r="I147" t="s" s="3291">
        <v>41</v>
      </c>
      <c r="J147" t="s" s="3292">
        <v>71</v>
      </c>
      <c r="K147" t="s" s="3293">
        <v>783</v>
      </c>
      <c r="L147" t="s" s="3294">
        <v>305</v>
      </c>
      <c r="M147" t="s" s="3295">
        <v>305</v>
      </c>
      <c r="N147" s="3296" t="s">
        <v>3867</v>
      </c>
      <c r="O147" s="3297" t="s">
        <v>3868</v>
      </c>
      <c r="P147" s="141"/>
      <c r="Q147" s="142">
        <f>SUM(R147:AQ147)</f>
      </c>
      <c r="R147" s="143"/>
      <c r="S147" s="143"/>
      <c r="T147" s="143"/>
      <c r="U147" s="143"/>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2">
        <f>SUM(AS147:AV147)</f>
      </c>
      <c r="AS147" s="143"/>
      <c r="AT147" s="143"/>
      <c r="AU147" s="143"/>
      <c r="AV147" s="143"/>
      <c r="AW147" s="142">
        <f>SUM(AX147:BI147)</f>
      </c>
      <c r="AX147" s="143"/>
      <c r="AY147" s="143"/>
      <c r="AZ147" s="143"/>
      <c r="BA147" s="143"/>
      <c r="BB147" s="143"/>
      <c r="BC147" s="143"/>
      <c r="BD147" s="143"/>
      <c r="BE147" s="143"/>
      <c r="BF147" s="143"/>
      <c r="BG147" s="143"/>
      <c r="BH147" s="143"/>
      <c r="BI147" s="143"/>
      <c r="BJ147" s="142"/>
      <c r="BK147" s="143"/>
      <c r="BL147" s="143"/>
      <c r="BM147" s="143"/>
      <c r="BN147" s="143"/>
      <c r="BO147" s="143"/>
      <c r="BP147" s="143"/>
      <c r="BQ147" s="142"/>
      <c r="BR147" s="143"/>
      <c r="BS147" s="143"/>
      <c r="BT147" s="142">
        <f>SUM(BU147:BW147)</f>
      </c>
      <c r="BU147" s="143"/>
      <c r="BV147" s="143"/>
      <c r="BW147" s="143"/>
      <c r="BX147" s="142">
        <f>SUM(BY147:CD147)</f>
      </c>
      <c r="BY147" s="143"/>
      <c r="BZ147" s="143"/>
      <c r="CA147" s="143"/>
      <c r="CB147" s="143"/>
      <c r="CC147" s="143"/>
      <c r="CD147" s="143"/>
      <c r="CE147" s="142"/>
      <c r="CF147" s="143"/>
      <c r="CG147" s="143"/>
      <c r="CH147" s="143"/>
      <c r="CI147" s="143"/>
      <c r="CJ147" s="143"/>
      <c r="CK147" s="142">
        <f>SUM(CL147:CN147)</f>
      </c>
      <c r="CL147" s="143"/>
      <c r="CM147" s="143"/>
      <c r="CN147" s="143"/>
      <c r="CO147" s="142">
        <f>SUM(CP147:CT147)</f>
      </c>
      <c r="CP147" s="143"/>
      <c r="CQ147" s="143"/>
      <c r="CR147" s="143"/>
      <c r="CS147" s="143"/>
      <c r="CT147" s="143"/>
      <c r="CU147" s="142"/>
      <c r="CV147" s="143"/>
      <c r="CW147" s="143"/>
      <c r="CX147" s="143"/>
      <c r="CY147" s="142"/>
      <c r="CZ147" s="143"/>
      <c r="DA147" s="143"/>
      <c r="DB147" s="143"/>
      <c r="DC147" s="143"/>
      <c r="DD147" s="143"/>
      <c r="DE147" s="143"/>
      <c r="DF147" s="143"/>
      <c r="DG147" s="142">
        <f>SUM(DH147:DH147)</f>
      </c>
      <c r="DH147" s="143"/>
      <c r="DI147" s="142"/>
      <c r="DJ147" s="143"/>
      <c r="DK147" s="142">
        <f>SUM(DL147:DQ147)</f>
      </c>
      <c r="DL147" s="143"/>
      <c r="DM147" s="143"/>
      <c r="DN147" s="143"/>
      <c r="DO147" s="143"/>
      <c r="DP147" s="143"/>
      <c r="DQ147" s="143"/>
      <c r="DR147" s="143"/>
      <c r="DS147" s="143"/>
      <c r="DT147" s="143"/>
      <c r="DU147" s="143"/>
      <c r="DV147" s="143"/>
      <c r="DW147" s="143"/>
      <c r="DX147" s="142"/>
      <c r="DY147" s="143"/>
      <c r="DZ147" s="142"/>
      <c r="EA147" s="143"/>
      <c r="EB147" s="143"/>
      <c r="EC147" s="142"/>
      <c r="ED147" s="143"/>
      <c r="EF147" s="143"/>
      <c r="EG147" s="142">
        <f>SUM(EH147:EQ147)</f>
      </c>
      <c r="EH147" s="143"/>
      <c r="EI147" s="143"/>
      <c r="EJ147" s="143"/>
      <c r="EK147" s="143"/>
      <c r="EL147" s="143"/>
      <c r="EM147" s="143"/>
      <c r="EN147" s="143"/>
      <c r="EO147" s="143"/>
      <c r="EP147" s="143"/>
      <c r="EQ147" s="143"/>
      <c r="ER147" s="142">
        <f>SUM(ES147:ET147)</f>
      </c>
      <c r="ES147" s="143"/>
      <c r="ET147" s="143"/>
      <c r="EU147" s="144"/>
      <c r="FB147" s="146"/>
      <c r="FC147" s="146" cm="1">
        <f t="array" ref="FC147">ROW()-ROW(New[#Headers])</f>
        <v>141</v>
      </c>
    </row>
    <row r="148" spans="2:159" s="139" customFormat="1" ht="10.5" x14ac:dyDescent="0.2">
      <c r="B148" s="133"/>
      <c r="C148" s="3298" t="s">
        <v>1602</v>
      </c>
      <c r="D148" t="s" s="3299">
        <v>306</v>
      </c>
      <c r="E148" s="3300" t="s">
        <v>732</v>
      </c>
      <c r="F148" t="s" s="3301">
        <v>810</v>
      </c>
      <c r="G148" t="s" s="3302">
        <v>1597</v>
      </c>
      <c r="H148" s="3303" t="s">
        <v>53</v>
      </c>
      <c r="I148" t="s" s="3304">
        <v>41</v>
      </c>
      <c r="J148" t="s" s="3305">
        <v>71</v>
      </c>
      <c r="K148" t="s" s="3306">
        <v>1603</v>
      </c>
      <c r="L148" t="s" s="3307">
        <v>305</v>
      </c>
      <c r="M148" t="s" s="3308">
        <v>305</v>
      </c>
      <c r="N148" s="3309" t="s">
        <v>3867</v>
      </c>
      <c r="O148" s="3310" t="s">
        <v>3868</v>
      </c>
      <c r="P148" s="141"/>
      <c r="Q148" s="142">
        <f>SUM(R148:AQ148)</f>
      </c>
      <c r="R148" s="143"/>
      <c r="S148" s="143"/>
      <c r="T148" s="143"/>
      <c r="U148" s="143"/>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2">
        <f>SUM(AS148:AV148)</f>
      </c>
      <c r="AS148" s="143"/>
      <c r="AT148" s="143"/>
      <c r="AU148" s="143"/>
      <c r="AV148" s="143"/>
      <c r="AW148" s="142">
        <f>SUM(AX148:BI148)</f>
      </c>
      <c r="AX148" s="143"/>
      <c r="AY148" s="143"/>
      <c r="AZ148" s="143"/>
      <c r="BA148" s="143"/>
      <c r="BB148" s="143"/>
      <c r="BC148" s="143"/>
      <c r="BD148" s="143"/>
      <c r="BE148" s="143"/>
      <c r="BF148" s="143"/>
      <c r="BG148" s="143"/>
      <c r="BH148" s="143"/>
      <c r="BI148" s="143"/>
      <c r="BJ148" s="142"/>
      <c r="BK148" s="143"/>
      <c r="BL148" s="143"/>
      <c r="BM148" s="143"/>
      <c r="BN148" s="143"/>
      <c r="BO148" s="143"/>
      <c r="BP148" s="143"/>
      <c r="BQ148" s="142"/>
      <c r="BR148" s="143"/>
      <c r="BS148" s="143"/>
      <c r="BT148" s="142">
        <f>SUM(BU148:BW148)</f>
      </c>
      <c r="BU148" s="143"/>
      <c r="BV148" s="143"/>
      <c r="BW148" s="143"/>
      <c r="BX148" s="142">
        <f>SUM(BY148:CD148)</f>
      </c>
      <c r="BY148" s="143"/>
      <c r="BZ148" s="143"/>
      <c r="CA148" s="143"/>
      <c r="CB148" s="143"/>
      <c r="CC148" s="143"/>
      <c r="CD148" s="143"/>
      <c r="CE148" s="142"/>
      <c r="CF148" s="143"/>
      <c r="CG148" s="143"/>
      <c r="CH148" s="143"/>
      <c r="CI148" s="143"/>
      <c r="CJ148" s="143"/>
      <c r="CK148" s="142">
        <f>SUM(CL148:CN148)</f>
      </c>
      <c r="CL148" s="143"/>
      <c r="CM148" s="143"/>
      <c r="CN148" s="143"/>
      <c r="CO148" s="142">
        <f>SUM(CP148:CT148)</f>
      </c>
      <c r="CP148" s="143"/>
      <c r="CQ148" s="143"/>
      <c r="CR148" s="143"/>
      <c r="CS148" s="143"/>
      <c r="CT148" s="143"/>
      <c r="CU148" s="142"/>
      <c r="CV148" s="143"/>
      <c r="CW148" s="143"/>
      <c r="CX148" s="143"/>
      <c r="CY148" s="142"/>
      <c r="CZ148" s="143"/>
      <c r="DA148" s="143"/>
      <c r="DB148" s="143"/>
      <c r="DC148" s="143"/>
      <c r="DD148" s="143"/>
      <c r="DE148" s="143"/>
      <c r="DF148" s="143"/>
      <c r="DG148" s="142">
        <f>SUM(DH148:DH148)</f>
      </c>
      <c r="DH148" s="143"/>
      <c r="DI148" s="142"/>
      <c r="DJ148" s="143"/>
      <c r="DK148" s="142">
        <f>SUM(DL148:DQ148)</f>
      </c>
      <c r="DL148" s="143"/>
      <c r="DM148" s="143"/>
      <c r="DN148" s="143"/>
      <c r="DO148" s="143"/>
      <c r="DP148" s="143"/>
      <c r="DQ148" s="143"/>
      <c r="DR148" s="143"/>
      <c r="DS148" s="143"/>
      <c r="DT148" s="143"/>
      <c r="DU148" s="143"/>
      <c r="DV148" s="143"/>
      <c r="DW148" s="143"/>
      <c r="DX148" s="142"/>
      <c r="DY148" s="143"/>
      <c r="DZ148" s="142"/>
      <c r="EA148" s="143"/>
      <c r="EB148" s="143"/>
      <c r="EC148" s="142"/>
      <c r="ED148" s="143"/>
      <c r="EF148" s="143"/>
      <c r="EG148" s="142">
        <f>SUM(EH148:EQ148)</f>
      </c>
      <c r="EH148" s="143"/>
      <c r="EI148" s="143"/>
      <c r="EJ148" s="143"/>
      <c r="EK148" s="143"/>
      <c r="EL148" s="143"/>
      <c r="EM148" s="143"/>
      <c r="EN148" s="143"/>
      <c r="EO148" s="143"/>
      <c r="EP148" s="143"/>
      <c r="EQ148" s="143"/>
      <c r="ER148" s="142">
        <f>SUM(ES148:ET148)</f>
      </c>
      <c r="ES148" s="143"/>
      <c r="ET148" s="143"/>
      <c r="EU148" s="144"/>
      <c r="FB148" s="146"/>
      <c r="FC148" s="146" cm="1">
        <f t="array" ref="FC148">ROW()-ROW(New[#Headers])</f>
        <v>142</v>
      </c>
    </row>
    <row r="149" spans="2:159" s="139" customFormat="1" ht="10.5" x14ac:dyDescent="0.2">
      <c r="B149" s="133"/>
      <c r="C149" s="3311" t="s">
        <v>490</v>
      </c>
      <c r="D149" t="s" s="3312">
        <v>491</v>
      </c>
      <c r="E149" s="3313" t="s">
        <v>23</v>
      </c>
      <c r="F149" t="s" s="3314">
        <v>1109</v>
      </c>
      <c r="G149" t="s" s="3315">
        <v>305</v>
      </c>
      <c r="H149" s="3316" t="s">
        <v>59</v>
      </c>
      <c r="I149" t="s" s="3317">
        <v>41</v>
      </c>
      <c r="J149" t="s" s="3318">
        <v>68</v>
      </c>
      <c r="K149" t="s" s="3319">
        <v>1659</v>
      </c>
      <c r="L149" t="s" s="3320">
        <v>751</v>
      </c>
      <c r="M149" t="s" s="3321">
        <v>305</v>
      </c>
      <c r="N149" s="3322" t="s">
        <v>3873</v>
      </c>
      <c r="O149" s="3323" t="s">
        <v>3878</v>
      </c>
      <c r="P149" s="141"/>
      <c r="Q149" s="142">
        <f>SUM(R149:AQ149)</f>
      </c>
      <c r="R149" s="143"/>
      <c r="S149" s="143"/>
      <c r="T149" s="143"/>
      <c r="U149" s="143"/>
      <c r="V149" s="143"/>
      <c r="W149" s="143"/>
      <c r="X149" s="143"/>
      <c r="Y149" s="143"/>
      <c r="Z149" s="143"/>
      <c r="AA149" s="143"/>
      <c r="AB149" s="143"/>
      <c r="AC149" s="143"/>
      <c r="AD149" s="3324" t="n">
        <v>400.0</v>
      </c>
      <c r="AE149" s="143"/>
      <c r="AF149" s="143"/>
      <c r="AG149" s="143"/>
      <c r="AH149" s="143"/>
      <c r="AI149" s="143"/>
      <c r="AJ149" s="143"/>
      <c r="AK149" s="143"/>
      <c r="AL149" s="143"/>
      <c r="AM149" s="143"/>
      <c r="AN149" s="143"/>
      <c r="AO149" s="143"/>
      <c r="AP149" s="143"/>
      <c r="AQ149" s="143"/>
      <c r="AR149" s="142">
        <f>SUM(AS149:AV149)</f>
      </c>
      <c r="AS149" s="143"/>
      <c r="AT149" s="143"/>
      <c r="AU149" s="143"/>
      <c r="AV149" s="143"/>
      <c r="AW149" s="142">
        <f>SUM(AX149:BI149)</f>
      </c>
      <c r="AX149" s="143"/>
      <c r="AY149" s="143"/>
      <c r="AZ149" s="143"/>
      <c r="BA149" s="143"/>
      <c r="BB149" s="143"/>
      <c r="BC149" s="143"/>
      <c r="BD149" s="143"/>
      <c r="BE149" s="143"/>
      <c r="BF149" s="143"/>
      <c r="BG149" s="143"/>
      <c r="BH149" s="143"/>
      <c r="BI149" s="143"/>
      <c r="BJ149" s="142"/>
      <c r="BK149" s="143"/>
      <c r="BL149" s="143"/>
      <c r="BM149" s="143"/>
      <c r="BN149" s="143"/>
      <c r="BO149" s="143"/>
      <c r="BP149" s="143"/>
      <c r="BQ149" s="142"/>
      <c r="BR149" s="143"/>
      <c r="BS149" s="143"/>
      <c r="BT149" s="142">
        <f>SUM(BU149:BW149)</f>
      </c>
      <c r="BU149" s="143"/>
      <c r="BV149" s="143"/>
      <c r="BW149" s="143"/>
      <c r="BX149" s="142">
        <f>SUM(BY149:CD149)</f>
      </c>
      <c r="BY149" s="143"/>
      <c r="BZ149" s="143"/>
      <c r="CA149" s="143"/>
      <c r="CB149" s="143"/>
      <c r="CC149" s="143"/>
      <c r="CD149" s="143"/>
      <c r="CE149" s="142"/>
      <c r="CF149" s="143"/>
      <c r="CG149" s="143"/>
      <c r="CH149" s="143"/>
      <c r="CI149" s="143"/>
      <c r="CJ149" s="143"/>
      <c r="CK149" s="142">
        <f>SUM(CL149:CN149)</f>
      </c>
      <c r="CL149" s="143"/>
      <c r="CM149" s="143"/>
      <c r="CN149" s="143"/>
      <c r="CO149" s="142">
        <f>SUM(CP149:CT149)</f>
      </c>
      <c r="CP149" s="143"/>
      <c r="CQ149" s="143"/>
      <c r="CR149" s="143"/>
      <c r="CS149" s="143"/>
      <c r="CT149" s="143"/>
      <c r="CU149" s="142"/>
      <c r="CV149" s="143"/>
      <c r="CW149" s="143"/>
      <c r="CX149" s="143"/>
      <c r="CY149" s="142"/>
      <c r="CZ149" s="143"/>
      <c r="DA149" s="143"/>
      <c r="DB149" s="143"/>
      <c r="DC149" s="143"/>
      <c r="DD149" s="143"/>
      <c r="DE149" s="143"/>
      <c r="DF149" s="143"/>
      <c r="DG149" s="142">
        <f>SUM(DH149:DH149)</f>
      </c>
      <c r="DH149" s="143"/>
      <c r="DI149" s="142"/>
      <c r="DJ149" s="143"/>
      <c r="DK149" s="142">
        <f>SUM(DL149:DQ149)</f>
      </c>
      <c r="DL149" s="143"/>
      <c r="DM149" s="143"/>
      <c r="DN149" s="143"/>
      <c r="DO149" s="143"/>
      <c r="DP149" s="143"/>
      <c r="DQ149" s="143"/>
      <c r="DR149" s="143"/>
      <c r="DS149" s="143"/>
      <c r="DT149" s="143"/>
      <c r="DU149" s="143"/>
      <c r="DV149" s="143"/>
      <c r="DW149" s="143"/>
      <c r="DX149" s="142"/>
      <c r="DY149" s="143"/>
      <c r="DZ149" s="142"/>
      <c r="EA149" s="143"/>
      <c r="EB149" s="143"/>
      <c r="EC149" s="142"/>
      <c r="ED149" s="143"/>
      <c r="EF149" s="143"/>
      <c r="EG149" s="142">
        <f>SUM(EH149:EQ149)</f>
      </c>
      <c r="EH149" s="143"/>
      <c r="EI149" s="143"/>
      <c r="EJ149" s="143"/>
      <c r="EK149" s="143"/>
      <c r="EL149" s="143"/>
      <c r="EM149" s="143"/>
      <c r="EN149" s="143"/>
      <c r="EO149" s="143"/>
      <c r="EP149" s="143"/>
      <c r="EQ149" s="143"/>
      <c r="ER149" s="142">
        <f>SUM(ES149:ET149)</f>
      </c>
      <c r="ES149" s="143"/>
      <c r="ET149" s="143"/>
      <c r="EU149" s="144"/>
      <c r="FB149" s="146"/>
      <c r="FC149" s="146" cm="1">
        <f t="array" ref="FC149">ROW()-ROW(New[#Headers])</f>
        <v>143</v>
      </c>
    </row>
    <row r="150" spans="2:159" s="139" customFormat="1" ht="10.5" x14ac:dyDescent="0.2">
      <c r="B150" s="133"/>
      <c r="C150" s="3325" t="s">
        <v>614</v>
      </c>
      <c r="D150" t="s" s="3326">
        <v>615</v>
      </c>
      <c r="E150" s="3327" t="s">
        <v>13</v>
      </c>
      <c r="F150" t="s" s="3328">
        <v>750</v>
      </c>
      <c r="G150" t="s" s="3329">
        <v>1597</v>
      </c>
      <c r="H150" s="3330" t="s">
        <v>46</v>
      </c>
      <c r="I150" t="s" s="3331">
        <v>41</v>
      </c>
      <c r="J150" t="s" s="3332">
        <v>74</v>
      </c>
      <c r="K150" t="s" s="3333">
        <v>1609</v>
      </c>
      <c r="L150" t="s" s="3334">
        <v>305</v>
      </c>
      <c r="M150" t="s" s="3335">
        <v>305</v>
      </c>
      <c r="N150" s="3336" t="s">
        <v>3870</v>
      </c>
      <c r="O150" s="3337" t="s">
        <v>3871</v>
      </c>
      <c r="P150" s="141"/>
      <c r="Q150" s="142">
        <f>SUM(R150:AQ150)</f>
      </c>
      <c r="R150" s="143"/>
      <c r="S150" s="143"/>
      <c r="T150" s="3338" t="n">
        <v>350.0</v>
      </c>
      <c r="U150" s="143"/>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2">
        <f>SUM(AS150:AV150)</f>
      </c>
      <c r="AS150" s="143"/>
      <c r="AT150" s="143"/>
      <c r="AU150" s="143"/>
      <c r="AV150" s="143"/>
      <c r="AW150" s="142">
        <f>SUM(AX150:BI150)</f>
      </c>
      <c r="AX150" s="143"/>
      <c r="AY150" s="143"/>
      <c r="AZ150" s="143"/>
      <c r="BA150" s="143"/>
      <c r="BB150" s="143"/>
      <c r="BC150" s="143"/>
      <c r="BD150" s="143"/>
      <c r="BE150" s="143"/>
      <c r="BF150" s="143"/>
      <c r="BG150" s="143"/>
      <c r="BH150" s="143"/>
      <c r="BI150" s="143"/>
      <c r="BJ150" s="142"/>
      <c r="BK150" s="143"/>
      <c r="BL150" s="143"/>
      <c r="BM150" s="143"/>
      <c r="BN150" s="143"/>
      <c r="BO150" s="143"/>
      <c r="BP150" s="143"/>
      <c r="BQ150" s="142"/>
      <c r="BR150" s="143"/>
      <c r="BS150" s="143"/>
      <c r="BT150" s="142">
        <f>SUM(BU150:BW150)</f>
      </c>
      <c r="BU150" s="143"/>
      <c r="BV150" s="143"/>
      <c r="BW150" s="143"/>
      <c r="BX150" s="142">
        <f>SUM(BY150:CD150)</f>
      </c>
      <c r="BY150" s="143"/>
      <c r="BZ150" s="143"/>
      <c r="CA150" s="143"/>
      <c r="CB150" s="143"/>
      <c r="CC150" s="143"/>
      <c r="CD150" s="143"/>
      <c r="CE150" s="142"/>
      <c r="CF150" s="143"/>
      <c r="CG150" s="143"/>
      <c r="CH150" s="143"/>
      <c r="CI150" s="143"/>
      <c r="CJ150" s="143"/>
      <c r="CK150" s="142">
        <f>SUM(CL150:CN150)</f>
      </c>
      <c r="CL150" s="143"/>
      <c r="CM150" s="143"/>
      <c r="CN150" s="143"/>
      <c r="CO150" s="142">
        <f>SUM(CP150:CT150)</f>
      </c>
      <c r="CP150" s="143"/>
      <c r="CQ150" s="143"/>
      <c r="CR150" s="143"/>
      <c r="CS150" s="143"/>
      <c r="CT150" s="143"/>
      <c r="CU150" s="142"/>
      <c r="CV150" s="143"/>
      <c r="CW150" s="143"/>
      <c r="CX150" s="143"/>
      <c r="CY150" s="142"/>
      <c r="CZ150" s="143"/>
      <c r="DA150" s="143"/>
      <c r="DB150" s="143"/>
      <c r="DC150" s="143"/>
      <c r="DD150" s="143"/>
      <c r="DE150" s="143"/>
      <c r="DF150" s="143"/>
      <c r="DG150" s="142">
        <f>SUM(DH150:DH150)</f>
      </c>
      <c r="DH150" s="143"/>
      <c r="DI150" s="142"/>
      <c r="DJ150" s="143"/>
      <c r="DK150" s="142">
        <f>SUM(DL150:DQ150)</f>
      </c>
      <c r="DL150" s="143"/>
      <c r="DM150" s="143"/>
      <c r="DN150" s="143"/>
      <c r="DO150" s="143"/>
      <c r="DP150" s="143"/>
      <c r="DQ150" s="143"/>
      <c r="DR150" s="143"/>
      <c r="DS150" s="143"/>
      <c r="DT150" s="143"/>
      <c r="DU150" s="143"/>
      <c r="DV150" s="143"/>
      <c r="DW150" s="143"/>
      <c r="DX150" s="142"/>
      <c r="DY150" s="143"/>
      <c r="DZ150" s="142"/>
      <c r="EA150" s="143"/>
      <c r="EB150" s="143"/>
      <c r="EC150" s="142"/>
      <c r="ED150" s="143"/>
      <c r="EF150" s="143"/>
      <c r="EG150" s="142">
        <f>SUM(EH150:EQ150)</f>
      </c>
      <c r="EH150" s="143"/>
      <c r="EI150" s="143"/>
      <c r="EJ150" s="143"/>
      <c r="EK150" s="143"/>
      <c r="EL150" s="143"/>
      <c r="EM150" s="143"/>
      <c r="EN150" s="143"/>
      <c r="EO150" s="143"/>
      <c r="EP150" s="143"/>
      <c r="EQ150" s="143"/>
      <c r="ER150" s="142">
        <f>SUM(ES150:ET150)</f>
      </c>
      <c r="ES150" s="143"/>
      <c r="ET150" s="143"/>
      <c r="EU150" s="144"/>
      <c r="FB150" s="146"/>
      <c r="FC150" s="146" cm="1">
        <f t="array" ref="FC150">ROW()-ROW(New[#Headers])</f>
        <v>144</v>
      </c>
    </row>
    <row r="151" spans="2:159" s="139" customFormat="1" ht="10.5" x14ac:dyDescent="0.2">
      <c r="B151" s="133"/>
      <c r="C151" s="3339" t="s">
        <v>433</v>
      </c>
      <c r="D151" t="s" s="3340">
        <v>434</v>
      </c>
      <c r="E151" s="3341" t="s">
        <v>13</v>
      </c>
      <c r="F151" t="s" s="3342">
        <v>933</v>
      </c>
      <c r="G151" t="s" s="3343">
        <v>1597</v>
      </c>
      <c r="H151" s="3344" t="s">
        <v>46</v>
      </c>
      <c r="I151" t="s" s="3345">
        <v>22</v>
      </c>
      <c r="J151" t="s" s="3346">
        <v>64</v>
      </c>
      <c r="K151" t="s" s="3347">
        <v>1639</v>
      </c>
      <c r="L151" t="s" s="3348">
        <v>305</v>
      </c>
      <c r="M151" t="s" s="3349">
        <v>305</v>
      </c>
      <c r="N151" s="3350" t="s">
        <v>3875</v>
      </c>
      <c r="O151" s="3351" t="s">
        <v>3871</v>
      </c>
      <c r="P151" s="141"/>
      <c r="Q151" s="142">
        <f>SUM(R151:AQ151)</f>
      </c>
      <c r="R151" s="143"/>
      <c r="S151" s="143"/>
      <c r="T151" s="143"/>
      <c r="U151" s="143"/>
      <c r="V151" s="143"/>
      <c r="W151" s="143"/>
      <c r="X151" s="143"/>
      <c r="Y151" s="143"/>
      <c r="Z151" s="143"/>
      <c r="AA151" s="143"/>
      <c r="AB151" s="143"/>
      <c r="AC151" s="143"/>
      <c r="AD151" s="143"/>
      <c r="AE151" s="143"/>
      <c r="AF151" s="3352" t="n">
        <v>339.0</v>
      </c>
      <c r="AG151" s="143"/>
      <c r="AH151" s="143"/>
      <c r="AI151" s="143"/>
      <c r="AJ151" s="143"/>
      <c r="AK151" s="143"/>
      <c r="AL151" s="143"/>
      <c r="AM151" s="143"/>
      <c r="AN151" s="143"/>
      <c r="AO151" s="143"/>
      <c r="AP151" s="143"/>
      <c r="AQ151" s="143"/>
      <c r="AR151" s="142">
        <f>SUM(AS151:AV151)</f>
      </c>
      <c r="AS151" s="143"/>
      <c r="AT151" s="143"/>
      <c r="AU151" s="143"/>
      <c r="AV151" s="143"/>
      <c r="AW151" s="142">
        <f>SUM(AX151:BI151)</f>
      </c>
      <c r="AX151" s="143"/>
      <c r="AY151" s="143"/>
      <c r="AZ151" s="143"/>
      <c r="BA151" s="143"/>
      <c r="BB151" s="143"/>
      <c r="BC151" s="143"/>
      <c r="BD151" s="143"/>
      <c r="BE151" s="143"/>
      <c r="BF151" s="143"/>
      <c r="BG151" s="143"/>
      <c r="BH151" s="143"/>
      <c r="BI151" s="143"/>
      <c r="BJ151" s="142"/>
      <c r="BK151" s="143"/>
      <c r="BL151" s="143"/>
      <c r="BM151" s="143"/>
      <c r="BN151" s="143"/>
      <c r="BO151" s="143"/>
      <c r="BP151" s="143"/>
      <c r="BQ151" s="142"/>
      <c r="BR151" s="143"/>
      <c r="BS151" s="143"/>
      <c r="BT151" s="142">
        <f>SUM(BU151:BW151)</f>
      </c>
      <c r="BU151" s="143"/>
      <c r="BV151" s="143"/>
      <c r="BW151" s="143"/>
      <c r="BX151" s="142">
        <f>SUM(BY151:CD151)</f>
      </c>
      <c r="BY151" s="143"/>
      <c r="BZ151" s="143"/>
      <c r="CA151" s="143"/>
      <c r="CB151" s="143"/>
      <c r="CC151" s="143"/>
      <c r="CD151" s="143"/>
      <c r="CE151" s="142"/>
      <c r="CF151" s="143"/>
      <c r="CG151" s="143"/>
      <c r="CH151" s="143"/>
      <c r="CI151" s="143"/>
      <c r="CJ151" s="143"/>
      <c r="CK151" s="142">
        <f>SUM(CL151:CN151)</f>
      </c>
      <c r="CL151" s="143"/>
      <c r="CM151" s="143"/>
      <c r="CN151" s="143"/>
      <c r="CO151" s="142">
        <f>SUM(CP151:CT151)</f>
      </c>
      <c r="CP151" s="143"/>
      <c r="CQ151" s="143"/>
      <c r="CR151" s="143"/>
      <c r="CS151" s="143"/>
      <c r="CT151" s="143"/>
      <c r="CU151" s="142"/>
      <c r="CV151" s="143"/>
      <c r="CW151" s="143"/>
      <c r="CX151" s="143"/>
      <c r="CY151" s="142"/>
      <c r="CZ151" s="143"/>
      <c r="DA151" s="143"/>
      <c r="DB151" s="143"/>
      <c r="DC151" s="143"/>
      <c r="DD151" s="143"/>
      <c r="DE151" s="143"/>
      <c r="DF151" s="143"/>
      <c r="DG151" s="142">
        <f>SUM(DH151:DH151)</f>
      </c>
      <c r="DH151" s="143"/>
      <c r="DI151" s="142"/>
      <c r="DJ151" s="143"/>
      <c r="DK151" s="142">
        <f>SUM(DL151:DQ151)</f>
      </c>
      <c r="DL151" s="143"/>
      <c r="DM151" s="143"/>
      <c r="DN151" s="143"/>
      <c r="DO151" s="143"/>
      <c r="DP151" s="143"/>
      <c r="DQ151" s="143"/>
      <c r="DR151" s="143"/>
      <c r="DS151" s="143"/>
      <c r="DT151" s="143"/>
      <c r="DU151" s="143"/>
      <c r="DV151" s="143"/>
      <c r="DW151" s="143"/>
      <c r="DX151" s="142"/>
      <c r="DY151" s="143"/>
      <c r="DZ151" s="142"/>
      <c r="EA151" s="143"/>
      <c r="EB151" s="143"/>
      <c r="EC151" s="142"/>
      <c r="ED151" s="143"/>
      <c r="EF151" s="143"/>
      <c r="EG151" s="142">
        <f>SUM(EH151:EQ151)</f>
      </c>
      <c r="EH151" s="143"/>
      <c r="EI151" s="143"/>
      <c r="EJ151" s="143"/>
      <c r="EK151" s="143"/>
      <c r="EL151" s="143"/>
      <c r="EM151" s="143"/>
      <c r="EN151" s="143"/>
      <c r="EO151" s="143"/>
      <c r="EP151" s="143"/>
      <c r="EQ151" s="143"/>
      <c r="ER151" s="142">
        <f>SUM(ES151:ET151)</f>
      </c>
      <c r="ES151" s="143"/>
      <c r="ET151" s="143"/>
      <c r="EU151" s="144"/>
      <c r="FB151" s="146"/>
      <c r="FC151" s="146" cm="1">
        <f t="array" ref="FC151">ROW()-ROW(New[#Headers])</f>
        <v>145</v>
      </c>
    </row>
    <row r="152" spans="2:159" s="139" customFormat="1" ht="10.5" x14ac:dyDescent="0.2">
      <c r="B152" s="133"/>
      <c r="C152" s="3384" t="s">
        <v>1690</v>
      </c>
      <c r="D152" t="s" s="3385">
        <v>626</v>
      </c>
      <c r="E152" s="3386" t="s">
        <v>13</v>
      </c>
      <c r="F152" t="s" s="3387">
        <v>750</v>
      </c>
      <c r="G152" t="s" s="3388">
        <v>345</v>
      </c>
      <c r="H152" s="3389" t="s">
        <v>46</v>
      </c>
      <c r="I152" t="s" s="3390">
        <v>41</v>
      </c>
      <c r="J152" t="s" s="3391">
        <v>64</v>
      </c>
      <c r="K152" t="s" s="3392">
        <v>1232</v>
      </c>
      <c r="L152" t="s" s="3393">
        <v>751</v>
      </c>
      <c r="M152" t="s" s="3394">
        <v>305</v>
      </c>
      <c r="N152" s="3395" t="s">
        <v>3867</v>
      </c>
      <c r="O152" s="3396" t="s">
        <v>3871</v>
      </c>
      <c r="P152" s="141"/>
      <c r="Q152" s="142">
        <f>SUM(R152:AQ152)</f>
      </c>
      <c r="R152" s="143"/>
      <c r="S152" s="143"/>
      <c r="T152" s="143"/>
      <c r="U152" s="143"/>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2">
        <f>SUM(AS152:AV152)</f>
      </c>
      <c r="AS152" s="143"/>
      <c r="AT152" s="143"/>
      <c r="AU152" s="143"/>
      <c r="AV152" s="143"/>
      <c r="AW152" s="142">
        <f>SUM(AX152:BI152)</f>
      </c>
      <c r="AX152" s="143"/>
      <c r="AY152" s="143"/>
      <c r="AZ152" s="143"/>
      <c r="BA152" s="143"/>
      <c r="BB152" s="143"/>
      <c r="BC152" s="143"/>
      <c r="BD152" s="143"/>
      <c r="BE152" s="143"/>
      <c r="BF152" s="143"/>
      <c r="BG152" s="143"/>
      <c r="BH152" s="143"/>
      <c r="BI152" s="143"/>
      <c r="BJ152" s="142"/>
      <c r="BK152" s="143"/>
      <c r="BL152" s="143"/>
      <c r="BM152" s="143"/>
      <c r="BN152" s="143"/>
      <c r="BO152" s="143"/>
      <c r="BP152" s="143"/>
      <c r="BQ152" s="142"/>
      <c r="BR152" s="143"/>
      <c r="BS152" s="143"/>
      <c r="BT152" s="142">
        <f>SUM(BU152:BW152)</f>
      </c>
      <c r="BU152" s="143"/>
      <c r="BV152" s="143"/>
      <c r="BW152" s="143"/>
      <c r="BX152" s="142">
        <f>SUM(BY152:CD152)</f>
      </c>
      <c r="BY152" s="143"/>
      <c r="BZ152" s="143"/>
      <c r="CA152" s="143"/>
      <c r="CB152" s="143"/>
      <c r="CC152" s="143"/>
      <c r="CD152" s="143"/>
      <c r="CE152" s="142"/>
      <c r="CF152" s="143"/>
      <c r="CG152" s="143"/>
      <c r="CH152" s="143"/>
      <c r="CI152" s="143"/>
      <c r="CJ152" s="143"/>
      <c r="CK152" s="142">
        <f>SUM(CL152:CN152)</f>
      </c>
      <c r="CL152" s="143"/>
      <c r="CM152" s="143"/>
      <c r="CN152" s="143"/>
      <c r="CO152" s="142">
        <f>SUM(CP152:CT152)</f>
      </c>
      <c r="CP152" s="143"/>
      <c r="CQ152" s="143"/>
      <c r="CR152" s="143"/>
      <c r="CS152" s="143"/>
      <c r="CT152" s="143"/>
      <c r="CU152" s="142"/>
      <c r="CV152" s="143"/>
      <c r="CW152" s="143"/>
      <c r="CX152" s="143"/>
      <c r="CY152" s="142"/>
      <c r="CZ152" s="143"/>
      <c r="DA152" s="143"/>
      <c r="DB152" s="143"/>
      <c r="DC152" s="143"/>
      <c r="DD152" s="143"/>
      <c r="DE152" s="143"/>
      <c r="DF152" s="143"/>
      <c r="DG152" s="142">
        <f>SUM(DH152:DH152)</f>
      </c>
      <c r="DH152" s="143"/>
      <c r="DI152" s="142"/>
      <c r="DJ152" s="143"/>
      <c r="DK152" s="142">
        <f>SUM(DL152:DQ152)</f>
      </c>
      <c r="DL152" s="143"/>
      <c r="DM152" s="143"/>
      <c r="DN152" s="143"/>
      <c r="DO152" s="143"/>
      <c r="DP152" s="143"/>
      <c r="DQ152" s="143"/>
      <c r="DR152" s="143"/>
      <c r="DS152" s="143"/>
      <c r="DT152" s="143"/>
      <c r="DU152" s="143"/>
      <c r="DV152" s="143"/>
      <c r="DW152" s="143"/>
      <c r="DX152" s="142"/>
      <c r="DY152" s="143"/>
      <c r="DZ152" s="142"/>
      <c r="EA152" s="143"/>
      <c r="EB152" s="143"/>
      <c r="EC152" s="142"/>
      <c r="ED152" s="143"/>
      <c r="EF152" s="143"/>
      <c r="EG152" s="142">
        <f>SUM(EH152:EQ152)</f>
      </c>
      <c r="EH152" s="143"/>
      <c r="EI152" s="143"/>
      <c r="EJ152" s="143"/>
      <c r="EK152" s="143"/>
      <c r="EL152" s="143"/>
      <c r="EM152" s="143"/>
      <c r="EN152" s="143"/>
      <c r="EO152" s="143"/>
      <c r="EP152" s="143"/>
      <c r="EQ152" s="143"/>
      <c r="ER152" s="142">
        <f>SUM(ES152:ET152)</f>
      </c>
      <c r="ES152" s="143"/>
      <c r="ET152" s="143"/>
      <c r="EU152" s="144"/>
      <c r="FB152" s="146"/>
      <c r="FC152" s="146" cm="1">
        <f t="array" ref="FC152">ROW()-ROW(New[#Headers])</f>
        <v>146</v>
      </c>
    </row>
    <row r="153" spans="2:159" s="139" customFormat="1" ht="10.5" x14ac:dyDescent="0.2">
      <c r="B153" s="133"/>
      <c r="C153" s="3400" t="s">
        <v>518</v>
      </c>
      <c r="D153" t="s" s="3401">
        <v>519</v>
      </c>
      <c r="E153" s="3402" t="s">
        <v>13</v>
      </c>
      <c r="F153" t="s" s="3403">
        <v>1618</v>
      </c>
      <c r="G153" t="s" s="3404">
        <v>1597</v>
      </c>
      <c r="H153" s="3405" t="s">
        <v>49</v>
      </c>
      <c r="I153" t="s" s="3406">
        <v>41</v>
      </c>
      <c r="J153" t="s" s="3407">
        <v>64</v>
      </c>
      <c r="K153" t="s" s="3408">
        <v>839</v>
      </c>
      <c r="L153" t="s" s="3409">
        <v>767</v>
      </c>
      <c r="M153" t="s" s="3410">
        <v>305</v>
      </c>
      <c r="N153" s="3411" t="s">
        <v>3870</v>
      </c>
      <c r="O153" s="3412" t="s">
        <v>3878</v>
      </c>
      <c r="P153" s="141"/>
      <c r="Q153" s="142">
        <f>SUM(R153:AQ153)</f>
      </c>
      <c r="R153" s="143"/>
      <c r="S153" s="143"/>
      <c r="T153" s="143"/>
      <c r="U153" s="143"/>
      <c r="V153" s="143"/>
      <c r="W153" s="143"/>
      <c r="X153" s="143"/>
      <c r="Y153" s="143"/>
      <c r="Z153" s="143"/>
      <c r="AA153" s="143"/>
      <c r="AB153" s="143"/>
      <c r="AC153" s="143"/>
      <c r="AD153" s="143"/>
      <c r="AE153" s="143"/>
      <c r="AF153" s="143"/>
      <c r="AG153" s="143"/>
      <c r="AH153" s="143"/>
      <c r="AI153" s="143"/>
      <c r="AJ153" s="143"/>
      <c r="AK153" s="143"/>
      <c r="AL153" s="3413" t="n">
        <v>50.0</v>
      </c>
      <c r="AM153" s="143"/>
      <c r="AN153" s="143"/>
      <c r="AO153" s="143"/>
      <c r="AP153" s="143"/>
      <c r="AQ153" s="143"/>
      <c r="AR153" s="142">
        <f>SUM(AS153:AV153)</f>
      </c>
      <c r="AS153" s="143"/>
      <c r="AT153" s="143"/>
      <c r="AU153" s="143"/>
      <c r="AV153" s="143"/>
      <c r="AW153" s="142">
        <f>SUM(AX153:BI153)</f>
      </c>
      <c r="AX153" s="143"/>
      <c r="AY153" s="143"/>
      <c r="AZ153" s="143"/>
      <c r="BA153" s="143"/>
      <c r="BB153" s="143"/>
      <c r="BC153" s="143"/>
      <c r="BD153" s="143"/>
      <c r="BE153" s="143"/>
      <c r="BF153" s="143"/>
      <c r="BG153" s="143"/>
      <c r="BH153" s="143"/>
      <c r="BI153" s="143"/>
      <c r="BJ153" s="142"/>
      <c r="BK153" s="143"/>
      <c r="BL153" s="143"/>
      <c r="BM153" s="143"/>
      <c r="BN153" s="143"/>
      <c r="BO153" s="143"/>
      <c r="BP153" s="143"/>
      <c r="BQ153" s="142"/>
      <c r="BR153" s="143"/>
      <c r="BS153" s="143"/>
      <c r="BT153" s="142">
        <f>SUM(BU153:BW153)</f>
      </c>
      <c r="BU153" s="143"/>
      <c r="BV153" s="143"/>
      <c r="BW153" s="143"/>
      <c r="BX153" s="142">
        <f>SUM(BY153:CD153)</f>
      </c>
      <c r="BY153" s="143"/>
      <c r="BZ153" s="143"/>
      <c r="CA153" s="143"/>
      <c r="CB153" s="143"/>
      <c r="CC153" s="143"/>
      <c r="CD153" s="143"/>
      <c r="CE153" s="142"/>
      <c r="CF153" s="143"/>
      <c r="CG153" s="143"/>
      <c r="CH153" s="143"/>
      <c r="CI153" s="143"/>
      <c r="CJ153" s="143"/>
      <c r="CK153" s="142">
        <f>SUM(CL153:CN153)</f>
      </c>
      <c r="CL153" s="143"/>
      <c r="CM153" s="143"/>
      <c r="CN153" s="143"/>
      <c r="CO153" s="142">
        <f>SUM(CP153:CT153)</f>
      </c>
      <c r="CP153" s="143"/>
      <c r="CQ153" s="143"/>
      <c r="CR153" s="143"/>
      <c r="CS153" s="143"/>
      <c r="CT153" s="143"/>
      <c r="CU153" s="142"/>
      <c r="CV153" s="143"/>
      <c r="CW153" s="143"/>
      <c r="CX153" s="143"/>
      <c r="CY153" s="142"/>
      <c r="CZ153" s="143"/>
      <c r="DA153" s="143"/>
      <c r="DB153" s="143"/>
      <c r="DC153" s="143"/>
      <c r="DD153" s="143"/>
      <c r="DE153" s="143"/>
      <c r="DF153" s="143"/>
      <c r="DG153" s="142">
        <f>SUM(DH153:DH153)</f>
      </c>
      <c r="DH153" s="143"/>
      <c r="DI153" s="142"/>
      <c r="DJ153" s="143"/>
      <c r="DK153" s="142">
        <f>SUM(DL153:DQ153)</f>
      </c>
      <c r="DL153" s="143"/>
      <c r="DM153" s="143"/>
      <c r="DN153" s="143"/>
      <c r="DO153" s="143"/>
      <c r="DP153" s="143"/>
      <c r="DQ153" s="143"/>
      <c r="DR153" s="143"/>
      <c r="DS153" s="143"/>
      <c r="DT153" s="143"/>
      <c r="DU153" s="143"/>
      <c r="DV153" s="143"/>
      <c r="DW153" s="143"/>
      <c r="DX153" s="142"/>
      <c r="DY153" s="143"/>
      <c r="DZ153" s="142"/>
      <c r="EA153" s="143"/>
      <c r="EB153" s="143"/>
      <c r="EC153" s="142"/>
      <c r="ED153" s="143"/>
      <c r="EF153" s="143"/>
      <c r="EG153" s="142">
        <f>SUM(EH153:EQ153)</f>
      </c>
      <c r="EH153" s="143"/>
      <c r="EI153" s="143"/>
      <c r="EJ153" s="143"/>
      <c r="EK153" s="143"/>
      <c r="EL153" s="143"/>
      <c r="EM153" s="143"/>
      <c r="EN153" s="143"/>
      <c r="EO153" s="143"/>
      <c r="EP153" s="143"/>
      <c r="EQ153" s="143"/>
      <c r="ER153" s="142">
        <f>SUM(ES153:ET153)</f>
      </c>
      <c r="ES153" s="143"/>
      <c r="ET153" s="143"/>
      <c r="EU153" s="144"/>
      <c r="FB153" s="146"/>
      <c r="FC153" s="146" cm="1">
        <f t="array" ref="FC153">ROW()-ROW(New[#Headers])</f>
        <v>147</v>
      </c>
    </row>
    <row r="154" spans="2:159" s="139" customFormat="1" ht="10.5" x14ac:dyDescent="0.2">
      <c r="B154" s="133"/>
      <c r="C154" s="3445" t="s">
        <v>313</v>
      </c>
      <c r="D154" t="s" s="3446">
        <v>314</v>
      </c>
      <c r="E154" s="3447" t="s">
        <v>13</v>
      </c>
      <c r="F154" t="s" s="3448">
        <v>766</v>
      </c>
      <c r="G154" t="s" s="3449">
        <v>1597</v>
      </c>
      <c r="H154" s="3450" t="s">
        <v>46</v>
      </c>
      <c r="I154" t="s" s="3451">
        <v>41</v>
      </c>
      <c r="J154" t="s" s="3452">
        <v>68</v>
      </c>
      <c r="K154" t="s" s="3453">
        <v>1059</v>
      </c>
      <c r="L154" t="s" s="3454">
        <v>767</v>
      </c>
      <c r="M154" t="s" s="3455">
        <v>305</v>
      </c>
      <c r="N154" s="3456" t="s">
        <v>3875</v>
      </c>
      <c r="O154" s="3457" t="s">
        <v>3874</v>
      </c>
      <c r="P154" s="141"/>
      <c r="Q154" s="142">
        <f>SUM(R154:AQ154)</f>
      </c>
      <c r="R154" s="143"/>
      <c r="S154" s="143"/>
      <c r="T154" s="143"/>
      <c r="U154" s="143"/>
      <c r="V154" s="143"/>
      <c r="W154" s="143"/>
      <c r="X154" s="143"/>
      <c r="Y154" s="143"/>
      <c r="Z154" s="143"/>
      <c r="AA154" s="143"/>
      <c r="AB154" s="143"/>
      <c r="AC154" s="143"/>
      <c r="AD154" s="143"/>
      <c r="AE154" s="143"/>
      <c r="AF154" s="143"/>
      <c r="AG154" s="3458" t="n">
        <v>920.0</v>
      </c>
      <c r="AH154" s="143"/>
      <c r="AI154" s="143"/>
      <c r="AJ154" s="143"/>
      <c r="AK154" s="143"/>
      <c r="AL154" s="143"/>
      <c r="AM154" s="143"/>
      <c r="AN154" s="143"/>
      <c r="AO154" s="143"/>
      <c r="AP154" s="143"/>
      <c r="AQ154" s="143"/>
      <c r="AR154" s="142">
        <f>SUM(AS154:AV154)</f>
      </c>
      <c r="AS154" s="143"/>
      <c r="AT154" s="143"/>
      <c r="AU154" s="143"/>
      <c r="AV154" s="143"/>
      <c r="AW154" s="142">
        <f>SUM(AX154:BI154)</f>
      </c>
      <c r="AX154" s="143"/>
      <c r="AY154" s="143"/>
      <c r="AZ154" s="143"/>
      <c r="BA154" s="143"/>
      <c r="BB154" s="143"/>
      <c r="BC154" s="143"/>
      <c r="BD154" s="143"/>
      <c r="BE154" s="143"/>
      <c r="BF154" s="143"/>
      <c r="BG154" s="143"/>
      <c r="BH154" s="143"/>
      <c r="BI154" s="143"/>
      <c r="BJ154" s="142"/>
      <c r="BK154" s="143"/>
      <c r="BL154" s="143"/>
      <c r="BM154" s="143"/>
      <c r="BN154" s="143"/>
      <c r="BO154" s="143"/>
      <c r="BP154" s="143"/>
      <c r="BQ154" s="142"/>
      <c r="BR154" s="143"/>
      <c r="BS154" s="143"/>
      <c r="BT154" s="142">
        <f>SUM(BU154:BW154)</f>
      </c>
      <c r="BU154" s="143"/>
      <c r="BV154" s="143"/>
      <c r="BW154" s="143"/>
      <c r="BX154" s="142">
        <f>SUM(BY154:CD154)</f>
      </c>
      <c r="BY154" s="143"/>
      <c r="BZ154" s="143"/>
      <c r="CA154" s="143"/>
      <c r="CB154" s="143"/>
      <c r="CC154" s="143"/>
      <c r="CD154" s="143"/>
      <c r="CE154" s="142"/>
      <c r="CF154" s="143"/>
      <c r="CG154" s="143"/>
      <c r="CH154" s="143"/>
      <c r="CI154" s="143"/>
      <c r="CJ154" s="143"/>
      <c r="CK154" s="142">
        <f>SUM(CL154:CN154)</f>
      </c>
      <c r="CL154" s="143"/>
      <c r="CM154" s="143"/>
      <c r="CN154" s="143"/>
      <c r="CO154" s="142">
        <f>SUM(CP154:CT154)</f>
      </c>
      <c r="CP154" s="143"/>
      <c r="CQ154" s="143"/>
      <c r="CR154" s="143"/>
      <c r="CS154" s="143"/>
      <c r="CT154" s="143"/>
      <c r="CU154" s="142"/>
      <c r="CV154" s="143"/>
      <c r="CW154" s="143"/>
      <c r="CX154" s="143"/>
      <c r="CY154" s="142"/>
      <c r="CZ154" s="143"/>
      <c r="DA154" s="143"/>
      <c r="DB154" s="143"/>
      <c r="DC154" s="143"/>
      <c r="DD154" s="143"/>
      <c r="DE154" s="143"/>
      <c r="DF154" s="143"/>
      <c r="DG154" s="142">
        <f>SUM(DH154:DH154)</f>
      </c>
      <c r="DH154" s="143"/>
      <c r="DI154" s="142"/>
      <c r="DJ154" s="143"/>
      <c r="DK154" s="142">
        <f>SUM(DL154:DQ154)</f>
      </c>
      <c r="DL154" s="143"/>
      <c r="DM154" s="143"/>
      <c r="DN154" s="143"/>
      <c r="DO154" s="143"/>
      <c r="DP154" s="143"/>
      <c r="DQ154" s="143"/>
      <c r="DR154" s="143"/>
      <c r="DS154" s="143"/>
      <c r="DT154" s="143"/>
      <c r="DU154" s="143"/>
      <c r="DV154" s="143"/>
      <c r="DW154" s="143"/>
      <c r="DX154" s="142"/>
      <c r="DY154" s="143"/>
      <c r="DZ154" s="142"/>
      <c r="EA154" s="143"/>
      <c r="EB154" s="143"/>
      <c r="EC154" s="142"/>
      <c r="ED154" s="143"/>
      <c r="EF154" s="143"/>
      <c r="EG154" s="142">
        <f>SUM(EH154:EQ154)</f>
      </c>
      <c r="EH154" s="143"/>
      <c r="EI154" s="143"/>
      <c r="EJ154" s="143"/>
      <c r="EK154" s="143"/>
      <c r="EL154" s="143"/>
      <c r="EM154" s="143"/>
      <c r="EN154" s="143"/>
      <c r="EO154" s="143"/>
      <c r="EP154" s="143"/>
      <c r="EQ154" s="143"/>
      <c r="ER154" s="142">
        <f>SUM(ES154:ET154)</f>
      </c>
      <c r="ES154" s="143"/>
      <c r="ET154" s="143"/>
      <c r="EU154" s="144"/>
      <c r="FB154" s="146"/>
      <c r="FC154" s="146" cm="1">
        <f t="array" ref="FC154">ROW()-ROW(New[#Headers])</f>
        <v>148</v>
      </c>
    </row>
    <row r="155" spans="2:159" s="139" customFormat="1" ht="10.5" x14ac:dyDescent="0.2">
      <c r="B155" s="133"/>
      <c r="C155" s="3459" t="s">
        <v>554</v>
      </c>
      <c r="D155" t="s" s="3460">
        <v>555</v>
      </c>
      <c r="E155" s="3461" t="s">
        <v>23</v>
      </c>
      <c r="F155" t="s" s="3462">
        <v>1618</v>
      </c>
      <c r="G155" t="s" s="3463">
        <v>1597</v>
      </c>
      <c r="H155" s="3464" t="s">
        <v>59</v>
      </c>
      <c r="I155" t="s" s="3465">
        <v>43</v>
      </c>
      <c r="J155" t="s" s="3466">
        <v>71</v>
      </c>
      <c r="K155" t="s" s="3467">
        <v>839</v>
      </c>
      <c r="L155" t="s" s="3468">
        <v>767</v>
      </c>
      <c r="M155" t="s" s="3469">
        <v>305</v>
      </c>
      <c r="N155" s="3470" t="s">
        <v>3873</v>
      </c>
      <c r="O155" s="3471" t="s">
        <v>3871</v>
      </c>
      <c r="P155" s="141"/>
      <c r="Q155" s="142">
        <f>SUM(R155:AQ155)</f>
      </c>
      <c r="R155" s="143"/>
      <c r="S155" s="143"/>
      <c r="T155" s="143"/>
      <c r="U155" s="143"/>
      <c r="V155" s="143"/>
      <c r="W155" s="143"/>
      <c r="X155" s="143"/>
      <c r="Y155" s="143"/>
      <c r="Z155" s="143"/>
      <c r="AA155" s="143"/>
      <c r="AB155" s="143"/>
      <c r="AC155" s="143"/>
      <c r="AD155" s="143"/>
      <c r="AE155" s="143"/>
      <c r="AF155" s="143"/>
      <c r="AG155" s="143"/>
      <c r="AH155" s="143"/>
      <c r="AI155" s="143"/>
      <c r="AJ155" s="3472" t="n">
        <v>150.0</v>
      </c>
      <c r="AK155" s="143"/>
      <c r="AL155" s="143"/>
      <c r="AM155" s="143"/>
      <c r="AN155" s="143"/>
      <c r="AO155" s="143"/>
      <c r="AP155" s="143"/>
      <c r="AQ155" s="143"/>
      <c r="AR155" s="142">
        <f>SUM(AS155:AV155)</f>
      </c>
      <c r="AS155" s="143"/>
      <c r="AT155" s="143"/>
      <c r="AU155" s="143"/>
      <c r="AV155" s="143"/>
      <c r="AW155" s="142">
        <f>SUM(AX155:BI155)</f>
      </c>
      <c r="AX155" s="143"/>
      <c r="AY155" s="143"/>
      <c r="AZ155" s="143"/>
      <c r="BA155" s="143"/>
      <c r="BB155" s="143"/>
      <c r="BC155" s="143"/>
      <c r="BD155" s="143"/>
      <c r="BE155" s="143"/>
      <c r="BF155" s="143"/>
      <c r="BG155" s="143"/>
      <c r="BH155" s="143"/>
      <c r="BI155" s="143"/>
      <c r="BJ155" s="142"/>
      <c r="BK155" s="143"/>
      <c r="BL155" s="143"/>
      <c r="BM155" s="143"/>
      <c r="BN155" s="143"/>
      <c r="BO155" s="143"/>
      <c r="BP155" s="143"/>
      <c r="BQ155" s="142"/>
      <c r="BR155" s="143"/>
      <c r="BS155" s="143"/>
      <c r="BT155" s="142">
        <f>SUM(BU155:BW155)</f>
      </c>
      <c r="BU155" s="143"/>
      <c r="BV155" s="143"/>
      <c r="BW155" s="143"/>
      <c r="BX155" s="142">
        <f>SUM(BY155:CD155)</f>
      </c>
      <c r="BY155" s="143"/>
      <c r="BZ155" s="143"/>
      <c r="CA155" s="143"/>
      <c r="CB155" s="143"/>
      <c r="CC155" s="143"/>
      <c r="CD155" s="143"/>
      <c r="CE155" s="142"/>
      <c r="CF155" s="143"/>
      <c r="CG155" s="143"/>
      <c r="CH155" s="143"/>
      <c r="CI155" s="143"/>
      <c r="CJ155" s="143"/>
      <c r="CK155" s="142">
        <f>SUM(CL155:CN155)</f>
      </c>
      <c r="CL155" s="143"/>
      <c r="CM155" s="143"/>
      <c r="CN155" s="143"/>
      <c r="CO155" s="142">
        <f>SUM(CP155:CT155)</f>
      </c>
      <c r="CP155" s="143"/>
      <c r="CQ155" s="143"/>
      <c r="CR155" s="143"/>
      <c r="CS155" s="143"/>
      <c r="CT155" s="143"/>
      <c r="CU155" s="142"/>
      <c r="CV155" s="143"/>
      <c r="CW155" s="143"/>
      <c r="CX155" s="143"/>
      <c r="CY155" s="142"/>
      <c r="CZ155" s="143"/>
      <c r="DA155" s="143"/>
      <c r="DB155" s="143"/>
      <c r="DC155" s="143"/>
      <c r="DD155" s="143"/>
      <c r="DE155" s="143"/>
      <c r="DF155" s="143"/>
      <c r="DG155" s="142">
        <f>SUM(DH155:DH155)</f>
      </c>
      <c r="DH155" s="3473" t="n">
        <v>50.0</v>
      </c>
      <c r="DI155" s="142"/>
      <c r="DJ155" s="143"/>
      <c r="DK155" s="142">
        <f>SUM(DL155:DQ155)</f>
      </c>
      <c r="DL155" s="143"/>
      <c r="DM155" s="143"/>
      <c r="DN155" s="143"/>
      <c r="DO155" s="143"/>
      <c r="DP155" s="143"/>
      <c r="DQ155" s="143"/>
      <c r="DR155" s="143"/>
      <c r="DS155" s="143"/>
      <c r="DT155" s="143"/>
      <c r="DU155" s="143"/>
      <c r="DV155" s="143"/>
      <c r="DW155" s="143"/>
      <c r="DX155" s="142"/>
      <c r="DY155" s="143"/>
      <c r="DZ155" s="142"/>
      <c r="EA155" s="143"/>
      <c r="EB155" s="143"/>
      <c r="EC155" s="142"/>
      <c r="ED155" s="143"/>
      <c r="EF155" s="143"/>
      <c r="EG155" s="142">
        <f>SUM(EH155:EQ155)</f>
      </c>
      <c r="EH155" s="143"/>
      <c r="EI155" s="143"/>
      <c r="EJ155" s="143"/>
      <c r="EK155" s="143"/>
      <c r="EL155" s="143"/>
      <c r="EM155" s="143"/>
      <c r="EN155" s="143"/>
      <c r="EO155" s="143"/>
      <c r="EP155" s="143"/>
      <c r="EQ155" s="143"/>
      <c r="ER155" s="142">
        <f>SUM(ES155:ET155)</f>
      </c>
      <c r="ES155" s="143"/>
      <c r="ET155" s="143"/>
      <c r="EU155" s="144"/>
      <c r="FB155" s="146"/>
      <c r="FC155" s="146" cm="1">
        <f t="array" ref="FC155">ROW()-ROW(New[#Headers])</f>
        <v>149</v>
      </c>
    </row>
    <row r="156" spans="2:159" s="139" customFormat="1" ht="10.5" x14ac:dyDescent="0.2">
      <c r="B156" s="133"/>
      <c r="C156" s="3474" t="s">
        <v>679</v>
      </c>
      <c r="D156" t="s" s="3475">
        <v>680</v>
      </c>
      <c r="E156" s="3476" t="s">
        <v>305</v>
      </c>
      <c r="F156" t="s" s="3477">
        <v>1641</v>
      </c>
      <c r="G156" t="s" s="3478">
        <v>345</v>
      </c>
      <c r="H156" s="3479" t="s">
        <v>305</v>
      </c>
      <c r="I156" t="s" s="3480">
        <v>41</v>
      </c>
      <c r="J156" t="s" s="3481">
        <v>68</v>
      </c>
      <c r="K156" t="s" s="3482">
        <v>1643</v>
      </c>
      <c r="L156" t="s" s="3483">
        <v>305</v>
      </c>
      <c r="M156" t="s" s="3484">
        <v>305</v>
      </c>
      <c r="N156" s="3485" t="s">
        <v>3870</v>
      </c>
      <c r="O156" s="3486" t="s">
        <v>3871</v>
      </c>
      <c r="P156" s="141"/>
      <c r="Q156" s="142">
        <f>SUM(R156:AQ156)</f>
      </c>
      <c r="R156" s="143"/>
      <c r="S156" s="143"/>
      <c r="T156" s="143"/>
      <c r="U156" s="143"/>
      <c r="V156" s="143"/>
      <c r="W156" s="143"/>
      <c r="X156" s="143"/>
      <c r="Y156" s="143"/>
      <c r="Z156" s="143"/>
      <c r="AA156" s="143"/>
      <c r="AB156" s="143"/>
      <c r="AC156" s="143"/>
      <c r="AD156" s="143"/>
      <c r="AE156" s="143"/>
      <c r="AF156" s="143"/>
      <c r="AG156" s="143"/>
      <c r="AH156" s="143"/>
      <c r="AI156" s="143"/>
      <c r="AJ156" s="143"/>
      <c r="AK156" s="143"/>
      <c r="AL156" s="143"/>
      <c r="AM156" s="143"/>
      <c r="AN156" s="143"/>
      <c r="AO156" s="3487" t="n">
        <v>250.0</v>
      </c>
      <c r="AP156" s="143"/>
      <c r="AQ156" s="143"/>
      <c r="AR156" s="142">
        <f>SUM(AS156:AV156)</f>
      </c>
      <c r="AS156" s="143"/>
      <c r="AT156" s="143"/>
      <c r="AU156" s="143"/>
      <c r="AV156" s="143"/>
      <c r="AW156" s="142">
        <f>SUM(AX156:BI156)</f>
      </c>
      <c r="AX156" s="143"/>
      <c r="AY156" s="143"/>
      <c r="AZ156" s="143"/>
      <c r="BA156" s="143"/>
      <c r="BB156" s="143"/>
      <c r="BC156" s="143"/>
      <c r="BD156" s="143"/>
      <c r="BE156" s="143"/>
      <c r="BF156" s="143"/>
      <c r="BG156" s="143"/>
      <c r="BH156" s="143"/>
      <c r="BI156" s="143"/>
      <c r="BJ156" s="142"/>
      <c r="BK156" s="143"/>
      <c r="BL156" s="143"/>
      <c r="BM156" s="143"/>
      <c r="BN156" s="143"/>
      <c r="BO156" s="143"/>
      <c r="BP156" s="143"/>
      <c r="BQ156" s="142"/>
      <c r="BR156" s="143"/>
      <c r="BS156" s="143"/>
      <c r="BT156" s="142">
        <f>SUM(BU156:BW156)</f>
      </c>
      <c r="BU156" s="143"/>
      <c r="BV156" s="143"/>
      <c r="BW156" s="143"/>
      <c r="BX156" s="142">
        <f>SUM(BY156:CD156)</f>
      </c>
      <c r="BY156" s="143"/>
      <c r="BZ156" s="143"/>
      <c r="CA156" s="143"/>
      <c r="CB156" s="143"/>
      <c r="CC156" s="143"/>
      <c r="CD156" s="143"/>
      <c r="CE156" s="142"/>
      <c r="CF156" s="143"/>
      <c r="CG156" s="143"/>
      <c r="CH156" s="143"/>
      <c r="CI156" s="143"/>
      <c r="CJ156" s="143"/>
      <c r="CK156" s="142">
        <f>SUM(CL156:CN156)</f>
      </c>
      <c r="CL156" s="143"/>
      <c r="CM156" s="143"/>
      <c r="CN156" s="143"/>
      <c r="CO156" s="142">
        <f>SUM(CP156:CT156)</f>
      </c>
      <c r="CP156" s="143"/>
      <c r="CQ156" s="143"/>
      <c r="CR156" s="143"/>
      <c r="CS156" s="143"/>
      <c r="CT156" s="143"/>
      <c r="CU156" s="142"/>
      <c r="CV156" s="143"/>
      <c r="CW156" s="143"/>
      <c r="CX156" s="143"/>
      <c r="CY156" s="142"/>
      <c r="CZ156" s="143"/>
      <c r="DA156" s="143"/>
      <c r="DB156" s="143"/>
      <c r="DC156" s="143"/>
      <c r="DD156" s="143"/>
      <c r="DE156" s="143"/>
      <c r="DF156" s="143"/>
      <c r="DG156" s="142">
        <f>SUM(DH156:DH156)</f>
      </c>
      <c r="DH156" s="143"/>
      <c r="DI156" s="142"/>
      <c r="DJ156" s="143"/>
      <c r="DK156" s="142">
        <f>SUM(DL156:DQ156)</f>
      </c>
      <c r="DL156" s="143"/>
      <c r="DM156" s="143"/>
      <c r="DN156" s="143"/>
      <c r="DO156" s="143"/>
      <c r="DP156" s="143"/>
      <c r="DQ156" s="143"/>
      <c r="DR156" s="143"/>
      <c r="DS156" s="143"/>
      <c r="DT156" s="143"/>
      <c r="DU156" s="143"/>
      <c r="DV156" s="143"/>
      <c r="DW156" s="143"/>
      <c r="DX156" s="142"/>
      <c r="DY156" s="143"/>
      <c r="DZ156" s="142"/>
      <c r="EA156" s="143"/>
      <c r="EB156" s="143"/>
      <c r="EC156" s="142"/>
      <c r="ED156" s="143"/>
      <c r="EF156" s="143"/>
      <c r="EG156" s="142">
        <f>SUM(EH156:EQ156)</f>
      </c>
      <c r="EH156" s="143"/>
      <c r="EI156" s="143"/>
      <c r="EJ156" s="143"/>
      <c r="EK156" s="143"/>
      <c r="EL156" s="143"/>
      <c r="EM156" s="143"/>
      <c r="EN156" s="143"/>
      <c r="EO156" s="143"/>
      <c r="EP156" s="143"/>
      <c r="EQ156" s="143"/>
      <c r="ER156" s="142">
        <f>SUM(ES156:ET156)</f>
      </c>
      <c r="ES156" s="143"/>
      <c r="ET156" s="143"/>
      <c r="EU156" s="144"/>
      <c r="FB156" s="146"/>
      <c r="FC156" s="146" cm="1">
        <f t="array" ref="FC156">ROW()-ROW(New[#Headers])</f>
        <v>150</v>
      </c>
    </row>
    <row r="157" spans="2:159" s="139" customFormat="1" ht="10.5" x14ac:dyDescent="0.2">
      <c r="B157" s="133"/>
      <c r="C157" s="3488" t="s">
        <v>1691</v>
      </c>
      <c r="D157" t="s" s="3489">
        <v>627</v>
      </c>
      <c r="E157" s="3490" t="s">
        <v>20</v>
      </c>
      <c r="F157" t="s" s="3491">
        <v>810</v>
      </c>
      <c r="G157" t="s" s="3492">
        <v>1597</v>
      </c>
      <c r="H157" s="3493" t="s">
        <v>305</v>
      </c>
      <c r="I157" t="s" s="3494">
        <v>41</v>
      </c>
      <c r="J157" t="s" s="3495">
        <v>71</v>
      </c>
      <c r="K157" t="s" s="3496">
        <v>811</v>
      </c>
      <c r="L157" t="s" s="3497">
        <v>305</v>
      </c>
      <c r="M157" t="s" s="3498">
        <v>305</v>
      </c>
      <c r="N157" s="3499" t="s">
        <v>3867</v>
      </c>
      <c r="O157" s="3500" t="s">
        <v>3868</v>
      </c>
      <c r="P157" s="141"/>
      <c r="Q157" s="142">
        <f>SUM(R157:AQ157)</f>
      </c>
      <c r="R157" s="143"/>
      <c r="S157" s="143"/>
      <c r="T157" s="143"/>
      <c r="U157" s="143"/>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2">
        <f>SUM(AS157:AV157)</f>
      </c>
      <c r="AS157" s="143"/>
      <c r="AT157" s="143"/>
      <c r="AU157" s="143"/>
      <c r="AV157" s="143"/>
      <c r="AW157" s="142">
        <f>SUM(AX157:BI157)</f>
      </c>
      <c r="AX157" s="143"/>
      <c r="AY157" s="143"/>
      <c r="AZ157" s="143"/>
      <c r="BA157" s="143"/>
      <c r="BB157" s="143"/>
      <c r="BC157" s="143"/>
      <c r="BD157" s="143"/>
      <c r="BE157" s="143"/>
      <c r="BF157" s="143"/>
      <c r="BG157" s="143"/>
      <c r="BH157" s="143"/>
      <c r="BI157" s="143"/>
      <c r="BJ157" s="142"/>
      <c r="BK157" s="143"/>
      <c r="BL157" s="143"/>
      <c r="BM157" s="143"/>
      <c r="BN157" s="143"/>
      <c r="BO157" s="143"/>
      <c r="BP157" s="143"/>
      <c r="BQ157" s="142"/>
      <c r="BR157" s="143"/>
      <c r="BS157" s="143"/>
      <c r="BT157" s="142">
        <f>SUM(BU157:BW157)</f>
      </c>
      <c r="BU157" s="143"/>
      <c r="BV157" s="143"/>
      <c r="BW157" s="143"/>
      <c r="BX157" s="142">
        <f>SUM(BY157:CD157)</f>
      </c>
      <c r="BY157" s="143"/>
      <c r="BZ157" s="143"/>
      <c r="CA157" s="143"/>
      <c r="CB157" s="143"/>
      <c r="CC157" s="143"/>
      <c r="CD157" s="143"/>
      <c r="CE157" s="142"/>
      <c r="CF157" s="143"/>
      <c r="CG157" s="143"/>
      <c r="CH157" s="143"/>
      <c r="CI157" s="143"/>
      <c r="CJ157" s="143"/>
      <c r="CK157" s="142">
        <f>SUM(CL157:CN157)</f>
      </c>
      <c r="CL157" s="143"/>
      <c r="CM157" s="143"/>
      <c r="CN157" s="143"/>
      <c r="CO157" s="142">
        <f>SUM(CP157:CT157)</f>
      </c>
      <c r="CP157" s="143"/>
      <c r="CQ157" s="143"/>
      <c r="CR157" s="143"/>
      <c r="CS157" s="143"/>
      <c r="CT157" s="143"/>
      <c r="CU157" s="142"/>
      <c r="CV157" s="143"/>
      <c r="CW157" s="143"/>
      <c r="CX157" s="143"/>
      <c r="CY157" s="142"/>
      <c r="CZ157" s="143"/>
      <c r="DA157" s="143"/>
      <c r="DB157" s="143"/>
      <c r="DC157" s="143"/>
      <c r="DD157" s="143"/>
      <c r="DE157" s="143"/>
      <c r="DF157" s="143"/>
      <c r="DG157" s="142">
        <f>SUM(DH157:DH157)</f>
      </c>
      <c r="DH157" s="143"/>
      <c r="DI157" s="142"/>
      <c r="DJ157" s="143"/>
      <c r="DK157" s="142">
        <f>SUM(DL157:DQ157)</f>
      </c>
      <c r="DL157" s="143"/>
      <c r="DM157" s="143"/>
      <c r="DN157" s="143"/>
      <c r="DO157" s="143"/>
      <c r="DP157" s="143"/>
      <c r="DQ157" s="143"/>
      <c r="DR157" s="143"/>
      <c r="DS157" s="143"/>
      <c r="DT157" s="143"/>
      <c r="DU157" s="143"/>
      <c r="DV157" s="143"/>
      <c r="DW157" s="143"/>
      <c r="DX157" s="142"/>
      <c r="DY157" s="143"/>
      <c r="DZ157" s="142"/>
      <c r="EA157" s="143"/>
      <c r="EB157" s="143"/>
      <c r="EC157" s="142"/>
      <c r="ED157" s="143"/>
      <c r="EF157" s="143"/>
      <c r="EG157" s="142">
        <f>SUM(EH157:EQ157)</f>
      </c>
      <c r="EH157" s="143"/>
      <c r="EI157" s="143"/>
      <c r="EJ157" s="143"/>
      <c r="EK157" s="143"/>
      <c r="EL157" s="143"/>
      <c r="EM157" s="143"/>
      <c r="EN157" s="143"/>
      <c r="EO157" s="143"/>
      <c r="EP157" s="143"/>
      <c r="EQ157" s="143"/>
      <c r="ER157" s="142">
        <f>SUM(ES157:ET157)</f>
      </c>
      <c r="ES157" s="143"/>
      <c r="ET157" s="143"/>
      <c r="EU157" s="144"/>
      <c r="FB157" s="146"/>
      <c r="FC157" s="146" cm="1">
        <f t="array" ref="FC157">ROW()-ROW(New[#Headers])</f>
        <v>151</v>
      </c>
    </row>
    <row r="158" spans="2:159" s="139" customFormat="1" ht="10.5" x14ac:dyDescent="0.2">
      <c r="B158" s="133"/>
      <c r="C158" s="3533" t="s">
        <v>3830</v>
      </c>
      <c r="D158" t="s" s="3534">
        <v>3823</v>
      </c>
      <c r="E158" s="3535" t="s">
        <v>37</v>
      </c>
      <c r="F158" t="s" s="3536">
        <v>1641</v>
      </c>
      <c r="G158" t="s" s="3537">
        <v>345</v>
      </c>
      <c r="H158" s="3538" t="s">
        <v>46</v>
      </c>
      <c r="I158" t="s" s="3539">
        <v>41</v>
      </c>
      <c r="J158" t="s" s="3540">
        <v>68</v>
      </c>
      <c r="K158" t="s" s="3541">
        <v>1672</v>
      </c>
      <c r="L158" t="s" s="3542">
        <v>305</v>
      </c>
      <c r="M158" t="s" s="3543">
        <v>305</v>
      </c>
      <c r="N158" s="3544" t="s">
        <v>3875</v>
      </c>
      <c r="O158" s="3545" t="s">
        <v>3871</v>
      </c>
      <c r="P158" s="141"/>
      <c r="Q158" s="142">
        <f>SUM(R158:AQ158)</f>
      </c>
      <c r="R158" s="3546" t="n">
        <v>340.0</v>
      </c>
      <c r="S158" s="143"/>
      <c r="T158" s="143"/>
      <c r="U158" s="143"/>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2">
        <f>SUM(AS158:AV158)</f>
      </c>
      <c r="AS158" s="143"/>
      <c r="AT158" s="143"/>
      <c r="AU158" s="143"/>
      <c r="AV158" s="143"/>
      <c r="AW158" s="142">
        <f>SUM(AX158:BI158)</f>
      </c>
      <c r="AX158" s="143"/>
      <c r="AY158" s="143"/>
      <c r="AZ158" s="143"/>
      <c r="BA158" s="143"/>
      <c r="BB158" s="143"/>
      <c r="BC158" s="143"/>
      <c r="BD158" s="143"/>
      <c r="BE158" s="143"/>
      <c r="BF158" s="143"/>
      <c r="BG158" s="143"/>
      <c r="BH158" s="143"/>
      <c r="BI158" s="143"/>
      <c r="BJ158" s="142"/>
      <c r="BK158" s="143"/>
      <c r="BL158" s="143"/>
      <c r="BM158" s="143"/>
      <c r="BN158" s="143"/>
      <c r="BO158" s="143"/>
      <c r="BP158" s="143"/>
      <c r="BQ158" s="142"/>
      <c r="BR158" s="143"/>
      <c r="BS158" s="143"/>
      <c r="BT158" s="142">
        <f>SUM(BU158:BW158)</f>
      </c>
      <c r="BU158" s="143"/>
      <c r="BV158" s="143"/>
      <c r="BW158" s="143"/>
      <c r="BX158" s="142">
        <f>SUM(BY158:CD158)</f>
      </c>
      <c r="BY158" s="143"/>
      <c r="BZ158" s="143"/>
      <c r="CA158" s="143"/>
      <c r="CB158" s="143"/>
      <c r="CC158" s="143"/>
      <c r="CD158" s="143"/>
      <c r="CE158" s="142"/>
      <c r="CF158" s="143"/>
      <c r="CG158" s="143"/>
      <c r="CH158" s="143"/>
      <c r="CI158" s="143"/>
      <c r="CJ158" s="143"/>
      <c r="CK158" s="142">
        <f>SUM(CL158:CN158)</f>
      </c>
      <c r="CL158" s="143"/>
      <c r="CM158" s="143"/>
      <c r="CN158" s="143"/>
      <c r="CO158" s="142">
        <f>SUM(CP158:CT158)</f>
      </c>
      <c r="CP158" s="143"/>
      <c r="CQ158" s="143"/>
      <c r="CR158" s="143"/>
      <c r="CS158" s="143"/>
      <c r="CT158" s="143"/>
      <c r="CU158" s="142"/>
      <c r="CV158" s="143"/>
      <c r="CW158" s="143"/>
      <c r="CX158" s="143"/>
      <c r="CY158" s="142"/>
      <c r="CZ158" s="143"/>
      <c r="DA158" s="143"/>
      <c r="DB158" s="143"/>
      <c r="DC158" s="143"/>
      <c r="DD158" s="143"/>
      <c r="DE158" s="143"/>
      <c r="DF158" s="143"/>
      <c r="DG158" s="142">
        <f>SUM(DH158:DH158)</f>
      </c>
      <c r="DH158" s="143"/>
      <c r="DI158" s="142"/>
      <c r="DJ158" s="143"/>
      <c r="DK158" s="142">
        <f>SUM(DL158:DQ158)</f>
      </c>
      <c r="DL158" s="143"/>
      <c r="DM158" s="143"/>
      <c r="DN158" s="143"/>
      <c r="DO158" s="143"/>
      <c r="DP158" s="143"/>
      <c r="DQ158" s="143"/>
      <c r="DR158" s="143"/>
      <c r="DS158" s="143"/>
      <c r="DT158" s="143"/>
      <c r="DU158" s="143"/>
      <c r="DV158" s="143"/>
      <c r="DW158" s="143"/>
      <c r="DX158" s="142"/>
      <c r="DY158" s="143"/>
      <c r="DZ158" s="142"/>
      <c r="EA158" s="143"/>
      <c r="EB158" s="143"/>
      <c r="EC158" s="142"/>
      <c r="ED158" s="143"/>
      <c r="EF158" s="143"/>
      <c r="EG158" s="142">
        <f>SUM(EH158:EQ158)</f>
      </c>
      <c r="EH158" s="143"/>
      <c r="EI158" s="143"/>
      <c r="EJ158" s="143"/>
      <c r="EK158" s="143"/>
      <c r="EL158" s="143"/>
      <c r="EM158" s="143"/>
      <c r="EN158" s="143"/>
      <c r="EO158" s="143"/>
      <c r="EP158" s="143"/>
      <c r="EQ158" s="143"/>
      <c r="ER158" s="142">
        <f>SUM(ES158:ET158)</f>
      </c>
      <c r="ES158" s="143"/>
      <c r="ET158" s="143"/>
      <c r="EU158" s="144"/>
      <c r="FB158" s="146"/>
      <c r="FC158" s="146" cm="1">
        <f t="array" ref="FC158">ROW()-ROW(New[#Headers])</f>
        <v>152</v>
      </c>
    </row>
    <row r="159" spans="2:159" s="139" customFormat="1" ht="10.5" x14ac:dyDescent="0.2">
      <c r="B159" s="133"/>
      <c r="C159" s="3547" t="s">
        <v>1654</v>
      </c>
      <c r="D159" t="s" s="3548">
        <v>444</v>
      </c>
      <c r="E159" s="3549" t="s">
        <v>35</v>
      </c>
      <c r="F159" t="s" s="3550">
        <v>766</v>
      </c>
      <c r="G159" t="s" s="3551">
        <v>1597</v>
      </c>
      <c r="H159" s="3552" t="s">
        <v>49</v>
      </c>
      <c r="I159" t="s" s="3553">
        <v>41</v>
      </c>
      <c r="J159" t="s" s="3554">
        <v>68</v>
      </c>
      <c r="K159" t="s" s="3555">
        <v>1571</v>
      </c>
      <c r="L159" t="s" s="3556">
        <v>767</v>
      </c>
      <c r="M159" t="s" s="3557">
        <v>305</v>
      </c>
      <c r="N159" s="3558" t="s">
        <v>3867</v>
      </c>
      <c r="O159" s="3559" t="s">
        <v>3868</v>
      </c>
      <c r="P159" s="141"/>
      <c r="Q159" s="142">
        <f>SUM(R159:AQ159)</f>
      </c>
      <c r="R159" s="143"/>
      <c r="S159" s="143"/>
      <c r="T159" s="143"/>
      <c r="U159" s="143"/>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2">
        <f>SUM(AS159:AV159)</f>
      </c>
      <c r="AS159" s="143"/>
      <c r="AT159" s="143"/>
      <c r="AU159" s="143"/>
      <c r="AV159" s="143"/>
      <c r="AW159" s="142">
        <f>SUM(AX159:BI159)</f>
      </c>
      <c r="AX159" s="143"/>
      <c r="AY159" s="143"/>
      <c r="AZ159" s="143"/>
      <c r="BA159" s="143"/>
      <c r="BB159" s="143"/>
      <c r="BC159" s="143"/>
      <c r="BD159" s="143"/>
      <c r="BE159" s="143"/>
      <c r="BF159" s="143"/>
      <c r="BG159" s="143"/>
      <c r="BH159" s="143"/>
      <c r="BI159" s="143"/>
      <c r="BJ159" s="142"/>
      <c r="BK159" s="143"/>
      <c r="BL159" s="143"/>
      <c r="BM159" s="143"/>
      <c r="BN159" s="143"/>
      <c r="BO159" s="143"/>
      <c r="BP159" s="143"/>
      <c r="BQ159" s="142"/>
      <c r="BR159" s="143"/>
      <c r="BS159" s="143"/>
      <c r="BT159" s="142">
        <f>SUM(BU159:BW159)</f>
      </c>
      <c r="BU159" s="143"/>
      <c r="BV159" s="143"/>
      <c r="BW159" s="143"/>
      <c r="BX159" s="142">
        <f>SUM(BY159:CD159)</f>
      </c>
      <c r="BY159" s="143"/>
      <c r="BZ159" s="143"/>
      <c r="CA159" s="143"/>
      <c r="CB159" s="143"/>
      <c r="CC159" s="143"/>
      <c r="CD159" s="143"/>
      <c r="CE159" s="142"/>
      <c r="CF159" s="143"/>
      <c r="CG159" s="143"/>
      <c r="CH159" s="143"/>
      <c r="CI159" s="143"/>
      <c r="CJ159" s="143"/>
      <c r="CK159" s="142">
        <f>SUM(CL159:CN159)</f>
      </c>
      <c r="CL159" s="143"/>
      <c r="CM159" s="143"/>
      <c r="CN159" s="143"/>
      <c r="CO159" s="142">
        <f>SUM(CP159:CT159)</f>
      </c>
      <c r="CP159" s="143"/>
      <c r="CQ159" s="143"/>
      <c r="CR159" s="143"/>
      <c r="CS159" s="143"/>
      <c r="CT159" s="143"/>
      <c r="CU159" s="142"/>
      <c r="CV159" s="143"/>
      <c r="CW159" s="143"/>
      <c r="CX159" s="143"/>
      <c r="CY159" s="142"/>
      <c r="CZ159" s="143"/>
      <c r="DA159" s="143"/>
      <c r="DB159" s="143"/>
      <c r="DC159" s="143"/>
      <c r="DD159" s="143"/>
      <c r="DE159" s="143"/>
      <c r="DF159" s="143"/>
      <c r="DG159" s="142">
        <f>SUM(DH159:DH159)</f>
      </c>
      <c r="DH159" s="143"/>
      <c r="DI159" s="142"/>
      <c r="DJ159" s="143"/>
      <c r="DK159" s="142">
        <f>SUM(DL159:DQ159)</f>
      </c>
      <c r="DL159" s="143"/>
      <c r="DM159" s="143"/>
      <c r="DN159" s="143"/>
      <c r="DO159" s="143"/>
      <c r="DP159" s="143"/>
      <c r="DQ159" s="143"/>
      <c r="DR159" s="143"/>
      <c r="DS159" s="143"/>
      <c r="DT159" s="143"/>
      <c r="DU159" s="143"/>
      <c r="DV159" s="143"/>
      <c r="DW159" s="143"/>
      <c r="DX159" s="142"/>
      <c r="DY159" s="143"/>
      <c r="DZ159" s="142"/>
      <c r="EA159" s="143"/>
      <c r="EB159" s="143"/>
      <c r="EC159" s="142"/>
      <c r="ED159" s="143"/>
      <c r="EF159" s="143"/>
      <c r="EG159" s="142">
        <f>SUM(EH159:EQ159)</f>
      </c>
      <c r="EH159" s="143"/>
      <c r="EI159" s="143"/>
      <c r="EJ159" s="143"/>
      <c r="EK159" s="143"/>
      <c r="EL159" s="143"/>
      <c r="EM159" s="143"/>
      <c r="EN159" s="143"/>
      <c r="EO159" s="143"/>
      <c r="EP159" s="143"/>
      <c r="EQ159" s="143"/>
      <c r="ER159" s="142">
        <f>SUM(ES159:ET159)</f>
      </c>
      <c r="ES159" s="143"/>
      <c r="ET159" s="143"/>
      <c r="EU159" s="144"/>
      <c r="FB159" s="146"/>
      <c r="FC159" s="146" cm="1">
        <f t="array" ref="FC159">ROW()-ROW(New[#Headers])</f>
        <v>153</v>
      </c>
    </row>
    <row r="160" spans="2:159" s="139" customFormat="1" ht="10.5" x14ac:dyDescent="0.2">
      <c r="B160" s="133"/>
      <c r="C160" s="3575" t="s">
        <v>1705</v>
      </c>
      <c r="D160" t="s" s="3576">
        <v>660</v>
      </c>
      <c r="E160" s="3577" t="s">
        <v>20</v>
      </c>
      <c r="F160" t="s" s="3578">
        <v>1224</v>
      </c>
      <c r="G160" t="s" s="3579">
        <v>305</v>
      </c>
      <c r="H160" s="3580" t="s">
        <v>305</v>
      </c>
      <c r="I160" t="s" s="3581">
        <v>41</v>
      </c>
      <c r="J160" t="s" s="3582">
        <v>71</v>
      </c>
      <c r="K160" t="s" s="3583">
        <v>1706</v>
      </c>
      <c r="L160" t="s" s="3584">
        <v>305</v>
      </c>
      <c r="M160" t="s" s="3585">
        <v>305</v>
      </c>
      <c r="N160" s="3586" t="s">
        <v>3867</v>
      </c>
      <c r="O160" s="3587" t="s">
        <v>3868</v>
      </c>
      <c r="P160" s="141"/>
      <c r="Q160" s="142">
        <f>SUM(R160:AQ160)</f>
      </c>
      <c r="R160" s="143"/>
      <c r="S160" s="143"/>
      <c r="T160" s="143"/>
      <c r="U160" s="143"/>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2">
        <f>SUM(AS160:AV160)</f>
      </c>
      <c r="AS160" s="143"/>
      <c r="AT160" s="143"/>
      <c r="AU160" s="143"/>
      <c r="AV160" s="143"/>
      <c r="AW160" s="142">
        <f>SUM(AX160:BI160)</f>
      </c>
      <c r="AX160" s="143"/>
      <c r="AY160" s="143"/>
      <c r="AZ160" s="143"/>
      <c r="BA160" s="143"/>
      <c r="BB160" s="143"/>
      <c r="BC160" s="143"/>
      <c r="BD160" s="143"/>
      <c r="BE160" s="143"/>
      <c r="BF160" s="143"/>
      <c r="BG160" s="143"/>
      <c r="BH160" s="143"/>
      <c r="BI160" s="143"/>
      <c r="BJ160" s="142"/>
      <c r="BK160" s="143"/>
      <c r="BL160" s="143"/>
      <c r="BM160" s="143"/>
      <c r="BN160" s="143"/>
      <c r="BO160" s="143"/>
      <c r="BP160" s="143"/>
      <c r="BQ160" s="142"/>
      <c r="BR160" s="143"/>
      <c r="BS160" s="143"/>
      <c r="BT160" s="142">
        <f>SUM(BU160:BW160)</f>
      </c>
      <c r="BU160" s="143"/>
      <c r="BV160" s="143"/>
      <c r="BW160" s="143"/>
      <c r="BX160" s="142">
        <f>SUM(BY160:CD160)</f>
      </c>
      <c r="BY160" s="143"/>
      <c r="BZ160" s="143"/>
      <c r="CA160" s="143"/>
      <c r="CB160" s="143"/>
      <c r="CC160" s="143"/>
      <c r="CD160" s="143"/>
      <c r="CE160" s="142"/>
      <c r="CF160" s="143"/>
      <c r="CG160" s="143"/>
      <c r="CH160" s="143"/>
      <c r="CI160" s="143"/>
      <c r="CJ160" s="143"/>
      <c r="CK160" s="142">
        <f>SUM(CL160:CN160)</f>
      </c>
      <c r="CL160" s="143"/>
      <c r="CM160" s="143"/>
      <c r="CN160" s="143"/>
      <c r="CO160" s="142">
        <f>SUM(CP160:CT160)</f>
      </c>
      <c r="CP160" s="143"/>
      <c r="CQ160" s="143"/>
      <c r="CR160" s="143"/>
      <c r="CS160" s="143"/>
      <c r="CT160" s="143"/>
      <c r="CU160" s="142"/>
      <c r="CV160" s="143"/>
      <c r="CW160" s="143"/>
      <c r="CX160" s="143"/>
      <c r="CY160" s="142"/>
      <c r="CZ160" s="143"/>
      <c r="DA160" s="143"/>
      <c r="DB160" s="143"/>
      <c r="DC160" s="143"/>
      <c r="DD160" s="143"/>
      <c r="DE160" s="143"/>
      <c r="DF160" s="143"/>
      <c r="DG160" s="142">
        <f>SUM(DH160:DH160)</f>
      </c>
      <c r="DH160" s="143"/>
      <c r="DI160" s="142"/>
      <c r="DJ160" s="143"/>
      <c r="DK160" s="142">
        <f>SUM(DL160:DQ160)</f>
      </c>
      <c r="DL160" s="143"/>
      <c r="DM160" s="143"/>
      <c r="DN160" s="143"/>
      <c r="DO160" s="143"/>
      <c r="DP160" s="143"/>
      <c r="DQ160" s="143"/>
      <c r="DR160" s="143"/>
      <c r="DS160" s="143"/>
      <c r="DT160" s="143"/>
      <c r="DU160" s="143"/>
      <c r="DV160" s="143"/>
      <c r="DW160" s="143"/>
      <c r="DX160" s="142"/>
      <c r="DY160" s="143"/>
      <c r="DZ160" s="142"/>
      <c r="EA160" s="143"/>
      <c r="EB160" s="143"/>
      <c r="EC160" s="142"/>
      <c r="ED160" s="143"/>
      <c r="EF160" s="143"/>
      <c r="EG160" s="142">
        <f>SUM(EH160:EQ160)</f>
      </c>
      <c r="EH160" s="143"/>
      <c r="EI160" s="143"/>
      <c r="EJ160" s="143"/>
      <c r="EK160" s="143"/>
      <c r="EL160" s="143"/>
      <c r="EM160" s="143"/>
      <c r="EN160" s="143"/>
      <c r="EO160" s="143"/>
      <c r="EP160" s="143"/>
      <c r="EQ160" s="143"/>
      <c r="ER160" s="142">
        <f>SUM(ES160:ET160)</f>
      </c>
      <c r="ES160" s="143"/>
      <c r="ET160" s="143"/>
      <c r="EU160" s="144"/>
      <c r="FB160" s="146"/>
      <c r="FC160" s="146" cm="1">
        <f t="array" ref="FC160">ROW()-ROW(New[#Headers])</f>
        <v>154</v>
      </c>
    </row>
    <row r="161" spans="2:159" s="139" customFormat="1" ht="10.5" x14ac:dyDescent="0.2">
      <c r="B161" s="133"/>
      <c r="C161" s="3588" t="s">
        <v>403</v>
      </c>
      <c r="D161" t="s" s="3589">
        <v>404</v>
      </c>
      <c r="E161" s="3590" t="s">
        <v>13</v>
      </c>
      <c r="F161" t="s" s="3591">
        <v>1230</v>
      </c>
      <c r="G161" t="s" s="3592">
        <v>1597</v>
      </c>
      <c r="H161" s="3593" t="s">
        <v>46</v>
      </c>
      <c r="I161" t="s" s="3594">
        <v>41</v>
      </c>
      <c r="J161" t="s" s="3595">
        <v>64</v>
      </c>
      <c r="K161" t="s" s="3596">
        <v>1232</v>
      </c>
      <c r="L161" t="s" s="3597">
        <v>751</v>
      </c>
      <c r="M161" t="s" s="3598">
        <v>1399</v>
      </c>
      <c r="N161" s="3599" t="s">
        <v>3873</v>
      </c>
      <c r="O161" s="3600" t="s">
        <v>3871</v>
      </c>
      <c r="P161" s="141"/>
      <c r="Q161" s="142">
        <f>SUM(R161:AQ161)</f>
      </c>
      <c r="R161" s="143"/>
      <c r="S161" s="143"/>
      <c r="T161" s="143"/>
      <c r="U161" s="143"/>
      <c r="V161" s="143"/>
      <c r="W161" s="143"/>
      <c r="X161" s="143"/>
      <c r="Y161" s="3601" t="n">
        <v>1900.0</v>
      </c>
      <c r="Z161" s="143"/>
      <c r="AA161" s="143"/>
      <c r="AB161" s="143"/>
      <c r="AC161" s="143"/>
      <c r="AD161" s="143"/>
      <c r="AE161" s="143"/>
      <c r="AF161" s="143"/>
      <c r="AG161" s="143"/>
      <c r="AH161" s="143"/>
      <c r="AI161" s="143"/>
      <c r="AJ161" s="143"/>
      <c r="AK161" s="143"/>
      <c r="AL161" s="143"/>
      <c r="AM161" s="143"/>
      <c r="AN161" s="143"/>
      <c r="AO161" s="143"/>
      <c r="AP161" s="143"/>
      <c r="AQ161" s="143"/>
      <c r="AR161" s="142">
        <f>SUM(AS161:AV161)</f>
      </c>
      <c r="AS161" s="143"/>
      <c r="AT161" s="143"/>
      <c r="AU161" s="143"/>
      <c r="AV161" s="143"/>
      <c r="AW161" s="142">
        <f>SUM(AX161:BI161)</f>
      </c>
      <c r="AX161" s="143"/>
      <c r="AY161" s="143"/>
      <c r="AZ161" s="143"/>
      <c r="BA161" s="143"/>
      <c r="BB161" s="143"/>
      <c r="BC161" s="143"/>
      <c r="BD161" s="143"/>
      <c r="BE161" s="143"/>
      <c r="BF161" s="143"/>
      <c r="BG161" s="143"/>
      <c r="BH161" s="143"/>
      <c r="BI161" s="143"/>
      <c r="BJ161" s="142"/>
      <c r="BK161" s="143"/>
      <c r="BL161" s="143"/>
      <c r="BM161" s="143"/>
      <c r="BN161" s="143"/>
      <c r="BO161" s="143"/>
      <c r="BP161" s="143"/>
      <c r="BQ161" s="142"/>
      <c r="BR161" s="143"/>
      <c r="BS161" s="143"/>
      <c r="BT161" s="142">
        <f>SUM(BU161:BW161)</f>
      </c>
      <c r="BU161" s="143"/>
      <c r="BV161" s="143"/>
      <c r="BW161" s="143"/>
      <c r="BX161" s="142">
        <f>SUM(BY161:CD161)</f>
      </c>
      <c r="BY161" s="143"/>
      <c r="BZ161" s="143"/>
      <c r="CA161" s="143"/>
      <c r="CB161" s="143"/>
      <c r="CC161" s="143"/>
      <c r="CD161" s="143"/>
      <c r="CE161" s="142"/>
      <c r="CF161" s="143"/>
      <c r="CG161" s="143"/>
      <c r="CH161" s="143"/>
      <c r="CI161" s="143"/>
      <c r="CJ161" s="143"/>
      <c r="CK161" s="142">
        <f>SUM(CL161:CN161)</f>
      </c>
      <c r="CL161" s="143"/>
      <c r="CM161" s="143"/>
      <c r="CN161" s="143"/>
      <c r="CO161" s="142">
        <f>SUM(CP161:CT161)</f>
      </c>
      <c r="CP161" s="143"/>
      <c r="CQ161" s="143"/>
      <c r="CR161" s="143"/>
      <c r="CS161" s="143"/>
      <c r="CT161" s="143"/>
      <c r="CU161" s="142"/>
      <c r="CV161" s="143"/>
      <c r="CW161" s="143"/>
      <c r="CX161" s="143"/>
      <c r="CY161" s="142"/>
      <c r="CZ161" s="143"/>
      <c r="DA161" s="143"/>
      <c r="DB161" s="143"/>
      <c r="DC161" s="143"/>
      <c r="DD161" s="143"/>
      <c r="DE161" s="143"/>
      <c r="DF161" s="143"/>
      <c r="DG161" s="142">
        <f>SUM(DH161:DH161)</f>
      </c>
      <c r="DH161" s="143"/>
      <c r="DI161" s="142"/>
      <c r="DJ161" s="143"/>
      <c r="DK161" s="142">
        <f>SUM(DL161:DQ161)</f>
      </c>
      <c r="DL161" s="143"/>
      <c r="DM161" s="143"/>
      <c r="DN161" s="143"/>
      <c r="DO161" s="143"/>
      <c r="DP161" s="143"/>
      <c r="DQ161" s="143"/>
      <c r="DR161" s="143"/>
      <c r="DS161" s="143"/>
      <c r="DT161" s="143"/>
      <c r="DU161" s="143"/>
      <c r="DV161" s="143"/>
      <c r="DW161" s="143"/>
      <c r="DX161" s="142"/>
      <c r="DY161" s="143"/>
      <c r="DZ161" s="142"/>
      <c r="EA161" s="143"/>
      <c r="EB161" s="143"/>
      <c r="EC161" s="142"/>
      <c r="ED161" s="143"/>
      <c r="EF161" s="143"/>
      <c r="EG161" s="142">
        <f>SUM(EH161:EQ161)</f>
      </c>
      <c r="EH161" s="143"/>
      <c r="EI161" s="143"/>
      <c r="EJ161" s="143"/>
      <c r="EK161" s="143"/>
      <c r="EL161" s="143"/>
      <c r="EM161" s="143"/>
      <c r="EN161" s="143"/>
      <c r="EO161" s="143"/>
      <c r="EP161" s="143"/>
      <c r="EQ161" s="143"/>
      <c r="ER161" s="142">
        <f>SUM(ES161:ET161)</f>
      </c>
      <c r="ES161" s="143"/>
      <c r="ET161" s="143"/>
      <c r="EU161" s="144"/>
      <c r="FB161" s="146"/>
      <c r="FC161" s="146" cm="1">
        <f t="array" ref="FC161">ROW()-ROW(New[#Headers])</f>
        <v>155</v>
      </c>
    </row>
    <row r="162" spans="2:159" s="139" customFormat="1" ht="10.5" x14ac:dyDescent="0.2">
      <c r="B162" s="133"/>
      <c r="C162" s="3602" t="s">
        <v>578</v>
      </c>
      <c r="D162" t="s" s="3603">
        <v>579</v>
      </c>
      <c r="E162" s="3604" t="s">
        <v>23</v>
      </c>
      <c r="F162" t="s" s="3605">
        <v>1262</v>
      </c>
      <c r="G162" t="s" s="3606">
        <v>1597</v>
      </c>
      <c r="H162" s="3607" t="s">
        <v>51</v>
      </c>
      <c r="I162" t="s" s="3608">
        <v>786</v>
      </c>
      <c r="J162" t="s" s="3609">
        <v>64</v>
      </c>
      <c r="K162" t="s" s="3610">
        <v>1617</v>
      </c>
      <c r="L162" t="s" s="3611">
        <v>934</v>
      </c>
      <c r="M162" t="s" s="3612">
        <v>305</v>
      </c>
      <c r="N162" s="3613" t="s">
        <v>3870</v>
      </c>
      <c r="O162" s="3614" t="s">
        <v>3878</v>
      </c>
      <c r="P162" s="141"/>
      <c r="Q162" s="142">
        <f>SUM(R162:AQ162)</f>
      </c>
      <c r="R162" s="143"/>
      <c r="S162" s="143"/>
      <c r="T162" s="143"/>
      <c r="U162" s="3615" t="n">
        <v>50.0</v>
      </c>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2">
        <f>SUM(AS162:AV162)</f>
      </c>
      <c r="AS162" s="143"/>
      <c r="AT162" s="143"/>
      <c r="AU162" s="143"/>
      <c r="AV162" s="143"/>
      <c r="AW162" s="142">
        <f>SUM(AX162:BI162)</f>
      </c>
      <c r="AX162" s="143"/>
      <c r="AY162" s="143"/>
      <c r="AZ162" s="143"/>
      <c r="BA162" s="143"/>
      <c r="BB162" s="143"/>
      <c r="BC162" s="143"/>
      <c r="BD162" s="143"/>
      <c r="BE162" s="143"/>
      <c r="BF162" s="143"/>
      <c r="BG162" s="143"/>
      <c r="BH162" s="143"/>
      <c r="BI162" s="143"/>
      <c r="BJ162" s="142"/>
      <c r="BK162" s="143"/>
      <c r="BL162" s="143"/>
      <c r="BM162" s="143"/>
      <c r="BN162" s="143"/>
      <c r="BO162" s="143"/>
      <c r="BP162" s="143"/>
      <c r="BQ162" s="142"/>
      <c r="BR162" s="143"/>
      <c r="BS162" s="143"/>
      <c r="BT162" s="142">
        <f>SUM(BU162:BW162)</f>
      </c>
      <c r="BU162" s="143"/>
      <c r="BV162" s="143"/>
      <c r="BW162" s="143"/>
      <c r="BX162" s="142">
        <f>SUM(BY162:CD162)</f>
      </c>
      <c r="BY162" s="143"/>
      <c r="BZ162" s="143"/>
      <c r="CA162" s="143"/>
      <c r="CB162" s="143"/>
      <c r="CC162" s="143"/>
      <c r="CD162" s="143"/>
      <c r="CE162" s="142"/>
      <c r="CF162" s="143"/>
      <c r="CG162" s="143"/>
      <c r="CH162" s="143"/>
      <c r="CI162" s="143"/>
      <c r="CJ162" s="143"/>
      <c r="CK162" s="142">
        <f>SUM(CL162:CN162)</f>
      </c>
      <c r="CL162" s="143"/>
      <c r="CM162" s="143"/>
      <c r="CN162" s="143"/>
      <c r="CO162" s="142">
        <f>SUM(CP162:CT162)</f>
      </c>
      <c r="CP162" s="143"/>
      <c r="CQ162" s="143"/>
      <c r="CR162" s="143"/>
      <c r="CS162" s="143"/>
      <c r="CT162" s="143"/>
      <c r="CU162" s="142"/>
      <c r="CV162" s="143"/>
      <c r="CW162" s="143"/>
      <c r="CX162" s="143"/>
      <c r="CY162" s="142"/>
      <c r="CZ162" s="143"/>
      <c r="DA162" s="143"/>
      <c r="DB162" s="143"/>
      <c r="DC162" s="143"/>
      <c r="DD162" s="143"/>
      <c r="DE162" s="143"/>
      <c r="DF162" s="143"/>
      <c r="DG162" s="142">
        <f>SUM(DH162:DH162)</f>
      </c>
      <c r="DH162" s="143"/>
      <c r="DI162" s="142"/>
      <c r="DJ162" s="143"/>
      <c r="DK162" s="142">
        <f>SUM(DL162:DQ162)</f>
      </c>
      <c r="DL162" s="143"/>
      <c r="DM162" s="143"/>
      <c r="DN162" s="143"/>
      <c r="DO162" s="143"/>
      <c r="DP162" s="143"/>
      <c r="DQ162" s="143"/>
      <c r="DR162" s="143"/>
      <c r="DS162" s="143"/>
      <c r="DT162" s="143"/>
      <c r="DU162" s="143"/>
      <c r="DV162" s="143"/>
      <c r="DW162" s="143"/>
      <c r="DX162" s="142"/>
      <c r="DY162" s="143"/>
      <c r="DZ162" s="142"/>
      <c r="EA162" s="143"/>
      <c r="EB162" s="143"/>
      <c r="EC162" s="142"/>
      <c r="ED162" s="143"/>
      <c r="EF162" s="143"/>
      <c r="EG162" s="142">
        <f>SUM(EH162:EQ162)</f>
      </c>
      <c r="EH162" s="143"/>
      <c r="EI162" s="143"/>
      <c r="EJ162" s="143"/>
      <c r="EK162" s="143"/>
      <c r="EL162" s="143"/>
      <c r="EM162" s="143"/>
      <c r="EN162" s="143"/>
      <c r="EO162" s="143"/>
      <c r="EP162" s="143"/>
      <c r="EQ162" s="143"/>
      <c r="ER162" s="142">
        <f>SUM(ES162:ET162)</f>
      </c>
      <c r="ES162" s="143"/>
      <c r="ET162" s="143"/>
      <c r="EU162" s="144"/>
      <c r="FB162" s="146"/>
      <c r="FC162" s="146" cm="1">
        <f t="array" ref="FC162">ROW()-ROW(New[#Headers])</f>
        <v>156</v>
      </c>
    </row>
    <row r="163" spans="2:159" s="139" customFormat="1" ht="10.5" x14ac:dyDescent="0.2">
      <c r="B163" s="133"/>
      <c r="C163" s="3647" t="s">
        <v>457</v>
      </c>
      <c r="D163" t="s" s="3648">
        <v>458</v>
      </c>
      <c r="E163" s="3649" t="s">
        <v>23</v>
      </c>
      <c r="F163" t="s" s="3650">
        <v>766</v>
      </c>
      <c r="G163" t="s" s="3651">
        <v>1597</v>
      </c>
      <c r="H163" s="3652" t="s">
        <v>51</v>
      </c>
      <c r="I163" t="s" s="3653">
        <v>41</v>
      </c>
      <c r="J163" t="s" s="3654">
        <v>68</v>
      </c>
      <c r="K163" t="s" s="3655">
        <v>771</v>
      </c>
      <c r="L163" t="s" s="3656">
        <v>767</v>
      </c>
      <c r="M163" t="s" s="3657">
        <v>305</v>
      </c>
      <c r="N163" s="3658" t="s">
        <v>3873</v>
      </c>
      <c r="O163" s="3659" t="s">
        <v>3874</v>
      </c>
      <c r="P163" s="141"/>
      <c r="Q163" s="142">
        <f>SUM(R163:AQ163)</f>
      </c>
      <c r="R163" s="143"/>
      <c r="S163" s="143"/>
      <c r="T163" s="143"/>
      <c r="U163" s="143"/>
      <c r="V163" s="143"/>
      <c r="W163" s="143"/>
      <c r="X163" s="143"/>
      <c r="Y163" s="143"/>
      <c r="Z163" s="143"/>
      <c r="AA163" s="143"/>
      <c r="AB163" s="143"/>
      <c r="AC163" s="143"/>
      <c r="AD163" s="143"/>
      <c r="AE163" s="143"/>
      <c r="AF163" s="143"/>
      <c r="AG163" s="3660" t="n">
        <v>360.0</v>
      </c>
      <c r="AH163" s="143"/>
      <c r="AI163" s="143"/>
      <c r="AJ163" s="143"/>
      <c r="AK163" s="143"/>
      <c r="AL163" s="143"/>
      <c r="AM163" s="143"/>
      <c r="AN163" s="143"/>
      <c r="AO163" s="143"/>
      <c r="AP163" s="143"/>
      <c r="AQ163" s="143"/>
      <c r="AR163" s="142">
        <f>SUM(AS163:AV163)</f>
      </c>
      <c r="AS163" s="143"/>
      <c r="AT163" s="143"/>
      <c r="AU163" s="143"/>
      <c r="AV163" s="143"/>
      <c r="AW163" s="142">
        <f>SUM(AX163:BI163)</f>
      </c>
      <c r="AX163" s="143"/>
      <c r="AY163" s="143"/>
      <c r="AZ163" s="143"/>
      <c r="BA163" s="143"/>
      <c r="BB163" s="143"/>
      <c r="BC163" s="143"/>
      <c r="BD163" s="143"/>
      <c r="BE163" s="143"/>
      <c r="BF163" s="143"/>
      <c r="BG163" s="143"/>
      <c r="BH163" s="143"/>
      <c r="BI163" s="143"/>
      <c r="BJ163" s="142"/>
      <c r="BK163" s="143"/>
      <c r="BL163" s="143"/>
      <c r="BM163" s="143"/>
      <c r="BN163" s="143"/>
      <c r="BO163" s="143"/>
      <c r="BP163" s="143"/>
      <c r="BQ163" s="142"/>
      <c r="BR163" s="143"/>
      <c r="BS163" s="143"/>
      <c r="BT163" s="142">
        <f>SUM(BU163:BW163)</f>
      </c>
      <c r="BU163" s="143"/>
      <c r="BV163" s="143"/>
      <c r="BW163" s="143"/>
      <c r="BX163" s="142">
        <f>SUM(BY163:CD163)</f>
      </c>
      <c r="BY163" s="143"/>
      <c r="BZ163" s="143"/>
      <c r="CA163" s="143"/>
      <c r="CB163" s="143"/>
      <c r="CC163" s="143"/>
      <c r="CD163" s="143"/>
      <c r="CE163" s="142"/>
      <c r="CF163" s="143"/>
      <c r="CG163" s="143"/>
      <c r="CH163" s="143"/>
      <c r="CI163" s="143"/>
      <c r="CJ163" s="143"/>
      <c r="CK163" s="142">
        <f>SUM(CL163:CN163)</f>
      </c>
      <c r="CL163" s="143"/>
      <c r="CM163" s="143"/>
      <c r="CN163" s="143"/>
      <c r="CO163" s="142">
        <f>SUM(CP163:CT163)</f>
      </c>
      <c r="CP163" s="143"/>
      <c r="CQ163" s="143"/>
      <c r="CR163" s="143"/>
      <c r="CS163" s="143"/>
      <c r="CT163" s="143"/>
      <c r="CU163" s="142"/>
      <c r="CV163" s="143"/>
      <c r="CW163" s="143"/>
      <c r="CX163" s="143"/>
      <c r="CY163" s="142"/>
      <c r="CZ163" s="143"/>
      <c r="DA163" s="143"/>
      <c r="DB163" s="143"/>
      <c r="DC163" s="143"/>
      <c r="DD163" s="143"/>
      <c r="DE163" s="143"/>
      <c r="DF163" s="143"/>
      <c r="DG163" s="142">
        <f>SUM(DH163:DH163)</f>
      </c>
      <c r="DH163" s="143"/>
      <c r="DI163" s="142"/>
      <c r="DJ163" s="143"/>
      <c r="DK163" s="142">
        <f>SUM(DL163:DQ163)</f>
      </c>
      <c r="DL163" s="143"/>
      <c r="DM163" s="143"/>
      <c r="DN163" s="143"/>
      <c r="DO163" s="143"/>
      <c r="DP163" s="143"/>
      <c r="DQ163" s="143"/>
      <c r="DR163" s="143"/>
      <c r="DS163" s="143"/>
      <c r="DT163" s="143"/>
      <c r="DU163" s="143"/>
      <c r="DV163" s="143"/>
      <c r="DW163" s="143"/>
      <c r="DX163" s="142"/>
      <c r="DY163" s="143"/>
      <c r="DZ163" s="142"/>
      <c r="EA163" s="143"/>
      <c r="EB163" s="143"/>
      <c r="EC163" s="142"/>
      <c r="ED163" s="143"/>
      <c r="EF163" s="143"/>
      <c r="EG163" s="142">
        <f>SUM(EH163:EQ163)</f>
      </c>
      <c r="EH163" s="143"/>
      <c r="EI163" s="143"/>
      <c r="EJ163" s="143"/>
      <c r="EK163" s="143"/>
      <c r="EL163" s="143"/>
      <c r="EM163" s="143"/>
      <c r="EN163" s="143"/>
      <c r="EO163" s="143"/>
      <c r="EP163" s="143"/>
      <c r="EQ163" s="143"/>
      <c r="ER163" s="142">
        <f>SUM(ES163:ET163)</f>
      </c>
      <c r="ES163" s="143"/>
      <c r="ET163" s="143"/>
      <c r="EU163" s="144"/>
      <c r="FB163" s="146"/>
      <c r="FC163" s="146" cm="1">
        <f t="array" ref="FC163">ROW()-ROW(New[#Headers])</f>
        <v>157</v>
      </c>
    </row>
    <row r="164" spans="2:159" s="139" customFormat="1" ht="10.5" x14ac:dyDescent="0.2">
      <c r="B164" s="133"/>
      <c r="C164" s="3661" t="s">
        <v>564</v>
      </c>
      <c r="D164" t="s" s="3662">
        <v>565</v>
      </c>
      <c r="E164" s="3663" t="s">
        <v>13</v>
      </c>
      <c r="F164" t="s" s="3664">
        <v>1262</v>
      </c>
      <c r="G164" t="s" s="3665">
        <v>1597</v>
      </c>
      <c r="H164" s="3666" t="s">
        <v>46</v>
      </c>
      <c r="I164" t="s" s="3667">
        <v>41</v>
      </c>
      <c r="J164" t="s" s="3668">
        <v>64</v>
      </c>
      <c r="K164" t="s" s="3669">
        <v>1617</v>
      </c>
      <c r="L164" t="s" s="3670">
        <v>934</v>
      </c>
      <c r="M164" t="s" s="3671">
        <v>305</v>
      </c>
      <c r="N164" s="3672" t="s">
        <v>3867</v>
      </c>
      <c r="O164" s="3673" t="s">
        <v>3871</v>
      </c>
      <c r="P164" s="141"/>
      <c r="Q164" s="142">
        <f>SUM(R164:AQ164)</f>
      </c>
      <c r="R164" s="143"/>
      <c r="S164" s="143"/>
      <c r="T164" s="143"/>
      <c r="U164" s="3674" t="n">
        <v>150.0</v>
      </c>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2">
        <f>SUM(AS164:AV164)</f>
      </c>
      <c r="AS164" s="143"/>
      <c r="AT164" s="143"/>
      <c r="AU164" s="143"/>
      <c r="AV164" s="143"/>
      <c r="AW164" s="142">
        <f>SUM(AX164:BI164)</f>
      </c>
      <c r="AX164" s="143"/>
      <c r="AY164" s="143"/>
      <c r="AZ164" s="143"/>
      <c r="BA164" s="143"/>
      <c r="BB164" s="143"/>
      <c r="BC164" s="143"/>
      <c r="BD164" s="143"/>
      <c r="BE164" s="143"/>
      <c r="BF164" s="143"/>
      <c r="BG164" s="143"/>
      <c r="BH164" s="143"/>
      <c r="BI164" s="143"/>
      <c r="BJ164" s="142"/>
      <c r="BK164" s="143"/>
      <c r="BL164" s="143"/>
      <c r="BM164" s="143"/>
      <c r="BN164" s="143"/>
      <c r="BO164" s="143"/>
      <c r="BP164" s="143"/>
      <c r="BQ164" s="142"/>
      <c r="BR164" s="143"/>
      <c r="BS164" s="143"/>
      <c r="BT164" s="142">
        <f>SUM(BU164:BW164)</f>
      </c>
      <c r="BU164" s="143"/>
      <c r="BV164" s="143"/>
      <c r="BW164" s="143"/>
      <c r="BX164" s="142">
        <f>SUM(BY164:CD164)</f>
      </c>
      <c r="BY164" s="143"/>
      <c r="BZ164" s="143"/>
      <c r="CA164" s="143"/>
      <c r="CB164" s="143"/>
      <c r="CC164" s="143"/>
      <c r="CD164" s="143"/>
      <c r="CE164" s="142"/>
      <c r="CF164" s="143"/>
      <c r="CG164" s="143"/>
      <c r="CH164" s="143"/>
      <c r="CI164" s="143"/>
      <c r="CJ164" s="143"/>
      <c r="CK164" s="142">
        <f>SUM(CL164:CN164)</f>
      </c>
      <c r="CL164" s="143"/>
      <c r="CM164" s="143"/>
      <c r="CN164" s="143"/>
      <c r="CO164" s="142">
        <f>SUM(CP164:CT164)</f>
      </c>
      <c r="CP164" s="143"/>
      <c r="CQ164" s="143"/>
      <c r="CR164" s="143"/>
      <c r="CS164" s="143"/>
      <c r="CT164" s="143"/>
      <c r="CU164" s="142"/>
      <c r="CV164" s="143"/>
      <c r="CW164" s="143"/>
      <c r="CX164" s="143"/>
      <c r="CY164" s="142"/>
      <c r="CZ164" s="143"/>
      <c r="DA164" s="143"/>
      <c r="DB164" s="143"/>
      <c r="DC164" s="143"/>
      <c r="DD164" s="143"/>
      <c r="DE164" s="143"/>
      <c r="DF164" s="143"/>
      <c r="DG164" s="142">
        <f>SUM(DH164:DH164)</f>
      </c>
      <c r="DH164" s="143"/>
      <c r="DI164" s="142"/>
      <c r="DJ164" s="143"/>
      <c r="DK164" s="142">
        <f>SUM(DL164:DQ164)</f>
      </c>
      <c r="DL164" s="143"/>
      <c r="DM164" s="143"/>
      <c r="DN164" s="143"/>
      <c r="DO164" s="143"/>
      <c r="DP164" s="143"/>
      <c r="DQ164" s="143"/>
      <c r="DR164" s="143"/>
      <c r="DS164" s="143"/>
      <c r="DT164" s="143"/>
      <c r="DU164" s="143"/>
      <c r="DV164" s="143"/>
      <c r="DW164" s="143"/>
      <c r="DX164" s="142"/>
      <c r="DY164" s="143"/>
      <c r="DZ164" s="142"/>
      <c r="EA164" s="143"/>
      <c r="EB164" s="143"/>
      <c r="EC164" s="142"/>
      <c r="ED164" s="143"/>
      <c r="EF164" s="143"/>
      <c r="EG164" s="142">
        <f>SUM(EH164:EQ164)</f>
      </c>
      <c r="EH164" s="143"/>
      <c r="EI164" s="143"/>
      <c r="EJ164" s="143"/>
      <c r="EK164" s="143"/>
      <c r="EL164" s="143"/>
      <c r="EM164" s="143"/>
      <c r="EN164" s="143"/>
      <c r="EO164" s="143"/>
      <c r="EP164" s="143"/>
      <c r="EQ164" s="143"/>
      <c r="ER164" s="142">
        <f>SUM(ES164:ET164)</f>
      </c>
      <c r="ES164" s="143"/>
      <c r="ET164" s="143"/>
      <c r="EU164" s="144"/>
      <c r="FB164" s="146"/>
      <c r="FC164" s="146" cm="1">
        <f t="array" ref="FC164">ROW()-ROW(New[#Headers])</f>
        <v>158</v>
      </c>
    </row>
    <row r="165" spans="2:159" s="139" customFormat="1" ht="10.5" x14ac:dyDescent="0.2">
      <c r="B165" s="133"/>
      <c r="C165" s="3690" t="s">
        <v>360</v>
      </c>
      <c r="D165" t="s" s="3691">
        <v>361</v>
      </c>
      <c r="E165" s="3692" t="s">
        <v>13</v>
      </c>
      <c r="F165" t="s" s="3693">
        <v>810</v>
      </c>
      <c r="G165" t="s" s="3694">
        <v>1597</v>
      </c>
      <c r="H165" s="3695" t="s">
        <v>49</v>
      </c>
      <c r="I165" t="s" s="3696">
        <v>41</v>
      </c>
      <c r="J165" t="s" s="3697">
        <v>71</v>
      </c>
      <c r="K165" t="s" s="3698">
        <v>811</v>
      </c>
      <c r="L165" t="s" s="3699">
        <v>779</v>
      </c>
      <c r="M165" t="s" s="3700">
        <v>305</v>
      </c>
      <c r="N165" s="3701" t="s">
        <v>3873</v>
      </c>
      <c r="O165" s="3702" t="s">
        <v>3871</v>
      </c>
      <c r="P165" s="141"/>
      <c r="Q165" s="142">
        <f>SUM(R165:AQ165)</f>
      </c>
      <c r="R165" s="143"/>
      <c r="S165" s="143"/>
      <c r="T165" s="143"/>
      <c r="U165" s="143"/>
      <c r="V165" s="143"/>
      <c r="W165" s="3703" t="n">
        <v>300.0</v>
      </c>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2">
        <f>SUM(AS165:AV165)</f>
      </c>
      <c r="AS165" s="143"/>
      <c r="AT165" s="143"/>
      <c r="AU165" s="143"/>
      <c r="AV165" s="143"/>
      <c r="AW165" s="142">
        <f>SUM(AX165:BI165)</f>
      </c>
      <c r="AX165" s="143"/>
      <c r="AY165" s="143"/>
      <c r="AZ165" s="143"/>
      <c r="BA165" s="143"/>
      <c r="BB165" s="143"/>
      <c r="BC165" s="143"/>
      <c r="BD165" s="143"/>
      <c r="BE165" s="143"/>
      <c r="BF165" s="143"/>
      <c r="BG165" s="143"/>
      <c r="BH165" s="143"/>
      <c r="BI165" s="143"/>
      <c r="BJ165" s="142"/>
      <c r="BK165" s="143"/>
      <c r="BL165" s="143"/>
      <c r="BM165" s="143"/>
      <c r="BN165" s="143"/>
      <c r="BO165" s="143"/>
      <c r="BP165" s="143"/>
      <c r="BQ165" s="142"/>
      <c r="BR165" s="143"/>
      <c r="BS165" s="143"/>
      <c r="BT165" s="142">
        <f>SUM(BU165:BW165)</f>
      </c>
      <c r="BU165" s="143"/>
      <c r="BV165" s="143"/>
      <c r="BW165" s="143"/>
      <c r="BX165" s="142">
        <f>SUM(BY165:CD165)</f>
      </c>
      <c r="BY165" s="143"/>
      <c r="BZ165" s="143"/>
      <c r="CA165" s="143"/>
      <c r="CB165" s="143"/>
      <c r="CC165" s="143"/>
      <c r="CD165" s="143"/>
      <c r="CE165" s="142"/>
      <c r="CF165" s="143"/>
      <c r="CG165" s="143"/>
      <c r="CH165" s="143"/>
      <c r="CI165" s="143"/>
      <c r="CJ165" s="143"/>
      <c r="CK165" s="142">
        <f>SUM(CL165:CN165)</f>
      </c>
      <c r="CL165" s="143"/>
      <c r="CM165" s="143"/>
      <c r="CN165" s="143"/>
      <c r="CO165" s="142">
        <f>SUM(CP165:CT165)</f>
      </c>
      <c r="CP165" s="143"/>
      <c r="CQ165" s="143"/>
      <c r="CR165" s="143"/>
      <c r="CS165" s="143"/>
      <c r="CT165" s="143"/>
      <c r="CU165" s="142"/>
      <c r="CV165" s="143"/>
      <c r="CW165" s="143"/>
      <c r="CX165" s="143"/>
      <c r="CY165" s="142"/>
      <c r="CZ165" s="143"/>
      <c r="DA165" s="143"/>
      <c r="DB165" s="143"/>
      <c r="DC165" s="143"/>
      <c r="DD165" s="143"/>
      <c r="DE165" s="143"/>
      <c r="DF165" s="143"/>
      <c r="DG165" s="142">
        <f>SUM(DH165:DH165)</f>
      </c>
      <c r="DH165" s="143"/>
      <c r="DI165" s="142"/>
      <c r="DJ165" s="143"/>
      <c r="DK165" s="142">
        <f>SUM(DL165:DQ165)</f>
      </c>
      <c r="DL165" s="143"/>
      <c r="DM165" s="143"/>
      <c r="DN165" s="143"/>
      <c r="DO165" s="143"/>
      <c r="DP165" s="143"/>
      <c r="DQ165" s="143"/>
      <c r="DR165" s="143"/>
      <c r="DS165" s="143"/>
      <c r="DT165" s="143"/>
      <c r="DU165" s="143"/>
      <c r="DV165" s="143"/>
      <c r="DW165" s="143"/>
      <c r="DX165" s="142"/>
      <c r="DY165" s="143"/>
      <c r="DZ165" s="142"/>
      <c r="EA165" s="143"/>
      <c r="EB165" s="143"/>
      <c r="EC165" s="142"/>
      <c r="ED165" s="143"/>
      <c r="EF165" s="143"/>
      <c r="EG165" s="142">
        <f>SUM(EH165:EQ165)</f>
      </c>
      <c r="EH165" s="143"/>
      <c r="EI165" s="143"/>
      <c r="EJ165" s="143"/>
      <c r="EK165" s="143"/>
      <c r="EL165" s="143"/>
      <c r="EM165" s="143"/>
      <c r="EN165" s="143"/>
      <c r="EO165" s="143"/>
      <c r="EP165" s="143"/>
      <c r="EQ165" s="143"/>
      <c r="ER165" s="142">
        <f>SUM(ES165:ET165)</f>
      </c>
      <c r="ES165" s="143"/>
      <c r="ET165" s="143"/>
      <c r="EU165" s="144"/>
      <c r="FB165" s="146"/>
      <c r="FC165" s="146" cm="1">
        <f t="array" ref="FC165">ROW()-ROW(New[#Headers])</f>
        <v>159</v>
      </c>
    </row>
    <row r="166" spans="2:159" s="139" customFormat="1" ht="10.5" x14ac:dyDescent="0.2">
      <c r="B166" s="133"/>
      <c r="C166" s="3722" t="s">
        <v>1729</v>
      </c>
      <c r="D166" t="s" s="3723">
        <v>695</v>
      </c>
      <c r="E166" s="3724" t="s">
        <v>13</v>
      </c>
      <c r="F166" t="s" s="3725">
        <v>766</v>
      </c>
      <c r="G166" t="s" s="3726">
        <v>1597</v>
      </c>
      <c r="H166" s="3727" t="s">
        <v>46</v>
      </c>
      <c r="I166" t="s" s="3728">
        <v>41</v>
      </c>
      <c r="J166" t="s" s="3729">
        <v>68</v>
      </c>
      <c r="K166" t="s" s="3730">
        <v>771</v>
      </c>
      <c r="L166" t="s" s="3731">
        <v>305</v>
      </c>
      <c r="M166" t="s" s="3732">
        <v>305</v>
      </c>
      <c r="N166" s="3733" t="s">
        <v>3867</v>
      </c>
      <c r="O166" s="3734" t="s">
        <v>3868</v>
      </c>
      <c r="P166" s="141"/>
      <c r="Q166" s="142">
        <f>SUM(R166:AQ166)</f>
      </c>
      <c r="R166" s="143"/>
      <c r="S166" s="143"/>
      <c r="T166" s="143"/>
      <c r="U166" s="143"/>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2">
        <f>SUM(AS166:AV166)</f>
      </c>
      <c r="AS166" s="143"/>
      <c r="AT166" s="143"/>
      <c r="AU166" s="143"/>
      <c r="AV166" s="143"/>
      <c r="AW166" s="142">
        <f>SUM(AX166:BI166)</f>
      </c>
      <c r="AX166" s="143"/>
      <c r="AY166" s="143"/>
      <c r="AZ166" s="143"/>
      <c r="BA166" s="143"/>
      <c r="BB166" s="143"/>
      <c r="BC166" s="143"/>
      <c r="BD166" s="143"/>
      <c r="BE166" s="143"/>
      <c r="BF166" s="143"/>
      <c r="BG166" s="143"/>
      <c r="BH166" s="143"/>
      <c r="BI166" s="143"/>
      <c r="BJ166" s="142"/>
      <c r="BK166" s="143"/>
      <c r="BL166" s="143"/>
      <c r="BM166" s="143"/>
      <c r="BN166" s="143"/>
      <c r="BO166" s="143"/>
      <c r="BP166" s="143"/>
      <c r="BQ166" s="142"/>
      <c r="BR166" s="143"/>
      <c r="BS166" s="143"/>
      <c r="BT166" s="142">
        <f>SUM(BU166:BW166)</f>
      </c>
      <c r="BU166" s="143"/>
      <c r="BV166" s="143"/>
      <c r="BW166" s="143"/>
      <c r="BX166" s="142">
        <f>SUM(BY166:CD166)</f>
      </c>
      <c r="BY166" s="143"/>
      <c r="BZ166" s="143"/>
      <c r="CA166" s="143"/>
      <c r="CB166" s="143"/>
      <c r="CC166" s="143"/>
      <c r="CD166" s="143"/>
      <c r="CE166" s="142"/>
      <c r="CF166" s="143"/>
      <c r="CG166" s="143"/>
      <c r="CH166" s="143"/>
      <c r="CI166" s="143"/>
      <c r="CJ166" s="143"/>
      <c r="CK166" s="142">
        <f>SUM(CL166:CN166)</f>
      </c>
      <c r="CL166" s="143"/>
      <c r="CM166" s="143"/>
      <c r="CN166" s="143"/>
      <c r="CO166" s="142">
        <f>SUM(CP166:CT166)</f>
      </c>
      <c r="CP166" s="143"/>
      <c r="CQ166" s="143"/>
      <c r="CR166" s="143"/>
      <c r="CS166" s="143"/>
      <c r="CT166" s="143"/>
      <c r="CU166" s="142"/>
      <c r="CV166" s="143"/>
      <c r="CW166" s="143"/>
      <c r="CX166" s="143"/>
      <c r="CY166" s="142"/>
      <c r="CZ166" s="143"/>
      <c r="DA166" s="143"/>
      <c r="DB166" s="143"/>
      <c r="DC166" s="143"/>
      <c r="DD166" s="143"/>
      <c r="DE166" s="143"/>
      <c r="DF166" s="143"/>
      <c r="DG166" s="142">
        <f>SUM(DH166:DH166)</f>
      </c>
      <c r="DH166" s="143"/>
      <c r="DI166" s="142"/>
      <c r="DJ166" s="143"/>
      <c r="DK166" s="142">
        <f>SUM(DL166:DQ166)</f>
      </c>
      <c r="DL166" s="143"/>
      <c r="DM166" s="143"/>
      <c r="DN166" s="143"/>
      <c r="DO166" s="143"/>
      <c r="DP166" s="143"/>
      <c r="DQ166" s="143"/>
      <c r="DR166" s="143"/>
      <c r="DS166" s="143"/>
      <c r="DT166" s="143"/>
      <c r="DU166" s="143"/>
      <c r="DV166" s="143"/>
      <c r="DW166" s="143"/>
      <c r="DX166" s="142"/>
      <c r="DY166" s="143"/>
      <c r="DZ166" s="142"/>
      <c r="EA166" s="143"/>
      <c r="EB166" s="143"/>
      <c r="EC166" s="142"/>
      <c r="ED166" s="143"/>
      <c r="EF166" s="143"/>
      <c r="EG166" s="142">
        <f>SUM(EH166:EQ166)</f>
      </c>
      <c r="EH166" s="143"/>
      <c r="EI166" s="143"/>
      <c r="EJ166" s="143"/>
      <c r="EK166" s="143"/>
      <c r="EL166" s="143"/>
      <c r="EM166" s="143"/>
      <c r="EN166" s="143"/>
      <c r="EO166" s="143"/>
      <c r="EP166" s="143"/>
      <c r="EQ166" s="143"/>
      <c r="ER166" s="142">
        <f>SUM(ES166:ET166)</f>
      </c>
      <c r="ES166" s="143"/>
      <c r="ET166" s="143"/>
      <c r="EU166" s="144"/>
      <c r="FB166" s="146"/>
      <c r="FC166" s="146" cm="1">
        <f t="array" ref="FC166">ROW()-ROW(New[#Headers])</f>
        <v>160</v>
      </c>
    </row>
    <row r="167" spans="2:159" s="139" customFormat="1" ht="10.5" x14ac:dyDescent="0.2">
      <c r="B167" s="133"/>
      <c r="C167" s="3735" t="s">
        <v>635</v>
      </c>
      <c r="D167" t="s" s="3736">
        <v>636</v>
      </c>
      <c r="E167" s="3737" t="s">
        <v>13</v>
      </c>
      <c r="F167" t="s" s="3738">
        <v>1241</v>
      </c>
      <c r="G167" t="s" s="3739">
        <v>1597</v>
      </c>
      <c r="H167" s="3740" t="s">
        <v>49</v>
      </c>
      <c r="I167" t="s" s="3741">
        <v>41</v>
      </c>
      <c r="J167" t="s" s="3742">
        <v>74</v>
      </c>
      <c r="K167" t="s" s="3743">
        <v>1246</v>
      </c>
      <c r="L167" t="s" s="3744">
        <v>305</v>
      </c>
      <c r="M167" t="s" s="3745">
        <v>305</v>
      </c>
      <c r="N167" s="3746" t="s">
        <v>3873</v>
      </c>
      <c r="O167" s="3747" t="s">
        <v>3871</v>
      </c>
      <c r="P167" s="141"/>
      <c r="Q167" s="142">
        <f>SUM(R167:AQ167)</f>
      </c>
      <c r="R167" s="143"/>
      <c r="S167" s="143"/>
      <c r="T167" s="143"/>
      <c r="U167" s="143"/>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2">
        <f>SUM(AS167:AV167)</f>
      </c>
      <c r="AS167" s="143"/>
      <c r="AT167" s="143"/>
      <c r="AU167" s="143"/>
      <c r="AV167" s="143"/>
      <c r="AW167" s="142">
        <f>SUM(AX167:BI167)</f>
      </c>
      <c r="AX167" s="143"/>
      <c r="AY167" s="143"/>
      <c r="AZ167" s="143"/>
      <c r="BA167" s="143"/>
      <c r="BB167" s="143"/>
      <c r="BC167" s="143"/>
      <c r="BD167" s="143"/>
      <c r="BE167" s="143"/>
      <c r="BF167" s="143"/>
      <c r="BG167" s="143"/>
      <c r="BH167" s="143"/>
      <c r="BI167" s="143"/>
      <c r="BJ167" s="142"/>
      <c r="BK167" s="143"/>
      <c r="BL167" s="143"/>
      <c r="BM167" s="143"/>
      <c r="BN167" s="143"/>
      <c r="BO167" s="143"/>
      <c r="BP167" s="143"/>
      <c r="BQ167" s="142"/>
      <c r="BR167" s="143"/>
      <c r="BS167" s="143"/>
      <c r="BT167" s="142">
        <f>SUM(BU167:BW167)</f>
      </c>
      <c r="BU167" s="143"/>
      <c r="BV167" s="143"/>
      <c r="BW167" s="143"/>
      <c r="BX167" s="142">
        <f>SUM(BY167:CD167)</f>
      </c>
      <c r="BY167" s="143"/>
      <c r="BZ167" s="143"/>
      <c r="CA167" s="143"/>
      <c r="CB167" s="143"/>
      <c r="CC167" s="143"/>
      <c r="CD167" s="143"/>
      <c r="CE167" s="142"/>
      <c r="CF167" s="143"/>
      <c r="CG167" s="143"/>
      <c r="CH167" s="143"/>
      <c r="CI167" s="143"/>
      <c r="CJ167" s="143"/>
      <c r="CK167" s="142">
        <f>SUM(CL167:CN167)</f>
      </c>
      <c r="CL167" s="143"/>
      <c r="CM167" s="143"/>
      <c r="CN167" s="143"/>
      <c r="CO167" s="142">
        <f>SUM(CP167:CT167)</f>
      </c>
      <c r="CP167" s="143"/>
      <c r="CQ167" s="143"/>
      <c r="CR167" s="143"/>
      <c r="CS167" s="143"/>
      <c r="CT167" s="143"/>
      <c r="CU167" s="142"/>
      <c r="CV167" s="143"/>
      <c r="CW167" s="143"/>
      <c r="CX167" s="143"/>
      <c r="CY167" s="142"/>
      <c r="CZ167" s="143"/>
      <c r="DA167" s="143"/>
      <c r="DB167" s="143"/>
      <c r="DC167" s="143"/>
      <c r="DD167" s="143"/>
      <c r="DE167" s="143"/>
      <c r="DF167" s="143"/>
      <c r="DG167" s="142">
        <f>SUM(DH167:DH167)</f>
      </c>
      <c r="DH167" s="3748" t="n">
        <v>100.0</v>
      </c>
      <c r="DI167" s="142"/>
      <c r="DJ167" s="143"/>
      <c r="DK167" s="142">
        <f>SUM(DL167:DQ167)</f>
      </c>
      <c r="DL167" s="143"/>
      <c r="DM167" s="143"/>
      <c r="DN167" s="143"/>
      <c r="DO167" s="143"/>
      <c r="DP167" s="143"/>
      <c r="DQ167" s="143"/>
      <c r="DR167" s="143"/>
      <c r="DS167" s="143"/>
      <c r="DT167" s="143"/>
      <c r="DU167" s="143"/>
      <c r="DV167" s="143"/>
      <c r="DW167" s="143"/>
      <c r="DX167" s="142"/>
      <c r="DY167" s="143"/>
      <c r="DZ167" s="142"/>
      <c r="EA167" s="143"/>
      <c r="EB167" s="143"/>
      <c r="EC167" s="142"/>
      <c r="ED167" s="143"/>
      <c r="EF167" s="143"/>
      <c r="EG167" s="142">
        <f>SUM(EH167:EQ167)</f>
      </c>
      <c r="EH167" s="143"/>
      <c r="EI167" s="143"/>
      <c r="EJ167" s="143"/>
      <c r="EK167" s="143"/>
      <c r="EL167" s="143"/>
      <c r="EM167" s="143"/>
      <c r="EN167" s="143"/>
      <c r="EO167" s="143"/>
      <c r="EP167" s="143"/>
      <c r="EQ167" s="143"/>
      <c r="ER167" s="142">
        <f>SUM(ES167:ET167)</f>
      </c>
      <c r="ES167" s="143"/>
      <c r="ET167" s="143"/>
      <c r="EU167" s="144"/>
      <c r="FB167" s="146"/>
      <c r="FC167" s="146" cm="1">
        <f t="array" ref="FC167">ROW()-ROW(New[#Headers])</f>
        <v>161</v>
      </c>
    </row>
    <row r="168" spans="2:159" s="139" customFormat="1" ht="10.5" x14ac:dyDescent="0.2">
      <c r="B168" s="133"/>
      <c r="C168" s="3749" t="s">
        <v>296</v>
      </c>
      <c r="D168" t="s" s="3750">
        <v>297</v>
      </c>
      <c r="E168" s="3751" t="s">
        <v>23</v>
      </c>
      <c r="F168" t="s" s="3752">
        <v>766</v>
      </c>
      <c r="G168" t="s" s="3753">
        <v>1597</v>
      </c>
      <c r="H168" s="3754" t="s">
        <v>51</v>
      </c>
      <c r="I168" t="s" s="3755">
        <v>41</v>
      </c>
      <c r="J168" t="s" s="3756">
        <v>68</v>
      </c>
      <c r="K168" t="s" s="3757">
        <v>1059</v>
      </c>
      <c r="L168" t="s" s="3758">
        <v>767</v>
      </c>
      <c r="M168" t="s" s="3759">
        <v>305</v>
      </c>
      <c r="N168" s="3760" t="s">
        <v>3873</v>
      </c>
      <c r="O168" s="3761" t="s">
        <v>3871</v>
      </c>
      <c r="P168" s="141"/>
      <c r="Q168" s="142">
        <f>SUM(R168:AQ168)</f>
      </c>
      <c r="R168" s="143"/>
      <c r="S168" s="143"/>
      <c r="T168" s="143"/>
      <c r="U168" s="143"/>
      <c r="V168" s="143"/>
      <c r="W168" s="143"/>
      <c r="X168" s="143"/>
      <c r="Y168" s="143"/>
      <c r="Z168" s="143"/>
      <c r="AA168" s="143"/>
      <c r="AB168" s="143"/>
      <c r="AC168" s="143"/>
      <c r="AD168" s="143"/>
      <c r="AE168" s="143"/>
      <c r="AF168" s="143"/>
      <c r="AG168" s="3762" t="n">
        <v>1405.0</v>
      </c>
      <c r="AH168" s="143"/>
      <c r="AI168" s="143"/>
      <c r="AJ168" s="143"/>
      <c r="AK168" s="143"/>
      <c r="AL168" s="143"/>
      <c r="AM168" s="143"/>
      <c r="AN168" s="143"/>
      <c r="AO168" s="143"/>
      <c r="AP168" s="143"/>
      <c r="AQ168" s="143"/>
      <c r="AR168" s="142">
        <f>SUM(AS168:AV168)</f>
      </c>
      <c r="AS168" s="143"/>
      <c r="AT168" s="143"/>
      <c r="AU168" s="143"/>
      <c r="AV168" s="143"/>
      <c r="AW168" s="142">
        <f>SUM(AX168:BI168)</f>
      </c>
      <c r="AX168" s="143"/>
      <c r="AY168" s="143"/>
      <c r="AZ168" s="143"/>
      <c r="BA168" s="143"/>
      <c r="BB168" s="143"/>
      <c r="BC168" s="143"/>
      <c r="BD168" s="143"/>
      <c r="BE168" s="143"/>
      <c r="BF168" s="143"/>
      <c r="BG168" s="143"/>
      <c r="BH168" s="143"/>
      <c r="BI168" s="143"/>
      <c r="BJ168" s="142"/>
      <c r="BK168" s="143"/>
      <c r="BL168" s="143"/>
      <c r="BM168" s="143"/>
      <c r="BN168" s="143"/>
      <c r="BO168" s="143"/>
      <c r="BP168" s="143"/>
      <c r="BQ168" s="142"/>
      <c r="BR168" s="143"/>
      <c r="BS168" s="143"/>
      <c r="BT168" s="142">
        <f>SUM(BU168:BW168)</f>
      </c>
      <c r="BU168" s="143"/>
      <c r="BV168" s="143"/>
      <c r="BW168" s="143"/>
      <c r="BX168" s="142">
        <f>SUM(BY168:CD168)</f>
      </c>
      <c r="BY168" s="143"/>
      <c r="BZ168" s="143"/>
      <c r="CA168" s="143"/>
      <c r="CB168" s="143"/>
      <c r="CC168" s="143"/>
      <c r="CD168" s="143"/>
      <c r="CE168" s="142"/>
      <c r="CF168" s="143"/>
      <c r="CG168" s="143"/>
      <c r="CH168" s="143"/>
      <c r="CI168" s="143"/>
      <c r="CJ168" s="143"/>
      <c r="CK168" s="142">
        <f>SUM(CL168:CN168)</f>
      </c>
      <c r="CL168" s="143"/>
      <c r="CM168" s="143"/>
      <c r="CN168" s="143"/>
      <c r="CO168" s="142">
        <f>SUM(CP168:CT168)</f>
      </c>
      <c r="CP168" s="143"/>
      <c r="CQ168" s="143"/>
      <c r="CR168" s="143"/>
      <c r="CS168" s="143"/>
      <c r="CT168" s="143"/>
      <c r="CU168" s="142"/>
      <c r="CV168" s="143"/>
      <c r="CW168" s="143"/>
      <c r="CX168" s="143"/>
      <c r="CY168" s="142"/>
      <c r="CZ168" s="143"/>
      <c r="DA168" s="143"/>
      <c r="DB168" s="143"/>
      <c r="DC168" s="143"/>
      <c r="DD168" s="143"/>
      <c r="DE168" s="143"/>
      <c r="DF168" s="143"/>
      <c r="DG168" s="142">
        <f>SUM(DH168:DH168)</f>
      </c>
      <c r="DH168" s="143"/>
      <c r="DI168" s="142"/>
      <c r="DJ168" s="143"/>
      <c r="DK168" s="142">
        <f>SUM(DL168:DQ168)</f>
      </c>
      <c r="DL168" s="143"/>
      <c r="DM168" s="3763" t="n">
        <v>25.0</v>
      </c>
      <c r="DN168" s="143"/>
      <c r="DO168" s="143"/>
      <c r="DP168" s="143"/>
      <c r="DQ168" s="3764" t="n">
        <v>25.0</v>
      </c>
      <c r="DR168" s="143"/>
      <c r="DS168" s="143"/>
      <c r="DT168" s="143"/>
      <c r="DU168" s="143"/>
      <c r="DV168" s="143"/>
      <c r="DW168" s="143"/>
      <c r="DX168" s="142"/>
      <c r="DY168" s="143"/>
      <c r="DZ168" s="142"/>
      <c r="EA168" s="143"/>
      <c r="EB168" s="143"/>
      <c r="EC168" s="142"/>
      <c r="ED168" s="143"/>
      <c r="EF168" s="143"/>
      <c r="EG168" s="142">
        <f>SUM(EH168:EQ168)</f>
      </c>
      <c r="EH168" s="143"/>
      <c r="EI168" s="143"/>
      <c r="EJ168" s="143"/>
      <c r="EK168" s="143"/>
      <c r="EL168" s="143"/>
      <c r="EM168" s="143"/>
      <c r="EN168" s="143"/>
      <c r="EO168" s="143"/>
      <c r="EP168" s="143"/>
      <c r="EQ168" s="143"/>
      <c r="ER168" s="142">
        <f>SUM(ES168:ET168)</f>
      </c>
      <c r="ES168" s="143"/>
      <c r="ET168" s="143"/>
      <c r="EU168" s="144"/>
      <c r="FB168" s="146"/>
      <c r="FC168" s="146" cm="1">
        <f t="array" ref="FC168">ROW()-ROW(New[#Headers])</f>
        <v>162</v>
      </c>
    </row>
    <row r="169" spans="2:159" s="139" customFormat="1" ht="10.5" x14ac:dyDescent="0.2">
      <c r="B169" s="133"/>
      <c r="C169" s="3765" t="s">
        <v>624</v>
      </c>
      <c r="D169" t="s" s="3766">
        <v>625</v>
      </c>
      <c r="E169" s="3767" t="s">
        <v>13</v>
      </c>
      <c r="F169" t="s" s="3768">
        <v>750</v>
      </c>
      <c r="G169" t="s" s="3769">
        <v>1597</v>
      </c>
      <c r="H169" s="3770" t="s">
        <v>46</v>
      </c>
      <c r="I169" t="s" s="3771">
        <v>41</v>
      </c>
      <c r="J169" t="s" s="3772">
        <v>64</v>
      </c>
      <c r="K169" t="s" s="3773">
        <v>1232</v>
      </c>
      <c r="L169" t="s" s="3774">
        <v>751</v>
      </c>
      <c r="M169" t="s" s="3775">
        <v>305</v>
      </c>
      <c r="N169" s="3776" t="s">
        <v>3875</v>
      </c>
      <c r="O169" s="3777" t="s">
        <v>3874</v>
      </c>
      <c r="P169" s="141"/>
      <c r="Q169" s="142">
        <f>SUM(R169:AQ169)</f>
      </c>
      <c r="R169" s="143"/>
      <c r="S169" s="143"/>
      <c r="T169" s="3778" t="n">
        <v>60.0</v>
      </c>
      <c r="U169" s="143"/>
      <c r="V169" s="143"/>
      <c r="W169" s="143"/>
      <c r="X169" s="143"/>
      <c r="Y169" s="143"/>
      <c r="Z169" s="143"/>
      <c r="AA169" s="143"/>
      <c r="AB169" s="143"/>
      <c r="AC169" s="143"/>
      <c r="AD169" s="143"/>
      <c r="AE169" s="143"/>
      <c r="AF169" s="143"/>
      <c r="AG169" s="143"/>
      <c r="AH169" s="143"/>
      <c r="AI169" s="143"/>
      <c r="AJ169" s="143"/>
      <c r="AK169" s="143"/>
      <c r="AL169" s="143"/>
      <c r="AM169" s="143"/>
      <c r="AN169" s="3779" t="n">
        <v>160.0</v>
      </c>
      <c r="AO169" s="143"/>
      <c r="AP169" s="143"/>
      <c r="AQ169" s="143"/>
      <c r="AR169" s="142">
        <f>SUM(AS169:AV169)</f>
      </c>
      <c r="AS169" s="143"/>
      <c r="AT169" s="143"/>
      <c r="AU169" s="143"/>
      <c r="AV169" s="143"/>
      <c r="AW169" s="142">
        <f>SUM(AX169:BI169)</f>
      </c>
      <c r="AX169" s="143"/>
      <c r="AY169" s="143"/>
      <c r="AZ169" s="143"/>
      <c r="BA169" s="143"/>
      <c r="BB169" s="143"/>
      <c r="BC169" s="143"/>
      <c r="BD169" s="143"/>
      <c r="BE169" s="143"/>
      <c r="BF169" s="143"/>
      <c r="BG169" s="143"/>
      <c r="BH169" s="143"/>
      <c r="BI169" s="143"/>
      <c r="BJ169" s="142"/>
      <c r="BK169" s="143"/>
      <c r="BL169" s="143"/>
      <c r="BM169" s="143"/>
      <c r="BN169" s="143"/>
      <c r="BO169" s="143"/>
      <c r="BP169" s="143"/>
      <c r="BQ169" s="142"/>
      <c r="BR169" s="143"/>
      <c r="BS169" s="143"/>
      <c r="BT169" s="142">
        <f>SUM(BU169:BW169)</f>
      </c>
      <c r="BU169" s="143"/>
      <c r="BV169" s="143"/>
      <c r="BW169" s="143"/>
      <c r="BX169" s="142">
        <f>SUM(BY169:CD169)</f>
      </c>
      <c r="BY169" s="143"/>
      <c r="BZ169" s="143"/>
      <c r="CA169" s="143"/>
      <c r="CB169" s="143"/>
      <c r="CC169" s="143"/>
      <c r="CD169" s="143"/>
      <c r="CE169" s="142"/>
      <c r="CF169" s="143"/>
      <c r="CG169" s="143"/>
      <c r="CH169" s="143"/>
      <c r="CI169" s="143"/>
      <c r="CJ169" s="143"/>
      <c r="CK169" s="142">
        <f>SUM(CL169:CN169)</f>
      </c>
      <c r="CL169" s="143"/>
      <c r="CM169" s="143"/>
      <c r="CN169" s="143"/>
      <c r="CO169" s="142">
        <f>SUM(CP169:CT169)</f>
      </c>
      <c r="CP169" s="143"/>
      <c r="CQ169" s="143"/>
      <c r="CR169" s="143"/>
      <c r="CS169" s="143"/>
      <c r="CT169" s="143"/>
      <c r="CU169" s="142"/>
      <c r="CV169" s="143"/>
      <c r="CW169" s="143"/>
      <c r="CX169" s="143"/>
      <c r="CY169" s="142"/>
      <c r="CZ169" s="143"/>
      <c r="DA169" s="143"/>
      <c r="DB169" s="143"/>
      <c r="DC169" s="143"/>
      <c r="DD169" s="143"/>
      <c r="DE169" s="143"/>
      <c r="DF169" s="143"/>
      <c r="DG169" s="142">
        <f>SUM(DH169:DH169)</f>
      </c>
      <c r="DH169" s="143"/>
      <c r="DI169" s="142"/>
      <c r="DJ169" s="143"/>
      <c r="DK169" s="142">
        <f>SUM(DL169:DQ169)</f>
      </c>
      <c r="DL169" s="143"/>
      <c r="DM169" s="143"/>
      <c r="DN169" s="143"/>
      <c r="DO169" s="143"/>
      <c r="DP169" s="143"/>
      <c r="DQ169" s="143"/>
      <c r="DR169" s="143"/>
      <c r="DS169" s="143"/>
      <c r="DT169" s="143"/>
      <c r="DU169" s="143"/>
      <c r="DV169" s="143"/>
      <c r="DW169" s="143"/>
      <c r="DX169" s="142"/>
      <c r="DY169" s="143"/>
      <c r="DZ169" s="142"/>
      <c r="EA169" s="143"/>
      <c r="EB169" s="143"/>
      <c r="EC169" s="142"/>
      <c r="ED169" s="143"/>
      <c r="EF169" s="143"/>
      <c r="EG169" s="142">
        <f>SUM(EH169:EQ169)</f>
      </c>
      <c r="EH169" s="143"/>
      <c r="EI169" s="143"/>
      <c r="EJ169" s="143"/>
      <c r="EK169" s="143"/>
      <c r="EL169" s="143"/>
      <c r="EM169" s="143"/>
      <c r="EN169" s="143"/>
      <c r="EO169" s="143"/>
      <c r="EP169" s="143"/>
      <c r="EQ169" s="143"/>
      <c r="ER169" s="142">
        <f>SUM(ES169:ET169)</f>
      </c>
      <c r="ES169" s="143"/>
      <c r="ET169" s="143"/>
      <c r="EU169" s="144"/>
      <c r="FB169" s="146"/>
      <c r="FC169" s="146" cm="1">
        <f t="array" ref="FC169">ROW()-ROW(New[#Headers])</f>
        <v>163</v>
      </c>
    </row>
    <row r="170" spans="2:159" s="139" customFormat="1" ht="10.5" x14ac:dyDescent="0.2">
      <c r="B170" s="133"/>
      <c r="C170" s="3783" t="s">
        <v>512</v>
      </c>
      <c r="D170" t="s" s="3784">
        <v>513</v>
      </c>
      <c r="E170" s="3785" t="s">
        <v>37</v>
      </c>
      <c r="F170" t="s" s="3786">
        <v>1618</v>
      </c>
      <c r="G170" t="s" s="3787">
        <v>1597</v>
      </c>
      <c r="H170" s="3788" t="s">
        <v>49</v>
      </c>
      <c r="I170" t="s" s="3789">
        <v>41</v>
      </c>
      <c r="J170" t="s" s="3790">
        <v>64</v>
      </c>
      <c r="K170" t="s" s="3791">
        <v>839</v>
      </c>
      <c r="L170" t="s" s="3792">
        <v>767</v>
      </c>
      <c r="M170" t="s" s="3793">
        <v>305</v>
      </c>
      <c r="N170" s="3794" t="s">
        <v>3870</v>
      </c>
      <c r="O170" s="3795" t="s">
        <v>3878</v>
      </c>
      <c r="P170" s="141"/>
      <c r="Q170" s="142">
        <f>SUM(R170:AQ170)</f>
      </c>
      <c r="R170" s="143"/>
      <c r="S170" s="143"/>
      <c r="T170" s="143"/>
      <c r="U170" s="143"/>
      <c r="V170" s="143"/>
      <c r="W170" s="143"/>
      <c r="X170" s="143"/>
      <c r="Y170" s="143"/>
      <c r="Z170" s="143"/>
      <c r="AA170" s="143"/>
      <c r="AB170" s="143"/>
      <c r="AC170" s="143"/>
      <c r="AD170" s="143"/>
      <c r="AE170" s="143"/>
      <c r="AF170" s="143"/>
      <c r="AG170" s="143"/>
      <c r="AH170" s="143"/>
      <c r="AI170" s="143"/>
      <c r="AJ170" s="143"/>
      <c r="AK170" s="143"/>
      <c r="AL170" s="3796" t="n">
        <v>100.0</v>
      </c>
      <c r="AM170" s="143"/>
      <c r="AN170" s="143"/>
      <c r="AO170" s="143"/>
      <c r="AP170" s="143"/>
      <c r="AQ170" s="143"/>
      <c r="AR170" s="142">
        <f>SUM(AS170:AV170)</f>
      </c>
      <c r="AS170" s="143"/>
      <c r="AT170" s="143"/>
      <c r="AU170" s="143"/>
      <c r="AV170" s="143"/>
      <c r="AW170" s="142">
        <f>SUM(AX170:BI170)</f>
      </c>
      <c r="AX170" s="143"/>
      <c r="AY170" s="143"/>
      <c r="AZ170" s="143"/>
      <c r="BA170" s="143"/>
      <c r="BB170" s="143"/>
      <c r="BC170" s="143"/>
      <c r="BD170" s="143"/>
      <c r="BE170" s="143"/>
      <c r="BF170" s="143"/>
      <c r="BG170" s="143"/>
      <c r="BH170" s="143"/>
      <c r="BI170" s="143"/>
      <c r="BJ170" s="142"/>
      <c r="BK170" s="143"/>
      <c r="BL170" s="143"/>
      <c r="BM170" s="143"/>
      <c r="BN170" s="143"/>
      <c r="BO170" s="143"/>
      <c r="BP170" s="143"/>
      <c r="BQ170" s="142"/>
      <c r="BR170" s="143"/>
      <c r="BS170" s="143"/>
      <c r="BT170" s="142">
        <f>SUM(BU170:BW170)</f>
      </c>
      <c r="BU170" s="143"/>
      <c r="BV170" s="143"/>
      <c r="BW170" s="143"/>
      <c r="BX170" s="142">
        <f>SUM(BY170:CD170)</f>
      </c>
      <c r="BY170" s="143"/>
      <c r="BZ170" s="143"/>
      <c r="CA170" s="143"/>
      <c r="CB170" s="143"/>
      <c r="CC170" s="143"/>
      <c r="CD170" s="143"/>
      <c r="CE170" s="142"/>
      <c r="CF170" s="143"/>
      <c r="CG170" s="143"/>
      <c r="CH170" s="143"/>
      <c r="CI170" s="143"/>
      <c r="CJ170" s="143"/>
      <c r="CK170" s="142">
        <f>SUM(CL170:CN170)</f>
      </c>
      <c r="CL170" s="143"/>
      <c r="CM170" s="143"/>
      <c r="CN170" s="143"/>
      <c r="CO170" s="142">
        <f>SUM(CP170:CT170)</f>
      </c>
      <c r="CP170" s="143"/>
      <c r="CQ170" s="143"/>
      <c r="CR170" s="143"/>
      <c r="CS170" s="143"/>
      <c r="CT170" s="143"/>
      <c r="CU170" s="142"/>
      <c r="CV170" s="143"/>
      <c r="CW170" s="143"/>
      <c r="CX170" s="143"/>
      <c r="CY170" s="142"/>
      <c r="CZ170" s="143"/>
      <c r="DA170" s="143"/>
      <c r="DB170" s="143"/>
      <c r="DC170" s="143"/>
      <c r="DD170" s="143"/>
      <c r="DE170" s="143"/>
      <c r="DF170" s="143"/>
      <c r="DG170" s="142">
        <f>SUM(DH170:DH170)</f>
      </c>
      <c r="DH170" s="143"/>
      <c r="DI170" s="142"/>
      <c r="DJ170" s="143"/>
      <c r="DK170" s="142">
        <f>SUM(DL170:DQ170)</f>
      </c>
      <c r="DL170" s="143"/>
      <c r="DM170" s="143"/>
      <c r="DN170" s="143"/>
      <c r="DO170" s="143"/>
      <c r="DP170" s="143"/>
      <c r="DQ170" s="143"/>
      <c r="DR170" s="143"/>
      <c r="DS170" s="143"/>
      <c r="DT170" s="143"/>
      <c r="DU170" s="143"/>
      <c r="DV170" s="143"/>
      <c r="DW170" s="143"/>
      <c r="DX170" s="142"/>
      <c r="DY170" s="143"/>
      <c r="DZ170" s="142"/>
      <c r="EA170" s="143"/>
      <c r="EB170" s="143"/>
      <c r="EC170" s="142"/>
      <c r="ED170" s="143"/>
      <c r="EF170" s="143"/>
      <c r="EG170" s="142">
        <f>SUM(EH170:EQ170)</f>
      </c>
      <c r="EH170" s="143"/>
      <c r="EI170" s="143"/>
      <c r="EJ170" s="143"/>
      <c r="EK170" s="143"/>
      <c r="EL170" s="143"/>
      <c r="EM170" s="143"/>
      <c r="EN170" s="143"/>
      <c r="EO170" s="143"/>
      <c r="EP170" s="143"/>
      <c r="EQ170" s="143"/>
      <c r="ER170" s="142">
        <f>SUM(ES170:ET170)</f>
      </c>
      <c r="ES170" s="143"/>
      <c r="ET170" s="143"/>
      <c r="EU170" s="144"/>
      <c r="FB170" s="146"/>
      <c r="FC170" s="146" cm="1">
        <f t="array" ref="FC170">ROW()-ROW(New[#Headers])</f>
        <v>164</v>
      </c>
    </row>
    <row r="171" spans="2:159" s="139" customFormat="1" ht="10.5" x14ac:dyDescent="0.2">
      <c r="B171" s="133"/>
      <c r="C171" s="3797" t="s">
        <v>3811</v>
      </c>
      <c r="D171" t="s" s="3798">
        <v>3810</v>
      </c>
      <c r="E171" s="3799" t="s">
        <v>13</v>
      </c>
      <c r="F171" t="s" s="3800">
        <v>750</v>
      </c>
      <c r="G171" t="s" s="3801">
        <v>345</v>
      </c>
      <c r="H171" s="3802" t="s">
        <v>46</v>
      </c>
      <c r="I171" t="s" s="3803">
        <v>41</v>
      </c>
      <c r="J171" t="s" s="3804">
        <v>64</v>
      </c>
      <c r="K171" t="s" s="3805">
        <v>1679</v>
      </c>
      <c r="L171" t="s" s="3806">
        <v>305</v>
      </c>
      <c r="M171" t="s" s="3807">
        <v>305</v>
      </c>
      <c r="N171" s="3808" t="s">
        <v>3875</v>
      </c>
      <c r="O171" s="3809" t="s">
        <v>3871</v>
      </c>
      <c r="P171" s="141"/>
      <c r="Q171" s="142">
        <f>SUM(R171:AQ171)</f>
      </c>
      <c r="R171" s="143"/>
      <c r="S171" s="143"/>
      <c r="T171" s="3810" t="n">
        <v>410.0</v>
      </c>
      <c r="U171" s="143"/>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2">
        <f>SUM(AS171:AV171)</f>
      </c>
      <c r="AS171" s="143"/>
      <c r="AT171" s="143"/>
      <c r="AU171" s="143"/>
      <c r="AV171" s="143"/>
      <c r="AW171" s="142">
        <f>SUM(AX171:BI171)</f>
      </c>
      <c r="AX171" s="3811" t="n">
        <v>400.0</v>
      </c>
      <c r="AY171" s="143"/>
      <c r="AZ171" s="143"/>
      <c r="BA171" s="143"/>
      <c r="BB171" s="143"/>
      <c r="BC171" s="143"/>
      <c r="BD171" s="143"/>
      <c r="BE171" s="143"/>
      <c r="BF171" s="143"/>
      <c r="BG171" s="143"/>
      <c r="BH171" s="143"/>
      <c r="BI171" s="143"/>
      <c r="BJ171" s="142"/>
      <c r="BK171" s="143"/>
      <c r="BL171" s="143"/>
      <c r="BM171" s="143"/>
      <c r="BN171" s="143"/>
      <c r="BO171" s="143"/>
      <c r="BP171" s="143"/>
      <c r="BQ171" s="142"/>
      <c r="BR171" s="143"/>
      <c r="BS171" s="143"/>
      <c r="BT171" s="142">
        <f>SUM(BU171:BW171)</f>
      </c>
      <c r="BU171" s="143"/>
      <c r="BV171" s="143"/>
      <c r="BW171" s="143"/>
      <c r="BX171" s="142">
        <f>SUM(BY171:CD171)</f>
      </c>
      <c r="BY171" s="143"/>
      <c r="BZ171" s="143"/>
      <c r="CA171" s="143"/>
      <c r="CB171" s="143"/>
      <c r="CC171" s="143"/>
      <c r="CD171" s="143"/>
      <c r="CE171" s="142"/>
      <c r="CF171" s="143"/>
      <c r="CG171" s="143"/>
      <c r="CH171" s="143"/>
      <c r="CI171" s="143"/>
      <c r="CJ171" s="143"/>
      <c r="CK171" s="142">
        <f>SUM(CL171:CN171)</f>
      </c>
      <c r="CL171" s="143"/>
      <c r="CM171" s="143"/>
      <c r="CN171" s="143"/>
      <c r="CO171" s="142">
        <f>SUM(CP171:CT171)</f>
      </c>
      <c r="CP171" s="143"/>
      <c r="CQ171" s="143"/>
      <c r="CR171" s="143"/>
      <c r="CS171" s="143"/>
      <c r="CT171" s="143"/>
      <c r="CU171" s="142"/>
      <c r="CV171" s="143"/>
      <c r="CW171" s="143"/>
      <c r="CX171" s="143"/>
      <c r="CY171" s="142"/>
      <c r="CZ171" s="143"/>
      <c r="DA171" s="143"/>
      <c r="DB171" s="143"/>
      <c r="DC171" s="143"/>
      <c r="DD171" s="143"/>
      <c r="DE171" s="143"/>
      <c r="DF171" s="143"/>
      <c r="DG171" s="142">
        <f>SUM(DH171:DH171)</f>
      </c>
      <c r="DH171" s="143"/>
      <c r="DI171" s="142"/>
      <c r="DJ171" s="143"/>
      <c r="DK171" s="142">
        <f>SUM(DL171:DQ171)</f>
      </c>
      <c r="DL171" s="143"/>
      <c r="DM171" s="143"/>
      <c r="DN171" s="143"/>
      <c r="DO171" s="143"/>
      <c r="DP171" s="143"/>
      <c r="DQ171" s="143"/>
      <c r="DR171" s="143"/>
      <c r="DS171" s="143"/>
      <c r="DT171" s="143"/>
      <c r="DU171" s="143"/>
      <c r="DV171" s="143"/>
      <c r="DW171" s="143"/>
      <c r="DX171" s="142"/>
      <c r="DY171" s="143"/>
      <c r="DZ171" s="142"/>
      <c r="EA171" s="143"/>
      <c r="EB171" s="143"/>
      <c r="EC171" s="142"/>
      <c r="ED171" s="143"/>
      <c r="EF171" s="143"/>
      <c r="EG171" s="142">
        <f>SUM(EH171:EQ171)</f>
      </c>
      <c r="EH171" s="143"/>
      <c r="EI171" s="143"/>
      <c r="EJ171" s="143"/>
      <c r="EK171" s="143"/>
      <c r="EL171" s="143"/>
      <c r="EM171" s="143"/>
      <c r="EN171" s="143"/>
      <c r="EO171" s="143"/>
      <c r="EP171" s="143"/>
      <c r="EQ171" s="143"/>
      <c r="ER171" s="142">
        <f>SUM(ES171:ET171)</f>
      </c>
      <c r="ES171" s="143"/>
      <c r="ET171" s="143"/>
      <c r="EU171" s="144"/>
      <c r="FB171" s="146"/>
      <c r="FC171" s="146" cm="1">
        <f t="array" ref="FC171">ROW()-ROW(New[#Headers])</f>
        <v>165</v>
      </c>
    </row>
    <row r="172" spans="2:159" s="139" customFormat="1" ht="10.5" x14ac:dyDescent="0.2">
      <c r="B172" s="133"/>
      <c r="C172" s="3889" t="s">
        <v>1730</v>
      </c>
      <c r="D172" t="s" s="3890">
        <v>696</v>
      </c>
      <c r="E172" s="3891" t="s">
        <v>13</v>
      </c>
      <c r="F172" t="s" s="3892">
        <v>1241</v>
      </c>
      <c r="G172" t="s" s="3893">
        <v>1597</v>
      </c>
      <c r="H172" s="3894" t="s">
        <v>46</v>
      </c>
      <c r="I172" t="s" s="3895">
        <v>22</v>
      </c>
      <c r="J172" t="s" s="3896">
        <v>74</v>
      </c>
      <c r="K172" t="s" s="3897">
        <v>1651</v>
      </c>
      <c r="L172" t="s" s="3898">
        <v>305</v>
      </c>
      <c r="M172" t="s" s="3899">
        <v>305</v>
      </c>
      <c r="N172" s="3900" t="s">
        <v>3875</v>
      </c>
      <c r="O172" s="3901" t="s">
        <v>3871</v>
      </c>
      <c r="P172" s="141"/>
      <c r="Q172" s="142">
        <f>SUM(R172:AQ172)</f>
      </c>
      <c r="R172" s="143"/>
      <c r="S172" s="143"/>
      <c r="T172" s="143"/>
      <c r="U172" s="143"/>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2">
        <f>SUM(AS172:AV172)</f>
      </c>
      <c r="AS172" s="143"/>
      <c r="AT172" s="143"/>
      <c r="AU172" s="143"/>
      <c r="AV172" s="143"/>
      <c r="AW172" s="142">
        <f>SUM(AX172:BI172)</f>
      </c>
      <c r="AX172" s="143"/>
      <c r="AY172" s="143"/>
      <c r="AZ172" s="143"/>
      <c r="BA172" s="143"/>
      <c r="BB172" s="143"/>
      <c r="BC172" s="143"/>
      <c r="BD172" s="143"/>
      <c r="BE172" s="143"/>
      <c r="BF172" s="143"/>
      <c r="BG172" s="143"/>
      <c r="BH172" s="143"/>
      <c r="BI172" s="143"/>
      <c r="BJ172" s="142"/>
      <c r="BK172" s="143"/>
      <c r="BL172" s="143"/>
      <c r="BM172" s="143"/>
      <c r="BN172" s="143"/>
      <c r="BO172" s="143"/>
      <c r="BP172" s="143"/>
      <c r="BQ172" s="142"/>
      <c r="BR172" s="143"/>
      <c r="BS172" s="143"/>
      <c r="BT172" s="142">
        <f>SUM(BU172:BW172)</f>
      </c>
      <c r="BU172" s="143"/>
      <c r="BV172" s="143"/>
      <c r="BW172" s="143"/>
      <c r="BX172" s="142">
        <f>SUM(BY172:CD172)</f>
      </c>
      <c r="BY172" s="143"/>
      <c r="BZ172" s="143"/>
      <c r="CA172" s="143"/>
      <c r="CB172" s="143"/>
      <c r="CC172" s="143"/>
      <c r="CD172" s="143"/>
      <c r="CE172" s="142"/>
      <c r="CF172" s="143"/>
      <c r="CG172" s="143"/>
      <c r="CH172" s="143"/>
      <c r="CI172" s="143"/>
      <c r="CJ172" s="143"/>
      <c r="CK172" s="142">
        <f>SUM(CL172:CN172)</f>
      </c>
      <c r="CL172" s="143"/>
      <c r="CM172" s="143"/>
      <c r="CN172" s="143"/>
      <c r="CO172" s="142">
        <f>SUM(CP172:CT172)</f>
      </c>
      <c r="CP172" s="143"/>
      <c r="CQ172" s="143"/>
      <c r="CR172" s="143"/>
      <c r="CS172" s="143"/>
      <c r="CT172" s="143"/>
      <c r="CU172" s="142"/>
      <c r="CV172" s="143"/>
      <c r="CW172" s="143"/>
      <c r="CX172" s="143"/>
      <c r="CY172" s="142"/>
      <c r="CZ172" s="143"/>
      <c r="DA172" s="143"/>
      <c r="DB172" s="143"/>
      <c r="DC172" s="143"/>
      <c r="DD172" s="143"/>
      <c r="DE172" s="143"/>
      <c r="DF172" s="143"/>
      <c r="DG172" s="142">
        <f>SUM(DH172:DH172)</f>
      </c>
      <c r="DH172" s="143"/>
      <c r="DI172" s="142"/>
      <c r="DJ172" s="143"/>
      <c r="DK172" s="142">
        <f>SUM(DL172:DQ172)</f>
      </c>
      <c r="DL172" s="143"/>
      <c r="DM172" s="143"/>
      <c r="DN172" s="143"/>
      <c r="DO172" s="143"/>
      <c r="DP172" s="143"/>
      <c r="DQ172" s="143"/>
      <c r="DR172" s="143"/>
      <c r="DS172" s="143"/>
      <c r="DT172" s="143"/>
      <c r="DU172" s="143"/>
      <c r="DV172" s="143"/>
      <c r="DW172" s="143"/>
      <c r="DX172" s="142"/>
      <c r="DY172" s="143"/>
      <c r="DZ172" s="142"/>
      <c r="EA172" s="143"/>
      <c r="EB172" s="143"/>
      <c r="EC172" s="142"/>
      <c r="ED172" s="143"/>
      <c r="EF172" s="143"/>
      <c r="EG172" s="142">
        <f>SUM(EH172:EQ172)</f>
      </c>
      <c r="EH172" s="143"/>
      <c r="EI172" s="143"/>
      <c r="EJ172" s="143"/>
      <c r="EK172" s="143"/>
      <c r="EL172" s="143"/>
      <c r="EM172" s="143"/>
      <c r="EN172" s="143"/>
      <c r="EO172" s="143"/>
      <c r="EP172" s="143"/>
      <c r="EQ172" s="143"/>
      <c r="ER172" s="142">
        <f>SUM(ES172:ET172)</f>
      </c>
      <c r="ES172" s="143"/>
      <c r="ET172" s="143"/>
      <c r="EU172" s="144"/>
      <c r="FB172" s="146"/>
      <c r="FC172" s="146" cm="1">
        <f t="array" ref="FC172">ROW()-ROW(New[#Headers])</f>
        <v>166</v>
      </c>
    </row>
    <row r="173" spans="2:159" s="139" customFormat="1" ht="10.5" x14ac:dyDescent="0.2">
      <c r="B173" s="133"/>
      <c r="C173" s="3915" t="s">
        <v>1637</v>
      </c>
      <c r="D173" t="s" s="3916">
        <v>384</v>
      </c>
      <c r="E173" s="3917" t="s">
        <v>305</v>
      </c>
      <c r="F173" t="s" s="3918">
        <v>1109</v>
      </c>
      <c r="G173" t="s" s="3919">
        <v>305</v>
      </c>
      <c r="H173" s="3920" t="s">
        <v>57</v>
      </c>
      <c r="I173" t="s" s="3921">
        <v>41</v>
      </c>
      <c r="J173" t="s" s="3922">
        <v>68</v>
      </c>
      <c r="K173" t="s" s="3923">
        <v>1638</v>
      </c>
      <c r="L173" t="s" s="3924">
        <v>751</v>
      </c>
      <c r="M173" t="s" s="3925">
        <v>305</v>
      </c>
      <c r="N173" s="3926" t="s">
        <v>3867</v>
      </c>
      <c r="O173" s="3927" t="s">
        <v>3868</v>
      </c>
      <c r="P173" s="141"/>
      <c r="Q173" s="142">
        <f>SUM(R173:AQ173)</f>
      </c>
      <c r="R173" s="143"/>
      <c r="S173" s="143"/>
      <c r="T173" s="143"/>
      <c r="U173" s="143"/>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2">
        <f>SUM(AS173:AV173)</f>
      </c>
      <c r="AS173" s="143"/>
      <c r="AT173" s="143"/>
      <c r="AU173" s="143"/>
      <c r="AV173" s="143"/>
      <c r="AW173" s="142">
        <f>SUM(AX173:BI173)</f>
      </c>
      <c r="AX173" s="143"/>
      <c r="AY173" s="143"/>
      <c r="AZ173" s="143"/>
      <c r="BA173" s="143"/>
      <c r="BB173" s="143"/>
      <c r="BC173" s="143"/>
      <c r="BD173" s="143"/>
      <c r="BE173" s="143"/>
      <c r="BF173" s="143"/>
      <c r="BG173" s="143"/>
      <c r="BH173" s="143"/>
      <c r="BI173" s="143"/>
      <c r="BJ173" s="142"/>
      <c r="BK173" s="143"/>
      <c r="BL173" s="143"/>
      <c r="BM173" s="143"/>
      <c r="BN173" s="143"/>
      <c r="BO173" s="143"/>
      <c r="BP173" s="143"/>
      <c r="BQ173" s="142"/>
      <c r="BR173" s="143"/>
      <c r="BS173" s="143"/>
      <c r="BT173" s="142">
        <f>SUM(BU173:BW173)</f>
      </c>
      <c r="BU173" s="143"/>
      <c r="BV173" s="143"/>
      <c r="BW173" s="143"/>
      <c r="BX173" s="142">
        <f>SUM(BY173:CD173)</f>
      </c>
      <c r="BY173" s="143"/>
      <c r="BZ173" s="143"/>
      <c r="CA173" s="143"/>
      <c r="CB173" s="143"/>
      <c r="CC173" s="143"/>
      <c r="CD173" s="143"/>
      <c r="CE173" s="142"/>
      <c r="CF173" s="143"/>
      <c r="CG173" s="143"/>
      <c r="CH173" s="143"/>
      <c r="CI173" s="143"/>
      <c r="CJ173" s="143"/>
      <c r="CK173" s="142">
        <f>SUM(CL173:CN173)</f>
      </c>
      <c r="CL173" s="143"/>
      <c r="CM173" s="143"/>
      <c r="CN173" s="143"/>
      <c r="CO173" s="142">
        <f>SUM(CP173:CT173)</f>
      </c>
      <c r="CP173" s="143"/>
      <c r="CQ173" s="143"/>
      <c r="CR173" s="143"/>
      <c r="CS173" s="143"/>
      <c r="CT173" s="143"/>
      <c r="CU173" s="142"/>
      <c r="CV173" s="143"/>
      <c r="CW173" s="143"/>
      <c r="CX173" s="143"/>
      <c r="CY173" s="142"/>
      <c r="CZ173" s="143"/>
      <c r="DA173" s="143"/>
      <c r="DB173" s="143"/>
      <c r="DC173" s="143"/>
      <c r="DD173" s="143"/>
      <c r="DE173" s="143"/>
      <c r="DF173" s="143"/>
      <c r="DG173" s="142">
        <f>SUM(DH173:DH173)</f>
      </c>
      <c r="DH173" s="143"/>
      <c r="DI173" s="142"/>
      <c r="DJ173" s="143"/>
      <c r="DK173" s="142">
        <f>SUM(DL173:DQ173)</f>
      </c>
      <c r="DL173" s="143"/>
      <c r="DM173" s="143"/>
      <c r="DN173" s="143"/>
      <c r="DO173" s="143"/>
      <c r="DP173" s="143"/>
      <c r="DQ173" s="143"/>
      <c r="DR173" s="143"/>
      <c r="DS173" s="143"/>
      <c r="DT173" s="143"/>
      <c r="DU173" s="143"/>
      <c r="DV173" s="143"/>
      <c r="DW173" s="143"/>
      <c r="DX173" s="142"/>
      <c r="DY173" s="143"/>
      <c r="DZ173" s="142"/>
      <c r="EA173" s="143"/>
      <c r="EB173" s="143"/>
      <c r="EC173" s="142"/>
      <c r="ED173" s="143"/>
      <c r="EF173" s="143"/>
      <c r="EG173" s="142">
        <f>SUM(EH173:EQ173)</f>
      </c>
      <c r="EH173" s="143"/>
      <c r="EI173" s="143"/>
      <c r="EJ173" s="143"/>
      <c r="EK173" s="143"/>
      <c r="EL173" s="143"/>
      <c r="EM173" s="143"/>
      <c r="EN173" s="143"/>
      <c r="EO173" s="143"/>
      <c r="EP173" s="143"/>
      <c r="EQ173" s="143"/>
      <c r="ER173" s="142">
        <f>SUM(ES173:ET173)</f>
      </c>
      <c r="ES173" s="143"/>
      <c r="ET173" s="143"/>
      <c r="EU173" s="144"/>
      <c r="FB173" s="146"/>
      <c r="FC173" s="146" cm="1">
        <f t="array" ref="FC173">ROW()-ROW(New[#Headers])</f>
        <v>167</v>
      </c>
    </row>
    <row r="174" spans="2:159" s="139" customFormat="1" ht="10.5" x14ac:dyDescent="0.2">
      <c r="B174" s="133"/>
      <c r="C174" s="3928" t="s">
        <v>461</v>
      </c>
      <c r="D174" t="s" s="3929">
        <v>462</v>
      </c>
      <c r="E174" s="3930" t="s">
        <v>13</v>
      </c>
      <c r="F174" t="s" s="3931">
        <v>1109</v>
      </c>
      <c r="G174" t="s" s="3932">
        <v>305</v>
      </c>
      <c r="H174" s="3933" t="s">
        <v>46</v>
      </c>
      <c r="I174" t="s" s="3934">
        <v>41</v>
      </c>
      <c r="J174" t="s" s="3935">
        <v>68</v>
      </c>
      <c r="K174" t="s" s="3936">
        <v>1659</v>
      </c>
      <c r="L174" t="s" s="3937">
        <v>751</v>
      </c>
      <c r="M174" t="s" s="3938">
        <v>305</v>
      </c>
      <c r="N174" s="3939" t="s">
        <v>3873</v>
      </c>
      <c r="O174" s="3940" t="s">
        <v>3878</v>
      </c>
      <c r="P174" s="141"/>
      <c r="Q174" s="142">
        <f>SUM(R174:AQ174)</f>
      </c>
      <c r="R174" s="143"/>
      <c r="S174" s="143"/>
      <c r="T174" s="143"/>
      <c r="U174" s="143"/>
      <c r="V174" s="143"/>
      <c r="W174" s="143"/>
      <c r="X174" s="143"/>
      <c r="Y174" s="143"/>
      <c r="Z174" s="143"/>
      <c r="AA174" s="143"/>
      <c r="AB174" s="143"/>
      <c r="AC174" s="143"/>
      <c r="AD174" s="3941" t="n">
        <v>300.0</v>
      </c>
      <c r="AE174" s="143"/>
      <c r="AF174" s="143"/>
      <c r="AG174" s="143"/>
      <c r="AH174" s="143"/>
      <c r="AI174" s="143"/>
      <c r="AJ174" s="143"/>
      <c r="AK174" s="143"/>
      <c r="AL174" s="143"/>
      <c r="AM174" s="143"/>
      <c r="AN174" s="143"/>
      <c r="AO174" s="143"/>
      <c r="AP174" s="143"/>
      <c r="AQ174" s="143"/>
      <c r="AR174" s="142">
        <f>SUM(AS174:AV174)</f>
      </c>
      <c r="AS174" s="143"/>
      <c r="AT174" s="143"/>
      <c r="AU174" s="143"/>
      <c r="AV174" s="143"/>
      <c r="AW174" s="142">
        <f>SUM(AX174:BI174)</f>
      </c>
      <c r="AX174" s="143"/>
      <c r="AY174" s="143"/>
      <c r="AZ174" s="143"/>
      <c r="BA174" s="143"/>
      <c r="BB174" s="143"/>
      <c r="BC174" s="143"/>
      <c r="BD174" s="143"/>
      <c r="BE174" s="143"/>
      <c r="BF174" s="143"/>
      <c r="BG174" s="143"/>
      <c r="BH174" s="143"/>
      <c r="BI174" s="143"/>
      <c r="BJ174" s="142"/>
      <c r="BK174" s="143"/>
      <c r="BL174" s="143"/>
      <c r="BM174" s="143"/>
      <c r="BN174" s="143"/>
      <c r="BO174" s="143"/>
      <c r="BP174" s="143"/>
      <c r="BQ174" s="142"/>
      <c r="BR174" s="143"/>
      <c r="BS174" s="143"/>
      <c r="BT174" s="142">
        <f>SUM(BU174:BW174)</f>
      </c>
      <c r="BU174" s="143"/>
      <c r="BV174" s="143"/>
      <c r="BW174" s="143"/>
      <c r="BX174" s="142">
        <f>SUM(BY174:CD174)</f>
      </c>
      <c r="BY174" s="143"/>
      <c r="BZ174" s="143"/>
      <c r="CA174" s="143"/>
      <c r="CB174" s="143"/>
      <c r="CC174" s="143"/>
      <c r="CD174" s="143"/>
      <c r="CE174" s="142"/>
      <c r="CF174" s="143"/>
      <c r="CG174" s="143"/>
      <c r="CH174" s="143"/>
      <c r="CI174" s="143"/>
      <c r="CJ174" s="143"/>
      <c r="CK174" s="142">
        <f>SUM(CL174:CN174)</f>
      </c>
      <c r="CL174" s="143"/>
      <c r="CM174" s="143"/>
      <c r="CN174" s="143"/>
      <c r="CO174" s="142">
        <f>SUM(CP174:CT174)</f>
      </c>
      <c r="CP174" s="143"/>
      <c r="CQ174" s="143"/>
      <c r="CR174" s="143"/>
      <c r="CS174" s="143"/>
      <c r="CT174" s="143"/>
      <c r="CU174" s="142"/>
      <c r="CV174" s="143"/>
      <c r="CW174" s="143"/>
      <c r="CX174" s="143"/>
      <c r="CY174" s="142"/>
      <c r="CZ174" s="143"/>
      <c r="DA174" s="143"/>
      <c r="DB174" s="143"/>
      <c r="DC174" s="143"/>
      <c r="DD174" s="143"/>
      <c r="DE174" s="143"/>
      <c r="DF174" s="143"/>
      <c r="DG174" s="142">
        <f>SUM(DH174:DH174)</f>
      </c>
      <c r="DH174" s="143"/>
      <c r="DI174" s="142"/>
      <c r="DJ174" s="143"/>
      <c r="DK174" s="142">
        <f>SUM(DL174:DQ174)</f>
      </c>
      <c r="DL174" s="143"/>
      <c r="DM174" s="143"/>
      <c r="DN174" s="143"/>
      <c r="DO174" s="143"/>
      <c r="DP174" s="143"/>
      <c r="DQ174" s="143"/>
      <c r="DR174" s="143"/>
      <c r="DS174" s="143"/>
      <c r="DT174" s="143"/>
      <c r="DU174" s="143"/>
      <c r="DV174" s="143"/>
      <c r="DW174" s="143"/>
      <c r="DX174" s="142"/>
      <c r="DY174" s="143"/>
      <c r="DZ174" s="142"/>
      <c r="EA174" s="143"/>
      <c r="EB174" s="143"/>
      <c r="EC174" s="142"/>
      <c r="ED174" s="143"/>
      <c r="EF174" s="143"/>
      <c r="EG174" s="142">
        <f>SUM(EH174:EQ174)</f>
      </c>
      <c r="EH174" s="143"/>
      <c r="EI174" s="143"/>
      <c r="EJ174" s="143"/>
      <c r="EK174" s="143"/>
      <c r="EL174" s="143"/>
      <c r="EM174" s="143"/>
      <c r="EN174" s="143"/>
      <c r="EO174" s="143"/>
      <c r="EP174" s="143"/>
      <c r="EQ174" s="143"/>
      <c r="ER174" s="142">
        <f>SUM(ES174:ET174)</f>
      </c>
      <c r="ES174" s="143"/>
      <c r="ET174" s="143"/>
      <c r="EU174" s="144"/>
      <c r="FB174" s="146"/>
      <c r="FC174" s="146" cm="1">
        <f t="array" ref="FC174">ROW()-ROW(New[#Headers])</f>
        <v>168</v>
      </c>
    </row>
    <row r="175" spans="2:159" s="139" customFormat="1" ht="10.5" x14ac:dyDescent="0.2">
      <c r="B175" s="133"/>
      <c r="C175" s="3942" t="s">
        <v>1658</v>
      </c>
      <c r="D175" t="s" s="3943">
        <v>460</v>
      </c>
      <c r="E175" s="3944" t="s">
        <v>305</v>
      </c>
      <c r="F175" t="s" s="3945">
        <v>898</v>
      </c>
      <c r="G175" t="s" s="3946">
        <v>305</v>
      </c>
      <c r="H175" s="3947" t="s">
        <v>305</v>
      </c>
      <c r="I175" t="s" s="3948">
        <v>41</v>
      </c>
      <c r="J175" t="s" s="3949">
        <v>71</v>
      </c>
      <c r="K175" t="s" s="3950">
        <v>1638</v>
      </c>
      <c r="L175" t="s" s="3951">
        <v>779</v>
      </c>
      <c r="M175" t="s" s="3952">
        <v>305</v>
      </c>
      <c r="N175" s="3953" t="s">
        <v>3867</v>
      </c>
      <c r="O175" s="3954" t="s">
        <v>3868</v>
      </c>
      <c r="P175" s="141"/>
      <c r="Q175" s="142">
        <f>SUM(R175:AQ175)</f>
      </c>
      <c r="R175" s="143"/>
      <c r="S175" s="143"/>
      <c r="T175" s="143"/>
      <c r="U175" s="143"/>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2">
        <f>SUM(AS175:AV175)</f>
      </c>
      <c r="AS175" s="143"/>
      <c r="AT175" s="143"/>
      <c r="AU175" s="143"/>
      <c r="AV175" s="143"/>
      <c r="AW175" s="142">
        <f>SUM(AX175:BI175)</f>
      </c>
      <c r="AX175" s="143"/>
      <c r="AY175" s="143"/>
      <c r="AZ175" s="143"/>
      <c r="BA175" s="143"/>
      <c r="BB175" s="143"/>
      <c r="BC175" s="143"/>
      <c r="BD175" s="143"/>
      <c r="BE175" s="143"/>
      <c r="BF175" s="143"/>
      <c r="BG175" s="143"/>
      <c r="BH175" s="143"/>
      <c r="BI175" s="143"/>
      <c r="BJ175" s="142"/>
      <c r="BK175" s="143"/>
      <c r="BL175" s="143"/>
      <c r="BM175" s="143"/>
      <c r="BN175" s="143"/>
      <c r="BO175" s="143"/>
      <c r="BP175" s="143"/>
      <c r="BQ175" s="142"/>
      <c r="BR175" s="143"/>
      <c r="BS175" s="143"/>
      <c r="BT175" s="142">
        <f>SUM(BU175:BW175)</f>
      </c>
      <c r="BU175" s="143"/>
      <c r="BV175" s="143"/>
      <c r="BW175" s="143"/>
      <c r="BX175" s="142">
        <f>SUM(BY175:CD175)</f>
      </c>
      <c r="BY175" s="143"/>
      <c r="BZ175" s="143"/>
      <c r="CA175" s="143"/>
      <c r="CB175" s="143"/>
      <c r="CC175" s="143"/>
      <c r="CD175" s="143"/>
      <c r="CE175" s="142"/>
      <c r="CF175" s="143"/>
      <c r="CG175" s="143"/>
      <c r="CH175" s="143"/>
      <c r="CI175" s="143"/>
      <c r="CJ175" s="143"/>
      <c r="CK175" s="142">
        <f>SUM(CL175:CN175)</f>
      </c>
      <c r="CL175" s="143"/>
      <c r="CM175" s="143"/>
      <c r="CN175" s="143"/>
      <c r="CO175" s="142">
        <f>SUM(CP175:CT175)</f>
      </c>
      <c r="CP175" s="143"/>
      <c r="CQ175" s="143"/>
      <c r="CR175" s="143"/>
      <c r="CS175" s="143"/>
      <c r="CT175" s="143"/>
      <c r="CU175" s="142"/>
      <c r="CV175" s="143"/>
      <c r="CW175" s="143"/>
      <c r="CX175" s="143"/>
      <c r="CY175" s="142"/>
      <c r="CZ175" s="143"/>
      <c r="DA175" s="143"/>
      <c r="DB175" s="143"/>
      <c r="DC175" s="143"/>
      <c r="DD175" s="143"/>
      <c r="DE175" s="143"/>
      <c r="DF175" s="143"/>
      <c r="DG175" s="142">
        <f>SUM(DH175:DH175)</f>
      </c>
      <c r="DH175" s="143"/>
      <c r="DI175" s="142"/>
      <c r="DJ175" s="143"/>
      <c r="DK175" s="142">
        <f>SUM(DL175:DQ175)</f>
      </c>
      <c r="DL175" s="143"/>
      <c r="DM175" s="143"/>
      <c r="DN175" s="143"/>
      <c r="DO175" s="143"/>
      <c r="DP175" s="143"/>
      <c r="DQ175" s="143"/>
      <c r="DR175" s="143"/>
      <c r="DS175" s="143"/>
      <c r="DT175" s="143"/>
      <c r="DU175" s="143"/>
      <c r="DV175" s="143"/>
      <c r="DW175" s="143"/>
      <c r="DX175" s="142"/>
      <c r="DY175" s="143"/>
      <c r="DZ175" s="142"/>
      <c r="EA175" s="143"/>
      <c r="EB175" s="143"/>
      <c r="EC175" s="142"/>
      <c r="ED175" s="143"/>
      <c r="EF175" s="143"/>
      <c r="EG175" s="142">
        <f>SUM(EH175:EQ175)</f>
      </c>
      <c r="EH175" s="143"/>
      <c r="EI175" s="143"/>
      <c r="EJ175" s="143"/>
      <c r="EK175" s="143"/>
      <c r="EL175" s="143"/>
      <c r="EM175" s="143"/>
      <c r="EN175" s="143"/>
      <c r="EO175" s="143"/>
      <c r="EP175" s="143"/>
      <c r="EQ175" s="143"/>
      <c r="ER175" s="142">
        <f>SUM(ES175:ET175)</f>
      </c>
      <c r="ES175" s="143"/>
      <c r="ET175" s="143"/>
      <c r="EU175" s="144"/>
      <c r="FB175" s="146"/>
      <c r="FC175" s="146" cm="1">
        <f t="array" ref="FC175">ROW()-ROW(New[#Headers])</f>
        <v>169</v>
      </c>
    </row>
    <row r="176" spans="2:159" s="139" customFormat="1" ht="10.5" x14ac:dyDescent="0.2">
      <c r="B176" s="133"/>
      <c r="C176" s="3955" t="s">
        <v>587</v>
      </c>
      <c r="D176" t="s" s="3956">
        <v>588</v>
      </c>
      <c r="E176" s="3957" t="s">
        <v>23</v>
      </c>
      <c r="F176" t="s" s="3958">
        <v>750</v>
      </c>
      <c r="G176" t="s" s="3959">
        <v>1597</v>
      </c>
      <c r="H176" s="3960" t="s">
        <v>51</v>
      </c>
      <c r="I176" t="s" s="3961">
        <v>41</v>
      </c>
      <c r="J176" t="s" s="3962">
        <v>64</v>
      </c>
      <c r="K176" t="s" s="3963">
        <v>1679</v>
      </c>
      <c r="L176" t="s" s="3964">
        <v>934</v>
      </c>
      <c r="M176" t="s" s="3965">
        <v>305</v>
      </c>
      <c r="N176" s="3966" t="s">
        <v>3873</v>
      </c>
      <c r="O176" s="3967" t="s">
        <v>3876</v>
      </c>
      <c r="P176" s="141"/>
      <c r="Q176" s="142">
        <f>SUM(R176:AQ176)</f>
      </c>
      <c r="R176" s="143"/>
      <c r="S176" s="143"/>
      <c r="T176" s="3968" t="n">
        <v>100.0</v>
      </c>
      <c r="U176" s="143"/>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2">
        <f>SUM(AS176:AV176)</f>
      </c>
      <c r="AS176" s="143"/>
      <c r="AT176" s="143"/>
      <c r="AU176" s="143"/>
      <c r="AV176" s="143"/>
      <c r="AW176" s="142">
        <f>SUM(AX176:BI176)</f>
      </c>
      <c r="AX176" s="143"/>
      <c r="AY176" s="143"/>
      <c r="AZ176" s="143"/>
      <c r="BA176" s="143"/>
      <c r="BB176" s="143"/>
      <c r="BC176" s="143"/>
      <c r="BD176" s="143"/>
      <c r="BE176" s="143"/>
      <c r="BF176" s="143"/>
      <c r="BG176" s="143"/>
      <c r="BH176" s="143"/>
      <c r="BI176" s="143"/>
      <c r="BJ176" s="142"/>
      <c r="BK176" s="143"/>
      <c r="BL176" s="143"/>
      <c r="BM176" s="143"/>
      <c r="BN176" s="143"/>
      <c r="BO176" s="143"/>
      <c r="BP176" s="143"/>
      <c r="BQ176" s="142"/>
      <c r="BR176" s="143"/>
      <c r="BS176" s="143"/>
      <c r="BT176" s="142">
        <f>SUM(BU176:BW176)</f>
      </c>
      <c r="BU176" s="143"/>
      <c r="BV176" s="143"/>
      <c r="BW176" s="143"/>
      <c r="BX176" s="142">
        <f>SUM(BY176:CD176)</f>
      </c>
      <c r="BY176" s="143"/>
      <c r="BZ176" s="143"/>
      <c r="CA176" s="143"/>
      <c r="CB176" s="143"/>
      <c r="CC176" s="143"/>
      <c r="CD176" s="143"/>
      <c r="CE176" s="142"/>
      <c r="CF176" s="143"/>
      <c r="CG176" s="143"/>
      <c r="CH176" s="143"/>
      <c r="CI176" s="143"/>
      <c r="CJ176" s="143"/>
      <c r="CK176" s="142">
        <f>SUM(CL176:CN176)</f>
      </c>
      <c r="CL176" s="143"/>
      <c r="CM176" s="143"/>
      <c r="CN176" s="143"/>
      <c r="CO176" s="142">
        <f>SUM(CP176:CT176)</f>
      </c>
      <c r="CP176" s="143"/>
      <c r="CQ176" s="143"/>
      <c r="CR176" s="143"/>
      <c r="CS176" s="143"/>
      <c r="CT176" s="143"/>
      <c r="CU176" s="142"/>
      <c r="CV176" s="143"/>
      <c r="CW176" s="143"/>
      <c r="CX176" s="143"/>
      <c r="CY176" s="142"/>
      <c r="CZ176" s="143"/>
      <c r="DA176" s="143"/>
      <c r="DB176" s="143"/>
      <c r="DC176" s="143"/>
      <c r="DD176" s="143"/>
      <c r="DE176" s="143"/>
      <c r="DF176" s="143"/>
      <c r="DG176" s="142">
        <f>SUM(DH176:DH176)</f>
      </c>
      <c r="DH176" s="143"/>
      <c r="DI176" s="142"/>
      <c r="DJ176" s="143"/>
      <c r="DK176" s="142">
        <f>SUM(DL176:DQ176)</f>
      </c>
      <c r="DL176" s="143"/>
      <c r="DM176" s="143"/>
      <c r="DN176" s="143"/>
      <c r="DO176" s="143"/>
      <c r="DP176" s="143"/>
      <c r="DQ176" s="143"/>
      <c r="DR176" s="143"/>
      <c r="DS176" s="143"/>
      <c r="DT176" s="143"/>
      <c r="DU176" s="143"/>
      <c r="DV176" s="143"/>
      <c r="DW176" s="143"/>
      <c r="DX176" s="142"/>
      <c r="DY176" s="143"/>
      <c r="DZ176" s="142"/>
      <c r="EA176" s="143"/>
      <c r="EB176" s="143"/>
      <c r="EC176" s="142"/>
      <c r="ED176" s="143"/>
      <c r="EF176" s="143"/>
      <c r="EG176" s="142">
        <f>SUM(EH176:EQ176)</f>
      </c>
      <c r="EH176" s="143"/>
      <c r="EI176" s="143"/>
      <c r="EJ176" s="143"/>
      <c r="EK176" s="143"/>
      <c r="EL176" s="143"/>
      <c r="EM176" s="143"/>
      <c r="EN176" s="143"/>
      <c r="EO176" s="143"/>
      <c r="EP176" s="143"/>
      <c r="EQ176" s="143"/>
      <c r="ER176" s="142">
        <f>SUM(ES176:ET176)</f>
      </c>
      <c r="ES176" s="143"/>
      <c r="ET176" s="143"/>
      <c r="EU176" s="144"/>
      <c r="FB176" s="146"/>
      <c r="FC176" s="146" cm="1">
        <f t="array" ref="FC176">ROW()-ROW(New[#Headers])</f>
        <v>170</v>
      </c>
    </row>
    <row r="177" spans="2:159" s="139" customFormat="1" ht="10.5" x14ac:dyDescent="0.2">
      <c r="B177" s="133"/>
      <c r="C177" s="3985" t="s">
        <v>473</v>
      </c>
      <c r="D177" t="s" s="3986">
        <v>474</v>
      </c>
      <c r="E177" s="3987" t="s">
        <v>13</v>
      </c>
      <c r="F177" t="s" s="3988">
        <v>1109</v>
      </c>
      <c r="G177" t="s" s="3989">
        <v>305</v>
      </c>
      <c r="H177" s="3990" t="s">
        <v>49</v>
      </c>
      <c r="I177" t="s" s="3991">
        <v>41</v>
      </c>
      <c r="J177" t="s" s="3992">
        <v>68</v>
      </c>
      <c r="K177" t="s" s="3993">
        <v>1659</v>
      </c>
      <c r="L177" t="s" s="3994">
        <v>751</v>
      </c>
      <c r="M177" t="s" s="3995">
        <v>305</v>
      </c>
      <c r="N177" s="3996" t="s">
        <v>3873</v>
      </c>
      <c r="O177" s="3997" t="s">
        <v>3871</v>
      </c>
      <c r="P177" s="141"/>
      <c r="Q177" s="142">
        <f>SUM(R177:AQ177)</f>
      </c>
      <c r="R177" s="143"/>
      <c r="S177" s="143"/>
      <c r="T177" s="143"/>
      <c r="U177" s="143"/>
      <c r="V177" s="143"/>
      <c r="W177" s="143"/>
      <c r="X177" s="143"/>
      <c r="Y177" s="143"/>
      <c r="Z177" s="143"/>
      <c r="AA177" s="143"/>
      <c r="AB177" s="143"/>
      <c r="AC177" s="143"/>
      <c r="AD177" s="3998" t="n">
        <v>220.0</v>
      </c>
      <c r="AE177" s="143"/>
      <c r="AF177" s="143"/>
      <c r="AG177" s="143"/>
      <c r="AH177" s="143"/>
      <c r="AI177" s="143"/>
      <c r="AJ177" s="143"/>
      <c r="AK177" s="143"/>
      <c r="AL177" s="143"/>
      <c r="AM177" s="143"/>
      <c r="AN177" s="143"/>
      <c r="AO177" s="143"/>
      <c r="AP177" s="143"/>
      <c r="AQ177" s="143"/>
      <c r="AR177" s="142">
        <f>SUM(AS177:AV177)</f>
      </c>
      <c r="AS177" s="143"/>
      <c r="AT177" s="143"/>
      <c r="AU177" s="143"/>
      <c r="AV177" s="143"/>
      <c r="AW177" s="142">
        <f>SUM(AX177:BI177)</f>
      </c>
      <c r="AX177" s="143"/>
      <c r="AY177" s="143"/>
      <c r="AZ177" s="143"/>
      <c r="BA177" s="143"/>
      <c r="BB177" s="143"/>
      <c r="BC177" s="143"/>
      <c r="BD177" s="143"/>
      <c r="BE177" s="143"/>
      <c r="BF177" s="143"/>
      <c r="BG177" s="143"/>
      <c r="BH177" s="143"/>
      <c r="BI177" s="143"/>
      <c r="BJ177" s="142"/>
      <c r="BK177" s="143"/>
      <c r="BL177" s="143"/>
      <c r="BM177" s="143"/>
      <c r="BN177" s="143"/>
      <c r="BO177" s="143"/>
      <c r="BP177" s="143"/>
      <c r="BQ177" s="142"/>
      <c r="BR177" s="143"/>
      <c r="BS177" s="143"/>
      <c r="BT177" s="142">
        <f>SUM(BU177:BW177)</f>
      </c>
      <c r="BU177" s="143"/>
      <c r="BV177" s="143"/>
      <c r="BW177" s="143"/>
      <c r="BX177" s="142">
        <f>SUM(BY177:CD177)</f>
      </c>
      <c r="BY177" s="143"/>
      <c r="BZ177" s="143"/>
      <c r="CA177" s="143"/>
      <c r="CB177" s="143"/>
      <c r="CC177" s="143"/>
      <c r="CD177" s="143"/>
      <c r="CE177" s="142"/>
      <c r="CF177" s="143"/>
      <c r="CG177" s="143"/>
      <c r="CH177" s="143"/>
      <c r="CI177" s="143"/>
      <c r="CJ177" s="143"/>
      <c r="CK177" s="142">
        <f>SUM(CL177:CN177)</f>
      </c>
      <c r="CL177" s="143"/>
      <c r="CM177" s="143"/>
      <c r="CN177" s="143"/>
      <c r="CO177" s="142">
        <f>SUM(CP177:CT177)</f>
      </c>
      <c r="CP177" s="143"/>
      <c r="CQ177" s="143"/>
      <c r="CR177" s="143"/>
      <c r="CS177" s="143"/>
      <c r="CT177" s="143"/>
      <c r="CU177" s="142"/>
      <c r="CV177" s="143"/>
      <c r="CW177" s="143"/>
      <c r="CX177" s="143"/>
      <c r="CY177" s="142"/>
      <c r="CZ177" s="143"/>
      <c r="DA177" s="143"/>
      <c r="DB177" s="143"/>
      <c r="DC177" s="143"/>
      <c r="DD177" s="143"/>
      <c r="DE177" s="143"/>
      <c r="DF177" s="143"/>
      <c r="DG177" s="142">
        <f>SUM(DH177:DH177)</f>
      </c>
      <c r="DH177" s="143"/>
      <c r="DI177" s="142"/>
      <c r="DJ177" s="143"/>
      <c r="DK177" s="142">
        <f>SUM(DL177:DQ177)</f>
      </c>
      <c r="DL177" s="143"/>
      <c r="DM177" s="143"/>
      <c r="DN177" s="143"/>
      <c r="DO177" s="143"/>
      <c r="DP177" s="143"/>
      <c r="DQ177" s="143"/>
      <c r="DR177" s="143"/>
      <c r="DS177" s="143"/>
      <c r="DT177" s="143"/>
      <c r="DU177" s="143"/>
      <c r="DV177" s="143"/>
      <c r="DW177" s="143"/>
      <c r="DX177" s="142"/>
      <c r="DY177" s="143"/>
      <c r="DZ177" s="142"/>
      <c r="EA177" s="143"/>
      <c r="EB177" s="143"/>
      <c r="EC177" s="142"/>
      <c r="ED177" s="143"/>
      <c r="EF177" s="143"/>
      <c r="EG177" s="142">
        <f>SUM(EH177:EQ177)</f>
      </c>
      <c r="EH177" s="143"/>
      <c r="EI177" s="143"/>
      <c r="EJ177" s="143"/>
      <c r="EK177" s="143"/>
      <c r="EL177" s="143"/>
      <c r="EM177" s="143"/>
      <c r="EN177" s="143"/>
      <c r="EO177" s="143"/>
      <c r="EP177" s="143"/>
      <c r="EQ177" s="143"/>
      <c r="ER177" s="142">
        <f>SUM(ES177:ET177)</f>
      </c>
      <c r="ES177" s="143"/>
      <c r="ET177" s="143"/>
      <c r="EU177" s="144"/>
      <c r="FB177" s="146"/>
      <c r="FC177" s="146" cm="1">
        <f t="array" ref="FC177">ROW()-ROW(New[#Headers])</f>
        <v>171</v>
      </c>
    </row>
    <row r="178" spans="2:159" s="139" customFormat="1" ht="10.5" x14ac:dyDescent="0.2">
      <c r="B178" s="133"/>
      <c r="C178" s="4027" t="s">
        <v>536</v>
      </c>
      <c r="D178" t="s" s="4028">
        <v>537</v>
      </c>
      <c r="E178" s="4029" t="s">
        <v>13</v>
      </c>
      <c r="F178" t="s" s="4030">
        <v>810</v>
      </c>
      <c r="G178" t="s" s="4031">
        <v>1597</v>
      </c>
      <c r="H178" s="4032" t="s">
        <v>46</v>
      </c>
      <c r="I178" t="s" s="4033">
        <v>41</v>
      </c>
      <c r="J178" t="s" s="4034">
        <v>71</v>
      </c>
      <c r="K178" t="s" s="4035">
        <v>811</v>
      </c>
      <c r="L178" t="s" s="4036">
        <v>779</v>
      </c>
      <c r="M178" t="s" s="4037">
        <v>305</v>
      </c>
      <c r="N178" s="4038" t="s">
        <v>3873</v>
      </c>
      <c r="O178" s="4039" t="s">
        <v>3871</v>
      </c>
      <c r="P178" s="141"/>
      <c r="Q178" s="142">
        <f>SUM(R178:AQ178)</f>
      </c>
      <c r="R178" s="143"/>
      <c r="S178" s="143"/>
      <c r="T178" s="143"/>
      <c r="U178" s="143"/>
      <c r="V178" s="143"/>
      <c r="W178" s="4040" t="n">
        <v>550.0</v>
      </c>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2">
        <f>SUM(AS178:AV178)</f>
      </c>
      <c r="AS178" s="143"/>
      <c r="AT178" s="143"/>
      <c r="AU178" s="143"/>
      <c r="AV178" s="143"/>
      <c r="AW178" s="142">
        <f>SUM(AX178:BI178)</f>
      </c>
      <c r="AX178" s="143"/>
      <c r="AY178" s="143"/>
      <c r="AZ178" s="143"/>
      <c r="BA178" s="143"/>
      <c r="BB178" s="143"/>
      <c r="BC178" s="143"/>
      <c r="BD178" s="143"/>
      <c r="BE178" s="143"/>
      <c r="BF178" s="143"/>
      <c r="BG178" s="143"/>
      <c r="BH178" s="143"/>
      <c r="BI178" s="143"/>
      <c r="BJ178" s="142"/>
      <c r="BK178" s="143"/>
      <c r="BL178" s="143"/>
      <c r="BM178" s="143"/>
      <c r="BN178" s="143"/>
      <c r="BO178" s="143"/>
      <c r="BP178" s="143"/>
      <c r="BQ178" s="142"/>
      <c r="BR178" s="143"/>
      <c r="BS178" s="143"/>
      <c r="BT178" s="142">
        <f>SUM(BU178:BW178)</f>
      </c>
      <c r="BU178" s="143"/>
      <c r="BV178" s="143"/>
      <c r="BW178" s="143"/>
      <c r="BX178" s="142">
        <f>SUM(BY178:CD178)</f>
      </c>
      <c r="BY178" s="143"/>
      <c r="BZ178" s="143"/>
      <c r="CA178" s="143"/>
      <c r="CB178" s="143"/>
      <c r="CC178" s="143"/>
      <c r="CD178" s="143"/>
      <c r="CE178" s="142"/>
      <c r="CF178" s="143"/>
      <c r="CG178" s="143"/>
      <c r="CH178" s="143"/>
      <c r="CI178" s="143"/>
      <c r="CJ178" s="143"/>
      <c r="CK178" s="142">
        <f>SUM(CL178:CN178)</f>
      </c>
      <c r="CL178" s="143"/>
      <c r="CM178" s="143"/>
      <c r="CN178" s="143"/>
      <c r="CO178" s="142">
        <f>SUM(CP178:CT178)</f>
      </c>
      <c r="CP178" s="143"/>
      <c r="CQ178" s="143"/>
      <c r="CR178" s="143"/>
      <c r="CS178" s="143"/>
      <c r="CT178" s="143"/>
      <c r="CU178" s="142"/>
      <c r="CV178" s="143"/>
      <c r="CW178" s="143"/>
      <c r="CX178" s="143"/>
      <c r="CY178" s="142"/>
      <c r="CZ178" s="143"/>
      <c r="DA178" s="143"/>
      <c r="DB178" s="143"/>
      <c r="DC178" s="143"/>
      <c r="DD178" s="143"/>
      <c r="DE178" s="143"/>
      <c r="DF178" s="143"/>
      <c r="DG178" s="142">
        <f>SUM(DH178:DH178)</f>
      </c>
      <c r="DH178" s="143"/>
      <c r="DI178" s="142"/>
      <c r="DJ178" s="143"/>
      <c r="DK178" s="142">
        <f>SUM(DL178:DQ178)</f>
      </c>
      <c r="DL178" s="143"/>
      <c r="DM178" s="143"/>
      <c r="DN178" s="143"/>
      <c r="DO178" s="143"/>
      <c r="DP178" s="143"/>
      <c r="DQ178" s="143"/>
      <c r="DR178" s="143"/>
      <c r="DS178" s="143"/>
      <c r="DT178" s="143"/>
      <c r="DU178" s="143"/>
      <c r="DV178" s="143"/>
      <c r="DW178" s="143"/>
      <c r="DX178" s="142"/>
      <c r="DY178" s="143"/>
      <c r="DZ178" s="142"/>
      <c r="EA178" s="143"/>
      <c r="EB178" s="143"/>
      <c r="EC178" s="142"/>
      <c r="ED178" s="143"/>
      <c r="EF178" s="143"/>
      <c r="EG178" s="142">
        <f>SUM(EH178:EQ178)</f>
      </c>
      <c r="EH178" s="143"/>
      <c r="EI178" s="143"/>
      <c r="EJ178" s="143"/>
      <c r="EK178" s="143"/>
      <c r="EL178" s="143"/>
      <c r="EM178" s="143"/>
      <c r="EN178" s="143"/>
      <c r="EO178" s="143"/>
      <c r="EP178" s="143"/>
      <c r="EQ178" s="143"/>
      <c r="ER178" s="142">
        <f>SUM(ES178:ET178)</f>
      </c>
      <c r="ES178" s="143"/>
      <c r="ET178" s="143"/>
      <c r="EU178" s="144"/>
      <c r="FB178" s="146"/>
      <c r="FC178" s="146" cm="1">
        <f t="array" ref="FC178">ROW()-ROW(New[#Headers])</f>
        <v>172</v>
      </c>
    </row>
    <row r="179" spans="2:159" s="139" customFormat="1" ht="10.5" x14ac:dyDescent="0.2">
      <c r="B179" s="133"/>
      <c r="C179" s="4043" t="s">
        <v>447</v>
      </c>
      <c r="D179" t="s" s="4044">
        <v>448</v>
      </c>
      <c r="E179" s="4045" t="s">
        <v>37</v>
      </c>
      <c r="F179" t="s" s="4046">
        <v>810</v>
      </c>
      <c r="G179" t="s" s="4047">
        <v>1597</v>
      </c>
      <c r="H179" s="4048" t="s">
        <v>305</v>
      </c>
      <c r="I179" t="s" s="4049">
        <v>43</v>
      </c>
      <c r="J179" t="s" s="4050">
        <v>71</v>
      </c>
      <c r="K179" t="s" s="4051">
        <v>774</v>
      </c>
      <c r="L179" t="s" s="4052">
        <v>779</v>
      </c>
      <c r="M179" t="s" s="4053">
        <v>305</v>
      </c>
      <c r="N179" s="4054" t="s">
        <v>3873</v>
      </c>
      <c r="O179" s="4055" t="s">
        <v>3876</v>
      </c>
      <c r="P179" s="141"/>
      <c r="Q179" s="142">
        <f>SUM(R179:AQ179)</f>
      </c>
      <c r="R179" s="143"/>
      <c r="S179" s="143"/>
      <c r="T179" s="143"/>
      <c r="U179" s="143"/>
      <c r="V179" s="143"/>
      <c r="W179" s="143"/>
      <c r="X179" s="143"/>
      <c r="Y179" s="143"/>
      <c r="Z179" s="143"/>
      <c r="AA179" s="143"/>
      <c r="AB179" s="143"/>
      <c r="AC179" s="143"/>
      <c r="AD179" s="143"/>
      <c r="AE179" s="143"/>
      <c r="AF179" s="143"/>
      <c r="AG179" s="4056" t="n">
        <v>80.0</v>
      </c>
      <c r="AH179" s="143"/>
      <c r="AI179" s="143"/>
      <c r="AJ179" s="143"/>
      <c r="AK179" s="143"/>
      <c r="AL179" s="143"/>
      <c r="AM179" s="143"/>
      <c r="AN179" s="143"/>
      <c r="AO179" s="143"/>
      <c r="AP179" s="143"/>
      <c r="AQ179" s="143"/>
      <c r="AR179" s="142">
        <f>SUM(AS179:AV179)</f>
      </c>
      <c r="AS179" s="143"/>
      <c r="AT179" s="143"/>
      <c r="AU179" s="143"/>
      <c r="AV179" s="143"/>
      <c r="AW179" s="142">
        <f>SUM(AX179:BI179)</f>
      </c>
      <c r="AX179" s="143"/>
      <c r="AY179" s="143"/>
      <c r="AZ179" s="143"/>
      <c r="BA179" s="143"/>
      <c r="BB179" s="143"/>
      <c r="BC179" s="143"/>
      <c r="BD179" s="143"/>
      <c r="BE179" s="143"/>
      <c r="BF179" s="143"/>
      <c r="BG179" s="143"/>
      <c r="BH179" s="143"/>
      <c r="BI179" s="143"/>
      <c r="BJ179" s="142"/>
      <c r="BK179" s="143"/>
      <c r="BL179" s="143"/>
      <c r="BM179" s="143"/>
      <c r="BN179" s="143"/>
      <c r="BO179" s="143"/>
      <c r="BP179" s="143"/>
      <c r="BQ179" s="142"/>
      <c r="BR179" s="143"/>
      <c r="BS179" s="143"/>
      <c r="BT179" s="142">
        <f>SUM(BU179:BW179)</f>
      </c>
      <c r="BU179" s="143"/>
      <c r="BV179" s="143"/>
      <c r="BW179" s="143"/>
      <c r="BX179" s="142">
        <f>SUM(BY179:CD179)</f>
      </c>
      <c r="BY179" s="143"/>
      <c r="BZ179" s="143"/>
      <c r="CA179" s="143"/>
      <c r="CB179" s="143"/>
      <c r="CC179" s="143"/>
      <c r="CD179" s="143"/>
      <c r="CE179" s="142"/>
      <c r="CF179" s="143"/>
      <c r="CG179" s="143"/>
      <c r="CH179" s="143"/>
      <c r="CI179" s="143"/>
      <c r="CJ179" s="143"/>
      <c r="CK179" s="142">
        <f>SUM(CL179:CN179)</f>
      </c>
      <c r="CL179" s="143"/>
      <c r="CM179" s="143"/>
      <c r="CN179" s="143"/>
      <c r="CO179" s="142">
        <f>SUM(CP179:CT179)</f>
      </c>
      <c r="CP179" s="143"/>
      <c r="CQ179" s="143"/>
      <c r="CR179" s="143"/>
      <c r="CS179" s="143"/>
      <c r="CT179" s="143"/>
      <c r="CU179" s="142"/>
      <c r="CV179" s="143"/>
      <c r="CW179" s="143"/>
      <c r="CX179" s="143"/>
      <c r="CY179" s="142"/>
      <c r="CZ179" s="143"/>
      <c r="DA179" s="143"/>
      <c r="DB179" s="143"/>
      <c r="DC179" s="143"/>
      <c r="DD179" s="143"/>
      <c r="DE179" s="143"/>
      <c r="DF179" s="143"/>
      <c r="DG179" s="142">
        <f>SUM(DH179:DH179)</f>
      </c>
      <c r="DH179" s="143"/>
      <c r="DI179" s="142"/>
      <c r="DJ179" s="143"/>
      <c r="DK179" s="142">
        <f>SUM(DL179:DQ179)</f>
      </c>
      <c r="DL179" s="143"/>
      <c r="DM179" s="143"/>
      <c r="DN179" s="143"/>
      <c r="DO179" s="143"/>
      <c r="DP179" s="143"/>
      <c r="DQ179" s="143"/>
      <c r="DR179" s="143"/>
      <c r="DS179" s="143"/>
      <c r="DT179" s="143"/>
      <c r="DU179" s="143"/>
      <c r="DV179" s="143"/>
      <c r="DW179" s="143"/>
      <c r="DX179" s="142"/>
      <c r="DY179" s="143"/>
      <c r="DZ179" s="142"/>
      <c r="EA179" s="143"/>
      <c r="EB179" s="143"/>
      <c r="EC179" s="142"/>
      <c r="ED179" s="143"/>
      <c r="EF179" s="143"/>
      <c r="EG179" s="142">
        <f>SUM(EH179:EQ179)</f>
      </c>
      <c r="EH179" s="143"/>
      <c r="EI179" s="143"/>
      <c r="EJ179" s="143"/>
      <c r="EK179" s="143"/>
      <c r="EL179" s="143"/>
      <c r="EM179" s="143"/>
      <c r="EN179" s="143"/>
      <c r="EO179" s="143"/>
      <c r="EP179" s="143"/>
      <c r="EQ179" s="143"/>
      <c r="ER179" s="142">
        <f>SUM(ES179:ET179)</f>
      </c>
      <c r="ES179" s="143"/>
      <c r="ET179" s="143"/>
      <c r="EU179" s="144"/>
      <c r="FB179" s="146"/>
      <c r="FC179" s="146" cm="1">
        <f t="array" ref="FC179">ROW()-ROW(New[#Headers])</f>
        <v>173</v>
      </c>
    </row>
    <row r="180" spans="2:159" s="139" customFormat="1" ht="10.5" x14ac:dyDescent="0.2">
      <c r="B180" s="133"/>
      <c r="C180" s="4057" t="s">
        <v>1720</v>
      </c>
      <c r="D180" t="s" s="4058">
        <v>678</v>
      </c>
      <c r="E180" s="4059" t="s">
        <v>305</v>
      </c>
      <c r="F180" t="s" s="4060">
        <v>766</v>
      </c>
      <c r="G180" t="s" s="4061">
        <v>345</v>
      </c>
      <c r="H180" s="4062" t="s">
        <v>305</v>
      </c>
      <c r="I180" t="s" s="4063">
        <v>41</v>
      </c>
      <c r="J180" t="s" s="4064">
        <v>68</v>
      </c>
      <c r="K180" t="s" s="4065">
        <v>1643</v>
      </c>
      <c r="L180" t="s" s="4066">
        <v>305</v>
      </c>
      <c r="M180" t="s" s="4067">
        <v>305</v>
      </c>
      <c r="N180" s="4068" t="s">
        <v>3875</v>
      </c>
      <c r="O180" s="4069" t="s">
        <v>3871</v>
      </c>
      <c r="P180" s="141"/>
      <c r="Q180" s="142">
        <f>SUM(R180:AQ180)</f>
      </c>
      <c r="R180" s="143"/>
      <c r="S180" s="143"/>
      <c r="T180" s="143"/>
      <c r="U180" s="143"/>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2">
        <f>SUM(AS180:AV180)</f>
      </c>
      <c r="AS180" s="143"/>
      <c r="AT180" s="143"/>
      <c r="AU180" s="143"/>
      <c r="AV180" s="143"/>
      <c r="AW180" s="142">
        <f>SUM(AX180:BI180)</f>
      </c>
      <c r="AX180" s="143"/>
      <c r="AY180" s="143"/>
      <c r="AZ180" s="143"/>
      <c r="BA180" s="143"/>
      <c r="BB180" s="143"/>
      <c r="BC180" s="143"/>
      <c r="BD180" s="143"/>
      <c r="BE180" s="143"/>
      <c r="BF180" s="143"/>
      <c r="BG180" s="143"/>
      <c r="BH180" s="143"/>
      <c r="BI180" s="143"/>
      <c r="BJ180" s="142"/>
      <c r="BK180" s="143"/>
      <c r="BL180" s="143"/>
      <c r="BM180" s="143"/>
      <c r="BN180" s="143"/>
      <c r="BO180" s="143"/>
      <c r="BP180" s="143"/>
      <c r="BQ180" s="142"/>
      <c r="BR180" s="143"/>
      <c r="BS180" s="143"/>
      <c r="BT180" s="142">
        <f>SUM(BU180:BW180)</f>
      </c>
      <c r="BU180" s="143"/>
      <c r="BV180" s="143"/>
      <c r="BW180" s="143"/>
      <c r="BX180" s="142">
        <f>SUM(BY180:CD180)</f>
      </c>
      <c r="BY180" s="143"/>
      <c r="BZ180" s="143"/>
      <c r="CA180" s="143"/>
      <c r="CB180" s="143"/>
      <c r="CC180" s="143"/>
      <c r="CD180" s="143"/>
      <c r="CE180" s="142"/>
      <c r="CF180" s="143"/>
      <c r="CG180" s="143"/>
      <c r="CH180" s="143"/>
      <c r="CI180" s="143"/>
      <c r="CJ180" s="143"/>
      <c r="CK180" s="142">
        <f>SUM(CL180:CN180)</f>
      </c>
      <c r="CL180" s="143"/>
      <c r="CM180" s="143"/>
      <c r="CN180" s="143"/>
      <c r="CO180" s="142">
        <f>SUM(CP180:CT180)</f>
      </c>
      <c r="CP180" s="143"/>
      <c r="CQ180" s="143"/>
      <c r="CR180" s="143"/>
      <c r="CS180" s="143"/>
      <c r="CT180" s="143"/>
      <c r="CU180" s="142"/>
      <c r="CV180" s="143"/>
      <c r="CW180" s="143"/>
      <c r="CX180" s="143"/>
      <c r="CY180" s="142"/>
      <c r="CZ180" s="143"/>
      <c r="DA180" s="143"/>
      <c r="DB180" s="143"/>
      <c r="DC180" s="143"/>
      <c r="DD180" s="143"/>
      <c r="DE180" s="143"/>
      <c r="DF180" s="143"/>
      <c r="DG180" s="142">
        <f>SUM(DH180:DH180)</f>
      </c>
      <c r="DH180" s="143"/>
      <c r="DI180" s="142"/>
      <c r="DJ180" s="143"/>
      <c r="DK180" s="142">
        <f>SUM(DL180:DQ180)</f>
      </c>
      <c r="DL180" s="143"/>
      <c r="DM180" s="143"/>
      <c r="DN180" s="143"/>
      <c r="DO180" s="143"/>
      <c r="DP180" s="143"/>
      <c r="DQ180" s="143"/>
      <c r="DR180" s="143"/>
      <c r="DS180" s="143"/>
      <c r="DT180" s="143"/>
      <c r="DU180" s="143"/>
      <c r="DV180" s="143"/>
      <c r="DW180" s="143"/>
      <c r="DX180" s="142"/>
      <c r="DY180" s="143"/>
      <c r="DZ180" s="142"/>
      <c r="EA180" s="143"/>
      <c r="EB180" s="143"/>
      <c r="EC180" s="142"/>
      <c r="ED180" s="143"/>
      <c r="EF180" s="143"/>
      <c r="EG180" s="142">
        <f>SUM(EH180:EQ180)</f>
      </c>
      <c r="EH180" s="143"/>
      <c r="EI180" s="143"/>
      <c r="EJ180" s="143"/>
      <c r="EK180" s="143"/>
      <c r="EL180" s="143"/>
      <c r="EM180" s="143"/>
      <c r="EN180" s="143"/>
      <c r="EO180" s="143"/>
      <c r="EP180" s="143"/>
      <c r="EQ180" s="143"/>
      <c r="ER180" s="142">
        <f>SUM(ES180:ET180)</f>
      </c>
      <c r="ES180" s="143"/>
      <c r="ET180" s="143"/>
      <c r="EU180" s="144"/>
      <c r="FB180" s="146"/>
      <c r="FC180" s="146" cm="1">
        <f t="array" ref="FC180">ROW()-ROW(New[#Headers])</f>
        <v>174</v>
      </c>
    </row>
    <row r="181" spans="2:159" s="139" customFormat="1" ht="10.5" x14ac:dyDescent="0.2">
      <c r="B181" s="133"/>
      <c r="C181" s="4083" t="s">
        <v>1700</v>
      </c>
      <c r="D181" t="s" s="4084">
        <v>644</v>
      </c>
      <c r="E181" s="4085" t="s">
        <v>13</v>
      </c>
      <c r="F181" t="s" s="4086">
        <v>750</v>
      </c>
      <c r="G181" t="s" s="4087">
        <v>1597</v>
      </c>
      <c r="H181" s="4088" t="s">
        <v>46</v>
      </c>
      <c r="I181" t="s" s="4089">
        <v>22</v>
      </c>
      <c r="J181" t="s" s="4090">
        <v>64</v>
      </c>
      <c r="K181" t="s" s="4091">
        <v>1617</v>
      </c>
      <c r="L181" t="s" s="4092">
        <v>305</v>
      </c>
      <c r="M181" t="s" s="4093">
        <v>305</v>
      </c>
      <c r="N181" s="4094" t="s">
        <v>3867</v>
      </c>
      <c r="O181" s="4095" t="s">
        <v>3871</v>
      </c>
      <c r="P181" s="141"/>
      <c r="Q181" s="142">
        <f>SUM(R181:AQ181)</f>
      </c>
      <c r="R181" s="143"/>
      <c r="S181" s="143"/>
      <c r="T181" s="143"/>
      <c r="U181" s="143"/>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2">
        <f>SUM(AS181:AV181)</f>
      </c>
      <c r="AS181" s="143"/>
      <c r="AT181" s="143"/>
      <c r="AU181" s="143"/>
      <c r="AV181" s="143"/>
      <c r="AW181" s="142">
        <f>SUM(AX181:BI181)</f>
      </c>
      <c r="AX181" s="143"/>
      <c r="AY181" s="143"/>
      <c r="AZ181" s="143"/>
      <c r="BA181" s="143"/>
      <c r="BB181" s="143"/>
      <c r="BC181" s="143"/>
      <c r="BD181" s="143"/>
      <c r="BE181" s="143"/>
      <c r="BF181" s="143"/>
      <c r="BG181" s="143"/>
      <c r="BH181" s="143"/>
      <c r="BI181" s="143"/>
      <c r="BJ181" s="142"/>
      <c r="BK181" s="143"/>
      <c r="BL181" s="143"/>
      <c r="BM181" s="143"/>
      <c r="BN181" s="143"/>
      <c r="BO181" s="143"/>
      <c r="BP181" s="143"/>
      <c r="BQ181" s="142"/>
      <c r="BR181" s="143"/>
      <c r="BS181" s="143"/>
      <c r="BT181" s="142">
        <f>SUM(BU181:BW181)</f>
      </c>
      <c r="BU181" s="143"/>
      <c r="BV181" s="143"/>
      <c r="BW181" s="143"/>
      <c r="BX181" s="142">
        <f>SUM(BY181:CD181)</f>
      </c>
      <c r="BY181" s="143"/>
      <c r="BZ181" s="143"/>
      <c r="CA181" s="143"/>
      <c r="CB181" s="143"/>
      <c r="CC181" s="143"/>
      <c r="CD181" s="143"/>
      <c r="CE181" s="142"/>
      <c r="CF181" s="143"/>
      <c r="CG181" s="143"/>
      <c r="CH181" s="143"/>
      <c r="CI181" s="143"/>
      <c r="CJ181" s="143"/>
      <c r="CK181" s="142">
        <f>SUM(CL181:CN181)</f>
      </c>
      <c r="CL181" s="143"/>
      <c r="CM181" s="143"/>
      <c r="CN181" s="143"/>
      <c r="CO181" s="142">
        <f>SUM(CP181:CT181)</f>
      </c>
      <c r="CP181" s="143"/>
      <c r="CQ181" s="143"/>
      <c r="CR181" s="143"/>
      <c r="CS181" s="143"/>
      <c r="CT181" s="143"/>
      <c r="CU181" s="142"/>
      <c r="CV181" s="143"/>
      <c r="CW181" s="143"/>
      <c r="CX181" s="143"/>
      <c r="CY181" s="142"/>
      <c r="CZ181" s="143"/>
      <c r="DA181" s="143"/>
      <c r="DB181" s="143"/>
      <c r="DC181" s="143"/>
      <c r="DD181" s="143"/>
      <c r="DE181" s="143"/>
      <c r="DF181" s="143"/>
      <c r="DG181" s="142">
        <f>SUM(DH181:DH181)</f>
      </c>
      <c r="DH181" s="143"/>
      <c r="DI181" s="142"/>
      <c r="DJ181" s="143"/>
      <c r="DK181" s="142">
        <f>SUM(DL181:DQ181)</f>
      </c>
      <c r="DL181" s="143"/>
      <c r="DM181" s="143"/>
      <c r="DN181" s="143"/>
      <c r="DO181" s="143"/>
      <c r="DP181" s="143"/>
      <c r="DQ181" s="143"/>
      <c r="DR181" s="143"/>
      <c r="DS181" s="143"/>
      <c r="DT181" s="143"/>
      <c r="DU181" s="143"/>
      <c r="DV181" s="143"/>
      <c r="DW181" s="143"/>
      <c r="DX181" s="142"/>
      <c r="DY181" s="143"/>
      <c r="DZ181" s="142"/>
      <c r="EA181" s="143"/>
      <c r="EB181" s="143"/>
      <c r="EC181" s="142"/>
      <c r="ED181" s="143"/>
      <c r="EF181" s="143"/>
      <c r="EG181" s="142">
        <f>SUM(EH181:EQ181)</f>
      </c>
      <c r="EH181" s="143"/>
      <c r="EI181" s="143"/>
      <c r="EJ181" s="143"/>
      <c r="EK181" s="143"/>
      <c r="EL181" s="143"/>
      <c r="EM181" s="143"/>
      <c r="EN181" s="143"/>
      <c r="EO181" s="143"/>
      <c r="EP181" s="143"/>
      <c r="EQ181" s="143"/>
      <c r="ER181" s="142">
        <f>SUM(ES181:ET181)</f>
      </c>
      <c r="ES181" s="143"/>
      <c r="ET181" s="143"/>
      <c r="EU181" s="144"/>
      <c r="FB181" s="146"/>
      <c r="FC181" s="146" cm="1">
        <f t="array" ref="FC181">ROW()-ROW(New[#Headers])</f>
        <v>175</v>
      </c>
    </row>
    <row r="182" spans="2:159" s="139" customFormat="1" ht="10.5" x14ac:dyDescent="0.2">
      <c r="B182" s="133"/>
      <c r="C182" s="4096" t="s">
        <v>505</v>
      </c>
      <c r="D182" t="s" s="4097">
        <v>506</v>
      </c>
      <c r="E182" s="4098" t="s">
        <v>13</v>
      </c>
      <c r="F182" t="s" s="4099">
        <v>933</v>
      </c>
      <c r="G182" t="s" s="4100">
        <v>1597</v>
      </c>
      <c r="H182" s="4101" t="s">
        <v>46</v>
      </c>
      <c r="I182" t="s" s="4102">
        <v>22</v>
      </c>
      <c r="J182" t="s" s="4103">
        <v>64</v>
      </c>
      <c r="K182" t="s" s="4104">
        <v>1639</v>
      </c>
      <c r="L182" t="s" s="4105">
        <v>934</v>
      </c>
      <c r="M182" t="s" s="4106">
        <v>305</v>
      </c>
      <c r="N182" s="4107" t="s">
        <v>3873</v>
      </c>
      <c r="O182" s="4108" t="s">
        <v>3871</v>
      </c>
      <c r="P182" s="141"/>
      <c r="Q182" s="142">
        <f>SUM(R182:AQ182)</f>
      </c>
      <c r="R182" s="143"/>
      <c r="S182" s="143"/>
      <c r="T182" s="143"/>
      <c r="U182" s="143"/>
      <c r="V182" s="143"/>
      <c r="W182" s="143"/>
      <c r="X182" s="143"/>
      <c r="Y182" s="143"/>
      <c r="Z182" s="143"/>
      <c r="AA182" s="143"/>
      <c r="AB182" s="143"/>
      <c r="AC182" s="143"/>
      <c r="AD182" s="143"/>
      <c r="AE182" s="143"/>
      <c r="AF182" s="4109" t="n">
        <v>384.0</v>
      </c>
      <c r="AG182" s="143"/>
      <c r="AH182" s="143"/>
      <c r="AI182" s="143"/>
      <c r="AJ182" s="143"/>
      <c r="AK182" s="143"/>
      <c r="AL182" s="143"/>
      <c r="AM182" s="143"/>
      <c r="AN182" s="143"/>
      <c r="AO182" s="143"/>
      <c r="AP182" s="143"/>
      <c r="AQ182" s="143"/>
      <c r="AR182" s="142">
        <f>SUM(AS182:AV182)</f>
      </c>
      <c r="AS182" s="143"/>
      <c r="AT182" s="143"/>
      <c r="AU182" s="143"/>
      <c r="AV182" s="143"/>
      <c r="AW182" s="142">
        <f>SUM(AX182:BI182)</f>
      </c>
      <c r="AX182" s="143"/>
      <c r="AY182" s="143"/>
      <c r="AZ182" s="143"/>
      <c r="BA182" s="143"/>
      <c r="BB182" s="143"/>
      <c r="BC182" s="143"/>
      <c r="BD182" s="143"/>
      <c r="BE182" s="143"/>
      <c r="BF182" s="143"/>
      <c r="BG182" s="143"/>
      <c r="BH182" s="143"/>
      <c r="BI182" s="143"/>
      <c r="BJ182" s="142"/>
      <c r="BK182" s="143"/>
      <c r="BL182" s="143"/>
      <c r="BM182" s="143"/>
      <c r="BN182" s="143"/>
      <c r="BO182" s="143"/>
      <c r="BP182" s="143"/>
      <c r="BQ182" s="142"/>
      <c r="BR182" s="143"/>
      <c r="BS182" s="143"/>
      <c r="BT182" s="142">
        <f>SUM(BU182:BW182)</f>
      </c>
      <c r="BU182" s="143"/>
      <c r="BV182" s="143"/>
      <c r="BW182" s="143"/>
      <c r="BX182" s="142">
        <f>SUM(BY182:CD182)</f>
      </c>
      <c r="BY182" s="143"/>
      <c r="BZ182" s="143"/>
      <c r="CA182" s="143"/>
      <c r="CB182" s="143"/>
      <c r="CC182" s="143"/>
      <c r="CD182" s="143"/>
      <c r="CE182" s="142"/>
      <c r="CF182" s="143"/>
      <c r="CG182" s="143"/>
      <c r="CH182" s="143"/>
      <c r="CI182" s="143"/>
      <c r="CJ182" s="143"/>
      <c r="CK182" s="142">
        <f>SUM(CL182:CN182)</f>
      </c>
      <c r="CL182" s="143"/>
      <c r="CM182" s="143"/>
      <c r="CN182" s="143"/>
      <c r="CO182" s="142">
        <f>SUM(CP182:CT182)</f>
      </c>
      <c r="CP182" s="143"/>
      <c r="CQ182" s="143"/>
      <c r="CR182" s="143"/>
      <c r="CS182" s="143"/>
      <c r="CT182" s="143"/>
      <c r="CU182" s="142"/>
      <c r="CV182" s="143"/>
      <c r="CW182" s="143"/>
      <c r="CX182" s="143"/>
      <c r="CY182" s="142"/>
      <c r="CZ182" s="143"/>
      <c r="DA182" s="143"/>
      <c r="DB182" s="143"/>
      <c r="DC182" s="143"/>
      <c r="DD182" s="143"/>
      <c r="DE182" s="143"/>
      <c r="DF182" s="143"/>
      <c r="DG182" s="142">
        <f>SUM(DH182:DH182)</f>
      </c>
      <c r="DH182" s="143"/>
      <c r="DI182" s="142"/>
      <c r="DJ182" s="143"/>
      <c r="DK182" s="142">
        <f>SUM(DL182:DQ182)</f>
      </c>
      <c r="DL182" s="143"/>
      <c r="DM182" s="143"/>
      <c r="DN182" s="143"/>
      <c r="DO182" s="143"/>
      <c r="DP182" s="143"/>
      <c r="DQ182" s="143"/>
      <c r="DR182" s="143"/>
      <c r="DS182" s="143"/>
      <c r="DT182" s="143"/>
      <c r="DU182" s="143"/>
      <c r="DV182" s="143"/>
      <c r="DW182" s="143"/>
      <c r="DX182" s="142"/>
      <c r="DY182" s="143"/>
      <c r="DZ182" s="142"/>
      <c r="EA182" s="143"/>
      <c r="EB182" s="143"/>
      <c r="EC182" s="142"/>
      <c r="ED182" s="143"/>
      <c r="EF182" s="143"/>
      <c r="EG182" s="142">
        <f>SUM(EH182:EQ182)</f>
      </c>
      <c r="EH182" s="143"/>
      <c r="EI182" s="143"/>
      <c r="EJ182" s="143"/>
      <c r="EK182" s="143"/>
      <c r="EL182" s="143"/>
      <c r="EM182" s="143"/>
      <c r="EN182" s="143"/>
      <c r="EO182" s="143"/>
      <c r="EP182" s="143"/>
      <c r="EQ182" s="143"/>
      <c r="ER182" s="142">
        <f>SUM(ES182:ET182)</f>
      </c>
      <c r="ES182" s="143"/>
      <c r="ET182" s="143"/>
      <c r="EU182" s="144"/>
      <c r="FB182" s="146"/>
      <c r="FC182" s="146" cm="1">
        <f t="array" ref="FC182">ROW()-ROW(New[#Headers])</f>
        <v>176</v>
      </c>
    </row>
    <row r="183" spans="2:159" s="139" customFormat="1" ht="10.5" x14ac:dyDescent="0.2">
      <c r="B183" s="133"/>
      <c r="C183" s="4127" t="s">
        <v>479</v>
      </c>
      <c r="D183" t="s" s="4128">
        <v>480</v>
      </c>
      <c r="E183" s="4129" t="s">
        <v>13</v>
      </c>
      <c r="F183" t="s" s="4130">
        <v>1109</v>
      </c>
      <c r="G183" t="s" s="4131">
        <v>305</v>
      </c>
      <c r="H183" s="4132" t="s">
        <v>55</v>
      </c>
      <c r="I183" t="s" s="4133">
        <v>41</v>
      </c>
      <c r="J183" t="s" s="4134">
        <v>68</v>
      </c>
      <c r="K183" t="s" s="4135">
        <v>1659</v>
      </c>
      <c r="L183" t="s" s="4136">
        <v>751</v>
      </c>
      <c r="M183" t="s" s="4137">
        <v>305</v>
      </c>
      <c r="N183" s="4138" t="s">
        <v>3873</v>
      </c>
      <c r="O183" s="4139" t="s">
        <v>3878</v>
      </c>
      <c r="P183" s="141"/>
      <c r="Q183" s="142">
        <f>SUM(R183:AQ183)</f>
      </c>
      <c r="R183" s="143"/>
      <c r="S183" s="143"/>
      <c r="T183" s="143"/>
      <c r="U183" s="143"/>
      <c r="V183" s="143"/>
      <c r="W183" s="143"/>
      <c r="X183" s="143"/>
      <c r="Y183" s="143"/>
      <c r="Z183" s="143"/>
      <c r="AA183" s="143"/>
      <c r="AB183" s="143"/>
      <c r="AC183" s="143"/>
      <c r="AD183" s="4140" t="n">
        <v>400.0</v>
      </c>
      <c r="AE183" s="143"/>
      <c r="AF183" s="143"/>
      <c r="AG183" s="143"/>
      <c r="AH183" s="143"/>
      <c r="AI183" s="143"/>
      <c r="AJ183" s="143"/>
      <c r="AK183" s="143"/>
      <c r="AL183" s="143"/>
      <c r="AM183" s="143"/>
      <c r="AN183" s="143"/>
      <c r="AO183" s="143"/>
      <c r="AP183" s="143"/>
      <c r="AQ183" s="143"/>
      <c r="AR183" s="142">
        <f>SUM(AS183:AV183)</f>
      </c>
      <c r="AS183" s="143"/>
      <c r="AT183" s="143"/>
      <c r="AU183" s="143"/>
      <c r="AV183" s="143"/>
      <c r="AW183" s="142">
        <f>SUM(AX183:BI183)</f>
      </c>
      <c r="AX183" s="143"/>
      <c r="AY183" s="143"/>
      <c r="AZ183" s="143"/>
      <c r="BA183" s="143"/>
      <c r="BB183" s="143"/>
      <c r="BC183" s="143"/>
      <c r="BD183" s="143"/>
      <c r="BE183" s="143"/>
      <c r="BF183" s="143"/>
      <c r="BG183" s="143"/>
      <c r="BH183" s="143"/>
      <c r="BI183" s="143"/>
      <c r="BJ183" s="142"/>
      <c r="BK183" s="143"/>
      <c r="BL183" s="143"/>
      <c r="BM183" s="143"/>
      <c r="BN183" s="143"/>
      <c r="BO183" s="143"/>
      <c r="BP183" s="143"/>
      <c r="BQ183" s="142"/>
      <c r="BR183" s="143"/>
      <c r="BS183" s="143"/>
      <c r="BT183" s="142">
        <f>SUM(BU183:BW183)</f>
      </c>
      <c r="BU183" s="143"/>
      <c r="BV183" s="143"/>
      <c r="BW183" s="143"/>
      <c r="BX183" s="142">
        <f>SUM(BY183:CD183)</f>
      </c>
      <c r="BY183" s="143"/>
      <c r="BZ183" s="143"/>
      <c r="CA183" s="143"/>
      <c r="CB183" s="143"/>
      <c r="CC183" s="143"/>
      <c r="CD183" s="143"/>
      <c r="CE183" s="142"/>
      <c r="CF183" s="143"/>
      <c r="CG183" s="143"/>
      <c r="CH183" s="143"/>
      <c r="CI183" s="143"/>
      <c r="CJ183" s="143"/>
      <c r="CK183" s="142">
        <f>SUM(CL183:CN183)</f>
      </c>
      <c r="CL183" s="143"/>
      <c r="CM183" s="143"/>
      <c r="CN183" s="143"/>
      <c r="CO183" s="142">
        <f>SUM(CP183:CT183)</f>
      </c>
      <c r="CP183" s="143"/>
      <c r="CQ183" s="143"/>
      <c r="CR183" s="143"/>
      <c r="CS183" s="143"/>
      <c r="CT183" s="143"/>
      <c r="CU183" s="142"/>
      <c r="CV183" s="143"/>
      <c r="CW183" s="143"/>
      <c r="CX183" s="143"/>
      <c r="CY183" s="142"/>
      <c r="CZ183" s="143"/>
      <c r="DA183" s="143"/>
      <c r="DB183" s="143"/>
      <c r="DC183" s="143"/>
      <c r="DD183" s="143"/>
      <c r="DE183" s="143"/>
      <c r="DF183" s="143"/>
      <c r="DG183" s="142">
        <f>SUM(DH183:DH183)</f>
      </c>
      <c r="DH183" s="143"/>
      <c r="DI183" s="142"/>
      <c r="DJ183" s="143"/>
      <c r="DK183" s="142">
        <f>SUM(DL183:DQ183)</f>
      </c>
      <c r="DL183" s="143"/>
      <c r="DM183" s="143"/>
      <c r="DN183" s="143"/>
      <c r="DO183" s="143"/>
      <c r="DP183" s="143"/>
      <c r="DQ183" s="143"/>
      <c r="DR183" s="143"/>
      <c r="DS183" s="143"/>
      <c r="DT183" s="143"/>
      <c r="DU183" s="143"/>
      <c r="DV183" s="143"/>
      <c r="DW183" s="143"/>
      <c r="DX183" s="142"/>
      <c r="DY183" s="143"/>
      <c r="DZ183" s="142"/>
      <c r="EA183" s="143"/>
      <c r="EB183" s="143"/>
      <c r="EC183" s="142"/>
      <c r="ED183" s="143"/>
      <c r="EF183" s="143"/>
      <c r="EG183" s="142">
        <f>SUM(EH183:EQ183)</f>
      </c>
      <c r="EH183" s="143"/>
      <c r="EI183" s="143"/>
      <c r="EJ183" s="143"/>
      <c r="EK183" s="143"/>
      <c r="EL183" s="143"/>
      <c r="EM183" s="143"/>
      <c r="EN183" s="143"/>
      <c r="EO183" s="143"/>
      <c r="EP183" s="143"/>
      <c r="EQ183" s="143"/>
      <c r="ER183" s="142">
        <f>SUM(ES183:ET183)</f>
      </c>
      <c r="ES183" s="143"/>
      <c r="ET183" s="143"/>
      <c r="EU183" s="144"/>
      <c r="FB183" s="146"/>
      <c r="FC183" s="146" cm="1">
        <f t="array" ref="FC183">ROW()-ROW(New[#Headers])</f>
        <v>177</v>
      </c>
    </row>
    <row r="184" spans="2:159" s="139" customFormat="1" ht="10.5" x14ac:dyDescent="0.2">
      <c r="B184" s="133"/>
      <c r="C184" s="4141" t="s">
        <v>299</v>
      </c>
      <c r="D184" t="s" s="4142">
        <v>300</v>
      </c>
      <c r="E184" s="4143" t="s">
        <v>13</v>
      </c>
      <c r="F184" t="s" s="4144">
        <v>766</v>
      </c>
      <c r="G184" t="s" s="4145">
        <v>1597</v>
      </c>
      <c r="H184" s="4146" t="s">
        <v>46</v>
      </c>
      <c r="I184" t="s" s="4147">
        <v>41</v>
      </c>
      <c r="J184" t="s" s="4148">
        <v>68</v>
      </c>
      <c r="K184" t="s" s="4149">
        <v>1059</v>
      </c>
      <c r="L184" t="s" s="4150">
        <v>767</v>
      </c>
      <c r="M184" t="s" s="4151">
        <v>305</v>
      </c>
      <c r="N184" s="4152" t="s">
        <v>3870</v>
      </c>
      <c r="O184" s="4153" t="s">
        <v>3871</v>
      </c>
      <c r="P184" s="141"/>
      <c r="Q184" s="142">
        <f>SUM(R184:AQ184)</f>
      </c>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4154" t="n">
        <v>300.0</v>
      </c>
      <c r="AO184" s="143"/>
      <c r="AP184" s="143"/>
      <c r="AQ184" s="143"/>
      <c r="AR184" s="142">
        <f>SUM(AS184:AV184)</f>
      </c>
      <c r="AS184" s="143"/>
      <c r="AT184" s="143"/>
      <c r="AU184" s="143"/>
      <c r="AV184" s="143"/>
      <c r="AW184" s="142">
        <f>SUM(AX184:BI184)</f>
      </c>
      <c r="AX184" s="143"/>
      <c r="AY184" s="143"/>
      <c r="AZ184" s="143"/>
      <c r="BA184" s="143"/>
      <c r="BB184" s="143"/>
      <c r="BC184" s="143"/>
      <c r="BD184" s="143"/>
      <c r="BE184" s="143"/>
      <c r="BF184" s="143"/>
      <c r="BG184" s="143"/>
      <c r="BH184" s="143"/>
      <c r="BI184" s="143"/>
      <c r="BJ184" s="142"/>
      <c r="BK184" s="143"/>
      <c r="BL184" s="143"/>
      <c r="BM184" s="143"/>
      <c r="BN184" s="143"/>
      <c r="BO184" s="143"/>
      <c r="BP184" s="143"/>
      <c r="BQ184" s="142"/>
      <c r="BR184" s="143"/>
      <c r="BS184" s="143"/>
      <c r="BT184" s="142">
        <f>SUM(BU184:BW184)</f>
      </c>
      <c r="BU184" s="143"/>
      <c r="BV184" s="143"/>
      <c r="BW184" s="143"/>
      <c r="BX184" s="142">
        <f>SUM(BY184:CD184)</f>
      </c>
      <c r="BY184" s="143"/>
      <c r="BZ184" s="143"/>
      <c r="CA184" s="143"/>
      <c r="CB184" s="143"/>
      <c r="CC184" s="143"/>
      <c r="CD184" s="143"/>
      <c r="CE184" s="142"/>
      <c r="CF184" s="143"/>
      <c r="CG184" s="143"/>
      <c r="CH184" s="143"/>
      <c r="CI184" s="143"/>
      <c r="CJ184" s="143"/>
      <c r="CK184" s="142">
        <f>SUM(CL184:CN184)</f>
      </c>
      <c r="CL184" s="143"/>
      <c r="CM184" s="143"/>
      <c r="CN184" s="143"/>
      <c r="CO184" s="142">
        <f>SUM(CP184:CT184)</f>
      </c>
      <c r="CP184" s="143"/>
      <c r="CQ184" s="143"/>
      <c r="CR184" s="143"/>
      <c r="CS184" s="143"/>
      <c r="CT184" s="143"/>
      <c r="CU184" s="142"/>
      <c r="CV184" s="143"/>
      <c r="CW184" s="143"/>
      <c r="CX184" s="143"/>
      <c r="CY184" s="142"/>
      <c r="CZ184" s="143"/>
      <c r="DA184" s="143"/>
      <c r="DB184" s="143"/>
      <c r="DC184" s="143"/>
      <c r="DD184" s="143"/>
      <c r="DE184" s="143"/>
      <c r="DF184" s="143"/>
      <c r="DG184" s="142">
        <f>SUM(DH184:DH184)</f>
      </c>
      <c r="DH184" s="143"/>
      <c r="DI184" s="142"/>
      <c r="DJ184" s="143"/>
      <c r="DK184" s="142">
        <f>SUM(DL184:DQ184)</f>
      </c>
      <c r="DL184" s="143"/>
      <c r="DM184" s="143"/>
      <c r="DN184" s="143"/>
      <c r="DO184" s="143"/>
      <c r="DP184" s="143"/>
      <c r="DQ184" s="143"/>
      <c r="DR184" s="143"/>
      <c r="DS184" s="143"/>
      <c r="DT184" s="143"/>
      <c r="DU184" s="143"/>
      <c r="DV184" s="143"/>
      <c r="DW184" s="143"/>
      <c r="DX184" s="142"/>
      <c r="DY184" s="143"/>
      <c r="DZ184" s="142"/>
      <c r="EA184" s="143"/>
      <c r="EB184" s="143"/>
      <c r="EC184" s="142"/>
      <c r="ED184" s="143"/>
      <c r="EF184" s="143"/>
      <c r="EG184" s="142">
        <f>SUM(EH184:EQ184)</f>
      </c>
      <c r="EH184" s="143"/>
      <c r="EI184" s="143"/>
      <c r="EJ184" s="143"/>
      <c r="EK184" s="143"/>
      <c r="EL184" s="143"/>
      <c r="EM184" s="143"/>
      <c r="EN184" s="143"/>
      <c r="EO184" s="143"/>
      <c r="EP184" s="143"/>
      <c r="EQ184" s="143"/>
      <c r="ER184" s="142">
        <f>SUM(ES184:ET184)</f>
      </c>
      <c r="ES184" s="143"/>
      <c r="ET184" s="143"/>
      <c r="EU184" s="144"/>
      <c r="FB184" s="146"/>
      <c r="FC184" s="146" cm="1">
        <f t="array" ref="FC184">ROW()-ROW(New[#Headers])</f>
        <v>178</v>
      </c>
    </row>
    <row r="185" spans="2:159" s="139" customFormat="1" ht="10.5" x14ac:dyDescent="0.2">
      <c r="B185" s="133"/>
      <c r="C185" s="4169" t="s">
        <v>558</v>
      </c>
      <c r="D185" t="s" s="4170">
        <v>559</v>
      </c>
      <c r="E185" s="4171" t="s">
        <v>23</v>
      </c>
      <c r="F185" t="s" s="4172">
        <v>750</v>
      </c>
      <c r="G185" t="s" s="4173">
        <v>1597</v>
      </c>
      <c r="H185" s="4174" t="s">
        <v>51</v>
      </c>
      <c r="I185" t="s" s="4175">
        <v>786</v>
      </c>
      <c r="J185" t="s" s="4176">
        <v>64</v>
      </c>
      <c r="K185" t="s" s="4177">
        <v>1617</v>
      </c>
      <c r="L185" t="s" s="4178">
        <v>934</v>
      </c>
      <c r="M185" t="s" s="4179">
        <v>305</v>
      </c>
      <c r="N185" s="4180" t="s">
        <v>3873</v>
      </c>
      <c r="O185" s="4181" t="s">
        <v>3871</v>
      </c>
      <c r="P185" s="141"/>
      <c r="Q185" s="142">
        <f>SUM(R185:AQ185)</f>
      </c>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2">
        <f>SUM(AS185:AV185)</f>
      </c>
      <c r="AS185" s="143"/>
      <c r="AT185" s="143"/>
      <c r="AU185" s="143"/>
      <c r="AV185" s="143"/>
      <c r="AW185" s="142">
        <f>SUM(AX185:BI185)</f>
      </c>
      <c r="AX185" s="143"/>
      <c r="AY185" s="143"/>
      <c r="AZ185" s="143"/>
      <c r="BA185" s="143"/>
      <c r="BB185" s="143"/>
      <c r="BC185" s="143"/>
      <c r="BD185" s="143"/>
      <c r="BE185" s="143"/>
      <c r="BF185" s="143"/>
      <c r="BG185" s="143"/>
      <c r="BH185" s="143"/>
      <c r="BI185" s="143"/>
      <c r="BJ185" s="142"/>
      <c r="BK185" s="143"/>
      <c r="BL185" s="143"/>
      <c r="BM185" s="143"/>
      <c r="BN185" s="143"/>
      <c r="BO185" s="143"/>
      <c r="BP185" s="143"/>
      <c r="BQ185" s="142"/>
      <c r="BR185" s="143"/>
      <c r="BS185" s="143"/>
      <c r="BT185" s="142">
        <f>SUM(BU185:BW185)</f>
      </c>
      <c r="BU185" s="143"/>
      <c r="BV185" s="143"/>
      <c r="BW185" s="143"/>
      <c r="BX185" s="142">
        <f>SUM(BY185:CD185)</f>
      </c>
      <c r="BY185" s="143"/>
      <c r="BZ185" s="143"/>
      <c r="CA185" s="143"/>
      <c r="CB185" s="143"/>
      <c r="CC185" s="143"/>
      <c r="CD185" s="143"/>
      <c r="CE185" s="142"/>
      <c r="CF185" s="143"/>
      <c r="CG185" s="143"/>
      <c r="CH185" s="143"/>
      <c r="CI185" s="143"/>
      <c r="CJ185" s="143"/>
      <c r="CK185" s="142">
        <f>SUM(CL185:CN185)</f>
      </c>
      <c r="CL185" s="143"/>
      <c r="CM185" s="143"/>
      <c r="CN185" s="143"/>
      <c r="CO185" s="142">
        <f>SUM(CP185:CT185)</f>
      </c>
      <c r="CP185" s="143"/>
      <c r="CQ185" s="143"/>
      <c r="CR185" s="143"/>
      <c r="CS185" s="143"/>
      <c r="CT185" s="143"/>
      <c r="CU185" s="142"/>
      <c r="CV185" s="143"/>
      <c r="CW185" s="143"/>
      <c r="CX185" s="143"/>
      <c r="CY185" s="142"/>
      <c r="CZ185" s="143"/>
      <c r="DA185" s="143"/>
      <c r="DB185" s="143"/>
      <c r="DC185" s="143"/>
      <c r="DD185" s="143"/>
      <c r="DE185" s="143"/>
      <c r="DF185" s="143"/>
      <c r="DG185" s="142">
        <f>SUM(DH185:DH185)</f>
      </c>
      <c r="DH185" s="143"/>
      <c r="DI185" s="142"/>
      <c r="DJ185" s="143"/>
      <c r="DK185" s="142">
        <f>SUM(DL185:DQ185)</f>
      </c>
      <c r="DL185" s="143"/>
      <c r="DM185" s="143"/>
      <c r="DN185" s="143"/>
      <c r="DO185" s="143"/>
      <c r="DP185" s="143"/>
      <c r="DQ185" s="143"/>
      <c r="DR185" s="143"/>
      <c r="DS185" s="143"/>
      <c r="DT185" s="143"/>
      <c r="DU185" s="143"/>
      <c r="DV185" s="143"/>
      <c r="DW185" s="143"/>
      <c r="DX185" s="142"/>
      <c r="DY185" s="143"/>
      <c r="DZ185" s="142"/>
      <c r="EA185" s="143"/>
      <c r="EB185" s="143"/>
      <c r="EC185" s="142"/>
      <c r="ED185" s="143"/>
      <c r="EF185" s="143"/>
      <c r="EG185" s="142">
        <f>SUM(EH185:EQ185)</f>
      </c>
      <c r="EH185" s="143"/>
      <c r="EI185" s="143"/>
      <c r="EJ185" s="143"/>
      <c r="EK185" s="143"/>
      <c r="EL185" s="143"/>
      <c r="EM185" s="143"/>
      <c r="EN185" s="143"/>
      <c r="EO185" s="143"/>
      <c r="EP185" s="143"/>
      <c r="EQ185" s="143"/>
      <c r="ER185" s="142">
        <f>SUM(ES185:ET185)</f>
      </c>
      <c r="ES185" s="143"/>
      <c r="ET185" s="143"/>
      <c r="EU185" s="144"/>
      <c r="FB185" s="146"/>
      <c r="FC185" s="146" cm="1">
        <f t="array" ref="FC185">ROW()-ROW(New[#Headers])</f>
        <v>179</v>
      </c>
    </row>
    <row r="186" spans="2:159" s="139" customFormat="1" ht="10.5" x14ac:dyDescent="0.2">
      <c r="B186" s="133"/>
      <c r="C186" s="4197" t="s">
        <v>1714</v>
      </c>
      <c r="D186" t="s" s="4198">
        <v>666</v>
      </c>
      <c r="E186" s="4199" t="s">
        <v>889</v>
      </c>
      <c r="F186" t="s" s="4200">
        <v>750</v>
      </c>
      <c r="G186" t="s" s="4201">
        <v>345</v>
      </c>
      <c r="H186" s="4202" t="s">
        <v>49</v>
      </c>
      <c r="I186" t="s" s="4203">
        <v>41</v>
      </c>
      <c r="J186" t="s" s="4204">
        <v>64</v>
      </c>
      <c r="K186" t="s" s="4205">
        <v>1679</v>
      </c>
      <c r="L186" t="s" s="4206">
        <v>305</v>
      </c>
      <c r="M186" t="s" s="4207">
        <v>1615</v>
      </c>
      <c r="N186" s="4208" t="s">
        <v>3870</v>
      </c>
      <c r="O186" s="4209" t="s">
        <v>3871</v>
      </c>
      <c r="P186" s="141"/>
      <c r="Q186" s="142">
        <f>SUM(R186:AQ186)</f>
      </c>
      <c r="R186" s="143"/>
      <c r="S186" s="143"/>
      <c r="T186" s="4210" t="n">
        <v>300.0</v>
      </c>
      <c r="U186" s="143"/>
      <c r="V186" s="143"/>
      <c r="W186" s="143"/>
      <c r="X186" s="143"/>
      <c r="Y186" s="143"/>
      <c r="Z186" s="143"/>
      <c r="AA186" s="143"/>
      <c r="AB186" s="143"/>
      <c r="AC186" s="143"/>
      <c r="AD186" s="143"/>
      <c r="AE186" s="143"/>
      <c r="AF186" s="143"/>
      <c r="AG186" s="143"/>
      <c r="AH186" s="143"/>
      <c r="AI186" s="143"/>
      <c r="AJ186" s="143"/>
      <c r="AK186" s="143"/>
      <c r="AL186" s="143"/>
      <c r="AM186" s="143"/>
      <c r="AN186" s="143"/>
      <c r="AO186" s="143"/>
      <c r="AP186" s="143"/>
      <c r="AQ186" s="143"/>
      <c r="AR186" s="142">
        <f>SUM(AS186:AV186)</f>
      </c>
      <c r="AS186" s="143"/>
      <c r="AT186" s="143"/>
      <c r="AU186" s="143"/>
      <c r="AV186" s="143"/>
      <c r="AW186" s="142">
        <f>SUM(AX186:BI186)</f>
      </c>
      <c r="AX186" s="143"/>
      <c r="AY186" s="143"/>
      <c r="AZ186" s="143"/>
      <c r="BA186" s="143"/>
      <c r="BB186" s="143"/>
      <c r="BC186" s="143"/>
      <c r="BD186" s="143"/>
      <c r="BE186" s="143"/>
      <c r="BF186" s="143"/>
      <c r="BG186" s="143"/>
      <c r="BH186" s="143"/>
      <c r="BI186" s="143"/>
      <c r="BJ186" s="142"/>
      <c r="BK186" s="143"/>
      <c r="BL186" s="143"/>
      <c r="BM186" s="143"/>
      <c r="BN186" s="143"/>
      <c r="BO186" s="143"/>
      <c r="BP186" s="143"/>
      <c r="BQ186" s="142"/>
      <c r="BR186" s="143"/>
      <c r="BS186" s="143"/>
      <c r="BT186" s="142">
        <f>SUM(BU186:BW186)</f>
      </c>
      <c r="BU186" s="143"/>
      <c r="BV186" s="143"/>
      <c r="BW186" s="143"/>
      <c r="BX186" s="142">
        <f>SUM(BY186:CD186)</f>
      </c>
      <c r="BY186" s="143"/>
      <c r="BZ186" s="143"/>
      <c r="CA186" s="143"/>
      <c r="CB186" s="143"/>
      <c r="CC186" s="143"/>
      <c r="CD186" s="143"/>
      <c r="CE186" s="142"/>
      <c r="CF186" s="143"/>
      <c r="CG186" s="143"/>
      <c r="CH186" s="143"/>
      <c r="CI186" s="143"/>
      <c r="CJ186" s="143"/>
      <c r="CK186" s="142">
        <f>SUM(CL186:CN186)</f>
      </c>
      <c r="CL186" s="143"/>
      <c r="CM186" s="143"/>
      <c r="CN186" s="143"/>
      <c r="CO186" s="142">
        <f>SUM(CP186:CT186)</f>
      </c>
      <c r="CP186" s="143"/>
      <c r="CQ186" s="143"/>
      <c r="CR186" s="143"/>
      <c r="CS186" s="143"/>
      <c r="CT186" s="143"/>
      <c r="CU186" s="142"/>
      <c r="CV186" s="143"/>
      <c r="CW186" s="143"/>
      <c r="CX186" s="143"/>
      <c r="CY186" s="142"/>
      <c r="CZ186" s="143"/>
      <c r="DA186" s="143"/>
      <c r="DB186" s="143"/>
      <c r="DC186" s="143"/>
      <c r="DD186" s="143"/>
      <c r="DE186" s="143"/>
      <c r="DF186" s="143"/>
      <c r="DG186" s="142">
        <f>SUM(DH186:DH186)</f>
      </c>
      <c r="DH186" s="143"/>
      <c r="DI186" s="142"/>
      <c r="DJ186" s="143"/>
      <c r="DK186" s="142">
        <f>SUM(DL186:DQ186)</f>
      </c>
      <c r="DL186" s="143"/>
      <c r="DM186" s="143"/>
      <c r="DN186" s="143"/>
      <c r="DO186" s="143"/>
      <c r="DP186" s="143"/>
      <c r="DQ186" s="143"/>
      <c r="DR186" s="143"/>
      <c r="DS186" s="143"/>
      <c r="DT186" s="143"/>
      <c r="DU186" s="143"/>
      <c r="DV186" s="143"/>
      <c r="DW186" s="143"/>
      <c r="DX186" s="142"/>
      <c r="DY186" s="143"/>
      <c r="DZ186" s="142"/>
      <c r="EA186" s="143"/>
      <c r="EB186" s="143"/>
      <c r="EC186" s="142"/>
      <c r="ED186" s="143"/>
      <c r="EF186" s="143"/>
      <c r="EG186" s="142">
        <f>SUM(EH186:EQ186)</f>
      </c>
      <c r="EH186" s="143"/>
      <c r="EI186" s="143"/>
      <c r="EJ186" s="143"/>
      <c r="EK186" s="143"/>
      <c r="EL186" s="143"/>
      <c r="EM186" s="143"/>
      <c r="EN186" s="143"/>
      <c r="EO186" s="143"/>
      <c r="EP186" s="143"/>
      <c r="EQ186" s="143"/>
      <c r="ER186" s="142">
        <f>SUM(ES186:ET186)</f>
      </c>
      <c r="ES186" s="143"/>
      <c r="ET186" s="143"/>
      <c r="EU186" s="144"/>
      <c r="FB186" s="146"/>
      <c r="FC186" s="146" cm="1">
        <f t="array" ref="FC186">ROW()-ROW(New[#Headers])</f>
        <v>180</v>
      </c>
    </row>
    <row r="187" spans="2:159" s="139" customFormat="1" ht="10.5" x14ac:dyDescent="0.2">
      <c r="B187" s="133"/>
      <c r="C187" s="4211" t="s">
        <v>616</v>
      </c>
      <c r="D187" t="s" s="4212">
        <v>617</v>
      </c>
      <c r="E187" s="4213" t="s">
        <v>23</v>
      </c>
      <c r="F187" t="s" s="4214">
        <v>933</v>
      </c>
      <c r="G187" t="s" s="4215">
        <v>1597</v>
      </c>
      <c r="H187" s="4216" t="s">
        <v>51</v>
      </c>
      <c r="I187" t="s" s="4217">
        <v>43</v>
      </c>
      <c r="J187" t="s" s="4218">
        <v>64</v>
      </c>
      <c r="K187" t="s" s="4219">
        <v>1639</v>
      </c>
      <c r="L187" t="s" s="4220">
        <v>305</v>
      </c>
      <c r="M187" t="s" s="4221">
        <v>305</v>
      </c>
      <c r="N187" s="4222" t="s">
        <v>3873</v>
      </c>
      <c r="O187" s="4223" t="s">
        <v>3871</v>
      </c>
      <c r="P187" s="141"/>
      <c r="Q187" s="142">
        <f>SUM(R187:AQ187)</f>
      </c>
      <c r="R187" s="143"/>
      <c r="S187" s="143"/>
      <c r="T187" s="143"/>
      <c r="U187" s="143"/>
      <c r="V187" s="143"/>
      <c r="W187" s="143"/>
      <c r="X187" s="143"/>
      <c r="Y187" s="143"/>
      <c r="Z187" s="143"/>
      <c r="AA187" s="143"/>
      <c r="AB187" s="143"/>
      <c r="AC187" s="143"/>
      <c r="AD187" s="143"/>
      <c r="AE187" s="143"/>
      <c r="AF187" s="4224" t="n">
        <v>380.0</v>
      </c>
      <c r="AG187" s="143"/>
      <c r="AH187" s="143"/>
      <c r="AI187" s="143"/>
      <c r="AJ187" s="143"/>
      <c r="AK187" s="143"/>
      <c r="AL187" s="143"/>
      <c r="AM187" s="143"/>
      <c r="AN187" s="143"/>
      <c r="AO187" s="143"/>
      <c r="AP187" s="143"/>
      <c r="AQ187" s="143"/>
      <c r="AR187" s="142">
        <f>SUM(AS187:AV187)</f>
      </c>
      <c r="AS187" s="143"/>
      <c r="AT187" s="143"/>
      <c r="AU187" s="143"/>
      <c r="AV187" s="143"/>
      <c r="AW187" s="142">
        <f>SUM(AX187:BI187)</f>
      </c>
      <c r="AX187" s="143"/>
      <c r="AY187" s="143"/>
      <c r="AZ187" s="143"/>
      <c r="BA187" s="143"/>
      <c r="BB187" s="143"/>
      <c r="BC187" s="143"/>
      <c r="BD187" s="143"/>
      <c r="BE187" s="143"/>
      <c r="BF187" s="143"/>
      <c r="BG187" s="143"/>
      <c r="BH187" s="143"/>
      <c r="BI187" s="143"/>
      <c r="BJ187" s="142"/>
      <c r="BK187" s="143"/>
      <c r="BL187" s="143"/>
      <c r="BM187" s="143"/>
      <c r="BN187" s="143"/>
      <c r="BO187" s="143"/>
      <c r="BP187" s="143"/>
      <c r="BQ187" s="142"/>
      <c r="BR187" s="143"/>
      <c r="BS187" s="143"/>
      <c r="BT187" s="142">
        <f>SUM(BU187:BW187)</f>
      </c>
      <c r="BU187" s="143"/>
      <c r="BV187" s="143"/>
      <c r="BW187" s="143"/>
      <c r="BX187" s="142">
        <f>SUM(BY187:CD187)</f>
      </c>
      <c r="BY187" s="143"/>
      <c r="BZ187" s="143"/>
      <c r="CA187" s="143"/>
      <c r="CB187" s="143"/>
      <c r="CC187" s="143"/>
      <c r="CD187" s="143"/>
      <c r="CE187" s="142"/>
      <c r="CF187" s="143"/>
      <c r="CG187" s="143"/>
      <c r="CH187" s="143"/>
      <c r="CI187" s="143"/>
      <c r="CJ187" s="143"/>
      <c r="CK187" s="142">
        <f>SUM(CL187:CN187)</f>
      </c>
      <c r="CL187" s="143"/>
      <c r="CM187" s="143"/>
      <c r="CN187" s="143"/>
      <c r="CO187" s="142">
        <f>SUM(CP187:CT187)</f>
      </c>
      <c r="CP187" s="143"/>
      <c r="CQ187" s="143"/>
      <c r="CR187" s="143"/>
      <c r="CS187" s="143"/>
      <c r="CT187" s="143"/>
      <c r="CU187" s="142"/>
      <c r="CV187" s="143"/>
      <c r="CW187" s="143"/>
      <c r="CX187" s="143"/>
      <c r="CY187" s="142"/>
      <c r="CZ187" s="143"/>
      <c r="DA187" s="143"/>
      <c r="DB187" s="143"/>
      <c r="DC187" s="143"/>
      <c r="DD187" s="143"/>
      <c r="DE187" s="143"/>
      <c r="DF187" s="143"/>
      <c r="DG187" s="142">
        <f>SUM(DH187:DH187)</f>
      </c>
      <c r="DH187" s="143"/>
      <c r="DI187" s="142"/>
      <c r="DJ187" s="143"/>
      <c r="DK187" s="142">
        <f>SUM(DL187:DQ187)</f>
      </c>
      <c r="DL187" s="143"/>
      <c r="DM187" s="143"/>
      <c r="DN187" s="143"/>
      <c r="DO187" s="143"/>
      <c r="DP187" s="143"/>
      <c r="DQ187" s="143"/>
      <c r="DR187" s="143"/>
      <c r="DS187" s="143"/>
      <c r="DT187" s="143"/>
      <c r="DU187" s="143"/>
      <c r="DV187" s="143"/>
      <c r="DW187" s="143"/>
      <c r="DX187" s="142"/>
      <c r="DY187" s="143"/>
      <c r="DZ187" s="142"/>
      <c r="EA187" s="143"/>
      <c r="EB187" s="143"/>
      <c r="EC187" s="142"/>
      <c r="ED187" s="143"/>
      <c r="EF187" s="143"/>
      <c r="EG187" s="142">
        <f>SUM(EH187:EQ187)</f>
      </c>
      <c r="EH187" s="143"/>
      <c r="EI187" s="143"/>
      <c r="EJ187" s="143"/>
      <c r="EK187" s="143"/>
      <c r="EL187" s="143"/>
      <c r="EM187" s="143"/>
      <c r="EN187" s="143"/>
      <c r="EO187" s="143"/>
      <c r="EP187" s="143"/>
      <c r="EQ187" s="143"/>
      <c r="ER187" s="142">
        <f>SUM(ES187:ET187)</f>
      </c>
      <c r="ES187" s="143"/>
      <c r="ET187" s="143"/>
      <c r="EU187" s="144"/>
      <c r="FB187" s="146"/>
      <c r="FC187" s="146" cm="1">
        <f t="array" ref="FC187">ROW()-ROW(New[#Headers])</f>
        <v>181</v>
      </c>
    </row>
    <row r="188" spans="2:159" s="139" customFormat="1" ht="10.5" x14ac:dyDescent="0.2">
      <c r="B188" s="133"/>
      <c r="C188" s="4225" t="s">
        <v>1629</v>
      </c>
      <c r="D188" t="s" s="4226">
        <v>365</v>
      </c>
      <c r="E188" s="4227" t="s">
        <v>305</v>
      </c>
      <c r="F188" t="s" s="4228">
        <v>305</v>
      </c>
      <c r="G188" t="s" s="4229">
        <v>1597</v>
      </c>
      <c r="H188" s="4230" t="s">
        <v>305</v>
      </c>
      <c r="I188" t="s" s="4231">
        <v>41</v>
      </c>
      <c r="J188" t="s" s="4232">
        <v>68</v>
      </c>
      <c r="K188" t="s" s="4233">
        <v>771</v>
      </c>
      <c r="L188" t="s" s="4234">
        <v>305</v>
      </c>
      <c r="M188" t="s" s="4235">
        <v>305</v>
      </c>
      <c r="N188" s="4236" t="s">
        <v>3867</v>
      </c>
      <c r="O188" s="4237" t="s">
        <v>3868</v>
      </c>
      <c r="P188" s="141"/>
      <c r="Q188" s="142">
        <f>SUM(R188:AQ188)</f>
      </c>
      <c r="R188" s="143"/>
      <c r="S188" s="143"/>
      <c r="T188" s="143"/>
      <c r="U188" s="143"/>
      <c r="V188" s="143"/>
      <c r="W188" s="143"/>
      <c r="X188" s="143"/>
      <c r="Y188" s="143"/>
      <c r="Z188" s="143"/>
      <c r="AA188" s="143"/>
      <c r="AB188" s="143"/>
      <c r="AC188" s="143"/>
      <c r="AD188" s="143"/>
      <c r="AE188" s="143"/>
      <c r="AF188" s="143"/>
      <c r="AG188" s="143"/>
      <c r="AH188" s="143"/>
      <c r="AI188" s="143"/>
      <c r="AJ188" s="143"/>
      <c r="AK188" s="143"/>
      <c r="AL188" s="143"/>
      <c r="AM188" s="143"/>
      <c r="AN188" s="143"/>
      <c r="AO188" s="143"/>
      <c r="AP188" s="143"/>
      <c r="AQ188" s="143"/>
      <c r="AR188" s="142">
        <f>SUM(AS188:AV188)</f>
      </c>
      <c r="AS188" s="143"/>
      <c r="AT188" s="143"/>
      <c r="AU188" s="143"/>
      <c r="AV188" s="143"/>
      <c r="AW188" s="142">
        <f>SUM(AX188:BI188)</f>
      </c>
      <c r="AX188" s="143"/>
      <c r="AY188" s="143"/>
      <c r="AZ188" s="143"/>
      <c r="BA188" s="143"/>
      <c r="BB188" s="143"/>
      <c r="BC188" s="143"/>
      <c r="BD188" s="143"/>
      <c r="BE188" s="143"/>
      <c r="BF188" s="143"/>
      <c r="BG188" s="143"/>
      <c r="BH188" s="143"/>
      <c r="BI188" s="143"/>
      <c r="BJ188" s="142"/>
      <c r="BK188" s="143"/>
      <c r="BL188" s="143"/>
      <c r="BM188" s="143"/>
      <c r="BN188" s="143"/>
      <c r="BO188" s="143"/>
      <c r="BP188" s="143"/>
      <c r="BQ188" s="142"/>
      <c r="BR188" s="143"/>
      <c r="BS188" s="143"/>
      <c r="BT188" s="142">
        <f>SUM(BU188:BW188)</f>
      </c>
      <c r="BU188" s="143"/>
      <c r="BV188" s="143"/>
      <c r="BW188" s="143"/>
      <c r="BX188" s="142">
        <f>SUM(BY188:CD188)</f>
      </c>
      <c r="BY188" s="143"/>
      <c r="BZ188" s="143"/>
      <c r="CA188" s="143"/>
      <c r="CB188" s="143"/>
      <c r="CC188" s="143"/>
      <c r="CD188" s="143"/>
      <c r="CE188" s="142"/>
      <c r="CF188" s="143"/>
      <c r="CG188" s="143"/>
      <c r="CH188" s="143"/>
      <c r="CI188" s="143"/>
      <c r="CJ188" s="143"/>
      <c r="CK188" s="142">
        <f>SUM(CL188:CN188)</f>
      </c>
      <c r="CL188" s="143"/>
      <c r="CM188" s="143"/>
      <c r="CN188" s="143"/>
      <c r="CO188" s="142">
        <f>SUM(CP188:CT188)</f>
      </c>
      <c r="CP188" s="143"/>
      <c r="CQ188" s="143"/>
      <c r="CR188" s="143"/>
      <c r="CS188" s="143"/>
      <c r="CT188" s="143"/>
      <c r="CU188" s="142"/>
      <c r="CV188" s="143"/>
      <c r="CW188" s="143"/>
      <c r="CX188" s="143"/>
      <c r="CY188" s="142"/>
      <c r="CZ188" s="143"/>
      <c r="DA188" s="143"/>
      <c r="DB188" s="143"/>
      <c r="DC188" s="143"/>
      <c r="DD188" s="143"/>
      <c r="DE188" s="143"/>
      <c r="DF188" s="143"/>
      <c r="DG188" s="142">
        <f>SUM(DH188:DH188)</f>
      </c>
      <c r="DH188" s="143"/>
      <c r="DI188" s="142"/>
      <c r="DJ188" s="143"/>
      <c r="DK188" s="142">
        <f>SUM(DL188:DQ188)</f>
      </c>
      <c r="DL188" s="143"/>
      <c r="DM188" s="143"/>
      <c r="DN188" s="143"/>
      <c r="DO188" s="143"/>
      <c r="DP188" s="143"/>
      <c r="DQ188" s="143"/>
      <c r="DR188" s="143"/>
      <c r="DS188" s="143"/>
      <c r="DT188" s="143"/>
      <c r="DU188" s="143"/>
      <c r="DV188" s="143"/>
      <c r="DW188" s="143"/>
      <c r="DX188" s="142"/>
      <c r="DY188" s="143"/>
      <c r="DZ188" s="142"/>
      <c r="EA188" s="143"/>
      <c r="EB188" s="143"/>
      <c r="EC188" s="142"/>
      <c r="ED188" s="143"/>
      <c r="EF188" s="143"/>
      <c r="EG188" s="142">
        <f>SUM(EH188:EQ188)</f>
      </c>
      <c r="EH188" s="143"/>
      <c r="EI188" s="143"/>
      <c r="EJ188" s="143"/>
      <c r="EK188" s="143"/>
      <c r="EL188" s="143"/>
      <c r="EM188" s="143"/>
      <c r="EN188" s="143"/>
      <c r="EO188" s="143"/>
      <c r="EP188" s="143"/>
      <c r="EQ188" s="143"/>
      <c r="ER188" s="142">
        <f>SUM(ES188:ET188)</f>
      </c>
      <c r="ES188" s="143"/>
      <c r="ET188" s="143"/>
      <c r="EU188" s="144"/>
      <c r="FB188" s="146"/>
      <c r="FC188" s="146" cm="1">
        <f t="array" ref="FC188">ROW()-ROW(New[#Headers])</f>
        <v>182</v>
      </c>
    </row>
    <row r="189" spans="2:159" s="139" customFormat="1" ht="10.5" x14ac:dyDescent="0.2">
      <c r="B189" s="133"/>
      <c r="C189" s="4238" t="s">
        <v>3884</v>
      </c>
      <c r="D189" t="s" s="4239">
        <v>3836</v>
      </c>
      <c r="E189" s="4240" t="s">
        <v>35</v>
      </c>
      <c r="F189" t="s" s="4241">
        <v>750</v>
      </c>
      <c r="G189" t="s" s="4242">
        <v>1597</v>
      </c>
      <c r="H189" s="4243" t="s">
        <v>46</v>
      </c>
      <c r="I189" t="s" s="4244">
        <v>41</v>
      </c>
      <c r="J189" t="s" s="4245">
        <v>64</v>
      </c>
      <c r="K189" t="s" s="4246">
        <v>1609</v>
      </c>
      <c r="L189" t="s" s="4247">
        <v>767</v>
      </c>
      <c r="M189" t="s" s="4248">
        <v>1392</v>
      </c>
      <c r="N189" s="4249" t="s">
        <v>3867</v>
      </c>
      <c r="O189" s="4250" t="s">
        <v>3868</v>
      </c>
      <c r="P189" s="141"/>
      <c r="Q189" s="142">
        <f>SUM(R189:AQ189)</f>
      </c>
      <c r="R189" s="143"/>
      <c r="S189" s="143"/>
      <c r="T189" s="143"/>
      <c r="U189" s="143"/>
      <c r="V189" s="143"/>
      <c r="W189" s="143"/>
      <c r="X189" s="143"/>
      <c r="Y189" s="143"/>
      <c r="Z189" s="143"/>
      <c r="AA189" s="143"/>
      <c r="AB189" s="143"/>
      <c r="AC189" s="143"/>
      <c r="AD189" s="143"/>
      <c r="AE189" s="143"/>
      <c r="AF189" s="143"/>
      <c r="AG189" s="143"/>
      <c r="AH189" s="143"/>
      <c r="AI189" s="143"/>
      <c r="AJ189" s="143"/>
      <c r="AK189" s="143"/>
      <c r="AL189" s="143"/>
      <c r="AM189" s="143"/>
      <c r="AN189" s="143"/>
      <c r="AO189" s="143"/>
      <c r="AP189" s="143"/>
      <c r="AQ189" s="143"/>
      <c r="AR189" s="142">
        <f>SUM(AS189:AV189)</f>
      </c>
      <c r="AS189" s="143"/>
      <c r="AT189" s="143"/>
      <c r="AU189" s="143"/>
      <c r="AV189" s="143"/>
      <c r="AW189" s="142">
        <f>SUM(AX189:BI189)</f>
      </c>
      <c r="AX189" s="143"/>
      <c r="AY189" s="143"/>
      <c r="AZ189" s="143"/>
      <c r="BA189" s="143"/>
      <c r="BB189" s="143"/>
      <c r="BC189" s="143"/>
      <c r="BD189" s="143"/>
      <c r="BE189" s="143"/>
      <c r="BF189" s="143"/>
      <c r="BG189" s="143"/>
      <c r="BH189" s="143"/>
      <c r="BI189" s="143"/>
      <c r="BJ189" s="142"/>
      <c r="BK189" s="143"/>
      <c r="BL189" s="143"/>
      <c r="BM189" s="143"/>
      <c r="BN189" s="143"/>
      <c r="BO189" s="143"/>
      <c r="BP189" s="143"/>
      <c r="BQ189" s="142"/>
      <c r="BR189" s="143"/>
      <c r="BS189" s="143"/>
      <c r="BT189" s="142">
        <f>SUM(BU189:BW189)</f>
      </c>
      <c r="BU189" s="143"/>
      <c r="BV189" s="143"/>
      <c r="BW189" s="143"/>
      <c r="BX189" s="142">
        <f>SUM(BY189:CD189)</f>
      </c>
      <c r="BY189" s="143"/>
      <c r="BZ189" s="143"/>
      <c r="CA189" s="143"/>
      <c r="CB189" s="143"/>
      <c r="CC189" s="143"/>
      <c r="CD189" s="143"/>
      <c r="CE189" s="142"/>
      <c r="CF189" s="143"/>
      <c r="CG189" s="143"/>
      <c r="CH189" s="143"/>
      <c r="CI189" s="143"/>
      <c r="CJ189" s="143"/>
      <c r="CK189" s="142">
        <f>SUM(CL189:CN189)</f>
      </c>
      <c r="CL189" s="143"/>
      <c r="CM189" s="143"/>
      <c r="CN189" s="143"/>
      <c r="CO189" s="142">
        <f>SUM(CP189:CT189)</f>
      </c>
      <c r="CP189" s="143"/>
      <c r="CQ189" s="143"/>
      <c r="CR189" s="143"/>
      <c r="CS189" s="143"/>
      <c r="CT189" s="143"/>
      <c r="CU189" s="142"/>
      <c r="CV189" s="143"/>
      <c r="CW189" s="143"/>
      <c r="CX189" s="143"/>
      <c r="CY189" s="142"/>
      <c r="CZ189" s="143"/>
      <c r="DA189" s="143"/>
      <c r="DB189" s="143"/>
      <c r="DC189" s="143"/>
      <c r="DD189" s="143"/>
      <c r="DE189" s="143"/>
      <c r="DF189" s="143"/>
      <c r="DG189" s="142">
        <f>SUM(DH189:DH189)</f>
      </c>
      <c r="DH189" s="143"/>
      <c r="DI189" s="142"/>
      <c r="DJ189" s="143"/>
      <c r="DK189" s="142">
        <f>SUM(DL189:DQ189)</f>
      </c>
      <c r="DL189" s="143"/>
      <c r="DM189" s="143"/>
      <c r="DN189" s="143"/>
      <c r="DO189" s="143"/>
      <c r="DP189" s="143"/>
      <c r="DQ189" s="143"/>
      <c r="DR189" s="143"/>
      <c r="DS189" s="143"/>
      <c r="DT189" s="143"/>
      <c r="DU189" s="143"/>
      <c r="DV189" s="143"/>
      <c r="DW189" s="143"/>
      <c r="DX189" s="142"/>
      <c r="DY189" s="143"/>
      <c r="DZ189" s="142"/>
      <c r="EA189" s="143"/>
      <c r="EB189" s="143"/>
      <c r="EC189" s="142"/>
      <c r="ED189" s="143"/>
      <c r="EF189" s="143"/>
      <c r="EG189" s="142">
        <f>SUM(EH189:EQ189)</f>
      </c>
      <c r="EH189" s="143"/>
      <c r="EI189" s="143"/>
      <c r="EJ189" s="143"/>
      <c r="EK189" s="143"/>
      <c r="EL189" s="143"/>
      <c r="EM189" s="143"/>
      <c r="EN189" s="143"/>
      <c r="EO189" s="143"/>
      <c r="EP189" s="143"/>
      <c r="EQ189" s="143"/>
      <c r="ER189" s="142">
        <f>SUM(ES189:ET189)</f>
      </c>
      <c r="ES189" s="143"/>
      <c r="ET189" s="143"/>
      <c r="EU189" s="144"/>
      <c r="FB189" s="146"/>
      <c r="FC189" s="146" cm="1">
        <f t="array" ref="FC189">ROW()-ROW(New[#Headers])</f>
        <v>183</v>
      </c>
    </row>
    <row r="190" spans="2:159" s="139" customFormat="1" ht="10.5" x14ac:dyDescent="0.2">
      <c r="B190" s="133"/>
      <c r="C190" s="4251" t="s">
        <v>524</v>
      </c>
      <c r="D190" t="s" s="4252">
        <v>525</v>
      </c>
      <c r="E190" s="4253" t="s">
        <v>13</v>
      </c>
      <c r="F190" t="s" s="4254">
        <v>1618</v>
      </c>
      <c r="G190" t="s" s="4255">
        <v>1597</v>
      </c>
      <c r="H190" s="4256" t="s">
        <v>46</v>
      </c>
      <c r="I190" t="s" s="4257">
        <v>22</v>
      </c>
      <c r="J190" t="s" s="4258">
        <v>64</v>
      </c>
      <c r="K190" t="s" s="4259">
        <v>839</v>
      </c>
      <c r="L190" t="s" s="4260">
        <v>767</v>
      </c>
      <c r="M190" t="s" s="4261">
        <v>305</v>
      </c>
      <c r="N190" s="4262" t="s">
        <v>3873</v>
      </c>
      <c r="O190" s="4263" t="s">
        <v>3871</v>
      </c>
      <c r="P190" s="141"/>
      <c r="Q190" s="142">
        <f>SUM(R190:AQ190)</f>
      </c>
      <c r="R190" s="143"/>
      <c r="S190" s="143"/>
      <c r="T190" s="143"/>
      <c r="U190" s="143"/>
      <c r="V190" s="143"/>
      <c r="W190" s="143"/>
      <c r="X190" s="143"/>
      <c r="Y190" s="143"/>
      <c r="Z190" s="143"/>
      <c r="AA190" s="143"/>
      <c r="AB190" s="143"/>
      <c r="AC190" s="143"/>
      <c r="AD190" s="143"/>
      <c r="AE190" s="143"/>
      <c r="AF190" s="143"/>
      <c r="AG190" s="143"/>
      <c r="AH190" s="143"/>
      <c r="AI190" s="143"/>
      <c r="AJ190" s="143"/>
      <c r="AK190" s="4264" t="n">
        <v>120.0</v>
      </c>
      <c r="AL190" s="4265" t="n">
        <v>70.0</v>
      </c>
      <c r="AM190" s="143"/>
      <c r="AN190" s="143"/>
      <c r="AO190" s="143"/>
      <c r="AP190" s="143"/>
      <c r="AQ190" s="143"/>
      <c r="AR190" s="142">
        <f>SUM(AS190:AV190)</f>
      </c>
      <c r="AS190" s="143"/>
      <c r="AT190" s="143"/>
      <c r="AU190" s="143"/>
      <c r="AV190" s="143"/>
      <c r="AW190" s="142">
        <f>SUM(AX190:BI190)</f>
      </c>
      <c r="AX190" s="143"/>
      <c r="AY190" s="143"/>
      <c r="AZ190" s="143"/>
      <c r="BA190" s="143"/>
      <c r="BB190" s="143"/>
      <c r="BC190" s="143"/>
      <c r="BD190" s="143"/>
      <c r="BE190" s="143"/>
      <c r="BF190" s="143"/>
      <c r="BG190" s="143"/>
      <c r="BH190" s="143"/>
      <c r="BI190" s="143"/>
      <c r="BJ190" s="142"/>
      <c r="BK190" s="143"/>
      <c r="BL190" s="143"/>
      <c r="BM190" s="143"/>
      <c r="BN190" s="143"/>
      <c r="BO190" s="143"/>
      <c r="BP190" s="143"/>
      <c r="BQ190" s="142"/>
      <c r="BR190" s="143"/>
      <c r="BS190" s="143"/>
      <c r="BT190" s="142">
        <f>SUM(BU190:BW190)</f>
      </c>
      <c r="BU190" s="143"/>
      <c r="BV190" s="143"/>
      <c r="BW190" s="143"/>
      <c r="BX190" s="142">
        <f>SUM(BY190:CD190)</f>
      </c>
      <c r="BY190" s="143"/>
      <c r="BZ190" s="143"/>
      <c r="CA190" s="143"/>
      <c r="CB190" s="143"/>
      <c r="CC190" s="143"/>
      <c r="CD190" s="143"/>
      <c r="CE190" s="142"/>
      <c r="CF190" s="143"/>
      <c r="CG190" s="143"/>
      <c r="CH190" s="143"/>
      <c r="CI190" s="143"/>
      <c r="CJ190" s="143"/>
      <c r="CK190" s="142">
        <f>SUM(CL190:CN190)</f>
      </c>
      <c r="CL190" s="143"/>
      <c r="CM190" s="143"/>
      <c r="CN190" s="143"/>
      <c r="CO190" s="142">
        <f>SUM(CP190:CT190)</f>
      </c>
      <c r="CP190" s="143"/>
      <c r="CQ190" s="143"/>
      <c r="CR190" s="143"/>
      <c r="CS190" s="143"/>
      <c r="CT190" s="143"/>
      <c r="CU190" s="142"/>
      <c r="CV190" s="143"/>
      <c r="CW190" s="143"/>
      <c r="CX190" s="143"/>
      <c r="CY190" s="142"/>
      <c r="CZ190" s="143"/>
      <c r="DA190" s="143"/>
      <c r="DB190" s="143"/>
      <c r="DC190" s="143"/>
      <c r="DD190" s="143"/>
      <c r="DE190" s="143"/>
      <c r="DF190" s="143"/>
      <c r="DG190" s="142">
        <f>SUM(DH190:DH190)</f>
      </c>
      <c r="DH190" s="4266" t="n">
        <v>50.0</v>
      </c>
      <c r="DI190" s="142"/>
      <c r="DJ190" s="143"/>
      <c r="DK190" s="142">
        <f>SUM(DL190:DQ190)</f>
      </c>
      <c r="DL190" s="143"/>
      <c r="DM190" s="143"/>
      <c r="DN190" s="143"/>
      <c r="DO190" s="143"/>
      <c r="DP190" s="143"/>
      <c r="DQ190" s="143"/>
      <c r="DR190" s="143"/>
      <c r="DS190" s="143"/>
      <c r="DT190" s="143"/>
      <c r="DU190" s="143"/>
      <c r="DV190" s="143"/>
      <c r="DW190" s="143"/>
      <c r="DX190" s="142"/>
      <c r="DY190" s="143"/>
      <c r="DZ190" s="142"/>
      <c r="EA190" s="143"/>
      <c r="EB190" s="143"/>
      <c r="EC190" s="142"/>
      <c r="ED190" s="143"/>
      <c r="EF190" s="143"/>
      <c r="EG190" s="142">
        <f>SUM(EH190:EQ190)</f>
      </c>
      <c r="EH190" s="143"/>
      <c r="EI190" s="143"/>
      <c r="EJ190" s="143"/>
      <c r="EK190" s="143"/>
      <c r="EL190" s="143"/>
      <c r="EM190" s="143"/>
      <c r="EN190" s="143"/>
      <c r="EO190" s="143"/>
      <c r="EP190" s="143"/>
      <c r="EQ190" s="143"/>
      <c r="ER190" s="142">
        <f>SUM(ES190:ET190)</f>
      </c>
      <c r="ES190" s="143"/>
      <c r="ET190" s="143"/>
      <c r="EU190" s="144"/>
      <c r="FB190" s="146"/>
      <c r="FC190" s="146" cm="1">
        <f t="array" ref="FC190">ROW()-ROW(New[#Headers])</f>
        <v>184</v>
      </c>
    </row>
    <row r="191" spans="2:159" s="139" customFormat="1" ht="10.5" x14ac:dyDescent="0.2">
      <c r="B191" s="133"/>
      <c r="C191" s="4267" t="s">
        <v>3885</v>
      </c>
      <c r="D191" t="s" s="4268">
        <v>366</v>
      </c>
      <c r="E191" s="4269" t="s">
        <v>305</v>
      </c>
      <c r="F191" t="s" s="4270">
        <v>305</v>
      </c>
      <c r="G191" t="s" s="4271">
        <v>1597</v>
      </c>
      <c r="H191" s="4272" t="s">
        <v>53</v>
      </c>
      <c r="I191" t="s" s="4273">
        <v>41</v>
      </c>
      <c r="J191" t="s" s="4274">
        <v>68</v>
      </c>
      <c r="K191" t="s" s="4275">
        <v>771</v>
      </c>
      <c r="L191" t="s" s="4276">
        <v>305</v>
      </c>
      <c r="M191" t="s" s="4277">
        <v>305</v>
      </c>
      <c r="N191" s="4278" t="s">
        <v>3867</v>
      </c>
      <c r="O191" s="4279" t="s">
        <v>3868</v>
      </c>
      <c r="P191" s="141"/>
      <c r="Q191" s="142">
        <f>SUM(R191:AQ191)</f>
      </c>
      <c r="R191" s="143"/>
      <c r="S191" s="143"/>
      <c r="T191" s="143"/>
      <c r="U191" s="143"/>
      <c r="V191" s="143"/>
      <c r="W191" s="143"/>
      <c r="X191" s="143"/>
      <c r="Y191" s="143"/>
      <c r="Z191" s="143"/>
      <c r="AA191" s="143"/>
      <c r="AB191" s="143"/>
      <c r="AC191" s="143"/>
      <c r="AD191" s="143"/>
      <c r="AE191" s="143"/>
      <c r="AF191" s="143"/>
      <c r="AG191" s="143"/>
      <c r="AH191" s="143"/>
      <c r="AI191" s="143"/>
      <c r="AJ191" s="143"/>
      <c r="AK191" s="143"/>
      <c r="AL191" s="143"/>
      <c r="AM191" s="143"/>
      <c r="AN191" s="143"/>
      <c r="AO191" s="143"/>
      <c r="AP191" s="143"/>
      <c r="AQ191" s="143"/>
      <c r="AR191" s="142">
        <f>SUM(AS191:AV191)</f>
      </c>
      <c r="AS191" s="143"/>
      <c r="AT191" s="143"/>
      <c r="AU191" s="143"/>
      <c r="AV191" s="143"/>
      <c r="AW191" s="142">
        <f>SUM(AX191:BI191)</f>
      </c>
      <c r="AX191" s="143"/>
      <c r="AY191" s="143"/>
      <c r="AZ191" s="143"/>
      <c r="BA191" s="143"/>
      <c r="BB191" s="143"/>
      <c r="BC191" s="143"/>
      <c r="BD191" s="143"/>
      <c r="BE191" s="143"/>
      <c r="BF191" s="143"/>
      <c r="BG191" s="143"/>
      <c r="BH191" s="143"/>
      <c r="BI191" s="143"/>
      <c r="BJ191" s="142"/>
      <c r="BK191" s="143"/>
      <c r="BL191" s="143"/>
      <c r="BM191" s="143"/>
      <c r="BN191" s="143"/>
      <c r="BO191" s="143"/>
      <c r="BP191" s="143"/>
      <c r="BQ191" s="142"/>
      <c r="BR191" s="143"/>
      <c r="BS191" s="143"/>
      <c r="BT191" s="142">
        <f>SUM(BU191:BW191)</f>
      </c>
      <c r="BU191" s="143"/>
      <c r="BV191" s="143"/>
      <c r="BW191" s="143"/>
      <c r="BX191" s="142">
        <f>SUM(BY191:CD191)</f>
      </c>
      <c r="BY191" s="143"/>
      <c r="BZ191" s="143"/>
      <c r="CA191" s="143"/>
      <c r="CB191" s="143"/>
      <c r="CC191" s="143"/>
      <c r="CD191" s="143"/>
      <c r="CE191" s="142"/>
      <c r="CF191" s="143"/>
      <c r="CG191" s="143"/>
      <c r="CH191" s="143"/>
      <c r="CI191" s="143"/>
      <c r="CJ191" s="143"/>
      <c r="CK191" s="142">
        <f>SUM(CL191:CN191)</f>
      </c>
      <c r="CL191" s="143"/>
      <c r="CM191" s="143"/>
      <c r="CN191" s="143"/>
      <c r="CO191" s="142">
        <f>SUM(CP191:CT191)</f>
      </c>
      <c r="CP191" s="143"/>
      <c r="CQ191" s="143"/>
      <c r="CR191" s="143"/>
      <c r="CS191" s="143"/>
      <c r="CT191" s="143"/>
      <c r="CU191" s="142"/>
      <c r="CV191" s="143"/>
      <c r="CW191" s="143"/>
      <c r="CX191" s="143"/>
      <c r="CY191" s="142"/>
      <c r="CZ191" s="143"/>
      <c r="DA191" s="143"/>
      <c r="DB191" s="143"/>
      <c r="DC191" s="143"/>
      <c r="DD191" s="143"/>
      <c r="DE191" s="143"/>
      <c r="DF191" s="143"/>
      <c r="DG191" s="142">
        <f>SUM(DH191:DH191)</f>
      </c>
      <c r="DH191" s="143"/>
      <c r="DI191" s="142"/>
      <c r="DJ191" s="143"/>
      <c r="DK191" s="142">
        <f>SUM(DL191:DQ191)</f>
      </c>
      <c r="DL191" s="143"/>
      <c r="DM191" s="143"/>
      <c r="DN191" s="143"/>
      <c r="DO191" s="143"/>
      <c r="DP191" s="143"/>
      <c r="DQ191" s="143"/>
      <c r="DR191" s="143"/>
      <c r="DS191" s="143"/>
      <c r="DT191" s="143"/>
      <c r="DU191" s="143"/>
      <c r="DV191" s="143"/>
      <c r="DW191" s="143"/>
      <c r="DX191" s="142"/>
      <c r="DY191" s="143"/>
      <c r="DZ191" s="142"/>
      <c r="EA191" s="143"/>
      <c r="EB191" s="143"/>
      <c r="EC191" s="142"/>
      <c r="ED191" s="143"/>
      <c r="EF191" s="143"/>
      <c r="EG191" s="142">
        <f>SUM(EH191:EQ191)</f>
      </c>
      <c r="EH191" s="143"/>
      <c r="EI191" s="143"/>
      <c r="EJ191" s="143"/>
      <c r="EK191" s="143"/>
      <c r="EL191" s="143"/>
      <c r="EM191" s="143"/>
      <c r="EN191" s="143"/>
      <c r="EO191" s="143"/>
      <c r="EP191" s="143"/>
      <c r="EQ191" s="143"/>
      <c r="ER191" s="142">
        <f>SUM(ES191:ET191)</f>
      </c>
      <c r="ES191" s="143"/>
      <c r="ET191" s="143"/>
      <c r="EU191" s="144"/>
      <c r="FB191" s="146"/>
      <c r="FC191" s="146" cm="1">
        <f t="array" ref="FC191">ROW()-ROW(New[#Headers])</f>
        <v>185</v>
      </c>
    </row>
    <row r="192" spans="2:159" s="139" customFormat="1" ht="10.5" x14ac:dyDescent="0.2">
      <c r="B192" s="133"/>
      <c r="C192" s="4280" t="s">
        <v>649</v>
      </c>
      <c r="D192" t="s" s="4281">
        <v>650</v>
      </c>
      <c r="E192" s="4282" t="s">
        <v>305</v>
      </c>
      <c r="F192" t="s" s="4283">
        <v>1618</v>
      </c>
      <c r="G192" t="s" s="4284">
        <v>305</v>
      </c>
      <c r="H192" s="4285" t="s">
        <v>53</v>
      </c>
      <c r="I192" t="s" s="4286">
        <v>41</v>
      </c>
      <c r="J192" t="s" s="4287">
        <v>64</v>
      </c>
      <c r="K192" t="s" s="4288">
        <v>1701</v>
      </c>
      <c r="L192" t="s" s="4289">
        <v>305</v>
      </c>
      <c r="M192" t="s" s="4290">
        <v>305</v>
      </c>
      <c r="N192" s="4291" t="s">
        <v>3870</v>
      </c>
      <c r="O192" s="4292" t="s">
        <v>3874</v>
      </c>
      <c r="P192" s="141"/>
      <c r="Q192" s="142">
        <f>SUM(R192:AQ192)</f>
      </c>
      <c r="R192" s="143"/>
      <c r="S192" s="143"/>
      <c r="T192" s="143"/>
      <c r="U192" s="143"/>
      <c r="V192" s="143"/>
      <c r="W192" s="143"/>
      <c r="X192" s="143"/>
      <c r="Y192" s="143"/>
      <c r="Z192" s="143"/>
      <c r="AA192" s="143"/>
      <c r="AB192" s="143"/>
      <c r="AC192" s="143"/>
      <c r="AD192" s="143"/>
      <c r="AE192" s="143"/>
      <c r="AF192" s="143"/>
      <c r="AG192" s="143"/>
      <c r="AH192" s="143"/>
      <c r="AI192" s="143"/>
      <c r="AJ192" s="143"/>
      <c r="AK192" s="143"/>
      <c r="AL192" s="4293" t="n">
        <v>200.0</v>
      </c>
      <c r="AM192" s="143"/>
      <c r="AN192" s="143"/>
      <c r="AO192" s="143"/>
      <c r="AP192" s="143"/>
      <c r="AQ192" s="143"/>
      <c r="AR192" s="142">
        <f>SUM(AS192:AV192)</f>
      </c>
      <c r="AS192" s="143"/>
      <c r="AT192" s="143"/>
      <c r="AU192" s="143"/>
      <c r="AV192" s="143"/>
      <c r="AW192" s="142">
        <f>SUM(AX192:BI192)</f>
      </c>
      <c r="AX192" s="143"/>
      <c r="AY192" s="143"/>
      <c r="AZ192" s="143"/>
      <c r="BA192" s="143"/>
      <c r="BB192" s="143"/>
      <c r="BC192" s="143"/>
      <c r="BD192" s="143"/>
      <c r="BE192" s="143"/>
      <c r="BF192" s="143"/>
      <c r="BG192" s="143"/>
      <c r="BH192" s="143"/>
      <c r="BI192" s="143"/>
      <c r="BJ192" s="142"/>
      <c r="BK192" s="143"/>
      <c r="BL192" s="143"/>
      <c r="BM192" s="143"/>
      <c r="BN192" s="143"/>
      <c r="BO192" s="143"/>
      <c r="BP192" s="143"/>
      <c r="BQ192" s="142"/>
      <c r="BR192" s="143"/>
      <c r="BS192" s="143"/>
      <c r="BT192" s="142">
        <f>SUM(BU192:BW192)</f>
      </c>
      <c r="BU192" s="143"/>
      <c r="BV192" s="143"/>
      <c r="BW192" s="143"/>
      <c r="BX192" s="142">
        <f>SUM(BY192:CD192)</f>
      </c>
      <c r="BY192" s="143"/>
      <c r="BZ192" s="143"/>
      <c r="CA192" s="143"/>
      <c r="CB192" s="143"/>
      <c r="CC192" s="143"/>
      <c r="CD192" s="143"/>
      <c r="CE192" s="142"/>
      <c r="CF192" s="143"/>
      <c r="CG192" s="143"/>
      <c r="CH192" s="143"/>
      <c r="CI192" s="143"/>
      <c r="CJ192" s="143"/>
      <c r="CK192" s="142">
        <f>SUM(CL192:CN192)</f>
      </c>
      <c r="CL192" s="143"/>
      <c r="CM192" s="143"/>
      <c r="CN192" s="143"/>
      <c r="CO192" s="142">
        <f>SUM(CP192:CT192)</f>
      </c>
      <c r="CP192" s="143"/>
      <c r="CQ192" s="143"/>
      <c r="CR192" s="143"/>
      <c r="CS192" s="143"/>
      <c r="CT192" s="143"/>
      <c r="CU192" s="142"/>
      <c r="CV192" s="143"/>
      <c r="CW192" s="143"/>
      <c r="CX192" s="143"/>
      <c r="CY192" s="142"/>
      <c r="CZ192" s="143"/>
      <c r="DA192" s="143"/>
      <c r="DB192" s="143"/>
      <c r="DC192" s="143"/>
      <c r="DD192" s="143"/>
      <c r="DE192" s="143"/>
      <c r="DF192" s="143"/>
      <c r="DG192" s="142">
        <f>SUM(DH192:DH192)</f>
      </c>
      <c r="DH192" s="143"/>
      <c r="DI192" s="142"/>
      <c r="DJ192" s="143"/>
      <c r="DK192" s="142">
        <f>SUM(DL192:DQ192)</f>
      </c>
      <c r="DL192" s="143"/>
      <c r="DM192" s="143"/>
      <c r="DN192" s="143"/>
      <c r="DO192" s="143"/>
      <c r="DP192" s="143"/>
      <c r="DQ192" s="143"/>
      <c r="DR192" s="143"/>
      <c r="DS192" s="143"/>
      <c r="DT192" s="143"/>
      <c r="DU192" s="143"/>
      <c r="DV192" s="143"/>
      <c r="DW192" s="143"/>
      <c r="DX192" s="142"/>
      <c r="DY192" s="143"/>
      <c r="DZ192" s="142"/>
      <c r="EA192" s="143"/>
      <c r="EB192" s="143"/>
      <c r="EC192" s="142"/>
      <c r="ED192" s="143"/>
      <c r="EF192" s="143"/>
      <c r="EG192" s="142">
        <f>SUM(EH192:EQ192)</f>
      </c>
      <c r="EH192" s="143"/>
      <c r="EI192" s="143"/>
      <c r="EJ192" s="143"/>
      <c r="EK192" s="143"/>
      <c r="EL192" s="143"/>
      <c r="EM192" s="143"/>
      <c r="EN192" s="143"/>
      <c r="EO192" s="143"/>
      <c r="EP192" s="143"/>
      <c r="EQ192" s="143"/>
      <c r="ER192" s="142">
        <f>SUM(ES192:ET192)</f>
      </c>
      <c r="ES192" s="143"/>
      <c r="ET192" s="143"/>
      <c r="EU192" s="144"/>
      <c r="FB192" s="146"/>
      <c r="FC192" s="146" cm="1">
        <f t="array" ref="FC192">ROW()-ROW(New[#Headers])</f>
        <v>186</v>
      </c>
    </row>
    <row r="193" spans="2:159" s="139" customFormat="1" ht="10.5" x14ac:dyDescent="0.2">
      <c r="B193" s="133"/>
      <c r="C193" s="4297" t="s">
        <v>637</v>
      </c>
      <c r="D193" t="s" s="4298">
        <v>638</v>
      </c>
      <c r="E193" s="4299" t="s">
        <v>13</v>
      </c>
      <c r="F193" t="s" s="4300">
        <v>1241</v>
      </c>
      <c r="G193" t="s" s="4301">
        <v>1597</v>
      </c>
      <c r="H193" s="4302" t="s">
        <v>46</v>
      </c>
      <c r="I193" t="s" s="4303">
        <v>22</v>
      </c>
      <c r="J193" t="s" s="4304">
        <v>74</v>
      </c>
      <c r="K193" t="s" s="4305">
        <v>1246</v>
      </c>
      <c r="L193" t="s" s="4306">
        <v>305</v>
      </c>
      <c r="M193" t="s" s="4307">
        <v>305</v>
      </c>
      <c r="N193" s="4308" t="s">
        <v>3870</v>
      </c>
      <c r="O193" s="4309" t="s">
        <v>3871</v>
      </c>
      <c r="P193" s="141"/>
      <c r="Q193" s="142">
        <f>SUM(R193:AQ193)</f>
      </c>
      <c r="R193" s="143"/>
      <c r="S193" s="143"/>
      <c r="T193" s="143"/>
      <c r="U193" s="143"/>
      <c r="V193" s="143"/>
      <c r="W193" s="143"/>
      <c r="X193" s="143"/>
      <c r="Y193" s="143"/>
      <c r="Z193" s="143"/>
      <c r="AA193" s="143"/>
      <c r="AB193" s="143"/>
      <c r="AC193" s="143"/>
      <c r="AD193" s="143"/>
      <c r="AE193" s="143"/>
      <c r="AF193" s="143"/>
      <c r="AG193" s="143"/>
      <c r="AH193" s="143"/>
      <c r="AI193" s="143"/>
      <c r="AJ193" s="143"/>
      <c r="AK193" s="143"/>
      <c r="AL193" s="143"/>
      <c r="AM193" s="143"/>
      <c r="AN193" s="4310" t="n">
        <v>210.0</v>
      </c>
      <c r="AO193" s="4311" t="n">
        <v>600.0</v>
      </c>
      <c r="AP193" s="143"/>
      <c r="AQ193" s="143"/>
      <c r="AR193" s="142">
        <f>SUM(AS193:AV193)</f>
      </c>
      <c r="AS193" s="143"/>
      <c r="AT193" s="143"/>
      <c r="AU193" s="143"/>
      <c r="AV193" s="143"/>
      <c r="AW193" s="142">
        <f>SUM(AX193:BI193)</f>
      </c>
      <c r="AX193" s="143"/>
      <c r="AY193" s="143"/>
      <c r="AZ193" s="143"/>
      <c r="BA193" s="143"/>
      <c r="BB193" s="143"/>
      <c r="BC193" s="143"/>
      <c r="BD193" s="143"/>
      <c r="BE193" s="143"/>
      <c r="BF193" s="143"/>
      <c r="BG193" s="143"/>
      <c r="BH193" s="143"/>
      <c r="BI193" s="143"/>
      <c r="BJ193" s="142"/>
      <c r="BK193" s="143"/>
      <c r="BL193" s="143"/>
      <c r="BM193" s="143"/>
      <c r="BN193" s="143"/>
      <c r="BO193" s="143"/>
      <c r="BP193" s="143"/>
      <c r="BQ193" s="142"/>
      <c r="BR193" s="143"/>
      <c r="BS193" s="143"/>
      <c r="BT193" s="142">
        <f>SUM(BU193:BW193)</f>
      </c>
      <c r="BU193" s="143"/>
      <c r="BV193" s="143"/>
      <c r="BW193" s="143"/>
      <c r="BX193" s="142">
        <f>SUM(BY193:CD193)</f>
      </c>
      <c r="BY193" s="143"/>
      <c r="BZ193" s="143"/>
      <c r="CA193" s="143"/>
      <c r="CB193" s="143"/>
      <c r="CC193" s="143"/>
      <c r="CD193" s="143"/>
      <c r="CE193" s="142"/>
      <c r="CF193" s="143"/>
      <c r="CG193" s="143"/>
      <c r="CH193" s="143"/>
      <c r="CI193" s="143"/>
      <c r="CJ193" s="143"/>
      <c r="CK193" s="142">
        <f>SUM(CL193:CN193)</f>
      </c>
      <c r="CL193" s="143"/>
      <c r="CM193" s="143"/>
      <c r="CN193" s="143"/>
      <c r="CO193" s="142">
        <f>SUM(CP193:CT193)</f>
      </c>
      <c r="CP193" s="143"/>
      <c r="CQ193" s="143"/>
      <c r="CR193" s="143"/>
      <c r="CS193" s="143"/>
      <c r="CT193" s="143"/>
      <c r="CU193" s="142"/>
      <c r="CV193" s="143"/>
      <c r="CW193" s="143"/>
      <c r="CX193" s="143"/>
      <c r="CY193" s="142"/>
      <c r="CZ193" s="143"/>
      <c r="DA193" s="143"/>
      <c r="DB193" s="143"/>
      <c r="DC193" s="143"/>
      <c r="DD193" s="143"/>
      <c r="DE193" s="143"/>
      <c r="DF193" s="143"/>
      <c r="DG193" s="142">
        <f>SUM(DH193:DH193)</f>
      </c>
      <c r="DH193" s="143"/>
      <c r="DI193" s="142"/>
      <c r="DJ193" s="143"/>
      <c r="DK193" s="142">
        <f>SUM(DL193:DQ193)</f>
      </c>
      <c r="DL193" s="143"/>
      <c r="DM193" s="143"/>
      <c r="DN193" s="143"/>
      <c r="DO193" s="143"/>
      <c r="DP193" s="143"/>
      <c r="DQ193" s="143"/>
      <c r="DR193" s="143"/>
      <c r="DS193" s="143"/>
      <c r="DT193" s="143"/>
      <c r="DU193" s="143"/>
      <c r="DV193" s="143"/>
      <c r="DW193" s="143"/>
      <c r="DX193" s="142"/>
      <c r="DY193" s="143"/>
      <c r="DZ193" s="142"/>
      <c r="EA193" s="143"/>
      <c r="EB193" s="143"/>
      <c r="EC193" s="142"/>
      <c r="ED193" s="143"/>
      <c r="EF193" s="143"/>
      <c r="EG193" s="142">
        <f>SUM(EH193:EQ193)</f>
      </c>
      <c r="EH193" s="143"/>
      <c r="EI193" s="143"/>
      <c r="EJ193" s="143"/>
      <c r="EK193" s="143"/>
      <c r="EL193" s="143"/>
      <c r="EM193" s="143"/>
      <c r="EN193" s="143"/>
      <c r="EO193" s="143"/>
      <c r="EP193" s="143"/>
      <c r="EQ193" s="143"/>
      <c r="ER193" s="142">
        <f>SUM(ES193:ET193)</f>
      </c>
      <c r="ES193" s="143"/>
      <c r="ET193" s="143"/>
      <c r="EU193" s="144"/>
      <c r="FB193" s="146"/>
      <c r="FC193" s="146" cm="1">
        <f t="array" ref="FC193">ROW()-ROW(New[#Headers])</f>
        <v>187</v>
      </c>
    </row>
    <row r="194" spans="2:159" s="139" customFormat="1" ht="10.5" x14ac:dyDescent="0.2">
      <c r="B194" s="133"/>
      <c r="C194" s="4346" t="s">
        <v>683</v>
      </c>
      <c r="D194" t="s" s="4347">
        <v>684</v>
      </c>
      <c r="E194" s="4348" t="s">
        <v>35</v>
      </c>
      <c r="F194" t="s" s="4349">
        <v>984</v>
      </c>
      <c r="G194" t="s" s="4350">
        <v>345</v>
      </c>
      <c r="H194" s="4351" t="s">
        <v>55</v>
      </c>
      <c r="I194" t="s" s="4352">
        <v>43</v>
      </c>
      <c r="J194" t="s" s="4353">
        <v>64</v>
      </c>
      <c r="K194" t="s" s="4354">
        <v>985</v>
      </c>
      <c r="L194" t="s" s="4355">
        <v>305</v>
      </c>
      <c r="M194" t="s" s="4356">
        <v>305</v>
      </c>
      <c r="N194" s="4357" t="s">
        <v>3875</v>
      </c>
      <c r="O194" s="4358" t="s">
        <v>3871</v>
      </c>
      <c r="P194" s="141"/>
      <c r="Q194" s="142">
        <f>SUM(R194:AQ194)</f>
      </c>
      <c r="R194" s="143"/>
      <c r="S194" s="4359" t="n">
        <v>250.0</v>
      </c>
      <c r="T194" s="143"/>
      <c r="U194" s="143"/>
      <c r="V194" s="143"/>
      <c r="W194" s="143"/>
      <c r="X194" s="143"/>
      <c r="Y194" s="143"/>
      <c r="Z194" s="143"/>
      <c r="AA194" s="143"/>
      <c r="AB194" s="143"/>
      <c r="AC194" s="143"/>
      <c r="AD194" s="143"/>
      <c r="AE194" s="143"/>
      <c r="AF194" s="143"/>
      <c r="AG194" s="143"/>
      <c r="AH194" s="143"/>
      <c r="AI194" s="143"/>
      <c r="AJ194" s="143"/>
      <c r="AK194" s="143"/>
      <c r="AL194" s="143"/>
      <c r="AM194" s="143"/>
      <c r="AN194" s="143"/>
      <c r="AO194" s="143"/>
      <c r="AP194" s="143"/>
      <c r="AQ194" s="143"/>
      <c r="AR194" s="142">
        <f>SUM(AS194:AV194)</f>
      </c>
      <c r="AS194" s="143"/>
      <c r="AT194" s="143"/>
      <c r="AU194" s="143"/>
      <c r="AV194" s="143"/>
      <c r="AW194" s="142">
        <f>SUM(AX194:BI194)</f>
      </c>
      <c r="AX194" s="143"/>
      <c r="AY194" s="143"/>
      <c r="AZ194" s="143"/>
      <c r="BA194" s="143"/>
      <c r="BB194" s="143"/>
      <c r="BC194" s="143"/>
      <c r="BD194" s="143"/>
      <c r="BE194" s="143"/>
      <c r="BF194" s="143"/>
      <c r="BG194" s="143"/>
      <c r="BH194" s="143"/>
      <c r="BI194" s="143"/>
      <c r="BJ194" s="142"/>
      <c r="BK194" s="143"/>
      <c r="BL194" s="143"/>
      <c r="BM194" s="143"/>
      <c r="BN194" s="143"/>
      <c r="BO194" s="143"/>
      <c r="BP194" s="143"/>
      <c r="BQ194" s="142"/>
      <c r="BR194" s="143"/>
      <c r="BS194" s="143"/>
      <c r="BT194" s="142">
        <f>SUM(BU194:BW194)</f>
      </c>
      <c r="BU194" s="143"/>
      <c r="BV194" s="143"/>
      <c r="BW194" s="143"/>
      <c r="BX194" s="142">
        <f>SUM(BY194:CD194)</f>
      </c>
      <c r="BY194" s="143"/>
      <c r="BZ194" s="143"/>
      <c r="CA194" s="143"/>
      <c r="CB194" s="143"/>
      <c r="CC194" s="143"/>
      <c r="CD194" s="143"/>
      <c r="CE194" s="142"/>
      <c r="CF194" s="143"/>
      <c r="CG194" s="143"/>
      <c r="CH194" s="143"/>
      <c r="CI194" s="143"/>
      <c r="CJ194" s="143"/>
      <c r="CK194" s="142">
        <f>SUM(CL194:CN194)</f>
      </c>
      <c r="CL194" s="143"/>
      <c r="CM194" s="143"/>
      <c r="CN194" s="143"/>
      <c r="CO194" s="142">
        <f>SUM(CP194:CT194)</f>
      </c>
      <c r="CP194" s="143"/>
      <c r="CQ194" s="143"/>
      <c r="CR194" s="143"/>
      <c r="CS194" s="143"/>
      <c r="CT194" s="143"/>
      <c r="CU194" s="142"/>
      <c r="CV194" s="143"/>
      <c r="CW194" s="143"/>
      <c r="CX194" s="143"/>
      <c r="CY194" s="142"/>
      <c r="CZ194" s="143"/>
      <c r="DA194" s="143"/>
      <c r="DB194" s="143"/>
      <c r="DC194" s="143"/>
      <c r="DD194" s="143"/>
      <c r="DE194" s="143"/>
      <c r="DF194" s="143"/>
      <c r="DG194" s="142">
        <f>SUM(DH194:DH194)</f>
      </c>
      <c r="DH194" s="143"/>
      <c r="DI194" s="142"/>
      <c r="DJ194" s="143"/>
      <c r="DK194" s="142">
        <f>SUM(DL194:DQ194)</f>
      </c>
      <c r="DL194" s="143"/>
      <c r="DM194" s="143"/>
      <c r="DN194" s="143"/>
      <c r="DO194" s="143"/>
      <c r="DP194" s="143"/>
      <c r="DQ194" s="143"/>
      <c r="DR194" s="143"/>
      <c r="DS194" s="143"/>
      <c r="DT194" s="143"/>
      <c r="DU194" s="143"/>
      <c r="DV194" s="143"/>
      <c r="DW194" s="143"/>
      <c r="DX194" s="142"/>
      <c r="DY194" s="143"/>
      <c r="DZ194" s="142"/>
      <c r="EA194" s="143"/>
      <c r="EB194" s="143"/>
      <c r="EC194" s="142"/>
      <c r="ED194" s="143"/>
      <c r="EF194" s="143"/>
      <c r="EG194" s="142">
        <f>SUM(EH194:EQ194)</f>
      </c>
      <c r="EH194" s="143"/>
      <c r="EI194" s="143"/>
      <c r="EJ194" s="143"/>
      <c r="EK194" s="143"/>
      <c r="EL194" s="143"/>
      <c r="EM194" s="143"/>
      <c r="EN194" s="143"/>
      <c r="EO194" s="143"/>
      <c r="EP194" s="143"/>
      <c r="EQ194" s="143"/>
      <c r="ER194" s="142">
        <f>SUM(ES194:ET194)</f>
      </c>
      <c r="ES194" s="143"/>
      <c r="ET194" s="143"/>
      <c r="EU194" s="144"/>
      <c r="FB194" s="146"/>
      <c r="FC194" s="146" cm="1">
        <f t="array" ref="FC194">ROW()-ROW(New[#Headers])</f>
        <v>188</v>
      </c>
    </row>
    <row r="195" spans="2:159" s="139" customFormat="1" ht="10.5" x14ac:dyDescent="0.2">
      <c r="B195" s="133"/>
      <c r="C195" s="4363" t="s">
        <v>437</v>
      </c>
      <c r="D195" t="s" s="4364">
        <v>438</v>
      </c>
      <c r="E195" s="4365" t="s">
        <v>13</v>
      </c>
      <c r="F195" t="s" s="4366">
        <v>1241</v>
      </c>
      <c r="G195" t="s" s="4367">
        <v>1597</v>
      </c>
      <c r="H195" s="4368" t="s">
        <v>46</v>
      </c>
      <c r="I195" t="s" s="4369">
        <v>22</v>
      </c>
      <c r="J195" t="s" s="4370">
        <v>74</v>
      </c>
      <c r="K195" t="s" s="4371">
        <v>1652</v>
      </c>
      <c r="L195" t="s" s="4372">
        <v>305</v>
      </c>
      <c r="M195" t="s" s="4373">
        <v>305</v>
      </c>
      <c r="N195" s="4374" t="s">
        <v>3873</v>
      </c>
      <c r="O195" s="4375" t="s">
        <v>3871</v>
      </c>
      <c r="P195" s="141"/>
      <c r="Q195" s="142">
        <f>SUM(R195:AQ195)</f>
      </c>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4376" t="n">
        <v>880.0</v>
      </c>
      <c r="AO195" s="143"/>
      <c r="AP195" s="143"/>
      <c r="AQ195" s="143"/>
      <c r="AR195" s="142">
        <f>SUM(AS195:AV195)</f>
      </c>
      <c r="AS195" s="143"/>
      <c r="AT195" s="143"/>
      <c r="AU195" s="143"/>
      <c r="AV195" s="143"/>
      <c r="AW195" s="142">
        <f>SUM(AX195:BI195)</f>
      </c>
      <c r="AX195" s="143"/>
      <c r="AY195" s="143"/>
      <c r="AZ195" s="143"/>
      <c r="BA195" s="143"/>
      <c r="BB195" s="143"/>
      <c r="BC195" s="143"/>
      <c r="BD195" s="143"/>
      <c r="BE195" s="143"/>
      <c r="BF195" s="143"/>
      <c r="BG195" s="143"/>
      <c r="BH195" s="143"/>
      <c r="BI195" s="143"/>
      <c r="BJ195" s="142"/>
      <c r="BK195" s="143"/>
      <c r="BL195" s="143"/>
      <c r="BM195" s="143"/>
      <c r="BN195" s="143"/>
      <c r="BO195" s="143"/>
      <c r="BP195" s="143"/>
      <c r="BQ195" s="142"/>
      <c r="BR195" s="143"/>
      <c r="BS195" s="143"/>
      <c r="BT195" s="142">
        <f>SUM(BU195:BW195)</f>
      </c>
      <c r="BU195" s="143"/>
      <c r="BV195" s="143"/>
      <c r="BW195" s="143"/>
      <c r="BX195" s="142">
        <f>SUM(BY195:CD195)</f>
      </c>
      <c r="BY195" s="143"/>
      <c r="BZ195" s="143"/>
      <c r="CA195" s="143"/>
      <c r="CB195" s="143"/>
      <c r="CC195" s="143"/>
      <c r="CD195" s="143"/>
      <c r="CE195" s="142"/>
      <c r="CF195" s="143"/>
      <c r="CG195" s="143"/>
      <c r="CH195" s="143"/>
      <c r="CI195" s="143"/>
      <c r="CJ195" s="143"/>
      <c r="CK195" s="142">
        <f>SUM(CL195:CN195)</f>
      </c>
      <c r="CL195" s="143"/>
      <c r="CM195" s="143"/>
      <c r="CN195" s="143"/>
      <c r="CO195" s="142">
        <f>SUM(CP195:CT195)</f>
      </c>
      <c r="CP195" s="143"/>
      <c r="CQ195" s="143"/>
      <c r="CR195" s="143"/>
      <c r="CS195" s="143"/>
      <c r="CT195" s="143"/>
      <c r="CU195" s="142"/>
      <c r="CV195" s="143"/>
      <c r="CW195" s="143"/>
      <c r="CX195" s="143"/>
      <c r="CY195" s="142"/>
      <c r="CZ195" s="143"/>
      <c r="DA195" s="143"/>
      <c r="DB195" s="143"/>
      <c r="DC195" s="143"/>
      <c r="DD195" s="143"/>
      <c r="DE195" s="143"/>
      <c r="DF195" s="143"/>
      <c r="DG195" s="142">
        <f>SUM(DH195:DH195)</f>
      </c>
      <c r="DH195" s="143"/>
      <c r="DI195" s="142"/>
      <c r="DJ195" s="143"/>
      <c r="DK195" s="142">
        <f>SUM(DL195:DQ195)</f>
      </c>
      <c r="DL195" s="143"/>
      <c r="DM195" s="143"/>
      <c r="DN195" s="143"/>
      <c r="DO195" s="143"/>
      <c r="DP195" s="143"/>
      <c r="DQ195" s="143"/>
      <c r="DR195" s="143"/>
      <c r="DS195" s="143"/>
      <c r="DT195" s="143"/>
      <c r="DU195" s="143"/>
      <c r="DV195" s="143"/>
      <c r="DW195" s="143"/>
      <c r="DX195" s="142"/>
      <c r="DY195" s="143"/>
      <c r="DZ195" s="142"/>
      <c r="EA195" s="143"/>
      <c r="EB195" s="143"/>
      <c r="EC195" s="142"/>
      <c r="ED195" s="143"/>
      <c r="EF195" s="143"/>
      <c r="EG195" s="142">
        <f>SUM(EH195:EQ195)</f>
      </c>
      <c r="EH195" s="143"/>
      <c r="EI195" s="143"/>
      <c r="EJ195" s="143"/>
      <c r="EK195" s="143"/>
      <c r="EL195" s="143"/>
      <c r="EM195" s="143"/>
      <c r="EN195" s="143"/>
      <c r="EO195" s="143"/>
      <c r="EP195" s="143"/>
      <c r="EQ195" s="143"/>
      <c r="ER195" s="142">
        <f>SUM(ES195:ET195)</f>
      </c>
      <c r="ES195" s="143"/>
      <c r="ET195" s="143"/>
      <c r="EU195" s="144"/>
      <c r="FB195" s="146"/>
      <c r="FC195" s="146" cm="1">
        <f t="array" ref="FC195">ROW()-ROW(New[#Headers])</f>
        <v>189</v>
      </c>
    </row>
    <row r="196" spans="2:159" s="139" customFormat="1" ht="10.5" x14ac:dyDescent="0.2">
      <c r="B196" s="133"/>
      <c r="C196" s="4394" t="s">
        <v>356</v>
      </c>
      <c r="D196" t="s" s="4395">
        <v>357</v>
      </c>
      <c r="E196" s="4396" t="s">
        <v>13</v>
      </c>
      <c r="F196" t="s" s="4397">
        <v>810</v>
      </c>
      <c r="G196" t="s" s="4398">
        <v>1597</v>
      </c>
      <c r="H196" s="4399" t="s">
        <v>46</v>
      </c>
      <c r="I196" t="s" s="4400">
        <v>41</v>
      </c>
      <c r="J196" t="s" s="4401">
        <v>71</v>
      </c>
      <c r="K196" t="s" s="4402">
        <v>811</v>
      </c>
      <c r="L196" t="s" s="4403">
        <v>779</v>
      </c>
      <c r="M196" t="s" s="4404">
        <v>305</v>
      </c>
      <c r="N196" s="4405" t="s">
        <v>3873</v>
      </c>
      <c r="O196" s="4406" t="s">
        <v>3871</v>
      </c>
      <c r="P196" s="141"/>
      <c r="Q196" s="142">
        <f>SUM(R196:AQ196)</f>
      </c>
      <c r="R196" s="143"/>
      <c r="S196" s="143"/>
      <c r="T196" s="143"/>
      <c r="U196" s="143"/>
      <c r="V196" s="143"/>
      <c r="W196" s="4407" t="n">
        <v>1590.0</v>
      </c>
      <c r="X196" s="143"/>
      <c r="Y196" s="143"/>
      <c r="Z196" s="143"/>
      <c r="AA196" s="143"/>
      <c r="AB196" s="143"/>
      <c r="AC196" s="143"/>
      <c r="AD196" s="143"/>
      <c r="AE196" s="143"/>
      <c r="AF196" s="143"/>
      <c r="AG196" s="143"/>
      <c r="AH196" s="143"/>
      <c r="AI196" s="4408" t="n">
        <v>325.0</v>
      </c>
      <c r="AJ196" s="143"/>
      <c r="AK196" s="143"/>
      <c r="AL196" s="143"/>
      <c r="AM196" s="143"/>
      <c r="AN196" s="143"/>
      <c r="AO196" s="143"/>
      <c r="AP196" s="143"/>
      <c r="AQ196" s="143"/>
      <c r="AR196" s="142">
        <f>SUM(AS196:AV196)</f>
      </c>
      <c r="AS196" s="143"/>
      <c r="AT196" s="143"/>
      <c r="AU196" s="143"/>
      <c r="AV196" s="143"/>
      <c r="AW196" s="142">
        <f>SUM(AX196:BI196)</f>
      </c>
      <c r="AX196" s="143"/>
      <c r="AY196" s="143"/>
      <c r="AZ196" s="143"/>
      <c r="BA196" s="143"/>
      <c r="BB196" s="143"/>
      <c r="BC196" s="143"/>
      <c r="BD196" s="143"/>
      <c r="BE196" s="143"/>
      <c r="BF196" s="143"/>
      <c r="BG196" s="143"/>
      <c r="BH196" s="143"/>
      <c r="BI196" s="143"/>
      <c r="BJ196" s="142"/>
      <c r="BK196" s="143"/>
      <c r="BL196" s="143"/>
      <c r="BM196" s="143"/>
      <c r="BN196" s="143"/>
      <c r="BO196" s="143"/>
      <c r="BP196" s="143"/>
      <c r="BQ196" s="142"/>
      <c r="BR196" s="143"/>
      <c r="BS196" s="143"/>
      <c r="BT196" s="142">
        <f>SUM(BU196:BW196)</f>
      </c>
      <c r="BU196" s="143"/>
      <c r="BV196" s="143"/>
      <c r="BW196" s="143"/>
      <c r="BX196" s="142">
        <f>SUM(BY196:CD196)</f>
      </c>
      <c r="BY196" s="143"/>
      <c r="BZ196" s="143"/>
      <c r="CA196" s="143"/>
      <c r="CB196" s="143"/>
      <c r="CC196" s="143"/>
      <c r="CD196" s="143"/>
      <c r="CE196" s="142"/>
      <c r="CF196" s="143"/>
      <c r="CG196" s="143"/>
      <c r="CH196" s="143"/>
      <c r="CI196" s="143"/>
      <c r="CJ196" s="143"/>
      <c r="CK196" s="142">
        <f>SUM(CL196:CN196)</f>
      </c>
      <c r="CL196" s="143"/>
      <c r="CM196" s="143"/>
      <c r="CN196" s="143"/>
      <c r="CO196" s="142">
        <f>SUM(CP196:CT196)</f>
      </c>
      <c r="CP196" s="143"/>
      <c r="CQ196" s="143"/>
      <c r="CR196" s="143"/>
      <c r="CS196" s="143"/>
      <c r="CT196" s="143"/>
      <c r="CU196" s="142"/>
      <c r="CV196" s="143"/>
      <c r="CW196" s="143"/>
      <c r="CX196" s="143"/>
      <c r="CY196" s="142"/>
      <c r="CZ196" s="143"/>
      <c r="DA196" s="143"/>
      <c r="DB196" s="143"/>
      <c r="DC196" s="143"/>
      <c r="DD196" s="143"/>
      <c r="DE196" s="143"/>
      <c r="DF196" s="143"/>
      <c r="DG196" s="142">
        <f>SUM(DH196:DH196)</f>
      </c>
      <c r="DH196" s="143"/>
      <c r="DI196" s="142"/>
      <c r="DJ196" s="143"/>
      <c r="DK196" s="142">
        <f>SUM(DL196:DQ196)</f>
      </c>
      <c r="DL196" s="143"/>
      <c r="DM196" s="143"/>
      <c r="DN196" s="143"/>
      <c r="DO196" s="143"/>
      <c r="DP196" s="143"/>
      <c r="DQ196" s="143"/>
      <c r="DR196" s="143"/>
      <c r="DS196" s="143"/>
      <c r="DT196" s="143"/>
      <c r="DU196" s="143"/>
      <c r="DV196" s="143"/>
      <c r="DW196" s="143"/>
      <c r="DX196" s="142"/>
      <c r="DY196" s="143"/>
      <c r="DZ196" s="142"/>
      <c r="EA196" s="143"/>
      <c r="EB196" s="143"/>
      <c r="EC196" s="142"/>
      <c r="ED196" s="143"/>
      <c r="EF196" s="143"/>
      <c r="EG196" s="142">
        <f>SUM(EH196:EQ196)</f>
      </c>
      <c r="EH196" s="143"/>
      <c r="EI196" s="143"/>
      <c r="EJ196" s="143"/>
      <c r="EK196" s="143"/>
      <c r="EL196" s="143"/>
      <c r="EM196" s="143"/>
      <c r="EN196" s="143"/>
      <c r="EO196" s="143"/>
      <c r="EP196" s="143"/>
      <c r="EQ196" s="143"/>
      <c r="ER196" s="142">
        <f>SUM(ES196:ET196)</f>
      </c>
      <c r="ES196" s="143"/>
      <c r="ET196" s="143"/>
      <c r="EU196" s="144"/>
      <c r="FB196" s="146"/>
      <c r="FC196" s="146" cm="1">
        <f t="array" ref="FC196">ROW()-ROW(New[#Headers])</f>
        <v>190</v>
      </c>
    </row>
    <row r="197" spans="2:159" s="139" customFormat="1" ht="10.5" x14ac:dyDescent="0.2">
      <c r="B197" s="133"/>
      <c r="C197" s="4440" t="s">
        <v>549</v>
      </c>
      <c r="D197" t="s" s="4441">
        <v>550</v>
      </c>
      <c r="E197" s="4442" t="s">
        <v>13</v>
      </c>
      <c r="F197" t="s" s="4443">
        <v>933</v>
      </c>
      <c r="G197" t="s" s="4444">
        <v>1597</v>
      </c>
      <c r="H197" s="4445" t="s">
        <v>46</v>
      </c>
      <c r="I197" t="s" s="4446">
        <v>41</v>
      </c>
      <c r="J197" t="s" s="4447">
        <v>64</v>
      </c>
      <c r="K197" t="s" s="4448">
        <v>1639</v>
      </c>
      <c r="L197" t="s" s="4449">
        <v>934</v>
      </c>
      <c r="M197" t="s" s="4450">
        <v>305</v>
      </c>
      <c r="N197" s="4451" t="s">
        <v>3870</v>
      </c>
      <c r="O197" s="4452" t="s">
        <v>3871</v>
      </c>
      <c r="P197" s="141"/>
      <c r="Q197" s="142">
        <f>SUM(R197:AQ197)</f>
      </c>
      <c r="R197" s="143"/>
      <c r="S197" s="143"/>
      <c r="T197" s="143"/>
      <c r="U197" s="143"/>
      <c r="V197" s="143"/>
      <c r="W197" s="143"/>
      <c r="X197" s="143"/>
      <c r="Y197" s="143"/>
      <c r="Z197" s="143"/>
      <c r="AA197" s="143"/>
      <c r="AB197" s="143"/>
      <c r="AC197" s="143"/>
      <c r="AD197" s="143"/>
      <c r="AE197" s="143"/>
      <c r="AF197" s="4453" t="n">
        <v>110.0</v>
      </c>
      <c r="AG197" s="143"/>
      <c r="AH197" s="143"/>
      <c r="AI197" s="143"/>
      <c r="AJ197" s="143"/>
      <c r="AK197" s="143"/>
      <c r="AL197" s="143"/>
      <c r="AM197" s="143"/>
      <c r="AN197" s="143"/>
      <c r="AO197" s="143"/>
      <c r="AP197" s="143"/>
      <c r="AQ197" s="143"/>
      <c r="AR197" s="142">
        <f>SUM(AS197:AV197)</f>
      </c>
      <c r="AS197" s="143"/>
      <c r="AT197" s="143"/>
      <c r="AU197" s="143"/>
      <c r="AV197" s="143"/>
      <c r="AW197" s="142">
        <f>SUM(AX197:BI197)</f>
      </c>
      <c r="AX197" s="143"/>
      <c r="AY197" s="143"/>
      <c r="AZ197" s="143"/>
      <c r="BA197" s="143"/>
      <c r="BB197" s="143"/>
      <c r="BC197" s="143"/>
      <c r="BD197" s="143"/>
      <c r="BE197" s="143"/>
      <c r="BF197" s="143"/>
      <c r="BG197" s="143"/>
      <c r="BH197" s="143"/>
      <c r="BI197" s="143"/>
      <c r="BJ197" s="142"/>
      <c r="BK197" s="143"/>
      <c r="BL197" s="143"/>
      <c r="BM197" s="143"/>
      <c r="BN197" s="143"/>
      <c r="BO197" s="143"/>
      <c r="BP197" s="143"/>
      <c r="BQ197" s="142"/>
      <c r="BR197" s="143"/>
      <c r="BS197" s="143"/>
      <c r="BT197" s="142">
        <f>SUM(BU197:BW197)</f>
      </c>
      <c r="BU197" s="143"/>
      <c r="BV197" s="143"/>
      <c r="BW197" s="143"/>
      <c r="BX197" s="142">
        <f>SUM(BY197:CD197)</f>
      </c>
      <c r="BY197" s="143"/>
      <c r="BZ197" s="143"/>
      <c r="CA197" s="143"/>
      <c r="CB197" s="143"/>
      <c r="CC197" s="143"/>
      <c r="CD197" s="143"/>
      <c r="CE197" s="142"/>
      <c r="CF197" s="143"/>
      <c r="CG197" s="143"/>
      <c r="CH197" s="143"/>
      <c r="CI197" s="143"/>
      <c r="CJ197" s="143"/>
      <c r="CK197" s="142">
        <f>SUM(CL197:CN197)</f>
      </c>
      <c r="CL197" s="143"/>
      <c r="CM197" s="143"/>
      <c r="CN197" s="143"/>
      <c r="CO197" s="142">
        <f>SUM(CP197:CT197)</f>
      </c>
      <c r="CP197" s="143"/>
      <c r="CQ197" s="143"/>
      <c r="CR197" s="143"/>
      <c r="CS197" s="143"/>
      <c r="CT197" s="143"/>
      <c r="CU197" s="142"/>
      <c r="CV197" s="143"/>
      <c r="CW197" s="143"/>
      <c r="CX197" s="143"/>
      <c r="CY197" s="142"/>
      <c r="CZ197" s="143"/>
      <c r="DA197" s="143"/>
      <c r="DB197" s="143"/>
      <c r="DC197" s="143"/>
      <c r="DD197" s="143"/>
      <c r="DE197" s="143"/>
      <c r="DF197" s="143"/>
      <c r="DG197" s="142">
        <f>SUM(DH197:DH197)</f>
      </c>
      <c r="DH197" s="143"/>
      <c r="DI197" s="142"/>
      <c r="DJ197" s="143"/>
      <c r="DK197" s="142">
        <f>SUM(DL197:DQ197)</f>
      </c>
      <c r="DL197" s="143"/>
      <c r="DM197" s="143"/>
      <c r="DN197" s="143"/>
      <c r="DO197" s="143"/>
      <c r="DP197" s="143"/>
      <c r="DQ197" s="143"/>
      <c r="DR197" s="143"/>
      <c r="DS197" s="143"/>
      <c r="DT197" s="143"/>
      <c r="DU197" s="143"/>
      <c r="DV197" s="143"/>
      <c r="DW197" s="143"/>
      <c r="DX197" s="142"/>
      <c r="DY197" s="143"/>
      <c r="DZ197" s="142"/>
      <c r="EA197" s="143"/>
      <c r="EB197" s="143"/>
      <c r="EC197" s="142"/>
      <c r="ED197" s="143"/>
      <c r="EF197" s="143"/>
      <c r="EG197" s="142">
        <f>SUM(EH197:EQ197)</f>
      </c>
      <c r="EH197" s="143"/>
      <c r="EI197" s="143"/>
      <c r="EJ197" s="143"/>
      <c r="EK197" s="143"/>
      <c r="EL197" s="143"/>
      <c r="EM197" s="143"/>
      <c r="EN197" s="143"/>
      <c r="EO197" s="143"/>
      <c r="EP197" s="143"/>
      <c r="EQ197" s="143"/>
      <c r="ER197" s="142">
        <f>SUM(ES197:ET197)</f>
      </c>
      <c r="ES197" s="143"/>
      <c r="ET197" s="143"/>
      <c r="EU197" s="144"/>
      <c r="FB197" s="146"/>
      <c r="FC197" s="146" cm="1">
        <f t="array" ref="FC197">ROW()-ROW(New[#Headers])</f>
        <v>191</v>
      </c>
    </row>
    <row r="198" spans="2:159" s="139" customFormat="1" ht="10.5" x14ac:dyDescent="0.2">
      <c r="B198" s="133"/>
      <c r="C198" s="4468" t="s">
        <v>339</v>
      </c>
      <c r="D198" t="s" s="4469">
        <v>340</v>
      </c>
      <c r="E198" s="4470" t="s">
        <v>13</v>
      </c>
      <c r="F198" t="s" s="4471">
        <v>1618</v>
      </c>
      <c r="G198" t="s" s="4472">
        <v>1597</v>
      </c>
      <c r="H198" s="4473" t="s">
        <v>46</v>
      </c>
      <c r="I198" t="s" s="4474">
        <v>41</v>
      </c>
      <c r="J198" t="s" s="4475">
        <v>71</v>
      </c>
      <c r="K198" t="s" s="4476">
        <v>839</v>
      </c>
      <c r="L198" t="s" s="4477">
        <v>767</v>
      </c>
      <c r="M198" t="s" s="4478">
        <v>305</v>
      </c>
      <c r="N198" s="4479" t="s">
        <v>3873</v>
      </c>
      <c r="O198" s="4480" t="s">
        <v>3876</v>
      </c>
      <c r="P198" s="141"/>
      <c r="Q198" s="142">
        <f>SUM(R198:AQ198)</f>
      </c>
      <c r="R198" s="143"/>
      <c r="S198" s="143"/>
      <c r="T198" s="143"/>
      <c r="U198" s="143"/>
      <c r="V198" s="143"/>
      <c r="W198" s="143"/>
      <c r="X198" s="143"/>
      <c r="Y198" s="143"/>
      <c r="Z198" s="143"/>
      <c r="AA198" s="143"/>
      <c r="AB198" s="143"/>
      <c r="AC198" s="143"/>
      <c r="AD198" s="143"/>
      <c r="AE198" s="143"/>
      <c r="AF198" s="143"/>
      <c r="AG198" s="143"/>
      <c r="AH198" s="143"/>
      <c r="AI198" s="143"/>
      <c r="AJ198" s="143"/>
      <c r="AK198" s="143"/>
      <c r="AL198" s="4481" t="n">
        <v>100.0</v>
      </c>
      <c r="AM198" s="143"/>
      <c r="AN198" s="143"/>
      <c r="AO198" s="143"/>
      <c r="AP198" s="143"/>
      <c r="AQ198" s="143"/>
      <c r="AR198" s="142">
        <f>SUM(AS198:AV198)</f>
      </c>
      <c r="AS198" s="143"/>
      <c r="AT198" s="143"/>
      <c r="AU198" s="143"/>
      <c r="AV198" s="143"/>
      <c r="AW198" s="142">
        <f>SUM(AX198:BI198)</f>
      </c>
      <c r="AX198" s="143"/>
      <c r="AY198" s="143"/>
      <c r="AZ198" s="143"/>
      <c r="BA198" s="143"/>
      <c r="BB198" s="143"/>
      <c r="BC198" s="143"/>
      <c r="BD198" s="143"/>
      <c r="BE198" s="143"/>
      <c r="BF198" s="143"/>
      <c r="BG198" s="143"/>
      <c r="BH198" s="143"/>
      <c r="BI198" s="143"/>
      <c r="BJ198" s="142"/>
      <c r="BK198" s="143"/>
      <c r="BL198" s="143"/>
      <c r="BM198" s="143"/>
      <c r="BN198" s="143"/>
      <c r="BO198" s="143"/>
      <c r="BP198" s="143"/>
      <c r="BQ198" s="142"/>
      <c r="BR198" s="143"/>
      <c r="BS198" s="143"/>
      <c r="BT198" s="142">
        <f>SUM(BU198:BW198)</f>
      </c>
      <c r="BU198" s="143"/>
      <c r="BV198" s="143"/>
      <c r="BW198" s="143"/>
      <c r="BX198" s="142">
        <f>SUM(BY198:CD198)</f>
      </c>
      <c r="BY198" s="143"/>
      <c r="BZ198" s="143"/>
      <c r="CA198" s="143"/>
      <c r="CB198" s="143"/>
      <c r="CC198" s="143"/>
      <c r="CD198" s="143"/>
      <c r="CE198" s="142"/>
      <c r="CF198" s="143"/>
      <c r="CG198" s="143"/>
      <c r="CH198" s="143"/>
      <c r="CI198" s="143"/>
      <c r="CJ198" s="143"/>
      <c r="CK198" s="142">
        <f>SUM(CL198:CN198)</f>
      </c>
      <c r="CL198" s="143"/>
      <c r="CM198" s="143"/>
      <c r="CN198" s="143"/>
      <c r="CO198" s="142">
        <f>SUM(CP198:CT198)</f>
      </c>
      <c r="CP198" s="143"/>
      <c r="CQ198" s="143"/>
      <c r="CR198" s="143"/>
      <c r="CS198" s="143"/>
      <c r="CT198" s="143"/>
      <c r="CU198" s="142"/>
      <c r="CV198" s="143"/>
      <c r="CW198" s="143"/>
      <c r="CX198" s="143"/>
      <c r="CY198" s="142"/>
      <c r="CZ198" s="143"/>
      <c r="DA198" s="143"/>
      <c r="DB198" s="143"/>
      <c r="DC198" s="143"/>
      <c r="DD198" s="143"/>
      <c r="DE198" s="143"/>
      <c r="DF198" s="143"/>
      <c r="DG198" s="142">
        <f>SUM(DH198:DH198)</f>
      </c>
      <c r="DH198" s="4482" t="n">
        <v>20.0</v>
      </c>
      <c r="DI198" s="142"/>
      <c r="DJ198" s="143"/>
      <c r="DK198" s="142">
        <f>SUM(DL198:DQ198)</f>
      </c>
      <c r="DL198" s="143"/>
      <c r="DM198" s="143"/>
      <c r="DN198" s="143"/>
      <c r="DO198" s="143"/>
      <c r="DP198" s="143"/>
      <c r="DQ198" s="143"/>
      <c r="DR198" s="143"/>
      <c r="DS198" s="143"/>
      <c r="DT198" s="143"/>
      <c r="DU198" s="143"/>
      <c r="DV198" s="143"/>
      <c r="DW198" s="143"/>
      <c r="DX198" s="142"/>
      <c r="DY198" s="143"/>
      <c r="DZ198" s="142"/>
      <c r="EA198" s="143"/>
      <c r="EB198" s="143"/>
      <c r="EC198" s="142"/>
      <c r="ED198" s="143"/>
      <c r="EF198" s="143"/>
      <c r="EG198" s="142">
        <f>SUM(EH198:EQ198)</f>
      </c>
      <c r="EH198" s="143"/>
      <c r="EI198" s="143"/>
      <c r="EJ198" s="143"/>
      <c r="EK198" s="143"/>
      <c r="EL198" s="143"/>
      <c r="EM198" s="143"/>
      <c r="EN198" s="143"/>
      <c r="EO198" s="143"/>
      <c r="EP198" s="143"/>
      <c r="EQ198" s="143"/>
      <c r="ER198" s="142">
        <f>SUM(ES198:ET198)</f>
      </c>
      <c r="ES198" s="143"/>
      <c r="ET198" s="143"/>
      <c r="EU198" s="144"/>
      <c r="FB198" s="146"/>
      <c r="FC198" s="146" cm="1">
        <f t="array" ref="FC198">ROW()-ROW(New[#Headers])</f>
        <v>192</v>
      </c>
    </row>
    <row r="199" spans="2:159" s="139" customFormat="1" ht="10.5" x14ac:dyDescent="0.2">
      <c r="B199" s="133"/>
      <c r="C199" s="4483" t="s">
        <v>317</v>
      </c>
      <c r="D199" t="s" s="4484">
        <v>318</v>
      </c>
      <c r="E199" s="4485" t="s">
        <v>23</v>
      </c>
      <c r="F199" t="s" s="4486">
        <v>766</v>
      </c>
      <c r="G199" t="s" s="4487">
        <v>1597</v>
      </c>
      <c r="H199" s="4488" t="s">
        <v>51</v>
      </c>
      <c r="I199" t="s" s="4489">
        <v>43</v>
      </c>
      <c r="J199" t="s" s="4490">
        <v>68</v>
      </c>
      <c r="K199" t="s" s="4491">
        <v>1059</v>
      </c>
      <c r="L199" t="s" s="4492">
        <v>767</v>
      </c>
      <c r="M199" t="s" s="4493">
        <v>305</v>
      </c>
      <c r="N199" s="4494" t="s">
        <v>3867</v>
      </c>
      <c r="O199" s="4495" t="s">
        <v>3871</v>
      </c>
      <c r="P199" s="141"/>
      <c r="Q199" s="142">
        <f>SUM(R199:AQ199)</f>
      </c>
      <c r="R199" s="143"/>
      <c r="S199" s="143"/>
      <c r="T199" s="143"/>
      <c r="U199" s="143"/>
      <c r="V199" s="143"/>
      <c r="W199" s="143"/>
      <c r="X199" s="143"/>
      <c r="Y199" s="143"/>
      <c r="Z199" s="143"/>
      <c r="AA199" s="143"/>
      <c r="AB199" s="143"/>
      <c r="AC199" s="143"/>
      <c r="AD199" s="143"/>
      <c r="AE199" s="143"/>
      <c r="AF199" s="143"/>
      <c r="AG199" s="4496" t="n">
        <v>325.0</v>
      </c>
      <c r="AH199" s="143"/>
      <c r="AI199" s="143"/>
      <c r="AJ199" s="143"/>
      <c r="AK199" s="143"/>
      <c r="AL199" s="143"/>
      <c r="AM199" s="143"/>
      <c r="AN199" s="4497" t="n">
        <v>250.0</v>
      </c>
      <c r="AO199" s="143"/>
      <c r="AP199" s="143"/>
      <c r="AQ199" s="143"/>
      <c r="AR199" s="142">
        <f>SUM(AS199:AV199)</f>
      </c>
      <c r="AS199" s="143"/>
      <c r="AT199" s="143"/>
      <c r="AU199" s="143"/>
      <c r="AV199" s="143"/>
      <c r="AW199" s="142">
        <f>SUM(AX199:BI199)</f>
      </c>
      <c r="AX199" s="143"/>
      <c r="AY199" s="143"/>
      <c r="AZ199" s="143"/>
      <c r="BA199" s="143"/>
      <c r="BB199" s="143"/>
      <c r="BC199" s="143"/>
      <c r="BD199" s="143"/>
      <c r="BE199" s="143"/>
      <c r="BF199" s="143"/>
      <c r="BG199" s="143"/>
      <c r="BH199" s="143"/>
      <c r="BI199" s="143"/>
      <c r="BJ199" s="142"/>
      <c r="BK199" s="143"/>
      <c r="BL199" s="143"/>
      <c r="BM199" s="143"/>
      <c r="BN199" s="143"/>
      <c r="BO199" s="143"/>
      <c r="BP199" s="143"/>
      <c r="BQ199" s="142"/>
      <c r="BR199" s="143"/>
      <c r="BS199" s="143"/>
      <c r="BT199" s="142">
        <f>SUM(BU199:BW199)</f>
      </c>
      <c r="BU199" s="143"/>
      <c r="BV199" s="143"/>
      <c r="BW199" s="143"/>
      <c r="BX199" s="142">
        <f>SUM(BY199:CD199)</f>
      </c>
      <c r="BY199" s="143"/>
      <c r="BZ199" s="143"/>
      <c r="CA199" s="143"/>
      <c r="CB199" s="143"/>
      <c r="CC199" s="143"/>
      <c r="CD199" s="143"/>
      <c r="CE199" s="142"/>
      <c r="CF199" s="143"/>
      <c r="CG199" s="143"/>
      <c r="CH199" s="143"/>
      <c r="CI199" s="143"/>
      <c r="CJ199" s="143"/>
      <c r="CK199" s="142">
        <f>SUM(CL199:CN199)</f>
      </c>
      <c r="CL199" s="143"/>
      <c r="CM199" s="143"/>
      <c r="CN199" s="143"/>
      <c r="CO199" s="142">
        <f>SUM(CP199:CT199)</f>
      </c>
      <c r="CP199" s="143"/>
      <c r="CQ199" s="143"/>
      <c r="CR199" s="143"/>
      <c r="CS199" s="143"/>
      <c r="CT199" s="143"/>
      <c r="CU199" s="142"/>
      <c r="CV199" s="143"/>
      <c r="CW199" s="143"/>
      <c r="CX199" s="143"/>
      <c r="CY199" s="142"/>
      <c r="CZ199" s="143"/>
      <c r="DA199" s="143"/>
      <c r="DB199" s="143"/>
      <c r="DC199" s="143"/>
      <c r="DD199" s="143"/>
      <c r="DE199" s="143"/>
      <c r="DF199" s="143"/>
      <c r="DG199" s="142">
        <f>SUM(DH199:DH199)</f>
      </c>
      <c r="DH199" s="143"/>
      <c r="DI199" s="142"/>
      <c r="DJ199" s="143"/>
      <c r="DK199" s="142">
        <f>SUM(DL199:DQ199)</f>
      </c>
      <c r="DL199" s="143"/>
      <c r="DM199" s="143"/>
      <c r="DN199" s="143"/>
      <c r="DO199" s="143"/>
      <c r="DP199" s="143"/>
      <c r="DQ199" s="143"/>
      <c r="DR199" s="143"/>
      <c r="DS199" s="143"/>
      <c r="DT199" s="143"/>
      <c r="DU199" s="143"/>
      <c r="DV199" s="143"/>
      <c r="DW199" s="143"/>
      <c r="DX199" s="142"/>
      <c r="DY199" s="143"/>
      <c r="DZ199" s="142"/>
      <c r="EA199" s="143"/>
      <c r="EB199" s="143"/>
      <c r="EC199" s="142"/>
      <c r="ED199" s="143"/>
      <c r="EF199" s="143"/>
      <c r="EG199" s="142">
        <f>SUM(EH199:EQ199)</f>
      </c>
      <c r="EH199" s="143"/>
      <c r="EI199" s="143"/>
      <c r="EJ199" s="143"/>
      <c r="EK199" s="143"/>
      <c r="EL199" s="143"/>
      <c r="EM199" s="143"/>
      <c r="EN199" s="143"/>
      <c r="EO199" s="143"/>
      <c r="EP199" s="143"/>
      <c r="EQ199" s="143"/>
      <c r="ER199" s="142">
        <f>SUM(ES199:ET199)</f>
      </c>
      <c r="ES199" s="143"/>
      <c r="ET199" s="143"/>
      <c r="EU199" s="144"/>
      <c r="FB199" s="146"/>
      <c r="FC199" s="146" cm="1">
        <f t="array" ref="FC199">ROW()-ROW(New[#Headers])</f>
        <v>193</v>
      </c>
    </row>
    <row r="200" spans="2:159" s="139" customFormat="1" ht="10.5" x14ac:dyDescent="0.2">
      <c r="B200" s="133"/>
      <c r="C200" s="4498" t="s">
        <v>488</v>
      </c>
      <c r="D200" t="s" s="4499">
        <v>489</v>
      </c>
      <c r="E200" s="4500" t="s">
        <v>13</v>
      </c>
      <c r="F200" t="s" s="4501">
        <v>1109</v>
      </c>
      <c r="G200" t="s" s="4502">
        <v>305</v>
      </c>
      <c r="H200" s="4503" t="s">
        <v>46</v>
      </c>
      <c r="I200" t="s" s="4504">
        <v>41</v>
      </c>
      <c r="J200" t="s" s="4505">
        <v>68</v>
      </c>
      <c r="K200" t="s" s="4506">
        <v>1659</v>
      </c>
      <c r="L200" t="s" s="4507">
        <v>751</v>
      </c>
      <c r="M200" t="s" s="4508">
        <v>305</v>
      </c>
      <c r="N200" s="4509" t="s">
        <v>3873</v>
      </c>
      <c r="O200" s="4510" t="s">
        <v>3871</v>
      </c>
      <c r="P200" s="141"/>
      <c r="Q200" s="142">
        <f>SUM(R200:AQ200)</f>
      </c>
      <c r="R200" s="143"/>
      <c r="S200" s="143"/>
      <c r="T200" s="143"/>
      <c r="U200" s="143"/>
      <c r="V200" s="143"/>
      <c r="W200" s="143"/>
      <c r="X200" s="143"/>
      <c r="Y200" s="143"/>
      <c r="Z200" s="143"/>
      <c r="AA200" s="143"/>
      <c r="AB200" s="143"/>
      <c r="AC200" s="143"/>
      <c r="AD200" s="4511" t="n">
        <v>400.0</v>
      </c>
      <c r="AE200" s="143"/>
      <c r="AF200" s="143"/>
      <c r="AG200" s="143"/>
      <c r="AH200" s="143"/>
      <c r="AI200" s="143"/>
      <c r="AJ200" s="143"/>
      <c r="AK200" s="143"/>
      <c r="AL200" s="143"/>
      <c r="AM200" s="143"/>
      <c r="AN200" s="143"/>
      <c r="AO200" s="143"/>
      <c r="AP200" s="143"/>
      <c r="AQ200" s="143"/>
      <c r="AR200" s="142">
        <f>SUM(AS200:AV200)</f>
      </c>
      <c r="AS200" s="143"/>
      <c r="AT200" s="143"/>
      <c r="AU200" s="143"/>
      <c r="AV200" s="143"/>
      <c r="AW200" s="142">
        <f>SUM(AX200:BI200)</f>
      </c>
      <c r="AX200" s="143"/>
      <c r="AY200" s="143"/>
      <c r="AZ200" s="143"/>
      <c r="BA200" s="143"/>
      <c r="BB200" s="143"/>
      <c r="BC200" s="143"/>
      <c r="BD200" s="143"/>
      <c r="BE200" s="143"/>
      <c r="BF200" s="143"/>
      <c r="BG200" s="143"/>
      <c r="BH200" s="143"/>
      <c r="BI200" s="143"/>
      <c r="BJ200" s="142"/>
      <c r="BK200" s="143"/>
      <c r="BL200" s="143"/>
      <c r="BM200" s="143"/>
      <c r="BN200" s="143"/>
      <c r="BO200" s="143"/>
      <c r="BP200" s="143"/>
      <c r="BQ200" s="142"/>
      <c r="BR200" s="143"/>
      <c r="BS200" s="143"/>
      <c r="BT200" s="142">
        <f>SUM(BU200:BW200)</f>
      </c>
      <c r="BU200" s="143"/>
      <c r="BV200" s="143"/>
      <c r="BW200" s="143"/>
      <c r="BX200" s="142">
        <f>SUM(BY200:CD200)</f>
      </c>
      <c r="BY200" s="143"/>
      <c r="BZ200" s="143"/>
      <c r="CA200" s="143"/>
      <c r="CB200" s="143"/>
      <c r="CC200" s="143"/>
      <c r="CD200" s="143"/>
      <c r="CE200" s="142"/>
      <c r="CF200" s="143"/>
      <c r="CG200" s="143"/>
      <c r="CH200" s="143"/>
      <c r="CI200" s="143"/>
      <c r="CJ200" s="143"/>
      <c r="CK200" s="142">
        <f>SUM(CL200:CN200)</f>
      </c>
      <c r="CL200" s="143"/>
      <c r="CM200" s="143"/>
      <c r="CN200" s="143"/>
      <c r="CO200" s="142">
        <f>SUM(CP200:CT200)</f>
      </c>
      <c r="CP200" s="143"/>
      <c r="CQ200" s="143"/>
      <c r="CR200" s="143"/>
      <c r="CS200" s="143"/>
      <c r="CT200" s="143"/>
      <c r="CU200" s="142"/>
      <c r="CV200" s="143"/>
      <c r="CW200" s="143"/>
      <c r="CX200" s="143"/>
      <c r="CY200" s="142"/>
      <c r="CZ200" s="143"/>
      <c r="DA200" s="143"/>
      <c r="DB200" s="143"/>
      <c r="DC200" s="143"/>
      <c r="DD200" s="143"/>
      <c r="DE200" s="143"/>
      <c r="DF200" s="143"/>
      <c r="DG200" s="142">
        <f>SUM(DH200:DH200)</f>
      </c>
      <c r="DH200" s="143"/>
      <c r="DI200" s="142"/>
      <c r="DJ200" s="143"/>
      <c r="DK200" s="142">
        <f>SUM(DL200:DQ200)</f>
      </c>
      <c r="DL200" s="143"/>
      <c r="DM200" s="143"/>
      <c r="DN200" s="143"/>
      <c r="DO200" s="143"/>
      <c r="DP200" s="143"/>
      <c r="DQ200" s="143"/>
      <c r="DR200" s="143"/>
      <c r="DS200" s="143"/>
      <c r="DT200" s="143"/>
      <c r="DU200" s="143"/>
      <c r="DV200" s="143"/>
      <c r="DW200" s="143"/>
      <c r="DX200" s="142"/>
      <c r="DY200" s="143"/>
      <c r="DZ200" s="142"/>
      <c r="EA200" s="143"/>
      <c r="EB200" s="143"/>
      <c r="EC200" s="142"/>
      <c r="ED200" s="143"/>
      <c r="EF200" s="143"/>
      <c r="EG200" s="142">
        <f>SUM(EH200:EQ200)</f>
      </c>
      <c r="EH200" s="143"/>
      <c r="EI200" s="143"/>
      <c r="EJ200" s="143"/>
      <c r="EK200" s="143"/>
      <c r="EL200" s="143"/>
      <c r="EM200" s="143"/>
      <c r="EN200" s="143"/>
      <c r="EO200" s="143"/>
      <c r="EP200" s="143"/>
      <c r="EQ200" s="143"/>
      <c r="ER200" s="142">
        <f>SUM(ES200:ET200)</f>
      </c>
      <c r="ES200" s="143"/>
      <c r="ET200" s="143"/>
      <c r="EU200" s="144"/>
      <c r="FB200" s="146"/>
      <c r="FC200" s="146" cm="1">
        <f t="array" ref="FC200">ROW()-ROW(New[#Headers])</f>
        <v>194</v>
      </c>
    </row>
    <row r="201" spans="2:159" s="139" customFormat="1" ht="10.5" x14ac:dyDescent="0.2">
      <c r="B201" s="133"/>
      <c r="C201" s="4512" t="s">
        <v>705</v>
      </c>
      <c r="D201" t="s" s="4513">
        <v>706</v>
      </c>
      <c r="E201" s="4514" t="s">
        <v>13</v>
      </c>
      <c r="F201" t="s" s="4515">
        <v>1241</v>
      </c>
      <c r="G201" t="s" s="4516">
        <v>1597</v>
      </c>
      <c r="H201" s="4517" t="s">
        <v>46</v>
      </c>
      <c r="I201" t="s" s="4518">
        <v>41</v>
      </c>
      <c r="J201" t="s" s="4519">
        <v>74</v>
      </c>
      <c r="K201" t="s" s="4520">
        <v>1246</v>
      </c>
      <c r="L201" t="s" s="4521">
        <v>305</v>
      </c>
      <c r="M201" t="s" s="4522">
        <v>305</v>
      </c>
      <c r="N201" s="4523" t="s">
        <v>3873</v>
      </c>
      <c r="O201" s="4524" t="s">
        <v>3871</v>
      </c>
      <c r="P201" s="141"/>
      <c r="Q201" s="142">
        <f>SUM(R201:AQ201)</f>
      </c>
      <c r="R201" s="143"/>
      <c r="S201" s="143"/>
      <c r="T201" s="143"/>
      <c r="U201" s="143"/>
      <c r="V201" s="143"/>
      <c r="W201" s="143"/>
      <c r="X201" s="143"/>
      <c r="Y201" s="143"/>
      <c r="Z201" s="143"/>
      <c r="AA201" s="143"/>
      <c r="AB201" s="143"/>
      <c r="AC201" s="143"/>
      <c r="AD201" s="143"/>
      <c r="AE201" s="143"/>
      <c r="AF201" s="143"/>
      <c r="AG201" s="143"/>
      <c r="AH201" s="143"/>
      <c r="AI201" s="143"/>
      <c r="AJ201" s="143"/>
      <c r="AK201" s="143"/>
      <c r="AL201" s="143"/>
      <c r="AM201" s="143"/>
      <c r="AN201" s="143"/>
      <c r="AO201" s="143"/>
      <c r="AP201" s="143"/>
      <c r="AQ201" s="143"/>
      <c r="AR201" s="142">
        <f>SUM(AS201:AV201)</f>
      </c>
      <c r="AS201" s="143"/>
      <c r="AT201" s="143"/>
      <c r="AU201" s="143"/>
      <c r="AV201" s="143"/>
      <c r="AW201" s="142">
        <f>SUM(AX201:BI201)</f>
      </c>
      <c r="AX201" s="143"/>
      <c r="AY201" s="143"/>
      <c r="AZ201" s="143"/>
      <c r="BA201" s="143"/>
      <c r="BB201" s="143"/>
      <c r="BC201" s="143"/>
      <c r="BD201" s="143"/>
      <c r="BE201" s="143"/>
      <c r="BF201" s="143"/>
      <c r="BG201" s="143"/>
      <c r="BH201" s="143"/>
      <c r="BI201" s="143"/>
      <c r="BJ201" s="142"/>
      <c r="BK201" s="143"/>
      <c r="BL201" s="143"/>
      <c r="BM201" s="143"/>
      <c r="BN201" s="143"/>
      <c r="BO201" s="143"/>
      <c r="BP201" s="143"/>
      <c r="BQ201" s="142"/>
      <c r="BR201" s="143"/>
      <c r="BS201" s="143"/>
      <c r="BT201" s="142">
        <f>SUM(BU201:BW201)</f>
      </c>
      <c r="BU201" s="143"/>
      <c r="BV201" s="143"/>
      <c r="BW201" s="143"/>
      <c r="BX201" s="142">
        <f>SUM(BY201:CD201)</f>
      </c>
      <c r="BY201" s="143"/>
      <c r="BZ201" s="143"/>
      <c r="CA201" s="143"/>
      <c r="CB201" s="143"/>
      <c r="CC201" s="143"/>
      <c r="CD201" s="143"/>
      <c r="CE201" s="142"/>
      <c r="CF201" s="143"/>
      <c r="CG201" s="143"/>
      <c r="CH201" s="143"/>
      <c r="CI201" s="143"/>
      <c r="CJ201" s="143"/>
      <c r="CK201" s="142">
        <f>SUM(CL201:CN201)</f>
      </c>
      <c r="CL201" s="143"/>
      <c r="CM201" s="143"/>
      <c r="CN201" s="143"/>
      <c r="CO201" s="142">
        <f>SUM(CP201:CT201)</f>
      </c>
      <c r="CP201" s="143"/>
      <c r="CQ201" s="143"/>
      <c r="CR201" s="143"/>
      <c r="CS201" s="143"/>
      <c r="CT201" s="143"/>
      <c r="CU201" s="142"/>
      <c r="CV201" s="143"/>
      <c r="CW201" s="143"/>
      <c r="CX201" s="143"/>
      <c r="CY201" s="142"/>
      <c r="CZ201" s="143"/>
      <c r="DA201" s="143"/>
      <c r="DB201" s="143"/>
      <c r="DC201" s="143"/>
      <c r="DD201" s="143"/>
      <c r="DE201" s="143"/>
      <c r="DF201" s="143"/>
      <c r="DG201" s="142">
        <f>SUM(DH201:DH201)</f>
      </c>
      <c r="DH201" s="4525" t="n">
        <v>200.0</v>
      </c>
      <c r="DI201" s="142"/>
      <c r="DJ201" s="143"/>
      <c r="DK201" s="142">
        <f>SUM(DL201:DQ201)</f>
      </c>
      <c r="DL201" s="143"/>
      <c r="DM201" s="143"/>
      <c r="DN201" s="143"/>
      <c r="DO201" s="143"/>
      <c r="DP201" s="143"/>
      <c r="DQ201" s="143"/>
      <c r="DR201" s="143"/>
      <c r="DS201" s="143"/>
      <c r="DT201" s="143"/>
      <c r="DU201" s="143"/>
      <c r="DV201" s="143"/>
      <c r="DW201" s="143"/>
      <c r="DX201" s="142"/>
      <c r="DY201" s="143"/>
      <c r="DZ201" s="142"/>
      <c r="EA201" s="143"/>
      <c r="EB201" s="143"/>
      <c r="EC201" s="142"/>
      <c r="ED201" s="143"/>
      <c r="EF201" s="143"/>
      <c r="EG201" s="142">
        <f>SUM(EH201:EQ201)</f>
      </c>
      <c r="EH201" s="143"/>
      <c r="EI201" s="143"/>
      <c r="EJ201" s="143"/>
      <c r="EK201" s="143"/>
      <c r="EL201" s="143"/>
      <c r="EM201" s="143"/>
      <c r="EN201" s="143"/>
      <c r="EO201" s="143"/>
      <c r="EP201" s="143"/>
      <c r="EQ201" s="143"/>
      <c r="ER201" s="142">
        <f>SUM(ES201:ET201)</f>
      </c>
      <c r="ES201" s="143"/>
      <c r="ET201" s="143"/>
      <c r="EU201" s="144"/>
      <c r="FB201" s="146"/>
      <c r="FC201" s="146" cm="1">
        <f t="array" ref="FC201">ROW()-ROW(New[#Headers])</f>
        <v>195</v>
      </c>
    </row>
    <row r="202" spans="2:159" s="139" customFormat="1" ht="10.5" x14ac:dyDescent="0.2">
      <c r="B202" s="133"/>
      <c r="C202" s="4554" t="s">
        <v>440</v>
      </c>
      <c r="D202" t="s" s="4555">
        <v>441</v>
      </c>
      <c r="E202" s="4556" t="s">
        <v>35</v>
      </c>
      <c r="F202" t="s" s="4557">
        <v>766</v>
      </c>
      <c r="G202" t="s" s="4558">
        <v>1597</v>
      </c>
      <c r="H202" s="4559" t="s">
        <v>49</v>
      </c>
      <c r="I202" t="s" s="4560">
        <v>41</v>
      </c>
      <c r="J202" t="s" s="4561">
        <v>68</v>
      </c>
      <c r="K202" t="s" s="4562">
        <v>1571</v>
      </c>
      <c r="L202" t="s" s="4563">
        <v>767</v>
      </c>
      <c r="M202" t="s" s="4564">
        <v>305</v>
      </c>
      <c r="N202" s="4565" t="s">
        <v>3873</v>
      </c>
      <c r="O202" s="4566" t="s">
        <v>3871</v>
      </c>
      <c r="P202" s="141"/>
      <c r="Q202" s="142">
        <f>SUM(R202:AQ202)</f>
      </c>
      <c r="R202" s="143"/>
      <c r="S202" s="143"/>
      <c r="T202" s="143"/>
      <c r="U202" s="143"/>
      <c r="V202" s="143"/>
      <c r="W202" s="143"/>
      <c r="X202" s="143"/>
      <c r="Y202" s="143"/>
      <c r="Z202" s="143"/>
      <c r="AA202" s="143"/>
      <c r="AB202" s="143"/>
      <c r="AC202" s="143"/>
      <c r="AD202" s="143"/>
      <c r="AE202" s="143"/>
      <c r="AF202" s="143"/>
      <c r="AG202" s="4567" t="n">
        <v>3036.9</v>
      </c>
      <c r="AH202" s="143"/>
      <c r="AI202" s="143"/>
      <c r="AJ202" s="143"/>
      <c r="AK202" s="143"/>
      <c r="AL202" s="143"/>
      <c r="AM202" s="143"/>
      <c r="AN202" s="143"/>
      <c r="AO202" s="143"/>
      <c r="AP202" s="143"/>
      <c r="AQ202" s="143"/>
      <c r="AR202" s="142">
        <f>SUM(AS202:AV202)</f>
      </c>
      <c r="AS202" s="143"/>
      <c r="AT202" s="143"/>
      <c r="AU202" s="143"/>
      <c r="AV202" s="143"/>
      <c r="AW202" s="142">
        <f>SUM(AX202:BI202)</f>
      </c>
      <c r="AX202" s="143"/>
      <c r="AY202" s="143"/>
      <c r="AZ202" s="143"/>
      <c r="BA202" s="143"/>
      <c r="BB202" s="143"/>
      <c r="BC202" s="143"/>
      <c r="BD202" s="143"/>
      <c r="BE202" s="143"/>
      <c r="BF202" s="143"/>
      <c r="BG202" s="143"/>
      <c r="BH202" s="143"/>
      <c r="BI202" s="143"/>
      <c r="BJ202" s="142"/>
      <c r="BK202" s="143"/>
      <c r="BL202" s="143"/>
      <c r="BM202" s="143"/>
      <c r="BN202" s="143"/>
      <c r="BO202" s="143"/>
      <c r="BP202" s="143"/>
      <c r="BQ202" s="142"/>
      <c r="BR202" s="143"/>
      <c r="BS202" s="143"/>
      <c r="BT202" s="142">
        <f>SUM(BU202:BW202)</f>
      </c>
      <c r="BU202" s="143"/>
      <c r="BV202" s="143"/>
      <c r="BW202" s="143"/>
      <c r="BX202" s="142">
        <f>SUM(BY202:CD202)</f>
      </c>
      <c r="BY202" s="143"/>
      <c r="BZ202" s="143"/>
      <c r="CA202" s="143"/>
      <c r="CB202" s="143"/>
      <c r="CC202" s="143"/>
      <c r="CD202" s="143"/>
      <c r="CE202" s="142"/>
      <c r="CF202" s="143"/>
      <c r="CG202" s="143"/>
      <c r="CH202" s="143"/>
      <c r="CI202" s="143"/>
      <c r="CJ202" s="143"/>
      <c r="CK202" s="142">
        <f>SUM(CL202:CN202)</f>
      </c>
      <c r="CL202" s="143"/>
      <c r="CM202" s="143"/>
      <c r="CN202" s="143"/>
      <c r="CO202" s="142">
        <f>SUM(CP202:CT202)</f>
      </c>
      <c r="CP202" s="143"/>
      <c r="CQ202" s="143"/>
      <c r="CR202" s="143"/>
      <c r="CS202" s="143"/>
      <c r="CT202" s="143"/>
      <c r="CU202" s="142"/>
      <c r="CV202" s="143"/>
      <c r="CW202" s="143"/>
      <c r="CX202" s="143"/>
      <c r="CY202" s="142"/>
      <c r="CZ202" s="143"/>
      <c r="DA202" s="143"/>
      <c r="DB202" s="143"/>
      <c r="DC202" s="143"/>
      <c r="DD202" s="143"/>
      <c r="DE202" s="143"/>
      <c r="DF202" s="143"/>
      <c r="DG202" s="142">
        <f>SUM(DH202:DH202)</f>
      </c>
      <c r="DH202" s="143"/>
      <c r="DI202" s="142"/>
      <c r="DJ202" s="143"/>
      <c r="DK202" s="142">
        <f>SUM(DL202:DQ202)</f>
      </c>
      <c r="DL202" s="143"/>
      <c r="DM202" s="143"/>
      <c r="DN202" s="143"/>
      <c r="DO202" s="143"/>
      <c r="DP202" s="143"/>
      <c r="DQ202" s="143"/>
      <c r="DR202" s="143"/>
      <c r="DS202" s="143"/>
      <c r="DT202" s="143"/>
      <c r="DU202" s="143"/>
      <c r="DV202" s="143"/>
      <c r="DW202" s="143"/>
      <c r="DX202" s="142"/>
      <c r="DY202" s="143"/>
      <c r="DZ202" s="142"/>
      <c r="EA202" s="143"/>
      <c r="EB202" s="143"/>
      <c r="EC202" s="142"/>
      <c r="ED202" s="143"/>
      <c r="EF202" s="143"/>
      <c r="EG202" s="142">
        <f>SUM(EH202:EQ202)</f>
      </c>
      <c r="EH202" s="143"/>
      <c r="EI202" s="143"/>
      <c r="EJ202" s="143"/>
      <c r="EK202" s="143"/>
      <c r="EL202" s="143"/>
      <c r="EM202" s="143"/>
      <c r="EN202" s="143"/>
      <c r="EO202" s="143"/>
      <c r="EP202" s="143"/>
      <c r="EQ202" s="143"/>
      <c r="ER202" s="142">
        <f>SUM(ES202:ET202)</f>
      </c>
      <c r="ES202" s="143"/>
      <c r="ET202" s="143"/>
      <c r="EU202" s="144"/>
      <c r="FB202" s="146"/>
      <c r="FC202" s="146" cm="1">
        <f t="array" ref="FC202">ROW()-ROW(New[#Headers])</f>
        <v>196</v>
      </c>
    </row>
    <row r="203" spans="2:159" s="139" customFormat="1" ht="10.5" x14ac:dyDescent="0.2">
      <c r="B203" s="133"/>
      <c r="C203" s="4568" t="s">
        <v>375</v>
      </c>
      <c r="D203" t="s" s="4569">
        <v>376</v>
      </c>
      <c r="E203" s="4570" t="s">
        <v>732</v>
      </c>
      <c r="F203" t="s" s="4571">
        <v>1241</v>
      </c>
      <c r="G203" t="s" s="4572">
        <v>1597</v>
      </c>
      <c r="H203" s="4573" t="s">
        <v>46</v>
      </c>
      <c r="I203" t="s" s="4574">
        <v>41</v>
      </c>
      <c r="J203" t="s" s="4575">
        <v>68</v>
      </c>
      <c r="K203" t="s" s="4576">
        <v>1559</v>
      </c>
      <c r="L203" t="s" s="4577">
        <v>767</v>
      </c>
      <c r="M203" t="s" s="4578">
        <v>305</v>
      </c>
      <c r="N203" s="4579" t="s">
        <v>3873</v>
      </c>
      <c r="O203" s="4580" t="s">
        <v>3871</v>
      </c>
      <c r="P203" s="141"/>
      <c r="Q203" s="142">
        <f>SUM(R203:AQ203)</f>
      </c>
      <c r="R203" s="143"/>
      <c r="S203" s="143"/>
      <c r="T203" s="143"/>
      <c r="U203" s="143"/>
      <c r="V203" s="143"/>
      <c r="W203" s="143"/>
      <c r="X203" s="143"/>
      <c r="Y203" s="143"/>
      <c r="Z203" s="143"/>
      <c r="AA203" s="143"/>
      <c r="AB203" s="143"/>
      <c r="AC203" s="143"/>
      <c r="AD203" s="143"/>
      <c r="AE203" s="143"/>
      <c r="AF203" s="143"/>
      <c r="AG203" s="143"/>
      <c r="AH203" s="143"/>
      <c r="AI203" s="143"/>
      <c r="AJ203" s="143"/>
      <c r="AK203" s="143"/>
      <c r="AL203" s="143"/>
      <c r="AM203" s="4581" t="n">
        <v>2000.0</v>
      </c>
      <c r="AN203" s="143"/>
      <c r="AO203" s="143"/>
      <c r="AP203" s="143"/>
      <c r="AQ203" s="143"/>
      <c r="AR203" s="142">
        <f>SUM(AS203:AV203)</f>
      </c>
      <c r="AS203" s="143"/>
      <c r="AT203" s="143"/>
      <c r="AU203" s="143"/>
      <c r="AV203" s="143"/>
      <c r="AW203" s="142">
        <f>SUM(AX203:BI203)</f>
      </c>
      <c r="AX203" s="143"/>
      <c r="AY203" s="143"/>
      <c r="AZ203" s="143"/>
      <c r="BA203" s="143"/>
      <c r="BB203" s="143"/>
      <c r="BC203" s="143"/>
      <c r="BD203" s="143"/>
      <c r="BE203" s="143"/>
      <c r="BF203" s="143"/>
      <c r="BG203" s="143"/>
      <c r="BH203" s="143"/>
      <c r="BI203" s="143"/>
      <c r="BJ203" s="142"/>
      <c r="BK203" s="143"/>
      <c r="BL203" s="143"/>
      <c r="BM203" s="143"/>
      <c r="BN203" s="143"/>
      <c r="BO203" s="143"/>
      <c r="BP203" s="143"/>
      <c r="BQ203" s="142"/>
      <c r="BR203" s="143"/>
      <c r="BS203" s="143"/>
      <c r="BT203" s="142">
        <f>SUM(BU203:BW203)</f>
      </c>
      <c r="BU203" s="143"/>
      <c r="BV203" s="143"/>
      <c r="BW203" s="143"/>
      <c r="BX203" s="142">
        <f>SUM(BY203:CD203)</f>
      </c>
      <c r="BY203" s="143"/>
      <c r="BZ203" s="143"/>
      <c r="CA203" s="143"/>
      <c r="CB203" s="143"/>
      <c r="CC203" s="143"/>
      <c r="CD203" s="143"/>
      <c r="CE203" s="142"/>
      <c r="CF203" s="143"/>
      <c r="CG203" s="143"/>
      <c r="CH203" s="143"/>
      <c r="CI203" s="143"/>
      <c r="CJ203" s="143"/>
      <c r="CK203" s="142">
        <f>SUM(CL203:CN203)</f>
      </c>
      <c r="CL203" s="143"/>
      <c r="CM203" s="143"/>
      <c r="CN203" s="143"/>
      <c r="CO203" s="142">
        <f>SUM(CP203:CT203)</f>
      </c>
      <c r="CP203" s="143"/>
      <c r="CQ203" s="143"/>
      <c r="CR203" s="143"/>
      <c r="CS203" s="143"/>
      <c r="CT203" s="143"/>
      <c r="CU203" s="142"/>
      <c r="CV203" s="143"/>
      <c r="CW203" s="143"/>
      <c r="CX203" s="143"/>
      <c r="CY203" s="142"/>
      <c r="CZ203" s="143"/>
      <c r="DA203" s="143"/>
      <c r="DB203" s="143"/>
      <c r="DC203" s="143"/>
      <c r="DD203" s="143"/>
      <c r="DE203" s="143"/>
      <c r="DF203" s="143"/>
      <c r="DG203" s="142">
        <f>SUM(DH203:DH203)</f>
      </c>
      <c r="DH203" s="143"/>
      <c r="DI203" s="142"/>
      <c r="DJ203" s="143"/>
      <c r="DK203" s="142">
        <f>SUM(DL203:DQ203)</f>
      </c>
      <c r="DL203" s="143"/>
      <c r="DM203" s="143"/>
      <c r="DN203" s="143"/>
      <c r="DO203" s="143"/>
      <c r="DP203" s="143"/>
      <c r="DQ203" s="143"/>
      <c r="DR203" s="143"/>
      <c r="DS203" s="143"/>
      <c r="DT203" s="143"/>
      <c r="DU203" s="143"/>
      <c r="DV203" s="143"/>
      <c r="DW203" s="143"/>
      <c r="DX203" s="142"/>
      <c r="DY203" s="143"/>
      <c r="DZ203" s="142"/>
      <c r="EA203" s="143"/>
      <c r="EB203" s="143"/>
      <c r="EC203" s="142"/>
      <c r="ED203" s="143"/>
      <c r="EF203" s="143"/>
      <c r="EG203" s="142">
        <f>SUM(EH203:EQ203)</f>
      </c>
      <c r="EH203" s="143"/>
      <c r="EI203" s="143"/>
      <c r="EJ203" s="143"/>
      <c r="EK203" s="143"/>
      <c r="EL203" s="143"/>
      <c r="EM203" s="143"/>
      <c r="EN203" s="143"/>
      <c r="EO203" s="143"/>
      <c r="EP203" s="143"/>
      <c r="EQ203" s="143"/>
      <c r="ER203" s="142">
        <f>SUM(ES203:ET203)</f>
      </c>
      <c r="ES203" s="143"/>
      <c r="ET203" s="143"/>
      <c r="EU203" s="144"/>
      <c r="FB203" s="146"/>
      <c r="FC203" s="146" cm="1">
        <f t="array" ref="FC203">ROW()-ROW(New[#Headers])</f>
        <v>197</v>
      </c>
    </row>
    <row r="204" spans="2:159" s="139" customFormat="1" ht="10.5" x14ac:dyDescent="0.2">
      <c r="B204" s="133"/>
      <c r="C204" s="4582" t="s">
        <v>1642</v>
      </c>
      <c r="D204" t="s" s="4583">
        <v>394</v>
      </c>
      <c r="E204" s="4584" t="s">
        <v>13</v>
      </c>
      <c r="F204" t="s" s="4585">
        <v>750</v>
      </c>
      <c r="G204" t="s" s="4586">
        <v>345</v>
      </c>
      <c r="H204" s="4587" t="s">
        <v>46</v>
      </c>
      <c r="I204" t="s" s="4588">
        <v>41</v>
      </c>
      <c r="J204" t="s" s="4589">
        <v>64</v>
      </c>
      <c r="K204" t="s" s="4590">
        <v>1622</v>
      </c>
      <c r="L204" t="s" s="4591">
        <v>305</v>
      </c>
      <c r="M204" t="s" s="4592">
        <v>1615</v>
      </c>
      <c r="N204" s="4593" t="s">
        <v>3873</v>
      </c>
      <c r="O204" s="4594" t="s">
        <v>3874</v>
      </c>
      <c r="P204" s="141"/>
      <c r="Q204" s="142">
        <f>SUM(R204:AQ204)</f>
      </c>
      <c r="R204" s="143"/>
      <c r="S204" s="143"/>
      <c r="T204" s="143"/>
      <c r="U204" s="143"/>
      <c r="V204" s="143"/>
      <c r="W204" s="143"/>
      <c r="X204" s="143"/>
      <c r="Y204" s="143"/>
      <c r="Z204" s="143"/>
      <c r="AA204" s="143"/>
      <c r="AB204" s="143"/>
      <c r="AC204" s="143"/>
      <c r="AD204" s="143"/>
      <c r="AE204" s="143"/>
      <c r="AF204" s="143"/>
      <c r="AG204" s="143"/>
      <c r="AH204" s="143"/>
      <c r="AI204" s="143"/>
      <c r="AJ204" s="143"/>
      <c r="AK204" s="143"/>
      <c r="AL204" s="143"/>
      <c r="AM204" s="143"/>
      <c r="AN204" s="143"/>
      <c r="AO204" s="143"/>
      <c r="AP204" s="143"/>
      <c r="AQ204" s="143"/>
      <c r="AR204" s="142">
        <f>SUM(AS204:AV204)</f>
      </c>
      <c r="AS204" s="143"/>
      <c r="AT204" s="143"/>
      <c r="AU204" s="143"/>
      <c r="AV204" s="143"/>
      <c r="AW204" s="142">
        <f>SUM(AX204:BI204)</f>
      </c>
      <c r="AX204" s="143"/>
      <c r="AY204" s="143"/>
      <c r="AZ204" s="143"/>
      <c r="BA204" s="143"/>
      <c r="BB204" s="143"/>
      <c r="BC204" s="143"/>
      <c r="BD204" s="143"/>
      <c r="BE204" s="143"/>
      <c r="BF204" s="143"/>
      <c r="BG204" s="143"/>
      <c r="BH204" s="143"/>
      <c r="BI204" s="143"/>
      <c r="BJ204" s="142"/>
      <c r="BK204" s="143"/>
      <c r="BL204" s="143"/>
      <c r="BM204" s="143"/>
      <c r="BN204" s="143"/>
      <c r="BO204" s="143"/>
      <c r="BP204" s="143"/>
      <c r="BQ204" s="142"/>
      <c r="BR204" s="143"/>
      <c r="BS204" s="143"/>
      <c r="BT204" s="142">
        <f>SUM(BU204:BW204)</f>
      </c>
      <c r="BU204" s="143"/>
      <c r="BV204" s="143"/>
      <c r="BW204" s="143"/>
      <c r="BX204" s="142">
        <f>SUM(BY204:CD204)</f>
      </c>
      <c r="BY204" s="143"/>
      <c r="BZ204" s="143"/>
      <c r="CA204" s="143"/>
      <c r="CB204" s="143"/>
      <c r="CC204" s="143"/>
      <c r="CD204" s="143"/>
      <c r="CE204" s="142"/>
      <c r="CF204" s="143"/>
      <c r="CG204" s="143"/>
      <c r="CH204" s="143"/>
      <c r="CI204" s="143"/>
      <c r="CJ204" s="143"/>
      <c r="CK204" s="142">
        <f>SUM(CL204:CN204)</f>
      </c>
      <c r="CL204" s="143"/>
      <c r="CM204" s="143"/>
      <c r="CN204" s="143"/>
      <c r="CO204" s="142">
        <f>SUM(CP204:CT204)</f>
      </c>
      <c r="CP204" s="143"/>
      <c r="CQ204" s="143"/>
      <c r="CR204" s="143"/>
      <c r="CS204" s="143"/>
      <c r="CT204" s="143"/>
      <c r="CU204" s="142"/>
      <c r="CV204" s="143"/>
      <c r="CW204" s="143"/>
      <c r="CX204" s="143"/>
      <c r="CY204" s="142"/>
      <c r="CZ204" s="143"/>
      <c r="DA204" s="143"/>
      <c r="DB204" s="143"/>
      <c r="DC204" s="143"/>
      <c r="DD204" s="143"/>
      <c r="DE204" s="143"/>
      <c r="DF204" s="143"/>
      <c r="DG204" s="142">
        <f>SUM(DH204:DH204)</f>
      </c>
      <c r="DH204" s="143"/>
      <c r="DI204" s="142"/>
      <c r="DJ204" s="143"/>
      <c r="DK204" s="142">
        <f>SUM(DL204:DQ204)</f>
      </c>
      <c r="DL204" s="143"/>
      <c r="DM204" s="143"/>
      <c r="DN204" s="143"/>
      <c r="DO204" s="143"/>
      <c r="DP204" s="143"/>
      <c r="DQ204" s="143"/>
      <c r="DR204" s="143"/>
      <c r="DS204" s="143"/>
      <c r="DT204" s="143"/>
      <c r="DU204" s="143"/>
      <c r="DV204" s="143"/>
      <c r="DW204" s="143"/>
      <c r="DX204" s="142"/>
      <c r="DY204" s="143"/>
      <c r="DZ204" s="142"/>
      <c r="EA204" s="143"/>
      <c r="EB204" s="143"/>
      <c r="EC204" s="142"/>
      <c r="ED204" s="143"/>
      <c r="EF204" s="143"/>
      <c r="EG204" s="142">
        <f>SUM(EH204:EQ204)</f>
      </c>
      <c r="EH204" s="143"/>
      <c r="EI204" s="143"/>
      <c r="EJ204" s="143"/>
      <c r="EK204" s="143"/>
      <c r="EL204" s="143"/>
      <c r="EM204" s="143"/>
      <c r="EN204" s="143"/>
      <c r="EO204" s="143"/>
      <c r="EP204" s="143"/>
      <c r="EQ204" s="143"/>
      <c r="ER204" s="142">
        <f>SUM(ES204:ET204)</f>
      </c>
      <c r="ES204" s="143"/>
      <c r="ET204" s="143"/>
      <c r="EU204" s="144"/>
      <c r="FB204" s="146"/>
      <c r="FC204" s="146" cm="1">
        <f t="array" ref="FC204">ROW()-ROW(New[#Headers])</f>
        <v>198</v>
      </c>
    </row>
    <row r="205" spans="2:159" s="139" customFormat="1" ht="10.5" x14ac:dyDescent="0.2">
      <c r="B205" s="133"/>
      <c r="C205" s="4595" t="s">
        <v>351</v>
      </c>
      <c r="D205" t="s" s="4596">
        <v>352</v>
      </c>
      <c r="E205" s="4597" t="s">
        <v>23</v>
      </c>
      <c r="F205" t="s" s="4598">
        <v>810</v>
      </c>
      <c r="G205" t="s" s="4599">
        <v>1597</v>
      </c>
      <c r="H205" s="4600" t="s">
        <v>51</v>
      </c>
      <c r="I205" t="s" s="4601">
        <v>43</v>
      </c>
      <c r="J205" t="s" s="4602">
        <v>71</v>
      </c>
      <c r="K205" t="s" s="4603">
        <v>811</v>
      </c>
      <c r="L205" t="s" s="4604">
        <v>779</v>
      </c>
      <c r="M205" t="s" s="4605">
        <v>305</v>
      </c>
      <c r="N205" s="4606" t="s">
        <v>3873</v>
      </c>
      <c r="O205" s="4607" t="s">
        <v>3871</v>
      </c>
      <c r="P205" s="141"/>
      <c r="Q205" s="142">
        <f>SUM(R205:AQ205)</f>
      </c>
      <c r="R205" s="143"/>
      <c r="S205" s="143"/>
      <c r="T205" s="143"/>
      <c r="U205" s="143"/>
      <c r="V205" s="143"/>
      <c r="W205" s="4608" t="n">
        <v>1450.0</v>
      </c>
      <c r="X205" s="143"/>
      <c r="Y205" s="143"/>
      <c r="Z205" s="4609" t="n">
        <v>800.0</v>
      </c>
      <c r="AA205" s="143"/>
      <c r="AB205" s="143"/>
      <c r="AC205" s="143"/>
      <c r="AD205" s="143"/>
      <c r="AE205" s="143"/>
      <c r="AF205" s="143"/>
      <c r="AG205" s="143"/>
      <c r="AH205" s="143"/>
      <c r="AI205" s="143"/>
      <c r="AJ205" s="143"/>
      <c r="AK205" s="143"/>
      <c r="AL205" s="143"/>
      <c r="AM205" s="143"/>
      <c r="AN205" s="143"/>
      <c r="AO205" s="143"/>
      <c r="AP205" s="143"/>
      <c r="AQ205" s="143"/>
      <c r="AR205" s="142">
        <f>SUM(AS205:AV205)</f>
      </c>
      <c r="AS205" s="143"/>
      <c r="AT205" s="143"/>
      <c r="AU205" s="143"/>
      <c r="AV205" s="143"/>
      <c r="AW205" s="142">
        <f>SUM(AX205:BI205)</f>
      </c>
      <c r="AX205" s="143"/>
      <c r="AY205" s="143"/>
      <c r="AZ205" s="143"/>
      <c r="BA205" s="143"/>
      <c r="BB205" s="143"/>
      <c r="BC205" s="143"/>
      <c r="BD205" s="143"/>
      <c r="BE205" s="143"/>
      <c r="BF205" s="143"/>
      <c r="BG205" s="143"/>
      <c r="BH205" s="143"/>
      <c r="BI205" s="143"/>
      <c r="BJ205" s="142"/>
      <c r="BK205" s="143"/>
      <c r="BL205" s="143"/>
      <c r="BM205" s="143"/>
      <c r="BN205" s="143"/>
      <c r="BO205" s="143"/>
      <c r="BP205" s="143"/>
      <c r="BQ205" s="142"/>
      <c r="BR205" s="143"/>
      <c r="BS205" s="143"/>
      <c r="BT205" s="142">
        <f>SUM(BU205:BW205)</f>
      </c>
      <c r="BU205" s="143"/>
      <c r="BV205" s="143"/>
      <c r="BW205" s="143"/>
      <c r="BX205" s="142">
        <f>SUM(BY205:CD205)</f>
      </c>
      <c r="BY205" s="143"/>
      <c r="BZ205" s="143"/>
      <c r="CA205" s="143"/>
      <c r="CB205" s="143"/>
      <c r="CC205" s="143"/>
      <c r="CD205" s="143"/>
      <c r="CE205" s="142"/>
      <c r="CF205" s="143"/>
      <c r="CG205" s="143"/>
      <c r="CH205" s="143"/>
      <c r="CI205" s="143"/>
      <c r="CJ205" s="143"/>
      <c r="CK205" s="142">
        <f>SUM(CL205:CN205)</f>
      </c>
      <c r="CL205" s="143"/>
      <c r="CM205" s="143"/>
      <c r="CN205" s="143"/>
      <c r="CO205" s="142">
        <f>SUM(CP205:CT205)</f>
      </c>
      <c r="CP205" s="143"/>
      <c r="CQ205" s="143"/>
      <c r="CR205" s="143"/>
      <c r="CS205" s="143"/>
      <c r="CT205" s="143"/>
      <c r="CU205" s="142"/>
      <c r="CV205" s="143"/>
      <c r="CW205" s="143"/>
      <c r="CX205" s="143"/>
      <c r="CY205" s="142"/>
      <c r="CZ205" s="143"/>
      <c r="DA205" s="143"/>
      <c r="DB205" s="143"/>
      <c r="DC205" s="143"/>
      <c r="DD205" s="143"/>
      <c r="DE205" s="143"/>
      <c r="DF205" s="143"/>
      <c r="DG205" s="142">
        <f>SUM(DH205:DH205)</f>
      </c>
      <c r="DH205" s="143"/>
      <c r="DI205" s="142"/>
      <c r="DJ205" s="143"/>
      <c r="DK205" s="142">
        <f>SUM(DL205:DQ205)</f>
      </c>
      <c r="DL205" s="143"/>
      <c r="DM205" s="143"/>
      <c r="DN205" s="143"/>
      <c r="DO205" s="143"/>
      <c r="DP205" s="143"/>
      <c r="DQ205" s="143"/>
      <c r="DR205" s="143"/>
      <c r="DS205" s="143"/>
      <c r="DT205" s="143"/>
      <c r="DU205" s="143"/>
      <c r="DV205" s="143"/>
      <c r="DW205" s="143"/>
      <c r="DX205" s="142"/>
      <c r="DY205" s="143"/>
      <c r="DZ205" s="142"/>
      <c r="EA205" s="143"/>
      <c r="EB205" s="143"/>
      <c r="EC205" s="142"/>
      <c r="ED205" s="143"/>
      <c r="EF205" s="143"/>
      <c r="EG205" s="142">
        <f>SUM(EH205:EQ205)</f>
      </c>
      <c r="EH205" s="143"/>
      <c r="EI205" s="143"/>
      <c r="EJ205" s="143"/>
      <c r="EK205" s="143"/>
      <c r="EL205" s="143"/>
      <c r="EM205" s="143"/>
      <c r="EN205" s="143"/>
      <c r="EO205" s="143"/>
      <c r="EP205" s="143"/>
      <c r="EQ205" s="143"/>
      <c r="ER205" s="142">
        <f>SUM(ES205:ET205)</f>
      </c>
      <c r="ES205" s="143"/>
      <c r="ET205" s="143"/>
      <c r="EU205" s="144"/>
      <c r="FB205" s="146"/>
      <c r="FC205" s="146" cm="1">
        <f t="array" ref="FC205">ROW()-ROW(New[#Headers])</f>
        <v>199</v>
      </c>
    </row>
    <row r="206" spans="2:159" s="139" customFormat="1" ht="10.5" x14ac:dyDescent="0.2">
      <c r="B206" s="133"/>
      <c r="C206" s="4668" t="s">
        <v>570</v>
      </c>
      <c r="D206" t="s" s="4669">
        <v>571</v>
      </c>
      <c r="E206" s="4670" t="s">
        <v>13</v>
      </c>
      <c r="F206" t="s" s="4671">
        <v>1262</v>
      </c>
      <c r="G206" t="s" s="4672">
        <v>1597</v>
      </c>
      <c r="H206" s="4673" t="s">
        <v>46</v>
      </c>
      <c r="I206" t="s" s="4674">
        <v>22</v>
      </c>
      <c r="J206" t="s" s="4675">
        <v>64</v>
      </c>
      <c r="K206" t="s" s="4676">
        <v>1617</v>
      </c>
      <c r="L206" t="s" s="4677">
        <v>934</v>
      </c>
      <c r="M206" t="s" s="4678">
        <v>305</v>
      </c>
      <c r="N206" s="4679" t="s">
        <v>3867</v>
      </c>
      <c r="O206" s="4680" t="s">
        <v>3871</v>
      </c>
      <c r="P206" s="141"/>
      <c r="Q206" s="142">
        <f>SUM(R206:AQ206)</f>
      </c>
      <c r="R206" s="143"/>
      <c r="S206" s="143"/>
      <c r="T206" s="143"/>
      <c r="U206" s="4681" t="n">
        <v>200.0</v>
      </c>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2">
        <f>SUM(AS206:AV206)</f>
      </c>
      <c r="AS206" s="143"/>
      <c r="AT206" s="143"/>
      <c r="AU206" s="143"/>
      <c r="AV206" s="143"/>
      <c r="AW206" s="142">
        <f>SUM(AX206:BI206)</f>
      </c>
      <c r="AX206" s="143"/>
      <c r="AY206" s="143"/>
      <c r="AZ206" s="143"/>
      <c r="BA206" s="143"/>
      <c r="BB206" s="143"/>
      <c r="BC206" s="143"/>
      <c r="BD206" s="143"/>
      <c r="BE206" s="143"/>
      <c r="BF206" s="143"/>
      <c r="BG206" s="143"/>
      <c r="BH206" s="143"/>
      <c r="BI206" s="143"/>
      <c r="BJ206" s="142"/>
      <c r="BK206" s="143"/>
      <c r="BL206" s="143"/>
      <c r="BM206" s="143"/>
      <c r="BN206" s="143"/>
      <c r="BO206" s="143"/>
      <c r="BP206" s="143"/>
      <c r="BQ206" s="142"/>
      <c r="BR206" s="143"/>
      <c r="BS206" s="143"/>
      <c r="BT206" s="142">
        <f>SUM(BU206:BW206)</f>
      </c>
      <c r="BU206" s="143"/>
      <c r="BV206" s="143"/>
      <c r="BW206" s="143"/>
      <c r="BX206" s="142">
        <f>SUM(BY206:CD206)</f>
      </c>
      <c r="BY206" s="143"/>
      <c r="BZ206" s="143"/>
      <c r="CA206" s="143"/>
      <c r="CB206" s="143"/>
      <c r="CC206" s="143"/>
      <c r="CD206" s="143"/>
      <c r="CE206" s="142"/>
      <c r="CF206" s="143"/>
      <c r="CG206" s="143"/>
      <c r="CH206" s="143"/>
      <c r="CI206" s="143"/>
      <c r="CJ206" s="143"/>
      <c r="CK206" s="142">
        <f>SUM(CL206:CN206)</f>
      </c>
      <c r="CL206" s="143"/>
      <c r="CM206" s="143"/>
      <c r="CN206" s="143"/>
      <c r="CO206" s="142">
        <f>SUM(CP206:CT206)</f>
      </c>
      <c r="CP206" s="143"/>
      <c r="CQ206" s="143"/>
      <c r="CR206" s="143"/>
      <c r="CS206" s="143"/>
      <c r="CT206" s="143"/>
      <c r="CU206" s="142"/>
      <c r="CV206" s="143"/>
      <c r="CW206" s="143"/>
      <c r="CX206" s="143"/>
      <c r="CY206" s="142"/>
      <c r="CZ206" s="143"/>
      <c r="DA206" s="143"/>
      <c r="DB206" s="143"/>
      <c r="DC206" s="143"/>
      <c r="DD206" s="143"/>
      <c r="DE206" s="143"/>
      <c r="DF206" s="143"/>
      <c r="DG206" s="142">
        <f>SUM(DH206:DH206)</f>
      </c>
      <c r="DH206" s="143"/>
      <c r="DI206" s="142"/>
      <c r="DJ206" s="143"/>
      <c r="DK206" s="142">
        <f>SUM(DL206:DQ206)</f>
      </c>
      <c r="DL206" s="143"/>
      <c r="DM206" s="143"/>
      <c r="DN206" s="143"/>
      <c r="DO206" s="143"/>
      <c r="DP206" s="143"/>
      <c r="DQ206" s="143"/>
      <c r="DR206" s="143"/>
      <c r="DS206" s="143"/>
      <c r="DT206" s="143"/>
      <c r="DU206" s="143"/>
      <c r="DV206" s="143"/>
      <c r="DW206" s="143"/>
      <c r="DX206" s="142"/>
      <c r="DY206" s="143"/>
      <c r="DZ206" s="142"/>
      <c r="EA206" s="143"/>
      <c r="EB206" s="143"/>
      <c r="EC206" s="142"/>
      <c r="ED206" s="143"/>
      <c r="EF206" s="143"/>
      <c r="EG206" s="142">
        <f>SUM(EH206:EQ206)</f>
      </c>
      <c r="EH206" s="143"/>
      <c r="EI206" s="143"/>
      <c r="EJ206" s="143"/>
      <c r="EK206" s="143"/>
      <c r="EL206" s="143"/>
      <c r="EM206" s="143"/>
      <c r="EN206" s="143"/>
      <c r="EO206" s="143"/>
      <c r="EP206" s="143"/>
      <c r="EQ206" s="143"/>
      <c r="ER206" s="142">
        <f>SUM(ES206:ET206)</f>
      </c>
      <c r="ES206" s="143"/>
      <c r="ET206" s="143"/>
      <c r="EU206" s="144"/>
      <c r="FB206" s="146"/>
      <c r="FC206" s="146" cm="1">
        <f t="array" ref="FC206">ROW()-ROW(New[#Headers])</f>
        <v>200</v>
      </c>
    </row>
    <row r="207" spans="2:159" s="139" customFormat="1" ht="10.5" x14ac:dyDescent="0.2">
      <c r="B207" s="133"/>
      <c r="C207" s="4685" t="s">
        <v>395</v>
      </c>
      <c r="D207" t="s" s="4686">
        <v>396</v>
      </c>
      <c r="E207" s="4687" t="s">
        <v>23</v>
      </c>
      <c r="F207" t="s" s="4688">
        <v>1641</v>
      </c>
      <c r="G207" t="s" s="4689">
        <v>1597</v>
      </c>
      <c r="H207" s="4690" t="s">
        <v>51</v>
      </c>
      <c r="I207" t="s" s="4691">
        <v>41</v>
      </c>
      <c r="J207" t="s" s="4692">
        <v>68</v>
      </c>
      <c r="K207" t="s" s="4693">
        <v>1059</v>
      </c>
      <c r="L207" t="s" s="4694">
        <v>1242</v>
      </c>
      <c r="M207" t="s" s="4695">
        <v>305</v>
      </c>
      <c r="N207" s="4696" t="s">
        <v>3873</v>
      </c>
      <c r="O207" s="4697" t="s">
        <v>3871</v>
      </c>
      <c r="P207" s="141"/>
      <c r="Q207" s="142">
        <f>SUM(R207:AQ207)</f>
      </c>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4698" t="n">
        <v>600.0</v>
      </c>
      <c r="AP207" s="143"/>
      <c r="AQ207" s="143"/>
      <c r="AR207" s="142">
        <f>SUM(AS207:AV207)</f>
      </c>
      <c r="AS207" s="143"/>
      <c r="AT207" s="143"/>
      <c r="AU207" s="143"/>
      <c r="AV207" s="143"/>
      <c r="AW207" s="142">
        <f>SUM(AX207:BI207)</f>
      </c>
      <c r="AX207" s="143"/>
      <c r="AY207" s="143"/>
      <c r="AZ207" s="143"/>
      <c r="BA207" s="143"/>
      <c r="BB207" s="143"/>
      <c r="BC207" s="143"/>
      <c r="BD207" s="143"/>
      <c r="BE207" s="143"/>
      <c r="BF207" s="143"/>
      <c r="BG207" s="143"/>
      <c r="BH207" s="143"/>
      <c r="BI207" s="143"/>
      <c r="BJ207" s="142"/>
      <c r="BK207" s="143"/>
      <c r="BL207" s="143"/>
      <c r="BM207" s="143"/>
      <c r="BN207" s="143"/>
      <c r="BO207" s="143"/>
      <c r="BP207" s="143"/>
      <c r="BQ207" s="142"/>
      <c r="BR207" s="143"/>
      <c r="BS207" s="143"/>
      <c r="BT207" s="142">
        <f>SUM(BU207:BW207)</f>
      </c>
      <c r="BU207" s="143"/>
      <c r="BV207" s="143"/>
      <c r="BW207" s="143"/>
      <c r="BX207" s="142">
        <f>SUM(BY207:CD207)</f>
      </c>
      <c r="BY207" s="143"/>
      <c r="BZ207" s="143"/>
      <c r="CA207" s="143"/>
      <c r="CB207" s="143"/>
      <c r="CC207" s="143"/>
      <c r="CD207" s="143"/>
      <c r="CE207" s="142"/>
      <c r="CF207" s="143"/>
      <c r="CG207" s="143"/>
      <c r="CH207" s="143"/>
      <c r="CI207" s="143"/>
      <c r="CJ207" s="143"/>
      <c r="CK207" s="142">
        <f>SUM(CL207:CN207)</f>
      </c>
      <c r="CL207" s="143"/>
      <c r="CM207" s="143"/>
      <c r="CN207" s="143"/>
      <c r="CO207" s="142">
        <f>SUM(CP207:CT207)</f>
      </c>
      <c r="CP207" s="143"/>
      <c r="CQ207" s="143"/>
      <c r="CR207" s="143"/>
      <c r="CS207" s="143"/>
      <c r="CT207" s="143"/>
      <c r="CU207" s="142"/>
      <c r="CV207" s="143"/>
      <c r="CW207" s="143"/>
      <c r="CX207" s="143"/>
      <c r="CY207" s="142"/>
      <c r="CZ207" s="143"/>
      <c r="DA207" s="143"/>
      <c r="DB207" s="143"/>
      <c r="DC207" s="143"/>
      <c r="DD207" s="143"/>
      <c r="DE207" s="143"/>
      <c r="DF207" s="143"/>
      <c r="DG207" s="142">
        <f>SUM(DH207:DH207)</f>
      </c>
      <c r="DH207" s="143"/>
      <c r="DI207" s="142"/>
      <c r="DJ207" s="143"/>
      <c r="DK207" s="142">
        <f>SUM(DL207:DQ207)</f>
      </c>
      <c r="DL207" s="143"/>
      <c r="DM207" s="143"/>
      <c r="DN207" s="143"/>
      <c r="DO207" s="143"/>
      <c r="DP207" s="143"/>
      <c r="DQ207" s="143"/>
      <c r="DR207" s="143"/>
      <c r="DS207" s="143"/>
      <c r="DT207" s="143"/>
      <c r="DU207" s="143"/>
      <c r="DV207" s="143"/>
      <c r="DW207" s="143"/>
      <c r="DX207" s="142"/>
      <c r="DY207" s="143"/>
      <c r="DZ207" s="142"/>
      <c r="EA207" s="143"/>
      <c r="EB207" s="143"/>
      <c r="EC207" s="142"/>
      <c r="ED207" s="143"/>
      <c r="EF207" s="143"/>
      <c r="EG207" s="142">
        <f>SUM(EH207:EQ207)</f>
      </c>
      <c r="EH207" s="143"/>
      <c r="EI207" s="143"/>
      <c r="EJ207" s="143"/>
      <c r="EK207" s="143"/>
      <c r="EL207" s="143"/>
      <c r="EM207" s="143"/>
      <c r="EN207" s="143"/>
      <c r="EO207" s="143"/>
      <c r="EP207" s="143"/>
      <c r="EQ207" s="143"/>
      <c r="ER207" s="142">
        <f>SUM(ES207:ET207)</f>
      </c>
      <c r="ES207" s="143"/>
      <c r="ET207" s="143"/>
      <c r="EU207" s="144"/>
      <c r="FB207" s="146"/>
      <c r="FC207" s="146" cm="1">
        <f t="array" ref="FC207">ROW()-ROW(New[#Headers])</f>
        <v>201</v>
      </c>
    </row>
    <row r="208" spans="2:159" s="139" customFormat="1" ht="10.5" x14ac:dyDescent="0.2">
      <c r="B208" s="133"/>
      <c r="C208" s="4699" t="s">
        <v>1684</v>
      </c>
      <c r="D208" t="s" s="4700">
        <v>605</v>
      </c>
      <c r="E208" s="4701" t="s">
        <v>305</v>
      </c>
      <c r="F208" t="s" s="4702">
        <v>305</v>
      </c>
      <c r="G208" t="s" s="4703">
        <v>305</v>
      </c>
      <c r="H208" s="4704" t="s">
        <v>305</v>
      </c>
      <c r="I208" t="s" s="4705">
        <v>305</v>
      </c>
      <c r="J208" t="s" s="4706">
        <v>305</v>
      </c>
      <c r="K208" t="s" s="4707">
        <v>1686</v>
      </c>
      <c r="L208" t="s" s="4708">
        <v>305</v>
      </c>
      <c r="M208" t="s" s="4709">
        <v>305</v>
      </c>
      <c r="N208" s="4710" t="s">
        <v>3873</v>
      </c>
      <c r="O208" s="4711" t="s">
        <v>3871</v>
      </c>
      <c r="P208" s="141"/>
      <c r="Q208" s="142">
        <f>SUM(R208:AQ208)</f>
      </c>
      <c r="R208" s="143"/>
      <c r="S208" s="143"/>
      <c r="T208" s="143"/>
      <c r="U208" s="143"/>
      <c r="V208" s="143"/>
      <c r="W208" s="143"/>
      <c r="X208" s="143"/>
      <c r="Y208" s="143"/>
      <c r="Z208" s="143"/>
      <c r="AA208" s="143"/>
      <c r="AB208" s="143"/>
      <c r="AC208" s="143"/>
      <c r="AD208" s="143"/>
      <c r="AE208" s="143"/>
      <c r="AF208" s="143"/>
      <c r="AG208" s="143"/>
      <c r="AH208" s="143"/>
      <c r="AI208" s="143"/>
      <c r="AJ208" s="143"/>
      <c r="AK208" s="143"/>
      <c r="AL208" s="143"/>
      <c r="AM208" s="143"/>
      <c r="AN208" s="143"/>
      <c r="AO208" s="143"/>
      <c r="AP208" s="143"/>
      <c r="AQ208" s="143"/>
      <c r="AR208" s="142">
        <f>SUM(AS208:AV208)</f>
      </c>
      <c r="AS208" s="143"/>
      <c r="AT208" s="143"/>
      <c r="AU208" s="143"/>
      <c r="AV208" s="143"/>
      <c r="AW208" s="142">
        <f>SUM(AX208:BI208)</f>
      </c>
      <c r="AX208" s="143"/>
      <c r="AY208" s="143"/>
      <c r="AZ208" s="143"/>
      <c r="BA208" s="143"/>
      <c r="BB208" s="143"/>
      <c r="BC208" s="143"/>
      <c r="BD208" s="143"/>
      <c r="BE208" s="143"/>
      <c r="BF208" s="143"/>
      <c r="BG208" s="143"/>
      <c r="BH208" s="143"/>
      <c r="BI208" s="143"/>
      <c r="BJ208" s="142"/>
      <c r="BK208" s="143"/>
      <c r="BL208" s="143"/>
      <c r="BM208" s="143"/>
      <c r="BN208" s="143"/>
      <c r="BO208" s="143"/>
      <c r="BP208" s="143"/>
      <c r="BQ208" s="142"/>
      <c r="BR208" s="143"/>
      <c r="BS208" s="143"/>
      <c r="BT208" s="142">
        <f>SUM(BU208:BW208)</f>
      </c>
      <c r="BU208" s="143"/>
      <c r="BV208" s="143"/>
      <c r="BW208" s="143"/>
      <c r="BX208" s="142">
        <f>SUM(BY208:CD208)</f>
      </c>
      <c r="BY208" s="143"/>
      <c r="BZ208" s="143"/>
      <c r="CA208" s="143"/>
      <c r="CB208" s="143"/>
      <c r="CC208" s="143"/>
      <c r="CD208" s="143"/>
      <c r="CE208" s="142"/>
      <c r="CF208" s="143"/>
      <c r="CG208" s="143"/>
      <c r="CH208" s="143"/>
      <c r="CI208" s="143"/>
      <c r="CJ208" s="143"/>
      <c r="CK208" s="142">
        <f>SUM(CL208:CN208)</f>
      </c>
      <c r="CL208" s="4712" t="n">
        <v>61.0</v>
      </c>
      <c r="CM208" s="143"/>
      <c r="CN208" s="143"/>
      <c r="CO208" s="142">
        <f>SUM(CP208:CT208)</f>
      </c>
      <c r="CP208" s="4713" t="n">
        <v>18.0</v>
      </c>
      <c r="CQ208" s="143"/>
      <c r="CR208" s="143"/>
      <c r="CS208" s="143"/>
      <c r="CT208" s="143"/>
      <c r="CU208" s="142"/>
      <c r="CV208" s="143"/>
      <c r="CW208" s="143"/>
      <c r="CX208" s="143"/>
      <c r="CY208" s="142"/>
      <c r="CZ208" s="143"/>
      <c r="DA208" s="143"/>
      <c r="DB208" s="143"/>
      <c r="DC208" s="143"/>
      <c r="DD208" s="143"/>
      <c r="DE208" s="143"/>
      <c r="DF208" s="143"/>
      <c r="DG208" s="142">
        <f>SUM(DH208:DH208)</f>
      </c>
      <c r="DH208" s="143"/>
      <c r="DI208" s="142"/>
      <c r="DJ208" s="143"/>
      <c r="DK208" s="142">
        <f>SUM(DL208:DQ208)</f>
      </c>
      <c r="DL208" s="143"/>
      <c r="DM208" s="143"/>
      <c r="DN208" s="143"/>
      <c r="DO208" s="143"/>
      <c r="DP208" s="143"/>
      <c r="DQ208" s="143"/>
      <c r="DR208" s="143"/>
      <c r="DS208" s="143"/>
      <c r="DT208" s="143"/>
      <c r="DU208" s="143"/>
      <c r="DV208" s="143"/>
      <c r="DW208" s="143"/>
      <c r="DX208" s="142"/>
      <c r="DY208" s="143"/>
      <c r="DZ208" s="142"/>
      <c r="EA208" s="143"/>
      <c r="EB208" s="143"/>
      <c r="EC208" s="142"/>
      <c r="ED208" s="143"/>
      <c r="EF208" s="143"/>
      <c r="EG208" s="142">
        <f>SUM(EH208:EQ208)</f>
      </c>
      <c r="EH208" s="143"/>
      <c r="EI208" s="143"/>
      <c r="EJ208" s="143"/>
      <c r="EK208" s="143"/>
      <c r="EL208" s="143"/>
      <c r="EM208" s="143"/>
      <c r="EN208" s="143"/>
      <c r="EO208" s="143"/>
      <c r="EP208" s="143"/>
      <c r="EQ208" s="143"/>
      <c r="ER208" s="142">
        <f>SUM(ES208:ET208)</f>
      </c>
      <c r="ES208" s="143"/>
      <c r="ET208" s="143"/>
      <c r="EU208" s="144"/>
      <c r="FB208" s="146"/>
      <c r="FC208" s="146" cm="1">
        <f t="array" ref="FC208">ROW()-ROW(New[#Headers])</f>
        <v>202</v>
      </c>
    </row>
    <row r="209" spans="2:159" s="139" customFormat="1" ht="10.5" x14ac:dyDescent="0.2">
      <c r="B209" s="133"/>
      <c r="C209" s="4714" t="s">
        <v>380</v>
      </c>
      <c r="D209" t="s" s="4715">
        <v>381</v>
      </c>
      <c r="E209" s="4716" t="s">
        <v>13</v>
      </c>
      <c r="F209" t="s" s="4717">
        <v>810</v>
      </c>
      <c r="G209" t="s" s="4718">
        <v>1597</v>
      </c>
      <c r="H209" s="4719" t="s">
        <v>46</v>
      </c>
      <c r="I209" t="s" s="4720">
        <v>41</v>
      </c>
      <c r="J209" t="s" s="4721">
        <v>71</v>
      </c>
      <c r="K209" t="s" s="4722">
        <v>811</v>
      </c>
      <c r="L209" t="s" s="4723">
        <v>779</v>
      </c>
      <c r="M209" t="s" s="4724">
        <v>305</v>
      </c>
      <c r="N209" s="4725" t="s">
        <v>3873</v>
      </c>
      <c r="O209" s="4726" t="s">
        <v>3871</v>
      </c>
      <c r="P209" s="141"/>
      <c r="Q209" s="142">
        <f>SUM(R209:AQ209)</f>
      </c>
      <c r="R209" s="143"/>
      <c r="S209" s="143"/>
      <c r="T209" s="143"/>
      <c r="U209" s="143"/>
      <c r="V209" s="143"/>
      <c r="W209" s="4727" t="n">
        <v>890.0</v>
      </c>
      <c r="X209" s="143"/>
      <c r="Y209" s="143"/>
      <c r="Z209" s="143"/>
      <c r="AA209" s="143"/>
      <c r="AB209" s="143"/>
      <c r="AC209" s="143"/>
      <c r="AD209" s="143"/>
      <c r="AE209" s="143"/>
      <c r="AF209" s="143"/>
      <c r="AG209" s="143"/>
      <c r="AH209" s="143"/>
      <c r="AI209" s="143"/>
      <c r="AJ209" s="143"/>
      <c r="AK209" s="143"/>
      <c r="AL209" s="143"/>
      <c r="AM209" s="143"/>
      <c r="AN209" s="143"/>
      <c r="AO209" s="143"/>
      <c r="AP209" s="143"/>
      <c r="AQ209" s="143"/>
      <c r="AR209" s="142">
        <f>SUM(AS209:AV209)</f>
      </c>
      <c r="AS209" s="143"/>
      <c r="AT209" s="143"/>
      <c r="AU209" s="143"/>
      <c r="AV209" s="143"/>
      <c r="AW209" s="142">
        <f>SUM(AX209:BI209)</f>
      </c>
      <c r="AX209" s="143"/>
      <c r="AY209" s="143"/>
      <c r="AZ209" s="143"/>
      <c r="BA209" s="143"/>
      <c r="BB209" s="143"/>
      <c r="BC209" s="143"/>
      <c r="BD209" s="143"/>
      <c r="BE209" s="143"/>
      <c r="BF209" s="143"/>
      <c r="BG209" s="143"/>
      <c r="BH209" s="143"/>
      <c r="BI209" s="143"/>
      <c r="BJ209" s="142"/>
      <c r="BK209" s="143"/>
      <c r="BL209" s="143"/>
      <c r="BM209" s="143"/>
      <c r="BN209" s="143"/>
      <c r="BO209" s="143"/>
      <c r="BP209" s="143"/>
      <c r="BQ209" s="142"/>
      <c r="BR209" s="143"/>
      <c r="BS209" s="143"/>
      <c r="BT209" s="142">
        <f>SUM(BU209:BW209)</f>
      </c>
      <c r="BU209" s="143"/>
      <c r="BV209" s="143"/>
      <c r="BW209" s="143"/>
      <c r="BX209" s="142">
        <f>SUM(BY209:CD209)</f>
      </c>
      <c r="BY209" s="143"/>
      <c r="BZ209" s="143"/>
      <c r="CA209" s="143"/>
      <c r="CB209" s="143"/>
      <c r="CC209" s="143"/>
      <c r="CD209" s="143"/>
      <c r="CE209" s="142"/>
      <c r="CF209" s="143"/>
      <c r="CG209" s="143"/>
      <c r="CH209" s="143"/>
      <c r="CI209" s="143"/>
      <c r="CJ209" s="143"/>
      <c r="CK209" s="142">
        <f>SUM(CL209:CN209)</f>
      </c>
      <c r="CL209" s="143"/>
      <c r="CM209" s="143"/>
      <c r="CN209" s="143"/>
      <c r="CO209" s="142">
        <f>SUM(CP209:CT209)</f>
      </c>
      <c r="CP209" s="143"/>
      <c r="CQ209" s="143"/>
      <c r="CR209" s="143"/>
      <c r="CS209" s="143"/>
      <c r="CT209" s="143"/>
      <c r="CU209" s="142"/>
      <c r="CV209" s="143"/>
      <c r="CW209" s="143"/>
      <c r="CX209" s="143"/>
      <c r="CY209" s="142"/>
      <c r="CZ209" s="143"/>
      <c r="DA209" s="143"/>
      <c r="DB209" s="143"/>
      <c r="DC209" s="143"/>
      <c r="DD209" s="143"/>
      <c r="DE209" s="143"/>
      <c r="DF209" s="143"/>
      <c r="DG209" s="142">
        <f>SUM(DH209:DH209)</f>
      </c>
      <c r="DH209" s="143"/>
      <c r="DI209" s="142"/>
      <c r="DJ209" s="143"/>
      <c r="DK209" s="142">
        <f>SUM(DL209:DQ209)</f>
      </c>
      <c r="DL209" s="143"/>
      <c r="DM209" s="143"/>
      <c r="DN209" s="143"/>
      <c r="DO209" s="143"/>
      <c r="DP209" s="143"/>
      <c r="DQ209" s="143"/>
      <c r="DR209" s="143"/>
      <c r="DS209" s="143"/>
      <c r="DT209" s="143"/>
      <c r="DU209" s="143"/>
      <c r="DV209" s="143"/>
      <c r="DW209" s="143"/>
      <c r="DX209" s="142"/>
      <c r="DY209" s="143"/>
      <c r="DZ209" s="142"/>
      <c r="EA209" s="143"/>
      <c r="EB209" s="143"/>
      <c r="EC209" s="142"/>
      <c r="ED209" s="143"/>
      <c r="EF209" s="143"/>
      <c r="EG209" s="142">
        <f>SUM(EH209:EQ209)</f>
      </c>
      <c r="EH209" s="143"/>
      <c r="EI209" s="143"/>
      <c r="EJ209" s="143"/>
      <c r="EK209" s="143"/>
      <c r="EL209" s="143"/>
      <c r="EM209" s="143"/>
      <c r="EN209" s="143"/>
      <c r="EO209" s="143"/>
      <c r="EP209" s="143"/>
      <c r="EQ209" s="143"/>
      <c r="ER209" s="142">
        <f>SUM(ES209:ET209)</f>
      </c>
      <c r="ES209" s="143"/>
      <c r="ET209" s="143"/>
      <c r="EU209" s="144"/>
      <c r="FB209" s="146"/>
      <c r="FC209" s="146" cm="1">
        <f t="array" ref="FC209">ROW()-ROW(New[#Headers])</f>
        <v>203</v>
      </c>
    </row>
    <row r="210" spans="2:159" s="139" customFormat="1" ht="10.5" x14ac:dyDescent="0.2">
      <c r="B210" s="133"/>
      <c r="C210" s="4742" t="s">
        <v>481</v>
      </c>
      <c r="D210" t="s" s="4743">
        <v>482</v>
      </c>
      <c r="E210" s="4744" t="s">
        <v>35</v>
      </c>
      <c r="F210" t="s" s="4745">
        <v>1109</v>
      </c>
      <c r="G210" t="s" s="4746">
        <v>305</v>
      </c>
      <c r="H210" s="4747" t="s">
        <v>49</v>
      </c>
      <c r="I210" t="s" s="4748">
        <v>41</v>
      </c>
      <c r="J210" t="s" s="4749">
        <v>68</v>
      </c>
      <c r="K210" t="s" s="4750">
        <v>1659</v>
      </c>
      <c r="L210" t="s" s="4751">
        <v>751</v>
      </c>
      <c r="M210" t="s" s="4752">
        <v>305</v>
      </c>
      <c r="N210" s="4753" t="s">
        <v>3873</v>
      </c>
      <c r="O210" s="4754" t="s">
        <v>3871</v>
      </c>
      <c r="P210" s="141"/>
      <c r="Q210" s="142">
        <f>SUM(R210:AQ210)</f>
      </c>
      <c r="R210" s="143"/>
      <c r="S210" s="143"/>
      <c r="T210" s="143"/>
      <c r="U210" s="143"/>
      <c r="V210" s="143"/>
      <c r="W210" s="143"/>
      <c r="X210" s="143"/>
      <c r="Y210" s="143"/>
      <c r="Z210" s="143"/>
      <c r="AA210" s="143"/>
      <c r="AB210" s="143"/>
      <c r="AC210" s="143"/>
      <c r="AD210" s="4755" t="n">
        <v>3192.0</v>
      </c>
      <c r="AE210" s="143"/>
      <c r="AF210" s="143"/>
      <c r="AG210" s="143"/>
      <c r="AH210" s="143"/>
      <c r="AI210" s="143"/>
      <c r="AJ210" s="143"/>
      <c r="AK210" s="143"/>
      <c r="AL210" s="143"/>
      <c r="AM210" s="143"/>
      <c r="AN210" s="143"/>
      <c r="AO210" s="143"/>
      <c r="AP210" s="143"/>
      <c r="AQ210" s="143"/>
      <c r="AR210" s="142">
        <f>SUM(AS210:AV210)</f>
      </c>
      <c r="AS210" s="143"/>
      <c r="AT210" s="143"/>
      <c r="AU210" s="143"/>
      <c r="AV210" s="143"/>
      <c r="AW210" s="142">
        <f>SUM(AX210:BI210)</f>
      </c>
      <c r="AX210" s="143"/>
      <c r="AY210" s="143"/>
      <c r="AZ210" s="143"/>
      <c r="BA210" s="143"/>
      <c r="BB210" s="143"/>
      <c r="BC210" s="143"/>
      <c r="BD210" s="143"/>
      <c r="BE210" s="143"/>
      <c r="BF210" s="143"/>
      <c r="BG210" s="143"/>
      <c r="BH210" s="143"/>
      <c r="BI210" s="143"/>
      <c r="BJ210" s="142"/>
      <c r="BK210" s="143"/>
      <c r="BL210" s="143"/>
      <c r="BM210" s="143"/>
      <c r="BN210" s="143"/>
      <c r="BO210" s="143"/>
      <c r="BP210" s="143"/>
      <c r="BQ210" s="142"/>
      <c r="BR210" s="143"/>
      <c r="BS210" s="143"/>
      <c r="BT210" s="142">
        <f>SUM(BU210:BW210)</f>
      </c>
      <c r="BU210" s="143"/>
      <c r="BV210" s="143"/>
      <c r="BW210" s="143"/>
      <c r="BX210" s="142">
        <f>SUM(BY210:CD210)</f>
      </c>
      <c r="BY210" s="143"/>
      <c r="BZ210" s="143"/>
      <c r="CA210" s="143"/>
      <c r="CB210" s="143"/>
      <c r="CC210" s="143"/>
      <c r="CD210" s="143"/>
      <c r="CE210" s="142"/>
      <c r="CF210" s="143"/>
      <c r="CG210" s="143"/>
      <c r="CH210" s="143"/>
      <c r="CI210" s="143"/>
      <c r="CJ210" s="143"/>
      <c r="CK210" s="142">
        <f>SUM(CL210:CN210)</f>
      </c>
      <c r="CL210" s="143"/>
      <c r="CM210" s="143"/>
      <c r="CN210" s="143"/>
      <c r="CO210" s="142">
        <f>SUM(CP210:CT210)</f>
      </c>
      <c r="CP210" s="143"/>
      <c r="CQ210" s="143"/>
      <c r="CR210" s="143"/>
      <c r="CS210" s="143"/>
      <c r="CT210" s="143"/>
      <c r="CU210" s="142"/>
      <c r="CV210" s="143"/>
      <c r="CW210" s="143"/>
      <c r="CX210" s="143"/>
      <c r="CY210" s="142"/>
      <c r="CZ210" s="143"/>
      <c r="DA210" s="143"/>
      <c r="DB210" s="143"/>
      <c r="DC210" s="143"/>
      <c r="DD210" s="143"/>
      <c r="DE210" s="143"/>
      <c r="DF210" s="143"/>
      <c r="DG210" s="142">
        <f>SUM(DH210:DH210)</f>
      </c>
      <c r="DH210" s="143"/>
      <c r="DI210" s="142"/>
      <c r="DJ210" s="143"/>
      <c r="DK210" s="142">
        <f>SUM(DL210:DQ210)</f>
      </c>
      <c r="DL210" s="143"/>
      <c r="DM210" s="143"/>
      <c r="DN210" s="143"/>
      <c r="DO210" s="143"/>
      <c r="DP210" s="143"/>
      <c r="DQ210" s="143"/>
      <c r="DR210" s="143"/>
      <c r="DS210" s="143"/>
      <c r="DT210" s="143"/>
      <c r="DU210" s="143"/>
      <c r="DV210" s="143"/>
      <c r="DW210" s="143"/>
      <c r="DX210" s="142"/>
      <c r="DY210" s="143"/>
      <c r="DZ210" s="142"/>
      <c r="EA210" s="143"/>
      <c r="EB210" s="143"/>
      <c r="EC210" s="142"/>
      <c r="ED210" s="143"/>
      <c r="EF210" s="143"/>
      <c r="EG210" s="142">
        <f>SUM(EH210:EQ210)</f>
      </c>
      <c r="EH210" s="143"/>
      <c r="EI210" s="143"/>
      <c r="EJ210" s="143"/>
      <c r="EK210" s="143"/>
      <c r="EL210" s="143"/>
      <c r="EM210" s="143"/>
      <c r="EN210" s="143"/>
      <c r="EO210" s="143"/>
      <c r="EP210" s="143"/>
      <c r="EQ210" s="143"/>
      <c r="ER210" s="142">
        <f>SUM(ES210:ET210)</f>
      </c>
      <c r="ES210" s="143"/>
      <c r="ET210" s="143"/>
      <c r="EU210" s="144"/>
      <c r="FB210" s="146"/>
      <c r="FC210" s="146" cm="1">
        <f t="array" ref="FC210">ROW()-ROW(New[#Headers])</f>
        <v>204</v>
      </c>
    </row>
    <row r="211" spans="2:159" s="139" customFormat="1" ht="10.5" x14ac:dyDescent="0.2">
      <c r="B211" s="133"/>
      <c r="C211" s="4756" t="s">
        <v>367</v>
      </c>
      <c r="D211" t="s" s="4757">
        <v>368</v>
      </c>
      <c r="E211" s="4758" t="s">
        <v>35</v>
      </c>
      <c r="F211" t="s" s="4759">
        <v>766</v>
      </c>
      <c r="G211" t="s" s="4760">
        <v>1597</v>
      </c>
      <c r="H211" s="4761" t="s">
        <v>57</v>
      </c>
      <c r="I211" t="s" s="4762">
        <v>43</v>
      </c>
      <c r="J211" t="s" s="4763">
        <v>68</v>
      </c>
      <c r="K211" t="s" s="4764">
        <v>1567</v>
      </c>
      <c r="L211" t="s" s="4765">
        <v>767</v>
      </c>
      <c r="M211" t="s" s="4766">
        <v>305</v>
      </c>
      <c r="N211" s="4767" t="s">
        <v>3873</v>
      </c>
      <c r="O211" s="4768" t="s">
        <v>3871</v>
      </c>
      <c r="P211" s="141"/>
      <c r="Q211" s="142">
        <f>SUM(R211:AQ211)</f>
      </c>
      <c r="R211" s="143"/>
      <c r="S211" s="143"/>
      <c r="T211" s="143"/>
      <c r="U211" s="143"/>
      <c r="V211" s="143"/>
      <c r="W211" s="143"/>
      <c r="X211" s="143"/>
      <c r="Y211" s="143"/>
      <c r="Z211" s="143"/>
      <c r="AA211" s="143"/>
      <c r="AB211" s="143"/>
      <c r="AC211" s="143"/>
      <c r="AD211" s="143"/>
      <c r="AE211" s="143"/>
      <c r="AF211" s="143"/>
      <c r="AG211" s="4769" t="n">
        <v>860.0</v>
      </c>
      <c r="AH211" s="143"/>
      <c r="AI211" s="143"/>
      <c r="AJ211" s="143"/>
      <c r="AK211" s="143"/>
      <c r="AL211" s="143"/>
      <c r="AM211" s="143"/>
      <c r="AN211" s="143"/>
      <c r="AO211" s="143"/>
      <c r="AP211" s="143"/>
      <c r="AQ211" s="143"/>
      <c r="AR211" s="142">
        <f>SUM(AS211:AV211)</f>
      </c>
      <c r="AS211" s="143"/>
      <c r="AT211" s="143"/>
      <c r="AU211" s="143"/>
      <c r="AV211" s="143"/>
      <c r="AW211" s="142">
        <f>SUM(AX211:BI211)</f>
      </c>
      <c r="AX211" s="143"/>
      <c r="AY211" s="143"/>
      <c r="AZ211" s="143"/>
      <c r="BA211" s="143"/>
      <c r="BB211" s="143"/>
      <c r="BC211" s="143"/>
      <c r="BD211" s="143"/>
      <c r="BE211" s="143"/>
      <c r="BF211" s="143"/>
      <c r="BG211" s="143"/>
      <c r="BH211" s="143"/>
      <c r="BI211" s="143"/>
      <c r="BJ211" s="142"/>
      <c r="BK211" s="143"/>
      <c r="BL211" s="143"/>
      <c r="BM211" s="143"/>
      <c r="BN211" s="143"/>
      <c r="BO211" s="143"/>
      <c r="BP211" s="143"/>
      <c r="BQ211" s="142"/>
      <c r="BR211" s="143"/>
      <c r="BS211" s="143"/>
      <c r="BT211" s="142">
        <f>SUM(BU211:BW211)</f>
      </c>
      <c r="BU211" s="143"/>
      <c r="BV211" s="143"/>
      <c r="BW211" s="143"/>
      <c r="BX211" s="142">
        <f>SUM(BY211:CD211)</f>
      </c>
      <c r="BY211" s="143"/>
      <c r="BZ211" s="143"/>
      <c r="CA211" s="143"/>
      <c r="CB211" s="143"/>
      <c r="CC211" s="143"/>
      <c r="CD211" s="143"/>
      <c r="CE211" s="142"/>
      <c r="CF211" s="143"/>
      <c r="CG211" s="143"/>
      <c r="CH211" s="143"/>
      <c r="CI211" s="143"/>
      <c r="CJ211" s="143"/>
      <c r="CK211" s="142">
        <f>SUM(CL211:CN211)</f>
      </c>
      <c r="CL211" s="143"/>
      <c r="CM211" s="143"/>
      <c r="CN211" s="143"/>
      <c r="CO211" s="142">
        <f>SUM(CP211:CT211)</f>
      </c>
      <c r="CP211" s="143"/>
      <c r="CQ211" s="143"/>
      <c r="CR211" s="143"/>
      <c r="CS211" s="143"/>
      <c r="CT211" s="143"/>
      <c r="CU211" s="142"/>
      <c r="CV211" s="143"/>
      <c r="CW211" s="143"/>
      <c r="CX211" s="143"/>
      <c r="CY211" s="142"/>
      <c r="CZ211" s="143"/>
      <c r="DA211" s="143"/>
      <c r="DB211" s="143"/>
      <c r="DC211" s="143"/>
      <c r="DD211" s="143"/>
      <c r="DE211" s="143"/>
      <c r="DF211" s="143"/>
      <c r="DG211" s="142">
        <f>SUM(DH211:DH211)</f>
      </c>
      <c r="DH211" s="143"/>
      <c r="DI211" s="142"/>
      <c r="DJ211" s="143"/>
      <c r="DK211" s="142">
        <f>SUM(DL211:DQ211)</f>
      </c>
      <c r="DL211" s="143"/>
      <c r="DM211" s="143"/>
      <c r="DN211" s="143"/>
      <c r="DO211" s="143"/>
      <c r="DP211" s="143"/>
      <c r="DQ211" s="143"/>
      <c r="DR211" s="143"/>
      <c r="DS211" s="143"/>
      <c r="DT211" s="143"/>
      <c r="DU211" s="143"/>
      <c r="DV211" s="143"/>
      <c r="DW211" s="143"/>
      <c r="DX211" s="142"/>
      <c r="DY211" s="143"/>
      <c r="DZ211" s="142"/>
      <c r="EA211" s="143"/>
      <c r="EB211" s="143"/>
      <c r="EC211" s="142"/>
      <c r="ED211" s="143"/>
      <c r="EF211" s="143"/>
      <c r="EG211" s="142">
        <f>SUM(EH211:EQ211)</f>
      </c>
      <c r="EH211" s="143"/>
      <c r="EI211" s="143"/>
      <c r="EJ211" s="143"/>
      <c r="EK211" s="143"/>
      <c r="EL211" s="143"/>
      <c r="EM211" s="143"/>
      <c r="EN211" s="143"/>
      <c r="EO211" s="143"/>
      <c r="EP211" s="143"/>
      <c r="EQ211" s="143"/>
      <c r="ER211" s="142">
        <f>SUM(ES211:ET211)</f>
      </c>
      <c r="ES211" s="143"/>
      <c r="ET211" s="143"/>
      <c r="EU211" s="144"/>
      <c r="FB211" s="146"/>
      <c r="FC211" s="146" cm="1">
        <f t="array" ref="FC211">ROW()-ROW(New[#Headers])</f>
        <v>205</v>
      </c>
    </row>
    <row r="212" spans="2:159" s="139" customFormat="1" ht="10.5" x14ac:dyDescent="0.2">
      <c r="B212" s="133"/>
      <c r="C212" s="4770" t="s">
        <v>572</v>
      </c>
      <c r="D212" t="s" s="4771">
        <v>573</v>
      </c>
      <c r="E212" s="4772" t="s">
        <v>13</v>
      </c>
      <c r="F212" t="s" s="4773">
        <v>1262</v>
      </c>
      <c r="G212" t="s" s="4774">
        <v>1597</v>
      </c>
      <c r="H212" s="4775" t="s">
        <v>46</v>
      </c>
      <c r="I212" t="s" s="4776">
        <v>41</v>
      </c>
      <c r="J212" t="s" s="4777">
        <v>64</v>
      </c>
      <c r="K212" t="s" s="4778">
        <v>1617</v>
      </c>
      <c r="L212" t="s" s="4779">
        <v>934</v>
      </c>
      <c r="M212" t="s" s="4780">
        <v>305</v>
      </c>
      <c r="N212" s="4781" t="s">
        <v>3870</v>
      </c>
      <c r="O212" s="4782" t="s">
        <v>3878</v>
      </c>
      <c r="P212" s="141"/>
      <c r="Q212" s="142">
        <f>SUM(R212:AQ212)</f>
      </c>
      <c r="R212" s="143"/>
      <c r="S212" s="143"/>
      <c r="T212" s="143"/>
      <c r="U212" s="4783" t="n">
        <v>100.0</v>
      </c>
      <c r="V212" s="143"/>
      <c r="W212" s="143"/>
      <c r="X212" s="143"/>
      <c r="Y212" s="143"/>
      <c r="Z212" s="143"/>
      <c r="AA212" s="143"/>
      <c r="AB212" s="143"/>
      <c r="AC212" s="143"/>
      <c r="AD212" s="143"/>
      <c r="AE212" s="143"/>
      <c r="AF212" s="143"/>
      <c r="AG212" s="143"/>
      <c r="AH212" s="143"/>
      <c r="AI212" s="143"/>
      <c r="AJ212" s="143"/>
      <c r="AK212" s="143"/>
      <c r="AL212" s="143"/>
      <c r="AM212" s="143"/>
      <c r="AN212" s="143"/>
      <c r="AO212" s="143"/>
      <c r="AP212" s="143"/>
      <c r="AQ212" s="143"/>
      <c r="AR212" s="142">
        <f>SUM(AS212:AV212)</f>
      </c>
      <c r="AS212" s="143"/>
      <c r="AT212" s="143"/>
      <c r="AU212" s="143"/>
      <c r="AV212" s="143"/>
      <c r="AW212" s="142">
        <f>SUM(AX212:BI212)</f>
      </c>
      <c r="AX212" s="143"/>
      <c r="AY212" s="143"/>
      <c r="AZ212" s="143"/>
      <c r="BA212" s="143"/>
      <c r="BB212" s="143"/>
      <c r="BC212" s="143"/>
      <c r="BD212" s="143"/>
      <c r="BE212" s="143"/>
      <c r="BF212" s="143"/>
      <c r="BG212" s="143"/>
      <c r="BH212" s="143"/>
      <c r="BI212" s="143"/>
      <c r="BJ212" s="142"/>
      <c r="BK212" s="143"/>
      <c r="BL212" s="143"/>
      <c r="BM212" s="143"/>
      <c r="BN212" s="143"/>
      <c r="BO212" s="143"/>
      <c r="BP212" s="143"/>
      <c r="BQ212" s="142"/>
      <c r="BR212" s="143"/>
      <c r="BS212" s="143"/>
      <c r="BT212" s="142">
        <f>SUM(BU212:BW212)</f>
      </c>
      <c r="BU212" s="143"/>
      <c r="BV212" s="143"/>
      <c r="BW212" s="143"/>
      <c r="BX212" s="142">
        <f>SUM(BY212:CD212)</f>
      </c>
      <c r="BY212" s="143"/>
      <c r="BZ212" s="143"/>
      <c r="CA212" s="143"/>
      <c r="CB212" s="143"/>
      <c r="CC212" s="143"/>
      <c r="CD212" s="143"/>
      <c r="CE212" s="142"/>
      <c r="CF212" s="143"/>
      <c r="CG212" s="143"/>
      <c r="CH212" s="143"/>
      <c r="CI212" s="143"/>
      <c r="CJ212" s="143"/>
      <c r="CK212" s="142">
        <f>SUM(CL212:CN212)</f>
      </c>
      <c r="CL212" s="143"/>
      <c r="CM212" s="143"/>
      <c r="CN212" s="143"/>
      <c r="CO212" s="142">
        <f>SUM(CP212:CT212)</f>
      </c>
      <c r="CP212" s="143"/>
      <c r="CQ212" s="143"/>
      <c r="CR212" s="143"/>
      <c r="CS212" s="143"/>
      <c r="CT212" s="143"/>
      <c r="CU212" s="142"/>
      <c r="CV212" s="143"/>
      <c r="CW212" s="143"/>
      <c r="CX212" s="143"/>
      <c r="CY212" s="142"/>
      <c r="CZ212" s="143"/>
      <c r="DA212" s="143"/>
      <c r="DB212" s="143"/>
      <c r="DC212" s="143"/>
      <c r="DD212" s="143"/>
      <c r="DE212" s="143"/>
      <c r="DF212" s="143"/>
      <c r="DG212" s="142">
        <f>SUM(DH212:DH212)</f>
      </c>
      <c r="DH212" s="143"/>
      <c r="DI212" s="142"/>
      <c r="DJ212" s="143"/>
      <c r="DK212" s="142">
        <f>SUM(DL212:DQ212)</f>
      </c>
      <c r="DL212" s="143"/>
      <c r="DM212" s="143"/>
      <c r="DN212" s="143"/>
      <c r="DO212" s="143"/>
      <c r="DP212" s="143"/>
      <c r="DQ212" s="143"/>
      <c r="DR212" s="143"/>
      <c r="DS212" s="143"/>
      <c r="DT212" s="143"/>
      <c r="DU212" s="143"/>
      <c r="DV212" s="143"/>
      <c r="DW212" s="143"/>
      <c r="DX212" s="142"/>
      <c r="DY212" s="143"/>
      <c r="DZ212" s="142"/>
      <c r="EA212" s="143"/>
      <c r="EB212" s="143"/>
      <c r="EC212" s="142"/>
      <c r="ED212" s="143"/>
      <c r="EF212" s="143"/>
      <c r="EG212" s="142">
        <f>SUM(EH212:EQ212)</f>
      </c>
      <c r="EH212" s="143"/>
      <c r="EI212" s="143"/>
      <c r="EJ212" s="143"/>
      <c r="EK212" s="143"/>
      <c r="EL212" s="143"/>
      <c r="EM212" s="143"/>
      <c r="EN212" s="143"/>
      <c r="EO212" s="143"/>
      <c r="EP212" s="143"/>
      <c r="EQ212" s="143"/>
      <c r="ER212" s="142">
        <f>SUM(ES212:ET212)</f>
      </c>
      <c r="ES212" s="143"/>
      <c r="ET212" s="143"/>
      <c r="EU212" s="144"/>
      <c r="FB212" s="146"/>
      <c r="FC212" s="146" cm="1">
        <f t="array" ref="FC212">ROW()-ROW(New[#Headers])</f>
        <v>206</v>
      </c>
    </row>
    <row r="213" spans="2:159" s="139" customFormat="1" ht="10.5" x14ac:dyDescent="0.2">
      <c r="B213" s="133"/>
      <c r="C213" s="4842" t="s">
        <v>1625</v>
      </c>
      <c r="D213" t="s" s="4843">
        <v>355</v>
      </c>
      <c r="E213" s="4844" t="s">
        <v>23</v>
      </c>
      <c r="F213" t="s" s="4845">
        <v>810</v>
      </c>
      <c r="G213" t="s" s="4846">
        <v>1597</v>
      </c>
      <c r="H213" s="4847" t="s">
        <v>51</v>
      </c>
      <c r="I213" t="s" s="4848">
        <v>43</v>
      </c>
      <c r="J213" t="s" s="4849">
        <v>71</v>
      </c>
      <c r="K213" t="s" s="4850">
        <v>811</v>
      </c>
      <c r="L213" t="s" s="4851">
        <v>779</v>
      </c>
      <c r="M213" t="s" s="4852">
        <v>305</v>
      </c>
      <c r="N213" s="4853" t="s">
        <v>3870</v>
      </c>
      <c r="O213" s="4854" t="s">
        <v>3871</v>
      </c>
      <c r="P213" s="141"/>
      <c r="Q213" s="142">
        <f>SUM(R213:AQ213)</f>
      </c>
      <c r="R213" s="143"/>
      <c r="S213" s="143"/>
      <c r="T213" s="143"/>
      <c r="U213" s="143"/>
      <c r="V213" s="143"/>
      <c r="W213" s="143"/>
      <c r="X213" s="143"/>
      <c r="Y213" s="143"/>
      <c r="Z213" s="143"/>
      <c r="AA213" s="143"/>
      <c r="AB213" s="143"/>
      <c r="AC213" s="143"/>
      <c r="AD213" s="143"/>
      <c r="AE213" s="143"/>
      <c r="AF213" s="143"/>
      <c r="AG213" s="143"/>
      <c r="AH213" s="143"/>
      <c r="AI213" s="143"/>
      <c r="AJ213" s="143"/>
      <c r="AK213" s="143"/>
      <c r="AL213" s="143"/>
      <c r="AM213" s="143"/>
      <c r="AN213" s="143"/>
      <c r="AO213" s="143"/>
      <c r="AP213" s="143"/>
      <c r="AQ213" s="143"/>
      <c r="AR213" s="142">
        <f>SUM(AS213:AV213)</f>
      </c>
      <c r="AS213" s="143"/>
      <c r="AT213" s="143"/>
      <c r="AU213" s="143"/>
      <c r="AV213" s="143"/>
      <c r="AW213" s="142">
        <f>SUM(AX213:BI213)</f>
      </c>
      <c r="AX213" s="143"/>
      <c r="AY213" s="143"/>
      <c r="AZ213" s="143"/>
      <c r="BA213" s="143"/>
      <c r="BB213" s="143"/>
      <c r="BC213" s="143"/>
      <c r="BD213" s="143"/>
      <c r="BE213" s="143"/>
      <c r="BF213" s="143"/>
      <c r="BG213" s="143"/>
      <c r="BH213" s="143"/>
      <c r="BI213" s="143"/>
      <c r="BJ213" s="142"/>
      <c r="BK213" s="143"/>
      <c r="BL213" s="143"/>
      <c r="BM213" s="143"/>
      <c r="BN213" s="143"/>
      <c r="BO213" s="143"/>
      <c r="BP213" s="143"/>
      <c r="BQ213" s="142"/>
      <c r="BR213" s="143"/>
      <c r="BS213" s="143"/>
      <c r="BT213" s="142">
        <f>SUM(BU213:BW213)</f>
      </c>
      <c r="BU213" s="143"/>
      <c r="BV213" s="143"/>
      <c r="BW213" s="143"/>
      <c r="BX213" s="142">
        <f>SUM(BY213:CD213)</f>
      </c>
      <c r="BY213" s="143"/>
      <c r="BZ213" s="143"/>
      <c r="CA213" s="143"/>
      <c r="CB213" s="143"/>
      <c r="CC213" s="143"/>
      <c r="CD213" s="143"/>
      <c r="CE213" s="142"/>
      <c r="CF213" s="143"/>
      <c r="CG213" s="143"/>
      <c r="CH213" s="143"/>
      <c r="CI213" s="143"/>
      <c r="CJ213" s="143"/>
      <c r="CK213" s="142">
        <f>SUM(CL213:CN213)</f>
      </c>
      <c r="CL213" s="143"/>
      <c r="CM213" s="143"/>
      <c r="CN213" s="143"/>
      <c r="CO213" s="142">
        <f>SUM(CP213:CT213)</f>
      </c>
      <c r="CP213" s="143"/>
      <c r="CQ213" s="143"/>
      <c r="CR213" s="143"/>
      <c r="CS213" s="143"/>
      <c r="CT213" s="143"/>
      <c r="CU213" s="142"/>
      <c r="CV213" s="143"/>
      <c r="CW213" s="143"/>
      <c r="CX213" s="143"/>
      <c r="CY213" s="142"/>
      <c r="CZ213" s="143"/>
      <c r="DA213" s="143"/>
      <c r="DB213" s="143"/>
      <c r="DC213" s="143"/>
      <c r="DD213" s="143"/>
      <c r="DE213" s="143"/>
      <c r="DF213" s="143"/>
      <c r="DG213" s="142">
        <f>SUM(DH213:DH213)</f>
      </c>
      <c r="DH213" s="143"/>
      <c r="DI213" s="142"/>
      <c r="DJ213" s="143"/>
      <c r="DK213" s="142">
        <f>SUM(DL213:DQ213)</f>
      </c>
      <c r="DL213" s="143"/>
      <c r="DM213" s="143"/>
      <c r="DN213" s="143"/>
      <c r="DO213" s="143"/>
      <c r="DP213" s="143"/>
      <c r="DQ213" s="143"/>
      <c r="DR213" s="143"/>
      <c r="DS213" s="143"/>
      <c r="DT213" s="143"/>
      <c r="DU213" s="143"/>
      <c r="DV213" s="143"/>
      <c r="DW213" s="143"/>
      <c r="DX213" s="142"/>
      <c r="DY213" s="143"/>
      <c r="DZ213" s="142"/>
      <c r="EA213" s="143"/>
      <c r="EB213" s="143"/>
      <c r="EC213" s="142"/>
      <c r="ED213" s="143"/>
      <c r="EF213" s="143"/>
      <c r="EG213" s="142">
        <f>SUM(EH213:EQ213)</f>
      </c>
      <c r="EH213" s="143"/>
      <c r="EI213" s="143"/>
      <c r="EJ213" s="143"/>
      <c r="EK213" s="143"/>
      <c r="EL213" s="143"/>
      <c r="EM213" s="143"/>
      <c r="EN213" s="143"/>
      <c r="EO213" s="143"/>
      <c r="EP213" s="143"/>
      <c r="EQ213" s="143"/>
      <c r="ER213" s="142">
        <f>SUM(ES213:ET213)</f>
      </c>
      <c r="ES213" s="143"/>
      <c r="ET213" s="143"/>
      <c r="EU213" s="144"/>
      <c r="FB213" s="146"/>
      <c r="FC213" s="146" cm="1">
        <f t="array" ref="FC213">ROW()-ROW(New[#Headers])</f>
        <v>207</v>
      </c>
    </row>
    <row r="214" spans="2:159" s="139" customFormat="1" ht="10.5" x14ac:dyDescent="0.2">
      <c r="B214" s="133"/>
      <c r="C214" s="4855" t="s">
        <v>3818</v>
      </c>
      <c r="D214" t="s" s="4856">
        <v>3819</v>
      </c>
      <c r="E214" s="4857" t="s">
        <v>13</v>
      </c>
      <c r="F214" t="s" s="4858">
        <v>1116</v>
      </c>
      <c r="G214" t="s" s="4859">
        <v>345</v>
      </c>
      <c r="H214" s="4860" t="s">
        <v>49</v>
      </c>
      <c r="I214" t="s" s="4861">
        <v>41</v>
      </c>
      <c r="J214" t="s" s="4862">
        <v>68</v>
      </c>
      <c r="K214" t="s" s="4863">
        <v>1571</v>
      </c>
      <c r="L214" t="s" s="4864">
        <v>305</v>
      </c>
      <c r="M214" t="s" s="4865">
        <v>305</v>
      </c>
      <c r="N214" s="4866" t="s">
        <v>3873</v>
      </c>
      <c r="O214" s="4867" t="s">
        <v>3871</v>
      </c>
      <c r="P214" s="141"/>
      <c r="Q214" s="142">
        <f>SUM(R214:AQ214)</f>
      </c>
      <c r="R214" s="4868" t="n">
        <v>569.0</v>
      </c>
      <c r="S214" s="143"/>
      <c r="T214" s="143"/>
      <c r="U214" s="143"/>
      <c r="V214" s="143"/>
      <c r="W214" s="143"/>
      <c r="X214" s="143"/>
      <c r="Y214" s="143"/>
      <c r="Z214" s="143"/>
      <c r="AA214" s="143"/>
      <c r="AB214" s="143"/>
      <c r="AC214" s="143"/>
      <c r="AD214" s="143"/>
      <c r="AE214" s="143"/>
      <c r="AF214" s="143"/>
      <c r="AG214" s="143"/>
      <c r="AH214" s="143"/>
      <c r="AI214" s="143"/>
      <c r="AJ214" s="143"/>
      <c r="AK214" s="143"/>
      <c r="AL214" s="143"/>
      <c r="AM214" s="143"/>
      <c r="AN214" s="143"/>
      <c r="AO214" s="143"/>
      <c r="AP214" s="143"/>
      <c r="AQ214" s="143"/>
      <c r="AR214" s="142">
        <f>SUM(AS214:AV214)</f>
      </c>
      <c r="AS214" s="143"/>
      <c r="AT214" s="143"/>
      <c r="AU214" s="143"/>
      <c r="AV214" s="143"/>
      <c r="AW214" s="142">
        <f>SUM(AX214:BI214)</f>
      </c>
      <c r="AX214" s="143"/>
      <c r="AY214" s="143"/>
      <c r="AZ214" s="143"/>
      <c r="BA214" s="143"/>
      <c r="BB214" s="143"/>
      <c r="BC214" s="143"/>
      <c r="BD214" s="143"/>
      <c r="BE214" s="143"/>
      <c r="BF214" s="143"/>
      <c r="BG214" s="143"/>
      <c r="BH214" s="143"/>
      <c r="BI214" s="143"/>
      <c r="BJ214" s="142"/>
      <c r="BK214" s="143"/>
      <c r="BL214" s="143"/>
      <c r="BM214" s="143"/>
      <c r="BN214" s="143"/>
      <c r="BO214" s="143"/>
      <c r="BP214" s="143"/>
      <c r="BQ214" s="142"/>
      <c r="BR214" s="143"/>
      <c r="BS214" s="143"/>
      <c r="BT214" s="142">
        <f>SUM(BU214:BW214)</f>
      </c>
      <c r="BU214" s="143"/>
      <c r="BV214" s="143"/>
      <c r="BW214" s="143"/>
      <c r="BX214" s="142">
        <f>SUM(BY214:CD214)</f>
      </c>
      <c r="BY214" s="143"/>
      <c r="BZ214" s="143"/>
      <c r="CA214" s="143"/>
      <c r="CB214" s="143"/>
      <c r="CC214" s="143"/>
      <c r="CD214" s="143"/>
      <c r="CE214" s="142"/>
      <c r="CF214" s="143"/>
      <c r="CG214" s="143"/>
      <c r="CH214" s="143"/>
      <c r="CI214" s="143"/>
      <c r="CJ214" s="143"/>
      <c r="CK214" s="142">
        <f>SUM(CL214:CN214)</f>
      </c>
      <c r="CL214" s="143"/>
      <c r="CM214" s="143"/>
      <c r="CN214" s="143"/>
      <c r="CO214" s="142">
        <f>SUM(CP214:CT214)</f>
      </c>
      <c r="CP214" s="143"/>
      <c r="CQ214" s="143"/>
      <c r="CR214" s="143"/>
      <c r="CS214" s="143"/>
      <c r="CT214" s="143"/>
      <c r="CU214" s="142"/>
      <c r="CV214" s="143"/>
      <c r="CW214" s="143"/>
      <c r="CX214" s="143"/>
      <c r="CY214" s="142"/>
      <c r="CZ214" s="143"/>
      <c r="DA214" s="143"/>
      <c r="DB214" s="143"/>
      <c r="DC214" s="143"/>
      <c r="DD214" s="143"/>
      <c r="DE214" s="143"/>
      <c r="DF214" s="143"/>
      <c r="DG214" s="142">
        <f>SUM(DH214:DH214)</f>
      </c>
      <c r="DH214" s="143"/>
      <c r="DI214" s="142"/>
      <c r="DJ214" s="143"/>
      <c r="DK214" s="142">
        <f>SUM(DL214:DQ214)</f>
      </c>
      <c r="DL214" s="143"/>
      <c r="DM214" s="143"/>
      <c r="DN214" s="143"/>
      <c r="DO214" s="143"/>
      <c r="DP214" s="143"/>
      <c r="DQ214" s="143"/>
      <c r="DR214" s="143"/>
      <c r="DS214" s="143"/>
      <c r="DT214" s="143"/>
      <c r="DU214" s="143"/>
      <c r="DV214" s="143"/>
      <c r="DW214" s="143"/>
      <c r="DX214" s="142"/>
      <c r="DY214" s="143"/>
      <c r="DZ214" s="142"/>
      <c r="EA214" s="143"/>
      <c r="EB214" s="143"/>
      <c r="EC214" s="142"/>
      <c r="ED214" s="143"/>
      <c r="EF214" s="143"/>
      <c r="EG214" s="142">
        <f>SUM(EH214:EQ214)</f>
      </c>
      <c r="EH214" s="143"/>
      <c r="EI214" s="143"/>
      <c r="EJ214" s="143"/>
      <c r="EK214" s="143"/>
      <c r="EL214" s="143"/>
      <c r="EM214" s="143"/>
      <c r="EN214" s="143"/>
      <c r="EO214" s="143"/>
      <c r="EP214" s="143"/>
      <c r="EQ214" s="143"/>
      <c r="ER214" s="142">
        <f>SUM(ES214:ET214)</f>
      </c>
      <c r="ES214" s="143"/>
      <c r="ET214" s="143"/>
      <c r="EU214" s="144"/>
      <c r="FB214" s="146"/>
      <c r="FC214" s="146" cm="1">
        <f t="array" ref="FC214">ROW()-ROW(New[#Headers])</f>
        <v>208</v>
      </c>
    </row>
    <row r="215" spans="2:159" s="139" customFormat="1" ht="10.5" x14ac:dyDescent="0.2">
      <c r="B215" s="133"/>
      <c r="C215" s="4883" t="s">
        <v>1713</v>
      </c>
      <c r="D215" t="s" s="4884">
        <v>665</v>
      </c>
      <c r="E215" s="4885" t="s">
        <v>889</v>
      </c>
      <c r="F215" t="s" s="4886">
        <v>750</v>
      </c>
      <c r="G215" t="s" s="4887">
        <v>345</v>
      </c>
      <c r="H215" s="4888" t="s">
        <v>49</v>
      </c>
      <c r="I215" t="s" s="4889">
        <v>41</v>
      </c>
      <c r="J215" t="s" s="4890">
        <v>64</v>
      </c>
      <c r="K215" t="s" s="4891">
        <v>1679</v>
      </c>
      <c r="L215" t="s" s="4892">
        <v>305</v>
      </c>
      <c r="M215" t="s" s="4893">
        <v>1615</v>
      </c>
      <c r="N215" s="4894" t="s">
        <v>3870</v>
      </c>
      <c r="O215" s="4895" t="s">
        <v>3871</v>
      </c>
      <c r="P215" s="141"/>
      <c r="Q215" s="142">
        <f>SUM(R215:AQ215)</f>
      </c>
      <c r="R215" s="143"/>
      <c r="S215" s="143"/>
      <c r="T215" s="4896" t="n">
        <v>300.0</v>
      </c>
      <c r="U215" s="143"/>
      <c r="V215" s="143"/>
      <c r="W215" s="143"/>
      <c r="X215" s="143"/>
      <c r="Y215" s="143"/>
      <c r="Z215" s="143"/>
      <c r="AA215" s="143"/>
      <c r="AB215" s="143"/>
      <c r="AC215" s="143"/>
      <c r="AD215" s="143"/>
      <c r="AE215" s="143"/>
      <c r="AF215" s="143"/>
      <c r="AG215" s="143"/>
      <c r="AH215" s="143"/>
      <c r="AI215" s="143"/>
      <c r="AJ215" s="143"/>
      <c r="AK215" s="143"/>
      <c r="AL215" s="143"/>
      <c r="AM215" s="143"/>
      <c r="AN215" s="143"/>
      <c r="AO215" s="143"/>
      <c r="AP215" s="143"/>
      <c r="AQ215" s="143"/>
      <c r="AR215" s="142">
        <f>SUM(AS215:AV215)</f>
      </c>
      <c r="AS215" s="143"/>
      <c r="AT215" s="143"/>
      <c r="AU215" s="143"/>
      <c r="AV215" s="143"/>
      <c r="AW215" s="142">
        <f>SUM(AX215:BI215)</f>
      </c>
      <c r="AX215" s="143"/>
      <c r="AY215" s="143"/>
      <c r="AZ215" s="143"/>
      <c r="BA215" s="143"/>
      <c r="BB215" s="143"/>
      <c r="BC215" s="143"/>
      <c r="BD215" s="143"/>
      <c r="BE215" s="143"/>
      <c r="BF215" s="143"/>
      <c r="BG215" s="143"/>
      <c r="BH215" s="143"/>
      <c r="BI215" s="143"/>
      <c r="BJ215" s="142"/>
      <c r="BK215" s="143"/>
      <c r="BL215" s="143"/>
      <c r="BM215" s="143"/>
      <c r="BN215" s="143"/>
      <c r="BO215" s="143"/>
      <c r="BP215" s="143"/>
      <c r="BQ215" s="142"/>
      <c r="BR215" s="143"/>
      <c r="BS215" s="143"/>
      <c r="BT215" s="142">
        <f>SUM(BU215:BW215)</f>
      </c>
      <c r="BU215" s="143"/>
      <c r="BV215" s="143"/>
      <c r="BW215" s="143"/>
      <c r="BX215" s="142">
        <f>SUM(BY215:CD215)</f>
      </c>
      <c r="BY215" s="143"/>
      <c r="BZ215" s="143"/>
      <c r="CA215" s="143"/>
      <c r="CB215" s="143"/>
      <c r="CC215" s="143"/>
      <c r="CD215" s="143"/>
      <c r="CE215" s="142"/>
      <c r="CF215" s="143"/>
      <c r="CG215" s="143"/>
      <c r="CH215" s="143"/>
      <c r="CI215" s="143"/>
      <c r="CJ215" s="143"/>
      <c r="CK215" s="142">
        <f>SUM(CL215:CN215)</f>
      </c>
      <c r="CL215" s="143"/>
      <c r="CM215" s="143"/>
      <c r="CN215" s="143"/>
      <c r="CO215" s="142">
        <f>SUM(CP215:CT215)</f>
      </c>
      <c r="CP215" s="143"/>
      <c r="CQ215" s="143"/>
      <c r="CR215" s="143"/>
      <c r="CS215" s="143"/>
      <c r="CT215" s="143"/>
      <c r="CU215" s="142"/>
      <c r="CV215" s="143"/>
      <c r="CW215" s="143"/>
      <c r="CX215" s="143"/>
      <c r="CY215" s="142"/>
      <c r="CZ215" s="143"/>
      <c r="DA215" s="143"/>
      <c r="DB215" s="143"/>
      <c r="DC215" s="143"/>
      <c r="DD215" s="143"/>
      <c r="DE215" s="143"/>
      <c r="DF215" s="143"/>
      <c r="DG215" s="142">
        <f>SUM(DH215:DH215)</f>
      </c>
      <c r="DH215" s="143"/>
      <c r="DI215" s="142"/>
      <c r="DJ215" s="143"/>
      <c r="DK215" s="142">
        <f>SUM(DL215:DQ215)</f>
      </c>
      <c r="DL215" s="143"/>
      <c r="DM215" s="143"/>
      <c r="DN215" s="143"/>
      <c r="DO215" s="143"/>
      <c r="DP215" s="143"/>
      <c r="DQ215" s="143"/>
      <c r="DR215" s="143"/>
      <c r="DS215" s="143"/>
      <c r="DT215" s="143"/>
      <c r="DU215" s="143"/>
      <c r="DV215" s="143"/>
      <c r="DW215" s="143"/>
      <c r="DX215" s="142"/>
      <c r="DY215" s="143"/>
      <c r="DZ215" s="142"/>
      <c r="EA215" s="143"/>
      <c r="EB215" s="143"/>
      <c r="EC215" s="142"/>
      <c r="ED215" s="143"/>
      <c r="EF215" s="143"/>
      <c r="EG215" s="142">
        <f>SUM(EH215:EQ215)</f>
      </c>
      <c r="EH215" s="143"/>
      <c r="EI215" s="143"/>
      <c r="EJ215" s="143"/>
      <c r="EK215" s="143"/>
      <c r="EL215" s="143"/>
      <c r="EM215" s="143"/>
      <c r="EN215" s="143"/>
      <c r="EO215" s="143"/>
      <c r="EP215" s="143"/>
      <c r="EQ215" s="143"/>
      <c r="ER215" s="142">
        <f>SUM(ES215:ET215)</f>
      </c>
      <c r="ES215" s="143"/>
      <c r="ET215" s="143"/>
      <c r="EU215" s="144"/>
      <c r="FB215" s="146"/>
      <c r="FC215" s="146" cm="1">
        <f t="array" ref="FC215">ROW()-ROW(New[#Headers])</f>
        <v>209</v>
      </c>
    </row>
    <row r="216" spans="2:159" s="139" customFormat="1" ht="10.5" x14ac:dyDescent="0.2">
      <c r="B216" s="133"/>
      <c r="C216" s="4897" t="s">
        <v>420</v>
      </c>
      <c r="D216" t="s" s="4898">
        <v>421</v>
      </c>
      <c r="E216" s="4899" t="s">
        <v>23</v>
      </c>
      <c r="F216" t="s" s="4900">
        <v>1241</v>
      </c>
      <c r="G216" t="s" s="4901">
        <v>1597</v>
      </c>
      <c r="H216" s="4902" t="s">
        <v>53</v>
      </c>
      <c r="I216" t="s" s="4903">
        <v>43</v>
      </c>
      <c r="J216" t="s" s="4904">
        <v>74</v>
      </c>
      <c r="K216" t="s" s="4905">
        <v>1649</v>
      </c>
      <c r="L216" t="s" s="4906">
        <v>305</v>
      </c>
      <c r="M216" t="s" s="4907">
        <v>305</v>
      </c>
      <c r="N216" s="4908" t="s">
        <v>3873</v>
      </c>
      <c r="O216" s="4909" t="s">
        <v>3871</v>
      </c>
      <c r="P216" s="141"/>
      <c r="Q216" s="142">
        <f>SUM(R216:AQ216)</f>
      </c>
      <c r="R216" s="143"/>
      <c r="S216" s="143"/>
      <c r="T216" s="143"/>
      <c r="U216" s="143"/>
      <c r="V216" s="143"/>
      <c r="W216" s="143"/>
      <c r="X216" s="143"/>
      <c r="Y216" s="143"/>
      <c r="Z216" s="143"/>
      <c r="AA216" s="143"/>
      <c r="AB216" s="143"/>
      <c r="AC216" s="143"/>
      <c r="AD216" s="143"/>
      <c r="AE216" s="143"/>
      <c r="AF216" s="143"/>
      <c r="AG216" s="143"/>
      <c r="AH216" s="143"/>
      <c r="AI216" s="143"/>
      <c r="AJ216" s="143"/>
      <c r="AK216" s="143"/>
      <c r="AL216" s="143"/>
      <c r="AM216" s="143"/>
      <c r="AN216" s="4910" t="n">
        <v>1270.0</v>
      </c>
      <c r="AO216" s="4911" t="n">
        <v>1760.0</v>
      </c>
      <c r="AP216" s="143"/>
      <c r="AQ216" s="143"/>
      <c r="AR216" s="142">
        <f>SUM(AS216:AV216)</f>
      </c>
      <c r="AS216" s="143"/>
      <c r="AT216" s="143"/>
      <c r="AU216" s="143"/>
      <c r="AV216" s="143"/>
      <c r="AW216" s="142">
        <f>SUM(AX216:BI216)</f>
      </c>
      <c r="AX216" s="143"/>
      <c r="AY216" s="143"/>
      <c r="AZ216" s="143"/>
      <c r="BA216" s="143"/>
      <c r="BB216" s="143"/>
      <c r="BC216" s="143"/>
      <c r="BD216" s="143"/>
      <c r="BE216" s="143"/>
      <c r="BF216" s="143"/>
      <c r="BG216" s="143"/>
      <c r="BH216" s="143"/>
      <c r="BI216" s="143"/>
      <c r="BJ216" s="142"/>
      <c r="BK216" s="143"/>
      <c r="BL216" s="143"/>
      <c r="BM216" s="143"/>
      <c r="BN216" s="143"/>
      <c r="BO216" s="143"/>
      <c r="BP216" s="143"/>
      <c r="BQ216" s="142"/>
      <c r="BR216" s="143"/>
      <c r="BS216" s="143"/>
      <c r="BT216" s="142">
        <f>SUM(BU216:BW216)</f>
      </c>
      <c r="BU216" s="143"/>
      <c r="BV216" s="143"/>
      <c r="BW216" s="143"/>
      <c r="BX216" s="142">
        <f>SUM(BY216:CD216)</f>
      </c>
      <c r="BY216" s="143"/>
      <c r="BZ216" s="143"/>
      <c r="CA216" s="143"/>
      <c r="CB216" s="143"/>
      <c r="CC216" s="143"/>
      <c r="CD216" s="143"/>
      <c r="CE216" s="142"/>
      <c r="CF216" s="143"/>
      <c r="CG216" s="143"/>
      <c r="CH216" s="143"/>
      <c r="CI216" s="143"/>
      <c r="CJ216" s="143"/>
      <c r="CK216" s="142">
        <f>SUM(CL216:CN216)</f>
      </c>
      <c r="CL216" s="143"/>
      <c r="CM216" s="143"/>
      <c r="CN216" s="143"/>
      <c r="CO216" s="142">
        <f>SUM(CP216:CT216)</f>
      </c>
      <c r="CP216" s="143"/>
      <c r="CQ216" s="143"/>
      <c r="CR216" s="143"/>
      <c r="CS216" s="143"/>
      <c r="CT216" s="143"/>
      <c r="CU216" s="142"/>
      <c r="CV216" s="143"/>
      <c r="CW216" s="143"/>
      <c r="CX216" s="143"/>
      <c r="CY216" s="142"/>
      <c r="CZ216" s="143"/>
      <c r="DA216" s="143"/>
      <c r="DB216" s="143"/>
      <c r="DC216" s="143"/>
      <c r="DD216" s="143"/>
      <c r="DE216" s="143"/>
      <c r="DF216" s="143"/>
      <c r="DG216" s="142">
        <f>SUM(DH216:DH216)</f>
      </c>
      <c r="DH216" s="143"/>
      <c r="DI216" s="142"/>
      <c r="DJ216" s="143"/>
      <c r="DK216" s="142">
        <f>SUM(DL216:DQ216)</f>
      </c>
      <c r="DL216" s="143"/>
      <c r="DM216" s="143"/>
      <c r="DN216" s="143"/>
      <c r="DO216" s="143"/>
      <c r="DP216" s="143"/>
      <c r="DQ216" s="143"/>
      <c r="DR216" s="143"/>
      <c r="DS216" s="143"/>
      <c r="DT216" s="143"/>
      <c r="DU216" s="143"/>
      <c r="DV216" s="143"/>
      <c r="DW216" s="143"/>
      <c r="DX216" s="142"/>
      <c r="DY216" s="143"/>
      <c r="DZ216" s="142"/>
      <c r="EA216" s="143"/>
      <c r="EB216" s="143"/>
      <c r="EC216" s="142"/>
      <c r="ED216" s="143"/>
      <c r="EF216" s="143"/>
      <c r="EG216" s="142">
        <f>SUM(EH216:EQ216)</f>
      </c>
      <c r="EH216" s="143"/>
      <c r="EI216" s="143"/>
      <c r="EJ216" s="143"/>
      <c r="EK216" s="143"/>
      <c r="EL216" s="143"/>
      <c r="EM216" s="143"/>
      <c r="EN216" s="143"/>
      <c r="EO216" s="143"/>
      <c r="EP216" s="143"/>
      <c r="EQ216" s="143"/>
      <c r="ER216" s="142">
        <f>SUM(ES216:ET216)</f>
      </c>
      <c r="ES216" s="143"/>
      <c r="ET216" s="143"/>
      <c r="EU216" s="144"/>
      <c r="FB216" s="146"/>
      <c r="FC216" s="146" cm="1">
        <f t="array" ref="FC216">ROW()-ROW(New[#Headers])</f>
        <v>210</v>
      </c>
    </row>
    <row r="217" spans="2:159" s="139" customFormat="1" ht="10.5" x14ac:dyDescent="0.2">
      <c r="B217" s="133"/>
      <c r="C217" s="4926" t="s">
        <v>576</v>
      </c>
      <c r="D217" t="s" s="4927">
        <v>577</v>
      </c>
      <c r="E217" s="4928" t="s">
        <v>13</v>
      </c>
      <c r="F217" t="s" s="4929">
        <v>1262</v>
      </c>
      <c r="G217" t="s" s="4930">
        <v>1597</v>
      </c>
      <c r="H217" s="4931" t="s">
        <v>49</v>
      </c>
      <c r="I217" t="s" s="4932">
        <v>41</v>
      </c>
      <c r="J217" t="s" s="4933">
        <v>64</v>
      </c>
      <c r="K217" t="s" s="4934">
        <v>1617</v>
      </c>
      <c r="L217" t="s" s="4935">
        <v>934</v>
      </c>
      <c r="M217" t="s" s="4936">
        <v>305</v>
      </c>
      <c r="N217" s="4937" t="s">
        <v>3875</v>
      </c>
      <c r="O217" s="4938" t="s">
        <v>3874</v>
      </c>
      <c r="P217" s="141"/>
      <c r="Q217" s="142">
        <f>SUM(R217:AQ217)</f>
      </c>
      <c r="R217" s="143"/>
      <c r="S217" s="143"/>
      <c r="T217" s="143"/>
      <c r="U217" s="4939" t="n">
        <v>50.0</v>
      </c>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2">
        <f>SUM(AS217:AV217)</f>
      </c>
      <c r="AS217" s="143"/>
      <c r="AT217" s="143"/>
      <c r="AU217" s="143"/>
      <c r="AV217" s="143"/>
      <c r="AW217" s="142">
        <f>SUM(AX217:BI217)</f>
      </c>
      <c r="AX217" s="143"/>
      <c r="AY217" s="143"/>
      <c r="AZ217" s="143"/>
      <c r="BA217" s="143"/>
      <c r="BB217" s="143"/>
      <c r="BC217" s="143"/>
      <c r="BD217" s="143"/>
      <c r="BE217" s="143"/>
      <c r="BF217" s="143"/>
      <c r="BG217" s="143"/>
      <c r="BH217" s="143"/>
      <c r="BI217" s="143"/>
      <c r="BJ217" s="142"/>
      <c r="BK217" s="143"/>
      <c r="BL217" s="143"/>
      <c r="BM217" s="143"/>
      <c r="BN217" s="143"/>
      <c r="BO217" s="143"/>
      <c r="BP217" s="143"/>
      <c r="BQ217" s="142"/>
      <c r="BR217" s="143"/>
      <c r="BS217" s="143"/>
      <c r="BT217" s="142">
        <f>SUM(BU217:BW217)</f>
      </c>
      <c r="BU217" s="143"/>
      <c r="BV217" s="143"/>
      <c r="BW217" s="143"/>
      <c r="BX217" s="142">
        <f>SUM(BY217:CD217)</f>
      </c>
      <c r="BY217" s="143"/>
      <c r="BZ217" s="143"/>
      <c r="CA217" s="143"/>
      <c r="CB217" s="143"/>
      <c r="CC217" s="143"/>
      <c r="CD217" s="143"/>
      <c r="CE217" s="142"/>
      <c r="CF217" s="143"/>
      <c r="CG217" s="143"/>
      <c r="CH217" s="143"/>
      <c r="CI217" s="143"/>
      <c r="CJ217" s="143"/>
      <c r="CK217" s="142">
        <f>SUM(CL217:CN217)</f>
      </c>
      <c r="CL217" s="143"/>
      <c r="CM217" s="143"/>
      <c r="CN217" s="143"/>
      <c r="CO217" s="142">
        <f>SUM(CP217:CT217)</f>
      </c>
      <c r="CP217" s="143"/>
      <c r="CQ217" s="143"/>
      <c r="CR217" s="143"/>
      <c r="CS217" s="143"/>
      <c r="CT217" s="143"/>
      <c r="CU217" s="142"/>
      <c r="CV217" s="143"/>
      <c r="CW217" s="143"/>
      <c r="CX217" s="143"/>
      <c r="CY217" s="142"/>
      <c r="CZ217" s="143"/>
      <c r="DA217" s="143"/>
      <c r="DB217" s="143"/>
      <c r="DC217" s="143"/>
      <c r="DD217" s="143"/>
      <c r="DE217" s="143"/>
      <c r="DF217" s="143"/>
      <c r="DG217" s="142">
        <f>SUM(DH217:DH217)</f>
      </c>
      <c r="DH217" s="143"/>
      <c r="DI217" s="142"/>
      <c r="DJ217" s="143"/>
      <c r="DK217" s="142">
        <f>SUM(DL217:DQ217)</f>
      </c>
      <c r="DL217" s="143"/>
      <c r="DM217" s="143"/>
      <c r="DN217" s="143"/>
      <c r="DO217" s="143"/>
      <c r="DP217" s="143"/>
      <c r="DQ217" s="143"/>
      <c r="DR217" s="143"/>
      <c r="DS217" s="143"/>
      <c r="DT217" s="143"/>
      <c r="DU217" s="143"/>
      <c r="DV217" s="143"/>
      <c r="DW217" s="143"/>
      <c r="DX217" s="142"/>
      <c r="DY217" s="143"/>
      <c r="DZ217" s="142"/>
      <c r="EA217" s="143"/>
      <c r="EB217" s="143"/>
      <c r="EC217" s="142"/>
      <c r="ED217" s="143"/>
      <c r="EF217" s="143"/>
      <c r="EG217" s="142">
        <f>SUM(EH217:EQ217)</f>
      </c>
      <c r="EH217" s="143"/>
      <c r="EI217" s="143"/>
      <c r="EJ217" s="143"/>
      <c r="EK217" s="143"/>
      <c r="EL217" s="143"/>
      <c r="EM217" s="143"/>
      <c r="EN217" s="143"/>
      <c r="EO217" s="143"/>
      <c r="EP217" s="143"/>
      <c r="EQ217" s="143"/>
      <c r="ER217" s="142">
        <f>SUM(ES217:ET217)</f>
      </c>
      <c r="ES217" s="143"/>
      <c r="ET217" s="143"/>
      <c r="EU217" s="144"/>
      <c r="FB217" s="146"/>
      <c r="FC217" s="146" cm="1">
        <f t="array" ref="FC217">ROW()-ROW(New[#Headers])</f>
        <v>211</v>
      </c>
    </row>
    <row r="218" spans="2:159" s="139" customFormat="1" ht="10.5" x14ac:dyDescent="0.2">
      <c r="B218" s="133"/>
      <c r="C218" s="4940" t="s">
        <v>533</v>
      </c>
      <c r="D218" t="s" s="4941">
        <v>534</v>
      </c>
      <c r="E218" s="4942" t="s">
        <v>13</v>
      </c>
      <c r="F218" t="s" s="4943">
        <v>766</v>
      </c>
      <c r="G218" t="s" s="4944">
        <v>1597</v>
      </c>
      <c r="H218" s="4945" t="s">
        <v>46</v>
      </c>
      <c r="I218" t="s" s="4946">
        <v>41</v>
      </c>
      <c r="J218" t="s" s="4947">
        <v>68</v>
      </c>
      <c r="K218" t="s" s="4948">
        <v>774</v>
      </c>
      <c r="L218" t="s" s="4949">
        <v>767</v>
      </c>
      <c r="M218" t="s" s="4950">
        <v>305</v>
      </c>
      <c r="N218" s="4951" t="s">
        <v>3870</v>
      </c>
      <c r="O218" s="4952" t="s">
        <v>3871</v>
      </c>
      <c r="P218" s="141"/>
      <c r="Q218" s="142">
        <f>SUM(R218:AQ218)</f>
      </c>
      <c r="R218" s="143"/>
      <c r="S218" s="143"/>
      <c r="T218" s="143"/>
      <c r="U218" s="143"/>
      <c r="V218" s="143"/>
      <c r="W218" s="143"/>
      <c r="X218" s="143"/>
      <c r="Y218" s="143"/>
      <c r="Z218" s="143"/>
      <c r="AA218" s="143"/>
      <c r="AB218" s="143"/>
      <c r="AC218" s="143"/>
      <c r="AD218" s="143"/>
      <c r="AE218" s="143"/>
      <c r="AF218" s="143"/>
      <c r="AG218" s="4953" t="n">
        <v>200.0</v>
      </c>
      <c r="AH218" s="143"/>
      <c r="AI218" s="143"/>
      <c r="AJ218" s="143"/>
      <c r="AK218" s="143"/>
      <c r="AL218" s="143"/>
      <c r="AM218" s="143"/>
      <c r="AN218" s="143"/>
      <c r="AO218" s="143"/>
      <c r="AP218" s="143"/>
      <c r="AQ218" s="143"/>
      <c r="AR218" s="142">
        <f>SUM(AS218:AV218)</f>
      </c>
      <c r="AS218" s="143"/>
      <c r="AT218" s="143"/>
      <c r="AU218" s="143"/>
      <c r="AV218" s="143"/>
      <c r="AW218" s="142">
        <f>SUM(AX218:BI218)</f>
      </c>
      <c r="AX218" s="143"/>
      <c r="AY218" s="143"/>
      <c r="AZ218" s="143"/>
      <c r="BA218" s="143"/>
      <c r="BB218" s="143"/>
      <c r="BC218" s="143"/>
      <c r="BD218" s="143"/>
      <c r="BE218" s="143"/>
      <c r="BF218" s="143"/>
      <c r="BG218" s="143"/>
      <c r="BH218" s="143"/>
      <c r="BI218" s="143"/>
      <c r="BJ218" s="142"/>
      <c r="BK218" s="143"/>
      <c r="BL218" s="143"/>
      <c r="BM218" s="143"/>
      <c r="BN218" s="143"/>
      <c r="BO218" s="143"/>
      <c r="BP218" s="143"/>
      <c r="BQ218" s="142"/>
      <c r="BR218" s="143"/>
      <c r="BS218" s="143"/>
      <c r="BT218" s="142">
        <f>SUM(BU218:BW218)</f>
      </c>
      <c r="BU218" s="143"/>
      <c r="BV218" s="143"/>
      <c r="BW218" s="143"/>
      <c r="BX218" s="142">
        <f>SUM(BY218:CD218)</f>
      </c>
      <c r="BY218" s="143"/>
      <c r="BZ218" s="143"/>
      <c r="CA218" s="143"/>
      <c r="CB218" s="143"/>
      <c r="CC218" s="143"/>
      <c r="CD218" s="143"/>
      <c r="CE218" s="142"/>
      <c r="CF218" s="143"/>
      <c r="CG218" s="143"/>
      <c r="CH218" s="143"/>
      <c r="CI218" s="143"/>
      <c r="CJ218" s="143"/>
      <c r="CK218" s="142">
        <f>SUM(CL218:CN218)</f>
      </c>
      <c r="CL218" s="143"/>
      <c r="CM218" s="143"/>
      <c r="CN218" s="143"/>
      <c r="CO218" s="142">
        <f>SUM(CP218:CT218)</f>
      </c>
      <c r="CP218" s="143"/>
      <c r="CQ218" s="143"/>
      <c r="CR218" s="143"/>
      <c r="CS218" s="143"/>
      <c r="CT218" s="143"/>
      <c r="CU218" s="142"/>
      <c r="CV218" s="143"/>
      <c r="CW218" s="143"/>
      <c r="CX218" s="143"/>
      <c r="CY218" s="142"/>
      <c r="CZ218" s="143"/>
      <c r="DA218" s="143"/>
      <c r="DB218" s="143"/>
      <c r="DC218" s="143"/>
      <c r="DD218" s="143"/>
      <c r="DE218" s="143"/>
      <c r="DF218" s="143"/>
      <c r="DG218" s="142">
        <f>SUM(DH218:DH218)</f>
      </c>
      <c r="DH218" s="143"/>
      <c r="DI218" s="142"/>
      <c r="DJ218" s="143"/>
      <c r="DK218" s="142">
        <f>SUM(DL218:DQ218)</f>
      </c>
      <c r="DL218" s="143"/>
      <c r="DM218" s="143"/>
      <c r="DN218" s="143"/>
      <c r="DO218" s="143"/>
      <c r="DP218" s="143"/>
      <c r="DQ218" s="143"/>
      <c r="DR218" s="143"/>
      <c r="DS218" s="143"/>
      <c r="DT218" s="143"/>
      <c r="DU218" s="143"/>
      <c r="DV218" s="143"/>
      <c r="DW218" s="143"/>
      <c r="DX218" s="142"/>
      <c r="DY218" s="143"/>
      <c r="DZ218" s="142"/>
      <c r="EA218" s="143"/>
      <c r="EB218" s="143"/>
      <c r="EC218" s="142"/>
      <c r="ED218" s="143"/>
      <c r="EF218" s="143"/>
      <c r="EG218" s="142">
        <f>SUM(EH218:EQ218)</f>
      </c>
      <c r="EH218" s="143"/>
      <c r="EI218" s="143"/>
      <c r="EJ218" s="143"/>
      <c r="EK218" s="143"/>
      <c r="EL218" s="143"/>
      <c r="EM218" s="143"/>
      <c r="EN218" s="143"/>
      <c r="EO218" s="143"/>
      <c r="EP218" s="143"/>
      <c r="EQ218" s="143"/>
      <c r="ER218" s="142">
        <f>SUM(ES218:ET218)</f>
      </c>
      <c r="ES218" s="143"/>
      <c r="ET218" s="143"/>
      <c r="EU218" s="144"/>
      <c r="FB218" s="146"/>
      <c r="FC218" s="146" cm="1">
        <f t="array" ref="FC218">ROW()-ROW(New[#Headers])</f>
        <v>212</v>
      </c>
    </row>
    <row r="219" spans="2:159" s="139" customFormat="1" ht="10.5" x14ac:dyDescent="0.2">
      <c r="B219" s="133"/>
      <c r="C219" s="4954" t="s">
        <v>668</v>
      </c>
      <c r="D219" t="s" s="4955">
        <v>669</v>
      </c>
      <c r="E219" s="4956" t="s">
        <v>13</v>
      </c>
      <c r="F219" t="s" s="4957">
        <v>898</v>
      </c>
      <c r="G219" t="s" s="4958">
        <v>1597</v>
      </c>
      <c r="H219" s="4959" t="s">
        <v>46</v>
      </c>
      <c r="I219" t="s" s="4960">
        <v>41</v>
      </c>
      <c r="J219" t="s" s="4961">
        <v>71</v>
      </c>
      <c r="K219" t="s" s="4962">
        <v>820</v>
      </c>
      <c r="L219" t="s" s="4963">
        <v>305</v>
      </c>
      <c r="M219" t="s" s="4964">
        <v>305</v>
      </c>
      <c r="N219" s="4965" t="s">
        <v>3873</v>
      </c>
      <c r="O219" s="4966" t="s">
        <v>3871</v>
      </c>
      <c r="P219" s="141"/>
      <c r="Q219" s="142">
        <f>SUM(R219:AQ219)</f>
      </c>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4967" t="n">
        <v>600.0</v>
      </c>
      <c r="AO219" s="143"/>
      <c r="AP219" s="143"/>
      <c r="AQ219" s="143"/>
      <c r="AR219" s="142">
        <f>SUM(AS219:AV219)</f>
      </c>
      <c r="AS219" s="143"/>
      <c r="AT219" s="143"/>
      <c r="AU219" s="143"/>
      <c r="AV219" s="143"/>
      <c r="AW219" s="142">
        <f>SUM(AX219:BI219)</f>
      </c>
      <c r="AX219" s="143"/>
      <c r="AY219" s="143"/>
      <c r="AZ219" s="143"/>
      <c r="BA219" s="143"/>
      <c r="BB219" s="143"/>
      <c r="BC219" s="143"/>
      <c r="BD219" s="143"/>
      <c r="BE219" s="143"/>
      <c r="BF219" s="143"/>
      <c r="BG219" s="143"/>
      <c r="BH219" s="143"/>
      <c r="BI219" s="143"/>
      <c r="BJ219" s="142"/>
      <c r="BK219" s="143"/>
      <c r="BL219" s="143"/>
      <c r="BM219" s="143"/>
      <c r="BN219" s="143"/>
      <c r="BO219" s="143"/>
      <c r="BP219" s="143"/>
      <c r="BQ219" s="142"/>
      <c r="BR219" s="143"/>
      <c r="BS219" s="143"/>
      <c r="BT219" s="142">
        <f>SUM(BU219:BW219)</f>
      </c>
      <c r="BU219" s="143"/>
      <c r="BV219" s="143"/>
      <c r="BW219" s="143"/>
      <c r="BX219" s="142">
        <f>SUM(BY219:CD219)</f>
      </c>
      <c r="BY219" s="143"/>
      <c r="BZ219" s="143"/>
      <c r="CA219" s="143"/>
      <c r="CB219" s="143"/>
      <c r="CC219" s="143"/>
      <c r="CD219" s="143"/>
      <c r="CE219" s="142"/>
      <c r="CF219" s="143"/>
      <c r="CG219" s="143"/>
      <c r="CH219" s="143"/>
      <c r="CI219" s="143"/>
      <c r="CJ219" s="143"/>
      <c r="CK219" s="142">
        <f>SUM(CL219:CN219)</f>
      </c>
      <c r="CL219" s="143"/>
      <c r="CM219" s="143"/>
      <c r="CN219" s="143"/>
      <c r="CO219" s="142">
        <f>SUM(CP219:CT219)</f>
      </c>
      <c r="CP219" s="143"/>
      <c r="CQ219" s="143"/>
      <c r="CR219" s="143"/>
      <c r="CS219" s="143"/>
      <c r="CT219" s="143"/>
      <c r="CU219" s="142"/>
      <c r="CV219" s="143"/>
      <c r="CW219" s="143"/>
      <c r="CX219" s="143"/>
      <c r="CY219" s="142"/>
      <c r="CZ219" s="143"/>
      <c r="DA219" s="143"/>
      <c r="DB219" s="143"/>
      <c r="DC219" s="143"/>
      <c r="DD219" s="143"/>
      <c r="DE219" s="143"/>
      <c r="DF219" s="143"/>
      <c r="DG219" s="142">
        <f>SUM(DH219:DH219)</f>
      </c>
      <c r="DH219" s="143"/>
      <c r="DI219" s="142"/>
      <c r="DJ219" s="143"/>
      <c r="DK219" s="142">
        <f>SUM(DL219:DQ219)</f>
      </c>
      <c r="DL219" s="143"/>
      <c r="DM219" s="143"/>
      <c r="DN219" s="143"/>
      <c r="DO219" s="143"/>
      <c r="DP219" s="143"/>
      <c r="DQ219" s="143"/>
      <c r="DR219" s="143"/>
      <c r="DS219" s="143"/>
      <c r="DT219" s="143"/>
      <c r="DU219" s="143"/>
      <c r="DV219" s="143"/>
      <c r="DW219" s="143"/>
      <c r="DX219" s="142"/>
      <c r="DY219" s="143"/>
      <c r="DZ219" s="142"/>
      <c r="EA219" s="143"/>
      <c r="EB219" s="143"/>
      <c r="EC219" s="142"/>
      <c r="ED219" s="143"/>
      <c r="EF219" s="143"/>
      <c r="EG219" s="142">
        <f>SUM(EH219:EQ219)</f>
      </c>
      <c r="EH219" s="143"/>
      <c r="EI219" s="143"/>
      <c r="EJ219" s="143"/>
      <c r="EK219" s="143"/>
      <c r="EL219" s="143"/>
      <c r="EM219" s="143"/>
      <c r="EN219" s="143"/>
      <c r="EO219" s="143"/>
      <c r="EP219" s="143"/>
      <c r="EQ219" s="143"/>
      <c r="ER219" s="142">
        <f>SUM(ES219:ET219)</f>
      </c>
      <c r="ES219" s="143"/>
      <c r="ET219" s="143"/>
      <c r="EU219" s="144"/>
      <c r="FB219" s="146"/>
      <c r="FC219" s="146" cm="1">
        <f t="array" ref="FC219">ROW()-ROW(New[#Headers])</f>
        <v>213</v>
      </c>
    </row>
    <row r="220" spans="2:159" s="139" customFormat="1" ht="10.5" x14ac:dyDescent="0.2">
      <c r="B220" s="133"/>
      <c r="C220" s="4968" t="s">
        <v>589</v>
      </c>
      <c r="D220" t="s" s="4969">
        <v>590</v>
      </c>
      <c r="E220" s="4970" t="s">
        <v>13</v>
      </c>
      <c r="F220" t="s" s="4971">
        <v>750</v>
      </c>
      <c r="G220" t="s" s="4972">
        <v>1597</v>
      </c>
      <c r="H220" s="4973" t="s">
        <v>49</v>
      </c>
      <c r="I220" t="s" s="4974">
        <v>41</v>
      </c>
      <c r="J220" t="s" s="4975">
        <v>64</v>
      </c>
      <c r="K220" t="s" s="4976">
        <v>1679</v>
      </c>
      <c r="L220" t="s" s="4977">
        <v>934</v>
      </c>
      <c r="M220" t="s" s="4978">
        <v>305</v>
      </c>
      <c r="N220" s="4979" t="s">
        <v>3873</v>
      </c>
      <c r="O220" s="4980" t="s">
        <v>3874</v>
      </c>
      <c r="P220" s="141"/>
      <c r="Q220" s="142">
        <f>SUM(R220:AQ220)</f>
      </c>
      <c r="R220" s="143"/>
      <c r="S220" s="143"/>
      <c r="T220" s="4981" t="n">
        <v>100.0</v>
      </c>
      <c r="U220" s="143"/>
      <c r="V220" s="143"/>
      <c r="W220" s="143"/>
      <c r="X220" s="143"/>
      <c r="Y220" s="143"/>
      <c r="Z220" s="143"/>
      <c r="AA220" s="143"/>
      <c r="AB220" s="143"/>
      <c r="AC220" s="143"/>
      <c r="AD220" s="143"/>
      <c r="AE220" s="143"/>
      <c r="AF220" s="143"/>
      <c r="AG220" s="143"/>
      <c r="AH220" s="143"/>
      <c r="AI220" s="143"/>
      <c r="AJ220" s="143"/>
      <c r="AK220" s="143"/>
      <c r="AL220" s="143"/>
      <c r="AM220" s="143"/>
      <c r="AN220" s="143"/>
      <c r="AO220" s="143"/>
      <c r="AP220" s="143"/>
      <c r="AQ220" s="143"/>
      <c r="AR220" s="142">
        <f>SUM(AS220:AV220)</f>
      </c>
      <c r="AS220" s="143"/>
      <c r="AT220" s="143"/>
      <c r="AU220" s="143"/>
      <c r="AV220" s="143"/>
      <c r="AW220" s="142">
        <f>SUM(AX220:BI220)</f>
      </c>
      <c r="AX220" s="143"/>
      <c r="AY220" s="143"/>
      <c r="AZ220" s="143"/>
      <c r="BA220" s="143"/>
      <c r="BB220" s="143"/>
      <c r="BC220" s="143"/>
      <c r="BD220" s="143"/>
      <c r="BE220" s="143"/>
      <c r="BF220" s="143"/>
      <c r="BG220" s="143"/>
      <c r="BH220" s="143"/>
      <c r="BI220" s="143"/>
      <c r="BJ220" s="142"/>
      <c r="BK220" s="143"/>
      <c r="BL220" s="143"/>
      <c r="BM220" s="143"/>
      <c r="BN220" s="143"/>
      <c r="BO220" s="143"/>
      <c r="BP220" s="143"/>
      <c r="BQ220" s="142"/>
      <c r="BR220" s="143"/>
      <c r="BS220" s="143"/>
      <c r="BT220" s="142">
        <f>SUM(BU220:BW220)</f>
      </c>
      <c r="BU220" s="143"/>
      <c r="BV220" s="143"/>
      <c r="BW220" s="143"/>
      <c r="BX220" s="142">
        <f>SUM(BY220:CD220)</f>
      </c>
      <c r="BY220" s="143"/>
      <c r="BZ220" s="143"/>
      <c r="CA220" s="143"/>
      <c r="CB220" s="143"/>
      <c r="CC220" s="143"/>
      <c r="CD220" s="143"/>
      <c r="CE220" s="142"/>
      <c r="CF220" s="143"/>
      <c r="CG220" s="143"/>
      <c r="CH220" s="143"/>
      <c r="CI220" s="143"/>
      <c r="CJ220" s="143"/>
      <c r="CK220" s="142">
        <f>SUM(CL220:CN220)</f>
      </c>
      <c r="CL220" s="143"/>
      <c r="CM220" s="143"/>
      <c r="CN220" s="143"/>
      <c r="CO220" s="142">
        <f>SUM(CP220:CT220)</f>
      </c>
      <c r="CP220" s="143"/>
      <c r="CQ220" s="143"/>
      <c r="CR220" s="143"/>
      <c r="CS220" s="143"/>
      <c r="CT220" s="143"/>
      <c r="CU220" s="142"/>
      <c r="CV220" s="143"/>
      <c r="CW220" s="143"/>
      <c r="CX220" s="143"/>
      <c r="CY220" s="142"/>
      <c r="CZ220" s="143"/>
      <c r="DA220" s="143"/>
      <c r="DB220" s="143"/>
      <c r="DC220" s="143"/>
      <c r="DD220" s="143"/>
      <c r="DE220" s="143"/>
      <c r="DF220" s="143"/>
      <c r="DG220" s="142">
        <f>SUM(DH220:DH220)</f>
      </c>
      <c r="DH220" s="143"/>
      <c r="DI220" s="142"/>
      <c r="DJ220" s="143"/>
      <c r="DK220" s="142">
        <f>SUM(DL220:DQ220)</f>
      </c>
      <c r="DL220" s="143"/>
      <c r="DM220" s="143"/>
      <c r="DN220" s="143"/>
      <c r="DO220" s="143"/>
      <c r="DP220" s="143"/>
      <c r="DQ220" s="143"/>
      <c r="DR220" s="143"/>
      <c r="DS220" s="143"/>
      <c r="DT220" s="143"/>
      <c r="DU220" s="143"/>
      <c r="DV220" s="143"/>
      <c r="DW220" s="143"/>
      <c r="DX220" s="142"/>
      <c r="DY220" s="143"/>
      <c r="DZ220" s="142"/>
      <c r="EA220" s="143"/>
      <c r="EB220" s="143"/>
      <c r="EC220" s="142"/>
      <c r="ED220" s="143"/>
      <c r="EF220" s="143"/>
      <c r="EG220" s="142">
        <f>SUM(EH220:EQ220)</f>
      </c>
      <c r="EH220" s="143"/>
      <c r="EI220" s="143"/>
      <c r="EJ220" s="143"/>
      <c r="EK220" s="143"/>
      <c r="EL220" s="143"/>
      <c r="EM220" s="143"/>
      <c r="EN220" s="143"/>
      <c r="EO220" s="143"/>
      <c r="EP220" s="143"/>
      <c r="EQ220" s="143"/>
      <c r="ER220" s="142">
        <f>SUM(ES220:ET220)</f>
      </c>
      <c r="ES220" s="143"/>
      <c r="ET220" s="143"/>
      <c r="EU220" s="144"/>
      <c r="FB220" s="146"/>
      <c r="FC220" s="146" cm="1">
        <f t="array" ref="FC220">ROW()-ROW(New[#Headers])</f>
        <v>214</v>
      </c>
    </row>
    <row r="221" spans="2:159" s="139" customFormat="1" ht="10.5" x14ac:dyDescent="0.2">
      <c r="B221" s="133"/>
      <c r="C221" s="4982" t="s">
        <v>1667</v>
      </c>
      <c r="D221" t="s" s="4983">
        <v>538</v>
      </c>
      <c r="E221" s="4984" t="s">
        <v>13</v>
      </c>
      <c r="F221" t="s" s="4985">
        <v>810</v>
      </c>
      <c r="G221" t="s" s="4986">
        <v>1597</v>
      </c>
      <c r="H221" s="4987" t="s">
        <v>46</v>
      </c>
      <c r="I221" t="s" s="4988">
        <v>41</v>
      </c>
      <c r="J221" t="s" s="4989">
        <v>71</v>
      </c>
      <c r="K221" t="s" s="4990">
        <v>811</v>
      </c>
      <c r="L221" t="s" s="4991">
        <v>779</v>
      </c>
      <c r="M221" t="s" s="4992">
        <v>305</v>
      </c>
      <c r="N221" s="4993" t="s">
        <v>3867</v>
      </c>
      <c r="O221" s="4994" t="s">
        <v>3868</v>
      </c>
      <c r="P221" s="141"/>
      <c r="Q221" s="142">
        <f>SUM(R221:AQ221)</f>
      </c>
      <c r="R221" s="143"/>
      <c r="S221" s="143"/>
      <c r="T221" s="143"/>
      <c r="U221" s="143"/>
      <c r="V221" s="143"/>
      <c r="W221" s="143"/>
      <c r="X221" s="143"/>
      <c r="Y221" s="143"/>
      <c r="Z221" s="143"/>
      <c r="AA221" s="143"/>
      <c r="AB221" s="143"/>
      <c r="AC221" s="143"/>
      <c r="AD221" s="143"/>
      <c r="AE221" s="143"/>
      <c r="AF221" s="143"/>
      <c r="AG221" s="143"/>
      <c r="AH221" s="143"/>
      <c r="AI221" s="143"/>
      <c r="AJ221" s="143"/>
      <c r="AK221" s="143"/>
      <c r="AL221" s="143"/>
      <c r="AM221" s="143"/>
      <c r="AN221" s="143"/>
      <c r="AO221" s="143"/>
      <c r="AP221" s="143"/>
      <c r="AQ221" s="143"/>
      <c r="AR221" s="142">
        <f>SUM(AS221:AV221)</f>
      </c>
      <c r="AS221" s="143"/>
      <c r="AT221" s="143"/>
      <c r="AU221" s="143"/>
      <c r="AV221" s="143"/>
      <c r="AW221" s="142">
        <f>SUM(AX221:BI221)</f>
      </c>
      <c r="AX221" s="143"/>
      <c r="AY221" s="143"/>
      <c r="AZ221" s="143"/>
      <c r="BA221" s="143"/>
      <c r="BB221" s="143"/>
      <c r="BC221" s="143"/>
      <c r="BD221" s="143"/>
      <c r="BE221" s="143"/>
      <c r="BF221" s="143"/>
      <c r="BG221" s="143"/>
      <c r="BH221" s="143"/>
      <c r="BI221" s="143"/>
      <c r="BJ221" s="142"/>
      <c r="BK221" s="143"/>
      <c r="BL221" s="143"/>
      <c r="BM221" s="143"/>
      <c r="BN221" s="143"/>
      <c r="BO221" s="143"/>
      <c r="BP221" s="143"/>
      <c r="BQ221" s="142"/>
      <c r="BR221" s="143"/>
      <c r="BS221" s="143"/>
      <c r="BT221" s="142">
        <f>SUM(BU221:BW221)</f>
      </c>
      <c r="BU221" s="143"/>
      <c r="BV221" s="143"/>
      <c r="BW221" s="143"/>
      <c r="BX221" s="142">
        <f>SUM(BY221:CD221)</f>
      </c>
      <c r="BY221" s="143"/>
      <c r="BZ221" s="143"/>
      <c r="CA221" s="143"/>
      <c r="CB221" s="143"/>
      <c r="CC221" s="143"/>
      <c r="CD221" s="143"/>
      <c r="CE221" s="142"/>
      <c r="CF221" s="143"/>
      <c r="CG221" s="143"/>
      <c r="CH221" s="143"/>
      <c r="CI221" s="143"/>
      <c r="CJ221" s="143"/>
      <c r="CK221" s="142">
        <f>SUM(CL221:CN221)</f>
      </c>
      <c r="CL221" s="143"/>
      <c r="CM221" s="143"/>
      <c r="CN221" s="143"/>
      <c r="CO221" s="142">
        <f>SUM(CP221:CT221)</f>
      </c>
      <c r="CP221" s="143"/>
      <c r="CQ221" s="143"/>
      <c r="CR221" s="143"/>
      <c r="CS221" s="143"/>
      <c r="CT221" s="143"/>
      <c r="CU221" s="142"/>
      <c r="CV221" s="143"/>
      <c r="CW221" s="143"/>
      <c r="CX221" s="143"/>
      <c r="CY221" s="142"/>
      <c r="CZ221" s="143"/>
      <c r="DA221" s="143"/>
      <c r="DB221" s="143"/>
      <c r="DC221" s="143"/>
      <c r="DD221" s="143"/>
      <c r="DE221" s="143"/>
      <c r="DF221" s="143"/>
      <c r="DG221" s="142">
        <f>SUM(DH221:DH221)</f>
      </c>
      <c r="DH221" s="143"/>
      <c r="DI221" s="142"/>
      <c r="DJ221" s="143"/>
      <c r="DK221" s="142">
        <f>SUM(DL221:DQ221)</f>
      </c>
      <c r="DL221" s="143"/>
      <c r="DM221" s="143"/>
      <c r="DN221" s="143"/>
      <c r="DO221" s="143"/>
      <c r="DP221" s="143"/>
      <c r="DQ221" s="143"/>
      <c r="DR221" s="143"/>
      <c r="DS221" s="143"/>
      <c r="DT221" s="143"/>
      <c r="DU221" s="143"/>
      <c r="DV221" s="143"/>
      <c r="DW221" s="143"/>
      <c r="DX221" s="142"/>
      <c r="DY221" s="143"/>
      <c r="DZ221" s="142"/>
      <c r="EA221" s="143"/>
      <c r="EB221" s="143"/>
      <c r="EC221" s="142"/>
      <c r="ED221" s="143"/>
      <c r="EF221" s="143"/>
      <c r="EG221" s="142">
        <f>SUM(EH221:EQ221)</f>
      </c>
      <c r="EH221" s="143"/>
      <c r="EI221" s="143"/>
      <c r="EJ221" s="143"/>
      <c r="EK221" s="143"/>
      <c r="EL221" s="143"/>
      <c r="EM221" s="143"/>
      <c r="EN221" s="143"/>
      <c r="EO221" s="143"/>
      <c r="EP221" s="143"/>
      <c r="EQ221" s="143"/>
      <c r="ER221" s="142">
        <f>SUM(ES221:ET221)</f>
      </c>
      <c r="ES221" s="143"/>
      <c r="ET221" s="143"/>
      <c r="EU221" s="144"/>
      <c r="FB221" s="146"/>
      <c r="FC221" s="146" cm="1">
        <f t="array" ref="FC221">ROW()-ROW(New[#Headers])</f>
        <v>215</v>
      </c>
    </row>
    <row r="222" spans="2:159" s="139" customFormat="1" ht="10.5" x14ac:dyDescent="0.2">
      <c r="B222" s="133"/>
      <c r="C222" s="133"/>
      <c r="E222" s="133"/>
      <c r="H222" s="133"/>
      <c r="N222" s="140"/>
      <c r="O222" s="140"/>
      <c r="P222" s="141"/>
      <c r="Q222" s="142">
        <f>SUM(R222:AQ222)</f>
      </c>
      <c r="R222" s="143"/>
      <c r="S222" s="143"/>
      <c r="T222" s="143"/>
      <c r="U222" s="143"/>
      <c r="V222" s="143"/>
      <c r="W222" s="143"/>
      <c r="X222" s="143"/>
      <c r="Y222" s="143"/>
      <c r="Z222" s="143"/>
      <c r="AA222" s="143"/>
      <c r="AB222" s="143"/>
      <c r="AC222" s="143"/>
      <c r="AD222" s="143"/>
      <c r="AE222" s="143"/>
      <c r="AF222" s="143"/>
      <c r="AG222" s="143"/>
      <c r="AH222" s="143"/>
      <c r="AI222" s="143"/>
      <c r="AJ222" s="143"/>
      <c r="AK222" s="143"/>
      <c r="AL222" s="143"/>
      <c r="AM222" s="143"/>
      <c r="AN222" s="143"/>
      <c r="AO222" s="143"/>
      <c r="AP222" s="143"/>
      <c r="AQ222" s="143"/>
      <c r="AR222" s="142">
        <f>SUM(AS222:AV222)</f>
      </c>
      <c r="AS222" s="143"/>
      <c r="AT222" s="143"/>
      <c r="AU222" s="143"/>
      <c r="AV222" s="143"/>
      <c r="AW222" s="142">
        <f>SUM(AX222:BI222)</f>
      </c>
      <c r="AX222" s="143"/>
      <c r="AY222" s="143"/>
      <c r="AZ222" s="143"/>
      <c r="BA222" s="143"/>
      <c r="BB222" s="143"/>
      <c r="BC222" s="143"/>
      <c r="BD222" s="143"/>
      <c r="BE222" s="143"/>
      <c r="BF222" s="143"/>
      <c r="BG222" s="143"/>
      <c r="BH222" s="143"/>
      <c r="BI222" s="143"/>
      <c r="BJ222" s="142"/>
      <c r="BK222" s="143"/>
      <c r="BL222" s="143"/>
      <c r="BM222" s="143"/>
      <c r="BN222" s="143"/>
      <c r="BO222" s="143"/>
      <c r="BP222" s="143"/>
      <c r="BQ222" s="142"/>
      <c r="BR222" s="143"/>
      <c r="BS222" s="143"/>
      <c r="BT222" s="142">
        <f>SUM(BU222:BW222)</f>
      </c>
      <c r="BU222" s="143"/>
      <c r="BV222" s="143"/>
      <c r="BW222" s="143"/>
      <c r="BX222" s="142">
        <f>SUM(BY222:CD222)</f>
      </c>
      <c r="BY222" s="143"/>
      <c r="BZ222" s="143"/>
      <c r="CA222" s="143"/>
      <c r="CB222" s="143"/>
      <c r="CC222" s="143"/>
      <c r="CD222" s="143"/>
      <c r="CE222" s="142"/>
      <c r="CF222" s="143"/>
      <c r="CG222" s="143"/>
      <c r="CH222" s="143"/>
      <c r="CI222" s="143"/>
      <c r="CJ222" s="143"/>
      <c r="CK222" s="142">
        <f>SUM(CL222:CN222)</f>
      </c>
      <c r="CL222" s="143"/>
      <c r="CM222" s="143"/>
      <c r="CN222" s="143"/>
      <c r="CO222" s="142">
        <f>SUM(CP222:CT222)</f>
      </c>
      <c r="CP222" s="143"/>
      <c r="CQ222" s="143"/>
      <c r="CR222" s="143"/>
      <c r="CS222" s="143"/>
      <c r="CT222" s="143"/>
      <c r="CU222" s="142"/>
      <c r="CV222" s="143"/>
      <c r="CW222" s="143"/>
      <c r="CX222" s="143"/>
      <c r="CY222" s="142"/>
      <c r="CZ222" s="143"/>
      <c r="DA222" s="143"/>
      <c r="DB222" s="143"/>
      <c r="DC222" s="143"/>
      <c r="DD222" s="143"/>
      <c r="DE222" s="143"/>
      <c r="DF222" s="143"/>
      <c r="DG222" s="142">
        <f>SUM(DH222:DH222)</f>
      </c>
      <c r="DH222" s="143"/>
      <c r="DI222" s="142"/>
      <c r="DJ222" s="143"/>
      <c r="DK222" s="142">
        <f>SUM(DL222:DQ222)</f>
      </c>
      <c r="DL222" s="143"/>
      <c r="DM222" s="143"/>
      <c r="DN222" s="143"/>
      <c r="DO222" s="143"/>
      <c r="DP222" s="143"/>
      <c r="DQ222" s="143"/>
      <c r="DR222" s="143"/>
      <c r="DS222" s="143"/>
      <c r="DT222" s="143"/>
      <c r="DU222" s="143"/>
      <c r="DV222" s="143"/>
      <c r="DW222" s="143"/>
      <c r="DX222" s="142"/>
      <c r="DY222" s="143"/>
      <c r="DZ222" s="142"/>
      <c r="EA222" s="143"/>
      <c r="EB222" s="143"/>
      <c r="EC222" s="142"/>
      <c r="ED222" s="143"/>
      <c r="EF222" s="143"/>
      <c r="EG222" s="142">
        <f>SUM(EH222:EQ222)</f>
      </c>
      <c r="EH222" s="143"/>
      <c r="EI222" s="143"/>
      <c r="EJ222" s="143"/>
      <c r="EK222" s="143"/>
      <c r="EL222" s="143"/>
      <c r="EM222" s="143"/>
      <c r="EN222" s="143"/>
      <c r="EO222" s="143"/>
      <c r="EP222" s="143"/>
      <c r="EQ222" s="143"/>
      <c r="ER222" s="142">
        <f>SUM(ES222:ET222)</f>
      </c>
      <c r="ES222" s="143"/>
      <c r="ET222" s="143"/>
      <c r="EU222" s="144"/>
      <c r="FB222" s="146"/>
      <c r="FC222" s="146" cm="1">
        <f t="array" ref="FC222">ROW()-ROW(New[#Headers])</f>
        <v>216</v>
      </c>
    </row>
    <row r="223" spans="2:159" s="139" customFormat="1" ht="10.5" x14ac:dyDescent="0.2">
      <c r="B223" s="133"/>
      <c r="C223" s="133"/>
      <c r="E223" s="133"/>
      <c r="H223" s="133"/>
      <c r="N223" s="140"/>
      <c r="O223" s="140"/>
      <c r="P223" s="141"/>
      <c r="Q223" s="142">
        <f>SUM(R223:AQ223)</f>
      </c>
      <c r="R223" s="143"/>
      <c r="S223" s="143"/>
      <c r="T223" s="143"/>
      <c r="U223" s="143"/>
      <c r="V223" s="143"/>
      <c r="W223" s="143"/>
      <c r="X223" s="143"/>
      <c r="Y223" s="143"/>
      <c r="Z223" s="143"/>
      <c r="AA223" s="143"/>
      <c r="AB223" s="143"/>
      <c r="AC223" s="143"/>
      <c r="AD223" s="143"/>
      <c r="AE223" s="143"/>
      <c r="AF223" s="143"/>
      <c r="AG223" s="143"/>
      <c r="AH223" s="143"/>
      <c r="AI223" s="143"/>
      <c r="AJ223" s="143"/>
      <c r="AK223" s="143"/>
      <c r="AL223" s="143"/>
      <c r="AM223" s="143"/>
      <c r="AN223" s="143"/>
      <c r="AO223" s="143"/>
      <c r="AP223" s="143"/>
      <c r="AQ223" s="143"/>
      <c r="AR223" s="142">
        <f>SUM(AS223:AV223)</f>
      </c>
      <c r="AS223" s="143"/>
      <c r="AT223" s="143"/>
      <c r="AU223" s="143"/>
      <c r="AV223" s="143"/>
      <c r="AW223" s="142">
        <f>SUM(AX223:BI223)</f>
      </c>
      <c r="AX223" s="143"/>
      <c r="AY223" s="143"/>
      <c r="AZ223" s="143"/>
      <c r="BA223" s="143"/>
      <c r="BB223" s="143"/>
      <c r="BC223" s="143"/>
      <c r="BD223" s="143"/>
      <c r="BE223" s="143"/>
      <c r="BF223" s="143"/>
      <c r="BG223" s="143"/>
      <c r="BH223" s="143"/>
      <c r="BI223" s="143"/>
      <c r="BJ223" s="142"/>
      <c r="BK223" s="143"/>
      <c r="BL223" s="143"/>
      <c r="BM223" s="143"/>
      <c r="BN223" s="143"/>
      <c r="BO223" s="143"/>
      <c r="BP223" s="143"/>
      <c r="BQ223" s="142"/>
      <c r="BR223" s="143"/>
      <c r="BS223" s="143"/>
      <c r="BT223" s="142">
        <f>SUM(BU223:BW223)</f>
      </c>
      <c r="BU223" s="143"/>
      <c r="BV223" s="143"/>
      <c r="BW223" s="143"/>
      <c r="BX223" s="142">
        <f>SUM(BY223:CD223)</f>
      </c>
      <c r="BY223" s="143"/>
      <c r="BZ223" s="143"/>
      <c r="CA223" s="143"/>
      <c r="CB223" s="143"/>
      <c r="CC223" s="143"/>
      <c r="CD223" s="143"/>
      <c r="CE223" s="142"/>
      <c r="CF223" s="143"/>
      <c r="CG223" s="143"/>
      <c r="CH223" s="143"/>
      <c r="CI223" s="143"/>
      <c r="CJ223" s="143"/>
      <c r="CK223" s="142">
        <f>SUM(CL223:CN223)</f>
      </c>
      <c r="CL223" s="143"/>
      <c r="CM223" s="143"/>
      <c r="CN223" s="143"/>
      <c r="CO223" s="142">
        <f>SUM(CP223:CT223)</f>
      </c>
      <c r="CP223" s="143"/>
      <c r="CQ223" s="143"/>
      <c r="CR223" s="143"/>
      <c r="CS223" s="143"/>
      <c r="CT223" s="143"/>
      <c r="CU223" s="142"/>
      <c r="CV223" s="143"/>
      <c r="CW223" s="143"/>
      <c r="CX223" s="143"/>
      <c r="CY223" s="142"/>
      <c r="CZ223" s="143"/>
      <c r="DA223" s="143"/>
      <c r="DB223" s="143"/>
      <c r="DC223" s="143"/>
      <c r="DD223" s="143"/>
      <c r="DE223" s="143"/>
      <c r="DF223" s="143"/>
      <c r="DG223" s="142">
        <f>SUM(DH223:DH223)</f>
      </c>
      <c r="DH223" s="143"/>
      <c r="DI223" s="142"/>
      <c r="DJ223" s="143"/>
      <c r="DK223" s="142">
        <f>SUM(DL223:DQ223)</f>
      </c>
      <c r="DL223" s="143"/>
      <c r="DM223" s="143"/>
      <c r="DN223" s="143"/>
      <c r="DO223" s="143"/>
      <c r="DP223" s="143"/>
      <c r="DQ223" s="143"/>
      <c r="DR223" s="143"/>
      <c r="DS223" s="143"/>
      <c r="DT223" s="143"/>
      <c r="DU223" s="143"/>
      <c r="DV223" s="143"/>
      <c r="DW223" s="143"/>
      <c r="DX223" s="142"/>
      <c r="DY223" s="143"/>
      <c r="DZ223" s="142"/>
      <c r="EA223" s="143"/>
      <c r="EB223" s="143"/>
      <c r="EC223" s="142"/>
      <c r="ED223" s="143"/>
      <c r="EF223" s="143"/>
      <c r="EG223" s="142">
        <f>SUM(EH223:EQ223)</f>
      </c>
      <c r="EH223" s="143"/>
      <c r="EI223" s="143"/>
      <c r="EJ223" s="143"/>
      <c r="EK223" s="143"/>
      <c r="EL223" s="143"/>
      <c r="EM223" s="143"/>
      <c r="EN223" s="143"/>
      <c r="EO223" s="143"/>
      <c r="EP223" s="143"/>
      <c r="EQ223" s="143"/>
      <c r="ER223" s="142">
        <f>SUM(ES223:ET223)</f>
      </c>
      <c r="ES223" s="143"/>
      <c r="ET223" s="143"/>
      <c r="EU223" s="144"/>
      <c r="FB223" s="146"/>
      <c r="FC223" s="146" cm="1">
        <f t="array" ref="FC223">ROW()-ROW(New[#Headers])</f>
        <v>217</v>
      </c>
    </row>
    <row r="224" spans="2:159" s="139" customFormat="1" ht="10.5" x14ac:dyDescent="0.2">
      <c r="B224" s="133"/>
      <c r="C224" s="133"/>
      <c r="E224" s="133"/>
      <c r="H224" s="133"/>
      <c r="N224" s="140"/>
      <c r="O224" s="140"/>
      <c r="P224" s="141"/>
      <c r="Q224" s="142">
        <f>SUM(R224:AQ224)</f>
      </c>
      <c r="R224" s="143"/>
      <c r="S224" s="143"/>
      <c r="T224" s="143"/>
      <c r="U224" s="143"/>
      <c r="V224" s="143"/>
      <c r="W224" s="143"/>
      <c r="X224" s="143"/>
      <c r="Y224" s="143"/>
      <c r="Z224" s="143"/>
      <c r="AA224" s="143"/>
      <c r="AB224" s="143"/>
      <c r="AC224" s="143"/>
      <c r="AD224" s="143"/>
      <c r="AE224" s="143"/>
      <c r="AF224" s="143"/>
      <c r="AG224" s="143"/>
      <c r="AH224" s="143"/>
      <c r="AI224" s="143"/>
      <c r="AJ224" s="143"/>
      <c r="AK224" s="143"/>
      <c r="AL224" s="143"/>
      <c r="AM224" s="143"/>
      <c r="AN224" s="143"/>
      <c r="AO224" s="143"/>
      <c r="AP224" s="143"/>
      <c r="AQ224" s="143"/>
      <c r="AR224" s="142">
        <f>SUM(AS224:AV224)</f>
      </c>
      <c r="AS224" s="143"/>
      <c r="AT224" s="143"/>
      <c r="AU224" s="143"/>
      <c r="AV224" s="143"/>
      <c r="AW224" s="142">
        <f>SUM(AX224:BI224)</f>
      </c>
      <c r="AX224" s="143"/>
      <c r="AY224" s="143"/>
      <c r="AZ224" s="143"/>
      <c r="BA224" s="143"/>
      <c r="BB224" s="143"/>
      <c r="BC224" s="143"/>
      <c r="BD224" s="143"/>
      <c r="BE224" s="143"/>
      <c r="BF224" s="143"/>
      <c r="BG224" s="143"/>
      <c r="BH224" s="143"/>
      <c r="BI224" s="143"/>
      <c r="BJ224" s="142"/>
      <c r="BK224" s="143"/>
      <c r="BL224" s="143"/>
      <c r="BM224" s="143"/>
      <c r="BN224" s="143"/>
      <c r="BO224" s="143"/>
      <c r="BP224" s="143"/>
      <c r="BQ224" s="142"/>
      <c r="BR224" s="143"/>
      <c r="BS224" s="143"/>
      <c r="BT224" s="142">
        <f>SUM(BU224:BW224)</f>
      </c>
      <c r="BU224" s="143"/>
      <c r="BV224" s="143"/>
      <c r="BW224" s="143"/>
      <c r="BX224" s="142">
        <f>SUM(BY224:CD224)</f>
      </c>
      <c r="BY224" s="143"/>
      <c r="BZ224" s="143"/>
      <c r="CA224" s="143"/>
      <c r="CB224" s="143"/>
      <c r="CC224" s="143"/>
      <c r="CD224" s="143"/>
      <c r="CE224" s="142"/>
      <c r="CF224" s="143"/>
      <c r="CG224" s="143"/>
      <c r="CH224" s="143"/>
      <c r="CI224" s="143"/>
      <c r="CJ224" s="143"/>
      <c r="CK224" s="142">
        <f>SUM(CL224:CN224)</f>
      </c>
      <c r="CL224" s="143"/>
      <c r="CM224" s="143"/>
      <c r="CN224" s="143"/>
      <c r="CO224" s="142">
        <f>SUM(CP224:CT224)</f>
      </c>
      <c r="CP224" s="143"/>
      <c r="CQ224" s="143"/>
      <c r="CR224" s="143"/>
      <c r="CS224" s="143"/>
      <c r="CT224" s="143"/>
      <c r="CU224" s="142"/>
      <c r="CV224" s="143"/>
      <c r="CW224" s="143"/>
      <c r="CX224" s="143"/>
      <c r="CY224" s="142"/>
      <c r="CZ224" s="143"/>
      <c r="DA224" s="143"/>
      <c r="DB224" s="143"/>
      <c r="DC224" s="143"/>
      <c r="DD224" s="143"/>
      <c r="DE224" s="143"/>
      <c r="DF224" s="143"/>
      <c r="DG224" s="142">
        <f>SUM(DH224:DH224)</f>
      </c>
      <c r="DH224" s="143"/>
      <c r="DI224" s="142"/>
      <c r="DJ224" s="143"/>
      <c r="DK224" s="142">
        <f>SUM(DL224:DQ224)</f>
      </c>
      <c r="DL224" s="143"/>
      <c r="DM224" s="143"/>
      <c r="DN224" s="143"/>
      <c r="DO224" s="143"/>
      <c r="DP224" s="143"/>
      <c r="DQ224" s="143"/>
      <c r="DR224" s="143"/>
      <c r="DS224" s="143"/>
      <c r="DT224" s="143"/>
      <c r="DU224" s="143"/>
      <c r="DV224" s="143"/>
      <c r="DW224" s="143"/>
      <c r="DX224" s="142"/>
      <c r="DY224" s="143"/>
      <c r="DZ224" s="142"/>
      <c r="EA224" s="143"/>
      <c r="EB224" s="143"/>
      <c r="EC224" s="142"/>
      <c r="ED224" s="143"/>
      <c r="EF224" s="143"/>
      <c r="EG224" s="142">
        <f>SUM(EH224:EQ224)</f>
      </c>
      <c r="EH224" s="143"/>
      <c r="EI224" s="143"/>
      <c r="EJ224" s="143"/>
      <c r="EK224" s="143"/>
      <c r="EL224" s="143"/>
      <c r="EM224" s="143"/>
      <c r="EN224" s="143"/>
      <c r="EO224" s="143"/>
      <c r="EP224" s="143"/>
      <c r="EQ224" s="143"/>
      <c r="ER224" s="142">
        <f>SUM(ES224:ET224)</f>
      </c>
      <c r="ES224" s="143"/>
      <c r="ET224" s="143"/>
      <c r="EU224" s="144"/>
      <c r="FB224" s="146"/>
      <c r="FC224" s="146" cm="1">
        <f t="array" ref="FC224">ROW()-ROW(New[#Headers])</f>
        <v>218</v>
      </c>
    </row>
    <row r="225" spans="2:159" s="139" customFormat="1" ht="10.5" x14ac:dyDescent="0.2">
      <c r="B225" s="133"/>
      <c r="C225" s="133"/>
      <c r="E225" s="133"/>
      <c r="H225" s="133"/>
      <c r="N225" s="140"/>
      <c r="O225" s="140"/>
      <c r="P225" s="141"/>
      <c r="Q225" s="142">
        <f>SUM(R225:AQ225)</f>
      </c>
      <c r="R225" s="143"/>
      <c r="S225" s="143"/>
      <c r="T225" s="143"/>
      <c r="U225" s="143"/>
      <c r="V225" s="143"/>
      <c r="W225" s="143"/>
      <c r="X225" s="143"/>
      <c r="Y225" s="143"/>
      <c r="Z225" s="143"/>
      <c r="AA225" s="143"/>
      <c r="AB225" s="143"/>
      <c r="AC225" s="143"/>
      <c r="AD225" s="143"/>
      <c r="AE225" s="143"/>
      <c r="AF225" s="143"/>
      <c r="AG225" s="143"/>
      <c r="AH225" s="143"/>
      <c r="AI225" s="143"/>
      <c r="AJ225" s="143"/>
      <c r="AK225" s="143"/>
      <c r="AL225" s="143"/>
      <c r="AM225" s="143"/>
      <c r="AN225" s="143"/>
      <c r="AO225" s="143"/>
      <c r="AP225" s="143"/>
      <c r="AQ225" s="143"/>
      <c r="AR225" s="142">
        <f>SUM(AS225:AV225)</f>
      </c>
      <c r="AS225" s="143"/>
      <c r="AT225" s="143"/>
      <c r="AU225" s="143"/>
      <c r="AV225" s="143"/>
      <c r="AW225" s="142">
        <f>SUM(AX225:BI225)</f>
      </c>
      <c r="AX225" s="143"/>
      <c r="AY225" s="143"/>
      <c r="AZ225" s="143"/>
      <c r="BA225" s="143"/>
      <c r="BB225" s="143"/>
      <c r="BC225" s="143"/>
      <c r="BD225" s="143"/>
      <c r="BE225" s="143"/>
      <c r="BF225" s="143"/>
      <c r="BG225" s="143"/>
      <c r="BH225" s="143"/>
      <c r="BI225" s="143"/>
      <c r="BJ225" s="142"/>
      <c r="BK225" s="143"/>
      <c r="BL225" s="143"/>
      <c r="BM225" s="143"/>
      <c r="BN225" s="143"/>
      <c r="BO225" s="143"/>
      <c r="BP225" s="143"/>
      <c r="BQ225" s="142"/>
      <c r="BR225" s="143"/>
      <c r="BS225" s="143"/>
      <c r="BT225" s="142">
        <f>SUM(BU225:BW225)</f>
      </c>
      <c r="BU225" s="143"/>
      <c r="BV225" s="143"/>
      <c r="BW225" s="143"/>
      <c r="BX225" s="142">
        <f>SUM(BY225:CD225)</f>
      </c>
      <c r="BY225" s="143"/>
      <c r="BZ225" s="143"/>
      <c r="CA225" s="143"/>
      <c r="CB225" s="143"/>
      <c r="CC225" s="143"/>
      <c r="CD225" s="143"/>
      <c r="CE225" s="142"/>
      <c r="CF225" s="143"/>
      <c r="CG225" s="143"/>
      <c r="CH225" s="143"/>
      <c r="CI225" s="143"/>
      <c r="CJ225" s="143"/>
      <c r="CK225" s="142">
        <f>SUM(CL225:CN225)</f>
      </c>
      <c r="CL225" s="143"/>
      <c r="CM225" s="143"/>
      <c r="CN225" s="143"/>
      <c r="CO225" s="142">
        <f>SUM(CP225:CT225)</f>
      </c>
      <c r="CP225" s="143"/>
      <c r="CQ225" s="143"/>
      <c r="CR225" s="143"/>
      <c r="CS225" s="143"/>
      <c r="CT225" s="143"/>
      <c r="CU225" s="142"/>
      <c r="CV225" s="143"/>
      <c r="CW225" s="143"/>
      <c r="CX225" s="143"/>
      <c r="CY225" s="142"/>
      <c r="CZ225" s="143"/>
      <c r="DA225" s="143"/>
      <c r="DB225" s="143"/>
      <c r="DC225" s="143"/>
      <c r="DD225" s="143"/>
      <c r="DE225" s="143"/>
      <c r="DF225" s="143"/>
      <c r="DG225" s="142">
        <f>SUM(DH225:DH225)</f>
      </c>
      <c r="DH225" s="143"/>
      <c r="DI225" s="142"/>
      <c r="DJ225" s="143"/>
      <c r="DK225" s="142">
        <f>SUM(DL225:DQ225)</f>
      </c>
      <c r="DL225" s="143"/>
      <c r="DM225" s="143"/>
      <c r="DN225" s="143"/>
      <c r="DO225" s="143"/>
      <c r="DP225" s="143"/>
      <c r="DQ225" s="143"/>
      <c r="DR225" s="143"/>
      <c r="DS225" s="143"/>
      <c r="DT225" s="143"/>
      <c r="DU225" s="143"/>
      <c r="DV225" s="143"/>
      <c r="DW225" s="143"/>
      <c r="DX225" s="142"/>
      <c r="DY225" s="143"/>
      <c r="DZ225" s="142"/>
      <c r="EA225" s="143"/>
      <c r="EB225" s="143"/>
      <c r="EC225" s="142"/>
      <c r="ED225" s="143"/>
      <c r="EF225" s="143"/>
      <c r="EG225" s="142">
        <f>SUM(EH225:EQ225)</f>
      </c>
      <c r="EH225" s="143"/>
      <c r="EI225" s="143"/>
      <c r="EJ225" s="143"/>
      <c r="EK225" s="143"/>
      <c r="EL225" s="143"/>
      <c r="EM225" s="143"/>
      <c r="EN225" s="143"/>
      <c r="EO225" s="143"/>
      <c r="EP225" s="143"/>
      <c r="EQ225" s="143"/>
      <c r="ER225" s="142">
        <f>SUM(ES225:ET225)</f>
      </c>
      <c r="ES225" s="143"/>
      <c r="ET225" s="143"/>
      <c r="EU225" s="144"/>
      <c r="FB225" s="146"/>
      <c r="FC225" s="146" cm="1">
        <f t="array" ref="FC225">ROW()-ROW(New[#Headers])</f>
        <v>219</v>
      </c>
    </row>
    <row r="226" spans="2:159" s="139" customFormat="1" ht="10.5" x14ac:dyDescent="0.2">
      <c r="B226" s="133"/>
      <c r="C226" s="133"/>
      <c r="E226" s="133"/>
      <c r="H226" s="133"/>
      <c r="N226" s="140"/>
      <c r="O226" s="140"/>
      <c r="P226" s="141"/>
      <c r="Q226" s="142">
        <f>SUM(R226:AQ226)</f>
      </c>
      <c r="R226" s="143"/>
      <c r="S226" s="143"/>
      <c r="T226" s="143"/>
      <c r="U226" s="143"/>
      <c r="V226" s="143"/>
      <c r="W226" s="143"/>
      <c r="X226" s="143"/>
      <c r="Y226" s="143"/>
      <c r="Z226" s="143"/>
      <c r="AA226" s="143"/>
      <c r="AB226" s="143"/>
      <c r="AC226" s="143"/>
      <c r="AD226" s="143"/>
      <c r="AE226" s="143"/>
      <c r="AF226" s="143"/>
      <c r="AG226" s="143"/>
      <c r="AH226" s="143"/>
      <c r="AI226" s="143"/>
      <c r="AJ226" s="143"/>
      <c r="AK226" s="143"/>
      <c r="AL226" s="143"/>
      <c r="AM226" s="143"/>
      <c r="AN226" s="143"/>
      <c r="AO226" s="143"/>
      <c r="AP226" s="143"/>
      <c r="AQ226" s="143"/>
      <c r="AR226" s="142">
        <f>SUM(AS226:AV226)</f>
      </c>
      <c r="AS226" s="143"/>
      <c r="AT226" s="143"/>
      <c r="AU226" s="143"/>
      <c r="AV226" s="143"/>
      <c r="AW226" s="142">
        <f>SUM(AX226:BI226)</f>
      </c>
      <c r="AX226" s="143"/>
      <c r="AY226" s="143"/>
      <c r="AZ226" s="143"/>
      <c r="BA226" s="143"/>
      <c r="BB226" s="143"/>
      <c r="BC226" s="143"/>
      <c r="BD226" s="143"/>
      <c r="BE226" s="143"/>
      <c r="BF226" s="143"/>
      <c r="BG226" s="143"/>
      <c r="BH226" s="143"/>
      <c r="BI226" s="143"/>
      <c r="BJ226" s="142"/>
      <c r="BK226" s="143"/>
      <c r="BL226" s="143"/>
      <c r="BM226" s="143"/>
      <c r="BN226" s="143"/>
      <c r="BO226" s="143"/>
      <c r="BP226" s="143"/>
      <c r="BQ226" s="142"/>
      <c r="BR226" s="143"/>
      <c r="BS226" s="143"/>
      <c r="BT226" s="142">
        <f>SUM(BU226:BW226)</f>
      </c>
      <c r="BU226" s="143"/>
      <c r="BV226" s="143"/>
      <c r="BW226" s="143"/>
      <c r="BX226" s="142">
        <f>SUM(BY226:CD226)</f>
      </c>
      <c r="BY226" s="143"/>
      <c r="BZ226" s="143"/>
      <c r="CA226" s="143"/>
      <c r="CB226" s="143"/>
      <c r="CC226" s="143"/>
      <c r="CD226" s="143"/>
      <c r="CE226" s="142"/>
      <c r="CF226" s="143"/>
      <c r="CG226" s="143"/>
      <c r="CH226" s="143"/>
      <c r="CI226" s="143"/>
      <c r="CJ226" s="143"/>
      <c r="CK226" s="142">
        <f>SUM(CL226:CN226)</f>
      </c>
      <c r="CL226" s="143"/>
      <c r="CM226" s="143"/>
      <c r="CN226" s="143"/>
      <c r="CO226" s="142">
        <f>SUM(CP226:CT226)</f>
      </c>
      <c r="CP226" s="143"/>
      <c r="CQ226" s="143"/>
      <c r="CR226" s="143"/>
      <c r="CS226" s="143"/>
      <c r="CT226" s="143"/>
      <c r="CU226" s="142"/>
      <c r="CV226" s="143"/>
      <c r="CW226" s="143"/>
      <c r="CX226" s="143"/>
      <c r="CY226" s="142"/>
      <c r="CZ226" s="143"/>
      <c r="DA226" s="143"/>
      <c r="DB226" s="143"/>
      <c r="DC226" s="143"/>
      <c r="DD226" s="143"/>
      <c r="DE226" s="143"/>
      <c r="DF226" s="143"/>
      <c r="DG226" s="142">
        <f>SUM(DH226:DH226)</f>
      </c>
      <c r="DH226" s="143"/>
      <c r="DI226" s="142"/>
      <c r="DJ226" s="143"/>
      <c r="DK226" s="142">
        <f>SUM(DL226:DQ226)</f>
      </c>
      <c r="DL226" s="143"/>
      <c r="DM226" s="143"/>
      <c r="DN226" s="143"/>
      <c r="DO226" s="143"/>
      <c r="DP226" s="143"/>
      <c r="DQ226" s="143"/>
      <c r="DR226" s="143"/>
      <c r="DS226" s="143"/>
      <c r="DT226" s="143"/>
      <c r="DU226" s="143"/>
      <c r="DV226" s="143"/>
      <c r="DW226" s="143"/>
      <c r="DX226" s="142"/>
      <c r="DY226" s="143"/>
      <c r="DZ226" s="142"/>
      <c r="EA226" s="143"/>
      <c r="EB226" s="143"/>
      <c r="EC226" s="142"/>
      <c r="ED226" s="143"/>
      <c r="EF226" s="143"/>
      <c r="EG226" s="142">
        <f>SUM(EH226:EQ226)</f>
      </c>
      <c r="EH226" s="143"/>
      <c r="EI226" s="143"/>
      <c r="EJ226" s="143"/>
      <c r="EK226" s="143"/>
      <c r="EL226" s="143"/>
      <c r="EM226" s="143"/>
      <c r="EN226" s="143"/>
      <c r="EO226" s="143"/>
      <c r="EP226" s="143"/>
      <c r="EQ226" s="143"/>
      <c r="ER226" s="142">
        <f>SUM(ES226:ET226)</f>
      </c>
      <c r="ES226" s="143"/>
      <c r="ET226" s="143"/>
      <c r="EU226" s="144"/>
      <c r="FB226" s="146"/>
      <c r="FC226" s="146" cm="1">
        <f t="array" ref="FC226">ROW()-ROW(New[#Headers])</f>
        <v>220</v>
      </c>
    </row>
    <row r="227" spans="2:159" s="139" customFormat="1" ht="10.5" x14ac:dyDescent="0.2">
      <c r="B227" s="133"/>
      <c r="C227" s="133"/>
      <c r="E227" s="133"/>
      <c r="H227" s="133"/>
      <c r="N227" s="140"/>
      <c r="O227" s="140"/>
      <c r="P227" s="141"/>
      <c r="Q227" s="142">
        <f>SUM(R227:AQ227)</f>
      </c>
      <c r="R227" s="143"/>
      <c r="S227" s="143"/>
      <c r="T227" s="143"/>
      <c r="U227" s="143"/>
      <c r="V227" s="143"/>
      <c r="W227" s="143"/>
      <c r="X227" s="143"/>
      <c r="Y227" s="143"/>
      <c r="Z227" s="143"/>
      <c r="AA227" s="143"/>
      <c r="AB227" s="143"/>
      <c r="AC227" s="143"/>
      <c r="AD227" s="143"/>
      <c r="AE227" s="143"/>
      <c r="AF227" s="143"/>
      <c r="AG227" s="143"/>
      <c r="AH227" s="143"/>
      <c r="AI227" s="143"/>
      <c r="AJ227" s="143"/>
      <c r="AK227" s="143"/>
      <c r="AL227" s="143"/>
      <c r="AM227" s="143"/>
      <c r="AN227" s="143"/>
      <c r="AO227" s="143"/>
      <c r="AP227" s="143"/>
      <c r="AQ227" s="143"/>
      <c r="AR227" s="142">
        <f>SUM(AS227:AV227)</f>
      </c>
      <c r="AS227" s="143"/>
      <c r="AT227" s="143"/>
      <c r="AU227" s="143"/>
      <c r="AV227" s="143"/>
      <c r="AW227" s="142">
        <f>SUM(AX227:BI227)</f>
      </c>
      <c r="AX227" s="143"/>
      <c r="AY227" s="143"/>
      <c r="AZ227" s="143"/>
      <c r="BA227" s="143"/>
      <c r="BB227" s="143"/>
      <c r="BC227" s="143"/>
      <c r="BD227" s="143"/>
      <c r="BE227" s="143"/>
      <c r="BF227" s="143"/>
      <c r="BG227" s="143"/>
      <c r="BH227" s="143"/>
      <c r="BI227" s="143"/>
      <c r="BJ227" s="142"/>
      <c r="BK227" s="143"/>
      <c r="BL227" s="143"/>
      <c r="BM227" s="143"/>
      <c r="BN227" s="143"/>
      <c r="BO227" s="143"/>
      <c r="BP227" s="143"/>
      <c r="BQ227" s="142"/>
      <c r="BR227" s="143"/>
      <c r="BS227" s="143"/>
      <c r="BT227" s="142">
        <f>SUM(BU227:BW227)</f>
      </c>
      <c r="BU227" s="143"/>
      <c r="BV227" s="143"/>
      <c r="BW227" s="143"/>
      <c r="BX227" s="142">
        <f>SUM(BY227:CD227)</f>
      </c>
      <c r="BY227" s="143"/>
      <c r="BZ227" s="143"/>
      <c r="CA227" s="143"/>
      <c r="CB227" s="143"/>
      <c r="CC227" s="143"/>
      <c r="CD227" s="143"/>
      <c r="CE227" s="142"/>
      <c r="CF227" s="143"/>
      <c r="CG227" s="143"/>
      <c r="CH227" s="143"/>
      <c r="CI227" s="143"/>
      <c r="CJ227" s="143"/>
      <c r="CK227" s="142">
        <f>SUM(CL227:CN227)</f>
      </c>
      <c r="CL227" s="143"/>
      <c r="CM227" s="143"/>
      <c r="CN227" s="143"/>
      <c r="CO227" s="142">
        <f>SUM(CP227:CT227)</f>
      </c>
      <c r="CP227" s="143"/>
      <c r="CQ227" s="143"/>
      <c r="CR227" s="143"/>
      <c r="CS227" s="143"/>
      <c r="CT227" s="143"/>
      <c r="CU227" s="142"/>
      <c r="CV227" s="143"/>
      <c r="CW227" s="143"/>
      <c r="CX227" s="143"/>
      <c r="CY227" s="142"/>
      <c r="CZ227" s="143"/>
      <c r="DA227" s="143"/>
      <c r="DB227" s="143"/>
      <c r="DC227" s="143"/>
      <c r="DD227" s="143"/>
      <c r="DE227" s="143"/>
      <c r="DF227" s="143"/>
      <c r="DG227" s="142">
        <f>SUM(DH227:DH227)</f>
      </c>
      <c r="DH227" s="143"/>
      <c r="DI227" s="142"/>
      <c r="DJ227" s="143"/>
      <c r="DK227" s="142">
        <f>SUM(DL227:DQ227)</f>
      </c>
      <c r="DL227" s="143"/>
      <c r="DM227" s="143"/>
      <c r="DN227" s="143"/>
      <c r="DO227" s="143"/>
      <c r="DP227" s="143"/>
      <c r="DQ227" s="143"/>
      <c r="DR227" s="143"/>
      <c r="DS227" s="143"/>
      <c r="DT227" s="143"/>
      <c r="DU227" s="143"/>
      <c r="DV227" s="143"/>
      <c r="DW227" s="143"/>
      <c r="DX227" s="142"/>
      <c r="DY227" s="143"/>
      <c r="DZ227" s="142"/>
      <c r="EA227" s="143"/>
      <c r="EB227" s="143"/>
      <c r="EC227" s="142"/>
      <c r="ED227" s="143"/>
      <c r="EF227" s="143"/>
      <c r="EG227" s="142">
        <f>SUM(EH227:EQ227)</f>
      </c>
      <c r="EH227" s="143"/>
      <c r="EI227" s="143"/>
      <c r="EJ227" s="143"/>
      <c r="EK227" s="143"/>
      <c r="EL227" s="143"/>
      <c r="EM227" s="143"/>
      <c r="EN227" s="143"/>
      <c r="EO227" s="143"/>
      <c r="EP227" s="143"/>
      <c r="EQ227" s="143"/>
      <c r="ER227" s="142">
        <f>SUM(ES227:ET227)</f>
      </c>
      <c r="ES227" s="143"/>
      <c r="ET227" s="143"/>
      <c r="EU227" s="144"/>
      <c r="FB227" s="146"/>
      <c r="FC227" s="146" cm="1">
        <f t="array" ref="FC227">ROW()-ROW(New[#Headers])</f>
        <v>221</v>
      </c>
    </row>
    <row r="228" spans="2:159" s="139" customFormat="1" ht="10.5" x14ac:dyDescent="0.2">
      <c r="B228" s="133"/>
      <c r="C228" s="133"/>
      <c r="E228" s="133"/>
      <c r="H228" s="133"/>
      <c r="N228" s="140"/>
      <c r="O228" s="140"/>
      <c r="P228" s="141"/>
      <c r="Q228" s="142">
        <f>SUM(R228:AQ228)</f>
      </c>
      <c r="R228" s="143"/>
      <c r="S228" s="143"/>
      <c r="T228" s="143"/>
      <c r="U228" s="143"/>
      <c r="V228" s="143"/>
      <c r="W228" s="143"/>
      <c r="X228" s="143"/>
      <c r="Y228" s="143"/>
      <c r="Z228" s="143"/>
      <c r="AA228" s="143"/>
      <c r="AB228" s="143"/>
      <c r="AC228" s="143"/>
      <c r="AD228" s="143"/>
      <c r="AE228" s="143"/>
      <c r="AF228" s="143"/>
      <c r="AG228" s="143"/>
      <c r="AH228" s="143"/>
      <c r="AI228" s="143"/>
      <c r="AJ228" s="143"/>
      <c r="AK228" s="143"/>
      <c r="AL228" s="143"/>
      <c r="AM228" s="143"/>
      <c r="AN228" s="143"/>
      <c r="AO228" s="143"/>
      <c r="AP228" s="143"/>
      <c r="AQ228" s="143"/>
      <c r="AR228" s="142">
        <f>SUM(AS228:AV228)</f>
      </c>
      <c r="AS228" s="143"/>
      <c r="AT228" s="143"/>
      <c r="AU228" s="143"/>
      <c r="AV228" s="143"/>
      <c r="AW228" s="142">
        <f>SUM(AX228:BI228)</f>
      </c>
      <c r="AX228" s="143"/>
      <c r="AY228" s="143"/>
      <c r="AZ228" s="143"/>
      <c r="BA228" s="143"/>
      <c r="BB228" s="143"/>
      <c r="BC228" s="143"/>
      <c r="BD228" s="143"/>
      <c r="BE228" s="143"/>
      <c r="BF228" s="143"/>
      <c r="BG228" s="143"/>
      <c r="BH228" s="143"/>
      <c r="BI228" s="143"/>
      <c r="BJ228" s="142"/>
      <c r="BK228" s="143"/>
      <c r="BL228" s="143"/>
      <c r="BM228" s="143"/>
      <c r="BN228" s="143"/>
      <c r="BO228" s="143"/>
      <c r="BP228" s="143"/>
      <c r="BQ228" s="142"/>
      <c r="BR228" s="143"/>
      <c r="BS228" s="143"/>
      <c r="BT228" s="142">
        <f>SUM(BU228:BW228)</f>
      </c>
      <c r="BU228" s="143"/>
      <c r="BV228" s="143"/>
      <c r="BW228" s="143"/>
      <c r="BX228" s="142">
        <f>SUM(BY228:CD228)</f>
      </c>
      <c r="BY228" s="143"/>
      <c r="BZ228" s="143"/>
      <c r="CA228" s="143"/>
      <c r="CB228" s="143"/>
      <c r="CC228" s="143"/>
      <c r="CD228" s="143"/>
      <c r="CE228" s="142"/>
      <c r="CF228" s="143"/>
      <c r="CG228" s="143"/>
      <c r="CH228" s="143"/>
      <c r="CI228" s="143"/>
      <c r="CJ228" s="143"/>
      <c r="CK228" s="142">
        <f>SUM(CL228:CN228)</f>
      </c>
      <c r="CL228" s="143"/>
      <c r="CM228" s="143"/>
      <c r="CN228" s="143"/>
      <c r="CO228" s="142">
        <f>SUM(CP228:CT228)</f>
      </c>
      <c r="CP228" s="143"/>
      <c r="CQ228" s="143"/>
      <c r="CR228" s="143"/>
      <c r="CS228" s="143"/>
      <c r="CT228" s="143"/>
      <c r="CU228" s="142"/>
      <c r="CV228" s="143"/>
      <c r="CW228" s="143"/>
      <c r="CX228" s="143"/>
      <c r="CY228" s="142"/>
      <c r="CZ228" s="143"/>
      <c r="DA228" s="143"/>
      <c r="DB228" s="143"/>
      <c r="DC228" s="143"/>
      <c r="DD228" s="143"/>
      <c r="DE228" s="143"/>
      <c r="DF228" s="143"/>
      <c r="DG228" s="142">
        <f>SUM(DH228:DH228)</f>
      </c>
      <c r="DH228" s="143"/>
      <c r="DI228" s="142"/>
      <c r="DJ228" s="143"/>
      <c r="DK228" s="142">
        <f>SUM(DL228:DQ228)</f>
      </c>
      <c r="DL228" s="143"/>
      <c r="DM228" s="143"/>
      <c r="DN228" s="143"/>
      <c r="DO228" s="143"/>
      <c r="DP228" s="143"/>
      <c r="DQ228" s="143"/>
      <c r="DR228" s="143"/>
      <c r="DS228" s="143"/>
      <c r="DT228" s="143"/>
      <c r="DU228" s="143"/>
      <c r="DV228" s="143"/>
      <c r="DW228" s="143"/>
      <c r="DX228" s="142"/>
      <c r="DY228" s="143"/>
      <c r="DZ228" s="142"/>
      <c r="EA228" s="143"/>
      <c r="EB228" s="143"/>
      <c r="EC228" s="142"/>
      <c r="ED228" s="143"/>
      <c r="EF228" s="143"/>
      <c r="EG228" s="142">
        <f>SUM(EH228:EQ228)</f>
      </c>
      <c r="EH228" s="143"/>
      <c r="EI228" s="143"/>
      <c r="EJ228" s="143"/>
      <c r="EK228" s="143"/>
      <c r="EL228" s="143"/>
      <c r="EM228" s="143"/>
      <c r="EN228" s="143"/>
      <c r="EO228" s="143"/>
      <c r="EP228" s="143"/>
      <c r="EQ228" s="143"/>
      <c r="ER228" s="142">
        <f>SUM(ES228:ET228)</f>
      </c>
      <c r="ES228" s="143"/>
      <c r="ET228" s="143"/>
      <c r="EU228" s="144"/>
      <c r="FB228" s="146"/>
      <c r="FC228" s="146" cm="1">
        <f t="array" ref="FC228">ROW()-ROW(New[#Headers])</f>
        <v>222</v>
      </c>
    </row>
    <row r="229" spans="2:159" s="139" customFormat="1" ht="10.5" x14ac:dyDescent="0.2">
      <c r="B229" s="133"/>
      <c r="C229" s="133"/>
      <c r="E229" s="133"/>
      <c r="H229" s="133"/>
      <c r="N229" s="140"/>
      <c r="O229" s="140"/>
      <c r="P229" s="141"/>
      <c r="Q229" s="142">
        <f>SUM(R229:AQ229)</f>
      </c>
      <c r="R229" s="143"/>
      <c r="S229" s="143"/>
      <c r="T229" s="143"/>
      <c r="U229" s="143"/>
      <c r="V229" s="143"/>
      <c r="W229" s="143"/>
      <c r="X229" s="143"/>
      <c r="Y229" s="143"/>
      <c r="Z229" s="143"/>
      <c r="AA229" s="143"/>
      <c r="AB229" s="143"/>
      <c r="AC229" s="143"/>
      <c r="AD229" s="143"/>
      <c r="AE229" s="143"/>
      <c r="AF229" s="143"/>
      <c r="AG229" s="143"/>
      <c r="AH229" s="143"/>
      <c r="AI229" s="143"/>
      <c r="AJ229" s="143"/>
      <c r="AK229" s="143"/>
      <c r="AL229" s="143"/>
      <c r="AM229" s="143"/>
      <c r="AN229" s="143"/>
      <c r="AO229" s="143"/>
      <c r="AP229" s="143"/>
      <c r="AQ229" s="143"/>
      <c r="AR229" s="142">
        <f>SUM(AS229:AV229)</f>
      </c>
      <c r="AS229" s="143"/>
      <c r="AT229" s="143"/>
      <c r="AU229" s="143"/>
      <c r="AV229" s="143"/>
      <c r="AW229" s="142">
        <f>SUM(AX229:BI229)</f>
      </c>
      <c r="AX229" s="143"/>
      <c r="AY229" s="143"/>
      <c r="AZ229" s="143"/>
      <c r="BA229" s="143"/>
      <c r="BB229" s="143"/>
      <c r="BC229" s="143"/>
      <c r="BD229" s="143"/>
      <c r="BE229" s="143"/>
      <c r="BF229" s="143"/>
      <c r="BG229" s="143"/>
      <c r="BH229" s="143"/>
      <c r="BI229" s="143"/>
      <c r="BJ229" s="142"/>
      <c r="BK229" s="143"/>
      <c r="BL229" s="143"/>
      <c r="BM229" s="143"/>
      <c r="BN229" s="143"/>
      <c r="BO229" s="143"/>
      <c r="BP229" s="143"/>
      <c r="BQ229" s="142"/>
      <c r="BR229" s="143"/>
      <c r="BS229" s="143"/>
      <c r="BT229" s="142">
        <f>SUM(BU229:BW229)</f>
      </c>
      <c r="BU229" s="143"/>
      <c r="BV229" s="143"/>
      <c r="BW229" s="143"/>
      <c r="BX229" s="142">
        <f>SUM(BY229:CD229)</f>
      </c>
      <c r="BY229" s="143"/>
      <c r="BZ229" s="143"/>
      <c r="CA229" s="143"/>
      <c r="CB229" s="143"/>
      <c r="CC229" s="143"/>
      <c r="CD229" s="143"/>
      <c r="CE229" s="142"/>
      <c r="CF229" s="143"/>
      <c r="CG229" s="143"/>
      <c r="CH229" s="143"/>
      <c r="CI229" s="143"/>
      <c r="CJ229" s="143"/>
      <c r="CK229" s="142">
        <f>SUM(CL229:CN229)</f>
      </c>
      <c r="CL229" s="143"/>
      <c r="CM229" s="143"/>
      <c r="CN229" s="143"/>
      <c r="CO229" s="142">
        <f>SUM(CP229:CT229)</f>
      </c>
      <c r="CP229" s="143"/>
      <c r="CQ229" s="143"/>
      <c r="CR229" s="143"/>
      <c r="CS229" s="143"/>
      <c r="CT229" s="143"/>
      <c r="CU229" s="142"/>
      <c r="CV229" s="143"/>
      <c r="CW229" s="143"/>
      <c r="CX229" s="143"/>
      <c r="CY229" s="142"/>
      <c r="CZ229" s="143"/>
      <c r="DA229" s="143"/>
      <c r="DB229" s="143"/>
      <c r="DC229" s="143"/>
      <c r="DD229" s="143"/>
      <c r="DE229" s="143"/>
      <c r="DF229" s="143"/>
      <c r="DG229" s="142">
        <f>SUM(DH229:DH229)</f>
      </c>
      <c r="DH229" s="143"/>
      <c r="DI229" s="142"/>
      <c r="DJ229" s="143"/>
      <c r="DK229" s="142">
        <f>SUM(DL229:DQ229)</f>
      </c>
      <c r="DL229" s="143"/>
      <c r="DM229" s="143"/>
      <c r="DN229" s="143"/>
      <c r="DO229" s="143"/>
      <c r="DP229" s="143"/>
      <c r="DQ229" s="143"/>
      <c r="DR229" s="143"/>
      <c r="DS229" s="143"/>
      <c r="DT229" s="143"/>
      <c r="DU229" s="143"/>
      <c r="DV229" s="143"/>
      <c r="DW229" s="143"/>
      <c r="DX229" s="142"/>
      <c r="DY229" s="143"/>
      <c r="DZ229" s="142"/>
      <c r="EA229" s="143"/>
      <c r="EB229" s="143"/>
      <c r="EC229" s="142"/>
      <c r="ED229" s="143"/>
      <c r="EF229" s="143"/>
      <c r="EG229" s="142">
        <f>SUM(EH229:EQ229)</f>
      </c>
      <c r="EH229" s="143"/>
      <c r="EI229" s="143"/>
      <c r="EJ229" s="143"/>
      <c r="EK229" s="143"/>
      <c r="EL229" s="143"/>
      <c r="EM229" s="143"/>
      <c r="EN229" s="143"/>
      <c r="EO229" s="143"/>
      <c r="EP229" s="143"/>
      <c r="EQ229" s="143"/>
      <c r="ER229" s="142">
        <f>SUM(ES229:ET229)</f>
      </c>
      <c r="ES229" s="143"/>
      <c r="ET229" s="143"/>
      <c r="EU229" s="144"/>
      <c r="FB229" s="146"/>
      <c r="FC229" s="146" cm="1">
        <f t="array" ref="FC229">ROW()-ROW(New[#Headers])</f>
        <v>223</v>
      </c>
    </row>
    <row r="230" spans="2:159" s="139" customFormat="1" ht="10.5" x14ac:dyDescent="0.2">
      <c r="B230" s="133"/>
      <c r="C230" s="133"/>
      <c r="E230" s="133"/>
      <c r="H230" s="133"/>
      <c r="N230" s="140"/>
      <c r="O230" s="140"/>
      <c r="P230" s="141"/>
      <c r="Q230" s="142">
        <f>SUM(R230:AQ230)</f>
      </c>
      <c r="R230" s="143"/>
      <c r="S230" s="143"/>
      <c r="T230" s="143"/>
      <c r="U230" s="143"/>
      <c r="V230" s="143"/>
      <c r="W230" s="143"/>
      <c r="X230" s="143"/>
      <c r="Y230" s="143"/>
      <c r="Z230" s="143"/>
      <c r="AA230" s="143"/>
      <c r="AB230" s="143"/>
      <c r="AC230" s="143"/>
      <c r="AD230" s="143"/>
      <c r="AE230" s="143"/>
      <c r="AF230" s="143"/>
      <c r="AG230" s="143"/>
      <c r="AH230" s="143"/>
      <c r="AI230" s="143"/>
      <c r="AJ230" s="143"/>
      <c r="AK230" s="143"/>
      <c r="AL230" s="143"/>
      <c r="AM230" s="143"/>
      <c r="AN230" s="143"/>
      <c r="AO230" s="143"/>
      <c r="AP230" s="143"/>
      <c r="AQ230" s="143"/>
      <c r="AR230" s="142">
        <f>SUM(AS230:AV230)</f>
      </c>
      <c r="AS230" s="143"/>
      <c r="AT230" s="143"/>
      <c r="AU230" s="143"/>
      <c r="AV230" s="143"/>
      <c r="AW230" s="142">
        <f>SUM(AX230:BI230)</f>
      </c>
      <c r="AX230" s="143"/>
      <c r="AY230" s="143"/>
      <c r="AZ230" s="143"/>
      <c r="BA230" s="143"/>
      <c r="BB230" s="143"/>
      <c r="BC230" s="143"/>
      <c r="BD230" s="143"/>
      <c r="BE230" s="143"/>
      <c r="BF230" s="143"/>
      <c r="BG230" s="143"/>
      <c r="BH230" s="143"/>
      <c r="BI230" s="143"/>
      <c r="BJ230" s="142"/>
      <c r="BK230" s="143"/>
      <c r="BL230" s="143"/>
      <c r="BM230" s="143"/>
      <c r="BN230" s="143"/>
      <c r="BO230" s="143"/>
      <c r="BP230" s="143"/>
      <c r="BQ230" s="142"/>
      <c r="BR230" s="143"/>
      <c r="BS230" s="143"/>
      <c r="BT230" s="142">
        <f>SUM(BU230:BW230)</f>
      </c>
      <c r="BU230" s="143"/>
      <c r="BV230" s="143"/>
      <c r="BW230" s="143"/>
      <c r="BX230" s="142">
        <f>SUM(BY230:CD230)</f>
      </c>
      <c r="BY230" s="143"/>
      <c r="BZ230" s="143"/>
      <c r="CA230" s="143"/>
      <c r="CB230" s="143"/>
      <c r="CC230" s="143"/>
      <c r="CD230" s="143"/>
      <c r="CE230" s="142"/>
      <c r="CF230" s="143"/>
      <c r="CG230" s="143"/>
      <c r="CH230" s="143"/>
      <c r="CI230" s="143"/>
      <c r="CJ230" s="143"/>
      <c r="CK230" s="142">
        <f>SUM(CL230:CN230)</f>
      </c>
      <c r="CL230" s="143"/>
      <c r="CM230" s="143"/>
      <c r="CN230" s="143"/>
      <c r="CO230" s="142">
        <f>SUM(CP230:CT230)</f>
      </c>
      <c r="CP230" s="143"/>
      <c r="CQ230" s="143"/>
      <c r="CR230" s="143"/>
      <c r="CS230" s="143"/>
      <c r="CT230" s="143"/>
      <c r="CU230" s="142"/>
      <c r="CV230" s="143"/>
      <c r="CW230" s="143"/>
      <c r="CX230" s="143"/>
      <c r="CY230" s="142"/>
      <c r="CZ230" s="143"/>
      <c r="DA230" s="143"/>
      <c r="DB230" s="143"/>
      <c r="DC230" s="143"/>
      <c r="DD230" s="143"/>
      <c r="DE230" s="143"/>
      <c r="DF230" s="143"/>
      <c r="DG230" s="142">
        <f>SUM(DH230:DH230)</f>
      </c>
      <c r="DH230" s="143"/>
      <c r="DI230" s="142"/>
      <c r="DJ230" s="143"/>
      <c r="DK230" s="142">
        <f>SUM(DL230:DQ230)</f>
      </c>
      <c r="DL230" s="143"/>
      <c r="DM230" s="143"/>
      <c r="DN230" s="143"/>
      <c r="DO230" s="143"/>
      <c r="DP230" s="143"/>
      <c r="DQ230" s="143"/>
      <c r="DR230" s="143"/>
      <c r="DS230" s="143"/>
      <c r="DT230" s="143"/>
      <c r="DU230" s="143"/>
      <c r="DV230" s="143"/>
      <c r="DW230" s="143"/>
      <c r="DX230" s="142"/>
      <c r="DY230" s="143"/>
      <c r="DZ230" s="142"/>
      <c r="EA230" s="143"/>
      <c r="EB230" s="143"/>
      <c r="EC230" s="142"/>
      <c r="ED230" s="143"/>
      <c r="EF230" s="143"/>
      <c r="EG230" s="142">
        <f>SUM(EH230:EQ230)</f>
      </c>
      <c r="EH230" s="143"/>
      <c r="EI230" s="143"/>
      <c r="EJ230" s="143"/>
      <c r="EK230" s="143"/>
      <c r="EL230" s="143"/>
      <c r="EM230" s="143"/>
      <c r="EN230" s="143"/>
      <c r="EO230" s="143"/>
      <c r="EP230" s="143"/>
      <c r="EQ230" s="143"/>
      <c r="ER230" s="142">
        <f>SUM(ES230:ET230)</f>
      </c>
      <c r="ES230" s="143"/>
      <c r="ET230" s="143"/>
      <c r="EU230" s="144"/>
      <c r="FB230" s="146"/>
      <c r="FC230" s="146" cm="1">
        <f t="array" ref="FC230">ROW()-ROW(New[#Headers])</f>
        <v>224</v>
      </c>
    </row>
    <row r="231" spans="2:159" s="139" customFormat="1" ht="10.5" x14ac:dyDescent="0.2">
      <c r="B231" s="133"/>
      <c r="C231" s="133"/>
      <c r="E231" s="133"/>
      <c r="H231" s="133"/>
      <c r="N231" s="140"/>
      <c r="O231" s="140"/>
      <c r="P231" s="141"/>
      <c r="Q231" s="142">
        <f>SUM(R231:AQ231)</f>
      </c>
      <c r="R231" s="143"/>
      <c r="S231" s="143"/>
      <c r="T231" s="143"/>
      <c r="U231" s="143"/>
      <c r="V231" s="143"/>
      <c r="W231" s="143"/>
      <c r="X231" s="143"/>
      <c r="Y231" s="143"/>
      <c r="Z231" s="143"/>
      <c r="AA231" s="143"/>
      <c r="AB231" s="143"/>
      <c r="AC231" s="143"/>
      <c r="AD231" s="143"/>
      <c r="AE231" s="143"/>
      <c r="AF231" s="143"/>
      <c r="AG231" s="143"/>
      <c r="AH231" s="143"/>
      <c r="AI231" s="143"/>
      <c r="AJ231" s="143"/>
      <c r="AK231" s="143"/>
      <c r="AL231" s="143"/>
      <c r="AM231" s="143"/>
      <c r="AN231" s="143"/>
      <c r="AO231" s="143"/>
      <c r="AP231" s="143"/>
      <c r="AQ231" s="143"/>
      <c r="AR231" s="142">
        <f>SUM(AS231:AV231)</f>
      </c>
      <c r="AS231" s="143"/>
      <c r="AT231" s="143"/>
      <c r="AU231" s="143"/>
      <c r="AV231" s="143"/>
      <c r="AW231" s="142">
        <f>SUM(AX231:BI231)</f>
      </c>
      <c r="AX231" s="143"/>
      <c r="AY231" s="143"/>
      <c r="AZ231" s="143"/>
      <c r="BA231" s="143"/>
      <c r="BB231" s="143"/>
      <c r="BC231" s="143"/>
      <c r="BD231" s="143"/>
      <c r="BE231" s="143"/>
      <c r="BF231" s="143"/>
      <c r="BG231" s="143"/>
      <c r="BH231" s="143"/>
      <c r="BI231" s="143"/>
      <c r="BJ231" s="142"/>
      <c r="BK231" s="143"/>
      <c r="BL231" s="143"/>
      <c r="BM231" s="143"/>
      <c r="BN231" s="143"/>
      <c r="BO231" s="143"/>
      <c r="BP231" s="143"/>
      <c r="BQ231" s="142"/>
      <c r="BR231" s="143"/>
      <c r="BS231" s="143"/>
      <c r="BT231" s="142">
        <f>SUM(BU231:BW231)</f>
      </c>
      <c r="BU231" s="143"/>
      <c r="BV231" s="143"/>
      <c r="BW231" s="143"/>
      <c r="BX231" s="142">
        <f>SUM(BY231:CD231)</f>
      </c>
      <c r="BY231" s="143"/>
      <c r="BZ231" s="143"/>
      <c r="CA231" s="143"/>
      <c r="CB231" s="143"/>
      <c r="CC231" s="143"/>
      <c r="CD231" s="143"/>
      <c r="CE231" s="142"/>
      <c r="CF231" s="143"/>
      <c r="CG231" s="143"/>
      <c r="CH231" s="143"/>
      <c r="CI231" s="143"/>
      <c r="CJ231" s="143"/>
      <c r="CK231" s="142">
        <f>SUM(CL231:CN231)</f>
      </c>
      <c r="CL231" s="143"/>
      <c r="CM231" s="143"/>
      <c r="CN231" s="143"/>
      <c r="CO231" s="142">
        <f>SUM(CP231:CT231)</f>
      </c>
      <c r="CP231" s="143"/>
      <c r="CQ231" s="143"/>
      <c r="CR231" s="143"/>
      <c r="CS231" s="143"/>
      <c r="CT231" s="143"/>
      <c r="CU231" s="142"/>
      <c r="CV231" s="143"/>
      <c r="CW231" s="143"/>
      <c r="CX231" s="143"/>
      <c r="CY231" s="142"/>
      <c r="CZ231" s="143"/>
      <c r="DA231" s="143"/>
      <c r="DB231" s="143"/>
      <c r="DC231" s="143"/>
      <c r="DD231" s="143"/>
      <c r="DE231" s="143"/>
      <c r="DF231" s="143"/>
      <c r="DG231" s="142">
        <f>SUM(DH231:DH231)</f>
      </c>
      <c r="DH231" s="143"/>
      <c r="DI231" s="142"/>
      <c r="DJ231" s="143"/>
      <c r="DK231" s="142">
        <f>SUM(DL231:DQ231)</f>
      </c>
      <c r="DL231" s="143"/>
      <c r="DM231" s="143"/>
      <c r="DN231" s="143"/>
      <c r="DO231" s="143"/>
      <c r="DP231" s="143"/>
      <c r="DQ231" s="143"/>
      <c r="DR231" s="143"/>
      <c r="DS231" s="143"/>
      <c r="DT231" s="143"/>
      <c r="DU231" s="143"/>
      <c r="DV231" s="143"/>
      <c r="DW231" s="143"/>
      <c r="DX231" s="142"/>
      <c r="DY231" s="143"/>
      <c r="DZ231" s="142"/>
      <c r="EA231" s="143"/>
      <c r="EB231" s="143"/>
      <c r="EC231" s="142"/>
      <c r="ED231" s="143"/>
      <c r="EF231" s="143"/>
      <c r="EG231" s="142">
        <f>SUM(EH231:EQ231)</f>
      </c>
      <c r="EH231" s="143"/>
      <c r="EI231" s="143"/>
      <c r="EJ231" s="143"/>
      <c r="EK231" s="143"/>
      <c r="EL231" s="143"/>
      <c r="EM231" s="143"/>
      <c r="EN231" s="143"/>
      <c r="EO231" s="143"/>
      <c r="EP231" s="143"/>
      <c r="EQ231" s="143"/>
      <c r="ER231" s="142">
        <f>SUM(ES231:ET231)</f>
      </c>
      <c r="ES231" s="143"/>
      <c r="ET231" s="143"/>
      <c r="EU231" s="144"/>
      <c r="FB231" s="146"/>
      <c r="FC231" s="146" cm="1">
        <f t="array" ref="FC231">ROW()-ROW(New[#Headers])</f>
        <v>225</v>
      </c>
    </row>
    <row r="232" spans="2:159" s="139" customFormat="1" ht="10.5" x14ac:dyDescent="0.2">
      <c r="B232" s="133"/>
      <c r="C232" s="133"/>
      <c r="E232" s="133"/>
      <c r="H232" s="133"/>
      <c r="N232" s="140"/>
      <c r="O232" s="140"/>
      <c r="P232" s="141"/>
      <c r="Q232" s="142">
        <f>SUM(R232:AQ232)</f>
      </c>
      <c r="R232" s="143"/>
      <c r="S232" s="143"/>
      <c r="T232" s="143"/>
      <c r="U232" s="143"/>
      <c r="V232" s="143"/>
      <c r="W232" s="143"/>
      <c r="X232" s="143"/>
      <c r="Y232" s="143"/>
      <c r="Z232" s="143"/>
      <c r="AA232" s="143"/>
      <c r="AB232" s="143"/>
      <c r="AC232" s="143"/>
      <c r="AD232" s="143"/>
      <c r="AE232" s="143"/>
      <c r="AF232" s="143"/>
      <c r="AG232" s="143"/>
      <c r="AH232" s="143"/>
      <c r="AI232" s="143"/>
      <c r="AJ232" s="143"/>
      <c r="AK232" s="143"/>
      <c r="AL232" s="143"/>
      <c r="AM232" s="143"/>
      <c r="AN232" s="143"/>
      <c r="AO232" s="143"/>
      <c r="AP232" s="143"/>
      <c r="AQ232" s="143"/>
      <c r="AR232" s="142">
        <f>SUM(AS232:AV232)</f>
      </c>
      <c r="AS232" s="143"/>
      <c r="AT232" s="143"/>
      <c r="AU232" s="143"/>
      <c r="AV232" s="143"/>
      <c r="AW232" s="142">
        <f>SUM(AX232:BI232)</f>
      </c>
      <c r="AX232" s="143"/>
      <c r="AY232" s="143"/>
      <c r="AZ232" s="143"/>
      <c r="BA232" s="143"/>
      <c r="BB232" s="143"/>
      <c r="BC232" s="143"/>
      <c r="BD232" s="143"/>
      <c r="BE232" s="143"/>
      <c r="BF232" s="143"/>
      <c r="BG232" s="143"/>
      <c r="BH232" s="143"/>
      <c r="BI232" s="143"/>
      <c r="BJ232" s="142"/>
      <c r="BK232" s="143"/>
      <c r="BL232" s="143"/>
      <c r="BM232" s="143"/>
      <c r="BN232" s="143"/>
      <c r="BO232" s="143"/>
      <c r="BP232" s="143"/>
      <c r="BQ232" s="142"/>
      <c r="BR232" s="143"/>
      <c r="BS232" s="143"/>
      <c r="BT232" s="142">
        <f>SUM(BU232:BW232)</f>
      </c>
      <c r="BU232" s="143"/>
      <c r="BV232" s="143"/>
      <c r="BW232" s="143"/>
      <c r="BX232" s="142">
        <f>SUM(BY232:CD232)</f>
      </c>
      <c r="BY232" s="143"/>
      <c r="BZ232" s="143"/>
      <c r="CA232" s="143"/>
      <c r="CB232" s="143"/>
      <c r="CC232" s="143"/>
      <c r="CD232" s="143"/>
      <c r="CE232" s="142"/>
      <c r="CF232" s="143"/>
      <c r="CG232" s="143"/>
      <c r="CH232" s="143"/>
      <c r="CI232" s="143"/>
      <c r="CJ232" s="143"/>
      <c r="CK232" s="142">
        <f>SUM(CL232:CN232)</f>
      </c>
      <c r="CL232" s="143"/>
      <c r="CM232" s="143"/>
      <c r="CN232" s="143"/>
      <c r="CO232" s="142">
        <f>SUM(CP232:CT232)</f>
      </c>
      <c r="CP232" s="143"/>
      <c r="CQ232" s="143"/>
      <c r="CR232" s="143"/>
      <c r="CS232" s="143"/>
      <c r="CT232" s="143"/>
      <c r="CU232" s="142"/>
      <c r="CV232" s="143"/>
      <c r="CW232" s="143"/>
      <c r="CX232" s="143"/>
      <c r="CY232" s="142"/>
      <c r="CZ232" s="143"/>
      <c r="DA232" s="143"/>
      <c r="DB232" s="143"/>
      <c r="DC232" s="143"/>
      <c r="DD232" s="143"/>
      <c r="DE232" s="143"/>
      <c r="DF232" s="143"/>
      <c r="DG232" s="142">
        <f>SUM(DH232:DH232)</f>
      </c>
      <c r="DH232" s="143"/>
      <c r="DI232" s="142"/>
      <c r="DJ232" s="143"/>
      <c r="DK232" s="142">
        <f>SUM(DL232:DQ232)</f>
      </c>
      <c r="DL232" s="143"/>
      <c r="DM232" s="143"/>
      <c r="DN232" s="143"/>
      <c r="DO232" s="143"/>
      <c r="DP232" s="143"/>
      <c r="DQ232" s="143"/>
      <c r="DR232" s="143"/>
      <c r="DS232" s="143"/>
      <c r="DT232" s="143"/>
      <c r="DU232" s="143"/>
      <c r="DV232" s="143"/>
      <c r="DW232" s="143"/>
      <c r="DX232" s="142"/>
      <c r="DY232" s="143"/>
      <c r="DZ232" s="142"/>
      <c r="EA232" s="143"/>
      <c r="EB232" s="143"/>
      <c r="EC232" s="142"/>
      <c r="ED232" s="143"/>
      <c r="EF232" s="143"/>
      <c r="EG232" s="142">
        <f>SUM(EH232:EQ232)</f>
      </c>
      <c r="EH232" s="143"/>
      <c r="EI232" s="143"/>
      <c r="EJ232" s="143"/>
      <c r="EK232" s="143"/>
      <c r="EL232" s="143"/>
      <c r="EM232" s="143"/>
      <c r="EN232" s="143"/>
      <c r="EO232" s="143"/>
      <c r="EP232" s="143"/>
      <c r="EQ232" s="143"/>
      <c r="ER232" s="142">
        <f>SUM(ES232:ET232)</f>
      </c>
      <c r="ES232" s="143"/>
      <c r="ET232" s="143"/>
      <c r="EU232" s="144"/>
      <c r="FB232" s="146"/>
      <c r="FC232" s="146" cm="1">
        <f t="array" ref="FC232">ROW()-ROW(New[#Headers])</f>
        <v>226</v>
      </c>
    </row>
    <row r="233" spans="2:159" s="139" customFormat="1" ht="10.5" x14ac:dyDescent="0.2">
      <c r="B233" s="133"/>
      <c r="C233" s="133"/>
      <c r="E233" s="133"/>
      <c r="H233" s="133"/>
      <c r="N233" s="140"/>
      <c r="O233" s="140"/>
      <c r="P233" s="141"/>
      <c r="Q233" s="142">
        <f>SUM(R233:AQ233)</f>
      </c>
      <c r="R233" s="143"/>
      <c r="S233" s="143"/>
      <c r="T233" s="143"/>
      <c r="U233" s="143"/>
      <c r="V233" s="143"/>
      <c r="W233" s="143"/>
      <c r="X233" s="143"/>
      <c r="Y233" s="143"/>
      <c r="Z233" s="143"/>
      <c r="AA233" s="143"/>
      <c r="AB233" s="143"/>
      <c r="AC233" s="143"/>
      <c r="AD233" s="143"/>
      <c r="AE233" s="143"/>
      <c r="AF233" s="143"/>
      <c r="AG233" s="143"/>
      <c r="AH233" s="143"/>
      <c r="AI233" s="143"/>
      <c r="AJ233" s="143"/>
      <c r="AK233" s="143"/>
      <c r="AL233" s="143"/>
      <c r="AM233" s="143"/>
      <c r="AN233" s="143"/>
      <c r="AO233" s="143"/>
      <c r="AP233" s="143"/>
      <c r="AQ233" s="143"/>
      <c r="AR233" s="142">
        <f>SUM(AS233:AV233)</f>
      </c>
      <c r="AS233" s="143"/>
      <c r="AT233" s="143"/>
      <c r="AU233" s="143"/>
      <c r="AV233" s="143"/>
      <c r="AW233" s="142">
        <f>SUM(AX233:BI233)</f>
      </c>
      <c r="AX233" s="143"/>
      <c r="AY233" s="143"/>
      <c r="AZ233" s="143"/>
      <c r="BA233" s="143"/>
      <c r="BB233" s="143"/>
      <c r="BC233" s="143"/>
      <c r="BD233" s="143"/>
      <c r="BE233" s="143"/>
      <c r="BF233" s="143"/>
      <c r="BG233" s="143"/>
      <c r="BH233" s="143"/>
      <c r="BI233" s="143"/>
      <c r="BJ233" s="142"/>
      <c r="BK233" s="143"/>
      <c r="BL233" s="143"/>
      <c r="BM233" s="143"/>
      <c r="BN233" s="143"/>
      <c r="BO233" s="143"/>
      <c r="BP233" s="143"/>
      <c r="BQ233" s="142"/>
      <c r="BR233" s="143"/>
      <c r="BS233" s="143"/>
      <c r="BT233" s="142">
        <f>SUM(BU233:BW233)</f>
      </c>
      <c r="BU233" s="143"/>
      <c r="BV233" s="143"/>
      <c r="BW233" s="143"/>
      <c r="BX233" s="142">
        <f>SUM(BY233:CD233)</f>
      </c>
      <c r="BY233" s="143"/>
      <c r="BZ233" s="143"/>
      <c r="CA233" s="143"/>
      <c r="CB233" s="143"/>
      <c r="CC233" s="143"/>
      <c r="CD233" s="143"/>
      <c r="CE233" s="142"/>
      <c r="CF233" s="143"/>
      <c r="CG233" s="143"/>
      <c r="CH233" s="143"/>
      <c r="CI233" s="143"/>
      <c r="CJ233" s="143"/>
      <c r="CK233" s="142">
        <f>SUM(CL233:CN233)</f>
      </c>
      <c r="CL233" s="143"/>
      <c r="CM233" s="143"/>
      <c r="CN233" s="143"/>
      <c r="CO233" s="142">
        <f>SUM(CP233:CT233)</f>
      </c>
      <c r="CP233" s="143"/>
      <c r="CQ233" s="143"/>
      <c r="CR233" s="143"/>
      <c r="CS233" s="143"/>
      <c r="CT233" s="143"/>
      <c r="CU233" s="142"/>
      <c r="CV233" s="143"/>
      <c r="CW233" s="143"/>
      <c r="CX233" s="143"/>
      <c r="CY233" s="142"/>
      <c r="CZ233" s="143"/>
      <c r="DA233" s="143"/>
      <c r="DB233" s="143"/>
      <c r="DC233" s="143"/>
      <c r="DD233" s="143"/>
      <c r="DE233" s="143"/>
      <c r="DF233" s="143"/>
      <c r="DG233" s="142">
        <f>SUM(DH233:DH233)</f>
      </c>
      <c r="DH233" s="143"/>
      <c r="DI233" s="142"/>
      <c r="DJ233" s="143"/>
      <c r="DK233" s="142">
        <f>SUM(DL233:DQ233)</f>
      </c>
      <c r="DL233" s="143"/>
      <c r="DM233" s="143"/>
      <c r="DN233" s="143"/>
      <c r="DO233" s="143"/>
      <c r="DP233" s="143"/>
      <c r="DQ233" s="143"/>
      <c r="DR233" s="143"/>
      <c r="DS233" s="143"/>
      <c r="DT233" s="143"/>
      <c r="DU233" s="143"/>
      <c r="DV233" s="143"/>
      <c r="DW233" s="143"/>
      <c r="DX233" s="142"/>
      <c r="DY233" s="143"/>
      <c r="DZ233" s="142"/>
      <c r="EA233" s="143"/>
      <c r="EB233" s="143"/>
      <c r="EC233" s="142"/>
      <c r="ED233" s="143"/>
      <c r="EF233" s="143"/>
      <c r="EG233" s="142">
        <f>SUM(EH233:EQ233)</f>
      </c>
      <c r="EH233" s="143"/>
      <c r="EI233" s="143"/>
      <c r="EJ233" s="143"/>
      <c r="EK233" s="143"/>
      <c r="EL233" s="143"/>
      <c r="EM233" s="143"/>
      <c r="EN233" s="143"/>
      <c r="EO233" s="143"/>
      <c r="EP233" s="143"/>
      <c r="EQ233" s="143"/>
      <c r="ER233" s="142">
        <f>SUM(ES233:ET233)</f>
      </c>
      <c r="ES233" s="143"/>
      <c r="ET233" s="143"/>
      <c r="EU233" s="144"/>
      <c r="FB233" s="146"/>
      <c r="FC233" s="146" cm="1">
        <f t="array" ref="FC233">ROW()-ROW(New[#Headers])</f>
        <v>227</v>
      </c>
    </row>
    <row r="234" spans="2:159" s="139" customFormat="1" ht="10.5" x14ac:dyDescent="0.2">
      <c r="B234" s="133"/>
      <c r="C234" s="133"/>
      <c r="E234" s="133"/>
      <c r="H234" s="133"/>
      <c r="N234" s="140"/>
      <c r="O234" s="140"/>
      <c r="P234" s="141"/>
      <c r="Q234" s="142">
        <f>SUM(R234:AQ234)</f>
      </c>
      <c r="R234" s="143"/>
      <c r="S234" s="143"/>
      <c r="T234" s="143"/>
      <c r="U234" s="143"/>
      <c r="V234" s="143"/>
      <c r="W234" s="143"/>
      <c r="X234" s="143"/>
      <c r="Y234" s="143"/>
      <c r="Z234" s="143"/>
      <c r="AA234" s="143"/>
      <c r="AB234" s="143"/>
      <c r="AC234" s="143"/>
      <c r="AD234" s="143"/>
      <c r="AE234" s="143"/>
      <c r="AF234" s="143"/>
      <c r="AG234" s="143"/>
      <c r="AH234" s="143"/>
      <c r="AI234" s="143"/>
      <c r="AJ234" s="143"/>
      <c r="AK234" s="143"/>
      <c r="AL234" s="143"/>
      <c r="AM234" s="143"/>
      <c r="AN234" s="143"/>
      <c r="AO234" s="143"/>
      <c r="AP234" s="143"/>
      <c r="AQ234" s="143"/>
      <c r="AR234" s="142">
        <f>SUM(AS234:AV234)</f>
      </c>
      <c r="AS234" s="143"/>
      <c r="AT234" s="143"/>
      <c r="AU234" s="143"/>
      <c r="AV234" s="143"/>
      <c r="AW234" s="142">
        <f>SUM(AX234:BI234)</f>
      </c>
      <c r="AX234" s="143"/>
      <c r="AY234" s="143"/>
      <c r="AZ234" s="143"/>
      <c r="BA234" s="143"/>
      <c r="BB234" s="143"/>
      <c r="BC234" s="143"/>
      <c r="BD234" s="143"/>
      <c r="BE234" s="143"/>
      <c r="BF234" s="143"/>
      <c r="BG234" s="143"/>
      <c r="BH234" s="143"/>
      <c r="BI234" s="143"/>
      <c r="BJ234" s="142"/>
      <c r="BK234" s="143"/>
      <c r="BL234" s="143"/>
      <c r="BM234" s="143"/>
      <c r="BN234" s="143"/>
      <c r="BO234" s="143"/>
      <c r="BP234" s="143"/>
      <c r="BQ234" s="142"/>
      <c r="BR234" s="143"/>
      <c r="BS234" s="143"/>
      <c r="BT234" s="142">
        <f>SUM(BU234:BW234)</f>
      </c>
      <c r="BU234" s="143"/>
      <c r="BV234" s="143"/>
      <c r="BW234" s="143"/>
      <c r="BX234" s="142">
        <f>SUM(BY234:CD234)</f>
      </c>
      <c r="BY234" s="143"/>
      <c r="BZ234" s="143"/>
      <c r="CA234" s="143"/>
      <c r="CB234" s="143"/>
      <c r="CC234" s="143"/>
      <c r="CD234" s="143"/>
      <c r="CE234" s="142"/>
      <c r="CF234" s="143"/>
      <c r="CG234" s="143"/>
      <c r="CH234" s="143"/>
      <c r="CI234" s="143"/>
      <c r="CJ234" s="143"/>
      <c r="CK234" s="142">
        <f>SUM(CL234:CN234)</f>
      </c>
      <c r="CL234" s="143"/>
      <c r="CM234" s="143"/>
      <c r="CN234" s="143"/>
      <c r="CO234" s="142">
        <f>SUM(CP234:CT234)</f>
      </c>
      <c r="CP234" s="143"/>
      <c r="CQ234" s="143"/>
      <c r="CR234" s="143"/>
      <c r="CS234" s="143"/>
      <c r="CT234" s="143"/>
      <c r="CU234" s="142"/>
      <c r="CV234" s="143"/>
      <c r="CW234" s="143"/>
      <c r="CX234" s="143"/>
      <c r="CY234" s="142"/>
      <c r="CZ234" s="143"/>
      <c r="DA234" s="143"/>
      <c r="DB234" s="143"/>
      <c r="DC234" s="143"/>
      <c r="DD234" s="143"/>
      <c r="DE234" s="143"/>
      <c r="DF234" s="143"/>
      <c r="DG234" s="142">
        <f>SUM(DH234:DH234)</f>
      </c>
      <c r="DH234" s="143"/>
      <c r="DI234" s="142"/>
      <c r="DJ234" s="143"/>
      <c r="DK234" s="142">
        <f>SUM(DL234:DQ234)</f>
      </c>
      <c r="DL234" s="143"/>
      <c r="DM234" s="143"/>
      <c r="DN234" s="143"/>
      <c r="DO234" s="143"/>
      <c r="DP234" s="143"/>
      <c r="DQ234" s="143"/>
      <c r="DR234" s="143"/>
      <c r="DS234" s="143"/>
      <c r="DT234" s="143"/>
      <c r="DU234" s="143"/>
      <c r="DV234" s="143"/>
      <c r="DW234" s="143"/>
      <c r="DX234" s="142"/>
      <c r="DY234" s="143"/>
      <c r="DZ234" s="142"/>
      <c r="EA234" s="143"/>
      <c r="EB234" s="143"/>
      <c r="EC234" s="142"/>
      <c r="ED234" s="143"/>
      <c r="EF234" s="143"/>
      <c r="EG234" s="142">
        <f>SUM(EH234:EQ234)</f>
      </c>
      <c r="EH234" s="143"/>
      <c r="EI234" s="143"/>
      <c r="EJ234" s="143"/>
      <c r="EK234" s="143"/>
      <c r="EL234" s="143"/>
      <c r="EM234" s="143"/>
      <c r="EN234" s="143"/>
      <c r="EO234" s="143"/>
      <c r="EP234" s="143"/>
      <c r="EQ234" s="143"/>
      <c r="ER234" s="142">
        <f>SUM(ES234:ET234)</f>
      </c>
      <c r="ES234" s="143"/>
      <c r="ET234" s="143"/>
      <c r="EU234" s="144"/>
      <c r="FB234" s="146"/>
      <c r="FC234" s="146" cm="1">
        <f t="array" ref="FC234">ROW()-ROW(New[#Headers])</f>
        <v>228</v>
      </c>
    </row>
    <row r="235" spans="2:159" s="139" customFormat="1" ht="10.5" x14ac:dyDescent="0.2">
      <c r="B235" s="133"/>
      <c r="C235" s="133"/>
      <c r="E235" s="133"/>
      <c r="H235" s="133"/>
      <c r="N235" s="140"/>
      <c r="O235" s="140"/>
      <c r="P235" s="141"/>
      <c r="Q235" s="142">
        <f>SUM(R235:AQ235)</f>
      </c>
      <c r="R235" s="143"/>
      <c r="S235" s="143"/>
      <c r="T235" s="143"/>
      <c r="U235" s="143"/>
      <c r="V235" s="143"/>
      <c r="W235" s="143"/>
      <c r="X235" s="143"/>
      <c r="Y235" s="143"/>
      <c r="Z235" s="143"/>
      <c r="AA235" s="143"/>
      <c r="AB235" s="143"/>
      <c r="AC235" s="143"/>
      <c r="AD235" s="143"/>
      <c r="AE235" s="143"/>
      <c r="AF235" s="143"/>
      <c r="AG235" s="143"/>
      <c r="AH235" s="143"/>
      <c r="AI235" s="143"/>
      <c r="AJ235" s="143"/>
      <c r="AK235" s="143"/>
      <c r="AL235" s="143"/>
      <c r="AM235" s="143"/>
      <c r="AN235" s="143"/>
      <c r="AO235" s="143"/>
      <c r="AP235" s="143"/>
      <c r="AQ235" s="143"/>
      <c r="AR235" s="142">
        <f>SUM(AS235:AV235)</f>
      </c>
      <c r="AS235" s="143"/>
      <c r="AT235" s="143"/>
      <c r="AU235" s="143"/>
      <c r="AV235" s="143"/>
      <c r="AW235" s="142">
        <f>SUM(AX235:BI235)</f>
      </c>
      <c r="AX235" s="143"/>
      <c r="AY235" s="143"/>
      <c r="AZ235" s="143"/>
      <c r="BA235" s="143"/>
      <c r="BB235" s="143"/>
      <c r="BC235" s="143"/>
      <c r="BD235" s="143"/>
      <c r="BE235" s="143"/>
      <c r="BF235" s="143"/>
      <c r="BG235" s="143"/>
      <c r="BH235" s="143"/>
      <c r="BI235" s="143"/>
      <c r="BJ235" s="142"/>
      <c r="BK235" s="143"/>
      <c r="BL235" s="143"/>
      <c r="BM235" s="143"/>
      <c r="BN235" s="143"/>
      <c r="BO235" s="143"/>
      <c r="BP235" s="143"/>
      <c r="BQ235" s="142"/>
      <c r="BR235" s="143"/>
      <c r="BS235" s="143"/>
      <c r="BT235" s="142">
        <f>SUM(BU235:BW235)</f>
      </c>
      <c r="BU235" s="143"/>
      <c r="BV235" s="143"/>
      <c r="BW235" s="143"/>
      <c r="BX235" s="142">
        <f>SUM(BY235:CD235)</f>
      </c>
      <c r="BY235" s="143"/>
      <c r="BZ235" s="143"/>
      <c r="CA235" s="143"/>
      <c r="CB235" s="143"/>
      <c r="CC235" s="143"/>
      <c r="CD235" s="143"/>
      <c r="CE235" s="142"/>
      <c r="CF235" s="143"/>
      <c r="CG235" s="143"/>
      <c r="CH235" s="143"/>
      <c r="CI235" s="143"/>
      <c r="CJ235" s="143"/>
      <c r="CK235" s="142">
        <f>SUM(CL235:CN235)</f>
      </c>
      <c r="CL235" s="143"/>
      <c r="CM235" s="143"/>
      <c r="CN235" s="143"/>
      <c r="CO235" s="142">
        <f>SUM(CP235:CT235)</f>
      </c>
      <c r="CP235" s="143"/>
      <c r="CQ235" s="143"/>
      <c r="CR235" s="143"/>
      <c r="CS235" s="143"/>
      <c r="CT235" s="143"/>
      <c r="CU235" s="142"/>
      <c r="CV235" s="143"/>
      <c r="CW235" s="143"/>
      <c r="CX235" s="143"/>
      <c r="CY235" s="142"/>
      <c r="CZ235" s="143"/>
      <c r="DA235" s="143"/>
      <c r="DB235" s="143"/>
      <c r="DC235" s="143"/>
      <c r="DD235" s="143"/>
      <c r="DE235" s="143"/>
      <c r="DF235" s="143"/>
      <c r="DG235" s="142">
        <f>SUM(DH235:DH235)</f>
      </c>
      <c r="DH235" s="143"/>
      <c r="DI235" s="142"/>
      <c r="DJ235" s="143"/>
      <c r="DK235" s="142">
        <f>SUM(DL235:DQ235)</f>
      </c>
      <c r="DL235" s="143"/>
      <c r="DM235" s="143"/>
      <c r="DN235" s="143"/>
      <c r="DO235" s="143"/>
      <c r="DP235" s="143"/>
      <c r="DQ235" s="143"/>
      <c r="DR235" s="143"/>
      <c r="DS235" s="143"/>
      <c r="DT235" s="143"/>
      <c r="DU235" s="143"/>
      <c r="DV235" s="143"/>
      <c r="DW235" s="143"/>
      <c r="DX235" s="142"/>
      <c r="DY235" s="143"/>
      <c r="DZ235" s="142"/>
      <c r="EA235" s="143"/>
      <c r="EB235" s="143"/>
      <c r="EC235" s="142"/>
      <c r="ED235" s="143"/>
      <c r="EF235" s="143"/>
      <c r="EG235" s="142">
        <f>SUM(EH235:EQ235)</f>
      </c>
      <c r="EH235" s="143"/>
      <c r="EI235" s="143"/>
      <c r="EJ235" s="143"/>
      <c r="EK235" s="143"/>
      <c r="EL235" s="143"/>
      <c r="EM235" s="143"/>
      <c r="EN235" s="143"/>
      <c r="EO235" s="143"/>
      <c r="EP235" s="143"/>
      <c r="EQ235" s="143"/>
      <c r="ER235" s="142">
        <f>SUM(ES235:ET235)</f>
      </c>
      <c r="ES235" s="143"/>
      <c r="ET235" s="143"/>
      <c r="EU235" s="144"/>
      <c r="FB235" s="146"/>
      <c r="FC235" s="146" cm="1">
        <f t="array" ref="FC235">ROW()-ROW(New[#Headers])</f>
        <v>229</v>
      </c>
    </row>
    <row r="236" spans="2:159" s="139" customFormat="1" ht="10.5" x14ac:dyDescent="0.2">
      <c r="B236" s="133"/>
      <c r="C236" s="133"/>
      <c r="E236" s="133"/>
      <c r="H236" s="133"/>
      <c r="N236" s="140"/>
      <c r="O236" s="140"/>
      <c r="P236" s="141"/>
      <c r="Q236" s="142">
        <f>SUM(R236:AQ236)</f>
      </c>
      <c r="R236" s="143"/>
      <c r="S236" s="143"/>
      <c r="T236" s="143"/>
      <c r="U236" s="143"/>
      <c r="V236" s="143"/>
      <c r="W236" s="143"/>
      <c r="X236" s="143"/>
      <c r="Y236" s="143"/>
      <c r="Z236" s="143"/>
      <c r="AA236" s="143"/>
      <c r="AB236" s="143"/>
      <c r="AC236" s="143"/>
      <c r="AD236" s="143"/>
      <c r="AE236" s="143"/>
      <c r="AF236" s="143"/>
      <c r="AG236" s="143"/>
      <c r="AH236" s="143"/>
      <c r="AI236" s="143"/>
      <c r="AJ236" s="143"/>
      <c r="AK236" s="143"/>
      <c r="AL236" s="143"/>
      <c r="AM236" s="143"/>
      <c r="AN236" s="143"/>
      <c r="AO236" s="143"/>
      <c r="AP236" s="143"/>
      <c r="AQ236" s="143"/>
      <c r="AR236" s="142">
        <f>SUM(AS236:AV236)</f>
      </c>
      <c r="AS236" s="143"/>
      <c r="AT236" s="143"/>
      <c r="AU236" s="143"/>
      <c r="AV236" s="143"/>
      <c r="AW236" s="142">
        <f>SUM(AX236:BI236)</f>
      </c>
      <c r="AX236" s="143"/>
      <c r="AY236" s="143"/>
      <c r="AZ236" s="143"/>
      <c r="BA236" s="143"/>
      <c r="BB236" s="143"/>
      <c r="BC236" s="143"/>
      <c r="BD236" s="143"/>
      <c r="BE236" s="143"/>
      <c r="BF236" s="143"/>
      <c r="BG236" s="143"/>
      <c r="BH236" s="143"/>
      <c r="BI236" s="143"/>
      <c r="BJ236" s="142"/>
      <c r="BK236" s="143"/>
      <c r="BL236" s="143"/>
      <c r="BM236" s="143"/>
      <c r="BN236" s="143"/>
      <c r="BO236" s="143"/>
      <c r="BP236" s="143"/>
      <c r="BQ236" s="142"/>
      <c r="BR236" s="143"/>
      <c r="BS236" s="143"/>
      <c r="BT236" s="142">
        <f>SUM(BU236:BW236)</f>
      </c>
      <c r="BU236" s="143"/>
      <c r="BV236" s="143"/>
      <c r="BW236" s="143"/>
      <c r="BX236" s="142">
        <f>SUM(BY236:CD236)</f>
      </c>
      <c r="BY236" s="143"/>
      <c r="BZ236" s="143"/>
      <c r="CA236" s="143"/>
      <c r="CB236" s="143"/>
      <c r="CC236" s="143"/>
      <c r="CD236" s="143"/>
      <c r="CE236" s="142"/>
      <c r="CF236" s="143"/>
      <c r="CG236" s="143"/>
      <c r="CH236" s="143"/>
      <c r="CI236" s="143"/>
      <c r="CJ236" s="143"/>
      <c r="CK236" s="142">
        <f>SUM(CL236:CN236)</f>
      </c>
      <c r="CL236" s="143"/>
      <c r="CM236" s="143"/>
      <c r="CN236" s="143"/>
      <c r="CO236" s="142">
        <f>SUM(CP236:CT236)</f>
      </c>
      <c r="CP236" s="143"/>
      <c r="CQ236" s="143"/>
      <c r="CR236" s="143"/>
      <c r="CS236" s="143"/>
      <c r="CT236" s="143"/>
      <c r="CU236" s="142"/>
      <c r="CV236" s="143"/>
      <c r="CW236" s="143"/>
      <c r="CX236" s="143"/>
      <c r="CY236" s="142"/>
      <c r="CZ236" s="143"/>
      <c r="DA236" s="143"/>
      <c r="DB236" s="143"/>
      <c r="DC236" s="143"/>
      <c r="DD236" s="143"/>
      <c r="DE236" s="143"/>
      <c r="DF236" s="143"/>
      <c r="DG236" s="142">
        <f>SUM(DH236:DH236)</f>
      </c>
      <c r="DH236" s="143"/>
      <c r="DI236" s="142"/>
      <c r="DJ236" s="143"/>
      <c r="DK236" s="142">
        <f>SUM(DL236:DQ236)</f>
      </c>
      <c r="DL236" s="143"/>
      <c r="DM236" s="143"/>
      <c r="DN236" s="143"/>
      <c r="DO236" s="143"/>
      <c r="DP236" s="143"/>
      <c r="DQ236" s="143"/>
      <c r="DR236" s="143"/>
      <c r="DS236" s="143"/>
      <c r="DT236" s="143"/>
      <c r="DU236" s="143"/>
      <c r="DV236" s="143"/>
      <c r="DW236" s="143"/>
      <c r="DX236" s="142"/>
      <c r="DY236" s="143"/>
      <c r="DZ236" s="142"/>
      <c r="EA236" s="143"/>
      <c r="EB236" s="143"/>
      <c r="EC236" s="142"/>
      <c r="ED236" s="143"/>
      <c r="EF236" s="143"/>
      <c r="EG236" s="142">
        <f>SUM(EH236:EQ236)</f>
      </c>
      <c r="EH236" s="143"/>
      <c r="EI236" s="143"/>
      <c r="EJ236" s="143"/>
      <c r="EK236" s="143"/>
      <c r="EL236" s="143"/>
      <c r="EM236" s="143"/>
      <c r="EN236" s="143"/>
      <c r="EO236" s="143"/>
      <c r="EP236" s="143"/>
      <c r="EQ236" s="143"/>
      <c r="ER236" s="142">
        <f>SUM(ES236:ET236)</f>
      </c>
      <c r="ES236" s="143"/>
      <c r="ET236" s="143"/>
      <c r="EU236" s="144"/>
      <c r="FB236" s="146"/>
      <c r="FC236" s="146" cm="1">
        <f t="array" ref="FC236">ROW()-ROW(New[#Headers])</f>
        <v>230</v>
      </c>
    </row>
    <row r="237" spans="2:159" s="139" customFormat="1" ht="10.5" x14ac:dyDescent="0.2">
      <c r="B237" s="133"/>
      <c r="C237" s="133"/>
      <c r="E237" s="133"/>
      <c r="H237" s="133"/>
      <c r="N237" s="140"/>
      <c r="O237" s="140"/>
      <c r="P237" s="141"/>
      <c r="Q237" s="142">
        <f>SUM(R237:AQ237)</f>
      </c>
      <c r="R237" s="143"/>
      <c r="S237" s="143"/>
      <c r="T237" s="143"/>
      <c r="U237" s="143"/>
      <c r="V237" s="143"/>
      <c r="W237" s="143"/>
      <c r="X237" s="143"/>
      <c r="Y237" s="143"/>
      <c r="Z237" s="143"/>
      <c r="AA237" s="143"/>
      <c r="AB237" s="143"/>
      <c r="AC237" s="143"/>
      <c r="AD237" s="143"/>
      <c r="AE237" s="143"/>
      <c r="AF237" s="143"/>
      <c r="AG237" s="143"/>
      <c r="AH237" s="143"/>
      <c r="AI237" s="143"/>
      <c r="AJ237" s="143"/>
      <c r="AK237" s="143"/>
      <c r="AL237" s="143"/>
      <c r="AM237" s="143"/>
      <c r="AN237" s="143"/>
      <c r="AO237" s="143"/>
      <c r="AP237" s="143"/>
      <c r="AQ237" s="143"/>
      <c r="AR237" s="142">
        <f>SUM(AS237:AV237)</f>
      </c>
      <c r="AS237" s="143"/>
      <c r="AT237" s="143"/>
      <c r="AU237" s="143"/>
      <c r="AV237" s="143"/>
      <c r="AW237" s="142">
        <f>SUM(AX237:BI237)</f>
      </c>
      <c r="AX237" s="143"/>
      <c r="AY237" s="143"/>
      <c r="AZ237" s="143"/>
      <c r="BA237" s="143"/>
      <c r="BB237" s="143"/>
      <c r="BC237" s="143"/>
      <c r="BD237" s="143"/>
      <c r="BE237" s="143"/>
      <c r="BF237" s="143"/>
      <c r="BG237" s="143"/>
      <c r="BH237" s="143"/>
      <c r="BI237" s="143"/>
      <c r="BJ237" s="142"/>
      <c r="BK237" s="143"/>
      <c r="BL237" s="143"/>
      <c r="BM237" s="143"/>
      <c r="BN237" s="143"/>
      <c r="BO237" s="143"/>
      <c r="BP237" s="143"/>
      <c r="BQ237" s="142"/>
      <c r="BR237" s="143"/>
      <c r="BS237" s="143"/>
      <c r="BT237" s="142">
        <f>SUM(BU237:BW237)</f>
      </c>
      <c r="BU237" s="143"/>
      <c r="BV237" s="143"/>
      <c r="BW237" s="143"/>
      <c r="BX237" s="142">
        <f>SUM(BY237:CD237)</f>
      </c>
      <c r="BY237" s="143"/>
      <c r="BZ237" s="143"/>
      <c r="CA237" s="143"/>
      <c r="CB237" s="143"/>
      <c r="CC237" s="143"/>
      <c r="CD237" s="143"/>
      <c r="CE237" s="142"/>
      <c r="CF237" s="143"/>
      <c r="CG237" s="143"/>
      <c r="CH237" s="143"/>
      <c r="CI237" s="143"/>
      <c r="CJ237" s="143"/>
      <c r="CK237" s="142">
        <f>SUM(CL237:CN237)</f>
      </c>
      <c r="CL237" s="143"/>
      <c r="CM237" s="143"/>
      <c r="CN237" s="143"/>
      <c r="CO237" s="142">
        <f>SUM(CP237:CT237)</f>
      </c>
      <c r="CP237" s="143"/>
      <c r="CQ237" s="143"/>
      <c r="CR237" s="143"/>
      <c r="CS237" s="143"/>
      <c r="CT237" s="143"/>
      <c r="CU237" s="142"/>
      <c r="CV237" s="143"/>
      <c r="CW237" s="143"/>
      <c r="CX237" s="143"/>
      <c r="CY237" s="142"/>
      <c r="CZ237" s="143"/>
      <c r="DA237" s="143"/>
      <c r="DB237" s="143"/>
      <c r="DC237" s="143"/>
      <c r="DD237" s="143"/>
      <c r="DE237" s="143"/>
      <c r="DF237" s="143"/>
      <c r="DG237" s="142">
        <f>SUM(DH237:DH237)</f>
      </c>
      <c r="DH237" s="143"/>
      <c r="DI237" s="142"/>
      <c r="DJ237" s="143"/>
      <c r="DK237" s="142">
        <f>SUM(DL237:DQ237)</f>
      </c>
      <c r="DL237" s="143"/>
      <c r="DM237" s="143"/>
      <c r="DN237" s="143"/>
      <c r="DO237" s="143"/>
      <c r="DP237" s="143"/>
      <c r="DQ237" s="143"/>
      <c r="DR237" s="143"/>
      <c r="DS237" s="143"/>
      <c r="DT237" s="143"/>
      <c r="DU237" s="143"/>
      <c r="DV237" s="143"/>
      <c r="DW237" s="143"/>
      <c r="DX237" s="142"/>
      <c r="DY237" s="143"/>
      <c r="DZ237" s="142"/>
      <c r="EA237" s="143"/>
      <c r="EB237" s="143"/>
      <c r="EC237" s="142"/>
      <c r="ED237" s="143"/>
      <c r="EF237" s="143"/>
      <c r="EG237" s="142">
        <f>SUM(EH237:EQ237)</f>
      </c>
      <c r="EH237" s="143"/>
      <c r="EI237" s="143"/>
      <c r="EJ237" s="143"/>
      <c r="EK237" s="143"/>
      <c r="EL237" s="143"/>
      <c r="EM237" s="143"/>
      <c r="EN237" s="143"/>
      <c r="EO237" s="143"/>
      <c r="EP237" s="143"/>
      <c r="EQ237" s="143"/>
      <c r="ER237" s="142">
        <f>SUM(ES237:ET237)</f>
      </c>
      <c r="ES237" s="143"/>
      <c r="ET237" s="143"/>
      <c r="EU237" s="144"/>
      <c r="FB237" s="146"/>
      <c r="FC237" s="146" cm="1">
        <f t="array" ref="FC237">ROW()-ROW(New[#Headers])</f>
        <v>231</v>
      </c>
    </row>
    <row r="238" spans="2:159" s="139" customFormat="1" ht="10.5" x14ac:dyDescent="0.2">
      <c r="B238" s="133"/>
      <c r="C238" s="133"/>
      <c r="E238" s="133"/>
      <c r="H238" s="133"/>
      <c r="N238" s="140"/>
      <c r="O238" s="140"/>
      <c r="P238" s="141"/>
      <c r="Q238" s="142">
        <f>SUM(R238:AQ238)</f>
      </c>
      <c r="R238" s="143"/>
      <c r="S238" s="143"/>
      <c r="T238" s="143"/>
      <c r="U238" s="143"/>
      <c r="V238" s="143"/>
      <c r="W238" s="143"/>
      <c r="X238" s="143"/>
      <c r="Y238" s="143"/>
      <c r="Z238" s="143"/>
      <c r="AA238" s="143"/>
      <c r="AB238" s="143"/>
      <c r="AC238" s="143"/>
      <c r="AD238" s="143"/>
      <c r="AE238" s="143"/>
      <c r="AF238" s="143"/>
      <c r="AG238" s="143"/>
      <c r="AH238" s="143"/>
      <c r="AI238" s="143"/>
      <c r="AJ238" s="143"/>
      <c r="AK238" s="143"/>
      <c r="AL238" s="143"/>
      <c r="AM238" s="143"/>
      <c r="AN238" s="143"/>
      <c r="AO238" s="143"/>
      <c r="AP238" s="143"/>
      <c r="AQ238" s="143"/>
      <c r="AR238" s="142">
        <f>SUM(AS238:AV238)</f>
      </c>
      <c r="AS238" s="143"/>
      <c r="AT238" s="143"/>
      <c r="AU238" s="143"/>
      <c r="AV238" s="143"/>
      <c r="AW238" s="142">
        <f>SUM(AX238:BI238)</f>
      </c>
      <c r="AX238" s="143"/>
      <c r="AY238" s="143"/>
      <c r="AZ238" s="143"/>
      <c r="BA238" s="143"/>
      <c r="BB238" s="143"/>
      <c r="BC238" s="143"/>
      <c r="BD238" s="143"/>
      <c r="BE238" s="143"/>
      <c r="BF238" s="143"/>
      <c r="BG238" s="143"/>
      <c r="BH238" s="143"/>
      <c r="BI238" s="143"/>
      <c r="BJ238" s="142"/>
      <c r="BK238" s="143"/>
      <c r="BL238" s="143"/>
      <c r="BM238" s="143"/>
      <c r="BN238" s="143"/>
      <c r="BO238" s="143"/>
      <c r="BP238" s="143"/>
      <c r="BQ238" s="142"/>
      <c r="BR238" s="143"/>
      <c r="BS238" s="143"/>
      <c r="BT238" s="142">
        <f>SUM(BU238:BW238)</f>
      </c>
      <c r="BU238" s="143"/>
      <c r="BV238" s="143"/>
      <c r="BW238" s="143"/>
      <c r="BX238" s="142">
        <f>SUM(BY238:CD238)</f>
      </c>
      <c r="BY238" s="143"/>
      <c r="BZ238" s="143"/>
      <c r="CA238" s="143"/>
      <c r="CB238" s="143"/>
      <c r="CC238" s="143"/>
      <c r="CD238" s="143"/>
      <c r="CE238" s="142"/>
      <c r="CF238" s="143"/>
      <c r="CG238" s="143"/>
      <c r="CH238" s="143"/>
      <c r="CI238" s="143"/>
      <c r="CJ238" s="143"/>
      <c r="CK238" s="142">
        <f>SUM(CL238:CN238)</f>
      </c>
      <c r="CL238" s="143"/>
      <c r="CM238" s="143"/>
      <c r="CN238" s="143"/>
      <c r="CO238" s="142">
        <f>SUM(CP238:CT238)</f>
      </c>
      <c r="CP238" s="143"/>
      <c r="CQ238" s="143"/>
      <c r="CR238" s="143"/>
      <c r="CS238" s="143"/>
      <c r="CT238" s="143"/>
      <c r="CU238" s="142"/>
      <c r="CV238" s="143"/>
      <c r="CW238" s="143"/>
      <c r="CX238" s="143"/>
      <c r="CY238" s="142"/>
      <c r="CZ238" s="143"/>
      <c r="DA238" s="143"/>
      <c r="DB238" s="143"/>
      <c r="DC238" s="143"/>
      <c r="DD238" s="143"/>
      <c r="DE238" s="143"/>
      <c r="DF238" s="143"/>
      <c r="DG238" s="142">
        <f>SUM(DH238:DH238)</f>
      </c>
      <c r="DH238" s="143"/>
      <c r="DI238" s="142"/>
      <c r="DJ238" s="143"/>
      <c r="DK238" s="142">
        <f>SUM(DL238:DQ238)</f>
      </c>
      <c r="DL238" s="143"/>
      <c r="DM238" s="143"/>
      <c r="DN238" s="143"/>
      <c r="DO238" s="143"/>
      <c r="DP238" s="143"/>
      <c r="DQ238" s="143"/>
      <c r="DR238" s="143"/>
      <c r="DS238" s="143"/>
      <c r="DT238" s="143"/>
      <c r="DU238" s="143"/>
      <c r="DV238" s="143"/>
      <c r="DW238" s="143"/>
      <c r="DX238" s="142"/>
      <c r="DY238" s="143"/>
      <c r="DZ238" s="142"/>
      <c r="EA238" s="143"/>
      <c r="EB238" s="143"/>
      <c r="EC238" s="142"/>
      <c r="ED238" s="143"/>
      <c r="EF238" s="143"/>
      <c r="EG238" s="142">
        <f>SUM(EH238:EQ238)</f>
      </c>
      <c r="EH238" s="143"/>
      <c r="EI238" s="143"/>
      <c r="EJ238" s="143"/>
      <c r="EK238" s="143"/>
      <c r="EL238" s="143"/>
      <c r="EM238" s="143"/>
      <c r="EN238" s="143"/>
      <c r="EO238" s="143"/>
      <c r="EP238" s="143"/>
      <c r="EQ238" s="143"/>
      <c r="ER238" s="142">
        <f>SUM(ES238:ET238)</f>
      </c>
      <c r="ES238" s="143"/>
      <c r="ET238" s="143"/>
      <c r="EU238" s="144"/>
      <c r="FB238" s="146"/>
      <c r="FC238" s="146" cm="1">
        <f t="array" ref="FC238">ROW()-ROW(New[#Headers])</f>
        <v>232</v>
      </c>
    </row>
    <row r="239" spans="2:159" s="139" customFormat="1" ht="10.5" x14ac:dyDescent="0.2">
      <c r="B239" s="133"/>
      <c r="C239" s="133"/>
      <c r="E239" s="133"/>
      <c r="H239" s="133"/>
      <c r="N239" s="140"/>
      <c r="O239" s="140"/>
      <c r="P239" s="141"/>
      <c r="Q239" s="142">
        <f>SUM(R239:AQ239)</f>
      </c>
      <c r="R239" s="143"/>
      <c r="S239" s="143"/>
      <c r="T239" s="143"/>
      <c r="U239" s="143"/>
      <c r="V239" s="143"/>
      <c r="W239" s="143"/>
      <c r="X239" s="143"/>
      <c r="Y239" s="143"/>
      <c r="Z239" s="143"/>
      <c r="AA239" s="143"/>
      <c r="AB239" s="143"/>
      <c r="AC239" s="143"/>
      <c r="AD239" s="143"/>
      <c r="AE239" s="143"/>
      <c r="AF239" s="143"/>
      <c r="AG239" s="143"/>
      <c r="AH239" s="143"/>
      <c r="AI239" s="143"/>
      <c r="AJ239" s="143"/>
      <c r="AK239" s="143"/>
      <c r="AL239" s="143"/>
      <c r="AM239" s="143"/>
      <c r="AN239" s="143"/>
      <c r="AO239" s="143"/>
      <c r="AP239" s="143"/>
      <c r="AQ239" s="143"/>
      <c r="AR239" s="142">
        <f>SUM(AS239:AV239)</f>
      </c>
      <c r="AS239" s="143"/>
      <c r="AT239" s="143"/>
      <c r="AU239" s="143"/>
      <c r="AV239" s="143"/>
      <c r="AW239" s="142">
        <f>SUM(AX239:BI239)</f>
      </c>
      <c r="AX239" s="143"/>
      <c r="AY239" s="143"/>
      <c r="AZ239" s="143"/>
      <c r="BA239" s="143"/>
      <c r="BB239" s="143"/>
      <c r="BC239" s="143"/>
      <c r="BD239" s="143"/>
      <c r="BE239" s="143"/>
      <c r="BF239" s="143"/>
      <c r="BG239" s="143"/>
      <c r="BH239" s="143"/>
      <c r="BI239" s="143"/>
      <c r="BJ239" s="142"/>
      <c r="BK239" s="143"/>
      <c r="BL239" s="143"/>
      <c r="BM239" s="143"/>
      <c r="BN239" s="143"/>
      <c r="BO239" s="143"/>
      <c r="BP239" s="143"/>
      <c r="BQ239" s="142"/>
      <c r="BR239" s="143"/>
      <c r="BS239" s="143"/>
      <c r="BT239" s="142">
        <f>SUM(BU239:BW239)</f>
      </c>
      <c r="BU239" s="143"/>
      <c r="BV239" s="143"/>
      <c r="BW239" s="143"/>
      <c r="BX239" s="142">
        <f>SUM(BY239:CD239)</f>
      </c>
      <c r="BY239" s="143"/>
      <c r="BZ239" s="143"/>
      <c r="CA239" s="143"/>
      <c r="CB239" s="143"/>
      <c r="CC239" s="143"/>
      <c r="CD239" s="143"/>
      <c r="CE239" s="142"/>
      <c r="CF239" s="143"/>
      <c r="CG239" s="143"/>
      <c r="CH239" s="143"/>
      <c r="CI239" s="143"/>
      <c r="CJ239" s="143"/>
      <c r="CK239" s="142">
        <f>SUM(CL239:CN239)</f>
      </c>
      <c r="CL239" s="143"/>
      <c r="CM239" s="143"/>
      <c r="CN239" s="143"/>
      <c r="CO239" s="142">
        <f>SUM(CP239:CT239)</f>
      </c>
      <c r="CP239" s="143"/>
      <c r="CQ239" s="143"/>
      <c r="CR239" s="143"/>
      <c r="CS239" s="143"/>
      <c r="CT239" s="143"/>
      <c r="CU239" s="142"/>
      <c r="CV239" s="143"/>
      <c r="CW239" s="143"/>
      <c r="CX239" s="143"/>
      <c r="CY239" s="142"/>
      <c r="CZ239" s="143"/>
      <c r="DA239" s="143"/>
      <c r="DB239" s="143"/>
      <c r="DC239" s="143"/>
      <c r="DD239" s="143"/>
      <c r="DE239" s="143"/>
      <c r="DF239" s="143"/>
      <c r="DG239" s="142">
        <f>SUM(DH239:DH239)</f>
      </c>
      <c r="DH239" s="143"/>
      <c r="DI239" s="142"/>
      <c r="DJ239" s="143"/>
      <c r="DK239" s="142">
        <f>SUM(DL239:DQ239)</f>
      </c>
      <c r="DL239" s="143"/>
      <c r="DM239" s="143"/>
      <c r="DN239" s="143"/>
      <c r="DO239" s="143"/>
      <c r="DP239" s="143"/>
      <c r="DQ239" s="143"/>
      <c r="DR239" s="143"/>
      <c r="DS239" s="143"/>
      <c r="DT239" s="143"/>
      <c r="DU239" s="143"/>
      <c r="DV239" s="143"/>
      <c r="DW239" s="143"/>
      <c r="DX239" s="142"/>
      <c r="DY239" s="143"/>
      <c r="DZ239" s="142"/>
      <c r="EA239" s="143"/>
      <c r="EB239" s="143"/>
      <c r="EC239" s="142"/>
      <c r="ED239" s="143"/>
      <c r="EF239" s="143"/>
      <c r="EG239" s="142">
        <f>SUM(EH239:EQ239)</f>
      </c>
      <c r="EH239" s="143"/>
      <c r="EI239" s="143"/>
      <c r="EJ239" s="143"/>
      <c r="EK239" s="143"/>
      <c r="EL239" s="143"/>
      <c r="EM239" s="143"/>
      <c r="EN239" s="143"/>
      <c r="EO239" s="143"/>
      <c r="EP239" s="143"/>
      <c r="EQ239" s="143"/>
      <c r="ER239" s="142">
        <f>SUM(ES239:ET239)</f>
      </c>
      <c r="ES239" s="143"/>
      <c r="ET239" s="143"/>
      <c r="EU239" s="144"/>
      <c r="FB239" s="146"/>
      <c r="FC239" s="146" cm="1">
        <f t="array" ref="FC239">ROW()-ROW(New[#Headers])</f>
        <v>233</v>
      </c>
    </row>
    <row r="240" spans="2:159" s="139" customFormat="1" ht="10.5" x14ac:dyDescent="0.2">
      <c r="B240" s="133"/>
      <c r="C240" s="133"/>
      <c r="E240" s="133"/>
      <c r="H240" s="133"/>
      <c r="N240" s="140"/>
      <c r="O240" s="140"/>
      <c r="P240" s="141"/>
      <c r="Q240" s="142">
        <f>SUM(R240:AQ240)</f>
      </c>
      <c r="R240" s="143"/>
      <c r="S240" s="143"/>
      <c r="T240" s="143"/>
      <c r="U240" s="143"/>
      <c r="V240" s="143"/>
      <c r="W240" s="143"/>
      <c r="X240" s="143"/>
      <c r="Y240" s="143"/>
      <c r="Z240" s="143"/>
      <c r="AA240" s="143"/>
      <c r="AB240" s="143"/>
      <c r="AC240" s="143"/>
      <c r="AD240" s="143"/>
      <c r="AE240" s="143"/>
      <c r="AF240" s="143"/>
      <c r="AG240" s="143"/>
      <c r="AH240" s="143"/>
      <c r="AI240" s="143"/>
      <c r="AJ240" s="143"/>
      <c r="AK240" s="143"/>
      <c r="AL240" s="143"/>
      <c r="AM240" s="143"/>
      <c r="AN240" s="143"/>
      <c r="AO240" s="143"/>
      <c r="AP240" s="143"/>
      <c r="AQ240" s="143"/>
      <c r="AR240" s="142">
        <f>SUM(AS240:AV240)</f>
      </c>
      <c r="AS240" s="143"/>
      <c r="AT240" s="143"/>
      <c r="AU240" s="143"/>
      <c r="AV240" s="143"/>
      <c r="AW240" s="142">
        <f>SUM(AX240:BI240)</f>
      </c>
      <c r="AX240" s="143"/>
      <c r="AY240" s="143"/>
      <c r="AZ240" s="143"/>
      <c r="BA240" s="143"/>
      <c r="BB240" s="143"/>
      <c r="BC240" s="143"/>
      <c r="BD240" s="143"/>
      <c r="BE240" s="143"/>
      <c r="BF240" s="143"/>
      <c r="BG240" s="143"/>
      <c r="BH240" s="143"/>
      <c r="BI240" s="143"/>
      <c r="BJ240" s="142"/>
      <c r="BK240" s="143"/>
      <c r="BL240" s="143"/>
      <c r="BM240" s="143"/>
      <c r="BN240" s="143"/>
      <c r="BO240" s="143"/>
      <c r="BP240" s="143"/>
      <c r="BQ240" s="142"/>
      <c r="BR240" s="143"/>
      <c r="BS240" s="143"/>
      <c r="BT240" s="142">
        <f>SUM(BU240:BW240)</f>
      </c>
      <c r="BU240" s="143"/>
      <c r="BV240" s="143"/>
      <c r="BW240" s="143"/>
      <c r="BX240" s="142">
        <f>SUM(BY240:CD240)</f>
      </c>
      <c r="BY240" s="143"/>
      <c r="BZ240" s="143"/>
      <c r="CA240" s="143"/>
      <c r="CB240" s="143"/>
      <c r="CC240" s="143"/>
      <c r="CD240" s="143"/>
      <c r="CE240" s="142"/>
      <c r="CF240" s="143"/>
      <c r="CG240" s="143"/>
      <c r="CH240" s="143"/>
      <c r="CI240" s="143"/>
      <c r="CJ240" s="143"/>
      <c r="CK240" s="142">
        <f>SUM(CL240:CN240)</f>
      </c>
      <c r="CL240" s="143"/>
      <c r="CM240" s="143"/>
      <c r="CN240" s="143"/>
      <c r="CO240" s="142">
        <f>SUM(CP240:CT240)</f>
      </c>
      <c r="CP240" s="143"/>
      <c r="CQ240" s="143"/>
      <c r="CR240" s="143"/>
      <c r="CS240" s="143"/>
      <c r="CT240" s="143"/>
      <c r="CU240" s="142"/>
      <c r="CV240" s="143"/>
      <c r="CW240" s="143"/>
      <c r="CX240" s="143"/>
      <c r="CY240" s="142"/>
      <c r="CZ240" s="143"/>
      <c r="DA240" s="143"/>
      <c r="DB240" s="143"/>
      <c r="DC240" s="143"/>
      <c r="DD240" s="143"/>
      <c r="DE240" s="143"/>
      <c r="DF240" s="143"/>
      <c r="DG240" s="142">
        <f>SUM(DH240:DH240)</f>
      </c>
      <c r="DH240" s="143"/>
      <c r="DI240" s="142"/>
      <c r="DJ240" s="143"/>
      <c r="DK240" s="142">
        <f>SUM(DL240:DQ240)</f>
      </c>
      <c r="DL240" s="143"/>
      <c r="DM240" s="143"/>
      <c r="DN240" s="143"/>
      <c r="DO240" s="143"/>
      <c r="DP240" s="143"/>
      <c r="DQ240" s="143"/>
      <c r="DR240" s="143"/>
      <c r="DS240" s="143"/>
      <c r="DT240" s="143"/>
      <c r="DU240" s="143"/>
      <c r="DV240" s="143"/>
      <c r="DW240" s="143"/>
      <c r="DX240" s="142"/>
      <c r="DY240" s="143"/>
      <c r="DZ240" s="142"/>
      <c r="EA240" s="143"/>
      <c r="EB240" s="143"/>
      <c r="EC240" s="142"/>
      <c r="ED240" s="143"/>
      <c r="EF240" s="143"/>
      <c r="EG240" s="142">
        <f>SUM(EH240:EQ240)</f>
      </c>
      <c r="EH240" s="143"/>
      <c r="EI240" s="143"/>
      <c r="EJ240" s="143"/>
      <c r="EK240" s="143"/>
      <c r="EL240" s="143"/>
      <c r="EM240" s="143"/>
      <c r="EN240" s="143"/>
      <c r="EO240" s="143"/>
      <c r="EP240" s="143"/>
      <c r="EQ240" s="143"/>
      <c r="ER240" s="142">
        <f>SUM(ES240:ET240)</f>
      </c>
      <c r="ES240" s="143"/>
      <c r="ET240" s="143"/>
      <c r="EU240" s="144"/>
      <c r="FB240" s="146"/>
      <c r="FC240" s="146" cm="1">
        <f t="array" ref="FC240">ROW()-ROW(New[#Headers])</f>
        <v>234</v>
      </c>
    </row>
    <row r="241" spans="2:159" s="139" customFormat="1" ht="10.5" x14ac:dyDescent="0.2">
      <c r="B241" s="133"/>
      <c r="C241" s="133"/>
      <c r="E241" s="133"/>
      <c r="H241" s="133"/>
      <c r="N241" s="140"/>
      <c r="O241" s="140"/>
      <c r="P241" s="141"/>
      <c r="Q241" s="142">
        <f>SUM(R241:AQ241)</f>
      </c>
      <c r="R241" s="143"/>
      <c r="S241" s="143"/>
      <c r="T241" s="143"/>
      <c r="U241" s="143"/>
      <c r="V241" s="143"/>
      <c r="W241" s="143"/>
      <c r="X241" s="143"/>
      <c r="Y241" s="143"/>
      <c r="Z241" s="143"/>
      <c r="AA241" s="143"/>
      <c r="AB241" s="143"/>
      <c r="AC241" s="143"/>
      <c r="AD241" s="143"/>
      <c r="AE241" s="143"/>
      <c r="AF241" s="143"/>
      <c r="AG241" s="143"/>
      <c r="AH241" s="143"/>
      <c r="AI241" s="143"/>
      <c r="AJ241" s="143"/>
      <c r="AK241" s="143"/>
      <c r="AL241" s="143"/>
      <c r="AM241" s="143"/>
      <c r="AN241" s="143"/>
      <c r="AO241" s="143"/>
      <c r="AP241" s="143"/>
      <c r="AQ241" s="143"/>
      <c r="AR241" s="142">
        <f>SUM(AS241:AV241)</f>
      </c>
      <c r="AS241" s="143"/>
      <c r="AT241" s="143"/>
      <c r="AU241" s="143"/>
      <c r="AV241" s="143"/>
      <c r="AW241" s="142">
        <f>SUM(AX241:BI241)</f>
      </c>
      <c r="AX241" s="143"/>
      <c r="AY241" s="143"/>
      <c r="AZ241" s="143"/>
      <c r="BA241" s="143"/>
      <c r="BB241" s="143"/>
      <c r="BC241" s="143"/>
      <c r="BD241" s="143"/>
      <c r="BE241" s="143"/>
      <c r="BF241" s="143"/>
      <c r="BG241" s="143"/>
      <c r="BH241" s="143"/>
      <c r="BI241" s="143"/>
      <c r="BJ241" s="142"/>
      <c r="BK241" s="143"/>
      <c r="BL241" s="143"/>
      <c r="BM241" s="143"/>
      <c r="BN241" s="143"/>
      <c r="BO241" s="143"/>
      <c r="BP241" s="143"/>
      <c r="BQ241" s="142"/>
      <c r="BR241" s="143"/>
      <c r="BS241" s="143"/>
      <c r="BT241" s="142">
        <f>SUM(BU241:BW241)</f>
      </c>
      <c r="BU241" s="143"/>
      <c r="BV241" s="143"/>
      <c r="BW241" s="143"/>
      <c r="BX241" s="142">
        <f>SUM(BY241:CD241)</f>
      </c>
      <c r="BY241" s="143"/>
      <c r="BZ241" s="143"/>
      <c r="CA241" s="143"/>
      <c r="CB241" s="143"/>
      <c r="CC241" s="143"/>
      <c r="CD241" s="143"/>
      <c r="CE241" s="142"/>
      <c r="CF241" s="143"/>
      <c r="CG241" s="143"/>
      <c r="CH241" s="143"/>
      <c r="CI241" s="143"/>
      <c r="CJ241" s="143"/>
      <c r="CK241" s="142">
        <f>SUM(CL241:CN241)</f>
      </c>
      <c r="CL241" s="143"/>
      <c r="CM241" s="143"/>
      <c r="CN241" s="143"/>
      <c r="CO241" s="142">
        <f>SUM(CP241:CT241)</f>
      </c>
      <c r="CP241" s="143"/>
      <c r="CQ241" s="143"/>
      <c r="CR241" s="143"/>
      <c r="CS241" s="143"/>
      <c r="CT241" s="143"/>
      <c r="CU241" s="142"/>
      <c r="CV241" s="143"/>
      <c r="CW241" s="143"/>
      <c r="CX241" s="143"/>
      <c r="CY241" s="142"/>
      <c r="CZ241" s="143"/>
      <c r="DA241" s="143"/>
      <c r="DB241" s="143"/>
      <c r="DC241" s="143"/>
      <c r="DD241" s="143"/>
      <c r="DE241" s="143"/>
      <c r="DF241" s="143"/>
      <c r="DG241" s="142">
        <f>SUM(DH241:DH241)</f>
      </c>
      <c r="DH241" s="143"/>
      <c r="DI241" s="142"/>
      <c r="DJ241" s="143"/>
      <c r="DK241" s="142">
        <f>SUM(DL241:DQ241)</f>
      </c>
      <c r="DL241" s="143"/>
      <c r="DM241" s="143"/>
      <c r="DN241" s="143"/>
      <c r="DO241" s="143"/>
      <c r="DP241" s="143"/>
      <c r="DQ241" s="143"/>
      <c r="DR241" s="143"/>
      <c r="DS241" s="143"/>
      <c r="DT241" s="143"/>
      <c r="DU241" s="143"/>
      <c r="DV241" s="143"/>
      <c r="DW241" s="143"/>
      <c r="DX241" s="142"/>
      <c r="DY241" s="143"/>
      <c r="DZ241" s="142"/>
      <c r="EA241" s="143"/>
      <c r="EB241" s="143"/>
      <c r="EC241" s="142"/>
      <c r="ED241" s="143"/>
      <c r="EF241" s="143"/>
      <c r="EG241" s="142">
        <f>SUM(EH241:EQ241)</f>
      </c>
      <c r="EH241" s="143"/>
      <c r="EI241" s="143"/>
      <c r="EJ241" s="143"/>
      <c r="EK241" s="143"/>
      <c r="EL241" s="143"/>
      <c r="EM241" s="143"/>
      <c r="EN241" s="143"/>
      <c r="EO241" s="143"/>
      <c r="EP241" s="143"/>
      <c r="EQ241" s="143"/>
      <c r="ER241" s="142">
        <f>SUM(ES241:ET241)</f>
      </c>
      <c r="ES241" s="143"/>
      <c r="ET241" s="143"/>
      <c r="EU241" s="144"/>
      <c r="FB241" s="146"/>
      <c r="FC241" s="146" cm="1">
        <f t="array" ref="FC241">ROW()-ROW(New[#Headers])</f>
        <v>235</v>
      </c>
    </row>
    <row r="242" spans="2:159" s="139" customFormat="1" ht="10.5" x14ac:dyDescent="0.2">
      <c r="B242" s="133"/>
      <c r="C242" s="133"/>
      <c r="E242" s="133"/>
      <c r="H242" s="133"/>
      <c r="N242" s="140"/>
      <c r="O242" s="140"/>
      <c r="P242" s="141"/>
      <c r="Q242" s="142">
        <f>SUM(R242:AQ242)</f>
      </c>
      <c r="R242" s="143"/>
      <c r="S242" s="143"/>
      <c r="T242" s="143"/>
      <c r="U242" s="143"/>
      <c r="V242" s="143"/>
      <c r="W242" s="143"/>
      <c r="X242" s="143"/>
      <c r="Y242" s="143"/>
      <c r="Z242" s="143"/>
      <c r="AA242" s="143"/>
      <c r="AB242" s="143"/>
      <c r="AC242" s="143"/>
      <c r="AD242" s="143"/>
      <c r="AE242" s="143"/>
      <c r="AF242" s="143"/>
      <c r="AG242" s="143"/>
      <c r="AH242" s="143"/>
      <c r="AI242" s="143"/>
      <c r="AJ242" s="143"/>
      <c r="AK242" s="143"/>
      <c r="AL242" s="143"/>
      <c r="AM242" s="143"/>
      <c r="AN242" s="143"/>
      <c r="AO242" s="143"/>
      <c r="AP242" s="143"/>
      <c r="AQ242" s="143"/>
      <c r="AR242" s="142">
        <f>SUM(AS242:AV242)</f>
      </c>
      <c r="AS242" s="143"/>
      <c r="AT242" s="143"/>
      <c r="AU242" s="143"/>
      <c r="AV242" s="143"/>
      <c r="AW242" s="142">
        <f>SUM(AX242:BI242)</f>
      </c>
      <c r="AX242" s="143"/>
      <c r="AY242" s="143"/>
      <c r="AZ242" s="143"/>
      <c r="BA242" s="143"/>
      <c r="BB242" s="143"/>
      <c r="BC242" s="143"/>
      <c r="BD242" s="143"/>
      <c r="BE242" s="143"/>
      <c r="BF242" s="143"/>
      <c r="BG242" s="143"/>
      <c r="BH242" s="143"/>
      <c r="BI242" s="143"/>
      <c r="BJ242" s="142"/>
      <c r="BK242" s="143"/>
      <c r="BL242" s="143"/>
      <c r="BM242" s="143"/>
      <c r="BN242" s="143"/>
      <c r="BO242" s="143"/>
      <c r="BP242" s="143"/>
      <c r="BQ242" s="142"/>
      <c r="BR242" s="143"/>
      <c r="BS242" s="143"/>
      <c r="BT242" s="142">
        <f>SUM(BU242:BW242)</f>
      </c>
      <c r="BU242" s="143"/>
      <c r="BV242" s="143"/>
      <c r="BW242" s="143"/>
      <c r="BX242" s="142">
        <f>SUM(BY242:CD242)</f>
      </c>
      <c r="BY242" s="143"/>
      <c r="BZ242" s="143"/>
      <c r="CA242" s="143"/>
      <c r="CB242" s="143"/>
      <c r="CC242" s="143"/>
      <c r="CD242" s="143"/>
      <c r="CE242" s="142"/>
      <c r="CF242" s="143"/>
      <c r="CG242" s="143"/>
      <c r="CH242" s="143"/>
      <c r="CI242" s="143"/>
      <c r="CJ242" s="143"/>
      <c r="CK242" s="142">
        <f>SUM(CL242:CN242)</f>
      </c>
      <c r="CL242" s="143"/>
      <c r="CM242" s="143"/>
      <c r="CN242" s="143"/>
      <c r="CO242" s="142">
        <f>SUM(CP242:CT242)</f>
      </c>
      <c r="CP242" s="143"/>
      <c r="CQ242" s="143"/>
      <c r="CR242" s="143"/>
      <c r="CS242" s="143"/>
      <c r="CT242" s="143"/>
      <c r="CU242" s="142"/>
      <c r="CV242" s="143"/>
      <c r="CW242" s="143"/>
      <c r="CX242" s="143"/>
      <c r="CY242" s="142"/>
      <c r="CZ242" s="143"/>
      <c r="DA242" s="143"/>
      <c r="DB242" s="143"/>
      <c r="DC242" s="143"/>
      <c r="DD242" s="143"/>
      <c r="DE242" s="143"/>
      <c r="DF242" s="143"/>
      <c r="DG242" s="142">
        <f>SUM(DH242:DH242)</f>
      </c>
      <c r="DH242" s="143"/>
      <c r="DI242" s="142"/>
      <c r="DJ242" s="143"/>
      <c r="DK242" s="142">
        <f>SUM(DL242:DQ242)</f>
      </c>
      <c r="DL242" s="143"/>
      <c r="DM242" s="143"/>
      <c r="DN242" s="143"/>
      <c r="DO242" s="143"/>
      <c r="DP242" s="143"/>
      <c r="DQ242" s="143"/>
      <c r="DR242" s="143"/>
      <c r="DS242" s="143"/>
      <c r="DT242" s="143"/>
      <c r="DU242" s="143"/>
      <c r="DV242" s="143"/>
      <c r="DW242" s="143"/>
      <c r="DX242" s="142"/>
      <c r="DY242" s="143"/>
      <c r="DZ242" s="142"/>
      <c r="EA242" s="143"/>
      <c r="EB242" s="143"/>
      <c r="EC242" s="142"/>
      <c r="ED242" s="143"/>
      <c r="EF242" s="143"/>
      <c r="EG242" s="142">
        <f>SUM(EH242:EQ242)</f>
      </c>
      <c r="EH242" s="143"/>
      <c r="EI242" s="143"/>
      <c r="EJ242" s="143"/>
      <c r="EK242" s="143"/>
      <c r="EL242" s="143"/>
      <c r="EM242" s="143"/>
      <c r="EN242" s="143"/>
      <c r="EO242" s="143"/>
      <c r="EP242" s="143"/>
      <c r="EQ242" s="143"/>
      <c r="ER242" s="142">
        <f>SUM(ES242:ET242)</f>
      </c>
      <c r="ES242" s="143"/>
      <c r="ET242" s="143"/>
      <c r="EU242" s="144"/>
      <c r="FB242" s="146"/>
      <c r="FC242" s="146" cm="1">
        <f t="array" ref="FC242">ROW()-ROW(New[#Headers])</f>
        <v>236</v>
      </c>
    </row>
    <row r="243" spans="2:159" s="139" customFormat="1" ht="10.5" x14ac:dyDescent="0.2">
      <c r="B243" s="133"/>
      <c r="C243" s="133"/>
      <c r="E243" s="133"/>
      <c r="H243" s="133"/>
      <c r="N243" s="140"/>
      <c r="O243" s="140"/>
      <c r="P243" s="141"/>
      <c r="Q243" s="142">
        <f>SUM(R243:AQ243)</f>
      </c>
      <c r="R243" s="143"/>
      <c r="S243" s="143"/>
      <c r="T243" s="143"/>
      <c r="U243" s="143"/>
      <c r="V243" s="143"/>
      <c r="W243" s="143"/>
      <c r="X243" s="143"/>
      <c r="Y243" s="143"/>
      <c r="Z243" s="143"/>
      <c r="AA243" s="143"/>
      <c r="AB243" s="143"/>
      <c r="AC243" s="143"/>
      <c r="AD243" s="143"/>
      <c r="AE243" s="143"/>
      <c r="AF243" s="143"/>
      <c r="AG243" s="143"/>
      <c r="AH243" s="143"/>
      <c r="AI243" s="143"/>
      <c r="AJ243" s="143"/>
      <c r="AK243" s="143"/>
      <c r="AL243" s="143"/>
      <c r="AM243" s="143"/>
      <c r="AN243" s="143"/>
      <c r="AO243" s="143"/>
      <c r="AP243" s="143"/>
      <c r="AQ243" s="143"/>
      <c r="AR243" s="142">
        <f>SUM(AS243:AV243)</f>
      </c>
      <c r="AS243" s="143"/>
      <c r="AT243" s="143"/>
      <c r="AU243" s="143"/>
      <c r="AV243" s="143"/>
      <c r="AW243" s="142">
        <f>SUM(AX243:BI243)</f>
      </c>
      <c r="AX243" s="143"/>
      <c r="AY243" s="143"/>
      <c r="AZ243" s="143"/>
      <c r="BA243" s="143"/>
      <c r="BB243" s="143"/>
      <c r="BC243" s="143"/>
      <c r="BD243" s="143"/>
      <c r="BE243" s="143"/>
      <c r="BF243" s="143"/>
      <c r="BG243" s="143"/>
      <c r="BH243" s="143"/>
      <c r="BI243" s="143"/>
      <c r="BJ243" s="142"/>
      <c r="BK243" s="143"/>
      <c r="BL243" s="143"/>
      <c r="BM243" s="143"/>
      <c r="BN243" s="143"/>
      <c r="BO243" s="143"/>
      <c r="BP243" s="143"/>
      <c r="BQ243" s="142"/>
      <c r="BR243" s="143"/>
      <c r="BS243" s="143"/>
      <c r="BT243" s="142">
        <f>SUM(BU243:BW243)</f>
      </c>
      <c r="BU243" s="143"/>
      <c r="BV243" s="143"/>
      <c r="BW243" s="143"/>
      <c r="BX243" s="142">
        <f>SUM(BY243:CD243)</f>
      </c>
      <c r="BY243" s="143"/>
      <c r="BZ243" s="143"/>
      <c r="CA243" s="143"/>
      <c r="CB243" s="143"/>
      <c r="CC243" s="143"/>
      <c r="CD243" s="143"/>
      <c r="CE243" s="142"/>
      <c r="CF243" s="143"/>
      <c r="CG243" s="143"/>
      <c r="CH243" s="143"/>
      <c r="CI243" s="143"/>
      <c r="CJ243" s="143"/>
      <c r="CK243" s="142">
        <f>SUM(CL243:CN243)</f>
      </c>
      <c r="CL243" s="143"/>
      <c r="CM243" s="143"/>
      <c r="CN243" s="143"/>
      <c r="CO243" s="142">
        <f>SUM(CP243:CT243)</f>
      </c>
      <c r="CP243" s="143"/>
      <c r="CQ243" s="143"/>
      <c r="CR243" s="143"/>
      <c r="CS243" s="143"/>
      <c r="CT243" s="143"/>
      <c r="CU243" s="142"/>
      <c r="CV243" s="143"/>
      <c r="CW243" s="143"/>
      <c r="CX243" s="143"/>
      <c r="CY243" s="142"/>
      <c r="CZ243" s="143"/>
      <c r="DA243" s="143"/>
      <c r="DB243" s="143"/>
      <c r="DC243" s="143"/>
      <c r="DD243" s="143"/>
      <c r="DE243" s="143"/>
      <c r="DF243" s="143"/>
      <c r="DG243" s="142">
        <f>SUM(DH243:DH243)</f>
      </c>
      <c r="DH243" s="143"/>
      <c r="DI243" s="142"/>
      <c r="DJ243" s="143"/>
      <c r="DK243" s="142">
        <f>SUM(DL243:DQ243)</f>
      </c>
      <c r="DL243" s="143"/>
      <c r="DM243" s="143"/>
      <c r="DN243" s="143"/>
      <c r="DO243" s="143"/>
      <c r="DP243" s="143"/>
      <c r="DQ243" s="143"/>
      <c r="DR243" s="143"/>
      <c r="DS243" s="143"/>
      <c r="DT243" s="143"/>
      <c r="DU243" s="143"/>
      <c r="DV243" s="143"/>
      <c r="DW243" s="143"/>
      <c r="DX243" s="142"/>
      <c r="DY243" s="143"/>
      <c r="DZ243" s="142"/>
      <c r="EA243" s="143"/>
      <c r="EB243" s="143"/>
      <c r="EC243" s="142"/>
      <c r="ED243" s="143"/>
      <c r="EF243" s="143"/>
      <c r="EG243" s="142">
        <f>SUM(EH243:EQ243)</f>
      </c>
      <c r="EH243" s="143"/>
      <c r="EI243" s="143"/>
      <c r="EJ243" s="143"/>
      <c r="EK243" s="143"/>
      <c r="EL243" s="143"/>
      <c r="EM243" s="143"/>
      <c r="EN243" s="143"/>
      <c r="EO243" s="143"/>
      <c r="EP243" s="143"/>
      <c r="EQ243" s="143"/>
      <c r="ER243" s="142">
        <f>SUM(ES243:ET243)</f>
      </c>
      <c r="ES243" s="143"/>
      <c r="ET243" s="143"/>
      <c r="EU243" s="144"/>
      <c r="FB243" s="146"/>
      <c r="FC243" s="146" cm="1">
        <f t="array" ref="FC243">ROW()-ROW(New[#Headers])</f>
        <v>237</v>
      </c>
    </row>
    <row r="244" spans="2:159" s="139" customFormat="1" ht="10.5" x14ac:dyDescent="0.2">
      <c r="B244" s="133"/>
      <c r="C244" s="133"/>
      <c r="E244" s="133"/>
      <c r="H244" s="133"/>
      <c r="N244" s="140"/>
      <c r="O244" s="140"/>
      <c r="P244" s="141"/>
      <c r="Q244" s="142">
        <f>SUM(R244:AQ244)</f>
      </c>
      <c r="R244" s="143"/>
      <c r="S244" s="143"/>
      <c r="T244" s="143"/>
      <c r="U244" s="143"/>
      <c r="V244" s="143"/>
      <c r="W244" s="143"/>
      <c r="X244" s="143"/>
      <c r="Y244" s="143"/>
      <c r="Z244" s="143"/>
      <c r="AA244" s="143"/>
      <c r="AB244" s="143"/>
      <c r="AC244" s="143"/>
      <c r="AD244" s="143"/>
      <c r="AE244" s="143"/>
      <c r="AF244" s="143"/>
      <c r="AG244" s="143"/>
      <c r="AH244" s="143"/>
      <c r="AI244" s="143"/>
      <c r="AJ244" s="143"/>
      <c r="AK244" s="143"/>
      <c r="AL244" s="143"/>
      <c r="AM244" s="143"/>
      <c r="AN244" s="143"/>
      <c r="AO244" s="143"/>
      <c r="AP244" s="143"/>
      <c r="AQ244" s="143"/>
      <c r="AR244" s="142">
        <f>SUM(AS244:AV244)</f>
      </c>
      <c r="AS244" s="143"/>
      <c r="AT244" s="143"/>
      <c r="AU244" s="143"/>
      <c r="AV244" s="143"/>
      <c r="AW244" s="142">
        <f>SUM(AX244:BI244)</f>
      </c>
      <c r="AX244" s="143"/>
      <c r="AY244" s="143"/>
      <c r="AZ244" s="143"/>
      <c r="BA244" s="143"/>
      <c r="BB244" s="143"/>
      <c r="BC244" s="143"/>
      <c r="BD244" s="143"/>
      <c r="BE244" s="143"/>
      <c r="BF244" s="143"/>
      <c r="BG244" s="143"/>
      <c r="BH244" s="143"/>
      <c r="BI244" s="143"/>
      <c r="BJ244" s="142"/>
      <c r="BK244" s="143"/>
      <c r="BL244" s="143"/>
      <c r="BM244" s="143"/>
      <c r="BN244" s="143"/>
      <c r="BO244" s="143"/>
      <c r="BP244" s="143"/>
      <c r="BQ244" s="142"/>
      <c r="BR244" s="143"/>
      <c r="BS244" s="143"/>
      <c r="BT244" s="142">
        <f>SUM(BU244:BW244)</f>
      </c>
      <c r="BU244" s="143"/>
      <c r="BV244" s="143"/>
      <c r="BW244" s="143"/>
      <c r="BX244" s="142">
        <f>SUM(BY244:CD244)</f>
      </c>
      <c r="BY244" s="143"/>
      <c r="BZ244" s="143"/>
      <c r="CA244" s="143"/>
      <c r="CB244" s="143"/>
      <c r="CC244" s="143"/>
      <c r="CD244" s="143"/>
      <c r="CE244" s="142"/>
      <c r="CF244" s="143"/>
      <c r="CG244" s="143"/>
      <c r="CH244" s="143"/>
      <c r="CI244" s="143"/>
      <c r="CJ244" s="143"/>
      <c r="CK244" s="142">
        <f>SUM(CL244:CN244)</f>
      </c>
      <c r="CL244" s="143"/>
      <c r="CM244" s="143"/>
      <c r="CN244" s="143"/>
      <c r="CO244" s="142">
        <f>SUM(CP244:CT244)</f>
      </c>
      <c r="CP244" s="143"/>
      <c r="CQ244" s="143"/>
      <c r="CR244" s="143"/>
      <c r="CS244" s="143"/>
      <c r="CT244" s="143"/>
      <c r="CU244" s="142"/>
      <c r="CV244" s="143"/>
      <c r="CW244" s="143"/>
      <c r="CX244" s="143"/>
      <c r="CY244" s="142"/>
      <c r="CZ244" s="143"/>
      <c r="DA244" s="143"/>
      <c r="DB244" s="143"/>
      <c r="DC244" s="143"/>
      <c r="DD244" s="143"/>
      <c r="DE244" s="143"/>
      <c r="DF244" s="143"/>
      <c r="DG244" s="142">
        <f>SUM(DH244:DH244)</f>
      </c>
      <c r="DH244" s="143"/>
      <c r="DI244" s="142"/>
      <c r="DJ244" s="143"/>
      <c r="DK244" s="142">
        <f>SUM(DL244:DQ244)</f>
      </c>
      <c r="DL244" s="143"/>
      <c r="DM244" s="143"/>
      <c r="DN244" s="143"/>
      <c r="DO244" s="143"/>
      <c r="DP244" s="143"/>
      <c r="DQ244" s="143"/>
      <c r="DR244" s="143"/>
      <c r="DS244" s="143"/>
      <c r="DT244" s="143"/>
      <c r="DU244" s="143"/>
      <c r="DV244" s="143"/>
      <c r="DW244" s="143"/>
      <c r="DX244" s="142"/>
      <c r="DY244" s="143"/>
      <c r="DZ244" s="142"/>
      <c r="EA244" s="143"/>
      <c r="EB244" s="143"/>
      <c r="EC244" s="142"/>
      <c r="ED244" s="143"/>
      <c r="EF244" s="143"/>
      <c r="EG244" s="142">
        <f>SUM(EH244:EQ244)</f>
      </c>
      <c r="EH244" s="143"/>
      <c r="EI244" s="143"/>
      <c r="EJ244" s="143"/>
      <c r="EK244" s="143"/>
      <c r="EL244" s="143"/>
      <c r="EM244" s="143"/>
      <c r="EN244" s="143"/>
      <c r="EO244" s="143"/>
      <c r="EP244" s="143"/>
      <c r="EQ244" s="143"/>
      <c r="ER244" s="142">
        <f>SUM(ES244:ET244)</f>
      </c>
      <c r="ES244" s="143"/>
      <c r="ET244" s="143"/>
      <c r="EU244" s="144"/>
      <c r="FB244" s="146"/>
      <c r="FC244" s="146" cm="1">
        <f t="array" ref="FC244">ROW()-ROW(New[#Headers])</f>
        <v>238</v>
      </c>
    </row>
    <row r="245" spans="2:159" s="139" customFormat="1" ht="10.5" x14ac:dyDescent="0.2">
      <c r="B245" s="133"/>
      <c r="C245" s="133"/>
      <c r="E245" s="133"/>
      <c r="H245" s="133"/>
      <c r="N245" s="140"/>
      <c r="O245" s="140"/>
      <c r="P245" s="141"/>
      <c r="Q245" s="142">
        <f>SUM(R245:AQ245)</f>
      </c>
      <c r="R245" s="143"/>
      <c r="S245" s="143"/>
      <c r="T245" s="143"/>
      <c r="U245" s="143"/>
      <c r="V245" s="143"/>
      <c r="W245" s="143"/>
      <c r="X245" s="143"/>
      <c r="Y245" s="143"/>
      <c r="Z245" s="143"/>
      <c r="AA245" s="143"/>
      <c r="AB245" s="143"/>
      <c r="AC245" s="143"/>
      <c r="AD245" s="143"/>
      <c r="AE245" s="143"/>
      <c r="AF245" s="143"/>
      <c r="AG245" s="143"/>
      <c r="AH245" s="143"/>
      <c r="AI245" s="143"/>
      <c r="AJ245" s="143"/>
      <c r="AK245" s="143"/>
      <c r="AL245" s="143"/>
      <c r="AM245" s="143"/>
      <c r="AN245" s="143"/>
      <c r="AO245" s="143"/>
      <c r="AP245" s="143"/>
      <c r="AQ245" s="143"/>
      <c r="AR245" s="142">
        <f>SUM(AS245:AV245)</f>
      </c>
      <c r="AS245" s="143"/>
      <c r="AT245" s="143"/>
      <c r="AU245" s="143"/>
      <c r="AV245" s="143"/>
      <c r="AW245" s="142">
        <f>SUM(AX245:BI245)</f>
      </c>
      <c r="AX245" s="143"/>
      <c r="AY245" s="143"/>
      <c r="AZ245" s="143"/>
      <c r="BA245" s="143"/>
      <c r="BB245" s="143"/>
      <c r="BC245" s="143"/>
      <c r="BD245" s="143"/>
      <c r="BE245" s="143"/>
      <c r="BF245" s="143"/>
      <c r="BG245" s="143"/>
      <c r="BH245" s="143"/>
      <c r="BI245" s="143"/>
      <c r="BJ245" s="142"/>
      <c r="BK245" s="143"/>
      <c r="BL245" s="143"/>
      <c r="BM245" s="143"/>
      <c r="BN245" s="143"/>
      <c r="BO245" s="143"/>
      <c r="BP245" s="143"/>
      <c r="BQ245" s="142"/>
      <c r="BR245" s="143"/>
      <c r="BS245" s="143"/>
      <c r="BT245" s="142">
        <f>SUM(BU245:BW245)</f>
      </c>
      <c r="BU245" s="143"/>
      <c r="BV245" s="143"/>
      <c r="BW245" s="143"/>
      <c r="BX245" s="142">
        <f>SUM(BY245:CD245)</f>
      </c>
      <c r="BY245" s="143"/>
      <c r="BZ245" s="143"/>
      <c r="CA245" s="143"/>
      <c r="CB245" s="143"/>
      <c r="CC245" s="143"/>
      <c r="CD245" s="143"/>
      <c r="CE245" s="142"/>
      <c r="CF245" s="143"/>
      <c r="CG245" s="143"/>
      <c r="CH245" s="143"/>
      <c r="CI245" s="143"/>
      <c r="CJ245" s="143"/>
      <c r="CK245" s="142">
        <f>SUM(CL245:CN245)</f>
      </c>
      <c r="CL245" s="143"/>
      <c r="CM245" s="143"/>
      <c r="CN245" s="143"/>
      <c r="CO245" s="142">
        <f>SUM(CP245:CT245)</f>
      </c>
      <c r="CP245" s="143"/>
      <c r="CQ245" s="143"/>
      <c r="CR245" s="143"/>
      <c r="CS245" s="143"/>
      <c r="CT245" s="143"/>
      <c r="CU245" s="142"/>
      <c r="CV245" s="143"/>
      <c r="CW245" s="143"/>
      <c r="CX245" s="143"/>
      <c r="CY245" s="142"/>
      <c r="CZ245" s="143"/>
      <c r="DA245" s="143"/>
      <c r="DB245" s="143"/>
      <c r="DC245" s="143"/>
      <c r="DD245" s="143"/>
      <c r="DE245" s="143"/>
      <c r="DF245" s="143"/>
      <c r="DG245" s="142">
        <f>SUM(DH245:DH245)</f>
      </c>
      <c r="DH245" s="143"/>
      <c r="DI245" s="142"/>
      <c r="DJ245" s="143"/>
      <c r="DK245" s="142">
        <f>SUM(DL245:DQ245)</f>
      </c>
      <c r="DL245" s="143"/>
      <c r="DM245" s="143"/>
      <c r="DN245" s="143"/>
      <c r="DO245" s="143"/>
      <c r="DP245" s="143"/>
      <c r="DQ245" s="143"/>
      <c r="DR245" s="143"/>
      <c r="DS245" s="143"/>
      <c r="DT245" s="143"/>
      <c r="DU245" s="143"/>
      <c r="DV245" s="143"/>
      <c r="DW245" s="143"/>
      <c r="DX245" s="142"/>
      <c r="DY245" s="143"/>
      <c r="DZ245" s="142"/>
      <c r="EA245" s="143"/>
      <c r="EB245" s="143"/>
      <c r="EC245" s="142"/>
      <c r="ED245" s="143"/>
      <c r="EF245" s="143"/>
      <c r="EG245" s="142">
        <f>SUM(EH245:EQ245)</f>
      </c>
      <c r="EH245" s="143"/>
      <c r="EI245" s="143"/>
      <c r="EJ245" s="143"/>
      <c r="EK245" s="143"/>
      <c r="EL245" s="143"/>
      <c r="EM245" s="143"/>
      <c r="EN245" s="143"/>
      <c r="EO245" s="143"/>
      <c r="EP245" s="143"/>
      <c r="EQ245" s="143"/>
      <c r="ER245" s="142">
        <f>SUM(ES245:ET245)</f>
      </c>
      <c r="ES245" s="143"/>
      <c r="ET245" s="143"/>
      <c r="EU245" s="144"/>
      <c r="FB245" s="146"/>
      <c r="FC245" s="146" cm="1">
        <f t="array" ref="FC245">ROW()-ROW(New[#Headers])</f>
        <v>239</v>
      </c>
    </row>
    <row r="246" spans="2:159" s="139" customFormat="1" ht="10.5" x14ac:dyDescent="0.2">
      <c r="B246" s="133"/>
      <c r="C246" s="133"/>
      <c r="E246" s="133"/>
      <c r="H246" s="133"/>
      <c r="N246" s="140"/>
      <c r="O246" s="140"/>
      <c r="P246" s="141"/>
      <c r="Q246" s="142">
        <f>SUM(R246:AQ246)</f>
      </c>
      <c r="R246" s="143"/>
      <c r="S246" s="143"/>
      <c r="T246" s="143"/>
      <c r="U246" s="143"/>
      <c r="V246" s="143"/>
      <c r="W246" s="143"/>
      <c r="X246" s="143"/>
      <c r="Y246" s="143"/>
      <c r="Z246" s="143"/>
      <c r="AA246" s="143"/>
      <c r="AB246" s="143"/>
      <c r="AC246" s="143"/>
      <c r="AD246" s="143"/>
      <c r="AE246" s="143"/>
      <c r="AF246" s="143"/>
      <c r="AG246" s="143"/>
      <c r="AH246" s="143"/>
      <c r="AI246" s="143"/>
      <c r="AJ246" s="143"/>
      <c r="AK246" s="143"/>
      <c r="AL246" s="143"/>
      <c r="AM246" s="143"/>
      <c r="AN246" s="143"/>
      <c r="AO246" s="143"/>
      <c r="AP246" s="143"/>
      <c r="AQ246" s="143"/>
      <c r="AR246" s="142">
        <f>SUM(AS246:AV246)</f>
      </c>
      <c r="AS246" s="143"/>
      <c r="AT246" s="143"/>
      <c r="AU246" s="143"/>
      <c r="AV246" s="143"/>
      <c r="AW246" s="142">
        <f>SUM(AX246:BI246)</f>
      </c>
      <c r="AX246" s="143"/>
      <c r="AY246" s="143"/>
      <c r="AZ246" s="143"/>
      <c r="BA246" s="143"/>
      <c r="BB246" s="143"/>
      <c r="BC246" s="143"/>
      <c r="BD246" s="143"/>
      <c r="BE246" s="143"/>
      <c r="BF246" s="143"/>
      <c r="BG246" s="143"/>
      <c r="BH246" s="143"/>
      <c r="BI246" s="143"/>
      <c r="BJ246" s="142"/>
      <c r="BK246" s="143"/>
      <c r="BL246" s="143"/>
      <c r="BM246" s="143"/>
      <c r="BN246" s="143"/>
      <c r="BO246" s="143"/>
      <c r="BP246" s="143"/>
      <c r="BQ246" s="142"/>
      <c r="BR246" s="143"/>
      <c r="BS246" s="143"/>
      <c r="BT246" s="142">
        <f>SUM(BU246:BW246)</f>
      </c>
      <c r="BU246" s="143"/>
      <c r="BV246" s="143"/>
      <c r="BW246" s="143"/>
      <c r="BX246" s="142">
        <f>SUM(BY246:CD246)</f>
      </c>
      <c r="BY246" s="143"/>
      <c r="BZ246" s="143"/>
      <c r="CA246" s="143"/>
      <c r="CB246" s="143"/>
      <c r="CC246" s="143"/>
      <c r="CD246" s="143"/>
      <c r="CE246" s="142"/>
      <c r="CF246" s="143"/>
      <c r="CG246" s="143"/>
      <c r="CH246" s="143"/>
      <c r="CI246" s="143"/>
      <c r="CJ246" s="143"/>
      <c r="CK246" s="142">
        <f>SUM(CL246:CN246)</f>
      </c>
      <c r="CL246" s="143"/>
      <c r="CM246" s="143"/>
      <c r="CN246" s="143"/>
      <c r="CO246" s="142">
        <f>SUM(CP246:CT246)</f>
      </c>
      <c r="CP246" s="143"/>
      <c r="CQ246" s="143"/>
      <c r="CR246" s="143"/>
      <c r="CS246" s="143"/>
      <c r="CT246" s="143"/>
      <c r="CU246" s="142"/>
      <c r="CV246" s="143"/>
      <c r="CW246" s="143"/>
      <c r="CX246" s="143"/>
      <c r="CY246" s="142"/>
      <c r="CZ246" s="143"/>
      <c r="DA246" s="143"/>
      <c r="DB246" s="143"/>
      <c r="DC246" s="143"/>
      <c r="DD246" s="143"/>
      <c r="DE246" s="143"/>
      <c r="DF246" s="143"/>
      <c r="DG246" s="142">
        <f>SUM(DH246:DH246)</f>
      </c>
      <c r="DH246" s="143"/>
      <c r="DI246" s="142"/>
      <c r="DJ246" s="143"/>
      <c r="DK246" s="142">
        <f>SUM(DL246:DQ246)</f>
      </c>
      <c r="DL246" s="143"/>
      <c r="DM246" s="143"/>
      <c r="DN246" s="143"/>
      <c r="DO246" s="143"/>
      <c r="DP246" s="143"/>
      <c r="DQ246" s="143"/>
      <c r="DR246" s="143"/>
      <c r="DS246" s="143"/>
      <c r="DT246" s="143"/>
      <c r="DU246" s="143"/>
      <c r="DV246" s="143"/>
      <c r="DW246" s="143"/>
      <c r="DX246" s="142"/>
      <c r="DY246" s="143"/>
      <c r="DZ246" s="142"/>
      <c r="EA246" s="143"/>
      <c r="EB246" s="143"/>
      <c r="EC246" s="142"/>
      <c r="ED246" s="143"/>
      <c r="EF246" s="143"/>
      <c r="EG246" s="142">
        <f>SUM(EH246:EQ246)</f>
      </c>
      <c r="EH246" s="143"/>
      <c r="EI246" s="143"/>
      <c r="EJ246" s="143"/>
      <c r="EK246" s="143"/>
      <c r="EL246" s="143"/>
      <c r="EM246" s="143"/>
      <c r="EN246" s="143"/>
      <c r="EO246" s="143"/>
      <c r="EP246" s="143"/>
      <c r="EQ246" s="143"/>
      <c r="ER246" s="142">
        <f>SUM(ES246:ET246)</f>
      </c>
      <c r="ES246" s="143"/>
      <c r="ET246" s="143"/>
      <c r="EU246" s="144"/>
      <c r="FB246" s="146"/>
      <c r="FC246" s="146" cm="1">
        <f t="array" ref="FC246">ROW()-ROW(New[#Headers])</f>
        <v>240</v>
      </c>
    </row>
    <row r="247" spans="2:159" s="139" customFormat="1" ht="10.5" x14ac:dyDescent="0.2">
      <c r="B247" s="133"/>
      <c r="C247" s="133"/>
      <c r="E247" s="133"/>
      <c r="H247" s="133"/>
      <c r="N247" s="140"/>
      <c r="O247" s="140"/>
      <c r="P247" s="141"/>
      <c r="Q247" s="142">
        <f>SUM(R247:AQ247)</f>
      </c>
      <c r="R247" s="143"/>
      <c r="S247" s="143"/>
      <c r="T247" s="143"/>
      <c r="U247" s="143"/>
      <c r="V247" s="143"/>
      <c r="W247" s="143"/>
      <c r="X247" s="143"/>
      <c r="Y247" s="143"/>
      <c r="Z247" s="143"/>
      <c r="AA247" s="143"/>
      <c r="AB247" s="143"/>
      <c r="AC247" s="143"/>
      <c r="AD247" s="143"/>
      <c r="AE247" s="143"/>
      <c r="AF247" s="143"/>
      <c r="AG247" s="143"/>
      <c r="AH247" s="143"/>
      <c r="AI247" s="143"/>
      <c r="AJ247" s="143"/>
      <c r="AK247" s="143"/>
      <c r="AL247" s="143"/>
      <c r="AM247" s="143"/>
      <c r="AN247" s="143"/>
      <c r="AO247" s="143"/>
      <c r="AP247" s="143"/>
      <c r="AQ247" s="143"/>
      <c r="AR247" s="142">
        <f>SUM(AS247:AV247)</f>
      </c>
      <c r="AS247" s="143"/>
      <c r="AT247" s="143"/>
      <c r="AU247" s="143"/>
      <c r="AV247" s="143"/>
      <c r="AW247" s="142">
        <f>SUM(AX247:BI247)</f>
      </c>
      <c r="AX247" s="143"/>
      <c r="AY247" s="143"/>
      <c r="AZ247" s="143"/>
      <c r="BA247" s="143"/>
      <c r="BB247" s="143"/>
      <c r="BC247" s="143"/>
      <c r="BD247" s="143"/>
      <c r="BE247" s="143"/>
      <c r="BF247" s="143"/>
      <c r="BG247" s="143"/>
      <c r="BH247" s="143"/>
      <c r="BI247" s="143"/>
      <c r="BJ247" s="142"/>
      <c r="BK247" s="143"/>
      <c r="BL247" s="143"/>
      <c r="BM247" s="143"/>
      <c r="BN247" s="143"/>
      <c r="BO247" s="143"/>
      <c r="BP247" s="143"/>
      <c r="BQ247" s="142"/>
      <c r="BR247" s="143"/>
      <c r="BS247" s="143"/>
      <c r="BT247" s="142">
        <f>SUM(BU247:BW247)</f>
      </c>
      <c r="BU247" s="143"/>
      <c r="BV247" s="143"/>
      <c r="BW247" s="143"/>
      <c r="BX247" s="142">
        <f>SUM(BY247:CD247)</f>
      </c>
      <c r="BY247" s="143"/>
      <c r="BZ247" s="143"/>
      <c r="CA247" s="143"/>
      <c r="CB247" s="143"/>
      <c r="CC247" s="143"/>
      <c r="CD247" s="143"/>
      <c r="CE247" s="142"/>
      <c r="CF247" s="143"/>
      <c r="CG247" s="143"/>
      <c r="CH247" s="143"/>
      <c r="CI247" s="143"/>
      <c r="CJ247" s="143"/>
      <c r="CK247" s="142">
        <f>SUM(CL247:CN247)</f>
      </c>
      <c r="CL247" s="143"/>
      <c r="CM247" s="143"/>
      <c r="CN247" s="143"/>
      <c r="CO247" s="142">
        <f>SUM(CP247:CT247)</f>
      </c>
      <c r="CP247" s="143"/>
      <c r="CQ247" s="143"/>
      <c r="CR247" s="143"/>
      <c r="CS247" s="143"/>
      <c r="CT247" s="143"/>
      <c r="CU247" s="142"/>
      <c r="CV247" s="143"/>
      <c r="CW247" s="143"/>
      <c r="CX247" s="143"/>
      <c r="CY247" s="142"/>
      <c r="CZ247" s="143"/>
      <c r="DA247" s="143"/>
      <c r="DB247" s="143"/>
      <c r="DC247" s="143"/>
      <c r="DD247" s="143"/>
      <c r="DE247" s="143"/>
      <c r="DF247" s="143"/>
      <c r="DG247" s="142">
        <f>SUM(DH247:DH247)</f>
      </c>
      <c r="DH247" s="143"/>
      <c r="DI247" s="142"/>
      <c r="DJ247" s="143"/>
      <c r="DK247" s="142">
        <f>SUM(DL247:DQ247)</f>
      </c>
      <c r="DL247" s="143"/>
      <c r="DM247" s="143"/>
      <c r="DN247" s="143"/>
      <c r="DO247" s="143"/>
      <c r="DP247" s="143"/>
      <c r="DQ247" s="143"/>
      <c r="DR247" s="143"/>
      <c r="DS247" s="143"/>
      <c r="DT247" s="143"/>
      <c r="DU247" s="143"/>
      <c r="DV247" s="143"/>
      <c r="DW247" s="143"/>
      <c r="DX247" s="142"/>
      <c r="DY247" s="143"/>
      <c r="DZ247" s="142"/>
      <c r="EA247" s="143"/>
      <c r="EB247" s="143"/>
      <c r="EC247" s="142"/>
      <c r="ED247" s="143"/>
      <c r="EF247" s="143"/>
      <c r="EG247" s="142">
        <f>SUM(EH247:EQ247)</f>
      </c>
      <c r="EH247" s="143"/>
      <c r="EI247" s="143"/>
      <c r="EJ247" s="143"/>
      <c r="EK247" s="143"/>
      <c r="EL247" s="143"/>
      <c r="EM247" s="143"/>
      <c r="EN247" s="143"/>
      <c r="EO247" s="143"/>
      <c r="EP247" s="143"/>
      <c r="EQ247" s="143"/>
      <c r="ER247" s="142">
        <f>SUM(ES247:ET247)</f>
      </c>
      <c r="ES247" s="143"/>
      <c r="ET247" s="143"/>
      <c r="EU247" s="144"/>
      <c r="FB247" s="146"/>
      <c r="FC247" s="146" cm="1">
        <f t="array" ref="FC247">ROW()-ROW(New[#Headers])</f>
        <v>241</v>
      </c>
    </row>
    <row r="248" spans="2:159" s="139" customFormat="1" ht="10.5" x14ac:dyDescent="0.2">
      <c r="B248" s="133"/>
      <c r="C248" s="133"/>
      <c r="E248" s="133"/>
      <c r="H248" s="133"/>
      <c r="N248" s="140"/>
      <c r="O248" s="140"/>
      <c r="P248" s="141"/>
      <c r="Q248" s="142">
        <f>SUM(R248:AQ248)</f>
      </c>
      <c r="R248" s="143"/>
      <c r="S248" s="143"/>
      <c r="T248" s="143"/>
      <c r="U248" s="143"/>
      <c r="V248" s="143"/>
      <c r="W248" s="143"/>
      <c r="X248" s="143"/>
      <c r="Y248" s="143"/>
      <c r="Z248" s="143"/>
      <c r="AA248" s="143"/>
      <c r="AB248" s="143"/>
      <c r="AC248" s="143"/>
      <c r="AD248" s="143"/>
      <c r="AE248" s="143"/>
      <c r="AF248" s="143"/>
      <c r="AG248" s="143"/>
      <c r="AH248" s="143"/>
      <c r="AI248" s="143"/>
      <c r="AJ248" s="143"/>
      <c r="AK248" s="143"/>
      <c r="AL248" s="143"/>
      <c r="AM248" s="143"/>
      <c r="AN248" s="143"/>
      <c r="AO248" s="143"/>
      <c r="AP248" s="143"/>
      <c r="AQ248" s="143"/>
      <c r="AR248" s="142">
        <f>SUM(AS248:AV248)</f>
      </c>
      <c r="AS248" s="143"/>
      <c r="AT248" s="143"/>
      <c r="AU248" s="143"/>
      <c r="AV248" s="143"/>
      <c r="AW248" s="142">
        <f>SUM(AX248:BI248)</f>
      </c>
      <c r="AX248" s="143"/>
      <c r="AY248" s="143"/>
      <c r="AZ248" s="143"/>
      <c r="BA248" s="143"/>
      <c r="BB248" s="143"/>
      <c r="BC248" s="143"/>
      <c r="BD248" s="143"/>
      <c r="BE248" s="143"/>
      <c r="BF248" s="143"/>
      <c r="BG248" s="143"/>
      <c r="BH248" s="143"/>
      <c r="BI248" s="143"/>
      <c r="BJ248" s="142"/>
      <c r="BK248" s="143"/>
      <c r="BL248" s="143"/>
      <c r="BM248" s="143"/>
      <c r="BN248" s="143"/>
      <c r="BO248" s="143"/>
      <c r="BP248" s="143"/>
      <c r="BQ248" s="142"/>
      <c r="BR248" s="143"/>
      <c r="BS248" s="143"/>
      <c r="BT248" s="142">
        <f>SUM(BU248:BW248)</f>
      </c>
      <c r="BU248" s="143"/>
      <c r="BV248" s="143"/>
      <c r="BW248" s="143"/>
      <c r="BX248" s="142">
        <f>SUM(BY248:CD248)</f>
      </c>
      <c r="BY248" s="143"/>
      <c r="BZ248" s="143"/>
      <c r="CA248" s="143"/>
      <c r="CB248" s="143"/>
      <c r="CC248" s="143"/>
      <c r="CD248" s="143"/>
      <c r="CE248" s="142"/>
      <c r="CF248" s="143"/>
      <c r="CG248" s="143"/>
      <c r="CH248" s="143"/>
      <c r="CI248" s="143"/>
      <c r="CJ248" s="143"/>
      <c r="CK248" s="142">
        <f>SUM(CL248:CN248)</f>
      </c>
      <c r="CL248" s="143"/>
      <c r="CM248" s="143"/>
      <c r="CN248" s="143"/>
      <c r="CO248" s="142">
        <f>SUM(CP248:CT248)</f>
      </c>
      <c r="CP248" s="143"/>
      <c r="CQ248" s="143"/>
      <c r="CR248" s="143"/>
      <c r="CS248" s="143"/>
      <c r="CT248" s="143"/>
      <c r="CU248" s="142"/>
      <c r="CV248" s="143"/>
      <c r="CW248" s="143"/>
      <c r="CX248" s="143"/>
      <c r="CY248" s="142"/>
      <c r="CZ248" s="143"/>
      <c r="DA248" s="143"/>
      <c r="DB248" s="143"/>
      <c r="DC248" s="143"/>
      <c r="DD248" s="143"/>
      <c r="DE248" s="143"/>
      <c r="DF248" s="143"/>
      <c r="DG248" s="142">
        <f>SUM(DH248:DH248)</f>
      </c>
      <c r="DH248" s="143"/>
      <c r="DI248" s="142"/>
      <c r="DJ248" s="143"/>
      <c r="DK248" s="142">
        <f>SUM(DL248:DQ248)</f>
      </c>
      <c r="DL248" s="143"/>
      <c r="DM248" s="143"/>
      <c r="DN248" s="143"/>
      <c r="DO248" s="143"/>
      <c r="DP248" s="143"/>
      <c r="DQ248" s="143"/>
      <c r="DR248" s="143"/>
      <c r="DS248" s="143"/>
      <c r="DT248" s="143"/>
      <c r="DU248" s="143"/>
      <c r="DV248" s="143"/>
      <c r="DW248" s="143"/>
      <c r="DX248" s="142"/>
      <c r="DY248" s="143"/>
      <c r="DZ248" s="142"/>
      <c r="EA248" s="143"/>
      <c r="EB248" s="143"/>
      <c r="EC248" s="142"/>
      <c r="ED248" s="143"/>
      <c r="EF248" s="143"/>
      <c r="EG248" s="142">
        <f>SUM(EH248:EQ248)</f>
      </c>
      <c r="EH248" s="143"/>
      <c r="EI248" s="143"/>
      <c r="EJ248" s="143"/>
      <c r="EK248" s="143"/>
      <c r="EL248" s="143"/>
      <c r="EM248" s="143"/>
      <c r="EN248" s="143"/>
      <c r="EO248" s="143"/>
      <c r="EP248" s="143"/>
      <c r="EQ248" s="143"/>
      <c r="ER248" s="142">
        <f>SUM(ES248:ET248)</f>
      </c>
      <c r="ES248" s="143"/>
      <c r="ET248" s="143"/>
      <c r="EU248" s="144"/>
      <c r="FB248" s="146"/>
      <c r="FC248" s="146" cm="1">
        <f t="array" ref="FC248">ROW()-ROW(New[#Headers])</f>
        <v>242</v>
      </c>
    </row>
    <row r="249" spans="2:159" s="139" customFormat="1" ht="10.5" x14ac:dyDescent="0.2">
      <c r="B249" s="133"/>
      <c r="C249" s="133"/>
      <c r="E249" s="133"/>
      <c r="H249" s="133"/>
      <c r="N249" s="140"/>
      <c r="O249" s="140"/>
      <c r="P249" s="141"/>
      <c r="Q249" s="142">
        <f>SUM(R249:AQ249)</f>
      </c>
      <c r="R249" s="143"/>
      <c r="S249" s="143"/>
      <c r="T249" s="143"/>
      <c r="U249" s="143"/>
      <c r="V249" s="143"/>
      <c r="W249" s="143"/>
      <c r="X249" s="143"/>
      <c r="Y249" s="143"/>
      <c r="Z249" s="143"/>
      <c r="AA249" s="143"/>
      <c r="AB249" s="143"/>
      <c r="AC249" s="143"/>
      <c r="AD249" s="143"/>
      <c r="AE249" s="143"/>
      <c r="AF249" s="143"/>
      <c r="AG249" s="143"/>
      <c r="AH249" s="143"/>
      <c r="AI249" s="143"/>
      <c r="AJ249" s="143"/>
      <c r="AK249" s="143"/>
      <c r="AL249" s="143"/>
      <c r="AM249" s="143"/>
      <c r="AN249" s="143"/>
      <c r="AO249" s="143"/>
      <c r="AP249" s="143"/>
      <c r="AQ249" s="143"/>
      <c r="AR249" s="142">
        <f>SUM(AS249:AV249)</f>
      </c>
      <c r="AS249" s="143"/>
      <c r="AT249" s="143"/>
      <c r="AU249" s="143"/>
      <c r="AV249" s="143"/>
      <c r="AW249" s="142">
        <f>SUM(AX249:BI249)</f>
      </c>
      <c r="AX249" s="143"/>
      <c r="AY249" s="143"/>
      <c r="AZ249" s="143"/>
      <c r="BA249" s="143"/>
      <c r="BB249" s="143"/>
      <c r="BC249" s="143"/>
      <c r="BD249" s="143"/>
      <c r="BE249" s="143"/>
      <c r="BF249" s="143"/>
      <c r="BG249" s="143"/>
      <c r="BH249" s="143"/>
      <c r="BI249" s="143"/>
      <c r="BJ249" s="142"/>
      <c r="BK249" s="143"/>
      <c r="BL249" s="143"/>
      <c r="BM249" s="143"/>
      <c r="BN249" s="143"/>
      <c r="BO249" s="143"/>
      <c r="BP249" s="143"/>
      <c r="BQ249" s="142"/>
      <c r="BR249" s="143"/>
      <c r="BS249" s="143"/>
      <c r="BT249" s="142">
        <f>SUM(BU249:BW249)</f>
      </c>
      <c r="BU249" s="143"/>
      <c r="BV249" s="143"/>
      <c r="BW249" s="143"/>
      <c r="BX249" s="142">
        <f>SUM(BY249:CD249)</f>
      </c>
      <c r="BY249" s="143"/>
      <c r="BZ249" s="143"/>
      <c r="CA249" s="143"/>
      <c r="CB249" s="143"/>
      <c r="CC249" s="143"/>
      <c r="CD249" s="143"/>
      <c r="CE249" s="142"/>
      <c r="CF249" s="143"/>
      <c r="CG249" s="143"/>
      <c r="CH249" s="143"/>
      <c r="CI249" s="143"/>
      <c r="CJ249" s="143"/>
      <c r="CK249" s="142">
        <f>SUM(CL249:CN249)</f>
      </c>
      <c r="CL249" s="143"/>
      <c r="CM249" s="143"/>
      <c r="CN249" s="143"/>
      <c r="CO249" s="142">
        <f>SUM(CP249:CT249)</f>
      </c>
      <c r="CP249" s="143"/>
      <c r="CQ249" s="143"/>
      <c r="CR249" s="143"/>
      <c r="CS249" s="143"/>
      <c r="CT249" s="143"/>
      <c r="CU249" s="142"/>
      <c r="CV249" s="143"/>
      <c r="CW249" s="143"/>
      <c r="CX249" s="143"/>
      <c r="CY249" s="142"/>
      <c r="CZ249" s="143"/>
      <c r="DA249" s="143"/>
      <c r="DB249" s="143"/>
      <c r="DC249" s="143"/>
      <c r="DD249" s="143"/>
      <c r="DE249" s="143"/>
      <c r="DF249" s="143"/>
      <c r="DG249" s="142">
        <f>SUM(DH249:DH249)</f>
      </c>
      <c r="DH249" s="143"/>
      <c r="DI249" s="142"/>
      <c r="DJ249" s="143"/>
      <c r="DK249" s="142">
        <f>SUM(DL249:DQ249)</f>
      </c>
      <c r="DL249" s="143"/>
      <c r="DM249" s="143"/>
      <c r="DN249" s="143"/>
      <c r="DO249" s="143"/>
      <c r="DP249" s="143"/>
      <c r="DQ249" s="143"/>
      <c r="DR249" s="143"/>
      <c r="DS249" s="143"/>
      <c r="DT249" s="143"/>
      <c r="DU249" s="143"/>
      <c r="DV249" s="143"/>
      <c r="DW249" s="143"/>
      <c r="DX249" s="142"/>
      <c r="DY249" s="143"/>
      <c r="DZ249" s="142"/>
      <c r="EA249" s="143"/>
      <c r="EB249" s="143"/>
      <c r="EC249" s="142"/>
      <c r="ED249" s="143"/>
      <c r="EF249" s="143"/>
      <c r="EG249" s="142">
        <f>SUM(EH249:EQ249)</f>
      </c>
      <c r="EH249" s="143"/>
      <c r="EI249" s="143"/>
      <c r="EJ249" s="143"/>
      <c r="EK249" s="143"/>
      <c r="EL249" s="143"/>
      <c r="EM249" s="143"/>
      <c r="EN249" s="143"/>
      <c r="EO249" s="143"/>
      <c r="EP249" s="143"/>
      <c r="EQ249" s="143"/>
      <c r="ER249" s="142">
        <f>SUM(ES249:ET249)</f>
      </c>
      <c r="ES249" s="143"/>
      <c r="ET249" s="143"/>
      <c r="EU249" s="144"/>
      <c r="FB249" s="146"/>
      <c r="FC249" s="146" cm="1">
        <f t="array" ref="FC249">ROW()-ROW(New[#Headers])</f>
        <v>243</v>
      </c>
    </row>
    <row r="250" spans="2:159" s="139" customFormat="1" ht="10.5" x14ac:dyDescent="0.2">
      <c r="B250" s="133"/>
      <c r="C250" s="133"/>
      <c r="E250" s="133"/>
      <c r="H250" s="133"/>
      <c r="N250" s="140"/>
      <c r="O250" s="140"/>
      <c r="P250" s="141"/>
      <c r="Q250" s="142">
        <f>SUM(R250:AQ250)</f>
      </c>
      <c r="R250" s="143"/>
      <c r="S250" s="143"/>
      <c r="T250" s="143"/>
      <c r="U250" s="143"/>
      <c r="V250" s="143"/>
      <c r="W250" s="143"/>
      <c r="X250" s="143"/>
      <c r="Y250" s="143"/>
      <c r="Z250" s="143"/>
      <c r="AA250" s="143"/>
      <c r="AB250" s="143"/>
      <c r="AC250" s="143"/>
      <c r="AD250" s="143"/>
      <c r="AE250" s="143"/>
      <c r="AF250" s="143"/>
      <c r="AG250" s="143"/>
      <c r="AH250" s="143"/>
      <c r="AI250" s="143"/>
      <c r="AJ250" s="143"/>
      <c r="AK250" s="143"/>
      <c r="AL250" s="143"/>
      <c r="AM250" s="143"/>
      <c r="AN250" s="143"/>
      <c r="AO250" s="143"/>
      <c r="AP250" s="143"/>
      <c r="AQ250" s="143"/>
      <c r="AR250" s="142">
        <f>SUM(AS250:AV250)</f>
      </c>
      <c r="AS250" s="143"/>
      <c r="AT250" s="143"/>
      <c r="AU250" s="143"/>
      <c r="AV250" s="143"/>
      <c r="AW250" s="142">
        <f>SUM(AX250:BI250)</f>
      </c>
      <c r="AX250" s="143"/>
      <c r="AY250" s="143"/>
      <c r="AZ250" s="143"/>
      <c r="BA250" s="143"/>
      <c r="BB250" s="143"/>
      <c r="BC250" s="143"/>
      <c r="BD250" s="143"/>
      <c r="BE250" s="143"/>
      <c r="BF250" s="143"/>
      <c r="BG250" s="143"/>
      <c r="BH250" s="143"/>
      <c r="BI250" s="143"/>
      <c r="BJ250" s="142"/>
      <c r="BK250" s="143"/>
      <c r="BL250" s="143"/>
      <c r="BM250" s="143"/>
      <c r="BN250" s="143"/>
      <c r="BO250" s="143"/>
      <c r="BP250" s="143"/>
      <c r="BQ250" s="142"/>
      <c r="BR250" s="143"/>
      <c r="BS250" s="143"/>
      <c r="BT250" s="142">
        <f>SUM(BU250:BW250)</f>
      </c>
      <c r="BU250" s="143"/>
      <c r="BV250" s="143"/>
      <c r="BW250" s="143"/>
      <c r="BX250" s="142">
        <f>SUM(BY250:CD250)</f>
      </c>
      <c r="BY250" s="143"/>
      <c r="BZ250" s="143"/>
      <c r="CA250" s="143"/>
      <c r="CB250" s="143"/>
      <c r="CC250" s="143"/>
      <c r="CD250" s="143"/>
      <c r="CE250" s="142"/>
      <c r="CF250" s="143"/>
      <c r="CG250" s="143"/>
      <c r="CH250" s="143"/>
      <c r="CI250" s="143"/>
      <c r="CJ250" s="143"/>
      <c r="CK250" s="142">
        <f>SUM(CL250:CN250)</f>
      </c>
      <c r="CL250" s="143"/>
      <c r="CM250" s="143"/>
      <c r="CN250" s="143"/>
      <c r="CO250" s="142">
        <f>SUM(CP250:CT250)</f>
      </c>
      <c r="CP250" s="143"/>
      <c r="CQ250" s="143"/>
      <c r="CR250" s="143"/>
      <c r="CS250" s="143"/>
      <c r="CT250" s="143"/>
      <c r="CU250" s="142"/>
      <c r="CV250" s="143"/>
      <c r="CW250" s="143"/>
      <c r="CX250" s="143"/>
      <c r="CY250" s="142"/>
      <c r="CZ250" s="143"/>
      <c r="DA250" s="143"/>
      <c r="DB250" s="143"/>
      <c r="DC250" s="143"/>
      <c r="DD250" s="143"/>
      <c r="DE250" s="143"/>
      <c r="DF250" s="143"/>
      <c r="DG250" s="142">
        <f>SUM(DH250:DH250)</f>
      </c>
      <c r="DH250" s="143"/>
      <c r="DI250" s="142"/>
      <c r="DJ250" s="143"/>
      <c r="DK250" s="142">
        <f>SUM(DL250:DQ250)</f>
      </c>
      <c r="DL250" s="143"/>
      <c r="DM250" s="143"/>
      <c r="DN250" s="143"/>
      <c r="DO250" s="143"/>
      <c r="DP250" s="143"/>
      <c r="DQ250" s="143"/>
      <c r="DR250" s="143"/>
      <c r="DS250" s="143"/>
      <c r="DT250" s="143"/>
      <c r="DU250" s="143"/>
      <c r="DV250" s="143"/>
      <c r="DW250" s="143"/>
      <c r="DX250" s="142"/>
      <c r="DY250" s="143"/>
      <c r="DZ250" s="142"/>
      <c r="EA250" s="143"/>
      <c r="EB250" s="143"/>
      <c r="EC250" s="142"/>
      <c r="ED250" s="143"/>
      <c r="EF250" s="143"/>
      <c r="EG250" s="142">
        <f>SUM(EH250:EQ250)</f>
      </c>
      <c r="EH250" s="143"/>
      <c r="EI250" s="143"/>
      <c r="EJ250" s="143"/>
      <c r="EK250" s="143"/>
      <c r="EL250" s="143"/>
      <c r="EM250" s="143"/>
      <c r="EN250" s="143"/>
      <c r="EO250" s="143"/>
      <c r="EP250" s="143"/>
      <c r="EQ250" s="143"/>
      <c r="ER250" s="142">
        <f>SUM(ES250:ET250)</f>
      </c>
      <c r="ES250" s="143"/>
      <c r="ET250" s="143"/>
      <c r="EU250" s="144"/>
      <c r="FB250" s="146"/>
      <c r="FC250" s="146" cm="1">
        <f t="array" ref="FC250">ROW()-ROW(New[#Headers])</f>
        <v>244</v>
      </c>
    </row>
    <row r="251" spans="2:159" s="139" customFormat="1" ht="10.5" x14ac:dyDescent="0.2">
      <c r="B251" s="133"/>
      <c r="C251" s="133"/>
      <c r="E251" s="133"/>
      <c r="H251" s="133"/>
      <c r="N251" s="140"/>
      <c r="O251" s="140"/>
      <c r="P251" s="141"/>
      <c r="Q251" s="142">
        <f>SUM(R251:AQ251)</f>
      </c>
      <c r="R251" s="143"/>
      <c r="S251" s="143"/>
      <c r="T251" s="143"/>
      <c r="U251" s="143"/>
      <c r="V251" s="143"/>
      <c r="W251" s="143"/>
      <c r="X251" s="143"/>
      <c r="Y251" s="143"/>
      <c r="Z251" s="143"/>
      <c r="AA251" s="143"/>
      <c r="AB251" s="143"/>
      <c r="AC251" s="143"/>
      <c r="AD251" s="143"/>
      <c r="AE251" s="143"/>
      <c r="AF251" s="143"/>
      <c r="AG251" s="143"/>
      <c r="AH251" s="143"/>
      <c r="AI251" s="143"/>
      <c r="AJ251" s="143"/>
      <c r="AK251" s="143"/>
      <c r="AL251" s="143"/>
      <c r="AM251" s="143"/>
      <c r="AN251" s="143"/>
      <c r="AO251" s="143"/>
      <c r="AP251" s="143"/>
      <c r="AQ251" s="143"/>
      <c r="AR251" s="142">
        <f>SUM(AS251:AV251)</f>
      </c>
      <c r="AS251" s="143"/>
      <c r="AT251" s="143"/>
      <c r="AU251" s="143"/>
      <c r="AV251" s="143"/>
      <c r="AW251" s="142">
        <f>SUM(AX251:BI251)</f>
      </c>
      <c r="AX251" s="143"/>
      <c r="AY251" s="143"/>
      <c r="AZ251" s="143"/>
      <c r="BA251" s="143"/>
      <c r="BB251" s="143"/>
      <c r="BC251" s="143"/>
      <c r="BD251" s="143"/>
      <c r="BE251" s="143"/>
      <c r="BF251" s="143"/>
      <c r="BG251" s="143"/>
      <c r="BH251" s="143"/>
      <c r="BI251" s="143"/>
      <c r="BJ251" s="142"/>
      <c r="BK251" s="143"/>
      <c r="BL251" s="143"/>
      <c r="BM251" s="143"/>
      <c r="BN251" s="143"/>
      <c r="BO251" s="143"/>
      <c r="BP251" s="143"/>
      <c r="BQ251" s="142"/>
      <c r="BR251" s="143"/>
      <c r="BS251" s="143"/>
      <c r="BT251" s="142">
        <f>SUM(BU251:BW251)</f>
      </c>
      <c r="BU251" s="143"/>
      <c r="BV251" s="143"/>
      <c r="BW251" s="143"/>
      <c r="BX251" s="142">
        <f>SUM(BY251:CD251)</f>
      </c>
      <c r="BY251" s="143"/>
      <c r="BZ251" s="143"/>
      <c r="CA251" s="143"/>
      <c r="CB251" s="143"/>
      <c r="CC251" s="143"/>
      <c r="CD251" s="143"/>
      <c r="CE251" s="142"/>
      <c r="CF251" s="143"/>
      <c r="CG251" s="143"/>
      <c r="CH251" s="143"/>
      <c r="CI251" s="143"/>
      <c r="CJ251" s="143"/>
      <c r="CK251" s="142">
        <f>SUM(CL251:CN251)</f>
      </c>
      <c r="CL251" s="143"/>
      <c r="CM251" s="143"/>
      <c r="CN251" s="143"/>
      <c r="CO251" s="142">
        <f>SUM(CP251:CT251)</f>
      </c>
      <c r="CP251" s="143"/>
      <c r="CQ251" s="143"/>
      <c r="CR251" s="143"/>
      <c r="CS251" s="143"/>
      <c r="CT251" s="143"/>
      <c r="CU251" s="142"/>
      <c r="CV251" s="143"/>
      <c r="CW251" s="143"/>
      <c r="CX251" s="143"/>
      <c r="CY251" s="142"/>
      <c r="CZ251" s="143"/>
      <c r="DA251" s="143"/>
      <c r="DB251" s="143"/>
      <c r="DC251" s="143"/>
      <c r="DD251" s="143"/>
      <c r="DE251" s="143"/>
      <c r="DF251" s="143"/>
      <c r="DG251" s="142">
        <f>SUM(DH251:DH251)</f>
      </c>
      <c r="DH251" s="143"/>
      <c r="DI251" s="142"/>
      <c r="DJ251" s="143"/>
      <c r="DK251" s="142">
        <f>SUM(DL251:DQ251)</f>
      </c>
      <c r="DL251" s="143"/>
      <c r="DM251" s="143"/>
      <c r="DN251" s="143"/>
      <c r="DO251" s="143"/>
      <c r="DP251" s="143"/>
      <c r="DQ251" s="143"/>
      <c r="DR251" s="143"/>
      <c r="DS251" s="143"/>
      <c r="DT251" s="143"/>
      <c r="DU251" s="143"/>
      <c r="DV251" s="143"/>
      <c r="DW251" s="143"/>
      <c r="DX251" s="142"/>
      <c r="DY251" s="143"/>
      <c r="DZ251" s="142"/>
      <c r="EA251" s="143"/>
      <c r="EB251" s="143"/>
      <c r="EC251" s="142"/>
      <c r="ED251" s="143"/>
      <c r="EF251" s="143"/>
      <c r="EG251" s="142">
        <f>SUM(EH251:EQ251)</f>
      </c>
      <c r="EH251" s="143"/>
      <c r="EI251" s="143"/>
      <c r="EJ251" s="143"/>
      <c r="EK251" s="143"/>
      <c r="EL251" s="143"/>
      <c r="EM251" s="143"/>
      <c r="EN251" s="143"/>
      <c r="EO251" s="143"/>
      <c r="EP251" s="143"/>
      <c r="EQ251" s="143"/>
      <c r="ER251" s="142">
        <f>SUM(ES251:ET251)</f>
      </c>
      <c r="ES251" s="143"/>
      <c r="ET251" s="143"/>
      <c r="EU251" s="144"/>
      <c r="FB251" s="146"/>
      <c r="FC251" s="146" cm="1">
        <f t="array" ref="FC251">ROW()-ROW(New[#Headers])</f>
        <v>245</v>
      </c>
    </row>
    <row r="252" spans="2:159" s="139" customFormat="1" ht="10.5" x14ac:dyDescent="0.2">
      <c r="B252" s="133"/>
      <c r="C252" s="133"/>
      <c r="E252" s="133"/>
      <c r="H252" s="133"/>
      <c r="N252" s="140"/>
      <c r="O252" s="140"/>
      <c r="P252" s="141"/>
      <c r="Q252" s="142">
        <f>SUM(R252:AQ252)</f>
      </c>
      <c r="R252" s="143"/>
      <c r="S252" s="143"/>
      <c r="T252" s="143"/>
      <c r="U252" s="143"/>
      <c r="V252" s="143"/>
      <c r="W252" s="143"/>
      <c r="X252" s="143"/>
      <c r="Y252" s="143"/>
      <c r="Z252" s="143"/>
      <c r="AA252" s="143"/>
      <c r="AB252" s="143"/>
      <c r="AC252" s="143"/>
      <c r="AD252" s="143"/>
      <c r="AE252" s="143"/>
      <c r="AF252" s="143"/>
      <c r="AG252" s="143"/>
      <c r="AH252" s="143"/>
      <c r="AI252" s="143"/>
      <c r="AJ252" s="143"/>
      <c r="AK252" s="143"/>
      <c r="AL252" s="143"/>
      <c r="AM252" s="143"/>
      <c r="AN252" s="143"/>
      <c r="AO252" s="143"/>
      <c r="AP252" s="143"/>
      <c r="AQ252" s="143"/>
      <c r="AR252" s="142">
        <f>SUM(AS252:AV252)</f>
      </c>
      <c r="AS252" s="143"/>
      <c r="AT252" s="143"/>
      <c r="AU252" s="143"/>
      <c r="AV252" s="143"/>
      <c r="AW252" s="142">
        <f>SUM(AX252:BI252)</f>
      </c>
      <c r="AX252" s="143"/>
      <c r="AY252" s="143"/>
      <c r="AZ252" s="143"/>
      <c r="BA252" s="143"/>
      <c r="BB252" s="143"/>
      <c r="BC252" s="143"/>
      <c r="BD252" s="143"/>
      <c r="BE252" s="143"/>
      <c r="BF252" s="143"/>
      <c r="BG252" s="143"/>
      <c r="BH252" s="143"/>
      <c r="BI252" s="143"/>
      <c r="BJ252" s="142"/>
      <c r="BK252" s="143"/>
      <c r="BL252" s="143"/>
      <c r="BM252" s="143"/>
      <c r="BN252" s="143"/>
      <c r="BO252" s="143"/>
      <c r="BP252" s="143"/>
      <c r="BQ252" s="142"/>
      <c r="BR252" s="143"/>
      <c r="BS252" s="143"/>
      <c r="BT252" s="142">
        <f>SUM(BU252:BW252)</f>
      </c>
      <c r="BU252" s="143"/>
      <c r="BV252" s="143"/>
      <c r="BW252" s="143"/>
      <c r="BX252" s="142">
        <f>SUM(BY252:CD252)</f>
      </c>
      <c r="BY252" s="143"/>
      <c r="BZ252" s="143"/>
      <c r="CA252" s="143"/>
      <c r="CB252" s="143"/>
      <c r="CC252" s="143"/>
      <c r="CD252" s="143"/>
      <c r="CE252" s="142"/>
      <c r="CF252" s="143"/>
      <c r="CG252" s="143"/>
      <c r="CH252" s="143"/>
      <c r="CI252" s="143"/>
      <c r="CJ252" s="143"/>
      <c r="CK252" s="142">
        <f>SUM(CL252:CN252)</f>
      </c>
      <c r="CL252" s="143"/>
      <c r="CM252" s="143"/>
      <c r="CN252" s="143"/>
      <c r="CO252" s="142">
        <f>SUM(CP252:CT252)</f>
      </c>
      <c r="CP252" s="143"/>
      <c r="CQ252" s="143"/>
      <c r="CR252" s="143"/>
      <c r="CS252" s="143"/>
      <c r="CT252" s="143"/>
      <c r="CU252" s="142"/>
      <c r="CV252" s="143"/>
      <c r="CW252" s="143"/>
      <c r="CX252" s="143"/>
      <c r="CY252" s="142"/>
      <c r="CZ252" s="143"/>
      <c r="DA252" s="143"/>
      <c r="DB252" s="143"/>
      <c r="DC252" s="143"/>
      <c r="DD252" s="143"/>
      <c r="DE252" s="143"/>
      <c r="DF252" s="143"/>
      <c r="DG252" s="142">
        <f>SUM(DH252:DH252)</f>
      </c>
      <c r="DH252" s="143"/>
      <c r="DI252" s="142"/>
      <c r="DJ252" s="143"/>
      <c r="DK252" s="142">
        <f>SUM(DL252:DQ252)</f>
      </c>
      <c r="DL252" s="143"/>
      <c r="DM252" s="143"/>
      <c r="DN252" s="143"/>
      <c r="DO252" s="143"/>
      <c r="DP252" s="143"/>
      <c r="DQ252" s="143"/>
      <c r="DR252" s="143"/>
      <c r="DS252" s="143"/>
      <c r="DT252" s="143"/>
      <c r="DU252" s="143"/>
      <c r="DV252" s="143"/>
      <c r="DW252" s="143"/>
      <c r="DX252" s="142"/>
      <c r="DY252" s="143"/>
      <c r="DZ252" s="142"/>
      <c r="EA252" s="143"/>
      <c r="EB252" s="143"/>
      <c r="EC252" s="142"/>
      <c r="ED252" s="143"/>
      <c r="EF252" s="143"/>
      <c r="EG252" s="142">
        <f>SUM(EH252:EQ252)</f>
      </c>
      <c r="EH252" s="143"/>
      <c r="EI252" s="143"/>
      <c r="EJ252" s="143"/>
      <c r="EK252" s="143"/>
      <c r="EL252" s="143"/>
      <c r="EM252" s="143"/>
      <c r="EN252" s="143"/>
      <c r="EO252" s="143"/>
      <c r="EP252" s="143"/>
      <c r="EQ252" s="143"/>
      <c r="ER252" s="142">
        <f>SUM(ES252:ET252)</f>
      </c>
      <c r="ES252" s="143"/>
      <c r="ET252" s="143"/>
      <c r="EU252" s="144"/>
      <c r="FB252" s="146"/>
      <c r="FC252" s="146" cm="1">
        <f t="array" ref="FC252">ROW()-ROW(New[#Headers])</f>
        <v>246</v>
      </c>
    </row>
    <row r="253" spans="2:159" s="139" customFormat="1" ht="10.5" x14ac:dyDescent="0.2">
      <c r="B253" s="133"/>
      <c r="C253" s="133"/>
      <c r="E253" s="133"/>
      <c r="H253" s="133"/>
      <c r="N253" s="140"/>
      <c r="O253" s="140"/>
      <c r="P253" s="141"/>
      <c r="Q253" s="142">
        <f>SUM(R253:AQ253)</f>
      </c>
      <c r="R253" s="143"/>
      <c r="S253" s="143"/>
      <c r="T253" s="143"/>
      <c r="U253" s="143"/>
      <c r="V253" s="143"/>
      <c r="W253" s="143"/>
      <c r="X253" s="143"/>
      <c r="Y253" s="143"/>
      <c r="Z253" s="143"/>
      <c r="AA253" s="143"/>
      <c r="AB253" s="143"/>
      <c r="AC253" s="143"/>
      <c r="AD253" s="143"/>
      <c r="AE253" s="143"/>
      <c r="AF253" s="143"/>
      <c r="AG253" s="143"/>
      <c r="AH253" s="143"/>
      <c r="AI253" s="143"/>
      <c r="AJ253" s="143"/>
      <c r="AK253" s="143"/>
      <c r="AL253" s="143"/>
      <c r="AM253" s="143"/>
      <c r="AN253" s="143"/>
      <c r="AO253" s="143"/>
      <c r="AP253" s="143"/>
      <c r="AQ253" s="143"/>
      <c r="AR253" s="142">
        <f>SUM(AS253:AV253)</f>
      </c>
      <c r="AS253" s="143"/>
      <c r="AT253" s="143"/>
      <c r="AU253" s="143"/>
      <c r="AV253" s="143"/>
      <c r="AW253" s="142">
        <f>SUM(AX253:BI253)</f>
      </c>
      <c r="AX253" s="143"/>
      <c r="AY253" s="143"/>
      <c r="AZ253" s="143"/>
      <c r="BA253" s="143"/>
      <c r="BB253" s="143"/>
      <c r="BC253" s="143"/>
      <c r="BD253" s="143"/>
      <c r="BE253" s="143"/>
      <c r="BF253" s="143"/>
      <c r="BG253" s="143"/>
      <c r="BH253" s="143"/>
      <c r="BI253" s="143"/>
      <c r="BJ253" s="142"/>
      <c r="BK253" s="143"/>
      <c r="BL253" s="143"/>
      <c r="BM253" s="143"/>
      <c r="BN253" s="143"/>
      <c r="BO253" s="143"/>
      <c r="BP253" s="143"/>
      <c r="BQ253" s="142"/>
      <c r="BR253" s="143"/>
      <c r="BS253" s="143"/>
      <c r="BT253" s="142">
        <f>SUM(BU253:BW253)</f>
      </c>
      <c r="BU253" s="143"/>
      <c r="BV253" s="143"/>
      <c r="BW253" s="143"/>
      <c r="BX253" s="142">
        <f>SUM(BY253:CD253)</f>
      </c>
      <c r="BY253" s="143"/>
      <c r="BZ253" s="143"/>
      <c r="CA253" s="143"/>
      <c r="CB253" s="143"/>
      <c r="CC253" s="143"/>
      <c r="CD253" s="143"/>
      <c r="CE253" s="142"/>
      <c r="CF253" s="143"/>
      <c r="CG253" s="143"/>
      <c r="CH253" s="143"/>
      <c r="CI253" s="143"/>
      <c r="CJ253" s="143"/>
      <c r="CK253" s="142">
        <f>SUM(CL253:CN253)</f>
      </c>
      <c r="CL253" s="143"/>
      <c r="CM253" s="143"/>
      <c r="CN253" s="143"/>
      <c r="CO253" s="142">
        <f>SUM(CP253:CT253)</f>
      </c>
      <c r="CP253" s="143"/>
      <c r="CQ253" s="143"/>
      <c r="CR253" s="143"/>
      <c r="CS253" s="143"/>
      <c r="CT253" s="143"/>
      <c r="CU253" s="142"/>
      <c r="CV253" s="143"/>
      <c r="CW253" s="143"/>
      <c r="CX253" s="143"/>
      <c r="CY253" s="142"/>
      <c r="CZ253" s="143"/>
      <c r="DA253" s="143"/>
      <c r="DB253" s="143"/>
      <c r="DC253" s="143"/>
      <c r="DD253" s="143"/>
      <c r="DE253" s="143"/>
      <c r="DF253" s="143"/>
      <c r="DG253" s="142">
        <f>SUM(DH253:DH253)</f>
      </c>
      <c r="DH253" s="143"/>
      <c r="DI253" s="142"/>
      <c r="DJ253" s="143"/>
      <c r="DK253" s="142">
        <f>SUM(DL253:DQ253)</f>
      </c>
      <c r="DL253" s="143"/>
      <c r="DM253" s="143"/>
      <c r="DN253" s="143"/>
      <c r="DO253" s="143"/>
      <c r="DP253" s="143"/>
      <c r="DQ253" s="143"/>
      <c r="DR253" s="143"/>
      <c r="DS253" s="143"/>
      <c r="DT253" s="143"/>
      <c r="DU253" s="143"/>
      <c r="DV253" s="143"/>
      <c r="DW253" s="143"/>
      <c r="DX253" s="142"/>
      <c r="DY253" s="143"/>
      <c r="DZ253" s="142"/>
      <c r="EA253" s="143"/>
      <c r="EB253" s="143"/>
      <c r="EC253" s="142"/>
      <c r="ED253" s="143"/>
      <c r="EF253" s="143"/>
      <c r="EG253" s="142">
        <f>SUM(EH253:EQ253)</f>
      </c>
      <c r="EH253" s="143"/>
      <c r="EI253" s="143"/>
      <c r="EJ253" s="143"/>
      <c r="EK253" s="143"/>
      <c r="EL253" s="143"/>
      <c r="EM253" s="143"/>
      <c r="EN253" s="143"/>
      <c r="EO253" s="143"/>
      <c r="EP253" s="143"/>
      <c r="EQ253" s="143"/>
      <c r="ER253" s="142">
        <f>SUM(ES253:ET253)</f>
      </c>
      <c r="ES253" s="143"/>
      <c r="ET253" s="143"/>
      <c r="EU253" s="144"/>
      <c r="FB253" s="146"/>
      <c r="FC253" s="146" cm="1">
        <f t="array" ref="FC253">ROW()-ROW(New[#Headers])</f>
        <v>247</v>
      </c>
    </row>
    <row r="254" spans="2:159" s="139" customFormat="1" ht="10.5" x14ac:dyDescent="0.2">
      <c r="B254" s="133"/>
      <c r="C254" s="133"/>
      <c r="E254" s="133"/>
      <c r="H254" s="133"/>
      <c r="N254" s="140"/>
      <c r="O254" s="140"/>
      <c r="P254" s="141"/>
      <c r="Q254" s="142">
        <f>SUM(R254:AQ254)</f>
      </c>
      <c r="R254" s="143"/>
      <c r="S254" s="143"/>
      <c r="T254" s="143"/>
      <c r="U254" s="143"/>
      <c r="V254" s="143"/>
      <c r="W254" s="143"/>
      <c r="X254" s="143"/>
      <c r="Y254" s="143"/>
      <c r="Z254" s="143"/>
      <c r="AA254" s="143"/>
      <c r="AB254" s="143"/>
      <c r="AC254" s="143"/>
      <c r="AD254" s="143"/>
      <c r="AE254" s="143"/>
      <c r="AF254" s="143"/>
      <c r="AG254" s="143"/>
      <c r="AH254" s="143"/>
      <c r="AI254" s="143"/>
      <c r="AJ254" s="143"/>
      <c r="AK254" s="143"/>
      <c r="AL254" s="143"/>
      <c r="AM254" s="143"/>
      <c r="AN254" s="143"/>
      <c r="AO254" s="143"/>
      <c r="AP254" s="143"/>
      <c r="AQ254" s="143"/>
      <c r="AR254" s="142">
        <f>SUM(AS254:AV254)</f>
      </c>
      <c r="AS254" s="143"/>
      <c r="AT254" s="143"/>
      <c r="AU254" s="143"/>
      <c r="AV254" s="143"/>
      <c r="AW254" s="142">
        <f>SUM(AX254:BI254)</f>
      </c>
      <c r="AX254" s="143"/>
      <c r="AY254" s="143"/>
      <c r="AZ254" s="143"/>
      <c r="BA254" s="143"/>
      <c r="BB254" s="143"/>
      <c r="BC254" s="143"/>
      <c r="BD254" s="143"/>
      <c r="BE254" s="143"/>
      <c r="BF254" s="143"/>
      <c r="BG254" s="143"/>
      <c r="BH254" s="143"/>
      <c r="BI254" s="143"/>
      <c r="BJ254" s="142"/>
      <c r="BK254" s="143"/>
      <c r="BL254" s="143"/>
      <c r="BM254" s="143"/>
      <c r="BN254" s="143"/>
      <c r="BO254" s="143"/>
      <c r="BP254" s="143"/>
      <c r="BQ254" s="142"/>
      <c r="BR254" s="143"/>
      <c r="BS254" s="143"/>
      <c r="BT254" s="142">
        <f>SUM(BU254:BW254)</f>
      </c>
      <c r="BU254" s="143"/>
      <c r="BV254" s="143"/>
      <c r="BW254" s="143"/>
      <c r="BX254" s="142">
        <f>SUM(BY254:CD254)</f>
      </c>
      <c r="BY254" s="143"/>
      <c r="BZ254" s="143"/>
      <c r="CA254" s="143"/>
      <c r="CB254" s="143"/>
      <c r="CC254" s="143"/>
      <c r="CD254" s="143"/>
      <c r="CE254" s="142"/>
      <c r="CF254" s="143"/>
      <c r="CG254" s="143"/>
      <c r="CH254" s="143"/>
      <c r="CI254" s="143"/>
      <c r="CJ254" s="143"/>
      <c r="CK254" s="142">
        <f>SUM(CL254:CN254)</f>
      </c>
      <c r="CL254" s="143"/>
      <c r="CM254" s="143"/>
      <c r="CN254" s="143"/>
      <c r="CO254" s="142">
        <f>SUM(CP254:CT254)</f>
      </c>
      <c r="CP254" s="143"/>
      <c r="CQ254" s="143"/>
      <c r="CR254" s="143"/>
      <c r="CS254" s="143"/>
      <c r="CT254" s="143"/>
      <c r="CU254" s="142"/>
      <c r="CV254" s="143"/>
      <c r="CW254" s="143"/>
      <c r="CX254" s="143"/>
      <c r="CY254" s="142"/>
      <c r="CZ254" s="143"/>
      <c r="DA254" s="143"/>
      <c r="DB254" s="143"/>
      <c r="DC254" s="143"/>
      <c r="DD254" s="143"/>
      <c r="DE254" s="143"/>
      <c r="DF254" s="143"/>
      <c r="DG254" s="142">
        <f>SUM(DH254:DH254)</f>
      </c>
      <c r="DH254" s="143"/>
      <c r="DI254" s="142"/>
      <c r="DJ254" s="143"/>
      <c r="DK254" s="142">
        <f>SUM(DL254:DQ254)</f>
      </c>
      <c r="DL254" s="143"/>
      <c r="DM254" s="143"/>
      <c r="DN254" s="143"/>
      <c r="DO254" s="143"/>
      <c r="DP254" s="143"/>
      <c r="DQ254" s="143"/>
      <c r="DR254" s="143"/>
      <c r="DS254" s="143"/>
      <c r="DT254" s="143"/>
      <c r="DU254" s="143"/>
      <c r="DV254" s="143"/>
      <c r="DW254" s="143"/>
      <c r="DX254" s="142"/>
      <c r="DY254" s="143"/>
      <c r="DZ254" s="142"/>
      <c r="EA254" s="143"/>
      <c r="EB254" s="143"/>
      <c r="EC254" s="142"/>
      <c r="ED254" s="143"/>
      <c r="EF254" s="143"/>
      <c r="EG254" s="142">
        <f>SUM(EH254:EQ254)</f>
      </c>
      <c r="EH254" s="143"/>
      <c r="EI254" s="143"/>
      <c r="EJ254" s="143"/>
      <c r="EK254" s="143"/>
      <c r="EL254" s="143"/>
      <c r="EM254" s="143"/>
      <c r="EN254" s="143"/>
      <c r="EO254" s="143"/>
      <c r="EP254" s="143"/>
      <c r="EQ254" s="143"/>
      <c r="ER254" s="142">
        <f>SUM(ES254:ET254)</f>
      </c>
      <c r="ES254" s="143"/>
      <c r="ET254" s="143"/>
      <c r="EU254" s="144"/>
      <c r="FB254" s="146"/>
      <c r="FC254" s="146" cm="1">
        <f t="array" ref="FC254">ROW()-ROW(New[#Headers])</f>
        <v>248</v>
      </c>
    </row>
    <row r="255" spans="2:159" s="139" customFormat="1" ht="10.5" x14ac:dyDescent="0.2">
      <c r="B255" s="133"/>
      <c r="C255" s="133"/>
      <c r="E255" s="133"/>
      <c r="H255" s="133"/>
      <c r="N255" s="140"/>
      <c r="O255" s="140"/>
      <c r="P255" s="141"/>
      <c r="Q255" s="142">
        <f>SUM(R255:AQ255)</f>
      </c>
      <c r="R255" s="143"/>
      <c r="S255" s="143"/>
      <c r="T255" s="143"/>
      <c r="U255" s="143"/>
      <c r="V255" s="143"/>
      <c r="W255" s="143"/>
      <c r="X255" s="143"/>
      <c r="Y255" s="143"/>
      <c r="Z255" s="143"/>
      <c r="AA255" s="143"/>
      <c r="AB255" s="143"/>
      <c r="AC255" s="143"/>
      <c r="AD255" s="143"/>
      <c r="AE255" s="143"/>
      <c r="AF255" s="143"/>
      <c r="AG255" s="143"/>
      <c r="AH255" s="143"/>
      <c r="AI255" s="143"/>
      <c r="AJ255" s="143"/>
      <c r="AK255" s="143"/>
      <c r="AL255" s="143"/>
      <c r="AM255" s="143"/>
      <c r="AN255" s="143"/>
      <c r="AO255" s="143"/>
      <c r="AP255" s="143"/>
      <c r="AQ255" s="143"/>
      <c r="AR255" s="142">
        <f>SUM(AS255:AV255)</f>
      </c>
      <c r="AS255" s="143"/>
      <c r="AT255" s="143"/>
      <c r="AU255" s="143"/>
      <c r="AV255" s="143"/>
      <c r="AW255" s="142">
        <f>SUM(AX255:BI255)</f>
      </c>
      <c r="AX255" s="143"/>
      <c r="AY255" s="143"/>
      <c r="AZ255" s="143"/>
      <c r="BA255" s="143"/>
      <c r="BB255" s="143"/>
      <c r="BC255" s="143"/>
      <c r="BD255" s="143"/>
      <c r="BE255" s="143"/>
      <c r="BF255" s="143"/>
      <c r="BG255" s="143"/>
      <c r="BH255" s="143"/>
      <c r="BI255" s="143"/>
      <c r="BJ255" s="142"/>
      <c r="BK255" s="143"/>
      <c r="BL255" s="143"/>
      <c r="BM255" s="143"/>
      <c r="BN255" s="143"/>
      <c r="BO255" s="143"/>
      <c r="BP255" s="143"/>
      <c r="BQ255" s="142"/>
      <c r="BR255" s="143"/>
      <c r="BS255" s="143"/>
      <c r="BT255" s="142">
        <f>SUM(BU255:BW255)</f>
      </c>
      <c r="BU255" s="143"/>
      <c r="BV255" s="143"/>
      <c r="BW255" s="143"/>
      <c r="BX255" s="142">
        <f>SUM(BY255:CD255)</f>
      </c>
      <c r="BY255" s="143"/>
      <c r="BZ255" s="143"/>
      <c r="CA255" s="143"/>
      <c r="CB255" s="143"/>
      <c r="CC255" s="143"/>
      <c r="CD255" s="143"/>
      <c r="CE255" s="142"/>
      <c r="CF255" s="143"/>
      <c r="CG255" s="143"/>
      <c r="CH255" s="143"/>
      <c r="CI255" s="143"/>
      <c r="CJ255" s="143"/>
      <c r="CK255" s="142">
        <f>SUM(CL255:CN255)</f>
      </c>
      <c r="CL255" s="143"/>
      <c r="CM255" s="143"/>
      <c r="CN255" s="143"/>
      <c r="CO255" s="142">
        <f>SUM(CP255:CT255)</f>
      </c>
      <c r="CP255" s="143"/>
      <c r="CQ255" s="143"/>
      <c r="CR255" s="143"/>
      <c r="CS255" s="143"/>
      <c r="CT255" s="143"/>
      <c r="CU255" s="142"/>
      <c r="CV255" s="143"/>
      <c r="CW255" s="143"/>
      <c r="CX255" s="143"/>
      <c r="CY255" s="142"/>
      <c r="CZ255" s="143"/>
      <c r="DA255" s="143"/>
      <c r="DB255" s="143"/>
      <c r="DC255" s="143"/>
      <c r="DD255" s="143"/>
      <c r="DE255" s="143"/>
      <c r="DF255" s="143"/>
      <c r="DG255" s="142">
        <f>SUM(DH255:DH255)</f>
      </c>
      <c r="DH255" s="143"/>
      <c r="DI255" s="142"/>
      <c r="DJ255" s="143"/>
      <c r="DK255" s="142">
        <f>SUM(DL255:DQ255)</f>
      </c>
      <c r="DL255" s="143"/>
      <c r="DM255" s="143"/>
      <c r="DN255" s="143"/>
      <c r="DO255" s="143"/>
      <c r="DP255" s="143"/>
      <c r="DQ255" s="143"/>
      <c r="DR255" s="143"/>
      <c r="DS255" s="143"/>
      <c r="DT255" s="143"/>
      <c r="DU255" s="143"/>
      <c r="DV255" s="143"/>
      <c r="DW255" s="143"/>
      <c r="DX255" s="142"/>
      <c r="DY255" s="143"/>
      <c r="DZ255" s="142"/>
      <c r="EA255" s="143"/>
      <c r="EB255" s="143"/>
      <c r="EC255" s="142"/>
      <c r="ED255" s="143"/>
      <c r="EF255" s="143"/>
      <c r="EG255" s="142">
        <f>SUM(EH255:EQ255)</f>
      </c>
      <c r="EH255" s="143"/>
      <c r="EI255" s="143"/>
      <c r="EJ255" s="143"/>
      <c r="EK255" s="143"/>
      <c r="EL255" s="143"/>
      <c r="EM255" s="143"/>
      <c r="EN255" s="143"/>
      <c r="EO255" s="143"/>
      <c r="EP255" s="143"/>
      <c r="EQ255" s="143"/>
      <c r="ER255" s="142">
        <f>SUM(ES255:ET255)</f>
      </c>
      <c r="ES255" s="143"/>
      <c r="ET255" s="143"/>
      <c r="EU255" s="144"/>
      <c r="FB255" s="146"/>
      <c r="FC255" s="146" cm="1">
        <f t="array" ref="FC255">ROW()-ROW(New[#Headers])</f>
        <v>249</v>
      </c>
    </row>
    <row r="256" spans="2:159" s="139" customFormat="1" ht="10.5" x14ac:dyDescent="0.2">
      <c r="B256" s="133"/>
      <c r="C256" s="133"/>
      <c r="E256" s="133"/>
      <c r="H256" s="133"/>
      <c r="N256" s="140"/>
      <c r="O256" s="140"/>
      <c r="P256" s="141"/>
      <c r="Q256" s="142">
        <f>SUM(R256:AQ256)</f>
      </c>
      <c r="R256" s="143"/>
      <c r="S256" s="143"/>
      <c r="T256" s="143"/>
      <c r="U256" s="143"/>
      <c r="V256" s="143"/>
      <c r="W256" s="143"/>
      <c r="X256" s="143"/>
      <c r="Y256" s="143"/>
      <c r="Z256" s="143"/>
      <c r="AA256" s="143"/>
      <c r="AB256" s="143"/>
      <c r="AC256" s="143"/>
      <c r="AD256" s="143"/>
      <c r="AE256" s="143"/>
      <c r="AF256" s="143"/>
      <c r="AG256" s="143"/>
      <c r="AH256" s="143"/>
      <c r="AI256" s="143"/>
      <c r="AJ256" s="143"/>
      <c r="AK256" s="143"/>
      <c r="AL256" s="143"/>
      <c r="AM256" s="143"/>
      <c r="AN256" s="143"/>
      <c r="AO256" s="143"/>
      <c r="AP256" s="143"/>
      <c r="AQ256" s="143"/>
      <c r="AR256" s="142">
        <f>SUM(AS256:AV256)</f>
      </c>
      <c r="AS256" s="143"/>
      <c r="AT256" s="143"/>
      <c r="AU256" s="143"/>
      <c r="AV256" s="143"/>
      <c r="AW256" s="142">
        <f>SUM(AX256:BI256)</f>
      </c>
      <c r="AX256" s="143"/>
      <c r="AY256" s="143"/>
      <c r="AZ256" s="143"/>
      <c r="BA256" s="143"/>
      <c r="BB256" s="143"/>
      <c r="BC256" s="143"/>
      <c r="BD256" s="143"/>
      <c r="BE256" s="143"/>
      <c r="BF256" s="143"/>
      <c r="BG256" s="143"/>
      <c r="BH256" s="143"/>
      <c r="BI256" s="143"/>
      <c r="BJ256" s="142"/>
      <c r="BK256" s="143"/>
      <c r="BL256" s="143"/>
      <c r="BM256" s="143"/>
      <c r="BN256" s="143"/>
      <c r="BO256" s="143"/>
      <c r="BP256" s="143"/>
      <c r="BQ256" s="142"/>
      <c r="BR256" s="143"/>
      <c r="BS256" s="143"/>
      <c r="BT256" s="142">
        <f>SUM(BU256:BW256)</f>
      </c>
      <c r="BU256" s="143"/>
      <c r="BV256" s="143"/>
      <c r="BW256" s="143"/>
      <c r="BX256" s="142">
        <f>SUM(BY256:CD256)</f>
      </c>
      <c r="BY256" s="143"/>
      <c r="BZ256" s="143"/>
      <c r="CA256" s="143"/>
      <c r="CB256" s="143"/>
      <c r="CC256" s="143"/>
      <c r="CD256" s="143"/>
      <c r="CE256" s="142"/>
      <c r="CF256" s="143"/>
      <c r="CG256" s="143"/>
      <c r="CH256" s="143"/>
      <c r="CI256" s="143"/>
      <c r="CJ256" s="143"/>
      <c r="CK256" s="142">
        <f>SUM(CL256:CN256)</f>
      </c>
      <c r="CL256" s="143"/>
      <c r="CM256" s="143"/>
      <c r="CN256" s="143"/>
      <c r="CO256" s="142">
        <f>SUM(CP256:CT256)</f>
      </c>
      <c r="CP256" s="143"/>
      <c r="CQ256" s="143"/>
      <c r="CR256" s="143"/>
      <c r="CS256" s="143"/>
      <c r="CT256" s="143"/>
      <c r="CU256" s="142"/>
      <c r="CV256" s="143"/>
      <c r="CW256" s="143"/>
      <c r="CX256" s="143"/>
      <c r="CY256" s="142"/>
      <c r="CZ256" s="143"/>
      <c r="DA256" s="143"/>
      <c r="DB256" s="143"/>
      <c r="DC256" s="143"/>
      <c r="DD256" s="143"/>
      <c r="DE256" s="143"/>
      <c r="DF256" s="143"/>
      <c r="DG256" s="142">
        <f>SUM(DH256:DH256)</f>
      </c>
      <c r="DH256" s="143"/>
      <c r="DI256" s="142"/>
      <c r="DJ256" s="143"/>
      <c r="DK256" s="142">
        <f>SUM(DL256:DQ256)</f>
      </c>
      <c r="DL256" s="143"/>
      <c r="DM256" s="143"/>
      <c r="DN256" s="143"/>
      <c r="DO256" s="143"/>
      <c r="DP256" s="143"/>
      <c r="DQ256" s="143"/>
      <c r="DR256" s="143"/>
      <c r="DS256" s="143"/>
      <c r="DT256" s="143"/>
      <c r="DU256" s="143"/>
      <c r="DV256" s="143"/>
      <c r="DW256" s="143"/>
      <c r="DX256" s="142"/>
      <c r="DY256" s="143"/>
      <c r="DZ256" s="142"/>
      <c r="EA256" s="143"/>
      <c r="EB256" s="143"/>
      <c r="EC256" s="142"/>
      <c r="ED256" s="143"/>
      <c r="EF256" s="143"/>
      <c r="EG256" s="142">
        <f>SUM(EH256:EQ256)</f>
      </c>
      <c r="EH256" s="143"/>
      <c r="EI256" s="143"/>
      <c r="EJ256" s="143"/>
      <c r="EK256" s="143"/>
      <c r="EL256" s="143"/>
      <c r="EM256" s="143"/>
      <c r="EN256" s="143"/>
      <c r="EO256" s="143"/>
      <c r="EP256" s="143"/>
      <c r="EQ256" s="143"/>
      <c r="ER256" s="142">
        <f>SUM(ES256:ET256)</f>
      </c>
      <c r="ES256" s="143"/>
      <c r="ET256" s="143"/>
      <c r="EU256" s="144"/>
      <c r="FB256" s="146"/>
      <c r="FC256" s="146" cm="1">
        <f t="array" ref="FC256">ROW()-ROW(New[#Headers])</f>
        <v>250</v>
      </c>
    </row>
    <row r="257" spans="2:159" s="139" customFormat="1" ht="10.5" x14ac:dyDescent="0.2">
      <c r="B257" s="133"/>
      <c r="C257" s="133"/>
      <c r="E257" s="133"/>
      <c r="H257" s="133"/>
      <c r="N257" s="140"/>
      <c r="O257" s="140"/>
      <c r="P257" s="141"/>
      <c r="Q257" s="142">
        <f>SUM(R257:AQ257)</f>
      </c>
      <c r="R257" s="143"/>
      <c r="S257" s="143"/>
      <c r="T257" s="143"/>
      <c r="U257" s="143"/>
      <c r="V257" s="143"/>
      <c r="W257" s="143"/>
      <c r="X257" s="143"/>
      <c r="Y257" s="143"/>
      <c r="Z257" s="143"/>
      <c r="AA257" s="143"/>
      <c r="AB257" s="143"/>
      <c r="AC257" s="143"/>
      <c r="AD257" s="143"/>
      <c r="AE257" s="143"/>
      <c r="AF257" s="143"/>
      <c r="AG257" s="143"/>
      <c r="AH257" s="143"/>
      <c r="AI257" s="143"/>
      <c r="AJ257" s="143"/>
      <c r="AK257" s="143"/>
      <c r="AL257" s="143"/>
      <c r="AM257" s="143"/>
      <c r="AN257" s="143"/>
      <c r="AO257" s="143"/>
      <c r="AP257" s="143"/>
      <c r="AQ257" s="143"/>
      <c r="AR257" s="142">
        <f>SUM(AS257:AV257)</f>
      </c>
      <c r="AS257" s="143"/>
      <c r="AT257" s="143"/>
      <c r="AU257" s="143"/>
      <c r="AV257" s="143"/>
      <c r="AW257" s="142">
        <f>SUM(AX257:BI257)</f>
      </c>
      <c r="AX257" s="143"/>
      <c r="AY257" s="143"/>
      <c r="AZ257" s="143"/>
      <c r="BA257" s="143"/>
      <c r="BB257" s="143"/>
      <c r="BC257" s="143"/>
      <c r="BD257" s="143"/>
      <c r="BE257" s="143"/>
      <c r="BF257" s="143"/>
      <c r="BG257" s="143"/>
      <c r="BH257" s="143"/>
      <c r="BI257" s="143"/>
      <c r="BJ257" s="142"/>
      <c r="BK257" s="143"/>
      <c r="BL257" s="143"/>
      <c r="BM257" s="143"/>
      <c r="BN257" s="143"/>
      <c r="BO257" s="143"/>
      <c r="BP257" s="143"/>
      <c r="BQ257" s="142"/>
      <c r="BR257" s="143"/>
      <c r="BS257" s="143"/>
      <c r="BT257" s="142">
        <f>SUM(BU257:BW257)</f>
      </c>
      <c r="BU257" s="143"/>
      <c r="BV257" s="143"/>
      <c r="BW257" s="143"/>
      <c r="BX257" s="142">
        <f>SUM(BY257:CD257)</f>
      </c>
      <c r="BY257" s="143"/>
      <c r="BZ257" s="143"/>
      <c r="CA257" s="143"/>
      <c r="CB257" s="143"/>
      <c r="CC257" s="143"/>
      <c r="CD257" s="143"/>
      <c r="CE257" s="142"/>
      <c r="CF257" s="143"/>
      <c r="CG257" s="143"/>
      <c r="CH257" s="143"/>
      <c r="CI257" s="143"/>
      <c r="CJ257" s="143"/>
      <c r="CK257" s="142">
        <f>SUM(CL257:CN257)</f>
      </c>
      <c r="CL257" s="143"/>
      <c r="CM257" s="143"/>
      <c r="CN257" s="143"/>
      <c r="CO257" s="142">
        <f>SUM(CP257:CT257)</f>
      </c>
      <c r="CP257" s="143"/>
      <c r="CQ257" s="143"/>
      <c r="CR257" s="143"/>
      <c r="CS257" s="143"/>
      <c r="CT257" s="143"/>
      <c r="CU257" s="142"/>
      <c r="CV257" s="143"/>
      <c r="CW257" s="143"/>
      <c r="CX257" s="143"/>
      <c r="CY257" s="142"/>
      <c r="CZ257" s="143"/>
      <c r="DA257" s="143"/>
      <c r="DB257" s="143"/>
      <c r="DC257" s="143"/>
      <c r="DD257" s="143"/>
      <c r="DE257" s="143"/>
      <c r="DF257" s="143"/>
      <c r="DG257" s="142">
        <f>SUM(DH257:DH257)</f>
      </c>
      <c r="DH257" s="143"/>
      <c r="DI257" s="142"/>
      <c r="DJ257" s="143"/>
      <c r="DK257" s="142">
        <f>SUM(DL257:DQ257)</f>
      </c>
      <c r="DL257" s="143"/>
      <c r="DM257" s="143"/>
      <c r="DN257" s="143"/>
      <c r="DO257" s="143"/>
      <c r="DP257" s="143"/>
      <c r="DQ257" s="143"/>
      <c r="DR257" s="143"/>
      <c r="DS257" s="143"/>
      <c r="DT257" s="143"/>
      <c r="DU257" s="143"/>
      <c r="DV257" s="143"/>
      <c r="DW257" s="143"/>
      <c r="DX257" s="142"/>
      <c r="DY257" s="143"/>
      <c r="DZ257" s="142"/>
      <c r="EA257" s="143"/>
      <c r="EB257" s="143"/>
      <c r="EC257" s="142"/>
      <c r="ED257" s="143"/>
      <c r="EF257" s="143"/>
      <c r="EG257" s="142">
        <f>SUM(EH257:EQ257)</f>
      </c>
      <c r="EH257" s="143"/>
      <c r="EI257" s="143"/>
      <c r="EJ257" s="143"/>
      <c r="EK257" s="143"/>
      <c r="EL257" s="143"/>
      <c r="EM257" s="143"/>
      <c r="EN257" s="143"/>
      <c r="EO257" s="143"/>
      <c r="EP257" s="143"/>
      <c r="EQ257" s="143"/>
      <c r="ER257" s="142">
        <f>SUM(ES257:ET257)</f>
      </c>
      <c r="ES257" s="143"/>
      <c r="ET257" s="143"/>
      <c r="EU257" s="144"/>
      <c r="FB257" s="146"/>
      <c r="FC257" s="146" cm="1">
        <f t="array" ref="FC257">ROW()-ROW(New[#Headers])</f>
        <v>251</v>
      </c>
    </row>
    <row r="258" spans="2:159" s="139" customFormat="1" ht="10.5" x14ac:dyDescent="0.2">
      <c r="B258" s="133"/>
      <c r="C258" s="133"/>
      <c r="E258" s="133"/>
      <c r="H258" s="133"/>
      <c r="N258" s="140"/>
      <c r="O258" s="140"/>
      <c r="P258" s="141"/>
      <c r="Q258" s="142">
        <f>SUM(R258:AQ258)</f>
      </c>
      <c r="R258" s="143"/>
      <c r="S258" s="143"/>
      <c r="T258" s="143"/>
      <c r="U258" s="143"/>
      <c r="V258" s="143"/>
      <c r="W258" s="143"/>
      <c r="X258" s="143"/>
      <c r="Y258" s="143"/>
      <c r="Z258" s="143"/>
      <c r="AA258" s="143"/>
      <c r="AB258" s="143"/>
      <c r="AC258" s="143"/>
      <c r="AD258" s="143"/>
      <c r="AE258" s="143"/>
      <c r="AF258" s="143"/>
      <c r="AG258" s="143"/>
      <c r="AH258" s="143"/>
      <c r="AI258" s="143"/>
      <c r="AJ258" s="143"/>
      <c r="AK258" s="143"/>
      <c r="AL258" s="143"/>
      <c r="AM258" s="143"/>
      <c r="AN258" s="143"/>
      <c r="AO258" s="143"/>
      <c r="AP258" s="143"/>
      <c r="AQ258" s="143"/>
      <c r="AR258" s="142">
        <f>SUM(AS258:AV258)</f>
      </c>
      <c r="AS258" s="143"/>
      <c r="AT258" s="143"/>
      <c r="AU258" s="143"/>
      <c r="AV258" s="143"/>
      <c r="AW258" s="142">
        <f>SUM(AX258:BI258)</f>
      </c>
      <c r="AX258" s="143"/>
      <c r="AY258" s="143"/>
      <c r="AZ258" s="143"/>
      <c r="BA258" s="143"/>
      <c r="BB258" s="143"/>
      <c r="BC258" s="143"/>
      <c r="BD258" s="143"/>
      <c r="BE258" s="143"/>
      <c r="BF258" s="143"/>
      <c r="BG258" s="143"/>
      <c r="BH258" s="143"/>
      <c r="BI258" s="143"/>
      <c r="BJ258" s="142"/>
      <c r="BK258" s="143"/>
      <c r="BL258" s="143"/>
      <c r="BM258" s="143"/>
      <c r="BN258" s="143"/>
      <c r="BO258" s="143"/>
      <c r="BP258" s="143"/>
      <c r="BQ258" s="142"/>
      <c r="BR258" s="143"/>
      <c r="BS258" s="143"/>
      <c r="BT258" s="142">
        <f>SUM(BU258:BW258)</f>
      </c>
      <c r="BU258" s="143"/>
      <c r="BV258" s="143"/>
      <c r="BW258" s="143"/>
      <c r="BX258" s="142">
        <f>SUM(BY258:CD258)</f>
      </c>
      <c r="BY258" s="143"/>
      <c r="BZ258" s="143"/>
      <c r="CA258" s="143"/>
      <c r="CB258" s="143"/>
      <c r="CC258" s="143"/>
      <c r="CD258" s="143"/>
      <c r="CE258" s="142"/>
      <c r="CF258" s="143"/>
      <c r="CG258" s="143"/>
      <c r="CH258" s="143"/>
      <c r="CI258" s="143"/>
      <c r="CJ258" s="143"/>
      <c r="CK258" s="142">
        <f>SUM(CL258:CN258)</f>
      </c>
      <c r="CL258" s="143"/>
      <c r="CM258" s="143"/>
      <c r="CN258" s="143"/>
      <c r="CO258" s="142">
        <f>SUM(CP258:CT258)</f>
      </c>
      <c r="CP258" s="143"/>
      <c r="CQ258" s="143"/>
      <c r="CR258" s="143"/>
      <c r="CS258" s="143"/>
      <c r="CT258" s="143"/>
      <c r="CU258" s="142"/>
      <c r="CV258" s="143"/>
      <c r="CW258" s="143"/>
      <c r="CX258" s="143"/>
      <c r="CY258" s="142"/>
      <c r="CZ258" s="143"/>
      <c r="DA258" s="143"/>
      <c r="DB258" s="143"/>
      <c r="DC258" s="143"/>
      <c r="DD258" s="143"/>
      <c r="DE258" s="143"/>
      <c r="DF258" s="143"/>
      <c r="DG258" s="142">
        <f>SUM(DH258:DH258)</f>
      </c>
      <c r="DH258" s="143"/>
      <c r="DI258" s="142"/>
      <c r="DJ258" s="143"/>
      <c r="DK258" s="142">
        <f>SUM(DL258:DQ258)</f>
      </c>
      <c r="DL258" s="143"/>
      <c r="DM258" s="143"/>
      <c r="DN258" s="143"/>
      <c r="DO258" s="143"/>
      <c r="DP258" s="143"/>
      <c r="DQ258" s="143"/>
      <c r="DR258" s="143"/>
      <c r="DS258" s="143"/>
      <c r="DT258" s="143"/>
      <c r="DU258" s="143"/>
      <c r="DV258" s="143"/>
      <c r="DW258" s="143"/>
      <c r="DX258" s="142"/>
      <c r="DY258" s="143"/>
      <c r="DZ258" s="142"/>
      <c r="EA258" s="143"/>
      <c r="EB258" s="143"/>
      <c r="EC258" s="142"/>
      <c r="ED258" s="143"/>
      <c r="EF258" s="143"/>
      <c r="EG258" s="142">
        <f>SUM(EH258:EQ258)</f>
      </c>
      <c r="EH258" s="143"/>
      <c r="EI258" s="143"/>
      <c r="EJ258" s="143"/>
      <c r="EK258" s="143"/>
      <c r="EL258" s="143"/>
      <c r="EM258" s="143"/>
      <c r="EN258" s="143"/>
      <c r="EO258" s="143"/>
      <c r="EP258" s="143"/>
      <c r="EQ258" s="143"/>
      <c r="ER258" s="142">
        <f>SUM(ES258:ET258)</f>
      </c>
      <c r="ES258" s="143"/>
      <c r="ET258" s="143"/>
      <c r="EU258" s="144"/>
      <c r="FB258" s="146"/>
      <c r="FC258" s="146" cm="1">
        <f t="array" ref="FC258">ROW()-ROW(New[#Headers])</f>
        <v>252</v>
      </c>
    </row>
    <row r="259" spans="2:159" s="139" customFormat="1" ht="10.5" x14ac:dyDescent="0.2">
      <c r="B259" s="133"/>
      <c r="C259" s="133"/>
      <c r="E259" s="133"/>
      <c r="H259" s="133"/>
      <c r="N259" s="140"/>
      <c r="O259" s="140"/>
      <c r="P259" s="141"/>
      <c r="Q259" s="142">
        <f>SUM(R259:AQ259)</f>
      </c>
      <c r="R259" s="143"/>
      <c r="S259" s="143"/>
      <c r="T259" s="143"/>
      <c r="U259" s="143"/>
      <c r="V259" s="143"/>
      <c r="W259" s="143"/>
      <c r="X259" s="143"/>
      <c r="Y259" s="143"/>
      <c r="Z259" s="143"/>
      <c r="AA259" s="143"/>
      <c r="AB259" s="143"/>
      <c r="AC259" s="143"/>
      <c r="AD259" s="143"/>
      <c r="AE259" s="143"/>
      <c r="AF259" s="143"/>
      <c r="AG259" s="143"/>
      <c r="AH259" s="143"/>
      <c r="AI259" s="143"/>
      <c r="AJ259" s="143"/>
      <c r="AK259" s="143"/>
      <c r="AL259" s="143"/>
      <c r="AM259" s="143"/>
      <c r="AN259" s="143"/>
      <c r="AO259" s="143"/>
      <c r="AP259" s="143"/>
      <c r="AQ259" s="143"/>
      <c r="AR259" s="142">
        <f>SUM(AS259:AV259)</f>
      </c>
      <c r="AS259" s="143"/>
      <c r="AT259" s="143"/>
      <c r="AU259" s="143"/>
      <c r="AV259" s="143"/>
      <c r="AW259" s="142">
        <f>SUM(AX259:BI259)</f>
      </c>
      <c r="AX259" s="143"/>
      <c r="AY259" s="143"/>
      <c r="AZ259" s="143"/>
      <c r="BA259" s="143"/>
      <c r="BB259" s="143"/>
      <c r="BC259" s="143"/>
      <c r="BD259" s="143"/>
      <c r="BE259" s="143"/>
      <c r="BF259" s="143"/>
      <c r="BG259" s="143"/>
      <c r="BH259" s="143"/>
      <c r="BI259" s="143"/>
      <c r="BJ259" s="142"/>
      <c r="BK259" s="143"/>
      <c r="BL259" s="143"/>
      <c r="BM259" s="143"/>
      <c r="BN259" s="143"/>
      <c r="BO259" s="143"/>
      <c r="BP259" s="143"/>
      <c r="BQ259" s="142"/>
      <c r="BR259" s="143"/>
      <c r="BS259" s="143"/>
      <c r="BT259" s="142">
        <f>SUM(BU259:BW259)</f>
      </c>
      <c r="BU259" s="143"/>
      <c r="BV259" s="143"/>
      <c r="BW259" s="143"/>
      <c r="BX259" s="142">
        <f>SUM(BY259:CD259)</f>
      </c>
      <c r="BY259" s="143"/>
      <c r="BZ259" s="143"/>
      <c r="CA259" s="143"/>
      <c r="CB259" s="143"/>
      <c r="CC259" s="143"/>
      <c r="CD259" s="143"/>
      <c r="CE259" s="142"/>
      <c r="CF259" s="143"/>
      <c r="CG259" s="143"/>
      <c r="CH259" s="143"/>
      <c r="CI259" s="143"/>
      <c r="CJ259" s="143"/>
      <c r="CK259" s="142">
        <f>SUM(CL259:CN259)</f>
      </c>
      <c r="CL259" s="143"/>
      <c r="CM259" s="143"/>
      <c r="CN259" s="143"/>
      <c r="CO259" s="142">
        <f>SUM(CP259:CT259)</f>
      </c>
      <c r="CP259" s="143"/>
      <c r="CQ259" s="143"/>
      <c r="CR259" s="143"/>
      <c r="CS259" s="143"/>
      <c r="CT259" s="143"/>
      <c r="CU259" s="142"/>
      <c r="CV259" s="143"/>
      <c r="CW259" s="143"/>
      <c r="CX259" s="143"/>
      <c r="CY259" s="142"/>
      <c r="CZ259" s="143"/>
      <c r="DA259" s="143"/>
      <c r="DB259" s="143"/>
      <c r="DC259" s="143"/>
      <c r="DD259" s="143"/>
      <c r="DE259" s="143"/>
      <c r="DF259" s="143"/>
      <c r="DG259" s="142">
        <f>SUM(DH259:DH259)</f>
      </c>
      <c r="DH259" s="143"/>
      <c r="DI259" s="142"/>
      <c r="DJ259" s="143"/>
      <c r="DK259" s="142">
        <f>SUM(DL259:DQ259)</f>
      </c>
      <c r="DL259" s="143"/>
      <c r="DM259" s="143"/>
      <c r="DN259" s="143"/>
      <c r="DO259" s="143"/>
      <c r="DP259" s="143"/>
      <c r="DQ259" s="143"/>
      <c r="DR259" s="143"/>
      <c r="DS259" s="143"/>
      <c r="DT259" s="143"/>
      <c r="DU259" s="143"/>
      <c r="DV259" s="143"/>
      <c r="DW259" s="143"/>
      <c r="DX259" s="142"/>
      <c r="DY259" s="143"/>
      <c r="DZ259" s="142"/>
      <c r="EA259" s="143"/>
      <c r="EB259" s="143"/>
      <c r="EC259" s="142"/>
      <c r="ED259" s="143"/>
      <c r="EF259" s="143"/>
      <c r="EG259" s="142">
        <f>SUM(EH259:EQ259)</f>
      </c>
      <c r="EH259" s="143"/>
      <c r="EI259" s="143"/>
      <c r="EJ259" s="143"/>
      <c r="EK259" s="143"/>
      <c r="EL259" s="143"/>
      <c r="EM259" s="143"/>
      <c r="EN259" s="143"/>
      <c r="EO259" s="143"/>
      <c r="EP259" s="143"/>
      <c r="EQ259" s="143"/>
      <c r="ER259" s="142">
        <f>SUM(ES259:ET259)</f>
      </c>
      <c r="ES259" s="143"/>
      <c r="ET259" s="143"/>
      <c r="EU259" s="144"/>
      <c r="FB259" s="146"/>
      <c r="FC259" s="146" cm="1">
        <f t="array" ref="FC259">ROW()-ROW(New[#Headers])</f>
        <v>253</v>
      </c>
    </row>
    <row r="260" spans="2:159" s="139" customFormat="1" ht="10.5" x14ac:dyDescent="0.2">
      <c r="B260" s="133"/>
      <c r="C260" s="133"/>
      <c r="E260" s="133"/>
      <c r="H260" s="133"/>
      <c r="N260" s="140"/>
      <c r="O260" s="140"/>
      <c r="P260" s="141"/>
      <c r="Q260" s="142">
        <f>SUM(R260:AQ260)</f>
      </c>
      <c r="R260" s="143"/>
      <c r="S260" s="143"/>
      <c r="T260" s="143"/>
      <c r="U260" s="143"/>
      <c r="V260" s="143"/>
      <c r="W260" s="143"/>
      <c r="X260" s="143"/>
      <c r="Y260" s="143"/>
      <c r="Z260" s="143"/>
      <c r="AA260" s="143"/>
      <c r="AB260" s="143"/>
      <c r="AC260" s="143"/>
      <c r="AD260" s="143"/>
      <c r="AE260" s="143"/>
      <c r="AF260" s="143"/>
      <c r="AG260" s="143"/>
      <c r="AH260" s="143"/>
      <c r="AI260" s="143"/>
      <c r="AJ260" s="143"/>
      <c r="AK260" s="143"/>
      <c r="AL260" s="143"/>
      <c r="AM260" s="143"/>
      <c r="AN260" s="143"/>
      <c r="AO260" s="143"/>
      <c r="AP260" s="143"/>
      <c r="AQ260" s="143"/>
      <c r="AR260" s="142">
        <f>SUM(AS260:AV260)</f>
      </c>
      <c r="AS260" s="143"/>
      <c r="AT260" s="143"/>
      <c r="AU260" s="143"/>
      <c r="AV260" s="143"/>
      <c r="AW260" s="142">
        <f>SUM(AX260:BI260)</f>
      </c>
      <c r="AX260" s="143"/>
      <c r="AY260" s="143"/>
      <c r="AZ260" s="143"/>
      <c r="BA260" s="143"/>
      <c r="BB260" s="143"/>
      <c r="BC260" s="143"/>
      <c r="BD260" s="143"/>
      <c r="BE260" s="143"/>
      <c r="BF260" s="143"/>
      <c r="BG260" s="143"/>
      <c r="BH260" s="143"/>
      <c r="BI260" s="143"/>
      <c r="BJ260" s="142"/>
      <c r="BK260" s="143"/>
      <c r="BL260" s="143"/>
      <c r="BM260" s="143"/>
      <c r="BN260" s="143"/>
      <c r="BO260" s="143"/>
      <c r="BP260" s="143"/>
      <c r="BQ260" s="142"/>
      <c r="BR260" s="143"/>
      <c r="BS260" s="143"/>
      <c r="BT260" s="142">
        <f>SUM(BU260:BW260)</f>
      </c>
      <c r="BU260" s="143"/>
      <c r="BV260" s="143"/>
      <c r="BW260" s="143"/>
      <c r="BX260" s="142">
        <f>SUM(BY260:CD260)</f>
      </c>
      <c r="BY260" s="143"/>
      <c r="BZ260" s="143"/>
      <c r="CA260" s="143"/>
      <c r="CB260" s="143"/>
      <c r="CC260" s="143"/>
      <c r="CD260" s="143"/>
      <c r="CE260" s="142"/>
      <c r="CF260" s="143"/>
      <c r="CG260" s="143"/>
      <c r="CH260" s="143"/>
      <c r="CI260" s="143"/>
      <c r="CJ260" s="143"/>
      <c r="CK260" s="142">
        <f>SUM(CL260:CN260)</f>
      </c>
      <c r="CL260" s="143"/>
      <c r="CM260" s="143"/>
      <c r="CN260" s="143"/>
      <c r="CO260" s="142">
        <f>SUM(CP260:CT260)</f>
      </c>
      <c r="CP260" s="143"/>
      <c r="CQ260" s="143"/>
      <c r="CR260" s="143"/>
      <c r="CS260" s="143"/>
      <c r="CT260" s="143"/>
      <c r="CU260" s="142"/>
      <c r="CV260" s="143"/>
      <c r="CW260" s="143"/>
      <c r="CX260" s="143"/>
      <c r="CY260" s="142"/>
      <c r="CZ260" s="143"/>
      <c r="DA260" s="143"/>
      <c r="DB260" s="143"/>
      <c r="DC260" s="143"/>
      <c r="DD260" s="143"/>
      <c r="DE260" s="143"/>
      <c r="DF260" s="143"/>
      <c r="DG260" s="142">
        <f>SUM(DH260:DH260)</f>
      </c>
      <c r="DH260" s="143"/>
      <c r="DI260" s="142"/>
      <c r="DJ260" s="143"/>
      <c r="DK260" s="142">
        <f>SUM(DL260:DQ260)</f>
      </c>
      <c r="DL260" s="143"/>
      <c r="DM260" s="143"/>
      <c r="DN260" s="143"/>
      <c r="DO260" s="143"/>
      <c r="DP260" s="143"/>
      <c r="DQ260" s="143"/>
      <c r="DR260" s="143"/>
      <c r="DS260" s="143"/>
      <c r="DT260" s="143"/>
      <c r="DU260" s="143"/>
      <c r="DV260" s="143"/>
      <c r="DW260" s="143"/>
      <c r="DX260" s="142"/>
      <c r="DY260" s="143"/>
      <c r="DZ260" s="142"/>
      <c r="EA260" s="143"/>
      <c r="EB260" s="143"/>
      <c r="EC260" s="142"/>
      <c r="ED260" s="143"/>
      <c r="EF260" s="143"/>
      <c r="EG260" s="142">
        <f>SUM(EH260:EQ260)</f>
      </c>
      <c r="EH260" s="143"/>
      <c r="EI260" s="143"/>
      <c r="EJ260" s="143"/>
      <c r="EK260" s="143"/>
      <c r="EL260" s="143"/>
      <c r="EM260" s="143"/>
      <c r="EN260" s="143"/>
      <c r="EO260" s="143"/>
      <c r="EP260" s="143"/>
      <c r="EQ260" s="143"/>
      <c r="ER260" s="142">
        <f>SUM(ES260:ET260)</f>
      </c>
      <c r="ES260" s="143"/>
      <c r="ET260" s="143"/>
      <c r="EU260" s="144"/>
      <c r="FB260" s="146"/>
      <c r="FC260" s="146" cm="1">
        <f t="array" ref="FC260">ROW()-ROW(New[#Headers])</f>
        <v>254</v>
      </c>
    </row>
    <row r="261" spans="2:159" s="139" customFormat="1" ht="10.5" x14ac:dyDescent="0.2">
      <c r="B261" s="133"/>
      <c r="C261" s="133"/>
      <c r="E261" s="133"/>
      <c r="H261" s="133"/>
      <c r="N261" s="140"/>
      <c r="O261" s="140"/>
      <c r="P261" s="141"/>
      <c r="Q261" s="142">
        <f>SUM(R261:AQ261)</f>
      </c>
      <c r="R261" s="143"/>
      <c r="S261" s="143"/>
      <c r="T261" s="143"/>
      <c r="U261" s="143"/>
      <c r="V261" s="143"/>
      <c r="W261" s="143"/>
      <c r="X261" s="143"/>
      <c r="Y261" s="143"/>
      <c r="Z261" s="143"/>
      <c r="AA261" s="143"/>
      <c r="AB261" s="143"/>
      <c r="AC261" s="143"/>
      <c r="AD261" s="143"/>
      <c r="AE261" s="143"/>
      <c r="AF261" s="143"/>
      <c r="AG261" s="143"/>
      <c r="AH261" s="143"/>
      <c r="AI261" s="143"/>
      <c r="AJ261" s="143"/>
      <c r="AK261" s="143"/>
      <c r="AL261" s="143"/>
      <c r="AM261" s="143"/>
      <c r="AN261" s="143"/>
      <c r="AO261" s="143"/>
      <c r="AP261" s="143"/>
      <c r="AQ261" s="143"/>
      <c r="AR261" s="142">
        <f>SUM(AS261:AV261)</f>
      </c>
      <c r="AS261" s="143"/>
      <c r="AT261" s="143"/>
      <c r="AU261" s="143"/>
      <c r="AV261" s="143"/>
      <c r="AW261" s="142">
        <f>SUM(AX261:BI261)</f>
      </c>
      <c r="AX261" s="143"/>
      <c r="AY261" s="143"/>
      <c r="AZ261" s="143"/>
      <c r="BA261" s="143"/>
      <c r="BB261" s="143"/>
      <c r="BC261" s="143"/>
      <c r="BD261" s="143"/>
      <c r="BE261" s="143"/>
      <c r="BF261" s="143"/>
      <c r="BG261" s="143"/>
      <c r="BH261" s="143"/>
      <c r="BI261" s="143"/>
      <c r="BJ261" s="142"/>
      <c r="BK261" s="143"/>
      <c r="BL261" s="143"/>
      <c r="BM261" s="143"/>
      <c r="BN261" s="143"/>
      <c r="BO261" s="143"/>
      <c r="BP261" s="143"/>
      <c r="BQ261" s="142"/>
      <c r="BR261" s="143"/>
      <c r="BS261" s="143"/>
      <c r="BT261" s="142">
        <f>SUM(BU261:BW261)</f>
      </c>
      <c r="BU261" s="143"/>
      <c r="BV261" s="143"/>
      <c r="BW261" s="143"/>
      <c r="BX261" s="142">
        <f>SUM(BY261:CD261)</f>
      </c>
      <c r="BY261" s="143"/>
      <c r="BZ261" s="143"/>
      <c r="CA261" s="143"/>
      <c r="CB261" s="143"/>
      <c r="CC261" s="143"/>
      <c r="CD261" s="143"/>
      <c r="CE261" s="142"/>
      <c r="CF261" s="143"/>
      <c r="CG261" s="143"/>
      <c r="CH261" s="143"/>
      <c r="CI261" s="143"/>
      <c r="CJ261" s="143"/>
      <c r="CK261" s="142">
        <f>SUM(CL261:CN261)</f>
      </c>
      <c r="CL261" s="143"/>
      <c r="CM261" s="143"/>
      <c r="CN261" s="143"/>
      <c r="CO261" s="142">
        <f>SUM(CP261:CT261)</f>
      </c>
      <c r="CP261" s="143"/>
      <c r="CQ261" s="143"/>
      <c r="CR261" s="143"/>
      <c r="CS261" s="143"/>
      <c r="CT261" s="143"/>
      <c r="CU261" s="142"/>
      <c r="CV261" s="143"/>
      <c r="CW261" s="143"/>
      <c r="CX261" s="143"/>
      <c r="CY261" s="142"/>
      <c r="CZ261" s="143"/>
      <c r="DA261" s="143"/>
      <c r="DB261" s="143"/>
      <c r="DC261" s="143"/>
      <c r="DD261" s="143"/>
      <c r="DE261" s="143"/>
      <c r="DF261" s="143"/>
      <c r="DG261" s="142">
        <f>SUM(DH261:DH261)</f>
      </c>
      <c r="DH261" s="143"/>
      <c r="DI261" s="142"/>
      <c r="DJ261" s="143"/>
      <c r="DK261" s="142">
        <f>SUM(DL261:DQ261)</f>
      </c>
      <c r="DL261" s="143"/>
      <c r="DM261" s="143"/>
      <c r="DN261" s="143"/>
      <c r="DO261" s="143"/>
      <c r="DP261" s="143"/>
      <c r="DQ261" s="143"/>
      <c r="DR261" s="143"/>
      <c r="DS261" s="143"/>
      <c r="DT261" s="143"/>
      <c r="DU261" s="143"/>
      <c r="DV261" s="143"/>
      <c r="DW261" s="143"/>
      <c r="DX261" s="142"/>
      <c r="DY261" s="143"/>
      <c r="DZ261" s="142"/>
      <c r="EA261" s="143"/>
      <c r="EB261" s="143"/>
      <c r="EC261" s="142"/>
      <c r="ED261" s="143"/>
      <c r="EF261" s="143"/>
      <c r="EG261" s="142">
        <f>SUM(EH261:EQ261)</f>
      </c>
      <c r="EH261" s="143"/>
      <c r="EI261" s="143"/>
      <c r="EJ261" s="143"/>
      <c r="EK261" s="143"/>
      <c r="EL261" s="143"/>
      <c r="EM261" s="143"/>
      <c r="EN261" s="143"/>
      <c r="EO261" s="143"/>
      <c r="EP261" s="143"/>
      <c r="EQ261" s="143"/>
      <c r="ER261" s="142">
        <f>SUM(ES261:ET261)</f>
      </c>
      <c r="ES261" s="143"/>
      <c r="ET261" s="143"/>
      <c r="EU261" s="144"/>
      <c r="FB261" s="146"/>
      <c r="FC261" s="146" cm="1">
        <f t="array" ref="FC261">ROW()-ROW(New[#Headers])</f>
        <v>255</v>
      </c>
    </row>
    <row r="262" spans="2:159" s="139" customFormat="1" ht="10.5" x14ac:dyDescent="0.2">
      <c r="B262" s="133"/>
      <c r="C262" s="133"/>
      <c r="E262" s="133"/>
      <c r="H262" s="133"/>
      <c r="N262" s="140"/>
      <c r="O262" s="140"/>
      <c r="P262" s="141"/>
      <c r="Q262" s="142">
        <f>SUM(R262:AQ262)</f>
      </c>
      <c r="R262" s="143"/>
      <c r="S262" s="143"/>
      <c r="T262" s="143"/>
      <c r="U262" s="143"/>
      <c r="V262" s="143"/>
      <c r="W262" s="143"/>
      <c r="X262" s="143"/>
      <c r="Y262" s="143"/>
      <c r="Z262" s="143"/>
      <c r="AA262" s="143"/>
      <c r="AB262" s="143"/>
      <c r="AC262" s="143"/>
      <c r="AD262" s="143"/>
      <c r="AE262" s="143"/>
      <c r="AF262" s="143"/>
      <c r="AG262" s="143"/>
      <c r="AH262" s="143"/>
      <c r="AI262" s="143"/>
      <c r="AJ262" s="143"/>
      <c r="AK262" s="143"/>
      <c r="AL262" s="143"/>
      <c r="AM262" s="143"/>
      <c r="AN262" s="143"/>
      <c r="AO262" s="143"/>
      <c r="AP262" s="143"/>
      <c r="AQ262" s="143"/>
      <c r="AR262" s="142">
        <f>SUM(AS262:AV262)</f>
      </c>
      <c r="AS262" s="143"/>
      <c r="AT262" s="143"/>
      <c r="AU262" s="143"/>
      <c r="AV262" s="143"/>
      <c r="AW262" s="142">
        <f>SUM(AX262:BI262)</f>
      </c>
      <c r="AX262" s="143"/>
      <c r="AY262" s="143"/>
      <c r="AZ262" s="143"/>
      <c r="BA262" s="143"/>
      <c r="BB262" s="143"/>
      <c r="BC262" s="143"/>
      <c r="BD262" s="143"/>
      <c r="BE262" s="143"/>
      <c r="BF262" s="143"/>
      <c r="BG262" s="143"/>
      <c r="BH262" s="143"/>
      <c r="BI262" s="143"/>
      <c r="BJ262" s="142"/>
      <c r="BK262" s="143"/>
      <c r="BL262" s="143"/>
      <c r="BM262" s="143"/>
      <c r="BN262" s="143"/>
      <c r="BO262" s="143"/>
      <c r="BP262" s="143"/>
      <c r="BQ262" s="142"/>
      <c r="BR262" s="143"/>
      <c r="BS262" s="143"/>
      <c r="BT262" s="142">
        <f>SUM(BU262:BW262)</f>
      </c>
      <c r="BU262" s="143"/>
      <c r="BV262" s="143"/>
      <c r="BW262" s="143"/>
      <c r="BX262" s="142">
        <f>SUM(BY262:CD262)</f>
      </c>
      <c r="BY262" s="143"/>
      <c r="BZ262" s="143"/>
      <c r="CA262" s="143"/>
      <c r="CB262" s="143"/>
      <c r="CC262" s="143"/>
      <c r="CD262" s="143"/>
      <c r="CE262" s="142"/>
      <c r="CF262" s="143"/>
      <c r="CG262" s="143"/>
      <c r="CH262" s="143"/>
      <c r="CI262" s="143"/>
      <c r="CJ262" s="143"/>
      <c r="CK262" s="142">
        <f>SUM(CL262:CN262)</f>
      </c>
      <c r="CL262" s="143"/>
      <c r="CM262" s="143"/>
      <c r="CN262" s="143"/>
      <c r="CO262" s="142">
        <f>SUM(CP262:CT262)</f>
      </c>
      <c r="CP262" s="143"/>
      <c r="CQ262" s="143"/>
      <c r="CR262" s="143"/>
      <c r="CS262" s="143"/>
      <c r="CT262" s="143"/>
      <c r="CU262" s="142"/>
      <c r="CV262" s="143"/>
      <c r="CW262" s="143"/>
      <c r="CX262" s="143"/>
      <c r="CY262" s="142"/>
      <c r="CZ262" s="143"/>
      <c r="DA262" s="143"/>
      <c r="DB262" s="143"/>
      <c r="DC262" s="143"/>
      <c r="DD262" s="143"/>
      <c r="DE262" s="143"/>
      <c r="DF262" s="143"/>
      <c r="DG262" s="142">
        <f>SUM(DH262:DH262)</f>
      </c>
      <c r="DH262" s="143"/>
      <c r="DI262" s="142"/>
      <c r="DJ262" s="143"/>
      <c r="DK262" s="142">
        <f>SUM(DL262:DQ262)</f>
      </c>
      <c r="DL262" s="143"/>
      <c r="DM262" s="143"/>
      <c r="DN262" s="143"/>
      <c r="DO262" s="143"/>
      <c r="DP262" s="143"/>
      <c r="DQ262" s="143"/>
      <c r="DR262" s="143"/>
      <c r="DS262" s="143"/>
      <c r="DT262" s="143"/>
      <c r="DU262" s="143"/>
      <c r="DV262" s="143"/>
      <c r="DW262" s="143"/>
      <c r="DX262" s="142"/>
      <c r="DY262" s="143"/>
      <c r="DZ262" s="142"/>
      <c r="EA262" s="143"/>
      <c r="EB262" s="143"/>
      <c r="EC262" s="142"/>
      <c r="ED262" s="143"/>
      <c r="EF262" s="143"/>
      <c r="EG262" s="142">
        <f>SUM(EH262:EQ262)</f>
      </c>
      <c r="EH262" s="143"/>
      <c r="EI262" s="143"/>
      <c r="EJ262" s="143"/>
      <c r="EK262" s="143"/>
      <c r="EL262" s="143"/>
      <c r="EM262" s="143"/>
      <c r="EN262" s="143"/>
      <c r="EO262" s="143"/>
      <c r="EP262" s="143"/>
      <c r="EQ262" s="143"/>
      <c r="ER262" s="142">
        <f>SUM(ES262:ET262)</f>
      </c>
      <c r="ES262" s="143"/>
      <c r="ET262" s="143"/>
      <c r="EU262" s="144"/>
      <c r="FB262" s="146"/>
      <c r="FC262" s="146" cm="1">
        <f t="array" ref="FC262">ROW()-ROW(New[#Headers])</f>
        <v>256</v>
      </c>
    </row>
    <row r="263" spans="2:159" s="139" customFormat="1" ht="10.5" x14ac:dyDescent="0.2">
      <c r="B263" s="133"/>
      <c r="C263" s="133"/>
      <c r="E263" s="133"/>
      <c r="H263" s="133"/>
      <c r="N263" s="140"/>
      <c r="O263" s="140"/>
      <c r="P263" s="141"/>
      <c r="Q263" s="142">
        <f>SUM(R263:AQ263)</f>
      </c>
      <c r="R263" s="143"/>
      <c r="S263" s="143"/>
      <c r="T263" s="143"/>
      <c r="U263" s="143"/>
      <c r="V263" s="143"/>
      <c r="W263" s="143"/>
      <c r="X263" s="143"/>
      <c r="Y263" s="143"/>
      <c r="Z263" s="143"/>
      <c r="AA263" s="143"/>
      <c r="AB263" s="143"/>
      <c r="AC263" s="143"/>
      <c r="AD263" s="143"/>
      <c r="AE263" s="143"/>
      <c r="AF263" s="143"/>
      <c r="AG263" s="143"/>
      <c r="AH263" s="143"/>
      <c r="AI263" s="143"/>
      <c r="AJ263" s="143"/>
      <c r="AK263" s="143"/>
      <c r="AL263" s="143"/>
      <c r="AM263" s="143"/>
      <c r="AN263" s="143"/>
      <c r="AO263" s="143"/>
      <c r="AP263" s="143"/>
      <c r="AQ263" s="143"/>
      <c r="AR263" s="142">
        <f>SUM(AS263:AV263)</f>
      </c>
      <c r="AS263" s="143"/>
      <c r="AT263" s="143"/>
      <c r="AU263" s="143"/>
      <c r="AV263" s="143"/>
      <c r="AW263" s="142">
        <f>SUM(AX263:BI263)</f>
      </c>
      <c r="AX263" s="143"/>
      <c r="AY263" s="143"/>
      <c r="AZ263" s="143"/>
      <c r="BA263" s="143"/>
      <c r="BB263" s="143"/>
      <c r="BC263" s="143"/>
      <c r="BD263" s="143"/>
      <c r="BE263" s="143"/>
      <c r="BF263" s="143"/>
      <c r="BG263" s="143"/>
      <c r="BH263" s="143"/>
      <c r="BI263" s="143"/>
      <c r="BJ263" s="142"/>
      <c r="BK263" s="143"/>
      <c r="BL263" s="143"/>
      <c r="BM263" s="143"/>
      <c r="BN263" s="143"/>
      <c r="BO263" s="143"/>
      <c r="BP263" s="143"/>
      <c r="BQ263" s="142"/>
      <c r="BR263" s="143"/>
      <c r="BS263" s="143"/>
      <c r="BT263" s="142">
        <f>SUM(BU263:BW263)</f>
      </c>
      <c r="BU263" s="143"/>
      <c r="BV263" s="143"/>
      <c r="BW263" s="143"/>
      <c r="BX263" s="142">
        <f>SUM(BY263:CD263)</f>
      </c>
      <c r="BY263" s="143"/>
      <c r="BZ263" s="143"/>
      <c r="CA263" s="143"/>
      <c r="CB263" s="143"/>
      <c r="CC263" s="143"/>
      <c r="CD263" s="143"/>
      <c r="CE263" s="142"/>
      <c r="CF263" s="143"/>
      <c r="CG263" s="143"/>
      <c r="CH263" s="143"/>
      <c r="CI263" s="143"/>
      <c r="CJ263" s="143"/>
      <c r="CK263" s="142">
        <f>SUM(CL263:CN263)</f>
      </c>
      <c r="CL263" s="143"/>
      <c r="CM263" s="143"/>
      <c r="CN263" s="143"/>
      <c r="CO263" s="142">
        <f>SUM(CP263:CT263)</f>
      </c>
      <c r="CP263" s="143"/>
      <c r="CQ263" s="143"/>
      <c r="CR263" s="143"/>
      <c r="CS263" s="143"/>
      <c r="CT263" s="143"/>
      <c r="CU263" s="142"/>
      <c r="CV263" s="143"/>
      <c r="CW263" s="143"/>
      <c r="CX263" s="143"/>
      <c r="CY263" s="142"/>
      <c r="CZ263" s="143"/>
      <c r="DA263" s="143"/>
      <c r="DB263" s="143"/>
      <c r="DC263" s="143"/>
      <c r="DD263" s="143"/>
      <c r="DE263" s="143"/>
      <c r="DF263" s="143"/>
      <c r="DG263" s="142">
        <f>SUM(DH263:DH263)</f>
      </c>
      <c r="DH263" s="143"/>
      <c r="DI263" s="142"/>
      <c r="DJ263" s="143"/>
      <c r="DK263" s="142">
        <f>SUM(DL263:DQ263)</f>
      </c>
      <c r="DL263" s="143"/>
      <c r="DM263" s="143"/>
      <c r="DN263" s="143"/>
      <c r="DO263" s="143"/>
      <c r="DP263" s="143"/>
      <c r="DQ263" s="143"/>
      <c r="DR263" s="143"/>
      <c r="DS263" s="143"/>
      <c r="DT263" s="143"/>
      <c r="DU263" s="143"/>
      <c r="DV263" s="143"/>
      <c r="DW263" s="143"/>
      <c r="DX263" s="142"/>
      <c r="DY263" s="143"/>
      <c r="DZ263" s="142"/>
      <c r="EA263" s="143"/>
      <c r="EB263" s="143"/>
      <c r="EC263" s="142"/>
      <c r="ED263" s="143"/>
      <c r="EF263" s="143"/>
      <c r="EG263" s="142">
        <f>SUM(EH263:EQ263)</f>
      </c>
      <c r="EH263" s="143"/>
      <c r="EI263" s="143"/>
      <c r="EJ263" s="143"/>
      <c r="EK263" s="143"/>
      <c r="EL263" s="143"/>
      <c r="EM263" s="143"/>
      <c r="EN263" s="143"/>
      <c r="EO263" s="143"/>
      <c r="EP263" s="143"/>
      <c r="EQ263" s="143"/>
      <c r="ER263" s="142">
        <f>SUM(ES263:ET263)</f>
      </c>
      <c r="ES263" s="143"/>
      <c r="ET263" s="143"/>
      <c r="EU263" s="144"/>
      <c r="FB263" s="146"/>
      <c r="FC263" s="146" cm="1">
        <f t="array" ref="FC263">ROW()-ROW(New[#Headers])</f>
        <v>257</v>
      </c>
    </row>
    <row r="264" spans="2:159" s="139" customFormat="1" ht="10.5" x14ac:dyDescent="0.2">
      <c r="B264" s="133"/>
      <c r="C264" s="133"/>
      <c r="E264" s="133"/>
      <c r="H264" s="133"/>
      <c r="N264" s="140"/>
      <c r="O264" s="140"/>
      <c r="P264" s="141"/>
      <c r="Q264" s="142">
        <f>SUM(R264:AQ264)</f>
      </c>
      <c r="R264" s="143"/>
      <c r="S264" s="143"/>
      <c r="T264" s="143"/>
      <c r="U264" s="143"/>
      <c r="V264" s="143"/>
      <c r="W264" s="143"/>
      <c r="X264" s="143"/>
      <c r="Y264" s="143"/>
      <c r="Z264" s="143"/>
      <c r="AA264" s="143"/>
      <c r="AB264" s="143"/>
      <c r="AC264" s="143"/>
      <c r="AD264" s="143"/>
      <c r="AE264" s="143"/>
      <c r="AF264" s="143"/>
      <c r="AG264" s="143"/>
      <c r="AH264" s="143"/>
      <c r="AI264" s="143"/>
      <c r="AJ264" s="143"/>
      <c r="AK264" s="143"/>
      <c r="AL264" s="143"/>
      <c r="AM264" s="143"/>
      <c r="AN264" s="143"/>
      <c r="AO264" s="143"/>
      <c r="AP264" s="143"/>
      <c r="AQ264" s="143"/>
      <c r="AR264" s="142">
        <f>SUM(AS264:AV264)</f>
      </c>
      <c r="AS264" s="143"/>
      <c r="AT264" s="143"/>
      <c r="AU264" s="143"/>
      <c r="AV264" s="143"/>
      <c r="AW264" s="142">
        <f>SUM(AX264:BI264)</f>
      </c>
      <c r="AX264" s="143"/>
      <c r="AY264" s="143"/>
      <c r="AZ264" s="143"/>
      <c r="BA264" s="143"/>
      <c r="BB264" s="143"/>
      <c r="BC264" s="143"/>
      <c r="BD264" s="143"/>
      <c r="BE264" s="143"/>
      <c r="BF264" s="143"/>
      <c r="BG264" s="143"/>
      <c r="BH264" s="143"/>
      <c r="BI264" s="143"/>
      <c r="BJ264" s="142"/>
      <c r="BK264" s="143"/>
      <c r="BL264" s="143"/>
      <c r="BM264" s="143"/>
      <c r="BN264" s="143"/>
      <c r="BO264" s="143"/>
      <c r="BP264" s="143"/>
      <c r="BQ264" s="142"/>
      <c r="BR264" s="143"/>
      <c r="BS264" s="143"/>
      <c r="BT264" s="142">
        <f>SUM(BU264:BW264)</f>
      </c>
      <c r="BU264" s="143"/>
      <c r="BV264" s="143"/>
      <c r="BW264" s="143"/>
      <c r="BX264" s="142">
        <f>SUM(BY264:CD264)</f>
      </c>
      <c r="BY264" s="143"/>
      <c r="BZ264" s="143"/>
      <c r="CA264" s="143"/>
      <c r="CB264" s="143"/>
      <c r="CC264" s="143"/>
      <c r="CD264" s="143"/>
      <c r="CE264" s="142"/>
      <c r="CF264" s="143"/>
      <c r="CG264" s="143"/>
      <c r="CH264" s="143"/>
      <c r="CI264" s="143"/>
      <c r="CJ264" s="143"/>
      <c r="CK264" s="142">
        <f>SUM(CL264:CN264)</f>
      </c>
      <c r="CL264" s="143"/>
      <c r="CM264" s="143"/>
      <c r="CN264" s="143"/>
      <c r="CO264" s="142">
        <f>SUM(CP264:CT264)</f>
      </c>
      <c r="CP264" s="143"/>
      <c r="CQ264" s="143"/>
      <c r="CR264" s="143"/>
      <c r="CS264" s="143"/>
      <c r="CT264" s="143"/>
      <c r="CU264" s="142"/>
      <c r="CV264" s="143"/>
      <c r="CW264" s="143"/>
      <c r="CX264" s="143"/>
      <c r="CY264" s="142"/>
      <c r="CZ264" s="143"/>
      <c r="DA264" s="143"/>
      <c r="DB264" s="143"/>
      <c r="DC264" s="143"/>
      <c r="DD264" s="143"/>
      <c r="DE264" s="143"/>
      <c r="DF264" s="143"/>
      <c r="DG264" s="142">
        <f>SUM(DH264:DH264)</f>
      </c>
      <c r="DH264" s="143"/>
      <c r="DI264" s="142"/>
      <c r="DJ264" s="143"/>
      <c r="DK264" s="142">
        <f>SUM(DL264:DQ264)</f>
      </c>
      <c r="DL264" s="143"/>
      <c r="DM264" s="143"/>
      <c r="DN264" s="143"/>
      <c r="DO264" s="143"/>
      <c r="DP264" s="143"/>
      <c r="DQ264" s="143"/>
      <c r="DR264" s="143"/>
      <c r="DS264" s="143"/>
      <c r="DT264" s="143"/>
      <c r="DU264" s="143"/>
      <c r="DV264" s="143"/>
      <c r="DW264" s="143"/>
      <c r="DX264" s="142"/>
      <c r="DY264" s="143"/>
      <c r="DZ264" s="142"/>
      <c r="EA264" s="143"/>
      <c r="EB264" s="143"/>
      <c r="EC264" s="142"/>
      <c r="ED264" s="143"/>
      <c r="EF264" s="143"/>
      <c r="EG264" s="142">
        <f>SUM(EH264:EQ264)</f>
      </c>
      <c r="EH264" s="143"/>
      <c r="EI264" s="143"/>
      <c r="EJ264" s="143"/>
      <c r="EK264" s="143"/>
      <c r="EL264" s="143"/>
      <c r="EM264" s="143"/>
      <c r="EN264" s="143"/>
      <c r="EO264" s="143"/>
      <c r="EP264" s="143"/>
      <c r="EQ264" s="143"/>
      <c r="ER264" s="142">
        <f>SUM(ES264:ET264)</f>
      </c>
      <c r="ES264" s="143"/>
      <c r="ET264" s="143"/>
      <c r="EU264" s="144"/>
      <c r="FB264" s="146"/>
      <c r="FC264" s="146" cm="1">
        <f t="array" ref="FC264">ROW()-ROW(New[#Headers])</f>
        <v>258</v>
      </c>
    </row>
    <row r="265" spans="2:159" s="139" customFormat="1" ht="10.5" x14ac:dyDescent="0.2">
      <c r="B265" s="133"/>
      <c r="C265" s="133"/>
      <c r="E265" s="133"/>
      <c r="H265" s="133"/>
      <c r="N265" s="140"/>
      <c r="O265" s="140"/>
      <c r="P265" s="141"/>
      <c r="Q265" s="142">
        <f>SUM(R265:AQ265)</f>
      </c>
      <c r="R265" s="143"/>
      <c r="S265" s="143"/>
      <c r="T265" s="143"/>
      <c r="U265" s="143"/>
      <c r="V265" s="143"/>
      <c r="W265" s="143"/>
      <c r="X265" s="143"/>
      <c r="Y265" s="143"/>
      <c r="Z265" s="143"/>
      <c r="AA265" s="143"/>
      <c r="AB265" s="143"/>
      <c r="AC265" s="143"/>
      <c r="AD265" s="143"/>
      <c r="AE265" s="143"/>
      <c r="AF265" s="143"/>
      <c r="AG265" s="143"/>
      <c r="AH265" s="143"/>
      <c r="AI265" s="143"/>
      <c r="AJ265" s="143"/>
      <c r="AK265" s="143"/>
      <c r="AL265" s="143"/>
      <c r="AM265" s="143"/>
      <c r="AN265" s="143"/>
      <c r="AO265" s="143"/>
      <c r="AP265" s="143"/>
      <c r="AQ265" s="143"/>
      <c r="AR265" s="142">
        <f>SUM(AS265:AV265)</f>
      </c>
      <c r="AS265" s="143"/>
      <c r="AT265" s="143"/>
      <c r="AU265" s="143"/>
      <c r="AV265" s="143"/>
      <c r="AW265" s="142">
        <f>SUM(AX265:BI265)</f>
      </c>
      <c r="AX265" s="143"/>
      <c r="AY265" s="143"/>
      <c r="AZ265" s="143"/>
      <c r="BA265" s="143"/>
      <c r="BB265" s="143"/>
      <c r="BC265" s="143"/>
      <c r="BD265" s="143"/>
      <c r="BE265" s="143"/>
      <c r="BF265" s="143"/>
      <c r="BG265" s="143"/>
      <c r="BH265" s="143"/>
      <c r="BI265" s="143"/>
      <c r="BJ265" s="142"/>
      <c r="BK265" s="143"/>
      <c r="BL265" s="143"/>
      <c r="BM265" s="143"/>
      <c r="BN265" s="143"/>
      <c r="BO265" s="143"/>
      <c r="BP265" s="143"/>
      <c r="BQ265" s="142"/>
      <c r="BR265" s="143"/>
      <c r="BS265" s="143"/>
      <c r="BT265" s="142">
        <f>SUM(BU265:BW265)</f>
      </c>
      <c r="BU265" s="143"/>
      <c r="BV265" s="143"/>
      <c r="BW265" s="143"/>
      <c r="BX265" s="142">
        <f>SUM(BY265:CD265)</f>
      </c>
      <c r="BY265" s="143"/>
      <c r="BZ265" s="143"/>
      <c r="CA265" s="143"/>
      <c r="CB265" s="143"/>
      <c r="CC265" s="143"/>
      <c r="CD265" s="143"/>
      <c r="CE265" s="142"/>
      <c r="CF265" s="143"/>
      <c r="CG265" s="143"/>
      <c r="CH265" s="143"/>
      <c r="CI265" s="143"/>
      <c r="CJ265" s="143"/>
      <c r="CK265" s="142">
        <f>SUM(CL265:CN265)</f>
      </c>
      <c r="CL265" s="143"/>
      <c r="CM265" s="143"/>
      <c r="CN265" s="143"/>
      <c r="CO265" s="142">
        <f>SUM(CP265:CT265)</f>
      </c>
      <c r="CP265" s="143"/>
      <c r="CQ265" s="143"/>
      <c r="CR265" s="143"/>
      <c r="CS265" s="143"/>
      <c r="CT265" s="143"/>
      <c r="CU265" s="142"/>
      <c r="CV265" s="143"/>
      <c r="CW265" s="143"/>
      <c r="CX265" s="143"/>
      <c r="CY265" s="142"/>
      <c r="CZ265" s="143"/>
      <c r="DA265" s="143"/>
      <c r="DB265" s="143"/>
      <c r="DC265" s="143"/>
      <c r="DD265" s="143"/>
      <c r="DE265" s="143"/>
      <c r="DF265" s="143"/>
      <c r="DG265" s="142">
        <f>SUM(DH265:DH265)</f>
      </c>
      <c r="DH265" s="143"/>
      <c r="DI265" s="142"/>
      <c r="DJ265" s="143"/>
      <c r="DK265" s="142">
        <f>SUM(DL265:DQ265)</f>
      </c>
      <c r="DL265" s="143"/>
      <c r="DM265" s="143"/>
      <c r="DN265" s="143"/>
      <c r="DO265" s="143"/>
      <c r="DP265" s="143"/>
      <c r="DQ265" s="143"/>
      <c r="DR265" s="143"/>
      <c r="DS265" s="143"/>
      <c r="DT265" s="143"/>
      <c r="DU265" s="143"/>
      <c r="DV265" s="143"/>
      <c r="DW265" s="143"/>
      <c r="DX265" s="142"/>
      <c r="DY265" s="143"/>
      <c r="DZ265" s="142"/>
      <c r="EA265" s="143"/>
      <c r="EB265" s="143"/>
      <c r="EC265" s="142"/>
      <c r="ED265" s="143"/>
      <c r="EF265" s="143"/>
      <c r="EG265" s="142">
        <f>SUM(EH265:EQ265)</f>
      </c>
      <c r="EH265" s="143"/>
      <c r="EI265" s="143"/>
      <c r="EJ265" s="143"/>
      <c r="EK265" s="143"/>
      <c r="EL265" s="143"/>
      <c r="EM265" s="143"/>
      <c r="EN265" s="143"/>
      <c r="EO265" s="143"/>
      <c r="EP265" s="143"/>
      <c r="EQ265" s="143"/>
      <c r="ER265" s="142">
        <f>SUM(ES265:ET265)</f>
      </c>
      <c r="ES265" s="143"/>
      <c r="ET265" s="143"/>
      <c r="EU265" s="144"/>
      <c r="FB265" s="146"/>
      <c r="FC265" s="146" cm="1">
        <f t="array" ref="FC265">ROW()-ROW(New[#Headers])</f>
        <v>259</v>
      </c>
    </row>
    <row r="266" spans="2:159" s="139" customFormat="1" ht="10.5" x14ac:dyDescent="0.2">
      <c r="B266" s="133"/>
      <c r="C266" s="133"/>
      <c r="E266" s="133"/>
      <c r="H266" s="133"/>
      <c r="N266" s="140"/>
      <c r="O266" s="140"/>
      <c r="P266" s="141"/>
      <c r="Q266" s="142">
        <f>SUM(R266:AQ266)</f>
      </c>
      <c r="R266" s="143"/>
      <c r="S266" s="143"/>
      <c r="T266" s="143"/>
      <c r="U266" s="143"/>
      <c r="V266" s="143"/>
      <c r="W266" s="143"/>
      <c r="X266" s="143"/>
      <c r="Y266" s="143"/>
      <c r="Z266" s="143"/>
      <c r="AA266" s="143"/>
      <c r="AB266" s="143"/>
      <c r="AC266" s="143"/>
      <c r="AD266" s="143"/>
      <c r="AE266" s="143"/>
      <c r="AF266" s="143"/>
      <c r="AG266" s="143"/>
      <c r="AH266" s="143"/>
      <c r="AI266" s="143"/>
      <c r="AJ266" s="143"/>
      <c r="AK266" s="143"/>
      <c r="AL266" s="143"/>
      <c r="AM266" s="143"/>
      <c r="AN266" s="143"/>
      <c r="AO266" s="143"/>
      <c r="AP266" s="143"/>
      <c r="AQ266" s="143"/>
      <c r="AR266" s="142">
        <f>SUM(AS266:AV266)</f>
      </c>
      <c r="AS266" s="143"/>
      <c r="AT266" s="143"/>
      <c r="AU266" s="143"/>
      <c r="AV266" s="143"/>
      <c r="AW266" s="142">
        <f>SUM(AX266:BI266)</f>
      </c>
      <c r="AX266" s="143"/>
      <c r="AY266" s="143"/>
      <c r="AZ266" s="143"/>
      <c r="BA266" s="143"/>
      <c r="BB266" s="143"/>
      <c r="BC266" s="143"/>
      <c r="BD266" s="143"/>
      <c r="BE266" s="143"/>
      <c r="BF266" s="143"/>
      <c r="BG266" s="143"/>
      <c r="BH266" s="143"/>
      <c r="BI266" s="143"/>
      <c r="BJ266" s="142"/>
      <c r="BK266" s="143"/>
      <c r="BL266" s="143"/>
      <c r="BM266" s="143"/>
      <c r="BN266" s="143"/>
      <c r="BO266" s="143"/>
      <c r="BP266" s="143"/>
      <c r="BQ266" s="142"/>
      <c r="BR266" s="143"/>
      <c r="BS266" s="143"/>
      <c r="BT266" s="142">
        <f>SUM(BU266:BW266)</f>
      </c>
      <c r="BU266" s="143"/>
      <c r="BV266" s="143"/>
      <c r="BW266" s="143"/>
      <c r="BX266" s="142">
        <f>SUM(BY266:CD266)</f>
      </c>
      <c r="BY266" s="143"/>
      <c r="BZ266" s="143"/>
      <c r="CA266" s="143"/>
      <c r="CB266" s="143"/>
      <c r="CC266" s="143"/>
      <c r="CD266" s="143"/>
      <c r="CE266" s="142"/>
      <c r="CF266" s="143"/>
      <c r="CG266" s="143"/>
      <c r="CH266" s="143"/>
      <c r="CI266" s="143"/>
      <c r="CJ266" s="143"/>
      <c r="CK266" s="142">
        <f>SUM(CL266:CN266)</f>
      </c>
      <c r="CL266" s="143"/>
      <c r="CM266" s="143"/>
      <c r="CN266" s="143"/>
      <c r="CO266" s="142">
        <f>SUM(CP266:CT266)</f>
      </c>
      <c r="CP266" s="143"/>
      <c r="CQ266" s="143"/>
      <c r="CR266" s="143"/>
      <c r="CS266" s="143"/>
      <c r="CT266" s="143"/>
      <c r="CU266" s="142"/>
      <c r="CV266" s="143"/>
      <c r="CW266" s="143"/>
      <c r="CX266" s="143"/>
      <c r="CY266" s="142"/>
      <c r="CZ266" s="143"/>
      <c r="DA266" s="143"/>
      <c r="DB266" s="143"/>
      <c r="DC266" s="143"/>
      <c r="DD266" s="143"/>
      <c r="DE266" s="143"/>
      <c r="DF266" s="143"/>
      <c r="DG266" s="142">
        <f>SUM(DH266:DH266)</f>
      </c>
      <c r="DH266" s="143"/>
      <c r="DI266" s="142"/>
      <c r="DJ266" s="143"/>
      <c r="DK266" s="142">
        <f>SUM(DL266:DQ266)</f>
      </c>
      <c r="DL266" s="143"/>
      <c r="DM266" s="143"/>
      <c r="DN266" s="143"/>
      <c r="DO266" s="143"/>
      <c r="DP266" s="143"/>
      <c r="DQ266" s="143"/>
      <c r="DR266" s="143"/>
      <c r="DS266" s="143"/>
      <c r="DT266" s="143"/>
      <c r="DU266" s="143"/>
      <c r="DV266" s="143"/>
      <c r="DW266" s="143"/>
      <c r="DX266" s="142"/>
      <c r="DY266" s="143"/>
      <c r="DZ266" s="142"/>
      <c r="EA266" s="143"/>
      <c r="EB266" s="143"/>
      <c r="EC266" s="142"/>
      <c r="ED266" s="143"/>
      <c r="EF266" s="143"/>
      <c r="EG266" s="142">
        <f>SUM(EH266:EQ266)</f>
      </c>
      <c r="EH266" s="143"/>
      <c r="EI266" s="143"/>
      <c r="EJ266" s="143"/>
      <c r="EK266" s="143"/>
      <c r="EL266" s="143"/>
      <c r="EM266" s="143"/>
      <c r="EN266" s="143"/>
      <c r="EO266" s="143"/>
      <c r="EP266" s="143"/>
      <c r="EQ266" s="143"/>
      <c r="ER266" s="142">
        <f>SUM(ES266:ET266)</f>
      </c>
      <c r="ES266" s="143"/>
      <c r="ET266" s="143"/>
      <c r="EU266" s="144"/>
      <c r="FB266" s="146"/>
      <c r="FC266" s="146" cm="1">
        <f t="array" ref="FC266">ROW()-ROW(New[#Headers])</f>
        <v>260</v>
      </c>
    </row>
    <row r="267" spans="2:159" s="139" customFormat="1" ht="10.5" x14ac:dyDescent="0.2">
      <c r="B267" s="133"/>
      <c r="C267" s="133"/>
      <c r="E267" s="133"/>
      <c r="H267" s="133"/>
      <c r="N267" s="140"/>
      <c r="O267" s="140"/>
      <c r="P267" s="141"/>
      <c r="Q267" s="142">
        <f>SUM(R267:AQ267)</f>
      </c>
      <c r="R267" s="143"/>
      <c r="S267" s="143"/>
      <c r="T267" s="143"/>
      <c r="U267" s="143"/>
      <c r="V267" s="143"/>
      <c r="W267" s="143"/>
      <c r="X267" s="143"/>
      <c r="Y267" s="143"/>
      <c r="Z267" s="143"/>
      <c r="AA267" s="143"/>
      <c r="AB267" s="143"/>
      <c r="AC267" s="143"/>
      <c r="AD267" s="143"/>
      <c r="AE267" s="143"/>
      <c r="AF267" s="143"/>
      <c r="AG267" s="143"/>
      <c r="AH267" s="143"/>
      <c r="AI267" s="143"/>
      <c r="AJ267" s="143"/>
      <c r="AK267" s="143"/>
      <c r="AL267" s="143"/>
      <c r="AM267" s="143"/>
      <c r="AN267" s="143"/>
      <c r="AO267" s="143"/>
      <c r="AP267" s="143"/>
      <c r="AQ267" s="143"/>
      <c r="AR267" s="142">
        <f>SUM(AS267:AV267)</f>
      </c>
      <c r="AS267" s="143"/>
      <c r="AT267" s="143"/>
      <c r="AU267" s="143"/>
      <c r="AV267" s="143"/>
      <c r="AW267" s="142">
        <f>SUM(AX267:BI267)</f>
      </c>
      <c r="AX267" s="143"/>
      <c r="AY267" s="143"/>
      <c r="AZ267" s="143"/>
      <c r="BA267" s="143"/>
      <c r="BB267" s="143"/>
      <c r="BC267" s="143"/>
      <c r="BD267" s="143"/>
      <c r="BE267" s="143"/>
      <c r="BF267" s="143"/>
      <c r="BG267" s="143"/>
      <c r="BH267" s="143"/>
      <c r="BI267" s="143"/>
      <c r="BJ267" s="142"/>
      <c r="BK267" s="143"/>
      <c r="BL267" s="143"/>
      <c r="BM267" s="143"/>
      <c r="BN267" s="143"/>
      <c r="BO267" s="143"/>
      <c r="BP267" s="143"/>
      <c r="BQ267" s="142"/>
      <c r="BR267" s="143"/>
      <c r="BS267" s="143"/>
      <c r="BT267" s="142">
        <f>SUM(BU267:BW267)</f>
      </c>
      <c r="BU267" s="143"/>
      <c r="BV267" s="143"/>
      <c r="BW267" s="143"/>
      <c r="BX267" s="142">
        <f>SUM(BY267:CD267)</f>
      </c>
      <c r="BY267" s="143"/>
      <c r="BZ267" s="143"/>
      <c r="CA267" s="143"/>
      <c r="CB267" s="143"/>
      <c r="CC267" s="143"/>
      <c r="CD267" s="143"/>
      <c r="CE267" s="142"/>
      <c r="CF267" s="143"/>
      <c r="CG267" s="143"/>
      <c r="CH267" s="143"/>
      <c r="CI267" s="143"/>
      <c r="CJ267" s="143"/>
      <c r="CK267" s="142">
        <f>SUM(CL267:CN267)</f>
      </c>
      <c r="CL267" s="143"/>
      <c r="CM267" s="143"/>
      <c r="CN267" s="143"/>
      <c r="CO267" s="142">
        <f>SUM(CP267:CT267)</f>
      </c>
      <c r="CP267" s="143"/>
      <c r="CQ267" s="143"/>
      <c r="CR267" s="143"/>
      <c r="CS267" s="143"/>
      <c r="CT267" s="143"/>
      <c r="CU267" s="142"/>
      <c r="CV267" s="143"/>
      <c r="CW267" s="143"/>
      <c r="CX267" s="143"/>
      <c r="CY267" s="142"/>
      <c r="CZ267" s="143"/>
      <c r="DA267" s="143"/>
      <c r="DB267" s="143"/>
      <c r="DC267" s="143"/>
      <c r="DD267" s="143"/>
      <c r="DE267" s="143"/>
      <c r="DF267" s="143"/>
      <c r="DG267" s="142">
        <f>SUM(DH267:DH267)</f>
      </c>
      <c r="DH267" s="143"/>
      <c r="DI267" s="142"/>
      <c r="DJ267" s="143"/>
      <c r="DK267" s="142">
        <f>SUM(DL267:DQ267)</f>
      </c>
      <c r="DL267" s="143"/>
      <c r="DM267" s="143"/>
      <c r="DN267" s="143"/>
      <c r="DO267" s="143"/>
      <c r="DP267" s="143"/>
      <c r="DQ267" s="143"/>
      <c r="DR267" s="143"/>
      <c r="DS267" s="143"/>
      <c r="DT267" s="143"/>
      <c r="DU267" s="143"/>
      <c r="DV267" s="143"/>
      <c r="DW267" s="143"/>
      <c r="DX267" s="142"/>
      <c r="DY267" s="143"/>
      <c r="DZ267" s="142"/>
      <c r="EA267" s="143"/>
      <c r="EB267" s="143"/>
      <c r="EC267" s="142"/>
      <c r="ED267" s="143"/>
      <c r="EF267" s="143"/>
      <c r="EG267" s="142">
        <f>SUM(EH267:EQ267)</f>
      </c>
      <c r="EH267" s="143"/>
      <c r="EI267" s="143"/>
      <c r="EJ267" s="143"/>
      <c r="EK267" s="143"/>
      <c r="EL267" s="143"/>
      <c r="EM267" s="143"/>
      <c r="EN267" s="143"/>
      <c r="EO267" s="143"/>
      <c r="EP267" s="143"/>
      <c r="EQ267" s="143"/>
      <c r="ER267" s="142">
        <f>SUM(ES267:ET267)</f>
      </c>
      <c r="ES267" s="143"/>
      <c r="ET267" s="143"/>
      <c r="EU267" s="144"/>
      <c r="FB267" s="146"/>
      <c r="FC267" s="146" cm="1">
        <f t="array" ref="FC267">ROW()-ROW(New[#Headers])</f>
        <v>261</v>
      </c>
    </row>
    <row r="268" spans="2:159" s="139" customFormat="1" ht="10.5" x14ac:dyDescent="0.2">
      <c r="B268" s="133"/>
      <c r="C268" s="133"/>
      <c r="E268" s="133"/>
      <c r="H268" s="133"/>
      <c r="N268" s="140"/>
      <c r="O268" s="140"/>
      <c r="P268" s="141"/>
      <c r="Q268" s="142">
        <f>SUM(R268:AQ268)</f>
      </c>
      <c r="R268" s="143"/>
      <c r="S268" s="143"/>
      <c r="T268" s="143"/>
      <c r="U268" s="143"/>
      <c r="V268" s="143"/>
      <c r="W268" s="143"/>
      <c r="X268" s="143"/>
      <c r="Y268" s="143"/>
      <c r="Z268" s="143"/>
      <c r="AA268" s="143"/>
      <c r="AB268" s="143"/>
      <c r="AC268" s="143"/>
      <c r="AD268" s="143"/>
      <c r="AE268" s="143"/>
      <c r="AF268" s="143"/>
      <c r="AG268" s="143"/>
      <c r="AH268" s="143"/>
      <c r="AI268" s="143"/>
      <c r="AJ268" s="143"/>
      <c r="AK268" s="143"/>
      <c r="AL268" s="143"/>
      <c r="AM268" s="143"/>
      <c r="AN268" s="143"/>
      <c r="AO268" s="143"/>
      <c r="AP268" s="143"/>
      <c r="AQ268" s="143"/>
      <c r="AR268" s="142">
        <f>SUM(AS268:AV268)</f>
      </c>
      <c r="AS268" s="143"/>
      <c r="AT268" s="143"/>
      <c r="AU268" s="143"/>
      <c r="AV268" s="143"/>
      <c r="AW268" s="142">
        <f>SUM(AX268:BI268)</f>
      </c>
      <c r="AX268" s="143"/>
      <c r="AY268" s="143"/>
      <c r="AZ268" s="143"/>
      <c r="BA268" s="143"/>
      <c r="BB268" s="143"/>
      <c r="BC268" s="143"/>
      <c r="BD268" s="143"/>
      <c r="BE268" s="143"/>
      <c r="BF268" s="143"/>
      <c r="BG268" s="143"/>
      <c r="BH268" s="143"/>
      <c r="BI268" s="143"/>
      <c r="BJ268" s="142"/>
      <c r="BK268" s="143"/>
      <c r="BL268" s="143"/>
      <c r="BM268" s="143"/>
      <c r="BN268" s="143"/>
      <c r="BO268" s="143"/>
      <c r="BP268" s="143"/>
      <c r="BQ268" s="142"/>
      <c r="BR268" s="143"/>
      <c r="BS268" s="143"/>
      <c r="BT268" s="142">
        <f>SUM(BU268:BW268)</f>
      </c>
      <c r="BU268" s="143"/>
      <c r="BV268" s="143"/>
      <c r="BW268" s="143"/>
      <c r="BX268" s="142">
        <f>SUM(BY268:CD268)</f>
      </c>
      <c r="BY268" s="143"/>
      <c r="BZ268" s="143"/>
      <c r="CA268" s="143"/>
      <c r="CB268" s="143"/>
      <c r="CC268" s="143"/>
      <c r="CD268" s="143"/>
      <c r="CE268" s="142"/>
      <c r="CF268" s="143"/>
      <c r="CG268" s="143"/>
      <c r="CH268" s="143"/>
      <c r="CI268" s="143"/>
      <c r="CJ268" s="143"/>
      <c r="CK268" s="142">
        <f>SUM(CL268:CN268)</f>
      </c>
      <c r="CL268" s="143"/>
      <c r="CM268" s="143"/>
      <c r="CN268" s="143"/>
      <c r="CO268" s="142">
        <f>SUM(CP268:CT268)</f>
      </c>
      <c r="CP268" s="143"/>
      <c r="CQ268" s="143"/>
      <c r="CR268" s="143"/>
      <c r="CS268" s="143"/>
      <c r="CT268" s="143"/>
      <c r="CU268" s="142"/>
      <c r="CV268" s="143"/>
      <c r="CW268" s="143"/>
      <c r="CX268" s="143"/>
      <c r="CY268" s="142"/>
      <c r="CZ268" s="143"/>
      <c r="DA268" s="143"/>
      <c r="DB268" s="143"/>
      <c r="DC268" s="143"/>
      <c r="DD268" s="143"/>
      <c r="DE268" s="143"/>
      <c r="DF268" s="143"/>
      <c r="DG268" s="142">
        <f>SUM(DH268:DH268)</f>
      </c>
      <c r="DH268" s="143"/>
      <c r="DI268" s="142"/>
      <c r="DJ268" s="143"/>
      <c r="DK268" s="142">
        <f>SUM(DL268:DQ268)</f>
      </c>
      <c r="DL268" s="143"/>
      <c r="DM268" s="143"/>
      <c r="DN268" s="143"/>
      <c r="DO268" s="143"/>
      <c r="DP268" s="143"/>
      <c r="DQ268" s="143"/>
      <c r="DR268" s="143"/>
      <c r="DS268" s="143"/>
      <c r="DT268" s="143"/>
      <c r="DU268" s="143"/>
      <c r="DV268" s="143"/>
      <c r="DW268" s="143"/>
      <c r="DX268" s="142"/>
      <c r="DY268" s="143"/>
      <c r="DZ268" s="142"/>
      <c r="EA268" s="143"/>
      <c r="EB268" s="143"/>
      <c r="EC268" s="142"/>
      <c r="ED268" s="143"/>
      <c r="EF268" s="143"/>
      <c r="EG268" s="142">
        <f>SUM(EH268:EQ268)</f>
      </c>
      <c r="EH268" s="143"/>
      <c r="EI268" s="143"/>
      <c r="EJ268" s="143"/>
      <c r="EK268" s="143"/>
      <c r="EL268" s="143"/>
      <c r="EM268" s="143"/>
      <c r="EN268" s="143"/>
      <c r="EO268" s="143"/>
      <c r="EP268" s="143"/>
      <c r="EQ268" s="143"/>
      <c r="ER268" s="142">
        <f>SUM(ES268:ET268)</f>
      </c>
      <c r="ES268" s="143"/>
      <c r="ET268" s="143"/>
      <c r="EU268" s="144"/>
      <c r="FB268" s="146"/>
      <c r="FC268" s="146" cm="1">
        <f t="array" ref="FC268">ROW()-ROW(New[#Headers])</f>
        <v>262</v>
      </c>
    </row>
    <row r="269" spans="2:159" s="139" customFormat="1" ht="10.5" x14ac:dyDescent="0.2">
      <c r="B269" s="133"/>
      <c r="C269" s="133"/>
      <c r="E269" s="133"/>
      <c r="H269" s="133"/>
      <c r="N269" s="140"/>
      <c r="O269" s="140"/>
      <c r="P269" s="141"/>
      <c r="Q269" s="142">
        <f>SUM(R269:AQ269)</f>
      </c>
      <c r="R269" s="143"/>
      <c r="S269" s="143"/>
      <c r="T269" s="143"/>
      <c r="U269" s="143"/>
      <c r="V269" s="143"/>
      <c r="W269" s="143"/>
      <c r="X269" s="143"/>
      <c r="Y269" s="143"/>
      <c r="Z269" s="143"/>
      <c r="AA269" s="143"/>
      <c r="AB269" s="143"/>
      <c r="AC269" s="143"/>
      <c r="AD269" s="143"/>
      <c r="AE269" s="143"/>
      <c r="AF269" s="143"/>
      <c r="AG269" s="143"/>
      <c r="AH269" s="143"/>
      <c r="AI269" s="143"/>
      <c r="AJ269" s="143"/>
      <c r="AK269" s="143"/>
      <c r="AL269" s="143"/>
      <c r="AM269" s="143"/>
      <c r="AN269" s="143"/>
      <c r="AO269" s="143"/>
      <c r="AP269" s="143"/>
      <c r="AQ269" s="143"/>
      <c r="AR269" s="142">
        <f>SUM(AS269:AV269)</f>
      </c>
      <c r="AS269" s="143"/>
      <c r="AT269" s="143"/>
      <c r="AU269" s="143"/>
      <c r="AV269" s="143"/>
      <c r="AW269" s="142">
        <f>SUM(AX269:BI269)</f>
      </c>
      <c r="AX269" s="143"/>
      <c r="AY269" s="143"/>
      <c r="AZ269" s="143"/>
      <c r="BA269" s="143"/>
      <c r="BB269" s="143"/>
      <c r="BC269" s="143"/>
      <c r="BD269" s="143"/>
      <c r="BE269" s="143"/>
      <c r="BF269" s="143"/>
      <c r="BG269" s="143"/>
      <c r="BH269" s="143"/>
      <c r="BI269" s="143"/>
      <c r="BJ269" s="142"/>
      <c r="BK269" s="143"/>
      <c r="BL269" s="143"/>
      <c r="BM269" s="143"/>
      <c r="BN269" s="143"/>
      <c r="BO269" s="143"/>
      <c r="BP269" s="143"/>
      <c r="BQ269" s="142"/>
      <c r="BR269" s="143"/>
      <c r="BS269" s="143"/>
      <c r="BT269" s="142">
        <f>SUM(BU269:BW269)</f>
      </c>
      <c r="BU269" s="143"/>
      <c r="BV269" s="143"/>
      <c r="BW269" s="143"/>
      <c r="BX269" s="142">
        <f>SUM(BY269:CD269)</f>
      </c>
      <c r="BY269" s="143"/>
      <c r="BZ269" s="143"/>
      <c r="CA269" s="143"/>
      <c r="CB269" s="143"/>
      <c r="CC269" s="143"/>
      <c r="CD269" s="143"/>
      <c r="CE269" s="142"/>
      <c r="CF269" s="143"/>
      <c r="CG269" s="143"/>
      <c r="CH269" s="143"/>
      <c r="CI269" s="143"/>
      <c r="CJ269" s="143"/>
      <c r="CK269" s="142">
        <f>SUM(CL269:CN269)</f>
      </c>
      <c r="CL269" s="143"/>
      <c r="CM269" s="143"/>
      <c r="CN269" s="143"/>
      <c r="CO269" s="142">
        <f>SUM(CP269:CT269)</f>
      </c>
      <c r="CP269" s="143"/>
      <c r="CQ269" s="143"/>
      <c r="CR269" s="143"/>
      <c r="CS269" s="143"/>
      <c r="CT269" s="143"/>
      <c r="CU269" s="142"/>
      <c r="CV269" s="143"/>
      <c r="CW269" s="143"/>
      <c r="CX269" s="143"/>
      <c r="CY269" s="142"/>
      <c r="CZ269" s="143"/>
      <c r="DA269" s="143"/>
      <c r="DB269" s="143"/>
      <c r="DC269" s="143"/>
      <c r="DD269" s="143"/>
      <c r="DE269" s="143"/>
      <c r="DF269" s="143"/>
      <c r="DG269" s="142">
        <f>SUM(DH269:DH269)</f>
      </c>
      <c r="DH269" s="143"/>
      <c r="DI269" s="142"/>
      <c r="DJ269" s="143"/>
      <c r="DK269" s="142">
        <f>SUM(DL269:DQ269)</f>
      </c>
      <c r="DL269" s="143"/>
      <c r="DM269" s="143"/>
      <c r="DN269" s="143"/>
      <c r="DO269" s="143"/>
      <c r="DP269" s="143"/>
      <c r="DQ269" s="143"/>
      <c r="DR269" s="143"/>
      <c r="DS269" s="143"/>
      <c r="DT269" s="143"/>
      <c r="DU269" s="143"/>
      <c r="DV269" s="143"/>
      <c r="DW269" s="143"/>
      <c r="DX269" s="142"/>
      <c r="DY269" s="143"/>
      <c r="DZ269" s="142"/>
      <c r="EA269" s="143"/>
      <c r="EB269" s="143"/>
      <c r="EC269" s="142"/>
      <c r="ED269" s="143"/>
      <c r="EF269" s="143"/>
      <c r="EG269" s="142">
        <f>SUM(EH269:EQ269)</f>
      </c>
      <c r="EH269" s="143"/>
      <c r="EI269" s="143"/>
      <c r="EJ269" s="143"/>
      <c r="EK269" s="143"/>
      <c r="EL269" s="143"/>
      <c r="EM269" s="143"/>
      <c r="EN269" s="143"/>
      <c r="EO269" s="143"/>
      <c r="EP269" s="143"/>
      <c r="EQ269" s="143"/>
      <c r="ER269" s="142">
        <f>SUM(ES269:ET269)</f>
      </c>
      <c r="ES269" s="143"/>
      <c r="ET269" s="143"/>
      <c r="EU269" s="144"/>
      <c r="FB269" s="146"/>
      <c r="FC269" s="146" cm="1">
        <f t="array" ref="FC269">ROW()-ROW(New[#Headers])</f>
        <v>263</v>
      </c>
    </row>
    <row r="270" spans="2:159" s="139" customFormat="1" ht="10.5" x14ac:dyDescent="0.2">
      <c r="B270" s="133"/>
      <c r="C270" s="133"/>
      <c r="E270" s="133"/>
      <c r="H270" s="133"/>
      <c r="N270" s="140"/>
      <c r="O270" s="140"/>
      <c r="P270" s="141"/>
      <c r="Q270" s="142">
        <f>SUM(R270:AQ270)</f>
      </c>
      <c r="R270" s="143"/>
      <c r="S270" s="143"/>
      <c r="T270" s="143"/>
      <c r="U270" s="143"/>
      <c r="V270" s="143"/>
      <c r="W270" s="143"/>
      <c r="X270" s="143"/>
      <c r="Y270" s="143"/>
      <c r="Z270" s="143"/>
      <c r="AA270" s="143"/>
      <c r="AB270" s="143"/>
      <c r="AC270" s="143"/>
      <c r="AD270" s="143"/>
      <c r="AE270" s="143"/>
      <c r="AF270" s="143"/>
      <c r="AG270" s="143"/>
      <c r="AH270" s="143"/>
      <c r="AI270" s="143"/>
      <c r="AJ270" s="143"/>
      <c r="AK270" s="143"/>
      <c r="AL270" s="143"/>
      <c r="AM270" s="143"/>
      <c r="AN270" s="143"/>
      <c r="AO270" s="143"/>
      <c r="AP270" s="143"/>
      <c r="AQ270" s="143"/>
      <c r="AR270" s="142">
        <f>SUM(AS270:AV270)</f>
      </c>
      <c r="AS270" s="143"/>
      <c r="AT270" s="143"/>
      <c r="AU270" s="143"/>
      <c r="AV270" s="143"/>
      <c r="AW270" s="142">
        <f>SUM(AX270:BI270)</f>
      </c>
      <c r="AX270" s="143"/>
      <c r="AY270" s="143"/>
      <c r="AZ270" s="143"/>
      <c r="BA270" s="143"/>
      <c r="BB270" s="143"/>
      <c r="BC270" s="143"/>
      <c r="BD270" s="143"/>
      <c r="BE270" s="143"/>
      <c r="BF270" s="143"/>
      <c r="BG270" s="143"/>
      <c r="BH270" s="143"/>
      <c r="BI270" s="143"/>
      <c r="BJ270" s="142"/>
      <c r="BK270" s="143"/>
      <c r="BL270" s="143"/>
      <c r="BM270" s="143"/>
      <c r="BN270" s="143"/>
      <c r="BO270" s="143"/>
      <c r="BP270" s="143"/>
      <c r="BQ270" s="142"/>
      <c r="BR270" s="143"/>
      <c r="BS270" s="143"/>
      <c r="BT270" s="142">
        <f>SUM(BU270:BW270)</f>
      </c>
      <c r="BU270" s="143"/>
      <c r="BV270" s="143"/>
      <c r="BW270" s="143"/>
      <c r="BX270" s="142">
        <f>SUM(BY270:CD270)</f>
      </c>
      <c r="BY270" s="143"/>
      <c r="BZ270" s="143"/>
      <c r="CA270" s="143"/>
      <c r="CB270" s="143"/>
      <c r="CC270" s="143"/>
      <c r="CD270" s="143"/>
      <c r="CE270" s="142"/>
      <c r="CF270" s="143"/>
      <c r="CG270" s="143"/>
      <c r="CH270" s="143"/>
      <c r="CI270" s="143"/>
      <c r="CJ270" s="143"/>
      <c r="CK270" s="142">
        <f>SUM(CL270:CN270)</f>
      </c>
      <c r="CL270" s="143"/>
      <c r="CM270" s="143"/>
      <c r="CN270" s="143"/>
      <c r="CO270" s="142">
        <f>SUM(CP270:CT270)</f>
      </c>
      <c r="CP270" s="143"/>
      <c r="CQ270" s="143"/>
      <c r="CR270" s="143"/>
      <c r="CS270" s="143"/>
      <c r="CT270" s="143"/>
      <c r="CU270" s="142"/>
      <c r="CV270" s="143"/>
      <c r="CW270" s="143"/>
      <c r="CX270" s="143"/>
      <c r="CY270" s="142"/>
      <c r="CZ270" s="143"/>
      <c r="DA270" s="143"/>
      <c r="DB270" s="143"/>
      <c r="DC270" s="143"/>
      <c r="DD270" s="143"/>
      <c r="DE270" s="143"/>
      <c r="DF270" s="143"/>
      <c r="DG270" s="142">
        <f>SUM(DH270:DH270)</f>
      </c>
      <c r="DH270" s="143"/>
      <c r="DI270" s="142"/>
      <c r="DJ270" s="143"/>
      <c r="DK270" s="142">
        <f>SUM(DL270:DQ270)</f>
      </c>
      <c r="DL270" s="143"/>
      <c r="DM270" s="143"/>
      <c r="DN270" s="143"/>
      <c r="DO270" s="143"/>
      <c r="DP270" s="143"/>
      <c r="DQ270" s="143"/>
      <c r="DR270" s="143"/>
      <c r="DS270" s="143"/>
      <c r="DT270" s="143"/>
      <c r="DU270" s="143"/>
      <c r="DV270" s="143"/>
      <c r="DW270" s="143"/>
      <c r="DX270" s="142"/>
      <c r="DY270" s="143"/>
      <c r="DZ270" s="142"/>
      <c r="EA270" s="143"/>
      <c r="EB270" s="143"/>
      <c r="EC270" s="142"/>
      <c r="ED270" s="143"/>
      <c r="EF270" s="143"/>
      <c r="EG270" s="142">
        <f>SUM(EH270:EQ270)</f>
      </c>
      <c r="EH270" s="143"/>
      <c r="EI270" s="143"/>
      <c r="EJ270" s="143"/>
      <c r="EK270" s="143"/>
      <c r="EL270" s="143"/>
      <c r="EM270" s="143"/>
      <c r="EN270" s="143"/>
      <c r="EO270" s="143"/>
      <c r="EP270" s="143"/>
      <c r="EQ270" s="143"/>
      <c r="ER270" s="142">
        <f>SUM(ES270:ET270)</f>
      </c>
      <c r="ES270" s="143"/>
      <c r="ET270" s="143"/>
      <c r="EU270" s="144"/>
      <c r="FB270" s="146"/>
      <c r="FC270" s="146" cm="1">
        <f t="array" ref="FC270">ROW()-ROW(New[#Headers])</f>
        <v>264</v>
      </c>
    </row>
    <row r="271" spans="2:159" s="139" customFormat="1" ht="10.5" x14ac:dyDescent="0.2">
      <c r="B271" s="133"/>
      <c r="C271" s="133"/>
      <c r="E271" s="133"/>
      <c r="H271" s="133"/>
      <c r="N271" s="140"/>
      <c r="O271" s="140"/>
      <c r="P271" s="141"/>
      <c r="Q271" s="142">
        <f>SUM(R271:AQ271)</f>
      </c>
      <c r="R271" s="143"/>
      <c r="S271" s="143"/>
      <c r="T271" s="143"/>
      <c r="U271" s="143"/>
      <c r="V271" s="143"/>
      <c r="W271" s="143"/>
      <c r="X271" s="143"/>
      <c r="Y271" s="143"/>
      <c r="Z271" s="143"/>
      <c r="AA271" s="143"/>
      <c r="AB271" s="143"/>
      <c r="AC271" s="143"/>
      <c r="AD271" s="143"/>
      <c r="AE271" s="143"/>
      <c r="AF271" s="143"/>
      <c r="AG271" s="143"/>
      <c r="AH271" s="143"/>
      <c r="AI271" s="143"/>
      <c r="AJ271" s="143"/>
      <c r="AK271" s="143"/>
      <c r="AL271" s="143"/>
      <c r="AM271" s="143"/>
      <c r="AN271" s="143"/>
      <c r="AO271" s="143"/>
      <c r="AP271" s="143"/>
      <c r="AQ271" s="143"/>
      <c r="AR271" s="142">
        <f>SUM(AS271:AV271)</f>
      </c>
      <c r="AS271" s="143"/>
      <c r="AT271" s="143"/>
      <c r="AU271" s="143"/>
      <c r="AV271" s="143"/>
      <c r="AW271" s="142">
        <f>SUM(AX271:BI271)</f>
      </c>
      <c r="AX271" s="143"/>
      <c r="AY271" s="143"/>
      <c r="AZ271" s="143"/>
      <c r="BA271" s="143"/>
      <c r="BB271" s="143"/>
      <c r="BC271" s="143"/>
      <c r="BD271" s="143"/>
      <c r="BE271" s="143"/>
      <c r="BF271" s="143"/>
      <c r="BG271" s="143"/>
      <c r="BH271" s="143"/>
      <c r="BI271" s="143"/>
      <c r="BJ271" s="142"/>
      <c r="BK271" s="143"/>
      <c r="BL271" s="143"/>
      <c r="BM271" s="143"/>
      <c r="BN271" s="143"/>
      <c r="BO271" s="143"/>
      <c r="BP271" s="143"/>
      <c r="BQ271" s="142"/>
      <c r="BR271" s="143"/>
      <c r="BS271" s="143"/>
      <c r="BT271" s="142">
        <f>SUM(BU271:BW271)</f>
      </c>
      <c r="BU271" s="143"/>
      <c r="BV271" s="143"/>
      <c r="BW271" s="143"/>
      <c r="BX271" s="142">
        <f>SUM(BY271:CD271)</f>
      </c>
      <c r="BY271" s="143"/>
      <c r="BZ271" s="143"/>
      <c r="CA271" s="143"/>
      <c r="CB271" s="143"/>
      <c r="CC271" s="143"/>
      <c r="CD271" s="143"/>
      <c r="CE271" s="142"/>
      <c r="CF271" s="143"/>
      <c r="CG271" s="143"/>
      <c r="CH271" s="143"/>
      <c r="CI271" s="143"/>
      <c r="CJ271" s="143"/>
      <c r="CK271" s="142">
        <f>SUM(CL271:CN271)</f>
      </c>
      <c r="CL271" s="143"/>
      <c r="CM271" s="143"/>
      <c r="CN271" s="143"/>
      <c r="CO271" s="142">
        <f>SUM(CP271:CT271)</f>
      </c>
      <c r="CP271" s="143"/>
      <c r="CQ271" s="143"/>
      <c r="CR271" s="143"/>
      <c r="CS271" s="143"/>
      <c r="CT271" s="143"/>
      <c r="CU271" s="142"/>
      <c r="CV271" s="143"/>
      <c r="CW271" s="143"/>
      <c r="CX271" s="143"/>
      <c r="CY271" s="142"/>
      <c r="CZ271" s="143"/>
      <c r="DA271" s="143"/>
      <c r="DB271" s="143"/>
      <c r="DC271" s="143"/>
      <c r="DD271" s="143"/>
      <c r="DE271" s="143"/>
      <c r="DF271" s="143"/>
      <c r="DG271" s="142">
        <f>SUM(DH271:DH271)</f>
      </c>
      <c r="DH271" s="143"/>
      <c r="DI271" s="142"/>
      <c r="DJ271" s="143"/>
      <c r="DK271" s="142">
        <f>SUM(DL271:DQ271)</f>
      </c>
      <c r="DL271" s="143"/>
      <c r="DM271" s="143"/>
      <c r="DN271" s="143"/>
      <c r="DO271" s="143"/>
      <c r="DP271" s="143"/>
      <c r="DQ271" s="143"/>
      <c r="DR271" s="143"/>
      <c r="DS271" s="143"/>
      <c r="DT271" s="143"/>
      <c r="DU271" s="143"/>
      <c r="DV271" s="143"/>
      <c r="DW271" s="143"/>
      <c r="DX271" s="142"/>
      <c r="DY271" s="143"/>
      <c r="DZ271" s="142"/>
      <c r="EA271" s="143"/>
      <c r="EB271" s="143"/>
      <c r="EC271" s="142"/>
      <c r="ED271" s="143"/>
      <c r="EF271" s="143"/>
      <c r="EG271" s="142">
        <f>SUM(EH271:EQ271)</f>
      </c>
      <c r="EH271" s="143"/>
      <c r="EI271" s="143"/>
      <c r="EJ271" s="143"/>
      <c r="EK271" s="143"/>
      <c r="EL271" s="143"/>
      <c r="EM271" s="143"/>
      <c r="EN271" s="143"/>
      <c r="EO271" s="143"/>
      <c r="EP271" s="143"/>
      <c r="EQ271" s="143"/>
      <c r="ER271" s="142">
        <f>SUM(ES271:ET271)</f>
      </c>
      <c r="ES271" s="143"/>
      <c r="ET271" s="143"/>
      <c r="EU271" s="144"/>
      <c r="FB271" s="146"/>
      <c r="FC271" s="146" cm="1">
        <f t="array" ref="FC271">ROW()-ROW(New[#Headers])</f>
        <v>265</v>
      </c>
    </row>
    <row r="272" spans="2:159" s="139" customFormat="1" ht="10.5" x14ac:dyDescent="0.2">
      <c r="B272" s="133"/>
      <c r="C272" s="133"/>
      <c r="E272" s="133"/>
      <c r="H272" s="133"/>
      <c r="N272" s="140"/>
      <c r="O272" s="140"/>
      <c r="P272" s="141"/>
      <c r="Q272" s="142">
        <f>SUM(R272:AQ272)</f>
      </c>
      <c r="R272" s="143"/>
      <c r="S272" s="143"/>
      <c r="T272" s="143"/>
      <c r="U272" s="143"/>
      <c r="V272" s="143"/>
      <c r="W272" s="143"/>
      <c r="X272" s="143"/>
      <c r="Y272" s="143"/>
      <c r="Z272" s="143"/>
      <c r="AA272" s="143"/>
      <c r="AB272" s="143"/>
      <c r="AC272" s="143"/>
      <c r="AD272" s="143"/>
      <c r="AE272" s="143"/>
      <c r="AF272" s="143"/>
      <c r="AG272" s="143"/>
      <c r="AH272" s="143"/>
      <c r="AI272" s="143"/>
      <c r="AJ272" s="143"/>
      <c r="AK272" s="143"/>
      <c r="AL272" s="143"/>
      <c r="AM272" s="143"/>
      <c r="AN272" s="143"/>
      <c r="AO272" s="143"/>
      <c r="AP272" s="143"/>
      <c r="AQ272" s="143"/>
      <c r="AR272" s="142">
        <f>SUM(AS272:AV272)</f>
      </c>
      <c r="AS272" s="143"/>
      <c r="AT272" s="143"/>
      <c r="AU272" s="143"/>
      <c r="AV272" s="143"/>
      <c r="AW272" s="142">
        <f>SUM(AX272:BI272)</f>
      </c>
      <c r="AX272" s="143"/>
      <c r="AY272" s="143"/>
      <c r="AZ272" s="143"/>
      <c r="BA272" s="143"/>
      <c r="BB272" s="143"/>
      <c r="BC272" s="143"/>
      <c r="BD272" s="143"/>
      <c r="BE272" s="143"/>
      <c r="BF272" s="143"/>
      <c r="BG272" s="143"/>
      <c r="BH272" s="143"/>
      <c r="BI272" s="143"/>
      <c r="BJ272" s="142"/>
      <c r="BK272" s="143"/>
      <c r="BL272" s="143"/>
      <c r="BM272" s="143"/>
      <c r="BN272" s="143"/>
      <c r="BO272" s="143"/>
      <c r="BP272" s="143"/>
      <c r="BQ272" s="142"/>
      <c r="BR272" s="143"/>
      <c r="BS272" s="143"/>
      <c r="BT272" s="142">
        <f>SUM(BU272:BW272)</f>
      </c>
      <c r="BU272" s="143"/>
      <c r="BV272" s="143"/>
      <c r="BW272" s="143"/>
      <c r="BX272" s="142">
        <f>SUM(BY272:CD272)</f>
      </c>
      <c r="BY272" s="143"/>
      <c r="BZ272" s="143"/>
      <c r="CA272" s="143"/>
      <c r="CB272" s="143"/>
      <c r="CC272" s="143"/>
      <c r="CD272" s="143"/>
      <c r="CE272" s="142"/>
      <c r="CF272" s="143"/>
      <c r="CG272" s="143"/>
      <c r="CH272" s="143"/>
      <c r="CI272" s="143"/>
      <c r="CJ272" s="143"/>
      <c r="CK272" s="142">
        <f>SUM(CL272:CN272)</f>
      </c>
      <c r="CL272" s="143"/>
      <c r="CM272" s="143"/>
      <c r="CN272" s="143"/>
      <c r="CO272" s="142">
        <f>SUM(CP272:CT272)</f>
      </c>
      <c r="CP272" s="143"/>
      <c r="CQ272" s="143"/>
      <c r="CR272" s="143"/>
      <c r="CS272" s="143"/>
      <c r="CT272" s="143"/>
      <c r="CU272" s="142"/>
      <c r="CV272" s="143"/>
      <c r="CW272" s="143"/>
      <c r="CX272" s="143"/>
      <c r="CY272" s="142"/>
      <c r="CZ272" s="143"/>
      <c r="DA272" s="143"/>
      <c r="DB272" s="143"/>
      <c r="DC272" s="143"/>
      <c r="DD272" s="143"/>
      <c r="DE272" s="143"/>
      <c r="DF272" s="143"/>
      <c r="DG272" s="142">
        <f>SUM(DH272:DH272)</f>
      </c>
      <c r="DH272" s="143"/>
      <c r="DI272" s="142"/>
      <c r="DJ272" s="143"/>
      <c r="DK272" s="142">
        <f>SUM(DL272:DQ272)</f>
      </c>
      <c r="DL272" s="143"/>
      <c r="DM272" s="143"/>
      <c r="DN272" s="143"/>
      <c r="DO272" s="143"/>
      <c r="DP272" s="143"/>
      <c r="DQ272" s="143"/>
      <c r="DR272" s="143"/>
      <c r="DS272" s="143"/>
      <c r="DT272" s="143"/>
      <c r="DU272" s="143"/>
      <c r="DV272" s="143"/>
      <c r="DW272" s="143"/>
      <c r="DX272" s="142"/>
      <c r="DY272" s="143"/>
      <c r="DZ272" s="142"/>
      <c r="EA272" s="143"/>
      <c r="EB272" s="143"/>
      <c r="EC272" s="142"/>
      <c r="ED272" s="143"/>
      <c r="EF272" s="143"/>
      <c r="EG272" s="142">
        <f>SUM(EH272:EQ272)</f>
      </c>
      <c r="EH272" s="143"/>
      <c r="EI272" s="143"/>
      <c r="EJ272" s="143"/>
      <c r="EK272" s="143"/>
      <c r="EL272" s="143"/>
      <c r="EM272" s="143"/>
      <c r="EN272" s="143"/>
      <c r="EO272" s="143"/>
      <c r="EP272" s="143"/>
      <c r="EQ272" s="143"/>
      <c r="ER272" s="142">
        <f>SUM(ES272:ET272)</f>
      </c>
      <c r="ES272" s="143"/>
      <c r="ET272" s="143"/>
      <c r="EU272" s="144"/>
      <c r="FB272" s="146"/>
      <c r="FC272" s="146" cm="1">
        <f t="array" ref="FC272">ROW()-ROW(New[#Headers])</f>
        <v>266</v>
      </c>
    </row>
    <row r="273" spans="2:159" s="139" customFormat="1" ht="10.5" x14ac:dyDescent="0.2">
      <c r="B273" s="133"/>
      <c r="C273" s="133"/>
      <c r="E273" s="133"/>
      <c r="H273" s="133"/>
      <c r="N273" s="140"/>
      <c r="O273" s="140"/>
      <c r="P273" s="141"/>
      <c r="Q273" s="142">
        <f>SUM(R273:AQ273)</f>
      </c>
      <c r="R273" s="143"/>
      <c r="S273" s="143"/>
      <c r="T273" s="143"/>
      <c r="U273" s="143"/>
      <c r="V273" s="143"/>
      <c r="W273" s="143"/>
      <c r="X273" s="143"/>
      <c r="Y273" s="143"/>
      <c r="Z273" s="143"/>
      <c r="AA273" s="143"/>
      <c r="AB273" s="143"/>
      <c r="AC273" s="143"/>
      <c r="AD273" s="143"/>
      <c r="AE273" s="143"/>
      <c r="AF273" s="143"/>
      <c r="AG273" s="143"/>
      <c r="AH273" s="143"/>
      <c r="AI273" s="143"/>
      <c r="AJ273" s="143"/>
      <c r="AK273" s="143"/>
      <c r="AL273" s="143"/>
      <c r="AM273" s="143"/>
      <c r="AN273" s="143"/>
      <c r="AO273" s="143"/>
      <c r="AP273" s="143"/>
      <c r="AQ273" s="143"/>
      <c r="AR273" s="142">
        <f>SUM(AS273:AV273)</f>
      </c>
      <c r="AS273" s="143"/>
      <c r="AT273" s="143"/>
      <c r="AU273" s="143"/>
      <c r="AV273" s="143"/>
      <c r="AW273" s="142">
        <f>SUM(AX273:BI273)</f>
      </c>
      <c r="AX273" s="143"/>
      <c r="AY273" s="143"/>
      <c r="AZ273" s="143"/>
      <c r="BA273" s="143"/>
      <c r="BB273" s="143"/>
      <c r="BC273" s="143"/>
      <c r="BD273" s="143"/>
      <c r="BE273" s="143"/>
      <c r="BF273" s="143"/>
      <c r="BG273" s="143"/>
      <c r="BH273" s="143"/>
      <c r="BI273" s="143"/>
      <c r="BJ273" s="142"/>
      <c r="BK273" s="143"/>
      <c r="BL273" s="143"/>
      <c r="BM273" s="143"/>
      <c r="BN273" s="143"/>
      <c r="BO273" s="143"/>
      <c r="BP273" s="143"/>
      <c r="BQ273" s="142"/>
      <c r="BR273" s="143"/>
      <c r="BS273" s="143"/>
      <c r="BT273" s="142">
        <f>SUM(BU273:BW273)</f>
      </c>
      <c r="BU273" s="143"/>
      <c r="BV273" s="143"/>
      <c r="BW273" s="143"/>
      <c r="BX273" s="142">
        <f>SUM(BY273:CD273)</f>
      </c>
      <c r="BY273" s="143"/>
      <c r="BZ273" s="143"/>
      <c r="CA273" s="143"/>
      <c r="CB273" s="143"/>
      <c r="CC273" s="143"/>
      <c r="CD273" s="143"/>
      <c r="CE273" s="142"/>
      <c r="CF273" s="143"/>
      <c r="CG273" s="143"/>
      <c r="CH273" s="143"/>
      <c r="CI273" s="143"/>
      <c r="CJ273" s="143"/>
      <c r="CK273" s="142">
        <f>SUM(CL273:CN273)</f>
      </c>
      <c r="CL273" s="143"/>
      <c r="CM273" s="143"/>
      <c r="CN273" s="143"/>
      <c r="CO273" s="142">
        <f>SUM(CP273:CT273)</f>
      </c>
      <c r="CP273" s="143"/>
      <c r="CQ273" s="143"/>
      <c r="CR273" s="143"/>
      <c r="CS273" s="143"/>
      <c r="CT273" s="143"/>
      <c r="CU273" s="142"/>
      <c r="CV273" s="143"/>
      <c r="CW273" s="143"/>
      <c r="CX273" s="143"/>
      <c r="CY273" s="142"/>
      <c r="CZ273" s="143"/>
      <c r="DA273" s="143"/>
      <c r="DB273" s="143"/>
      <c r="DC273" s="143"/>
      <c r="DD273" s="143"/>
      <c r="DE273" s="143"/>
      <c r="DF273" s="143"/>
      <c r="DG273" s="142">
        <f>SUM(DH273:DH273)</f>
      </c>
      <c r="DH273" s="143"/>
      <c r="DI273" s="142"/>
      <c r="DJ273" s="143"/>
      <c r="DK273" s="142">
        <f>SUM(DL273:DQ273)</f>
      </c>
      <c r="DL273" s="143"/>
      <c r="DM273" s="143"/>
      <c r="DN273" s="143"/>
      <c r="DO273" s="143"/>
      <c r="DP273" s="143"/>
      <c r="DQ273" s="143"/>
      <c r="DR273" s="143"/>
      <c r="DS273" s="143"/>
      <c r="DT273" s="143"/>
      <c r="DU273" s="143"/>
      <c r="DV273" s="143"/>
      <c r="DW273" s="143"/>
      <c r="DX273" s="142"/>
      <c r="DY273" s="143"/>
      <c r="DZ273" s="142"/>
      <c r="EA273" s="143"/>
      <c r="EB273" s="143"/>
      <c r="EC273" s="142"/>
      <c r="ED273" s="143"/>
      <c r="EF273" s="143"/>
      <c r="EG273" s="142">
        <f>SUM(EH273:EQ273)</f>
      </c>
      <c r="EH273" s="143"/>
      <c r="EI273" s="143"/>
      <c r="EJ273" s="143"/>
      <c r="EK273" s="143"/>
      <c r="EL273" s="143"/>
      <c r="EM273" s="143"/>
      <c r="EN273" s="143"/>
      <c r="EO273" s="143"/>
      <c r="EP273" s="143"/>
      <c r="EQ273" s="143"/>
      <c r="ER273" s="142">
        <f>SUM(ES273:ET273)</f>
      </c>
      <c r="ES273" s="143"/>
      <c r="ET273" s="143"/>
      <c r="EU273" s="144"/>
      <c r="FB273" s="146"/>
      <c r="FC273" s="146" cm="1">
        <f t="array" ref="FC273">ROW()-ROW(New[#Headers])</f>
        <v>267</v>
      </c>
    </row>
    <row r="274" spans="2:159" s="139" customFormat="1" ht="10.5" x14ac:dyDescent="0.2">
      <c r="B274" s="133"/>
      <c r="C274" s="133"/>
      <c r="E274" s="133"/>
      <c r="H274" s="133"/>
      <c r="N274" s="140"/>
      <c r="O274" s="140"/>
      <c r="P274" s="141"/>
      <c r="Q274" s="142">
        <f>SUM(R274:AQ274)</f>
      </c>
      <c r="R274" s="143"/>
      <c r="S274" s="143"/>
      <c r="T274" s="143"/>
      <c r="U274" s="143"/>
      <c r="V274" s="143"/>
      <c r="W274" s="143"/>
      <c r="X274" s="143"/>
      <c r="Y274" s="143"/>
      <c r="Z274" s="143"/>
      <c r="AA274" s="143"/>
      <c r="AB274" s="143"/>
      <c r="AC274" s="143"/>
      <c r="AD274" s="143"/>
      <c r="AE274" s="143"/>
      <c r="AF274" s="143"/>
      <c r="AG274" s="143"/>
      <c r="AH274" s="143"/>
      <c r="AI274" s="143"/>
      <c r="AJ274" s="143"/>
      <c r="AK274" s="143"/>
      <c r="AL274" s="143"/>
      <c r="AM274" s="143"/>
      <c r="AN274" s="143"/>
      <c r="AO274" s="143"/>
      <c r="AP274" s="143"/>
      <c r="AQ274" s="143"/>
      <c r="AR274" s="142">
        <f>SUM(AS274:AV274)</f>
      </c>
      <c r="AS274" s="143"/>
      <c r="AT274" s="143"/>
      <c r="AU274" s="143"/>
      <c r="AV274" s="143"/>
      <c r="AW274" s="142">
        <f>SUM(AX274:BI274)</f>
      </c>
      <c r="AX274" s="143"/>
      <c r="AY274" s="143"/>
      <c r="AZ274" s="143"/>
      <c r="BA274" s="143"/>
      <c r="BB274" s="143"/>
      <c r="BC274" s="143"/>
      <c r="BD274" s="143"/>
      <c r="BE274" s="143"/>
      <c r="BF274" s="143"/>
      <c r="BG274" s="143"/>
      <c r="BH274" s="143"/>
      <c r="BI274" s="143"/>
      <c r="BJ274" s="142"/>
      <c r="BK274" s="143"/>
      <c r="BL274" s="143"/>
      <c r="BM274" s="143"/>
      <c r="BN274" s="143"/>
      <c r="BO274" s="143"/>
      <c r="BP274" s="143"/>
      <c r="BQ274" s="142"/>
      <c r="BR274" s="143"/>
      <c r="BS274" s="143"/>
      <c r="BT274" s="142">
        <f>SUM(BU274:BW274)</f>
      </c>
      <c r="BU274" s="143"/>
      <c r="BV274" s="143"/>
      <c r="BW274" s="143"/>
      <c r="BX274" s="142">
        <f>SUM(BY274:CD274)</f>
      </c>
      <c r="BY274" s="143"/>
      <c r="BZ274" s="143"/>
      <c r="CA274" s="143"/>
      <c r="CB274" s="143"/>
      <c r="CC274" s="143"/>
      <c r="CD274" s="143"/>
      <c r="CE274" s="142"/>
      <c r="CF274" s="143"/>
      <c r="CG274" s="143"/>
      <c r="CH274" s="143"/>
      <c r="CI274" s="143"/>
      <c r="CJ274" s="143"/>
      <c r="CK274" s="142">
        <f>SUM(CL274:CN274)</f>
      </c>
      <c r="CL274" s="143"/>
      <c r="CM274" s="143"/>
      <c r="CN274" s="143"/>
      <c r="CO274" s="142">
        <f>SUM(CP274:CT274)</f>
      </c>
      <c r="CP274" s="143"/>
      <c r="CQ274" s="143"/>
      <c r="CR274" s="143"/>
      <c r="CS274" s="143"/>
      <c r="CT274" s="143"/>
      <c r="CU274" s="142"/>
      <c r="CV274" s="143"/>
      <c r="CW274" s="143"/>
      <c r="CX274" s="143"/>
      <c r="CY274" s="142"/>
      <c r="CZ274" s="143"/>
      <c r="DA274" s="143"/>
      <c r="DB274" s="143"/>
      <c r="DC274" s="143"/>
      <c r="DD274" s="143"/>
      <c r="DE274" s="143"/>
      <c r="DF274" s="143"/>
      <c r="DG274" s="142">
        <f>SUM(DH274:DH274)</f>
      </c>
      <c r="DH274" s="143"/>
      <c r="DI274" s="142"/>
      <c r="DJ274" s="143"/>
      <c r="DK274" s="142">
        <f>SUM(DL274:DQ274)</f>
      </c>
      <c r="DL274" s="143"/>
      <c r="DM274" s="143"/>
      <c r="DN274" s="143"/>
      <c r="DO274" s="143"/>
      <c r="DP274" s="143"/>
      <c r="DQ274" s="143"/>
      <c r="DR274" s="143"/>
      <c r="DS274" s="143"/>
      <c r="DT274" s="143"/>
      <c r="DU274" s="143"/>
      <c r="DV274" s="143"/>
      <c r="DW274" s="143"/>
      <c r="DX274" s="142"/>
      <c r="DY274" s="143"/>
      <c r="DZ274" s="142"/>
      <c r="EA274" s="143"/>
      <c r="EB274" s="143"/>
      <c r="EC274" s="142"/>
      <c r="ED274" s="143"/>
      <c r="EF274" s="143"/>
      <c r="EG274" s="142">
        <f>SUM(EH274:EQ274)</f>
      </c>
      <c r="EH274" s="143"/>
      <c r="EI274" s="143"/>
      <c r="EJ274" s="143"/>
      <c r="EK274" s="143"/>
      <c r="EL274" s="143"/>
      <c r="EM274" s="143"/>
      <c r="EN274" s="143"/>
      <c r="EO274" s="143"/>
      <c r="EP274" s="143"/>
      <c r="EQ274" s="143"/>
      <c r="ER274" s="142">
        <f>SUM(ES274:ET274)</f>
      </c>
      <c r="ES274" s="143"/>
      <c r="ET274" s="143"/>
      <c r="EU274" s="144"/>
      <c r="FB274" s="146"/>
      <c r="FC274" s="146" cm="1">
        <f t="array" ref="FC274">ROW()-ROW(New[#Headers])</f>
        <v>268</v>
      </c>
    </row>
    <row r="275" spans="2:159" s="139" customFormat="1" ht="10.5" x14ac:dyDescent="0.2">
      <c r="B275" s="133"/>
      <c r="C275" s="133"/>
      <c r="E275" s="133"/>
      <c r="H275" s="133"/>
      <c r="N275" s="140"/>
      <c r="O275" s="140"/>
      <c r="P275" s="141"/>
      <c r="Q275" s="142">
        <f>SUM(R275:AQ275)</f>
      </c>
      <c r="R275" s="143"/>
      <c r="S275" s="143"/>
      <c r="T275" s="143"/>
      <c r="U275" s="143"/>
      <c r="V275" s="143"/>
      <c r="W275" s="143"/>
      <c r="X275" s="143"/>
      <c r="Y275" s="143"/>
      <c r="Z275" s="143"/>
      <c r="AA275" s="143"/>
      <c r="AB275" s="143"/>
      <c r="AC275" s="143"/>
      <c r="AD275" s="143"/>
      <c r="AE275" s="143"/>
      <c r="AF275" s="143"/>
      <c r="AG275" s="143"/>
      <c r="AH275" s="143"/>
      <c r="AI275" s="143"/>
      <c r="AJ275" s="143"/>
      <c r="AK275" s="143"/>
      <c r="AL275" s="143"/>
      <c r="AM275" s="143"/>
      <c r="AN275" s="143"/>
      <c r="AO275" s="143"/>
      <c r="AP275" s="143"/>
      <c r="AQ275" s="143"/>
      <c r="AR275" s="142">
        <f>SUM(AS275:AV275)</f>
      </c>
      <c r="AS275" s="143"/>
      <c r="AT275" s="143"/>
      <c r="AU275" s="143"/>
      <c r="AV275" s="143"/>
      <c r="AW275" s="142">
        <f>SUM(AX275:BI275)</f>
      </c>
      <c r="AX275" s="143"/>
      <c r="AY275" s="143"/>
      <c r="AZ275" s="143"/>
      <c r="BA275" s="143"/>
      <c r="BB275" s="143"/>
      <c r="BC275" s="143"/>
      <c r="BD275" s="143"/>
      <c r="BE275" s="143"/>
      <c r="BF275" s="143"/>
      <c r="BG275" s="143"/>
      <c r="BH275" s="143"/>
      <c r="BI275" s="143"/>
      <c r="BJ275" s="142"/>
      <c r="BK275" s="143"/>
      <c r="BL275" s="143"/>
      <c r="BM275" s="143"/>
      <c r="BN275" s="143"/>
      <c r="BO275" s="143"/>
      <c r="BP275" s="143"/>
      <c r="BQ275" s="142"/>
      <c r="BR275" s="143"/>
      <c r="BS275" s="143"/>
      <c r="BT275" s="142">
        <f>SUM(BU275:BW275)</f>
      </c>
      <c r="BU275" s="143"/>
      <c r="BV275" s="143"/>
      <c r="BW275" s="143"/>
      <c r="BX275" s="142">
        <f>SUM(BY275:CD275)</f>
      </c>
      <c r="BY275" s="143"/>
      <c r="BZ275" s="143"/>
      <c r="CA275" s="143"/>
      <c r="CB275" s="143"/>
      <c r="CC275" s="143"/>
      <c r="CD275" s="143"/>
      <c r="CE275" s="142"/>
      <c r="CF275" s="143"/>
      <c r="CG275" s="143"/>
      <c r="CH275" s="143"/>
      <c r="CI275" s="143"/>
      <c r="CJ275" s="143"/>
      <c r="CK275" s="142">
        <f>SUM(CL275:CN275)</f>
      </c>
      <c r="CL275" s="143"/>
      <c r="CM275" s="143"/>
      <c r="CN275" s="143"/>
      <c r="CO275" s="142">
        <f>SUM(CP275:CT275)</f>
      </c>
      <c r="CP275" s="143"/>
      <c r="CQ275" s="143"/>
      <c r="CR275" s="143"/>
      <c r="CS275" s="143"/>
      <c r="CT275" s="143"/>
      <c r="CU275" s="142"/>
      <c r="CV275" s="143"/>
      <c r="CW275" s="143"/>
      <c r="CX275" s="143"/>
      <c r="CY275" s="142"/>
      <c r="CZ275" s="143"/>
      <c r="DA275" s="143"/>
      <c r="DB275" s="143"/>
      <c r="DC275" s="143"/>
      <c r="DD275" s="143"/>
      <c r="DE275" s="143"/>
      <c r="DF275" s="143"/>
      <c r="DG275" s="142">
        <f>SUM(DH275:DH275)</f>
      </c>
      <c r="DH275" s="143"/>
      <c r="DI275" s="142"/>
      <c r="DJ275" s="143"/>
      <c r="DK275" s="142">
        <f>SUM(DL275:DQ275)</f>
      </c>
      <c r="DL275" s="143"/>
      <c r="DM275" s="143"/>
      <c r="DN275" s="143"/>
      <c r="DO275" s="143"/>
      <c r="DP275" s="143"/>
      <c r="DQ275" s="143"/>
      <c r="DR275" s="143"/>
      <c r="DS275" s="143"/>
      <c r="DT275" s="143"/>
      <c r="DU275" s="143"/>
      <c r="DV275" s="143"/>
      <c r="DW275" s="143"/>
      <c r="DX275" s="142"/>
      <c r="DY275" s="143"/>
      <c r="DZ275" s="142"/>
      <c r="EA275" s="143"/>
      <c r="EB275" s="143"/>
      <c r="EC275" s="142"/>
      <c r="ED275" s="143"/>
      <c r="EF275" s="143"/>
      <c r="EG275" s="142">
        <f>SUM(EH275:EQ275)</f>
      </c>
      <c r="EH275" s="143"/>
      <c r="EI275" s="143"/>
      <c r="EJ275" s="143"/>
      <c r="EK275" s="143"/>
      <c r="EL275" s="143"/>
      <c r="EM275" s="143"/>
      <c r="EN275" s="143"/>
      <c r="EO275" s="143"/>
      <c r="EP275" s="143"/>
      <c r="EQ275" s="143"/>
      <c r="ER275" s="142">
        <f>SUM(ES275:ET275)</f>
      </c>
      <c r="ES275" s="143"/>
      <c r="ET275" s="143"/>
      <c r="EU275" s="144"/>
      <c r="FB275" s="146"/>
      <c r="FC275" s="146" cm="1">
        <f t="array" ref="FC275">ROW()-ROW(New[#Headers])</f>
        <v>269</v>
      </c>
    </row>
    <row r="276" spans="2:159" s="139" customFormat="1" ht="10.5" x14ac:dyDescent="0.2">
      <c r="B276" s="133"/>
      <c r="C276" s="133"/>
      <c r="E276" s="133"/>
      <c r="H276" s="133"/>
      <c r="N276" s="140"/>
      <c r="O276" s="140"/>
      <c r="P276" s="141"/>
      <c r="Q276" s="142">
        <f>SUM(R276:AQ276)</f>
      </c>
      <c r="R276" s="143"/>
      <c r="S276" s="143"/>
      <c r="T276" s="143"/>
      <c r="U276" s="143"/>
      <c r="V276" s="143"/>
      <c r="W276" s="143"/>
      <c r="X276" s="143"/>
      <c r="Y276" s="143"/>
      <c r="Z276" s="143"/>
      <c r="AA276" s="143"/>
      <c r="AB276" s="143"/>
      <c r="AC276" s="143"/>
      <c r="AD276" s="143"/>
      <c r="AE276" s="143"/>
      <c r="AF276" s="143"/>
      <c r="AG276" s="143"/>
      <c r="AH276" s="143"/>
      <c r="AI276" s="143"/>
      <c r="AJ276" s="143"/>
      <c r="AK276" s="143"/>
      <c r="AL276" s="143"/>
      <c r="AM276" s="143"/>
      <c r="AN276" s="143"/>
      <c r="AO276" s="143"/>
      <c r="AP276" s="143"/>
      <c r="AQ276" s="143"/>
      <c r="AR276" s="142">
        <f>SUM(AS276:AV276)</f>
      </c>
      <c r="AS276" s="143"/>
      <c r="AT276" s="143"/>
      <c r="AU276" s="143"/>
      <c r="AV276" s="143"/>
      <c r="AW276" s="142">
        <f>SUM(AX276:BI276)</f>
      </c>
      <c r="AX276" s="143"/>
      <c r="AY276" s="143"/>
      <c r="AZ276" s="143"/>
      <c r="BA276" s="143"/>
      <c r="BB276" s="143"/>
      <c r="BC276" s="143"/>
      <c r="BD276" s="143"/>
      <c r="BE276" s="143"/>
      <c r="BF276" s="143"/>
      <c r="BG276" s="143"/>
      <c r="BH276" s="143"/>
      <c r="BI276" s="143"/>
      <c r="BJ276" s="142"/>
      <c r="BK276" s="143"/>
      <c r="BL276" s="143"/>
      <c r="BM276" s="143"/>
      <c r="BN276" s="143"/>
      <c r="BO276" s="143"/>
      <c r="BP276" s="143"/>
      <c r="BQ276" s="142"/>
      <c r="BR276" s="143"/>
      <c r="BS276" s="143"/>
      <c r="BT276" s="142">
        <f>SUM(BU276:BW276)</f>
      </c>
      <c r="BU276" s="143"/>
      <c r="BV276" s="143"/>
      <c r="BW276" s="143"/>
      <c r="BX276" s="142">
        <f>SUM(BY276:CD276)</f>
      </c>
      <c r="BY276" s="143"/>
      <c r="BZ276" s="143"/>
      <c r="CA276" s="143"/>
      <c r="CB276" s="143"/>
      <c r="CC276" s="143"/>
      <c r="CD276" s="143"/>
      <c r="CE276" s="142"/>
      <c r="CF276" s="143"/>
      <c r="CG276" s="143"/>
      <c r="CH276" s="143"/>
      <c r="CI276" s="143"/>
      <c r="CJ276" s="143"/>
      <c r="CK276" s="142">
        <f>SUM(CL276:CN276)</f>
      </c>
      <c r="CL276" s="143"/>
      <c r="CM276" s="143"/>
      <c r="CN276" s="143"/>
      <c r="CO276" s="142">
        <f>SUM(CP276:CT276)</f>
      </c>
      <c r="CP276" s="143"/>
      <c r="CQ276" s="143"/>
      <c r="CR276" s="143"/>
      <c r="CS276" s="143"/>
      <c r="CT276" s="143"/>
      <c r="CU276" s="142"/>
      <c r="CV276" s="143"/>
      <c r="CW276" s="143"/>
      <c r="CX276" s="143"/>
      <c r="CY276" s="142"/>
      <c r="CZ276" s="143"/>
      <c r="DA276" s="143"/>
      <c r="DB276" s="143"/>
      <c r="DC276" s="143"/>
      <c r="DD276" s="143"/>
      <c r="DE276" s="143"/>
      <c r="DF276" s="143"/>
      <c r="DG276" s="142">
        <f>SUM(DH276:DH276)</f>
      </c>
      <c r="DH276" s="143"/>
      <c r="DI276" s="142"/>
      <c r="DJ276" s="143"/>
      <c r="DK276" s="142">
        <f>SUM(DL276:DQ276)</f>
      </c>
      <c r="DL276" s="143"/>
      <c r="DM276" s="143"/>
      <c r="DN276" s="143"/>
      <c r="DO276" s="143"/>
      <c r="DP276" s="143"/>
      <c r="DQ276" s="143"/>
      <c r="DR276" s="143"/>
      <c r="DS276" s="143"/>
      <c r="DT276" s="143"/>
      <c r="DU276" s="143"/>
      <c r="DV276" s="143"/>
      <c r="DW276" s="143"/>
      <c r="DX276" s="142"/>
      <c r="DY276" s="143"/>
      <c r="DZ276" s="142"/>
      <c r="EA276" s="143"/>
      <c r="EB276" s="143"/>
      <c r="EC276" s="142"/>
      <c r="ED276" s="143"/>
      <c r="EF276" s="143"/>
      <c r="EG276" s="142">
        <f>SUM(EH276:EQ276)</f>
      </c>
      <c r="EH276" s="143"/>
      <c r="EI276" s="143"/>
      <c r="EJ276" s="143"/>
      <c r="EK276" s="143"/>
      <c r="EL276" s="143"/>
      <c r="EM276" s="143"/>
      <c r="EN276" s="143"/>
      <c r="EO276" s="143"/>
      <c r="EP276" s="143"/>
      <c r="EQ276" s="143"/>
      <c r="ER276" s="142">
        <f>SUM(ES276:ET276)</f>
      </c>
      <c r="ES276" s="143"/>
      <c r="ET276" s="143"/>
      <c r="EU276" s="144"/>
      <c r="FB276" s="146"/>
      <c r="FC276" s="146" cm="1">
        <f t="array" ref="FC276">ROW()-ROW(New[#Headers])</f>
        <v>270</v>
      </c>
    </row>
    <row r="277" spans="2:159" s="139" customFormat="1" ht="10.5" x14ac:dyDescent="0.2">
      <c r="B277" s="133"/>
      <c r="C277" s="133"/>
      <c r="E277" s="133"/>
      <c r="H277" s="133"/>
      <c r="N277" s="140"/>
      <c r="O277" s="140"/>
      <c r="P277" s="141"/>
      <c r="Q277" s="142">
        <f>SUM(R277:AQ277)</f>
      </c>
      <c r="R277" s="143"/>
      <c r="S277" s="143"/>
      <c r="T277" s="143"/>
      <c r="U277" s="143"/>
      <c r="V277" s="143"/>
      <c r="W277" s="143"/>
      <c r="X277" s="143"/>
      <c r="Y277" s="143"/>
      <c r="Z277" s="143"/>
      <c r="AA277" s="143"/>
      <c r="AB277" s="143"/>
      <c r="AC277" s="143"/>
      <c r="AD277" s="143"/>
      <c r="AE277" s="143"/>
      <c r="AF277" s="143"/>
      <c r="AG277" s="143"/>
      <c r="AH277" s="143"/>
      <c r="AI277" s="143"/>
      <c r="AJ277" s="143"/>
      <c r="AK277" s="143"/>
      <c r="AL277" s="143"/>
      <c r="AM277" s="143"/>
      <c r="AN277" s="143"/>
      <c r="AO277" s="143"/>
      <c r="AP277" s="143"/>
      <c r="AQ277" s="143"/>
      <c r="AR277" s="142">
        <f>SUM(AS277:AV277)</f>
      </c>
      <c r="AS277" s="143"/>
      <c r="AT277" s="143"/>
      <c r="AU277" s="143"/>
      <c r="AV277" s="143"/>
      <c r="AW277" s="142">
        <f>SUM(AX277:BI277)</f>
      </c>
      <c r="AX277" s="143"/>
      <c r="AY277" s="143"/>
      <c r="AZ277" s="143"/>
      <c r="BA277" s="143"/>
      <c r="BB277" s="143"/>
      <c r="BC277" s="143"/>
      <c r="BD277" s="143"/>
      <c r="BE277" s="143"/>
      <c r="BF277" s="143"/>
      <c r="BG277" s="143"/>
      <c r="BH277" s="143"/>
      <c r="BI277" s="143"/>
      <c r="BJ277" s="142"/>
      <c r="BK277" s="143"/>
      <c r="BL277" s="143"/>
      <c r="BM277" s="143"/>
      <c r="BN277" s="143"/>
      <c r="BO277" s="143"/>
      <c r="BP277" s="143"/>
      <c r="BQ277" s="142"/>
      <c r="BR277" s="143"/>
      <c r="BS277" s="143"/>
      <c r="BT277" s="142">
        <f>SUM(BU277:BW277)</f>
      </c>
      <c r="BU277" s="143"/>
      <c r="BV277" s="143"/>
      <c r="BW277" s="143"/>
      <c r="BX277" s="142">
        <f>SUM(BY277:CD277)</f>
      </c>
      <c r="BY277" s="143"/>
      <c r="BZ277" s="143"/>
      <c r="CA277" s="143"/>
      <c r="CB277" s="143"/>
      <c r="CC277" s="143"/>
      <c r="CD277" s="143"/>
      <c r="CE277" s="142"/>
      <c r="CF277" s="143"/>
      <c r="CG277" s="143"/>
      <c r="CH277" s="143"/>
      <c r="CI277" s="143"/>
      <c r="CJ277" s="143"/>
      <c r="CK277" s="142">
        <f>SUM(CL277:CN277)</f>
      </c>
      <c r="CL277" s="143"/>
      <c r="CM277" s="143"/>
      <c r="CN277" s="143"/>
      <c r="CO277" s="142">
        <f>SUM(CP277:CT277)</f>
      </c>
      <c r="CP277" s="143"/>
      <c r="CQ277" s="143"/>
      <c r="CR277" s="143"/>
      <c r="CS277" s="143"/>
      <c r="CT277" s="143"/>
      <c r="CU277" s="142"/>
      <c r="CV277" s="143"/>
      <c r="CW277" s="143"/>
      <c r="CX277" s="143"/>
      <c r="CY277" s="142"/>
      <c r="CZ277" s="143"/>
      <c r="DA277" s="143"/>
      <c r="DB277" s="143"/>
      <c r="DC277" s="143"/>
      <c r="DD277" s="143"/>
      <c r="DE277" s="143"/>
      <c r="DF277" s="143"/>
      <c r="DG277" s="142">
        <f>SUM(DH277:DH277)</f>
      </c>
      <c r="DH277" s="143"/>
      <c r="DI277" s="142"/>
      <c r="DJ277" s="143"/>
      <c r="DK277" s="142">
        <f>SUM(DL277:DQ277)</f>
      </c>
      <c r="DL277" s="143"/>
      <c r="DM277" s="143"/>
      <c r="DN277" s="143"/>
      <c r="DO277" s="143"/>
      <c r="DP277" s="143"/>
      <c r="DQ277" s="143"/>
      <c r="DR277" s="143"/>
      <c r="DS277" s="143"/>
      <c r="DT277" s="143"/>
      <c r="DU277" s="143"/>
      <c r="DV277" s="143"/>
      <c r="DW277" s="143"/>
      <c r="DX277" s="142"/>
      <c r="DY277" s="143"/>
      <c r="DZ277" s="142"/>
      <c r="EA277" s="143"/>
      <c r="EB277" s="143"/>
      <c r="EC277" s="142"/>
      <c r="ED277" s="143"/>
      <c r="EF277" s="143"/>
      <c r="EG277" s="142">
        <f>SUM(EH277:EQ277)</f>
      </c>
      <c r="EH277" s="143"/>
      <c r="EI277" s="143"/>
      <c r="EJ277" s="143"/>
      <c r="EK277" s="143"/>
      <c r="EL277" s="143"/>
      <c r="EM277" s="143"/>
      <c r="EN277" s="143"/>
      <c r="EO277" s="143"/>
      <c r="EP277" s="143"/>
      <c r="EQ277" s="143"/>
      <c r="ER277" s="142">
        <f>SUM(ES277:ET277)</f>
      </c>
      <c r="ES277" s="143"/>
      <c r="ET277" s="143"/>
      <c r="EU277" s="144"/>
      <c r="FB277" s="146"/>
      <c r="FC277" s="146" cm="1">
        <f t="array" ref="FC277">ROW()-ROW(New[#Headers])</f>
        <v>271</v>
      </c>
    </row>
    <row r="278" spans="2:159" s="139" customFormat="1" ht="10.5" x14ac:dyDescent="0.2">
      <c r="B278" s="133"/>
      <c r="C278" s="133"/>
      <c r="E278" s="133"/>
      <c r="H278" s="133"/>
      <c r="N278" s="140"/>
      <c r="O278" s="140"/>
      <c r="P278" s="141"/>
      <c r="Q278" s="142">
        <f>SUM(R278:AQ278)</f>
      </c>
      <c r="R278" s="143"/>
      <c r="S278" s="143"/>
      <c r="T278" s="143"/>
      <c r="U278" s="143"/>
      <c r="V278" s="143"/>
      <c r="W278" s="143"/>
      <c r="X278" s="143"/>
      <c r="Y278" s="143"/>
      <c r="Z278" s="143"/>
      <c r="AA278" s="143"/>
      <c r="AB278" s="143"/>
      <c r="AC278" s="143"/>
      <c r="AD278" s="143"/>
      <c r="AE278" s="143"/>
      <c r="AF278" s="143"/>
      <c r="AG278" s="143"/>
      <c r="AH278" s="143"/>
      <c r="AI278" s="143"/>
      <c r="AJ278" s="143"/>
      <c r="AK278" s="143"/>
      <c r="AL278" s="143"/>
      <c r="AM278" s="143"/>
      <c r="AN278" s="143"/>
      <c r="AO278" s="143"/>
      <c r="AP278" s="143"/>
      <c r="AQ278" s="143"/>
      <c r="AR278" s="142">
        <f>SUM(AS278:AV278)</f>
      </c>
      <c r="AS278" s="143"/>
      <c r="AT278" s="143"/>
      <c r="AU278" s="143"/>
      <c r="AV278" s="143"/>
      <c r="AW278" s="142">
        <f>SUM(AX278:BI278)</f>
      </c>
      <c r="AX278" s="143"/>
      <c r="AY278" s="143"/>
      <c r="AZ278" s="143"/>
      <c r="BA278" s="143"/>
      <c r="BB278" s="143"/>
      <c r="BC278" s="143"/>
      <c r="BD278" s="143"/>
      <c r="BE278" s="143"/>
      <c r="BF278" s="143"/>
      <c r="BG278" s="143"/>
      <c r="BH278" s="143"/>
      <c r="BI278" s="143"/>
      <c r="BJ278" s="142"/>
      <c r="BK278" s="143"/>
      <c r="BL278" s="143"/>
      <c r="BM278" s="143"/>
      <c r="BN278" s="143"/>
      <c r="BO278" s="143"/>
      <c r="BP278" s="143"/>
      <c r="BQ278" s="142"/>
      <c r="BR278" s="143"/>
      <c r="BS278" s="143"/>
      <c r="BT278" s="142">
        <f>SUM(BU278:BW278)</f>
      </c>
      <c r="BU278" s="143"/>
      <c r="BV278" s="143"/>
      <c r="BW278" s="143"/>
      <c r="BX278" s="142">
        <f>SUM(BY278:CD278)</f>
      </c>
      <c r="BY278" s="143"/>
      <c r="BZ278" s="143"/>
      <c r="CA278" s="143"/>
      <c r="CB278" s="143"/>
      <c r="CC278" s="143"/>
      <c r="CD278" s="143"/>
      <c r="CE278" s="142"/>
      <c r="CF278" s="143"/>
      <c r="CG278" s="143"/>
      <c r="CH278" s="143"/>
      <c r="CI278" s="143"/>
      <c r="CJ278" s="143"/>
      <c r="CK278" s="142">
        <f>SUM(CL278:CN278)</f>
      </c>
      <c r="CL278" s="143"/>
      <c r="CM278" s="143"/>
      <c r="CN278" s="143"/>
      <c r="CO278" s="142">
        <f>SUM(CP278:CT278)</f>
      </c>
      <c r="CP278" s="143"/>
      <c r="CQ278" s="143"/>
      <c r="CR278" s="143"/>
      <c r="CS278" s="143"/>
      <c r="CT278" s="143"/>
      <c r="CU278" s="142"/>
      <c r="CV278" s="143"/>
      <c r="CW278" s="143"/>
      <c r="CX278" s="143"/>
      <c r="CY278" s="142"/>
      <c r="CZ278" s="143"/>
      <c r="DA278" s="143"/>
      <c r="DB278" s="143"/>
      <c r="DC278" s="143"/>
      <c r="DD278" s="143"/>
      <c r="DE278" s="143"/>
      <c r="DF278" s="143"/>
      <c r="DG278" s="142">
        <f>SUM(DH278:DH278)</f>
      </c>
      <c r="DH278" s="143"/>
      <c r="DI278" s="142"/>
      <c r="DJ278" s="143"/>
      <c r="DK278" s="142">
        <f>SUM(DL278:DQ278)</f>
      </c>
      <c r="DL278" s="143"/>
      <c r="DM278" s="143"/>
      <c r="DN278" s="143"/>
      <c r="DO278" s="143"/>
      <c r="DP278" s="143"/>
      <c r="DQ278" s="143"/>
      <c r="DR278" s="143"/>
      <c r="DS278" s="143"/>
      <c r="DT278" s="143"/>
      <c r="DU278" s="143"/>
      <c r="DV278" s="143"/>
      <c r="DW278" s="143"/>
      <c r="DX278" s="142"/>
      <c r="DY278" s="143"/>
      <c r="DZ278" s="142"/>
      <c r="EA278" s="143"/>
      <c r="EB278" s="143"/>
      <c r="EC278" s="142"/>
      <c r="ED278" s="143"/>
      <c r="EF278" s="143"/>
      <c r="EG278" s="142">
        <f>SUM(EH278:EQ278)</f>
      </c>
      <c r="EH278" s="143"/>
      <c r="EI278" s="143"/>
      <c r="EJ278" s="143"/>
      <c r="EK278" s="143"/>
      <c r="EL278" s="143"/>
      <c r="EM278" s="143"/>
      <c r="EN278" s="143"/>
      <c r="EO278" s="143"/>
      <c r="EP278" s="143"/>
      <c r="EQ278" s="143"/>
      <c r="ER278" s="142">
        <f>SUM(ES278:ET278)</f>
      </c>
      <c r="ES278" s="143"/>
      <c r="ET278" s="143"/>
      <c r="EU278" s="144"/>
      <c r="FB278" s="146"/>
      <c r="FC278" s="146" cm="1">
        <f t="array" ref="FC278">ROW()-ROW(New[#Headers])</f>
        <v>272</v>
      </c>
    </row>
    <row r="279" spans="2:159" s="139" customFormat="1" ht="10.5" x14ac:dyDescent="0.2">
      <c r="B279" s="133"/>
      <c r="C279" s="133"/>
      <c r="E279" s="133"/>
      <c r="H279" s="133"/>
      <c r="N279" s="140"/>
      <c r="O279" s="140"/>
      <c r="P279" s="141"/>
      <c r="Q279" s="142">
        <f>SUM(R279:AQ279)</f>
      </c>
      <c r="R279" s="143"/>
      <c r="S279" s="143"/>
      <c r="T279" s="143"/>
      <c r="U279" s="143"/>
      <c r="V279" s="143"/>
      <c r="W279" s="143"/>
      <c r="X279" s="143"/>
      <c r="Y279" s="143"/>
      <c r="Z279" s="143"/>
      <c r="AA279" s="143"/>
      <c r="AB279" s="143"/>
      <c r="AC279" s="143"/>
      <c r="AD279" s="143"/>
      <c r="AE279" s="143"/>
      <c r="AF279" s="143"/>
      <c r="AG279" s="143"/>
      <c r="AH279" s="143"/>
      <c r="AI279" s="143"/>
      <c r="AJ279" s="143"/>
      <c r="AK279" s="143"/>
      <c r="AL279" s="143"/>
      <c r="AM279" s="143"/>
      <c r="AN279" s="143"/>
      <c r="AO279" s="143"/>
      <c r="AP279" s="143"/>
      <c r="AQ279" s="143"/>
      <c r="AR279" s="142">
        <f>SUM(AS279:AV279)</f>
      </c>
      <c r="AS279" s="143"/>
      <c r="AT279" s="143"/>
      <c r="AU279" s="143"/>
      <c r="AV279" s="143"/>
      <c r="AW279" s="142">
        <f>SUM(AX279:BI279)</f>
      </c>
      <c r="AX279" s="143"/>
      <c r="AY279" s="143"/>
      <c r="AZ279" s="143"/>
      <c r="BA279" s="143"/>
      <c r="BB279" s="143"/>
      <c r="BC279" s="143"/>
      <c r="BD279" s="143"/>
      <c r="BE279" s="143"/>
      <c r="BF279" s="143"/>
      <c r="BG279" s="143"/>
      <c r="BH279" s="143"/>
      <c r="BI279" s="143"/>
      <c r="BJ279" s="142"/>
      <c r="BK279" s="143"/>
      <c r="BL279" s="143"/>
      <c r="BM279" s="143"/>
      <c r="BN279" s="143"/>
      <c r="BO279" s="143"/>
      <c r="BP279" s="143"/>
      <c r="BQ279" s="142"/>
      <c r="BR279" s="143"/>
      <c r="BS279" s="143"/>
      <c r="BT279" s="142">
        <f>SUM(BU279:BW279)</f>
      </c>
      <c r="BU279" s="143"/>
      <c r="BV279" s="143"/>
      <c r="BW279" s="143"/>
      <c r="BX279" s="142">
        <f>SUM(BY279:CD279)</f>
      </c>
      <c r="BY279" s="143"/>
      <c r="BZ279" s="143"/>
      <c r="CA279" s="143"/>
      <c r="CB279" s="143"/>
      <c r="CC279" s="143"/>
      <c r="CD279" s="143"/>
      <c r="CE279" s="142"/>
      <c r="CF279" s="143"/>
      <c r="CG279" s="143"/>
      <c r="CH279" s="143"/>
      <c r="CI279" s="143"/>
      <c r="CJ279" s="143"/>
      <c r="CK279" s="142">
        <f>SUM(CL279:CN279)</f>
      </c>
      <c r="CL279" s="143"/>
      <c r="CM279" s="143"/>
      <c r="CN279" s="143"/>
      <c r="CO279" s="142">
        <f>SUM(CP279:CT279)</f>
      </c>
      <c r="CP279" s="143"/>
      <c r="CQ279" s="143"/>
      <c r="CR279" s="143"/>
      <c r="CS279" s="143"/>
      <c r="CT279" s="143"/>
      <c r="CU279" s="142"/>
      <c r="CV279" s="143"/>
      <c r="CW279" s="143"/>
      <c r="CX279" s="143"/>
      <c r="CY279" s="142"/>
      <c r="CZ279" s="143"/>
      <c r="DA279" s="143"/>
      <c r="DB279" s="143"/>
      <c r="DC279" s="143"/>
      <c r="DD279" s="143"/>
      <c r="DE279" s="143"/>
      <c r="DF279" s="143"/>
      <c r="DG279" s="142">
        <f>SUM(DH279:DH279)</f>
      </c>
      <c r="DH279" s="143"/>
      <c r="DI279" s="142"/>
      <c r="DJ279" s="143"/>
      <c r="DK279" s="142">
        <f>SUM(DL279:DQ279)</f>
      </c>
      <c r="DL279" s="143"/>
      <c r="DM279" s="143"/>
      <c r="DN279" s="143"/>
      <c r="DO279" s="143"/>
      <c r="DP279" s="143"/>
      <c r="DQ279" s="143"/>
      <c r="DR279" s="143"/>
      <c r="DS279" s="143"/>
      <c r="DT279" s="143"/>
      <c r="DU279" s="143"/>
      <c r="DV279" s="143"/>
      <c r="DW279" s="143"/>
      <c r="DX279" s="142"/>
      <c r="DY279" s="143"/>
      <c r="DZ279" s="142"/>
      <c r="EA279" s="143"/>
      <c r="EB279" s="143"/>
      <c r="EC279" s="142"/>
      <c r="ED279" s="143"/>
      <c r="EF279" s="143"/>
      <c r="EG279" s="142">
        <f>SUM(EH279:EQ279)</f>
      </c>
      <c r="EH279" s="143"/>
      <c r="EI279" s="143"/>
      <c r="EJ279" s="143"/>
      <c r="EK279" s="143"/>
      <c r="EL279" s="143"/>
      <c r="EM279" s="143"/>
      <c r="EN279" s="143"/>
      <c r="EO279" s="143"/>
      <c r="EP279" s="143"/>
      <c r="EQ279" s="143"/>
      <c r="ER279" s="142">
        <f>SUM(ES279:ET279)</f>
      </c>
      <c r="ES279" s="143"/>
      <c r="ET279" s="143"/>
      <c r="EU279" s="144"/>
      <c r="FB279" s="146"/>
      <c r="FC279" s="146" cm="1">
        <f t="array" ref="FC279">ROW()-ROW(New[#Headers])</f>
        <v>273</v>
      </c>
    </row>
    <row r="280" spans="2:159" s="139" customFormat="1" ht="10.5" x14ac:dyDescent="0.2">
      <c r="B280" s="133"/>
      <c r="C280" s="133"/>
      <c r="E280" s="133"/>
      <c r="H280" s="133"/>
      <c r="N280" s="140"/>
      <c r="O280" s="140"/>
      <c r="P280" s="141"/>
      <c r="Q280" s="142">
        <f>SUM(R280:AQ280)</f>
      </c>
      <c r="R280" s="143"/>
      <c r="S280" s="143"/>
      <c r="T280" s="143"/>
      <c r="U280" s="143"/>
      <c r="V280" s="143"/>
      <c r="W280" s="143"/>
      <c r="X280" s="143"/>
      <c r="Y280" s="143"/>
      <c r="Z280" s="143"/>
      <c r="AA280" s="143"/>
      <c r="AB280" s="143"/>
      <c r="AC280" s="143"/>
      <c r="AD280" s="143"/>
      <c r="AE280" s="143"/>
      <c r="AF280" s="143"/>
      <c r="AG280" s="143"/>
      <c r="AH280" s="143"/>
      <c r="AI280" s="143"/>
      <c r="AJ280" s="143"/>
      <c r="AK280" s="143"/>
      <c r="AL280" s="143"/>
      <c r="AM280" s="143"/>
      <c r="AN280" s="143"/>
      <c r="AO280" s="143"/>
      <c r="AP280" s="143"/>
      <c r="AQ280" s="143"/>
      <c r="AR280" s="142">
        <f>SUM(AS280:AV280)</f>
      </c>
      <c r="AS280" s="143"/>
      <c r="AT280" s="143"/>
      <c r="AU280" s="143"/>
      <c r="AV280" s="143"/>
      <c r="AW280" s="142">
        <f>SUM(AX280:BI280)</f>
      </c>
      <c r="AX280" s="143"/>
      <c r="AY280" s="143"/>
      <c r="AZ280" s="143"/>
      <c r="BA280" s="143"/>
      <c r="BB280" s="143"/>
      <c r="BC280" s="143"/>
      <c r="BD280" s="143"/>
      <c r="BE280" s="143"/>
      <c r="BF280" s="143"/>
      <c r="BG280" s="143"/>
      <c r="BH280" s="143"/>
      <c r="BI280" s="143"/>
      <c r="BJ280" s="142"/>
      <c r="BK280" s="143"/>
      <c r="BL280" s="143"/>
      <c r="BM280" s="143"/>
      <c r="BN280" s="143"/>
      <c r="BO280" s="143"/>
      <c r="BP280" s="143"/>
      <c r="BQ280" s="142"/>
      <c r="BR280" s="143"/>
      <c r="BS280" s="143"/>
      <c r="BT280" s="142">
        <f>SUM(BU280:BW280)</f>
      </c>
      <c r="BU280" s="143"/>
      <c r="BV280" s="143"/>
      <c r="BW280" s="143"/>
      <c r="BX280" s="142">
        <f>SUM(BY280:CD280)</f>
      </c>
      <c r="BY280" s="143"/>
      <c r="BZ280" s="143"/>
      <c r="CA280" s="143"/>
      <c r="CB280" s="143"/>
      <c r="CC280" s="143"/>
      <c r="CD280" s="143"/>
      <c r="CE280" s="142"/>
      <c r="CF280" s="143"/>
      <c r="CG280" s="143"/>
      <c r="CH280" s="143"/>
      <c r="CI280" s="143"/>
      <c r="CJ280" s="143"/>
      <c r="CK280" s="142">
        <f>SUM(CL280:CN280)</f>
      </c>
      <c r="CL280" s="143"/>
      <c r="CM280" s="143"/>
      <c r="CN280" s="143"/>
      <c r="CO280" s="142">
        <f>SUM(CP280:CT280)</f>
      </c>
      <c r="CP280" s="143"/>
      <c r="CQ280" s="143"/>
      <c r="CR280" s="143"/>
      <c r="CS280" s="143"/>
      <c r="CT280" s="143"/>
      <c r="CU280" s="142"/>
      <c r="CV280" s="143"/>
      <c r="CW280" s="143"/>
      <c r="CX280" s="143"/>
      <c r="CY280" s="142"/>
      <c r="CZ280" s="143"/>
      <c r="DA280" s="143"/>
      <c r="DB280" s="143"/>
      <c r="DC280" s="143"/>
      <c r="DD280" s="143"/>
      <c r="DE280" s="143"/>
      <c r="DF280" s="143"/>
      <c r="DG280" s="142">
        <f>SUM(DH280:DH280)</f>
      </c>
      <c r="DH280" s="143"/>
      <c r="DI280" s="142"/>
      <c r="DJ280" s="143"/>
      <c r="DK280" s="142">
        <f>SUM(DL280:DQ280)</f>
      </c>
      <c r="DL280" s="143"/>
      <c r="DM280" s="143"/>
      <c r="DN280" s="143"/>
      <c r="DO280" s="143"/>
      <c r="DP280" s="143"/>
      <c r="DQ280" s="143"/>
      <c r="DR280" s="143"/>
      <c r="DS280" s="143"/>
      <c r="DT280" s="143"/>
      <c r="DU280" s="143"/>
      <c r="DV280" s="143"/>
      <c r="DW280" s="143"/>
      <c r="DX280" s="142"/>
      <c r="DY280" s="143"/>
      <c r="DZ280" s="142"/>
      <c r="EA280" s="143"/>
      <c r="EB280" s="143"/>
      <c r="EC280" s="142"/>
      <c r="ED280" s="143"/>
      <c r="EF280" s="143"/>
      <c r="EG280" s="142">
        <f>SUM(EH280:EQ280)</f>
      </c>
      <c r="EH280" s="143"/>
      <c r="EI280" s="143"/>
      <c r="EJ280" s="143"/>
      <c r="EK280" s="143"/>
      <c r="EL280" s="143"/>
      <c r="EM280" s="143"/>
      <c r="EN280" s="143"/>
      <c r="EO280" s="143"/>
      <c r="EP280" s="143"/>
      <c r="EQ280" s="143"/>
      <c r="ER280" s="142">
        <f>SUM(ES280:ET280)</f>
      </c>
      <c r="ES280" s="143"/>
      <c r="ET280" s="143"/>
      <c r="EU280" s="144"/>
      <c r="FB280" s="146"/>
      <c r="FC280" s="146" cm="1">
        <f t="array" ref="FC280">ROW()-ROW(New[#Headers])</f>
        <v>274</v>
      </c>
    </row>
    <row r="281" spans="2:159" s="139" customFormat="1" ht="10.5" x14ac:dyDescent="0.2">
      <c r="B281" s="133"/>
      <c r="C281" s="133"/>
      <c r="E281" s="133"/>
      <c r="H281" s="133"/>
      <c r="N281" s="140"/>
      <c r="O281" s="140"/>
      <c r="P281" s="141"/>
      <c r="Q281" s="142">
        <f>SUM(R281:AQ281)</f>
      </c>
      <c r="R281" s="143"/>
      <c r="S281" s="143"/>
      <c r="T281" s="143"/>
      <c r="U281" s="143"/>
      <c r="V281" s="143"/>
      <c r="W281" s="143"/>
      <c r="X281" s="143"/>
      <c r="Y281" s="143"/>
      <c r="Z281" s="143"/>
      <c r="AA281" s="143"/>
      <c r="AB281" s="143"/>
      <c r="AC281" s="143"/>
      <c r="AD281" s="143"/>
      <c r="AE281" s="143"/>
      <c r="AF281" s="143"/>
      <c r="AG281" s="143"/>
      <c r="AH281" s="143"/>
      <c r="AI281" s="143"/>
      <c r="AJ281" s="143"/>
      <c r="AK281" s="143"/>
      <c r="AL281" s="143"/>
      <c r="AM281" s="143"/>
      <c r="AN281" s="143"/>
      <c r="AO281" s="143"/>
      <c r="AP281" s="143"/>
      <c r="AQ281" s="143"/>
      <c r="AR281" s="142">
        <f>SUM(AS281:AV281)</f>
      </c>
      <c r="AS281" s="143"/>
      <c r="AT281" s="143"/>
      <c r="AU281" s="143"/>
      <c r="AV281" s="143"/>
      <c r="AW281" s="142">
        <f>SUM(AX281:BI281)</f>
      </c>
      <c r="AX281" s="143"/>
      <c r="AY281" s="143"/>
      <c r="AZ281" s="143"/>
      <c r="BA281" s="143"/>
      <c r="BB281" s="143"/>
      <c r="BC281" s="143"/>
      <c r="BD281" s="143"/>
      <c r="BE281" s="143"/>
      <c r="BF281" s="143"/>
      <c r="BG281" s="143"/>
      <c r="BH281" s="143"/>
      <c r="BI281" s="143"/>
      <c r="BJ281" s="142"/>
      <c r="BK281" s="143"/>
      <c r="BL281" s="143"/>
      <c r="BM281" s="143"/>
      <c r="BN281" s="143"/>
      <c r="BO281" s="143"/>
      <c r="BP281" s="143"/>
      <c r="BQ281" s="142"/>
      <c r="BR281" s="143"/>
      <c r="BS281" s="143"/>
      <c r="BT281" s="142">
        <f>SUM(BU281:BW281)</f>
      </c>
      <c r="BU281" s="143"/>
      <c r="BV281" s="143"/>
      <c r="BW281" s="143"/>
      <c r="BX281" s="142">
        <f>SUM(BY281:CD281)</f>
      </c>
      <c r="BY281" s="143"/>
      <c r="BZ281" s="143"/>
      <c r="CA281" s="143"/>
      <c r="CB281" s="143"/>
      <c r="CC281" s="143"/>
      <c r="CD281" s="143"/>
      <c r="CE281" s="142"/>
      <c r="CF281" s="143"/>
      <c r="CG281" s="143"/>
      <c r="CH281" s="143"/>
      <c r="CI281" s="143"/>
      <c r="CJ281" s="143"/>
      <c r="CK281" s="142">
        <f>SUM(CL281:CN281)</f>
      </c>
      <c r="CL281" s="143"/>
      <c r="CM281" s="143"/>
      <c r="CN281" s="143"/>
      <c r="CO281" s="142">
        <f>SUM(CP281:CT281)</f>
      </c>
      <c r="CP281" s="143"/>
      <c r="CQ281" s="143"/>
      <c r="CR281" s="143"/>
      <c r="CS281" s="143"/>
      <c r="CT281" s="143"/>
      <c r="CU281" s="142"/>
      <c r="CV281" s="143"/>
      <c r="CW281" s="143"/>
      <c r="CX281" s="143"/>
      <c r="CY281" s="142"/>
      <c r="CZ281" s="143"/>
      <c r="DA281" s="143"/>
      <c r="DB281" s="143"/>
      <c r="DC281" s="143"/>
      <c r="DD281" s="143"/>
      <c r="DE281" s="143"/>
      <c r="DF281" s="143"/>
      <c r="DG281" s="142">
        <f>SUM(DH281:DH281)</f>
      </c>
      <c r="DH281" s="143"/>
      <c r="DI281" s="142"/>
      <c r="DJ281" s="143"/>
      <c r="DK281" s="142">
        <f>SUM(DL281:DQ281)</f>
      </c>
      <c r="DL281" s="143"/>
      <c r="DM281" s="143"/>
      <c r="DN281" s="143"/>
      <c r="DO281" s="143"/>
      <c r="DP281" s="143"/>
      <c r="DQ281" s="143"/>
      <c r="DR281" s="143"/>
      <c r="DS281" s="143"/>
      <c r="DT281" s="143"/>
      <c r="DU281" s="143"/>
      <c r="DV281" s="143"/>
      <c r="DW281" s="143"/>
      <c r="DX281" s="142"/>
      <c r="DY281" s="143"/>
      <c r="DZ281" s="142"/>
      <c r="EA281" s="143"/>
      <c r="EB281" s="143"/>
      <c r="EC281" s="142"/>
      <c r="ED281" s="143"/>
      <c r="EF281" s="143"/>
      <c r="EG281" s="142">
        <f>SUM(EH281:EQ281)</f>
      </c>
      <c r="EH281" s="143"/>
      <c r="EI281" s="143"/>
      <c r="EJ281" s="143"/>
      <c r="EK281" s="143"/>
      <c r="EL281" s="143"/>
      <c r="EM281" s="143"/>
      <c r="EN281" s="143"/>
      <c r="EO281" s="143"/>
      <c r="EP281" s="143"/>
      <c r="EQ281" s="143"/>
      <c r="ER281" s="142">
        <f>SUM(ES281:ET281)</f>
      </c>
      <c r="ES281" s="143"/>
      <c r="ET281" s="143"/>
      <c r="EU281" s="144"/>
      <c r="FB281" s="146"/>
      <c r="FC281" s="146" cm="1">
        <f t="array" ref="FC281">ROW()-ROW(New[#Headers])</f>
        <v>275</v>
      </c>
    </row>
    <row r="282" spans="2:159" s="139" customFormat="1" ht="10.5" x14ac:dyDescent="0.2">
      <c r="B282" s="133"/>
      <c r="C282" s="133"/>
      <c r="E282" s="133"/>
      <c r="H282" s="133"/>
      <c r="N282" s="140"/>
      <c r="O282" s="140"/>
      <c r="P282" s="141"/>
      <c r="Q282" s="142">
        <f>SUM(R282:AQ282)</f>
      </c>
      <c r="R282" s="143"/>
      <c r="S282" s="143"/>
      <c r="T282" s="143"/>
      <c r="U282" s="143"/>
      <c r="V282" s="143"/>
      <c r="W282" s="143"/>
      <c r="X282" s="143"/>
      <c r="Y282" s="143"/>
      <c r="Z282" s="143"/>
      <c r="AA282" s="143"/>
      <c r="AB282" s="143"/>
      <c r="AC282" s="143"/>
      <c r="AD282" s="143"/>
      <c r="AE282" s="143"/>
      <c r="AF282" s="143"/>
      <c r="AG282" s="143"/>
      <c r="AH282" s="143"/>
      <c r="AI282" s="143"/>
      <c r="AJ282" s="143"/>
      <c r="AK282" s="143"/>
      <c r="AL282" s="143"/>
      <c r="AM282" s="143"/>
      <c r="AN282" s="143"/>
      <c r="AO282" s="143"/>
      <c r="AP282" s="143"/>
      <c r="AQ282" s="143"/>
      <c r="AR282" s="142">
        <f>SUM(AS282:AV282)</f>
      </c>
      <c r="AS282" s="143"/>
      <c r="AT282" s="143"/>
      <c r="AU282" s="143"/>
      <c r="AV282" s="143"/>
      <c r="AW282" s="142">
        <f>SUM(AX282:BI282)</f>
      </c>
      <c r="AX282" s="143"/>
      <c r="AY282" s="143"/>
      <c r="AZ282" s="143"/>
      <c r="BA282" s="143"/>
      <c r="BB282" s="143"/>
      <c r="BC282" s="143"/>
      <c r="BD282" s="143"/>
      <c r="BE282" s="143"/>
      <c r="BF282" s="143"/>
      <c r="BG282" s="143"/>
      <c r="BH282" s="143"/>
      <c r="BI282" s="143"/>
      <c r="BJ282" s="142"/>
      <c r="BK282" s="143"/>
      <c r="BL282" s="143"/>
      <c r="BM282" s="143"/>
      <c r="BN282" s="143"/>
      <c r="BO282" s="143"/>
      <c r="BP282" s="143"/>
      <c r="BQ282" s="142"/>
      <c r="BR282" s="143"/>
      <c r="BS282" s="143"/>
      <c r="BT282" s="142">
        <f>SUM(BU282:BW282)</f>
      </c>
      <c r="BU282" s="143"/>
      <c r="BV282" s="143"/>
      <c r="BW282" s="143"/>
      <c r="BX282" s="142">
        <f>SUM(BY282:CD282)</f>
      </c>
      <c r="BY282" s="143"/>
      <c r="BZ282" s="143"/>
      <c r="CA282" s="143"/>
      <c r="CB282" s="143"/>
      <c r="CC282" s="143"/>
      <c r="CD282" s="143"/>
      <c r="CE282" s="142"/>
      <c r="CF282" s="143"/>
      <c r="CG282" s="143"/>
      <c r="CH282" s="143"/>
      <c r="CI282" s="143"/>
      <c r="CJ282" s="143"/>
      <c r="CK282" s="142">
        <f>SUM(CL282:CN282)</f>
      </c>
      <c r="CL282" s="143"/>
      <c r="CM282" s="143"/>
      <c r="CN282" s="143"/>
      <c r="CO282" s="142">
        <f>SUM(CP282:CT282)</f>
      </c>
      <c r="CP282" s="143"/>
      <c r="CQ282" s="143"/>
      <c r="CR282" s="143"/>
      <c r="CS282" s="143"/>
      <c r="CT282" s="143"/>
      <c r="CU282" s="142"/>
      <c r="CV282" s="143"/>
      <c r="CW282" s="143"/>
      <c r="CX282" s="143"/>
      <c r="CY282" s="142"/>
      <c r="CZ282" s="143"/>
      <c r="DA282" s="143"/>
      <c r="DB282" s="143"/>
      <c r="DC282" s="143"/>
      <c r="DD282" s="143"/>
      <c r="DE282" s="143"/>
      <c r="DF282" s="143"/>
      <c r="DG282" s="142">
        <f>SUM(DH282:DH282)</f>
      </c>
      <c r="DH282" s="143"/>
      <c r="DI282" s="142"/>
      <c r="DJ282" s="143"/>
      <c r="DK282" s="142">
        <f>SUM(DL282:DQ282)</f>
      </c>
      <c r="DL282" s="143"/>
      <c r="DM282" s="143"/>
      <c r="DN282" s="143"/>
      <c r="DO282" s="143"/>
      <c r="DP282" s="143"/>
      <c r="DQ282" s="143"/>
      <c r="DR282" s="143"/>
      <c r="DS282" s="143"/>
      <c r="DT282" s="143"/>
      <c r="DU282" s="143"/>
      <c r="DV282" s="143"/>
      <c r="DW282" s="143"/>
      <c r="DX282" s="142"/>
      <c r="DY282" s="143"/>
      <c r="DZ282" s="142"/>
      <c r="EA282" s="143"/>
      <c r="EB282" s="143"/>
      <c r="EC282" s="142"/>
      <c r="ED282" s="143"/>
      <c r="EF282" s="143"/>
      <c r="EG282" s="142">
        <f>SUM(EH282:EQ282)</f>
      </c>
      <c r="EH282" s="143"/>
      <c r="EI282" s="143"/>
      <c r="EJ282" s="143"/>
      <c r="EK282" s="143"/>
      <c r="EL282" s="143"/>
      <c r="EM282" s="143"/>
      <c r="EN282" s="143"/>
      <c r="EO282" s="143"/>
      <c r="EP282" s="143"/>
      <c r="EQ282" s="143"/>
      <c r="ER282" s="142">
        <f>SUM(ES282:ET282)</f>
      </c>
      <c r="ES282" s="143"/>
      <c r="ET282" s="143"/>
      <c r="EU282" s="144"/>
      <c r="FB282" s="146"/>
      <c r="FC282" s="146" cm="1">
        <f t="array" ref="FC282">ROW()-ROW(New[#Headers])</f>
        <v>276</v>
      </c>
    </row>
    <row r="283" spans="2:159" s="139" customFormat="1" ht="10.5" x14ac:dyDescent="0.2">
      <c r="B283" s="133"/>
      <c r="C283" s="133"/>
      <c r="E283" s="133"/>
      <c r="H283" s="133"/>
      <c r="N283" s="140"/>
      <c r="O283" s="140"/>
      <c r="P283" s="141"/>
      <c r="Q283" s="142">
        <f>SUM(R283:AQ283)</f>
      </c>
      <c r="R283" s="143"/>
      <c r="S283" s="143"/>
      <c r="T283" s="143"/>
      <c r="U283" s="143"/>
      <c r="V283" s="143"/>
      <c r="W283" s="143"/>
      <c r="X283" s="143"/>
      <c r="Y283" s="143"/>
      <c r="Z283" s="143"/>
      <c r="AA283" s="143"/>
      <c r="AB283" s="143"/>
      <c r="AC283" s="143"/>
      <c r="AD283" s="143"/>
      <c r="AE283" s="143"/>
      <c r="AF283" s="143"/>
      <c r="AG283" s="143"/>
      <c r="AH283" s="143"/>
      <c r="AI283" s="143"/>
      <c r="AJ283" s="143"/>
      <c r="AK283" s="143"/>
      <c r="AL283" s="143"/>
      <c r="AM283" s="143"/>
      <c r="AN283" s="143"/>
      <c r="AO283" s="143"/>
      <c r="AP283" s="143"/>
      <c r="AQ283" s="143"/>
      <c r="AR283" s="142">
        <f>SUM(AS283:AV283)</f>
      </c>
      <c r="AS283" s="143"/>
      <c r="AT283" s="143"/>
      <c r="AU283" s="143"/>
      <c r="AV283" s="143"/>
      <c r="AW283" s="142">
        <f>SUM(AX283:BI283)</f>
      </c>
      <c r="AX283" s="143"/>
      <c r="AY283" s="143"/>
      <c r="AZ283" s="143"/>
      <c r="BA283" s="143"/>
      <c r="BB283" s="143"/>
      <c r="BC283" s="143"/>
      <c r="BD283" s="143"/>
      <c r="BE283" s="143"/>
      <c r="BF283" s="143"/>
      <c r="BG283" s="143"/>
      <c r="BH283" s="143"/>
      <c r="BI283" s="143"/>
      <c r="BJ283" s="142"/>
      <c r="BK283" s="143"/>
      <c r="BL283" s="143"/>
      <c r="BM283" s="143"/>
      <c r="BN283" s="143"/>
      <c r="BO283" s="143"/>
      <c r="BP283" s="143"/>
      <c r="BQ283" s="142"/>
      <c r="BR283" s="143"/>
      <c r="BS283" s="143"/>
      <c r="BT283" s="142">
        <f>SUM(BU283:BW283)</f>
      </c>
      <c r="BU283" s="143"/>
      <c r="BV283" s="143"/>
      <c r="BW283" s="143"/>
      <c r="BX283" s="142">
        <f>SUM(BY283:CD283)</f>
      </c>
      <c r="BY283" s="143"/>
      <c r="BZ283" s="143"/>
      <c r="CA283" s="143"/>
      <c r="CB283" s="143"/>
      <c r="CC283" s="143"/>
      <c r="CD283" s="143"/>
      <c r="CE283" s="142"/>
      <c r="CF283" s="143"/>
      <c r="CG283" s="143"/>
      <c r="CH283" s="143"/>
      <c r="CI283" s="143"/>
      <c r="CJ283" s="143"/>
      <c r="CK283" s="142">
        <f>SUM(CL283:CN283)</f>
      </c>
      <c r="CL283" s="143"/>
      <c r="CM283" s="143"/>
      <c r="CN283" s="143"/>
      <c r="CO283" s="142">
        <f>SUM(CP283:CT283)</f>
      </c>
      <c r="CP283" s="143"/>
      <c r="CQ283" s="143"/>
      <c r="CR283" s="143"/>
      <c r="CS283" s="143"/>
      <c r="CT283" s="143"/>
      <c r="CU283" s="142"/>
      <c r="CV283" s="143"/>
      <c r="CW283" s="143"/>
      <c r="CX283" s="143"/>
      <c r="CY283" s="142"/>
      <c r="CZ283" s="143"/>
      <c r="DA283" s="143"/>
      <c r="DB283" s="143"/>
      <c r="DC283" s="143"/>
      <c r="DD283" s="143"/>
      <c r="DE283" s="143"/>
      <c r="DF283" s="143"/>
      <c r="DG283" s="142">
        <f>SUM(DH283:DH283)</f>
      </c>
      <c r="DH283" s="143"/>
      <c r="DI283" s="142"/>
      <c r="DJ283" s="143"/>
      <c r="DK283" s="142">
        <f>SUM(DL283:DQ283)</f>
      </c>
      <c r="DL283" s="143"/>
      <c r="DM283" s="143"/>
      <c r="DN283" s="143"/>
      <c r="DO283" s="143"/>
      <c r="DP283" s="143"/>
      <c r="DQ283" s="143"/>
      <c r="DR283" s="143"/>
      <c r="DS283" s="143"/>
      <c r="DT283" s="143"/>
      <c r="DU283" s="143"/>
      <c r="DV283" s="143"/>
      <c r="DW283" s="143"/>
      <c r="DX283" s="142"/>
      <c r="DY283" s="143"/>
      <c r="DZ283" s="142"/>
      <c r="EA283" s="143"/>
      <c r="EB283" s="143"/>
      <c r="EC283" s="142"/>
      <c r="ED283" s="143"/>
      <c r="EF283" s="143"/>
      <c r="EG283" s="142">
        <f>SUM(EH283:EQ283)</f>
      </c>
      <c r="EH283" s="143"/>
      <c r="EI283" s="143"/>
      <c r="EJ283" s="143"/>
      <c r="EK283" s="143"/>
      <c r="EL283" s="143"/>
      <c r="EM283" s="143"/>
      <c r="EN283" s="143"/>
      <c r="EO283" s="143"/>
      <c r="EP283" s="143"/>
      <c r="EQ283" s="143"/>
      <c r="ER283" s="142">
        <f>SUM(ES283:ET283)</f>
      </c>
      <c r="ES283" s="143"/>
      <c r="ET283" s="143"/>
      <c r="EU283" s="144"/>
      <c r="FB283" s="146"/>
      <c r="FC283" s="146" cm="1">
        <f t="array" ref="FC283">ROW()-ROW(New[#Headers])</f>
        <v>277</v>
      </c>
    </row>
    <row r="284" spans="2:159" s="139" customFormat="1" ht="10.5" x14ac:dyDescent="0.2">
      <c r="B284" s="133"/>
      <c r="C284" s="133"/>
      <c r="E284" s="133"/>
      <c r="H284" s="133"/>
      <c r="N284" s="140"/>
      <c r="O284" s="140"/>
      <c r="P284" s="141"/>
      <c r="Q284" s="142">
        <f>SUM(R284:AQ284)</f>
      </c>
      <c r="R284" s="143"/>
      <c r="S284" s="143"/>
      <c r="T284" s="143"/>
      <c r="U284" s="143"/>
      <c r="V284" s="143"/>
      <c r="W284" s="143"/>
      <c r="X284" s="143"/>
      <c r="Y284" s="143"/>
      <c r="Z284" s="143"/>
      <c r="AA284" s="143"/>
      <c r="AB284" s="143"/>
      <c r="AC284" s="143"/>
      <c r="AD284" s="143"/>
      <c r="AE284" s="143"/>
      <c r="AF284" s="143"/>
      <c r="AG284" s="143"/>
      <c r="AH284" s="143"/>
      <c r="AI284" s="143"/>
      <c r="AJ284" s="143"/>
      <c r="AK284" s="143"/>
      <c r="AL284" s="143"/>
      <c r="AM284" s="143"/>
      <c r="AN284" s="143"/>
      <c r="AO284" s="143"/>
      <c r="AP284" s="143"/>
      <c r="AQ284" s="143"/>
      <c r="AR284" s="142">
        <f>SUM(AS284:AV284)</f>
      </c>
      <c r="AS284" s="143"/>
      <c r="AT284" s="143"/>
      <c r="AU284" s="143"/>
      <c r="AV284" s="143"/>
      <c r="AW284" s="142">
        <f>SUM(AX284:BI284)</f>
      </c>
      <c r="AX284" s="143"/>
      <c r="AY284" s="143"/>
      <c r="AZ284" s="143"/>
      <c r="BA284" s="143"/>
      <c r="BB284" s="143"/>
      <c r="BC284" s="143"/>
      <c r="BD284" s="143"/>
      <c r="BE284" s="143"/>
      <c r="BF284" s="143"/>
      <c r="BG284" s="143"/>
      <c r="BH284" s="143"/>
      <c r="BI284" s="143"/>
      <c r="BJ284" s="142"/>
      <c r="BK284" s="143"/>
      <c r="BL284" s="143"/>
      <c r="BM284" s="143"/>
      <c r="BN284" s="143"/>
      <c r="BO284" s="143"/>
      <c r="BP284" s="143"/>
      <c r="BQ284" s="142"/>
      <c r="BR284" s="143"/>
      <c r="BS284" s="143"/>
      <c r="BT284" s="142">
        <f>SUM(BU284:BW284)</f>
      </c>
      <c r="BU284" s="143"/>
      <c r="BV284" s="143"/>
      <c r="BW284" s="143"/>
      <c r="BX284" s="142">
        <f>SUM(BY284:CD284)</f>
      </c>
      <c r="BY284" s="143"/>
      <c r="BZ284" s="143"/>
      <c r="CA284" s="143"/>
      <c r="CB284" s="143"/>
      <c r="CC284" s="143"/>
      <c r="CD284" s="143"/>
      <c r="CE284" s="142"/>
      <c r="CF284" s="143"/>
      <c r="CG284" s="143"/>
      <c r="CH284" s="143"/>
      <c r="CI284" s="143"/>
      <c r="CJ284" s="143"/>
      <c r="CK284" s="142">
        <f>SUM(CL284:CN284)</f>
      </c>
      <c r="CL284" s="143"/>
      <c r="CM284" s="143"/>
      <c r="CN284" s="143"/>
      <c r="CO284" s="142">
        <f>SUM(CP284:CT284)</f>
      </c>
      <c r="CP284" s="143"/>
      <c r="CQ284" s="143"/>
      <c r="CR284" s="143"/>
      <c r="CS284" s="143"/>
      <c r="CT284" s="143"/>
      <c r="CU284" s="142"/>
      <c r="CV284" s="143"/>
      <c r="CW284" s="143"/>
      <c r="CX284" s="143"/>
      <c r="CY284" s="142"/>
      <c r="CZ284" s="143"/>
      <c r="DA284" s="143"/>
      <c r="DB284" s="143"/>
      <c r="DC284" s="143"/>
      <c r="DD284" s="143"/>
      <c r="DE284" s="143"/>
      <c r="DF284" s="143"/>
      <c r="DG284" s="142">
        <f>SUM(DH284:DH284)</f>
      </c>
      <c r="DH284" s="143"/>
      <c r="DI284" s="142"/>
      <c r="DJ284" s="143"/>
      <c r="DK284" s="142">
        <f>SUM(DL284:DQ284)</f>
      </c>
      <c r="DL284" s="143"/>
      <c r="DM284" s="143"/>
      <c r="DN284" s="143"/>
      <c r="DO284" s="143"/>
      <c r="DP284" s="143"/>
      <c r="DQ284" s="143"/>
      <c r="DR284" s="143"/>
      <c r="DS284" s="143"/>
      <c r="DT284" s="143"/>
      <c r="DU284" s="143"/>
      <c r="DV284" s="143"/>
      <c r="DW284" s="143"/>
      <c r="DX284" s="142"/>
      <c r="DY284" s="143"/>
      <c r="DZ284" s="142"/>
      <c r="EA284" s="143"/>
      <c r="EB284" s="143"/>
      <c r="EC284" s="142"/>
      <c r="ED284" s="143"/>
      <c r="EF284" s="143"/>
      <c r="EG284" s="142">
        <f>SUM(EH284:EQ284)</f>
      </c>
      <c r="EH284" s="143"/>
      <c r="EI284" s="143"/>
      <c r="EJ284" s="143"/>
      <c r="EK284" s="143"/>
      <c r="EL284" s="143"/>
      <c r="EM284" s="143"/>
      <c r="EN284" s="143"/>
      <c r="EO284" s="143"/>
      <c r="EP284" s="143"/>
      <c r="EQ284" s="143"/>
      <c r="ER284" s="142">
        <f>SUM(ES284:ET284)</f>
      </c>
      <c r="ES284" s="143"/>
      <c r="ET284" s="143"/>
      <c r="EU284" s="144"/>
      <c r="FB284" s="146"/>
      <c r="FC284" s="146" cm="1">
        <f t="array" ref="FC284">ROW()-ROW(New[#Headers])</f>
        <v>278</v>
      </c>
    </row>
    <row r="285" spans="2:159" s="139" customFormat="1" ht="10.5" x14ac:dyDescent="0.2">
      <c r="B285" s="133"/>
      <c r="C285" s="133"/>
      <c r="E285" s="133"/>
      <c r="H285" s="133"/>
      <c r="N285" s="140"/>
      <c r="O285" s="140"/>
      <c r="P285" s="141"/>
      <c r="Q285" s="142">
        <f>SUM(R285:AQ285)</f>
      </c>
      <c r="R285" s="143"/>
      <c r="S285" s="143"/>
      <c r="T285" s="143"/>
      <c r="U285" s="143"/>
      <c r="V285" s="143"/>
      <c r="W285" s="143"/>
      <c r="X285" s="143"/>
      <c r="Y285" s="143"/>
      <c r="Z285" s="143"/>
      <c r="AA285" s="143"/>
      <c r="AB285" s="143"/>
      <c r="AC285" s="143"/>
      <c r="AD285" s="143"/>
      <c r="AE285" s="143"/>
      <c r="AF285" s="143"/>
      <c r="AG285" s="143"/>
      <c r="AH285" s="143"/>
      <c r="AI285" s="143"/>
      <c r="AJ285" s="143"/>
      <c r="AK285" s="143"/>
      <c r="AL285" s="143"/>
      <c r="AM285" s="143"/>
      <c r="AN285" s="143"/>
      <c r="AO285" s="143"/>
      <c r="AP285" s="143"/>
      <c r="AQ285" s="143"/>
      <c r="AR285" s="142">
        <f>SUM(AS285:AV285)</f>
      </c>
      <c r="AS285" s="143"/>
      <c r="AT285" s="143"/>
      <c r="AU285" s="143"/>
      <c r="AV285" s="143"/>
      <c r="AW285" s="142">
        <f>SUM(AX285:BI285)</f>
      </c>
      <c r="AX285" s="143"/>
      <c r="AY285" s="143"/>
      <c r="AZ285" s="143"/>
      <c r="BA285" s="143"/>
      <c r="BB285" s="143"/>
      <c r="BC285" s="143"/>
      <c r="BD285" s="143"/>
      <c r="BE285" s="143"/>
      <c r="BF285" s="143"/>
      <c r="BG285" s="143"/>
      <c r="BH285" s="143"/>
      <c r="BI285" s="143"/>
      <c r="BJ285" s="142"/>
      <c r="BK285" s="143"/>
      <c r="BL285" s="143"/>
      <c r="BM285" s="143"/>
      <c r="BN285" s="143"/>
      <c r="BO285" s="143"/>
      <c r="BP285" s="143"/>
      <c r="BQ285" s="142"/>
      <c r="BR285" s="143"/>
      <c r="BS285" s="143"/>
      <c r="BT285" s="142">
        <f>SUM(BU285:BW285)</f>
      </c>
      <c r="BU285" s="143"/>
      <c r="BV285" s="143"/>
      <c r="BW285" s="143"/>
      <c r="BX285" s="142">
        <f>SUM(BY285:CD285)</f>
      </c>
      <c r="BY285" s="143"/>
      <c r="BZ285" s="143"/>
      <c r="CA285" s="143"/>
      <c r="CB285" s="143"/>
      <c r="CC285" s="143"/>
      <c r="CD285" s="143"/>
      <c r="CE285" s="142"/>
      <c r="CF285" s="143"/>
      <c r="CG285" s="143"/>
      <c r="CH285" s="143"/>
      <c r="CI285" s="143"/>
      <c r="CJ285" s="143"/>
      <c r="CK285" s="142">
        <f>SUM(CL285:CN285)</f>
      </c>
      <c r="CL285" s="143"/>
      <c r="CM285" s="143"/>
      <c r="CN285" s="143"/>
      <c r="CO285" s="142">
        <f>SUM(CP285:CT285)</f>
      </c>
      <c r="CP285" s="143"/>
      <c r="CQ285" s="143"/>
      <c r="CR285" s="143"/>
      <c r="CS285" s="143"/>
      <c r="CT285" s="143"/>
      <c r="CU285" s="142"/>
      <c r="CV285" s="143"/>
      <c r="CW285" s="143"/>
      <c r="CX285" s="143"/>
      <c r="CY285" s="142"/>
      <c r="CZ285" s="143"/>
      <c r="DA285" s="143"/>
      <c r="DB285" s="143"/>
      <c r="DC285" s="143"/>
      <c r="DD285" s="143"/>
      <c r="DE285" s="143"/>
      <c r="DF285" s="143"/>
      <c r="DG285" s="142">
        <f>SUM(DH285:DH285)</f>
      </c>
      <c r="DH285" s="143"/>
      <c r="DI285" s="142"/>
      <c r="DJ285" s="143"/>
      <c r="DK285" s="142">
        <f>SUM(DL285:DQ285)</f>
      </c>
      <c r="DL285" s="143"/>
      <c r="DM285" s="143"/>
      <c r="DN285" s="143"/>
      <c r="DO285" s="143"/>
      <c r="DP285" s="143"/>
      <c r="DQ285" s="143"/>
      <c r="DR285" s="143"/>
      <c r="DS285" s="143"/>
      <c r="DT285" s="143"/>
      <c r="DU285" s="143"/>
      <c r="DV285" s="143"/>
      <c r="DW285" s="143"/>
      <c r="DX285" s="142"/>
      <c r="DY285" s="143"/>
      <c r="DZ285" s="142"/>
      <c r="EA285" s="143"/>
      <c r="EB285" s="143"/>
      <c r="EC285" s="142"/>
      <c r="ED285" s="143"/>
      <c r="EF285" s="143"/>
      <c r="EG285" s="142">
        <f>SUM(EH285:EQ285)</f>
      </c>
      <c r="EH285" s="143"/>
      <c r="EI285" s="143"/>
      <c r="EJ285" s="143"/>
      <c r="EK285" s="143"/>
      <c r="EL285" s="143"/>
      <c r="EM285" s="143"/>
      <c r="EN285" s="143"/>
      <c r="EO285" s="143"/>
      <c r="EP285" s="143"/>
      <c r="EQ285" s="143"/>
      <c r="ER285" s="142">
        <f>SUM(ES285:ET285)</f>
      </c>
      <c r="ES285" s="143"/>
      <c r="ET285" s="143"/>
      <c r="EU285" s="144"/>
      <c r="FB285" s="146"/>
      <c r="FC285" s="146" cm="1">
        <f t="array" ref="FC285">ROW()-ROW(New[#Headers])</f>
        <v>279</v>
      </c>
    </row>
    <row r="286" spans="2:159" s="139" customFormat="1" ht="10.5" x14ac:dyDescent="0.2">
      <c r="B286" s="133"/>
      <c r="C286" s="133"/>
      <c r="E286" s="133"/>
      <c r="H286" s="133"/>
      <c r="N286" s="140"/>
      <c r="O286" s="140"/>
      <c r="P286" s="141"/>
      <c r="Q286" s="142">
        <f>SUM(R286:AQ286)</f>
      </c>
      <c r="R286" s="143"/>
      <c r="S286" s="143"/>
      <c r="T286" s="143"/>
      <c r="U286" s="143"/>
      <c r="V286" s="143"/>
      <c r="W286" s="143"/>
      <c r="X286" s="143"/>
      <c r="Y286" s="143"/>
      <c r="Z286" s="143"/>
      <c r="AA286" s="143"/>
      <c r="AB286" s="143"/>
      <c r="AC286" s="143"/>
      <c r="AD286" s="143"/>
      <c r="AE286" s="143"/>
      <c r="AF286" s="143"/>
      <c r="AG286" s="143"/>
      <c r="AH286" s="143"/>
      <c r="AI286" s="143"/>
      <c r="AJ286" s="143"/>
      <c r="AK286" s="143"/>
      <c r="AL286" s="143"/>
      <c r="AM286" s="143"/>
      <c r="AN286" s="143"/>
      <c r="AO286" s="143"/>
      <c r="AP286" s="143"/>
      <c r="AQ286" s="143"/>
      <c r="AR286" s="142">
        <f>SUM(AS286:AV286)</f>
      </c>
      <c r="AS286" s="143"/>
      <c r="AT286" s="143"/>
      <c r="AU286" s="143"/>
      <c r="AV286" s="143"/>
      <c r="AW286" s="142">
        <f>SUM(AX286:BI286)</f>
      </c>
      <c r="AX286" s="143"/>
      <c r="AY286" s="143"/>
      <c r="AZ286" s="143"/>
      <c r="BA286" s="143"/>
      <c r="BB286" s="143"/>
      <c r="BC286" s="143"/>
      <c r="BD286" s="143"/>
      <c r="BE286" s="143"/>
      <c r="BF286" s="143"/>
      <c r="BG286" s="143"/>
      <c r="BH286" s="143"/>
      <c r="BI286" s="143"/>
      <c r="BJ286" s="142"/>
      <c r="BK286" s="143"/>
      <c r="BL286" s="143"/>
      <c r="BM286" s="143"/>
      <c r="BN286" s="143"/>
      <c r="BO286" s="143"/>
      <c r="BP286" s="143"/>
      <c r="BQ286" s="142"/>
      <c r="BR286" s="143"/>
      <c r="BS286" s="143"/>
      <c r="BT286" s="142">
        <f>SUM(BU286:BW286)</f>
      </c>
      <c r="BU286" s="143"/>
      <c r="BV286" s="143"/>
      <c r="BW286" s="143"/>
      <c r="BX286" s="142">
        <f>SUM(BY286:CD286)</f>
      </c>
      <c r="BY286" s="143"/>
      <c r="BZ286" s="143"/>
      <c r="CA286" s="143"/>
      <c r="CB286" s="143"/>
      <c r="CC286" s="143"/>
      <c r="CD286" s="143"/>
      <c r="CE286" s="142"/>
      <c r="CF286" s="143"/>
      <c r="CG286" s="143"/>
      <c r="CH286" s="143"/>
      <c r="CI286" s="143"/>
      <c r="CJ286" s="143"/>
      <c r="CK286" s="142">
        <f>SUM(CL286:CN286)</f>
      </c>
      <c r="CL286" s="143"/>
      <c r="CM286" s="143"/>
      <c r="CN286" s="143"/>
      <c r="CO286" s="142">
        <f>SUM(CP286:CT286)</f>
      </c>
      <c r="CP286" s="143"/>
      <c r="CQ286" s="143"/>
      <c r="CR286" s="143"/>
      <c r="CS286" s="143"/>
      <c r="CT286" s="143"/>
      <c r="CU286" s="142"/>
      <c r="CV286" s="143"/>
      <c r="CW286" s="143"/>
      <c r="CX286" s="143"/>
      <c r="CY286" s="142"/>
      <c r="CZ286" s="143"/>
      <c r="DA286" s="143"/>
      <c r="DB286" s="143"/>
      <c r="DC286" s="143"/>
      <c r="DD286" s="143"/>
      <c r="DE286" s="143"/>
      <c r="DF286" s="143"/>
      <c r="DG286" s="142">
        <f>SUM(DH286:DH286)</f>
      </c>
      <c r="DH286" s="143"/>
      <c r="DI286" s="142"/>
      <c r="DJ286" s="143"/>
      <c r="DK286" s="142">
        <f>SUM(DL286:DQ286)</f>
      </c>
      <c r="DL286" s="143"/>
      <c r="DM286" s="143"/>
      <c r="DN286" s="143"/>
      <c r="DO286" s="143"/>
      <c r="DP286" s="143"/>
      <c r="DQ286" s="143"/>
      <c r="DR286" s="143"/>
      <c r="DS286" s="143"/>
      <c r="DT286" s="143"/>
      <c r="DU286" s="143"/>
      <c r="DV286" s="143"/>
      <c r="DW286" s="143"/>
      <c r="DX286" s="142"/>
      <c r="DY286" s="143"/>
      <c r="DZ286" s="142"/>
      <c r="EA286" s="143"/>
      <c r="EB286" s="143"/>
      <c r="EC286" s="142"/>
      <c r="ED286" s="143"/>
      <c r="EF286" s="143"/>
      <c r="EG286" s="142">
        <f>SUM(EH286:EQ286)</f>
      </c>
      <c r="EH286" s="143"/>
      <c r="EI286" s="143"/>
      <c r="EJ286" s="143"/>
      <c r="EK286" s="143"/>
      <c r="EL286" s="143"/>
      <c r="EM286" s="143"/>
      <c r="EN286" s="143"/>
      <c r="EO286" s="143"/>
      <c r="EP286" s="143"/>
      <c r="EQ286" s="143"/>
      <c r="ER286" s="142">
        <f>SUM(ES286:ET286)</f>
      </c>
      <c r="ES286" s="143"/>
      <c r="ET286" s="143"/>
      <c r="EU286" s="144"/>
      <c r="FB286" s="146"/>
      <c r="FC286" s="146" cm="1">
        <f t="array" ref="FC286">ROW()-ROW(New[#Headers])</f>
        <v>280</v>
      </c>
    </row>
    <row r="287" spans="2:159" s="139" customFormat="1" ht="10.5" x14ac:dyDescent="0.2">
      <c r="B287" s="133"/>
      <c r="C287" s="133"/>
      <c r="E287" s="133"/>
      <c r="H287" s="133"/>
      <c r="N287" s="140"/>
      <c r="O287" s="140"/>
      <c r="P287" s="141"/>
      <c r="Q287" s="142">
        <f>SUM(R287:AQ287)</f>
      </c>
      <c r="R287" s="143"/>
      <c r="S287" s="143"/>
      <c r="T287" s="143"/>
      <c r="U287" s="143"/>
      <c r="V287" s="143"/>
      <c r="W287" s="143"/>
      <c r="X287" s="143"/>
      <c r="Y287" s="143"/>
      <c r="Z287" s="143"/>
      <c r="AA287" s="143"/>
      <c r="AB287" s="143"/>
      <c r="AC287" s="143"/>
      <c r="AD287" s="143"/>
      <c r="AE287" s="143"/>
      <c r="AF287" s="143"/>
      <c r="AG287" s="143"/>
      <c r="AH287" s="143"/>
      <c r="AI287" s="143"/>
      <c r="AJ287" s="143"/>
      <c r="AK287" s="143"/>
      <c r="AL287" s="143"/>
      <c r="AM287" s="143"/>
      <c r="AN287" s="143"/>
      <c r="AO287" s="143"/>
      <c r="AP287" s="143"/>
      <c r="AQ287" s="143"/>
      <c r="AR287" s="142">
        <f>SUM(AS287:AV287)</f>
      </c>
      <c r="AS287" s="143"/>
      <c r="AT287" s="143"/>
      <c r="AU287" s="143"/>
      <c r="AV287" s="143"/>
      <c r="AW287" s="142">
        <f>SUM(AX287:BI287)</f>
      </c>
      <c r="AX287" s="143"/>
      <c r="AY287" s="143"/>
      <c r="AZ287" s="143"/>
      <c r="BA287" s="143"/>
      <c r="BB287" s="143"/>
      <c r="BC287" s="143"/>
      <c r="BD287" s="143"/>
      <c r="BE287" s="143"/>
      <c r="BF287" s="143"/>
      <c r="BG287" s="143"/>
      <c r="BH287" s="143"/>
      <c r="BI287" s="143"/>
      <c r="BJ287" s="142"/>
      <c r="BK287" s="143"/>
      <c r="BL287" s="143"/>
      <c r="BM287" s="143"/>
      <c r="BN287" s="143"/>
      <c r="BO287" s="143"/>
      <c r="BP287" s="143"/>
      <c r="BQ287" s="142"/>
      <c r="BR287" s="143"/>
      <c r="BS287" s="143"/>
      <c r="BT287" s="142">
        <f>SUM(BU287:BW287)</f>
      </c>
      <c r="BU287" s="143"/>
      <c r="BV287" s="143"/>
      <c r="BW287" s="143"/>
      <c r="BX287" s="142">
        <f>SUM(BY287:CD287)</f>
      </c>
      <c r="BY287" s="143"/>
      <c r="BZ287" s="143"/>
      <c r="CA287" s="143"/>
      <c r="CB287" s="143"/>
      <c r="CC287" s="143"/>
      <c r="CD287" s="143"/>
      <c r="CE287" s="142"/>
      <c r="CF287" s="143"/>
      <c r="CG287" s="143"/>
      <c r="CH287" s="143"/>
      <c r="CI287" s="143"/>
      <c r="CJ287" s="143"/>
      <c r="CK287" s="142">
        <f>SUM(CL287:CN287)</f>
      </c>
      <c r="CL287" s="143"/>
      <c r="CM287" s="143"/>
      <c r="CN287" s="143"/>
      <c r="CO287" s="142">
        <f>SUM(CP287:CT287)</f>
      </c>
      <c r="CP287" s="143"/>
      <c r="CQ287" s="143"/>
      <c r="CR287" s="143"/>
      <c r="CS287" s="143"/>
      <c r="CT287" s="143"/>
      <c r="CU287" s="142"/>
      <c r="CV287" s="143"/>
      <c r="CW287" s="143"/>
      <c r="CX287" s="143"/>
      <c r="CY287" s="142"/>
      <c r="CZ287" s="143"/>
      <c r="DA287" s="143"/>
      <c r="DB287" s="143"/>
      <c r="DC287" s="143"/>
      <c r="DD287" s="143"/>
      <c r="DE287" s="143"/>
      <c r="DF287" s="143"/>
      <c r="DG287" s="142">
        <f>SUM(DH287:DH287)</f>
      </c>
      <c r="DH287" s="143"/>
      <c r="DI287" s="142"/>
      <c r="DJ287" s="143"/>
      <c r="DK287" s="142">
        <f>SUM(DL287:DQ287)</f>
      </c>
      <c r="DL287" s="143"/>
      <c r="DM287" s="143"/>
      <c r="DN287" s="143"/>
      <c r="DO287" s="143"/>
      <c r="DP287" s="143"/>
      <c r="DQ287" s="143"/>
      <c r="DR287" s="143"/>
      <c r="DS287" s="143"/>
      <c r="DT287" s="143"/>
      <c r="DU287" s="143"/>
      <c r="DV287" s="143"/>
      <c r="DW287" s="143"/>
      <c r="DX287" s="142"/>
      <c r="DY287" s="143"/>
      <c r="DZ287" s="142"/>
      <c r="EA287" s="143"/>
      <c r="EB287" s="143"/>
      <c r="EC287" s="142"/>
      <c r="ED287" s="143"/>
      <c r="EF287" s="143"/>
      <c r="EG287" s="142">
        <f>SUM(EH287:EQ287)</f>
      </c>
      <c r="EH287" s="143"/>
      <c r="EI287" s="143"/>
      <c r="EJ287" s="143"/>
      <c r="EK287" s="143"/>
      <c r="EL287" s="143"/>
      <c r="EM287" s="143"/>
      <c r="EN287" s="143"/>
      <c r="EO287" s="143"/>
      <c r="EP287" s="143"/>
      <c r="EQ287" s="143"/>
      <c r="ER287" s="142">
        <f>SUM(ES287:ET287)</f>
      </c>
      <c r="ES287" s="143"/>
      <c r="ET287" s="143"/>
      <c r="EU287" s="144"/>
      <c r="FB287" s="146"/>
      <c r="FC287" s="146" cm="1">
        <f t="array" ref="FC287">ROW()-ROW(New[#Headers])</f>
        <v>281</v>
      </c>
    </row>
    <row r="288" spans="2:159" s="139" customFormat="1" ht="10.5" x14ac:dyDescent="0.2">
      <c r="B288" s="133"/>
      <c r="C288" s="133"/>
      <c r="E288" s="133"/>
      <c r="H288" s="133"/>
      <c r="N288" s="140"/>
      <c r="O288" s="140"/>
      <c r="P288" s="141"/>
      <c r="Q288" s="142">
        <f>SUM(R288:AQ288)</f>
      </c>
      <c r="R288" s="143"/>
      <c r="S288" s="143"/>
      <c r="T288" s="143"/>
      <c r="U288" s="143"/>
      <c r="V288" s="143"/>
      <c r="W288" s="143"/>
      <c r="X288" s="143"/>
      <c r="Y288" s="143"/>
      <c r="Z288" s="143"/>
      <c r="AA288" s="143"/>
      <c r="AB288" s="143"/>
      <c r="AC288" s="143"/>
      <c r="AD288" s="143"/>
      <c r="AE288" s="143"/>
      <c r="AF288" s="143"/>
      <c r="AG288" s="143"/>
      <c r="AH288" s="143"/>
      <c r="AI288" s="143"/>
      <c r="AJ288" s="143"/>
      <c r="AK288" s="143"/>
      <c r="AL288" s="143"/>
      <c r="AM288" s="143"/>
      <c r="AN288" s="143"/>
      <c r="AO288" s="143"/>
      <c r="AP288" s="143"/>
      <c r="AQ288" s="143"/>
      <c r="AR288" s="142">
        <f>SUM(AS288:AV288)</f>
      </c>
      <c r="AS288" s="143"/>
      <c r="AT288" s="143"/>
      <c r="AU288" s="143"/>
      <c r="AV288" s="143"/>
      <c r="AW288" s="142">
        <f>SUM(AX288:BI288)</f>
      </c>
      <c r="AX288" s="143"/>
      <c r="AY288" s="143"/>
      <c r="AZ288" s="143"/>
      <c r="BA288" s="143"/>
      <c r="BB288" s="143"/>
      <c r="BC288" s="143"/>
      <c r="BD288" s="143"/>
      <c r="BE288" s="143"/>
      <c r="BF288" s="143"/>
      <c r="BG288" s="143"/>
      <c r="BH288" s="143"/>
      <c r="BI288" s="143"/>
      <c r="BJ288" s="142"/>
      <c r="BK288" s="143"/>
      <c r="BL288" s="143"/>
      <c r="BM288" s="143"/>
      <c r="BN288" s="143"/>
      <c r="BO288" s="143"/>
      <c r="BP288" s="143"/>
      <c r="BQ288" s="142"/>
      <c r="BR288" s="143"/>
      <c r="BS288" s="143"/>
      <c r="BT288" s="142">
        <f>SUM(BU288:BW288)</f>
      </c>
      <c r="BU288" s="143"/>
      <c r="BV288" s="143"/>
      <c r="BW288" s="143"/>
      <c r="BX288" s="142">
        <f>SUM(BY288:CD288)</f>
      </c>
      <c r="BY288" s="143"/>
      <c r="BZ288" s="143"/>
      <c r="CA288" s="143"/>
      <c r="CB288" s="143"/>
      <c r="CC288" s="143"/>
      <c r="CD288" s="143"/>
      <c r="CE288" s="142"/>
      <c r="CF288" s="143"/>
      <c r="CG288" s="143"/>
      <c r="CH288" s="143"/>
      <c r="CI288" s="143"/>
      <c r="CJ288" s="143"/>
      <c r="CK288" s="142">
        <f>SUM(CL288:CN288)</f>
      </c>
      <c r="CL288" s="143"/>
      <c r="CM288" s="143"/>
      <c r="CN288" s="143"/>
      <c r="CO288" s="142">
        <f>SUM(CP288:CT288)</f>
      </c>
      <c r="CP288" s="143"/>
      <c r="CQ288" s="143"/>
      <c r="CR288" s="143"/>
      <c r="CS288" s="143"/>
      <c r="CT288" s="143"/>
      <c r="CU288" s="142"/>
      <c r="CV288" s="143"/>
      <c r="CW288" s="143"/>
      <c r="CX288" s="143"/>
      <c r="CY288" s="142"/>
      <c r="CZ288" s="143"/>
      <c r="DA288" s="143"/>
      <c r="DB288" s="143"/>
      <c r="DC288" s="143"/>
      <c r="DD288" s="143"/>
      <c r="DE288" s="143"/>
      <c r="DF288" s="143"/>
      <c r="DG288" s="142">
        <f>SUM(DH288:DH288)</f>
      </c>
      <c r="DH288" s="143"/>
      <c r="DI288" s="142"/>
      <c r="DJ288" s="143"/>
      <c r="DK288" s="142">
        <f>SUM(DL288:DQ288)</f>
      </c>
      <c r="DL288" s="143"/>
      <c r="DM288" s="143"/>
      <c r="DN288" s="143"/>
      <c r="DO288" s="143"/>
      <c r="DP288" s="143"/>
      <c r="DQ288" s="143"/>
      <c r="DR288" s="143"/>
      <c r="DS288" s="143"/>
      <c r="DT288" s="143"/>
      <c r="DU288" s="143"/>
      <c r="DV288" s="143"/>
      <c r="DW288" s="143"/>
      <c r="DX288" s="142"/>
      <c r="DY288" s="143"/>
      <c r="DZ288" s="142"/>
      <c r="EA288" s="143"/>
      <c r="EB288" s="143"/>
      <c r="EC288" s="142"/>
      <c r="ED288" s="143"/>
      <c r="EF288" s="143"/>
      <c r="EG288" s="142">
        <f>SUM(EH288:EQ288)</f>
      </c>
      <c r="EH288" s="143"/>
      <c r="EI288" s="143"/>
      <c r="EJ288" s="143"/>
      <c r="EK288" s="143"/>
      <c r="EL288" s="143"/>
      <c r="EM288" s="143"/>
      <c r="EN288" s="143"/>
      <c r="EO288" s="143"/>
      <c r="EP288" s="143"/>
      <c r="EQ288" s="143"/>
      <c r="ER288" s="142">
        <f>SUM(ES288:ET288)</f>
      </c>
      <c r="ES288" s="143"/>
      <c r="ET288" s="143"/>
      <c r="EU288" s="144"/>
      <c r="FB288" s="146"/>
      <c r="FC288" s="146" cm="1">
        <f t="array" ref="FC288">ROW()-ROW(New[#Headers])</f>
        <v>282</v>
      </c>
    </row>
    <row r="289" spans="2:159" s="139" customFormat="1" ht="10.5" x14ac:dyDescent="0.2">
      <c r="B289" s="133"/>
      <c r="C289" s="133"/>
      <c r="E289" s="133"/>
      <c r="H289" s="133"/>
      <c r="N289" s="140"/>
      <c r="O289" s="140"/>
      <c r="P289" s="141"/>
      <c r="Q289" s="142">
        <f>SUM(R289:AQ289)</f>
      </c>
      <c r="R289" s="143"/>
      <c r="S289" s="143"/>
      <c r="T289" s="143"/>
      <c r="U289" s="143"/>
      <c r="V289" s="143"/>
      <c r="W289" s="143"/>
      <c r="X289" s="143"/>
      <c r="Y289" s="143"/>
      <c r="Z289" s="143"/>
      <c r="AA289" s="143"/>
      <c r="AB289" s="143"/>
      <c r="AC289" s="143"/>
      <c r="AD289" s="143"/>
      <c r="AE289" s="143"/>
      <c r="AF289" s="143"/>
      <c r="AG289" s="143"/>
      <c r="AH289" s="143"/>
      <c r="AI289" s="143"/>
      <c r="AJ289" s="143"/>
      <c r="AK289" s="143"/>
      <c r="AL289" s="143"/>
      <c r="AM289" s="143"/>
      <c r="AN289" s="143"/>
      <c r="AO289" s="143"/>
      <c r="AP289" s="143"/>
      <c r="AQ289" s="143"/>
      <c r="AR289" s="142">
        <f>SUM(AS289:AV289)</f>
      </c>
      <c r="AS289" s="143"/>
      <c r="AT289" s="143"/>
      <c r="AU289" s="143"/>
      <c r="AV289" s="143"/>
      <c r="AW289" s="142">
        <f>SUM(AX289:BI289)</f>
      </c>
      <c r="AX289" s="143"/>
      <c r="AY289" s="143"/>
      <c r="AZ289" s="143"/>
      <c r="BA289" s="143"/>
      <c r="BB289" s="143"/>
      <c r="BC289" s="143"/>
      <c r="BD289" s="143"/>
      <c r="BE289" s="143"/>
      <c r="BF289" s="143"/>
      <c r="BG289" s="143"/>
      <c r="BH289" s="143"/>
      <c r="BI289" s="143"/>
      <c r="BJ289" s="142"/>
      <c r="BK289" s="143"/>
      <c r="BL289" s="143"/>
      <c r="BM289" s="143"/>
      <c r="BN289" s="143"/>
      <c r="BO289" s="143"/>
      <c r="BP289" s="143"/>
      <c r="BQ289" s="142"/>
      <c r="BR289" s="143"/>
      <c r="BS289" s="143"/>
      <c r="BT289" s="142">
        <f>SUM(BU289:BW289)</f>
      </c>
      <c r="BU289" s="143"/>
      <c r="BV289" s="143"/>
      <c r="BW289" s="143"/>
      <c r="BX289" s="142">
        <f>SUM(BY289:CD289)</f>
      </c>
      <c r="BY289" s="143"/>
      <c r="BZ289" s="143"/>
      <c r="CA289" s="143"/>
      <c r="CB289" s="143"/>
      <c r="CC289" s="143"/>
      <c r="CD289" s="143"/>
      <c r="CE289" s="142"/>
      <c r="CF289" s="143"/>
      <c r="CG289" s="143"/>
      <c r="CH289" s="143"/>
      <c r="CI289" s="143"/>
      <c r="CJ289" s="143"/>
      <c r="CK289" s="142">
        <f>SUM(CL289:CN289)</f>
      </c>
      <c r="CL289" s="143"/>
      <c r="CM289" s="143"/>
      <c r="CN289" s="143"/>
      <c r="CO289" s="142">
        <f>SUM(CP289:CT289)</f>
      </c>
      <c r="CP289" s="143"/>
      <c r="CQ289" s="143"/>
      <c r="CR289" s="143"/>
      <c r="CS289" s="143"/>
      <c r="CT289" s="143"/>
      <c r="CU289" s="142"/>
      <c r="CV289" s="143"/>
      <c r="CW289" s="143"/>
      <c r="CX289" s="143"/>
      <c r="CY289" s="142"/>
      <c r="CZ289" s="143"/>
      <c r="DA289" s="143"/>
      <c r="DB289" s="143"/>
      <c r="DC289" s="143"/>
      <c r="DD289" s="143"/>
      <c r="DE289" s="143"/>
      <c r="DF289" s="143"/>
      <c r="DG289" s="142">
        <f>SUM(DH289:DH289)</f>
      </c>
      <c r="DH289" s="143"/>
      <c r="DI289" s="142"/>
      <c r="DJ289" s="143"/>
      <c r="DK289" s="142">
        <f>SUM(DL289:DQ289)</f>
      </c>
      <c r="DL289" s="143"/>
      <c r="DM289" s="143"/>
      <c r="DN289" s="143"/>
      <c r="DO289" s="143"/>
      <c r="DP289" s="143"/>
      <c r="DQ289" s="143"/>
      <c r="DR289" s="143"/>
      <c r="DS289" s="143"/>
      <c r="DT289" s="143"/>
      <c r="DU289" s="143"/>
      <c r="DV289" s="143"/>
      <c r="DW289" s="143"/>
      <c r="DX289" s="142"/>
      <c r="DY289" s="143"/>
      <c r="DZ289" s="142"/>
      <c r="EA289" s="143"/>
      <c r="EB289" s="143"/>
      <c r="EC289" s="142"/>
      <c r="ED289" s="143"/>
      <c r="EF289" s="143"/>
      <c r="EG289" s="142">
        <f>SUM(EH289:EQ289)</f>
      </c>
      <c r="EH289" s="143"/>
      <c r="EI289" s="143"/>
      <c r="EJ289" s="143"/>
      <c r="EK289" s="143"/>
      <c r="EL289" s="143"/>
      <c r="EM289" s="143"/>
      <c r="EN289" s="143"/>
      <c r="EO289" s="143"/>
      <c r="EP289" s="143"/>
      <c r="EQ289" s="143"/>
      <c r="ER289" s="142">
        <f>SUM(ES289:ET289)</f>
      </c>
      <c r="ES289" s="143"/>
      <c r="ET289" s="143"/>
      <c r="EU289" s="144"/>
      <c r="FB289" s="146"/>
      <c r="FC289" s="146" cm="1">
        <f t="array" ref="FC289">ROW()-ROW(New[#Headers])</f>
        <v>283</v>
      </c>
    </row>
    <row r="290" spans="2:159" s="139" customFormat="1" ht="10.5" x14ac:dyDescent="0.2">
      <c r="B290" s="133"/>
      <c r="C290" s="133"/>
      <c r="E290" s="133"/>
      <c r="H290" s="133"/>
      <c r="N290" s="140"/>
      <c r="O290" s="140"/>
      <c r="P290" s="141"/>
      <c r="Q290" s="142">
        <f>SUM(R290:AQ290)</f>
      </c>
      <c r="R290" s="143"/>
      <c r="S290" s="143"/>
      <c r="T290" s="143"/>
      <c r="U290" s="143"/>
      <c r="V290" s="143"/>
      <c r="W290" s="143"/>
      <c r="X290" s="143"/>
      <c r="Y290" s="143"/>
      <c r="Z290" s="143"/>
      <c r="AA290" s="143"/>
      <c r="AB290" s="143"/>
      <c r="AC290" s="143"/>
      <c r="AD290" s="143"/>
      <c r="AE290" s="143"/>
      <c r="AF290" s="143"/>
      <c r="AG290" s="143"/>
      <c r="AH290" s="143"/>
      <c r="AI290" s="143"/>
      <c r="AJ290" s="143"/>
      <c r="AK290" s="143"/>
      <c r="AL290" s="143"/>
      <c r="AM290" s="143"/>
      <c r="AN290" s="143"/>
      <c r="AO290" s="143"/>
      <c r="AP290" s="143"/>
      <c r="AQ290" s="143"/>
      <c r="AR290" s="142">
        <f>SUM(AS290:AV290)</f>
      </c>
      <c r="AS290" s="143"/>
      <c r="AT290" s="143"/>
      <c r="AU290" s="143"/>
      <c r="AV290" s="143"/>
      <c r="AW290" s="142">
        <f>SUM(AX290:BI290)</f>
      </c>
      <c r="AX290" s="143"/>
      <c r="AY290" s="143"/>
      <c r="AZ290" s="143"/>
      <c r="BA290" s="143"/>
      <c r="BB290" s="143"/>
      <c r="BC290" s="143"/>
      <c r="BD290" s="143"/>
      <c r="BE290" s="143"/>
      <c r="BF290" s="143"/>
      <c r="BG290" s="143"/>
      <c r="BH290" s="143"/>
      <c r="BI290" s="143"/>
      <c r="BJ290" s="142"/>
      <c r="BK290" s="143"/>
      <c r="BL290" s="143"/>
      <c r="BM290" s="143"/>
      <c r="BN290" s="143"/>
      <c r="BO290" s="143"/>
      <c r="BP290" s="143"/>
      <c r="BQ290" s="142"/>
      <c r="BR290" s="143"/>
      <c r="BS290" s="143"/>
      <c r="BT290" s="142">
        <f>SUM(BU290:BW290)</f>
      </c>
      <c r="BU290" s="143"/>
      <c r="BV290" s="143"/>
      <c r="BW290" s="143"/>
      <c r="BX290" s="142">
        <f>SUM(BY290:CD290)</f>
      </c>
      <c r="BY290" s="143"/>
      <c r="BZ290" s="143"/>
      <c r="CA290" s="143"/>
      <c r="CB290" s="143"/>
      <c r="CC290" s="143"/>
      <c r="CD290" s="143"/>
      <c r="CE290" s="142"/>
      <c r="CF290" s="143"/>
      <c r="CG290" s="143"/>
      <c r="CH290" s="143"/>
      <c r="CI290" s="143"/>
      <c r="CJ290" s="143"/>
      <c r="CK290" s="142">
        <f>SUM(CL290:CN290)</f>
      </c>
      <c r="CL290" s="143"/>
      <c r="CM290" s="143"/>
      <c r="CN290" s="143"/>
      <c r="CO290" s="142">
        <f>SUM(CP290:CT290)</f>
      </c>
      <c r="CP290" s="143"/>
      <c r="CQ290" s="143"/>
      <c r="CR290" s="143"/>
      <c r="CS290" s="143"/>
      <c r="CT290" s="143"/>
      <c r="CU290" s="142"/>
      <c r="CV290" s="143"/>
      <c r="CW290" s="143"/>
      <c r="CX290" s="143"/>
      <c r="CY290" s="142"/>
      <c r="CZ290" s="143"/>
      <c r="DA290" s="143"/>
      <c r="DB290" s="143"/>
      <c r="DC290" s="143"/>
      <c r="DD290" s="143"/>
      <c r="DE290" s="143"/>
      <c r="DF290" s="143"/>
      <c r="DG290" s="142">
        <f>SUM(DH290:DH290)</f>
      </c>
      <c r="DH290" s="143"/>
      <c r="DI290" s="142"/>
      <c r="DJ290" s="143"/>
      <c r="DK290" s="142">
        <f>SUM(DL290:DQ290)</f>
      </c>
      <c r="DL290" s="143"/>
      <c r="DM290" s="143"/>
      <c r="DN290" s="143"/>
      <c r="DO290" s="143"/>
      <c r="DP290" s="143"/>
      <c r="DQ290" s="143"/>
      <c r="DR290" s="143"/>
      <c r="DS290" s="143"/>
      <c r="DT290" s="143"/>
      <c r="DU290" s="143"/>
      <c r="DV290" s="143"/>
      <c r="DW290" s="143"/>
      <c r="DX290" s="142"/>
      <c r="DY290" s="143"/>
      <c r="DZ290" s="142"/>
      <c r="EA290" s="143"/>
      <c r="EB290" s="143"/>
      <c r="EC290" s="142"/>
      <c r="ED290" s="143"/>
      <c r="EF290" s="143"/>
      <c r="EG290" s="142">
        <f>SUM(EH290:EQ290)</f>
      </c>
      <c r="EH290" s="143"/>
      <c r="EI290" s="143"/>
      <c r="EJ290" s="143"/>
      <c r="EK290" s="143"/>
      <c r="EL290" s="143"/>
      <c r="EM290" s="143"/>
      <c r="EN290" s="143"/>
      <c r="EO290" s="143"/>
      <c r="EP290" s="143"/>
      <c r="EQ290" s="143"/>
      <c r="ER290" s="142">
        <f>SUM(ES290:ET290)</f>
      </c>
      <c r="ES290" s="143"/>
      <c r="ET290" s="143"/>
      <c r="EU290" s="144"/>
      <c r="FB290" s="146"/>
      <c r="FC290" s="146" cm="1">
        <f t="array" ref="FC290">ROW()-ROW(New[#Headers])</f>
        <v>284</v>
      </c>
    </row>
    <row r="291" spans="2:159" s="139" customFormat="1" ht="10.5" x14ac:dyDescent="0.2">
      <c r="B291" s="133"/>
      <c r="C291" s="133"/>
      <c r="E291" s="133"/>
      <c r="H291" s="133"/>
      <c r="N291" s="140"/>
      <c r="O291" s="140"/>
      <c r="P291" s="141"/>
      <c r="Q291" s="142">
        <f>SUM(R291:AQ291)</f>
      </c>
      <c r="R291" s="143"/>
      <c r="S291" s="143"/>
      <c r="T291" s="143"/>
      <c r="U291" s="143"/>
      <c r="V291" s="143"/>
      <c r="W291" s="143"/>
      <c r="X291" s="143"/>
      <c r="Y291" s="143"/>
      <c r="Z291" s="143"/>
      <c r="AA291" s="143"/>
      <c r="AB291" s="143"/>
      <c r="AC291" s="143"/>
      <c r="AD291" s="143"/>
      <c r="AE291" s="143"/>
      <c r="AF291" s="143"/>
      <c r="AG291" s="143"/>
      <c r="AH291" s="143"/>
      <c r="AI291" s="143"/>
      <c r="AJ291" s="143"/>
      <c r="AK291" s="143"/>
      <c r="AL291" s="143"/>
      <c r="AM291" s="143"/>
      <c r="AN291" s="143"/>
      <c r="AO291" s="143"/>
      <c r="AP291" s="143"/>
      <c r="AQ291" s="143"/>
      <c r="AR291" s="142">
        <f>SUM(AS291:AV291)</f>
      </c>
      <c r="AS291" s="143"/>
      <c r="AT291" s="143"/>
      <c r="AU291" s="143"/>
      <c r="AV291" s="143"/>
      <c r="AW291" s="142">
        <f>SUM(AX291:BI291)</f>
      </c>
      <c r="AX291" s="143"/>
      <c r="AY291" s="143"/>
      <c r="AZ291" s="143"/>
      <c r="BA291" s="143"/>
      <c r="BB291" s="143"/>
      <c r="BC291" s="143"/>
      <c r="BD291" s="143"/>
      <c r="BE291" s="143"/>
      <c r="BF291" s="143"/>
      <c r="BG291" s="143"/>
      <c r="BH291" s="143"/>
      <c r="BI291" s="143"/>
      <c r="BJ291" s="142"/>
      <c r="BK291" s="143"/>
      <c r="BL291" s="143"/>
      <c r="BM291" s="143"/>
      <c r="BN291" s="143"/>
      <c r="BO291" s="143"/>
      <c r="BP291" s="143"/>
      <c r="BQ291" s="142"/>
      <c r="BR291" s="143"/>
      <c r="BS291" s="143"/>
      <c r="BT291" s="142">
        <f>SUM(BU291:BW291)</f>
      </c>
      <c r="BU291" s="143"/>
      <c r="BV291" s="143"/>
      <c r="BW291" s="143"/>
      <c r="BX291" s="142">
        <f>SUM(BY291:CD291)</f>
      </c>
      <c r="BY291" s="143"/>
      <c r="BZ291" s="143"/>
      <c r="CA291" s="143"/>
      <c r="CB291" s="143"/>
      <c r="CC291" s="143"/>
      <c r="CD291" s="143"/>
      <c r="CE291" s="142"/>
      <c r="CF291" s="143"/>
      <c r="CG291" s="143"/>
      <c r="CH291" s="143"/>
      <c r="CI291" s="143"/>
      <c r="CJ291" s="143"/>
      <c r="CK291" s="142">
        <f>SUM(CL291:CN291)</f>
      </c>
      <c r="CL291" s="143"/>
      <c r="CM291" s="143"/>
      <c r="CN291" s="143"/>
      <c r="CO291" s="142">
        <f>SUM(CP291:CT291)</f>
      </c>
      <c r="CP291" s="143"/>
      <c r="CQ291" s="143"/>
      <c r="CR291" s="143"/>
      <c r="CS291" s="143"/>
      <c r="CT291" s="143"/>
      <c r="CU291" s="142"/>
      <c r="CV291" s="143"/>
      <c r="CW291" s="143"/>
      <c r="CX291" s="143"/>
      <c r="CY291" s="142"/>
      <c r="CZ291" s="143"/>
      <c r="DA291" s="143"/>
      <c r="DB291" s="143"/>
      <c r="DC291" s="143"/>
      <c r="DD291" s="143"/>
      <c r="DE291" s="143"/>
      <c r="DF291" s="143"/>
      <c r="DG291" s="142">
        <f>SUM(DH291:DH291)</f>
      </c>
      <c r="DH291" s="143"/>
      <c r="DI291" s="142"/>
      <c r="DJ291" s="143"/>
      <c r="DK291" s="142">
        <f>SUM(DL291:DQ291)</f>
      </c>
      <c r="DL291" s="143"/>
      <c r="DM291" s="143"/>
      <c r="DN291" s="143"/>
      <c r="DO291" s="143"/>
      <c r="DP291" s="143"/>
      <c r="DQ291" s="143"/>
      <c r="DR291" s="143"/>
      <c r="DS291" s="143"/>
      <c r="DT291" s="143"/>
      <c r="DU291" s="143"/>
      <c r="DV291" s="143"/>
      <c r="DW291" s="143"/>
      <c r="DX291" s="142"/>
      <c r="DY291" s="143"/>
      <c r="DZ291" s="142"/>
      <c r="EA291" s="143"/>
      <c r="EB291" s="143"/>
      <c r="EC291" s="142"/>
      <c r="ED291" s="143"/>
      <c r="EF291" s="143"/>
      <c r="EG291" s="142">
        <f>SUM(EH291:EQ291)</f>
      </c>
      <c r="EH291" s="143"/>
      <c r="EI291" s="143"/>
      <c r="EJ291" s="143"/>
      <c r="EK291" s="143"/>
      <c r="EL291" s="143"/>
      <c r="EM291" s="143"/>
      <c r="EN291" s="143"/>
      <c r="EO291" s="143"/>
      <c r="EP291" s="143"/>
      <c r="EQ291" s="143"/>
      <c r="ER291" s="142">
        <f>SUM(ES291:ET291)</f>
      </c>
      <c r="ES291" s="143"/>
      <c r="ET291" s="143"/>
      <c r="EU291" s="144"/>
      <c r="FB291" s="146"/>
      <c r="FC291" s="146" cm="1">
        <f t="array" ref="FC291">ROW()-ROW(New[#Headers])</f>
        <v>285</v>
      </c>
    </row>
    <row r="292" spans="2:159" s="139" customFormat="1" ht="10.5" x14ac:dyDescent="0.2">
      <c r="B292" s="133"/>
      <c r="C292" s="133"/>
      <c r="E292" s="133"/>
      <c r="H292" s="133"/>
      <c r="N292" s="140"/>
      <c r="O292" s="140"/>
      <c r="P292" s="141"/>
      <c r="Q292" s="142">
        <f>SUM(R292:AQ292)</f>
      </c>
      <c r="R292" s="143"/>
      <c r="S292" s="143"/>
      <c r="T292" s="143"/>
      <c r="U292" s="143"/>
      <c r="V292" s="143"/>
      <c r="W292" s="143"/>
      <c r="X292" s="143"/>
      <c r="Y292" s="143"/>
      <c r="Z292" s="143"/>
      <c r="AA292" s="143"/>
      <c r="AB292" s="143"/>
      <c r="AC292" s="143"/>
      <c r="AD292" s="143"/>
      <c r="AE292" s="143"/>
      <c r="AF292" s="143"/>
      <c r="AG292" s="143"/>
      <c r="AH292" s="143"/>
      <c r="AI292" s="143"/>
      <c r="AJ292" s="143"/>
      <c r="AK292" s="143"/>
      <c r="AL292" s="143"/>
      <c r="AM292" s="143"/>
      <c r="AN292" s="143"/>
      <c r="AO292" s="143"/>
      <c r="AP292" s="143"/>
      <c r="AQ292" s="143"/>
      <c r="AR292" s="142">
        <f>SUM(AS292:AV292)</f>
      </c>
      <c r="AS292" s="143"/>
      <c r="AT292" s="143"/>
      <c r="AU292" s="143"/>
      <c r="AV292" s="143"/>
      <c r="AW292" s="142">
        <f>SUM(AX292:BI292)</f>
      </c>
      <c r="AX292" s="143"/>
      <c r="AY292" s="143"/>
      <c r="AZ292" s="143"/>
      <c r="BA292" s="143"/>
      <c r="BB292" s="143"/>
      <c r="BC292" s="143"/>
      <c r="BD292" s="143"/>
      <c r="BE292" s="143"/>
      <c r="BF292" s="143"/>
      <c r="BG292" s="143"/>
      <c r="BH292" s="143"/>
      <c r="BI292" s="143"/>
      <c r="BJ292" s="142"/>
      <c r="BK292" s="143"/>
      <c r="BL292" s="143"/>
      <c r="BM292" s="143"/>
      <c r="BN292" s="143"/>
      <c r="BO292" s="143"/>
      <c r="BP292" s="143"/>
      <c r="BQ292" s="142"/>
      <c r="BR292" s="143"/>
      <c r="BS292" s="143"/>
      <c r="BT292" s="142">
        <f>SUM(BU292:BW292)</f>
      </c>
      <c r="BU292" s="143"/>
      <c r="BV292" s="143"/>
      <c r="BW292" s="143"/>
      <c r="BX292" s="142">
        <f>SUM(BY292:CD292)</f>
      </c>
      <c r="BY292" s="143"/>
      <c r="BZ292" s="143"/>
      <c r="CA292" s="143"/>
      <c r="CB292" s="143"/>
      <c r="CC292" s="143"/>
      <c r="CD292" s="143"/>
      <c r="CE292" s="142"/>
      <c r="CF292" s="143"/>
      <c r="CG292" s="143"/>
      <c r="CH292" s="143"/>
      <c r="CI292" s="143"/>
      <c r="CJ292" s="143"/>
      <c r="CK292" s="142">
        <f>SUM(CL292:CN292)</f>
      </c>
      <c r="CL292" s="143"/>
      <c r="CM292" s="143"/>
      <c r="CN292" s="143"/>
      <c r="CO292" s="142">
        <f>SUM(CP292:CT292)</f>
      </c>
      <c r="CP292" s="143"/>
      <c r="CQ292" s="143"/>
      <c r="CR292" s="143"/>
      <c r="CS292" s="143"/>
      <c r="CT292" s="143"/>
      <c r="CU292" s="142"/>
      <c r="CV292" s="143"/>
      <c r="CW292" s="143"/>
      <c r="CX292" s="143"/>
      <c r="CY292" s="142"/>
      <c r="CZ292" s="143"/>
      <c r="DA292" s="143"/>
      <c r="DB292" s="143"/>
      <c r="DC292" s="143"/>
      <c r="DD292" s="143"/>
      <c r="DE292" s="143"/>
      <c r="DF292" s="143"/>
      <c r="DG292" s="142">
        <f>SUM(DH292:DH292)</f>
      </c>
      <c r="DH292" s="143"/>
      <c r="DI292" s="142"/>
      <c r="DJ292" s="143"/>
      <c r="DK292" s="142">
        <f>SUM(DL292:DQ292)</f>
      </c>
      <c r="DL292" s="143"/>
      <c r="DM292" s="143"/>
      <c r="DN292" s="143"/>
      <c r="DO292" s="143"/>
      <c r="DP292" s="143"/>
      <c r="DQ292" s="143"/>
      <c r="DR292" s="143"/>
      <c r="DS292" s="143"/>
      <c r="DT292" s="143"/>
      <c r="DU292" s="143"/>
      <c r="DV292" s="143"/>
      <c r="DW292" s="143"/>
      <c r="DX292" s="142"/>
      <c r="DY292" s="143"/>
      <c r="DZ292" s="142"/>
      <c r="EA292" s="143"/>
      <c r="EB292" s="143"/>
      <c r="EC292" s="142"/>
      <c r="ED292" s="143"/>
      <c r="EF292" s="143"/>
      <c r="EG292" s="142">
        <f>SUM(EH292:EQ292)</f>
      </c>
      <c r="EH292" s="143"/>
      <c r="EI292" s="143"/>
      <c r="EJ292" s="143"/>
      <c r="EK292" s="143"/>
      <c r="EL292" s="143"/>
      <c r="EM292" s="143"/>
      <c r="EN292" s="143"/>
      <c r="EO292" s="143"/>
      <c r="EP292" s="143"/>
      <c r="EQ292" s="143"/>
      <c r="ER292" s="142">
        <f>SUM(ES292:ET292)</f>
      </c>
      <c r="ES292" s="143"/>
      <c r="ET292" s="143"/>
      <c r="EU292" s="144"/>
      <c r="FB292" s="146"/>
      <c r="FC292" s="146" cm="1">
        <f t="array" ref="FC292">ROW()-ROW(New[#Headers])</f>
        <v>286</v>
      </c>
    </row>
    <row r="293" spans="2:159" s="139" customFormat="1" ht="10.5" x14ac:dyDescent="0.2">
      <c r="B293" s="133"/>
      <c r="C293" s="133"/>
      <c r="E293" s="133"/>
      <c r="H293" s="133"/>
      <c r="N293" s="140"/>
      <c r="O293" s="140"/>
      <c r="P293" s="141"/>
      <c r="Q293" s="142">
        <f>SUM(R293:AQ293)</f>
      </c>
      <c r="R293" s="143"/>
      <c r="S293" s="143"/>
      <c r="T293" s="143"/>
      <c r="U293" s="143"/>
      <c r="V293" s="143"/>
      <c r="W293" s="143"/>
      <c r="X293" s="143"/>
      <c r="Y293" s="143"/>
      <c r="Z293" s="143"/>
      <c r="AA293" s="143"/>
      <c r="AB293" s="143"/>
      <c r="AC293" s="143"/>
      <c r="AD293" s="143"/>
      <c r="AE293" s="143"/>
      <c r="AF293" s="143"/>
      <c r="AG293" s="143"/>
      <c r="AH293" s="143"/>
      <c r="AI293" s="143"/>
      <c r="AJ293" s="143"/>
      <c r="AK293" s="143"/>
      <c r="AL293" s="143"/>
      <c r="AM293" s="143"/>
      <c r="AN293" s="143"/>
      <c r="AO293" s="143"/>
      <c r="AP293" s="143"/>
      <c r="AQ293" s="143"/>
      <c r="AR293" s="142">
        <f>SUM(AS293:AV293)</f>
      </c>
      <c r="AS293" s="143"/>
      <c r="AT293" s="143"/>
      <c r="AU293" s="143"/>
      <c r="AV293" s="143"/>
      <c r="AW293" s="142">
        <f>SUM(AX293:BI293)</f>
      </c>
      <c r="AX293" s="143"/>
      <c r="AY293" s="143"/>
      <c r="AZ293" s="143"/>
      <c r="BA293" s="143"/>
      <c r="BB293" s="143"/>
      <c r="BC293" s="143"/>
      <c r="BD293" s="143"/>
      <c r="BE293" s="143"/>
      <c r="BF293" s="143"/>
      <c r="BG293" s="143"/>
      <c r="BH293" s="143"/>
      <c r="BI293" s="143"/>
      <c r="BJ293" s="142"/>
      <c r="BK293" s="143"/>
      <c r="BL293" s="143"/>
      <c r="BM293" s="143"/>
      <c r="BN293" s="143"/>
      <c r="BO293" s="143"/>
      <c r="BP293" s="143"/>
      <c r="BQ293" s="142"/>
      <c r="BR293" s="143"/>
      <c r="BS293" s="143"/>
      <c r="BT293" s="142">
        <f>SUM(BU293:BW293)</f>
      </c>
      <c r="BU293" s="143"/>
      <c r="BV293" s="143"/>
      <c r="BW293" s="143"/>
      <c r="BX293" s="142">
        <f>SUM(BY293:CD293)</f>
      </c>
      <c r="BY293" s="143"/>
      <c r="BZ293" s="143"/>
      <c r="CA293" s="143"/>
      <c r="CB293" s="143"/>
      <c r="CC293" s="143"/>
      <c r="CD293" s="143"/>
      <c r="CE293" s="142"/>
      <c r="CF293" s="143"/>
      <c r="CG293" s="143"/>
      <c r="CH293" s="143"/>
      <c r="CI293" s="143"/>
      <c r="CJ293" s="143"/>
      <c r="CK293" s="142">
        <f>SUM(CL293:CN293)</f>
      </c>
      <c r="CL293" s="143"/>
      <c r="CM293" s="143"/>
      <c r="CN293" s="143"/>
      <c r="CO293" s="142">
        <f>SUM(CP293:CT293)</f>
      </c>
      <c r="CP293" s="143"/>
      <c r="CQ293" s="143"/>
      <c r="CR293" s="143"/>
      <c r="CS293" s="143"/>
      <c r="CT293" s="143"/>
      <c r="CU293" s="142"/>
      <c r="CV293" s="143"/>
      <c r="CW293" s="143"/>
      <c r="CX293" s="143"/>
      <c r="CY293" s="142"/>
      <c r="CZ293" s="143"/>
      <c r="DA293" s="143"/>
      <c r="DB293" s="143"/>
      <c r="DC293" s="143"/>
      <c r="DD293" s="143"/>
      <c r="DE293" s="143"/>
      <c r="DF293" s="143"/>
      <c r="DG293" s="142">
        <f>SUM(DH293:DH293)</f>
      </c>
      <c r="DH293" s="143"/>
      <c r="DI293" s="142"/>
      <c r="DJ293" s="143"/>
      <c r="DK293" s="142">
        <f>SUM(DL293:DQ293)</f>
      </c>
      <c r="DL293" s="143"/>
      <c r="DM293" s="143"/>
      <c r="DN293" s="143"/>
      <c r="DO293" s="143"/>
      <c r="DP293" s="143"/>
      <c r="DQ293" s="143"/>
      <c r="DR293" s="143"/>
      <c r="DS293" s="143"/>
      <c r="DT293" s="143"/>
      <c r="DU293" s="143"/>
      <c r="DV293" s="143"/>
      <c r="DW293" s="143"/>
      <c r="DX293" s="142"/>
      <c r="DY293" s="143"/>
      <c r="DZ293" s="142"/>
      <c r="EA293" s="143"/>
      <c r="EB293" s="143"/>
      <c r="EC293" s="142"/>
      <c r="ED293" s="143"/>
      <c r="EF293" s="143"/>
      <c r="EG293" s="142">
        <f>SUM(EH293:EQ293)</f>
      </c>
      <c r="EH293" s="143"/>
      <c r="EI293" s="143"/>
      <c r="EJ293" s="143"/>
      <c r="EK293" s="143"/>
      <c r="EL293" s="143"/>
      <c r="EM293" s="143"/>
      <c r="EN293" s="143"/>
      <c r="EO293" s="143"/>
      <c r="EP293" s="143"/>
      <c r="EQ293" s="143"/>
      <c r="ER293" s="142">
        <f>SUM(ES293:ET293)</f>
      </c>
      <c r="ES293" s="143"/>
      <c r="ET293" s="143"/>
      <c r="EU293" s="144"/>
      <c r="FB293" s="146"/>
      <c r="FC293" s="146" cm="1">
        <f t="array" ref="FC293">ROW()-ROW(New[#Headers])</f>
        <v>287</v>
      </c>
    </row>
    <row r="294" spans="2:159" s="139" customFormat="1" ht="10.5" x14ac:dyDescent="0.2">
      <c r="B294" s="133"/>
      <c r="C294" s="133"/>
      <c r="E294" s="133"/>
      <c r="H294" s="133"/>
      <c r="N294" s="140"/>
      <c r="O294" s="140"/>
      <c r="P294" s="141"/>
      <c r="Q294" s="142">
        <f>SUM(R294:AQ294)</f>
      </c>
      <c r="R294" s="143"/>
      <c r="S294" s="143"/>
      <c r="T294" s="143"/>
      <c r="U294" s="143"/>
      <c r="V294" s="143"/>
      <c r="W294" s="143"/>
      <c r="X294" s="143"/>
      <c r="Y294" s="143"/>
      <c r="Z294" s="143"/>
      <c r="AA294" s="143"/>
      <c r="AB294" s="143"/>
      <c r="AC294" s="143"/>
      <c r="AD294" s="143"/>
      <c r="AE294" s="143"/>
      <c r="AF294" s="143"/>
      <c r="AG294" s="143"/>
      <c r="AH294" s="143"/>
      <c r="AI294" s="143"/>
      <c r="AJ294" s="143"/>
      <c r="AK294" s="143"/>
      <c r="AL294" s="143"/>
      <c r="AM294" s="143"/>
      <c r="AN294" s="143"/>
      <c r="AO294" s="143"/>
      <c r="AP294" s="143"/>
      <c r="AQ294" s="143"/>
      <c r="AR294" s="142">
        <f>SUM(AS294:AV294)</f>
      </c>
      <c r="AS294" s="143"/>
      <c r="AT294" s="143"/>
      <c r="AU294" s="143"/>
      <c r="AV294" s="143"/>
      <c r="AW294" s="142">
        <f>SUM(AX294:BI294)</f>
      </c>
      <c r="AX294" s="143"/>
      <c r="AY294" s="143"/>
      <c r="AZ294" s="143"/>
      <c r="BA294" s="143"/>
      <c r="BB294" s="143"/>
      <c r="BC294" s="143"/>
      <c r="BD294" s="143"/>
      <c r="BE294" s="143"/>
      <c r="BF294" s="143"/>
      <c r="BG294" s="143"/>
      <c r="BH294" s="143"/>
      <c r="BI294" s="143"/>
      <c r="BJ294" s="142"/>
      <c r="BK294" s="143"/>
      <c r="BL294" s="143"/>
      <c r="BM294" s="143"/>
      <c r="BN294" s="143"/>
      <c r="BO294" s="143"/>
      <c r="BP294" s="143"/>
      <c r="BQ294" s="142"/>
      <c r="BR294" s="143"/>
      <c r="BS294" s="143"/>
      <c r="BT294" s="142">
        <f>SUM(BU294:BW294)</f>
      </c>
      <c r="BU294" s="143"/>
      <c r="BV294" s="143"/>
      <c r="BW294" s="143"/>
      <c r="BX294" s="142">
        <f>SUM(BY294:CD294)</f>
      </c>
      <c r="BY294" s="143"/>
      <c r="BZ294" s="143"/>
      <c r="CA294" s="143"/>
      <c r="CB294" s="143"/>
      <c r="CC294" s="143"/>
      <c r="CD294" s="143"/>
      <c r="CE294" s="142"/>
      <c r="CF294" s="143"/>
      <c r="CG294" s="143"/>
      <c r="CH294" s="143"/>
      <c r="CI294" s="143"/>
      <c r="CJ294" s="143"/>
      <c r="CK294" s="142">
        <f>SUM(CL294:CN294)</f>
      </c>
      <c r="CL294" s="143"/>
      <c r="CM294" s="143"/>
      <c r="CN294" s="143"/>
      <c r="CO294" s="142">
        <f>SUM(CP294:CT294)</f>
      </c>
      <c r="CP294" s="143"/>
      <c r="CQ294" s="143"/>
      <c r="CR294" s="143"/>
      <c r="CS294" s="143"/>
      <c r="CT294" s="143"/>
      <c r="CU294" s="142"/>
      <c r="CV294" s="143"/>
      <c r="CW294" s="143"/>
      <c r="CX294" s="143"/>
      <c r="CY294" s="142"/>
      <c r="CZ294" s="143"/>
      <c r="DA294" s="143"/>
      <c r="DB294" s="143"/>
      <c r="DC294" s="143"/>
      <c r="DD294" s="143"/>
      <c r="DE294" s="143"/>
      <c r="DF294" s="143"/>
      <c r="DG294" s="142">
        <f>SUM(DH294:DH294)</f>
      </c>
      <c r="DH294" s="143"/>
      <c r="DI294" s="142"/>
      <c r="DJ294" s="143"/>
      <c r="DK294" s="142">
        <f>SUM(DL294:DQ294)</f>
      </c>
      <c r="DL294" s="143"/>
      <c r="DM294" s="143"/>
      <c r="DN294" s="143"/>
      <c r="DO294" s="143"/>
      <c r="DP294" s="143"/>
      <c r="DQ294" s="143"/>
      <c r="DR294" s="143"/>
      <c r="DS294" s="143"/>
      <c r="DT294" s="143"/>
      <c r="DU294" s="143"/>
      <c r="DV294" s="143"/>
      <c r="DW294" s="143"/>
      <c r="DX294" s="142"/>
      <c r="DY294" s="143"/>
      <c r="DZ294" s="142"/>
      <c r="EA294" s="143"/>
      <c r="EB294" s="143"/>
      <c r="EC294" s="142"/>
      <c r="ED294" s="143"/>
      <c r="EF294" s="143"/>
      <c r="EG294" s="142">
        <f>SUM(EH294:EQ294)</f>
      </c>
      <c r="EH294" s="143"/>
      <c r="EI294" s="143"/>
      <c r="EJ294" s="143"/>
      <c r="EK294" s="143"/>
      <c r="EL294" s="143"/>
      <c r="EM294" s="143"/>
      <c r="EN294" s="143"/>
      <c r="EO294" s="143"/>
      <c r="EP294" s="143"/>
      <c r="EQ294" s="143"/>
      <c r="ER294" s="142">
        <f>SUM(ES294:ET294)</f>
      </c>
      <c r="ES294" s="143"/>
      <c r="ET294" s="143"/>
      <c r="EU294" s="144"/>
      <c r="FB294" s="146"/>
      <c r="FC294" s="146" cm="1">
        <f t="array" ref="FC294">ROW()-ROW(New[#Headers])</f>
        <v>288</v>
      </c>
    </row>
    <row r="295" spans="2:159" s="139" customFormat="1" ht="10.5" x14ac:dyDescent="0.2">
      <c r="B295" s="133"/>
      <c r="C295" s="133"/>
      <c r="E295" s="133"/>
      <c r="H295" s="133"/>
      <c r="N295" s="140"/>
      <c r="O295" s="140"/>
      <c r="P295" s="141"/>
      <c r="Q295" s="142">
        <f>SUM(R295:AQ295)</f>
      </c>
      <c r="R295" s="143"/>
      <c r="S295" s="143"/>
      <c r="T295" s="143"/>
      <c r="U295" s="143"/>
      <c r="V295" s="143"/>
      <c r="W295" s="143"/>
      <c r="X295" s="143"/>
      <c r="Y295" s="143"/>
      <c r="Z295" s="143"/>
      <c r="AA295" s="143"/>
      <c r="AB295" s="143"/>
      <c r="AC295" s="143"/>
      <c r="AD295" s="143"/>
      <c r="AE295" s="143"/>
      <c r="AF295" s="143"/>
      <c r="AG295" s="143"/>
      <c r="AH295" s="143"/>
      <c r="AI295" s="143"/>
      <c r="AJ295" s="143"/>
      <c r="AK295" s="143"/>
      <c r="AL295" s="143"/>
      <c r="AM295" s="143"/>
      <c r="AN295" s="143"/>
      <c r="AO295" s="143"/>
      <c r="AP295" s="143"/>
      <c r="AQ295" s="143"/>
      <c r="AR295" s="142">
        <f>SUM(AS295:AV295)</f>
      </c>
      <c r="AS295" s="143"/>
      <c r="AT295" s="143"/>
      <c r="AU295" s="143"/>
      <c r="AV295" s="143"/>
      <c r="AW295" s="142">
        <f>SUM(AX295:BI295)</f>
      </c>
      <c r="AX295" s="143"/>
      <c r="AY295" s="143"/>
      <c r="AZ295" s="143"/>
      <c r="BA295" s="143"/>
      <c r="BB295" s="143"/>
      <c r="BC295" s="143"/>
      <c r="BD295" s="143"/>
      <c r="BE295" s="143"/>
      <c r="BF295" s="143"/>
      <c r="BG295" s="143"/>
      <c r="BH295" s="143"/>
      <c r="BI295" s="143"/>
      <c r="BJ295" s="142"/>
      <c r="BK295" s="143"/>
      <c r="BL295" s="143"/>
      <c r="BM295" s="143"/>
      <c r="BN295" s="143"/>
      <c r="BO295" s="143"/>
      <c r="BP295" s="143"/>
      <c r="BQ295" s="142"/>
      <c r="BR295" s="143"/>
      <c r="BS295" s="143"/>
      <c r="BT295" s="142">
        <f>SUM(BU295:BW295)</f>
      </c>
      <c r="BU295" s="143"/>
      <c r="BV295" s="143"/>
      <c r="BW295" s="143"/>
      <c r="BX295" s="142">
        <f>SUM(BY295:CD295)</f>
      </c>
      <c r="BY295" s="143"/>
      <c r="BZ295" s="143"/>
      <c r="CA295" s="143"/>
      <c r="CB295" s="143"/>
      <c r="CC295" s="143"/>
      <c r="CD295" s="143"/>
      <c r="CE295" s="142"/>
      <c r="CF295" s="143"/>
      <c r="CG295" s="143"/>
      <c r="CH295" s="143"/>
      <c r="CI295" s="143"/>
      <c r="CJ295" s="143"/>
      <c r="CK295" s="142">
        <f>SUM(CL295:CN295)</f>
      </c>
      <c r="CL295" s="143"/>
      <c r="CM295" s="143"/>
      <c r="CN295" s="143"/>
      <c r="CO295" s="142">
        <f>SUM(CP295:CT295)</f>
      </c>
      <c r="CP295" s="143"/>
      <c r="CQ295" s="143"/>
      <c r="CR295" s="143"/>
      <c r="CS295" s="143"/>
      <c r="CT295" s="143"/>
      <c r="CU295" s="142"/>
      <c r="CV295" s="143"/>
      <c r="CW295" s="143"/>
      <c r="CX295" s="143"/>
      <c r="CY295" s="142"/>
      <c r="CZ295" s="143"/>
      <c r="DA295" s="143"/>
      <c r="DB295" s="143"/>
      <c r="DC295" s="143"/>
      <c r="DD295" s="143"/>
      <c r="DE295" s="143"/>
      <c r="DF295" s="143"/>
      <c r="DG295" s="142">
        <f>SUM(DH295:DH295)</f>
      </c>
      <c r="DH295" s="143"/>
      <c r="DI295" s="142"/>
      <c r="DJ295" s="143"/>
      <c r="DK295" s="142">
        <f>SUM(DL295:DQ295)</f>
      </c>
      <c r="DL295" s="143"/>
      <c r="DM295" s="143"/>
      <c r="DN295" s="143"/>
      <c r="DO295" s="143"/>
      <c r="DP295" s="143"/>
      <c r="DQ295" s="143"/>
      <c r="DR295" s="143"/>
      <c r="DS295" s="143"/>
      <c r="DT295" s="143"/>
      <c r="DU295" s="143"/>
      <c r="DV295" s="143"/>
      <c r="DW295" s="143"/>
      <c r="DX295" s="142"/>
      <c r="DY295" s="143"/>
      <c r="DZ295" s="142"/>
      <c r="EA295" s="143"/>
      <c r="EB295" s="143"/>
      <c r="EC295" s="142"/>
      <c r="ED295" s="143"/>
      <c r="EF295" s="143"/>
      <c r="EG295" s="142">
        <f>SUM(EH295:EQ295)</f>
      </c>
      <c r="EH295" s="143"/>
      <c r="EI295" s="143"/>
      <c r="EJ295" s="143"/>
      <c r="EK295" s="143"/>
      <c r="EL295" s="143"/>
      <c r="EM295" s="143"/>
      <c r="EN295" s="143"/>
      <c r="EO295" s="143"/>
      <c r="EP295" s="143"/>
      <c r="EQ295" s="143"/>
      <c r="ER295" s="142">
        <f>SUM(ES295:ET295)</f>
      </c>
      <c r="ES295" s="143"/>
      <c r="ET295" s="143"/>
      <c r="EU295" s="144"/>
      <c r="FB295" s="146"/>
      <c r="FC295" s="146" cm="1">
        <f t="array" ref="FC295">ROW()-ROW(New[#Headers])</f>
        <v>289</v>
      </c>
    </row>
    <row r="296" spans="2:159" s="139" customFormat="1" ht="10.5" x14ac:dyDescent="0.2">
      <c r="B296" s="133"/>
      <c r="C296" s="133"/>
      <c r="E296" s="133"/>
      <c r="H296" s="133"/>
      <c r="N296" s="140"/>
      <c r="O296" s="140"/>
      <c r="P296" s="141"/>
      <c r="Q296" s="142">
        <f>SUM(R296:AQ296)</f>
      </c>
      <c r="R296" s="143"/>
      <c r="S296" s="143"/>
      <c r="T296" s="143"/>
      <c r="U296" s="143"/>
      <c r="V296" s="143"/>
      <c r="W296" s="143"/>
      <c r="X296" s="143"/>
      <c r="Y296" s="143"/>
      <c r="Z296" s="143"/>
      <c r="AA296" s="143"/>
      <c r="AB296" s="143"/>
      <c r="AC296" s="143"/>
      <c r="AD296" s="143"/>
      <c r="AE296" s="143"/>
      <c r="AF296" s="143"/>
      <c r="AG296" s="143"/>
      <c r="AH296" s="143"/>
      <c r="AI296" s="143"/>
      <c r="AJ296" s="143"/>
      <c r="AK296" s="143"/>
      <c r="AL296" s="143"/>
      <c r="AM296" s="143"/>
      <c r="AN296" s="143"/>
      <c r="AO296" s="143"/>
      <c r="AP296" s="143"/>
      <c r="AQ296" s="143"/>
      <c r="AR296" s="142">
        <f>SUM(AS296:AV296)</f>
      </c>
      <c r="AS296" s="143"/>
      <c r="AT296" s="143"/>
      <c r="AU296" s="143"/>
      <c r="AV296" s="143"/>
      <c r="AW296" s="142">
        <f>SUM(AX296:BI296)</f>
      </c>
      <c r="AX296" s="143"/>
      <c r="AY296" s="143"/>
      <c r="AZ296" s="143"/>
      <c r="BA296" s="143"/>
      <c r="BB296" s="143"/>
      <c r="BC296" s="143"/>
      <c r="BD296" s="143"/>
      <c r="BE296" s="143"/>
      <c r="BF296" s="143"/>
      <c r="BG296" s="143"/>
      <c r="BH296" s="143"/>
      <c r="BI296" s="143"/>
      <c r="BJ296" s="142"/>
      <c r="BK296" s="143"/>
      <c r="BL296" s="143"/>
      <c r="BM296" s="143"/>
      <c r="BN296" s="143"/>
      <c r="BO296" s="143"/>
      <c r="BP296" s="143"/>
      <c r="BQ296" s="142"/>
      <c r="BR296" s="143"/>
      <c r="BS296" s="143"/>
      <c r="BT296" s="142">
        <f>SUM(BU296:BW296)</f>
      </c>
      <c r="BU296" s="143"/>
      <c r="BV296" s="143"/>
      <c r="BW296" s="143"/>
      <c r="BX296" s="142">
        <f>SUM(BY296:CD296)</f>
      </c>
      <c r="BY296" s="143"/>
      <c r="BZ296" s="143"/>
      <c r="CA296" s="143"/>
      <c r="CB296" s="143"/>
      <c r="CC296" s="143"/>
      <c r="CD296" s="143"/>
      <c r="CE296" s="142"/>
      <c r="CF296" s="143"/>
      <c r="CG296" s="143"/>
      <c r="CH296" s="143"/>
      <c r="CI296" s="143"/>
      <c r="CJ296" s="143"/>
      <c r="CK296" s="142">
        <f>SUM(CL296:CN296)</f>
      </c>
      <c r="CL296" s="143"/>
      <c r="CM296" s="143"/>
      <c r="CN296" s="143"/>
      <c r="CO296" s="142">
        <f>SUM(CP296:CT296)</f>
      </c>
      <c r="CP296" s="143"/>
      <c r="CQ296" s="143"/>
      <c r="CR296" s="143"/>
      <c r="CS296" s="143"/>
      <c r="CT296" s="143"/>
      <c r="CU296" s="142"/>
      <c r="CV296" s="143"/>
      <c r="CW296" s="143"/>
      <c r="CX296" s="143"/>
      <c r="CY296" s="142"/>
      <c r="CZ296" s="143"/>
      <c r="DA296" s="143"/>
      <c r="DB296" s="143"/>
      <c r="DC296" s="143"/>
      <c r="DD296" s="143"/>
      <c r="DE296" s="143"/>
      <c r="DF296" s="143"/>
      <c r="DG296" s="142">
        <f>SUM(DH296:DH296)</f>
      </c>
      <c r="DH296" s="143"/>
      <c r="DI296" s="142"/>
      <c r="DJ296" s="143"/>
      <c r="DK296" s="142">
        <f>SUM(DL296:DQ296)</f>
      </c>
      <c r="DL296" s="143"/>
      <c r="DM296" s="143"/>
      <c r="DN296" s="143"/>
      <c r="DO296" s="143"/>
      <c r="DP296" s="143"/>
      <c r="DQ296" s="143"/>
      <c r="DR296" s="143"/>
      <c r="DS296" s="143"/>
      <c r="DT296" s="143"/>
      <c r="DU296" s="143"/>
      <c r="DV296" s="143"/>
      <c r="DW296" s="143"/>
      <c r="DX296" s="142"/>
      <c r="DY296" s="143"/>
      <c r="DZ296" s="142"/>
      <c r="EA296" s="143"/>
      <c r="EB296" s="143"/>
      <c r="EC296" s="142"/>
      <c r="ED296" s="143"/>
      <c r="EF296" s="143"/>
      <c r="EG296" s="142">
        <f>SUM(EH296:EQ296)</f>
      </c>
      <c r="EH296" s="143"/>
      <c r="EI296" s="143"/>
      <c r="EJ296" s="143"/>
      <c r="EK296" s="143"/>
      <c r="EL296" s="143"/>
      <c r="EM296" s="143"/>
      <c r="EN296" s="143"/>
      <c r="EO296" s="143"/>
      <c r="EP296" s="143"/>
      <c r="EQ296" s="143"/>
      <c r="ER296" s="142">
        <f>SUM(ES296:ET296)</f>
      </c>
      <c r="ES296" s="143"/>
      <c r="ET296" s="143"/>
      <c r="EU296" s="144"/>
      <c r="FB296" s="146"/>
      <c r="FC296" s="146" cm="1">
        <f t="array" ref="FC296">ROW()-ROW(New[#Headers])</f>
        <v>290</v>
      </c>
    </row>
    <row r="297" spans="2:159" s="139" customFormat="1" ht="10.5" x14ac:dyDescent="0.2">
      <c r="B297" s="133"/>
      <c r="C297" s="133"/>
      <c r="E297" s="133"/>
      <c r="H297" s="133"/>
      <c r="N297" s="140"/>
      <c r="O297" s="140"/>
      <c r="P297" s="141"/>
      <c r="Q297" s="142">
        <f>SUM(R297:AQ297)</f>
      </c>
      <c r="R297" s="143"/>
      <c r="S297" s="143"/>
      <c r="T297" s="143"/>
      <c r="U297" s="143"/>
      <c r="V297" s="143"/>
      <c r="W297" s="143"/>
      <c r="X297" s="143"/>
      <c r="Y297" s="143"/>
      <c r="Z297" s="143"/>
      <c r="AA297" s="143"/>
      <c r="AB297" s="143"/>
      <c r="AC297" s="143"/>
      <c r="AD297" s="143"/>
      <c r="AE297" s="143"/>
      <c r="AF297" s="143"/>
      <c r="AG297" s="143"/>
      <c r="AH297" s="143"/>
      <c r="AI297" s="143"/>
      <c r="AJ297" s="143"/>
      <c r="AK297" s="143"/>
      <c r="AL297" s="143"/>
      <c r="AM297" s="143"/>
      <c r="AN297" s="143"/>
      <c r="AO297" s="143"/>
      <c r="AP297" s="143"/>
      <c r="AQ297" s="143"/>
      <c r="AR297" s="142">
        <f>SUM(AS297:AV297)</f>
      </c>
      <c r="AS297" s="143"/>
      <c r="AT297" s="143"/>
      <c r="AU297" s="143"/>
      <c r="AV297" s="143"/>
      <c r="AW297" s="142">
        <f>SUM(AX297:BI297)</f>
      </c>
      <c r="AX297" s="143"/>
      <c r="AY297" s="143"/>
      <c r="AZ297" s="143"/>
      <c r="BA297" s="143"/>
      <c r="BB297" s="143"/>
      <c r="BC297" s="143"/>
      <c r="BD297" s="143"/>
      <c r="BE297" s="143"/>
      <c r="BF297" s="143"/>
      <c r="BG297" s="143"/>
      <c r="BH297" s="143"/>
      <c r="BI297" s="143"/>
      <c r="BJ297" s="142"/>
      <c r="BK297" s="143"/>
      <c r="BL297" s="143"/>
      <c r="BM297" s="143"/>
      <c r="BN297" s="143"/>
      <c r="BO297" s="143"/>
      <c r="BP297" s="143"/>
      <c r="BQ297" s="142"/>
      <c r="BR297" s="143"/>
      <c r="BS297" s="143"/>
      <c r="BT297" s="142">
        <f>SUM(BU297:BW297)</f>
      </c>
      <c r="BU297" s="143"/>
      <c r="BV297" s="143"/>
      <c r="BW297" s="143"/>
      <c r="BX297" s="142">
        <f>SUM(BY297:CD297)</f>
      </c>
      <c r="BY297" s="143"/>
      <c r="BZ297" s="143"/>
      <c r="CA297" s="143"/>
      <c r="CB297" s="143"/>
      <c r="CC297" s="143"/>
      <c r="CD297" s="143"/>
      <c r="CE297" s="142"/>
      <c r="CF297" s="143"/>
      <c r="CG297" s="143"/>
      <c r="CH297" s="143"/>
      <c r="CI297" s="143"/>
      <c r="CJ297" s="143"/>
      <c r="CK297" s="142">
        <f>SUM(CL297:CN297)</f>
      </c>
      <c r="CL297" s="143"/>
      <c r="CM297" s="143"/>
      <c r="CN297" s="143"/>
      <c r="CO297" s="142">
        <f>SUM(CP297:CT297)</f>
      </c>
      <c r="CP297" s="143"/>
      <c r="CQ297" s="143"/>
      <c r="CR297" s="143"/>
      <c r="CS297" s="143"/>
      <c r="CT297" s="143"/>
      <c r="CU297" s="142"/>
      <c r="CV297" s="143"/>
      <c r="CW297" s="143"/>
      <c r="CX297" s="143"/>
      <c r="CY297" s="142"/>
      <c r="CZ297" s="143"/>
      <c r="DA297" s="143"/>
      <c r="DB297" s="143"/>
      <c r="DC297" s="143"/>
      <c r="DD297" s="143"/>
      <c r="DE297" s="143"/>
      <c r="DF297" s="143"/>
      <c r="DG297" s="142">
        <f>SUM(DH297:DH297)</f>
      </c>
      <c r="DH297" s="143"/>
      <c r="DI297" s="142"/>
      <c r="DJ297" s="143"/>
      <c r="DK297" s="142">
        <f>SUM(DL297:DQ297)</f>
      </c>
      <c r="DL297" s="143"/>
      <c r="DM297" s="143"/>
      <c r="DN297" s="143"/>
      <c r="DO297" s="143"/>
      <c r="DP297" s="143"/>
      <c r="DQ297" s="143"/>
      <c r="DR297" s="143"/>
      <c r="DS297" s="143"/>
      <c r="DT297" s="143"/>
      <c r="DU297" s="143"/>
      <c r="DV297" s="143"/>
      <c r="DW297" s="143"/>
      <c r="DX297" s="142"/>
      <c r="DY297" s="143"/>
      <c r="DZ297" s="142"/>
      <c r="EA297" s="143"/>
      <c r="EB297" s="143"/>
      <c r="EC297" s="142"/>
      <c r="ED297" s="143"/>
      <c r="EF297" s="143"/>
      <c r="EG297" s="142">
        <f>SUM(EH297:EQ297)</f>
      </c>
      <c r="EH297" s="143"/>
      <c r="EI297" s="143"/>
      <c r="EJ297" s="143"/>
      <c r="EK297" s="143"/>
      <c r="EL297" s="143"/>
      <c r="EM297" s="143"/>
      <c r="EN297" s="143"/>
      <c r="EO297" s="143"/>
      <c r="EP297" s="143"/>
      <c r="EQ297" s="143"/>
      <c r="ER297" s="142">
        <f>SUM(ES297:ET297)</f>
      </c>
      <c r="ES297" s="143"/>
      <c r="ET297" s="143"/>
      <c r="EU297" s="144"/>
      <c r="FB297" s="146"/>
      <c r="FC297" s="146" cm="1">
        <f t="array" ref="FC297">ROW()-ROW(New[#Headers])</f>
        <v>291</v>
      </c>
    </row>
    <row r="298" spans="2:159" s="139" customFormat="1" ht="10.5" x14ac:dyDescent="0.2">
      <c r="B298" s="133"/>
      <c r="C298" s="133"/>
      <c r="E298" s="133"/>
      <c r="H298" s="133"/>
      <c r="N298" s="140"/>
      <c r="O298" s="140"/>
      <c r="P298" s="141"/>
      <c r="Q298" s="142">
        <f>SUM(R298:AQ298)</f>
      </c>
      <c r="R298" s="143"/>
      <c r="S298" s="143"/>
      <c r="T298" s="143"/>
      <c r="U298" s="143"/>
      <c r="V298" s="143"/>
      <c r="W298" s="143"/>
      <c r="X298" s="143"/>
      <c r="Y298" s="143"/>
      <c r="Z298" s="143"/>
      <c r="AA298" s="143"/>
      <c r="AB298" s="143"/>
      <c r="AC298" s="143"/>
      <c r="AD298" s="143"/>
      <c r="AE298" s="143"/>
      <c r="AF298" s="143"/>
      <c r="AG298" s="143"/>
      <c r="AH298" s="143"/>
      <c r="AI298" s="143"/>
      <c r="AJ298" s="143"/>
      <c r="AK298" s="143"/>
      <c r="AL298" s="143"/>
      <c r="AM298" s="143"/>
      <c r="AN298" s="143"/>
      <c r="AO298" s="143"/>
      <c r="AP298" s="143"/>
      <c r="AQ298" s="143"/>
      <c r="AR298" s="142">
        <f>SUM(AS298:AV298)</f>
      </c>
      <c r="AS298" s="143"/>
      <c r="AT298" s="143"/>
      <c r="AU298" s="143"/>
      <c r="AV298" s="143"/>
      <c r="AW298" s="142">
        <f>SUM(AX298:BI298)</f>
      </c>
      <c r="AX298" s="143"/>
      <c r="AY298" s="143"/>
      <c r="AZ298" s="143"/>
      <c r="BA298" s="143"/>
      <c r="BB298" s="143"/>
      <c r="BC298" s="143"/>
      <c r="BD298" s="143"/>
      <c r="BE298" s="143"/>
      <c r="BF298" s="143"/>
      <c r="BG298" s="143"/>
      <c r="BH298" s="143"/>
      <c r="BI298" s="143"/>
      <c r="BJ298" s="142"/>
      <c r="BK298" s="143"/>
      <c r="BL298" s="143"/>
      <c r="BM298" s="143"/>
      <c r="BN298" s="143"/>
      <c r="BO298" s="143"/>
      <c r="BP298" s="143"/>
      <c r="BQ298" s="142"/>
      <c r="BR298" s="143"/>
      <c r="BS298" s="143"/>
      <c r="BT298" s="142">
        <f>SUM(BU298:BW298)</f>
      </c>
      <c r="BU298" s="143"/>
      <c r="BV298" s="143"/>
      <c r="BW298" s="143"/>
      <c r="BX298" s="142">
        <f>SUM(BY298:CD298)</f>
      </c>
      <c r="BY298" s="143"/>
      <c r="BZ298" s="143"/>
      <c r="CA298" s="143"/>
      <c r="CB298" s="143"/>
      <c r="CC298" s="143"/>
      <c r="CD298" s="143"/>
      <c r="CE298" s="142"/>
      <c r="CF298" s="143"/>
      <c r="CG298" s="143"/>
      <c r="CH298" s="143"/>
      <c r="CI298" s="143"/>
      <c r="CJ298" s="143"/>
      <c r="CK298" s="142">
        <f>SUM(CL298:CN298)</f>
      </c>
      <c r="CL298" s="143"/>
      <c r="CM298" s="143"/>
      <c r="CN298" s="143"/>
      <c r="CO298" s="142">
        <f>SUM(CP298:CT298)</f>
      </c>
      <c r="CP298" s="143"/>
      <c r="CQ298" s="143"/>
      <c r="CR298" s="143"/>
      <c r="CS298" s="143"/>
      <c r="CT298" s="143"/>
      <c r="CU298" s="142"/>
      <c r="CV298" s="143"/>
      <c r="CW298" s="143"/>
      <c r="CX298" s="143"/>
      <c r="CY298" s="142"/>
      <c r="CZ298" s="143"/>
      <c r="DA298" s="143"/>
      <c r="DB298" s="143"/>
      <c r="DC298" s="143"/>
      <c r="DD298" s="143"/>
      <c r="DE298" s="143"/>
      <c r="DF298" s="143"/>
      <c r="DG298" s="142">
        <f>SUM(DH298:DH298)</f>
      </c>
      <c r="DH298" s="143"/>
      <c r="DI298" s="142"/>
      <c r="DJ298" s="143"/>
      <c r="DK298" s="142">
        <f>SUM(DL298:DQ298)</f>
      </c>
      <c r="DL298" s="143"/>
      <c r="DM298" s="143"/>
      <c r="DN298" s="143"/>
      <c r="DO298" s="143"/>
      <c r="DP298" s="143"/>
      <c r="DQ298" s="143"/>
      <c r="DR298" s="143"/>
      <c r="DS298" s="143"/>
      <c r="DT298" s="143"/>
      <c r="DU298" s="143"/>
      <c r="DV298" s="143"/>
      <c r="DW298" s="143"/>
      <c r="DX298" s="142"/>
      <c r="DY298" s="143"/>
      <c r="DZ298" s="142"/>
      <c r="EA298" s="143"/>
      <c r="EB298" s="143"/>
      <c r="EC298" s="142"/>
      <c r="ED298" s="143"/>
      <c r="EF298" s="143"/>
      <c r="EG298" s="142">
        <f>SUM(EH298:EQ298)</f>
      </c>
      <c r="EH298" s="143"/>
      <c r="EI298" s="143"/>
      <c r="EJ298" s="143"/>
      <c r="EK298" s="143"/>
      <c r="EL298" s="143"/>
      <c r="EM298" s="143"/>
      <c r="EN298" s="143"/>
      <c r="EO298" s="143"/>
      <c r="EP298" s="143"/>
      <c r="EQ298" s="143"/>
      <c r="ER298" s="142">
        <f>SUM(ES298:ET298)</f>
      </c>
      <c r="ES298" s="143"/>
      <c r="ET298" s="143"/>
      <c r="EU298" s="144"/>
      <c r="FB298" s="146"/>
      <c r="FC298" s="146" cm="1">
        <f t="array" ref="FC298">ROW()-ROW(New[#Headers])</f>
        <v>292</v>
      </c>
    </row>
    <row r="299" spans="2:159" s="139" customFormat="1" ht="10.5" x14ac:dyDescent="0.2">
      <c r="B299" s="133"/>
      <c r="C299" s="133"/>
      <c r="E299" s="133"/>
      <c r="H299" s="133"/>
      <c r="N299" s="140"/>
      <c r="O299" s="140"/>
      <c r="P299" s="141"/>
      <c r="Q299" s="142">
        <f>SUM(R299:AQ299)</f>
      </c>
      <c r="R299" s="143"/>
      <c r="S299" s="143"/>
      <c r="T299" s="143"/>
      <c r="U299" s="143"/>
      <c r="V299" s="143"/>
      <c r="W299" s="143"/>
      <c r="X299" s="143"/>
      <c r="Y299" s="143"/>
      <c r="Z299" s="143"/>
      <c r="AA299" s="143"/>
      <c r="AB299" s="143"/>
      <c r="AC299" s="143"/>
      <c r="AD299" s="143"/>
      <c r="AE299" s="143"/>
      <c r="AF299" s="143"/>
      <c r="AG299" s="143"/>
      <c r="AH299" s="143"/>
      <c r="AI299" s="143"/>
      <c r="AJ299" s="143"/>
      <c r="AK299" s="143"/>
      <c r="AL299" s="143"/>
      <c r="AM299" s="143"/>
      <c r="AN299" s="143"/>
      <c r="AO299" s="143"/>
      <c r="AP299" s="143"/>
      <c r="AQ299" s="143"/>
      <c r="AR299" s="142">
        <f>SUM(AS299:AV299)</f>
      </c>
      <c r="AS299" s="143"/>
      <c r="AT299" s="143"/>
      <c r="AU299" s="143"/>
      <c r="AV299" s="143"/>
      <c r="AW299" s="142">
        <f>SUM(AX299:BI299)</f>
      </c>
      <c r="AX299" s="143"/>
      <c r="AY299" s="143"/>
      <c r="AZ299" s="143"/>
      <c r="BA299" s="143"/>
      <c r="BB299" s="143"/>
      <c r="BC299" s="143"/>
      <c r="BD299" s="143"/>
      <c r="BE299" s="143"/>
      <c r="BF299" s="143"/>
      <c r="BG299" s="143"/>
      <c r="BH299" s="143"/>
      <c r="BI299" s="143"/>
      <c r="BJ299" s="142"/>
      <c r="BK299" s="143"/>
      <c r="BL299" s="143"/>
      <c r="BM299" s="143"/>
      <c r="BN299" s="143"/>
      <c r="BO299" s="143"/>
      <c r="BP299" s="143"/>
      <c r="BQ299" s="142"/>
      <c r="BR299" s="143"/>
      <c r="BS299" s="143"/>
      <c r="BT299" s="142">
        <f>SUM(BU299:BW299)</f>
      </c>
      <c r="BU299" s="143"/>
      <c r="BV299" s="143"/>
      <c r="BW299" s="143"/>
      <c r="BX299" s="142">
        <f>SUM(BY299:CD299)</f>
      </c>
      <c r="BY299" s="143"/>
      <c r="BZ299" s="143"/>
      <c r="CA299" s="143"/>
      <c r="CB299" s="143"/>
      <c r="CC299" s="143"/>
      <c r="CD299" s="143"/>
      <c r="CE299" s="142"/>
      <c r="CF299" s="143"/>
      <c r="CG299" s="143"/>
      <c r="CH299" s="143"/>
      <c r="CI299" s="143"/>
      <c r="CJ299" s="143"/>
      <c r="CK299" s="142">
        <f>SUM(CL299:CN299)</f>
      </c>
      <c r="CL299" s="143"/>
      <c r="CM299" s="143"/>
      <c r="CN299" s="143"/>
      <c r="CO299" s="142">
        <f>SUM(CP299:CT299)</f>
      </c>
      <c r="CP299" s="143"/>
      <c r="CQ299" s="143"/>
      <c r="CR299" s="143"/>
      <c r="CS299" s="143"/>
      <c r="CT299" s="143"/>
      <c r="CU299" s="142"/>
      <c r="CV299" s="143"/>
      <c r="CW299" s="143"/>
      <c r="CX299" s="143"/>
      <c r="CY299" s="142"/>
      <c r="CZ299" s="143"/>
      <c r="DA299" s="143"/>
      <c r="DB299" s="143"/>
      <c r="DC299" s="143"/>
      <c r="DD299" s="143"/>
      <c r="DE299" s="143"/>
      <c r="DF299" s="143"/>
      <c r="DG299" s="142">
        <f>SUM(DH299:DH299)</f>
      </c>
      <c r="DH299" s="143"/>
      <c r="DI299" s="142"/>
      <c r="DJ299" s="143"/>
      <c r="DK299" s="142">
        <f>SUM(DL299:DQ299)</f>
      </c>
      <c r="DL299" s="143"/>
      <c r="DM299" s="143"/>
      <c r="DN299" s="143"/>
      <c r="DO299" s="143"/>
      <c r="DP299" s="143"/>
      <c r="DQ299" s="143"/>
      <c r="DR299" s="143"/>
      <c r="DS299" s="143"/>
      <c r="DT299" s="143"/>
      <c r="DU299" s="143"/>
      <c r="DV299" s="143"/>
      <c r="DW299" s="143"/>
      <c r="DX299" s="142"/>
      <c r="DY299" s="143"/>
      <c r="DZ299" s="142"/>
      <c r="EA299" s="143"/>
      <c r="EB299" s="143"/>
      <c r="EC299" s="142"/>
      <c r="ED299" s="143"/>
      <c r="EF299" s="143"/>
      <c r="EG299" s="142">
        <f>SUM(EH299:EQ299)</f>
      </c>
      <c r="EH299" s="143"/>
      <c r="EI299" s="143"/>
      <c r="EJ299" s="143"/>
      <c r="EK299" s="143"/>
      <c r="EL299" s="143"/>
      <c r="EM299" s="143"/>
      <c r="EN299" s="143"/>
      <c r="EO299" s="143"/>
      <c r="EP299" s="143"/>
      <c r="EQ299" s="143"/>
      <c r="ER299" s="142">
        <f>SUM(ES299:ET299)</f>
      </c>
      <c r="ES299" s="143"/>
      <c r="ET299" s="143"/>
      <c r="EU299" s="144"/>
      <c r="FB299" s="146"/>
      <c r="FC299" s="146" cm="1">
        <f t="array" ref="FC299">ROW()-ROW(New[#Headers])</f>
        <v>293</v>
      </c>
    </row>
    <row r="300" spans="2:159" s="139" customFormat="1" ht="10.5" x14ac:dyDescent="0.2">
      <c r="B300" s="133"/>
      <c r="C300" s="133"/>
      <c r="E300" s="133"/>
      <c r="H300" s="133"/>
      <c r="N300" s="140"/>
      <c r="O300" s="140"/>
      <c r="P300" s="141"/>
      <c r="Q300" s="142">
        <f>SUM(R300:AQ300)</f>
      </c>
      <c r="R300" s="143"/>
      <c r="S300" s="143"/>
      <c r="T300" s="143"/>
      <c r="U300" s="143"/>
      <c r="V300" s="143"/>
      <c r="W300" s="143"/>
      <c r="X300" s="143"/>
      <c r="Y300" s="143"/>
      <c r="Z300" s="143"/>
      <c r="AA300" s="143"/>
      <c r="AB300" s="143"/>
      <c r="AC300" s="143"/>
      <c r="AD300" s="143"/>
      <c r="AE300" s="143"/>
      <c r="AF300" s="143"/>
      <c r="AG300" s="143"/>
      <c r="AH300" s="143"/>
      <c r="AI300" s="143"/>
      <c r="AJ300" s="143"/>
      <c r="AK300" s="143"/>
      <c r="AL300" s="143"/>
      <c r="AM300" s="143"/>
      <c r="AN300" s="143"/>
      <c r="AO300" s="143"/>
      <c r="AP300" s="143"/>
      <c r="AQ300" s="143"/>
      <c r="AR300" s="142">
        <f>SUM(AS300:AV300)</f>
      </c>
      <c r="AS300" s="143"/>
      <c r="AT300" s="143"/>
      <c r="AU300" s="143"/>
      <c r="AV300" s="143"/>
      <c r="AW300" s="142">
        <f>SUM(AX300:BI300)</f>
      </c>
      <c r="AX300" s="143"/>
      <c r="AY300" s="143"/>
      <c r="AZ300" s="143"/>
      <c r="BA300" s="143"/>
      <c r="BB300" s="143"/>
      <c r="BC300" s="143"/>
      <c r="BD300" s="143"/>
      <c r="BE300" s="143"/>
      <c r="BF300" s="143"/>
      <c r="BG300" s="143"/>
      <c r="BH300" s="143"/>
      <c r="BI300" s="143"/>
      <c r="BJ300" s="142"/>
      <c r="BK300" s="143"/>
      <c r="BL300" s="143"/>
      <c r="BM300" s="143"/>
      <c r="BN300" s="143"/>
      <c r="BO300" s="143"/>
      <c r="BP300" s="143"/>
      <c r="BQ300" s="142"/>
      <c r="BR300" s="143"/>
      <c r="BS300" s="143"/>
      <c r="BT300" s="142">
        <f>SUM(BU300:BW300)</f>
      </c>
      <c r="BU300" s="143"/>
      <c r="BV300" s="143"/>
      <c r="BW300" s="143"/>
      <c r="BX300" s="142">
        <f>SUM(BY300:CD300)</f>
      </c>
      <c r="BY300" s="143"/>
      <c r="BZ300" s="143"/>
      <c r="CA300" s="143"/>
      <c r="CB300" s="143"/>
      <c r="CC300" s="143"/>
      <c r="CD300" s="143"/>
      <c r="CE300" s="142"/>
      <c r="CF300" s="143"/>
      <c r="CG300" s="143"/>
      <c r="CH300" s="143"/>
      <c r="CI300" s="143"/>
      <c r="CJ300" s="143"/>
      <c r="CK300" s="142">
        <f>SUM(CL300:CN300)</f>
      </c>
      <c r="CL300" s="143"/>
      <c r="CM300" s="143"/>
      <c r="CN300" s="143"/>
      <c r="CO300" s="142">
        <f>SUM(CP300:CT300)</f>
      </c>
      <c r="CP300" s="143"/>
      <c r="CQ300" s="143"/>
      <c r="CR300" s="143"/>
      <c r="CS300" s="143"/>
      <c r="CT300" s="143"/>
      <c r="CU300" s="142"/>
      <c r="CV300" s="143"/>
      <c r="CW300" s="143"/>
      <c r="CX300" s="143"/>
      <c r="CY300" s="142"/>
      <c r="CZ300" s="143"/>
      <c r="DA300" s="143"/>
      <c r="DB300" s="143"/>
      <c r="DC300" s="143"/>
      <c r="DD300" s="143"/>
      <c r="DE300" s="143"/>
      <c r="DF300" s="143"/>
      <c r="DG300" s="142">
        <f>SUM(DH300:DH300)</f>
      </c>
      <c r="DH300" s="143"/>
      <c r="DI300" s="142"/>
      <c r="DJ300" s="143"/>
      <c r="DK300" s="142">
        <f>SUM(DL300:DQ300)</f>
      </c>
      <c r="DL300" s="143"/>
      <c r="DM300" s="143"/>
      <c r="DN300" s="143"/>
      <c r="DO300" s="143"/>
      <c r="DP300" s="143"/>
      <c r="DQ300" s="143"/>
      <c r="DR300" s="143"/>
      <c r="DS300" s="143"/>
      <c r="DT300" s="143"/>
      <c r="DU300" s="143"/>
      <c r="DV300" s="143"/>
      <c r="DW300" s="143"/>
      <c r="DX300" s="142"/>
      <c r="DY300" s="143"/>
      <c r="DZ300" s="142"/>
      <c r="EA300" s="143"/>
      <c r="EB300" s="143"/>
      <c r="EC300" s="142"/>
      <c r="ED300" s="143"/>
      <c r="EF300" s="143"/>
      <c r="EG300" s="142">
        <f>SUM(EH300:EQ300)</f>
      </c>
      <c r="EH300" s="143"/>
      <c r="EI300" s="143"/>
      <c r="EJ300" s="143"/>
      <c r="EK300" s="143"/>
      <c r="EL300" s="143"/>
      <c r="EM300" s="143"/>
      <c r="EN300" s="143"/>
      <c r="EO300" s="143"/>
      <c r="EP300" s="143"/>
      <c r="EQ300" s="143"/>
      <c r="ER300" s="142">
        <f>SUM(ES300:ET300)</f>
      </c>
      <c r="ES300" s="143"/>
      <c r="ET300" s="143"/>
      <c r="EU300" s="144"/>
      <c r="FB300" s="146"/>
      <c r="FC300" s="146" cm="1">
        <f t="array" ref="FC300">ROW()-ROW(New[#Headers])</f>
        <v>294</v>
      </c>
    </row>
    <row r="301" spans="2:159" s="139" customFormat="1" ht="10.5" x14ac:dyDescent="0.2">
      <c r="B301" s="133"/>
      <c r="C301" s="133"/>
      <c r="E301" s="133"/>
      <c r="H301" s="133"/>
      <c r="N301" s="140"/>
      <c r="O301" s="140"/>
      <c r="P301" s="141"/>
      <c r="Q301" s="142">
        <f>SUM(R301:AQ301)</f>
      </c>
      <c r="R301" s="143"/>
      <c r="S301" s="143"/>
      <c r="T301" s="143"/>
      <c r="U301" s="143"/>
      <c r="V301" s="143"/>
      <c r="W301" s="143"/>
      <c r="X301" s="143"/>
      <c r="Y301" s="143"/>
      <c r="Z301" s="143"/>
      <c r="AA301" s="143"/>
      <c r="AB301" s="143"/>
      <c r="AC301" s="143"/>
      <c r="AD301" s="143"/>
      <c r="AE301" s="143"/>
      <c r="AF301" s="143"/>
      <c r="AG301" s="143"/>
      <c r="AH301" s="143"/>
      <c r="AI301" s="143"/>
      <c r="AJ301" s="143"/>
      <c r="AK301" s="143"/>
      <c r="AL301" s="143"/>
      <c r="AM301" s="143"/>
      <c r="AN301" s="143"/>
      <c r="AO301" s="143"/>
      <c r="AP301" s="143"/>
      <c r="AQ301" s="143"/>
      <c r="AR301" s="142">
        <f>SUM(AS301:AV301)</f>
      </c>
      <c r="AS301" s="143"/>
      <c r="AT301" s="143"/>
      <c r="AU301" s="143"/>
      <c r="AV301" s="143"/>
      <c r="AW301" s="142">
        <f>SUM(AX301:BI301)</f>
      </c>
      <c r="AX301" s="143"/>
      <c r="AY301" s="143"/>
      <c r="AZ301" s="143"/>
      <c r="BA301" s="143"/>
      <c r="BB301" s="143"/>
      <c r="BC301" s="143"/>
      <c r="BD301" s="143"/>
      <c r="BE301" s="143"/>
      <c r="BF301" s="143"/>
      <c r="BG301" s="143"/>
      <c r="BH301" s="143"/>
      <c r="BI301" s="143"/>
      <c r="BJ301" s="142"/>
      <c r="BK301" s="143"/>
      <c r="BL301" s="143"/>
      <c r="BM301" s="143"/>
      <c r="BN301" s="143"/>
      <c r="BO301" s="143"/>
      <c r="BP301" s="143"/>
      <c r="BQ301" s="142"/>
      <c r="BR301" s="143"/>
      <c r="BS301" s="143"/>
      <c r="BT301" s="142">
        <f>SUM(BU301:BW301)</f>
      </c>
      <c r="BU301" s="143"/>
      <c r="BV301" s="143"/>
      <c r="BW301" s="143"/>
      <c r="BX301" s="142">
        <f>SUM(BY301:CD301)</f>
      </c>
      <c r="BY301" s="143"/>
      <c r="BZ301" s="143"/>
      <c r="CA301" s="143"/>
      <c r="CB301" s="143"/>
      <c r="CC301" s="143"/>
      <c r="CD301" s="143"/>
      <c r="CE301" s="142"/>
      <c r="CF301" s="143"/>
      <c r="CG301" s="143"/>
      <c r="CH301" s="143"/>
      <c r="CI301" s="143"/>
      <c r="CJ301" s="143"/>
      <c r="CK301" s="142">
        <f>SUM(CL301:CN301)</f>
      </c>
      <c r="CL301" s="143"/>
      <c r="CM301" s="143"/>
      <c r="CN301" s="143"/>
      <c r="CO301" s="142">
        <f>SUM(CP301:CT301)</f>
      </c>
      <c r="CP301" s="143"/>
      <c r="CQ301" s="143"/>
      <c r="CR301" s="143"/>
      <c r="CS301" s="143"/>
      <c r="CT301" s="143"/>
      <c r="CU301" s="142"/>
      <c r="CV301" s="143"/>
      <c r="CW301" s="143"/>
      <c r="CX301" s="143"/>
      <c r="CY301" s="142"/>
      <c r="CZ301" s="143"/>
      <c r="DA301" s="143"/>
      <c r="DB301" s="143"/>
      <c r="DC301" s="143"/>
      <c r="DD301" s="143"/>
      <c r="DE301" s="143"/>
      <c r="DF301" s="143"/>
      <c r="DG301" s="142">
        <f>SUM(DH301:DH301)</f>
      </c>
      <c r="DH301" s="143"/>
      <c r="DI301" s="142"/>
      <c r="DJ301" s="143"/>
      <c r="DK301" s="142">
        <f>SUM(DL301:DQ301)</f>
      </c>
      <c r="DL301" s="143"/>
      <c r="DM301" s="143"/>
      <c r="DN301" s="143"/>
      <c r="DO301" s="143"/>
      <c r="DP301" s="143"/>
      <c r="DQ301" s="143"/>
      <c r="DR301" s="143"/>
      <c r="DS301" s="143"/>
      <c r="DT301" s="143"/>
      <c r="DU301" s="143"/>
      <c r="DV301" s="143"/>
      <c r="DW301" s="143"/>
      <c r="DX301" s="142"/>
      <c r="DY301" s="143"/>
      <c r="DZ301" s="142"/>
      <c r="EA301" s="143"/>
      <c r="EB301" s="143"/>
      <c r="EC301" s="142"/>
      <c r="ED301" s="143"/>
      <c r="EF301" s="143"/>
      <c r="EG301" s="142">
        <f>SUM(EH301:EQ301)</f>
      </c>
      <c r="EH301" s="143"/>
      <c r="EI301" s="143"/>
      <c r="EJ301" s="143"/>
      <c r="EK301" s="143"/>
      <c r="EL301" s="143"/>
      <c r="EM301" s="143"/>
      <c r="EN301" s="143"/>
      <c r="EO301" s="143"/>
      <c r="EP301" s="143"/>
      <c r="EQ301" s="143"/>
      <c r="ER301" s="142">
        <f>SUM(ES301:ET301)</f>
      </c>
      <c r="ES301" s="143"/>
      <c r="ET301" s="143"/>
      <c r="EU301" s="144"/>
      <c r="FB301" s="146"/>
      <c r="FC301" s="146" cm="1">
        <f t="array" ref="FC301">ROW()-ROW(New[#Headers])</f>
        <v>295</v>
      </c>
    </row>
    <row r="302" spans="2:159" s="139" customFormat="1" ht="10.5" x14ac:dyDescent="0.2">
      <c r="B302" s="133"/>
      <c r="C302" s="133"/>
      <c r="E302" s="133"/>
      <c r="H302" s="133"/>
      <c r="N302" s="140"/>
      <c r="O302" s="140"/>
      <c r="P302" s="141"/>
      <c r="Q302" s="142">
        <f>SUM(R302:AQ302)</f>
      </c>
      <c r="R302" s="143"/>
      <c r="S302" s="143"/>
      <c r="T302" s="143"/>
      <c r="U302" s="143"/>
      <c r="V302" s="143"/>
      <c r="W302" s="143"/>
      <c r="X302" s="143"/>
      <c r="Y302" s="143"/>
      <c r="Z302" s="143"/>
      <c r="AA302" s="143"/>
      <c r="AB302" s="143"/>
      <c r="AC302" s="143"/>
      <c r="AD302" s="143"/>
      <c r="AE302" s="143"/>
      <c r="AF302" s="143"/>
      <c r="AG302" s="143"/>
      <c r="AH302" s="143"/>
      <c r="AI302" s="143"/>
      <c r="AJ302" s="143"/>
      <c r="AK302" s="143"/>
      <c r="AL302" s="143"/>
      <c r="AM302" s="143"/>
      <c r="AN302" s="143"/>
      <c r="AO302" s="143"/>
      <c r="AP302" s="143"/>
      <c r="AQ302" s="143"/>
      <c r="AR302" s="142">
        <f>SUM(AS302:AV302)</f>
      </c>
      <c r="AS302" s="143"/>
      <c r="AT302" s="143"/>
      <c r="AU302" s="143"/>
      <c r="AV302" s="143"/>
      <c r="AW302" s="142">
        <f>SUM(AX302:BI302)</f>
      </c>
      <c r="AX302" s="143"/>
      <c r="AY302" s="143"/>
      <c r="AZ302" s="143"/>
      <c r="BA302" s="143"/>
      <c r="BB302" s="143"/>
      <c r="BC302" s="143"/>
      <c r="BD302" s="143"/>
      <c r="BE302" s="143"/>
      <c r="BF302" s="143"/>
      <c r="BG302" s="143"/>
      <c r="BH302" s="143"/>
      <c r="BI302" s="143"/>
      <c r="BJ302" s="142"/>
      <c r="BK302" s="143"/>
      <c r="BL302" s="143"/>
      <c r="BM302" s="143"/>
      <c r="BN302" s="143"/>
      <c r="BO302" s="143"/>
      <c r="BP302" s="143"/>
      <c r="BQ302" s="142"/>
      <c r="BR302" s="143"/>
      <c r="BS302" s="143"/>
      <c r="BT302" s="142">
        <f>SUM(BU302:BW302)</f>
      </c>
      <c r="BU302" s="143"/>
      <c r="BV302" s="143"/>
      <c r="BW302" s="143"/>
      <c r="BX302" s="142">
        <f>SUM(BY302:CD302)</f>
      </c>
      <c r="BY302" s="143"/>
      <c r="BZ302" s="143"/>
      <c r="CA302" s="143"/>
      <c r="CB302" s="143"/>
      <c r="CC302" s="143"/>
      <c r="CD302" s="143"/>
      <c r="CE302" s="142"/>
      <c r="CF302" s="143"/>
      <c r="CG302" s="143"/>
      <c r="CH302" s="143"/>
      <c r="CI302" s="143"/>
      <c r="CJ302" s="143"/>
      <c r="CK302" s="142">
        <f>SUM(CL302:CN302)</f>
      </c>
      <c r="CL302" s="143"/>
      <c r="CM302" s="143"/>
      <c r="CN302" s="143"/>
      <c r="CO302" s="142">
        <f>SUM(CP302:CT302)</f>
      </c>
      <c r="CP302" s="143"/>
      <c r="CQ302" s="143"/>
      <c r="CR302" s="143"/>
      <c r="CS302" s="143"/>
      <c r="CT302" s="143"/>
      <c r="CU302" s="142"/>
      <c r="CV302" s="143"/>
      <c r="CW302" s="143"/>
      <c r="CX302" s="143"/>
      <c r="CY302" s="142"/>
      <c r="CZ302" s="143"/>
      <c r="DA302" s="143"/>
      <c r="DB302" s="143"/>
      <c r="DC302" s="143"/>
      <c r="DD302" s="143"/>
      <c r="DE302" s="143"/>
      <c r="DF302" s="143"/>
      <c r="DG302" s="142">
        <f>SUM(DH302:DH302)</f>
      </c>
      <c r="DH302" s="143"/>
      <c r="DI302" s="142"/>
      <c r="DJ302" s="143"/>
      <c r="DK302" s="142">
        <f>SUM(DL302:DQ302)</f>
      </c>
      <c r="DL302" s="143"/>
      <c r="DM302" s="143"/>
      <c r="DN302" s="143"/>
      <c r="DO302" s="143"/>
      <c r="DP302" s="143"/>
      <c r="DQ302" s="143"/>
      <c r="DR302" s="143"/>
      <c r="DS302" s="143"/>
      <c r="DT302" s="143"/>
      <c r="DU302" s="143"/>
      <c r="DV302" s="143"/>
      <c r="DW302" s="143"/>
      <c r="DX302" s="142"/>
      <c r="DY302" s="143"/>
      <c r="DZ302" s="142"/>
      <c r="EA302" s="143"/>
      <c r="EB302" s="143"/>
      <c r="EC302" s="142"/>
      <c r="ED302" s="143"/>
      <c r="EF302" s="143"/>
      <c r="EG302" s="142">
        <f>SUM(EH302:EQ302)</f>
      </c>
      <c r="EH302" s="143"/>
      <c r="EI302" s="143"/>
      <c r="EJ302" s="143"/>
      <c r="EK302" s="143"/>
      <c r="EL302" s="143"/>
      <c r="EM302" s="143"/>
      <c r="EN302" s="143"/>
      <c r="EO302" s="143"/>
      <c r="EP302" s="143"/>
      <c r="EQ302" s="143"/>
      <c r="ER302" s="142">
        <f>SUM(ES302:ET302)</f>
      </c>
      <c r="ES302" s="143"/>
      <c r="ET302" s="143"/>
      <c r="EU302" s="144"/>
      <c r="FB302" s="146"/>
      <c r="FC302" s="146" cm="1">
        <f t="array" ref="FC302">ROW()-ROW(New[#Headers])</f>
        <v>296</v>
      </c>
    </row>
    <row r="303" spans="2:159" s="139" customFormat="1" ht="10.5" x14ac:dyDescent="0.2">
      <c r="B303" s="133"/>
      <c r="C303" s="133"/>
      <c r="E303" s="133"/>
      <c r="H303" s="133"/>
      <c r="N303" s="140"/>
      <c r="O303" s="140"/>
      <c r="P303" s="141"/>
      <c r="Q303" s="142">
        <f>SUM(R303:AQ303)</f>
      </c>
      <c r="R303" s="143"/>
      <c r="S303" s="143"/>
      <c r="T303" s="143"/>
      <c r="U303" s="143"/>
      <c r="V303" s="143"/>
      <c r="W303" s="143"/>
      <c r="X303" s="143"/>
      <c r="Y303" s="143"/>
      <c r="Z303" s="143"/>
      <c r="AA303" s="143"/>
      <c r="AB303" s="143"/>
      <c r="AC303" s="143"/>
      <c r="AD303" s="143"/>
      <c r="AE303" s="143"/>
      <c r="AF303" s="143"/>
      <c r="AG303" s="143"/>
      <c r="AH303" s="143"/>
      <c r="AI303" s="143"/>
      <c r="AJ303" s="143"/>
      <c r="AK303" s="143"/>
      <c r="AL303" s="143"/>
      <c r="AM303" s="143"/>
      <c r="AN303" s="143"/>
      <c r="AO303" s="143"/>
      <c r="AP303" s="143"/>
      <c r="AQ303" s="143"/>
      <c r="AR303" s="142">
        <f>SUM(AS303:AV303)</f>
      </c>
      <c r="AS303" s="143"/>
      <c r="AT303" s="143"/>
      <c r="AU303" s="143"/>
      <c r="AV303" s="143"/>
      <c r="AW303" s="142">
        <f>SUM(AX303:BI303)</f>
      </c>
      <c r="AX303" s="143"/>
      <c r="AY303" s="143"/>
      <c r="AZ303" s="143"/>
      <c r="BA303" s="143"/>
      <c r="BB303" s="143"/>
      <c r="BC303" s="143"/>
      <c r="BD303" s="143"/>
      <c r="BE303" s="143"/>
      <c r="BF303" s="143"/>
      <c r="BG303" s="143"/>
      <c r="BH303" s="143"/>
      <c r="BI303" s="143"/>
      <c r="BJ303" s="142"/>
      <c r="BK303" s="143"/>
      <c r="BL303" s="143"/>
      <c r="BM303" s="143"/>
      <c r="BN303" s="143"/>
      <c r="BO303" s="143"/>
      <c r="BP303" s="143"/>
      <c r="BQ303" s="142"/>
      <c r="BR303" s="143"/>
      <c r="BS303" s="143"/>
      <c r="BT303" s="142">
        <f>SUM(BU303:BW303)</f>
      </c>
      <c r="BU303" s="143"/>
      <c r="BV303" s="143"/>
      <c r="BW303" s="143"/>
      <c r="BX303" s="142">
        <f>SUM(BY303:CD303)</f>
      </c>
      <c r="BY303" s="143"/>
      <c r="BZ303" s="143"/>
      <c r="CA303" s="143"/>
      <c r="CB303" s="143"/>
      <c r="CC303" s="143"/>
      <c r="CD303" s="143"/>
      <c r="CE303" s="142"/>
      <c r="CF303" s="143"/>
      <c r="CG303" s="143"/>
      <c r="CH303" s="143"/>
      <c r="CI303" s="143"/>
      <c r="CJ303" s="143"/>
      <c r="CK303" s="142">
        <f>SUM(CL303:CN303)</f>
      </c>
      <c r="CL303" s="143"/>
      <c r="CM303" s="143"/>
      <c r="CN303" s="143"/>
      <c r="CO303" s="142">
        <f>SUM(CP303:CT303)</f>
      </c>
      <c r="CP303" s="143"/>
      <c r="CQ303" s="143"/>
      <c r="CR303" s="143"/>
      <c r="CS303" s="143"/>
      <c r="CT303" s="143"/>
      <c r="CU303" s="142"/>
      <c r="CV303" s="143"/>
      <c r="CW303" s="143"/>
      <c r="CX303" s="143"/>
      <c r="CY303" s="142"/>
      <c r="CZ303" s="143"/>
      <c r="DA303" s="143"/>
      <c r="DB303" s="143"/>
      <c r="DC303" s="143"/>
      <c r="DD303" s="143"/>
      <c r="DE303" s="143"/>
      <c r="DF303" s="143"/>
      <c r="DG303" s="142">
        <f>SUM(DH303:DH303)</f>
      </c>
      <c r="DH303" s="143"/>
      <c r="DI303" s="142"/>
      <c r="DJ303" s="143"/>
      <c r="DK303" s="142">
        <f>SUM(DL303:DQ303)</f>
      </c>
      <c r="DL303" s="143"/>
      <c r="DM303" s="143"/>
      <c r="DN303" s="143"/>
      <c r="DO303" s="143"/>
      <c r="DP303" s="143"/>
      <c r="DQ303" s="143"/>
      <c r="DR303" s="143"/>
      <c r="DS303" s="143"/>
      <c r="DT303" s="143"/>
      <c r="DU303" s="143"/>
      <c r="DV303" s="143"/>
      <c r="DW303" s="143"/>
      <c r="DX303" s="142"/>
      <c r="DY303" s="143"/>
      <c r="DZ303" s="142"/>
      <c r="EA303" s="143"/>
      <c r="EB303" s="143"/>
      <c r="EC303" s="142"/>
      <c r="ED303" s="143"/>
      <c r="EF303" s="143"/>
      <c r="EG303" s="142">
        <f>SUM(EH303:EQ303)</f>
      </c>
      <c r="EH303" s="143"/>
      <c r="EI303" s="143"/>
      <c r="EJ303" s="143"/>
      <c r="EK303" s="143"/>
      <c r="EL303" s="143"/>
      <c r="EM303" s="143"/>
      <c r="EN303" s="143"/>
      <c r="EO303" s="143"/>
      <c r="EP303" s="143"/>
      <c r="EQ303" s="143"/>
      <c r="ER303" s="142">
        <f>SUM(ES303:ET303)</f>
      </c>
      <c r="ES303" s="143"/>
      <c r="ET303" s="143"/>
      <c r="EU303" s="144"/>
      <c r="FB303" s="146"/>
      <c r="FC303" s="146" cm="1">
        <f t="array" ref="FC303">ROW()-ROW(New[#Headers])</f>
        <v>297</v>
      </c>
    </row>
    <row r="304" spans="2:159" s="139" customFormat="1" ht="10.5" x14ac:dyDescent="0.2">
      <c r="B304" s="133"/>
      <c r="C304" s="133"/>
      <c r="E304" s="133"/>
      <c r="H304" s="133"/>
      <c r="N304" s="140"/>
      <c r="O304" s="140"/>
      <c r="P304" s="141"/>
      <c r="Q304" s="142">
        <f>SUM(R304:AQ304)</f>
      </c>
      <c r="R304" s="143"/>
      <c r="S304" s="143"/>
      <c r="T304" s="143"/>
      <c r="U304" s="143"/>
      <c r="V304" s="143"/>
      <c r="W304" s="143"/>
      <c r="X304" s="143"/>
      <c r="Y304" s="143"/>
      <c r="Z304" s="143"/>
      <c r="AA304" s="143"/>
      <c r="AB304" s="143"/>
      <c r="AC304" s="143"/>
      <c r="AD304" s="143"/>
      <c r="AE304" s="143"/>
      <c r="AF304" s="143"/>
      <c r="AG304" s="143"/>
      <c r="AH304" s="143"/>
      <c r="AI304" s="143"/>
      <c r="AJ304" s="143"/>
      <c r="AK304" s="143"/>
      <c r="AL304" s="143"/>
      <c r="AM304" s="143"/>
      <c r="AN304" s="143"/>
      <c r="AO304" s="143"/>
      <c r="AP304" s="143"/>
      <c r="AQ304" s="143"/>
      <c r="AR304" s="142">
        <f>SUM(AS304:AV304)</f>
      </c>
      <c r="AS304" s="143"/>
      <c r="AT304" s="143"/>
      <c r="AU304" s="143"/>
      <c r="AV304" s="143"/>
      <c r="AW304" s="142">
        <f>SUM(AX304:BI304)</f>
      </c>
      <c r="AX304" s="143"/>
      <c r="AY304" s="143"/>
      <c r="AZ304" s="143"/>
      <c r="BA304" s="143"/>
      <c r="BB304" s="143"/>
      <c r="BC304" s="143"/>
      <c r="BD304" s="143"/>
      <c r="BE304" s="143"/>
      <c r="BF304" s="143"/>
      <c r="BG304" s="143"/>
      <c r="BH304" s="143"/>
      <c r="BI304" s="143"/>
      <c r="BJ304" s="142"/>
      <c r="BK304" s="143"/>
      <c r="BL304" s="143"/>
      <c r="BM304" s="143"/>
      <c r="BN304" s="143"/>
      <c r="BO304" s="143"/>
      <c r="BP304" s="143"/>
      <c r="BQ304" s="142"/>
      <c r="BR304" s="143"/>
      <c r="BS304" s="143"/>
      <c r="BT304" s="142">
        <f>SUM(BU304:BW304)</f>
      </c>
      <c r="BU304" s="143"/>
      <c r="BV304" s="143"/>
      <c r="BW304" s="143"/>
      <c r="BX304" s="142">
        <f>SUM(BY304:CD304)</f>
      </c>
      <c r="BY304" s="143"/>
      <c r="BZ304" s="143"/>
      <c r="CA304" s="143"/>
      <c r="CB304" s="143"/>
      <c r="CC304" s="143"/>
      <c r="CD304" s="143"/>
      <c r="CE304" s="142"/>
      <c r="CF304" s="143"/>
      <c r="CG304" s="143"/>
      <c r="CH304" s="143"/>
      <c r="CI304" s="143"/>
      <c r="CJ304" s="143"/>
      <c r="CK304" s="142">
        <f>SUM(CL304:CN304)</f>
      </c>
      <c r="CL304" s="143"/>
      <c r="CM304" s="143"/>
      <c r="CN304" s="143"/>
      <c r="CO304" s="142">
        <f>SUM(CP304:CT304)</f>
      </c>
      <c r="CP304" s="143"/>
      <c r="CQ304" s="143"/>
      <c r="CR304" s="143"/>
      <c r="CS304" s="143"/>
      <c r="CT304" s="143"/>
      <c r="CU304" s="142"/>
      <c r="CV304" s="143"/>
      <c r="CW304" s="143"/>
      <c r="CX304" s="143"/>
      <c r="CY304" s="142"/>
      <c r="CZ304" s="143"/>
      <c r="DA304" s="143"/>
      <c r="DB304" s="143"/>
      <c r="DC304" s="143"/>
      <c r="DD304" s="143"/>
      <c r="DE304" s="143"/>
      <c r="DF304" s="143"/>
      <c r="DG304" s="142">
        <f>SUM(DH304:DH304)</f>
      </c>
      <c r="DH304" s="143"/>
      <c r="DI304" s="142"/>
      <c r="DJ304" s="143"/>
      <c r="DK304" s="142">
        <f>SUM(DL304:DQ304)</f>
      </c>
      <c r="DL304" s="143"/>
      <c r="DM304" s="143"/>
      <c r="DN304" s="143"/>
      <c r="DO304" s="143"/>
      <c r="DP304" s="143"/>
      <c r="DQ304" s="143"/>
      <c r="DR304" s="143"/>
      <c r="DS304" s="143"/>
      <c r="DT304" s="143"/>
      <c r="DU304" s="143"/>
      <c r="DV304" s="143"/>
      <c r="DW304" s="143"/>
      <c r="DX304" s="142"/>
      <c r="DY304" s="143"/>
      <c r="DZ304" s="142"/>
      <c r="EA304" s="143"/>
      <c r="EB304" s="143"/>
      <c r="EC304" s="142"/>
      <c r="ED304" s="143"/>
      <c r="EF304" s="143"/>
      <c r="EG304" s="142">
        <f>SUM(EH304:EQ304)</f>
      </c>
      <c r="EH304" s="143"/>
      <c r="EI304" s="143"/>
      <c r="EJ304" s="143"/>
      <c r="EK304" s="143"/>
      <c r="EL304" s="143"/>
      <c r="EM304" s="143"/>
      <c r="EN304" s="143"/>
      <c r="EO304" s="143"/>
      <c r="EP304" s="143"/>
      <c r="EQ304" s="143"/>
      <c r="ER304" s="142">
        <f>SUM(ES304:ET304)</f>
      </c>
      <c r="ES304" s="143"/>
      <c r="ET304" s="143"/>
      <c r="EU304" s="144"/>
      <c r="FB304" s="146"/>
      <c r="FC304" s="146" cm="1">
        <f t="array" ref="FC304">ROW()-ROW(New[#Headers])</f>
        <v>298</v>
      </c>
    </row>
    <row r="305" spans="2:159" s="139" customFormat="1" ht="10.5" x14ac:dyDescent="0.2">
      <c r="B305" s="133"/>
      <c r="C305" s="133"/>
      <c r="E305" s="133"/>
      <c r="H305" s="133"/>
      <c r="N305" s="140"/>
      <c r="O305" s="140"/>
      <c r="P305" s="141"/>
      <c r="Q305" s="142">
        <f>SUM(R305:AQ305)</f>
      </c>
      <c r="R305" s="143"/>
      <c r="S305" s="143"/>
      <c r="T305" s="143"/>
      <c r="U305" s="143"/>
      <c r="V305" s="143"/>
      <c r="W305" s="143"/>
      <c r="X305" s="143"/>
      <c r="Y305" s="143"/>
      <c r="Z305" s="143"/>
      <c r="AA305" s="143"/>
      <c r="AB305" s="143"/>
      <c r="AC305" s="143"/>
      <c r="AD305" s="143"/>
      <c r="AE305" s="143"/>
      <c r="AF305" s="143"/>
      <c r="AG305" s="143"/>
      <c r="AH305" s="143"/>
      <c r="AI305" s="143"/>
      <c r="AJ305" s="143"/>
      <c r="AK305" s="143"/>
      <c r="AL305" s="143"/>
      <c r="AM305" s="143"/>
      <c r="AN305" s="143"/>
      <c r="AO305" s="143"/>
      <c r="AP305" s="143"/>
      <c r="AQ305" s="143"/>
      <c r="AR305" s="142">
        <f>SUM(AS305:AV305)</f>
      </c>
      <c r="AS305" s="143"/>
      <c r="AT305" s="143"/>
      <c r="AU305" s="143"/>
      <c r="AV305" s="143"/>
      <c r="AW305" s="142">
        <f>SUM(AX305:BI305)</f>
      </c>
      <c r="AX305" s="143"/>
      <c r="AY305" s="143"/>
      <c r="AZ305" s="143"/>
      <c r="BA305" s="143"/>
      <c r="BB305" s="143"/>
      <c r="BC305" s="143"/>
      <c r="BD305" s="143"/>
      <c r="BE305" s="143"/>
      <c r="BF305" s="143"/>
      <c r="BG305" s="143"/>
      <c r="BH305" s="143"/>
      <c r="BI305" s="143"/>
      <c r="BJ305" s="142"/>
      <c r="BK305" s="143"/>
      <c r="BL305" s="143"/>
      <c r="BM305" s="143"/>
      <c r="BN305" s="143"/>
      <c r="BO305" s="143"/>
      <c r="BP305" s="143"/>
      <c r="BQ305" s="142"/>
      <c r="BR305" s="143"/>
      <c r="BS305" s="143"/>
      <c r="BT305" s="142">
        <f>SUM(BU305:BW305)</f>
      </c>
      <c r="BU305" s="143"/>
      <c r="BV305" s="143"/>
      <c r="BW305" s="143"/>
      <c r="BX305" s="142">
        <f>SUM(BY305:CD305)</f>
      </c>
      <c r="BY305" s="143"/>
      <c r="BZ305" s="143"/>
      <c r="CA305" s="143"/>
      <c r="CB305" s="143"/>
      <c r="CC305" s="143"/>
      <c r="CD305" s="143"/>
      <c r="CE305" s="142"/>
      <c r="CF305" s="143"/>
      <c r="CG305" s="143"/>
      <c r="CH305" s="143"/>
      <c r="CI305" s="143"/>
      <c r="CJ305" s="143"/>
      <c r="CK305" s="142">
        <f>SUM(CL305:CN305)</f>
      </c>
      <c r="CL305" s="143"/>
      <c r="CM305" s="143"/>
      <c r="CN305" s="143"/>
      <c r="CO305" s="142">
        <f>SUM(CP305:CT305)</f>
      </c>
      <c r="CP305" s="143"/>
      <c r="CQ305" s="143"/>
      <c r="CR305" s="143"/>
      <c r="CS305" s="143"/>
      <c r="CT305" s="143"/>
      <c r="CU305" s="142"/>
      <c r="CV305" s="143"/>
      <c r="CW305" s="143"/>
      <c r="CX305" s="143"/>
      <c r="CY305" s="142"/>
      <c r="CZ305" s="143"/>
      <c r="DA305" s="143"/>
      <c r="DB305" s="143"/>
      <c r="DC305" s="143"/>
      <c r="DD305" s="143"/>
      <c r="DE305" s="143"/>
      <c r="DF305" s="143"/>
      <c r="DG305" s="142">
        <f>SUM(DH305:DH305)</f>
      </c>
      <c r="DH305" s="143"/>
      <c r="DI305" s="142"/>
      <c r="DJ305" s="143"/>
      <c r="DK305" s="142">
        <f>SUM(DL305:DQ305)</f>
      </c>
      <c r="DL305" s="143"/>
      <c r="DM305" s="143"/>
      <c r="DN305" s="143"/>
      <c r="DO305" s="143"/>
      <c r="DP305" s="143"/>
      <c r="DQ305" s="143"/>
      <c r="DR305" s="143"/>
      <c r="DS305" s="143"/>
      <c r="DT305" s="143"/>
      <c r="DU305" s="143"/>
      <c r="DV305" s="143"/>
      <c r="DW305" s="143"/>
      <c r="DX305" s="142"/>
      <c r="DY305" s="143"/>
      <c r="DZ305" s="142"/>
      <c r="EA305" s="143"/>
      <c r="EB305" s="143"/>
      <c r="EC305" s="142"/>
      <c r="ED305" s="143"/>
      <c r="EF305" s="143"/>
      <c r="EG305" s="142">
        <f>SUM(EH305:EQ305)</f>
      </c>
      <c r="EH305" s="143"/>
      <c r="EI305" s="143"/>
      <c r="EJ305" s="143"/>
      <c r="EK305" s="143"/>
      <c r="EL305" s="143"/>
      <c r="EM305" s="143"/>
      <c r="EN305" s="143"/>
      <c r="EO305" s="143"/>
      <c r="EP305" s="143"/>
      <c r="EQ305" s="143"/>
      <c r="ER305" s="142">
        <f>SUM(ES305:ET305)</f>
      </c>
      <c r="ES305" s="143"/>
      <c r="ET305" s="143"/>
      <c r="EU305" s="144"/>
      <c r="FB305" s="146"/>
      <c r="FC305" s="146" cm="1">
        <f t="array" ref="FC305">ROW()-ROW(New[#Headers])</f>
        <v>299</v>
      </c>
    </row>
    <row r="306" spans="2:159" s="139" customFormat="1" ht="10.5" x14ac:dyDescent="0.2">
      <c r="B306" s="133"/>
      <c r="C306" s="133"/>
      <c r="E306" s="133"/>
      <c r="H306" s="133"/>
      <c r="N306" s="140"/>
      <c r="O306" s="140"/>
      <c r="P306" s="141"/>
      <c r="Q306" s="142">
        <f>SUM(R306:AQ306)</f>
      </c>
      <c r="R306" s="143"/>
      <c r="S306" s="143"/>
      <c r="T306" s="143"/>
      <c r="U306" s="143"/>
      <c r="V306" s="143"/>
      <c r="W306" s="143"/>
      <c r="X306" s="143"/>
      <c r="Y306" s="143"/>
      <c r="Z306" s="143"/>
      <c r="AA306" s="143"/>
      <c r="AB306" s="143"/>
      <c r="AC306" s="143"/>
      <c r="AD306" s="143"/>
      <c r="AE306" s="143"/>
      <c r="AF306" s="143"/>
      <c r="AG306" s="143"/>
      <c r="AH306" s="143"/>
      <c r="AI306" s="143"/>
      <c r="AJ306" s="143"/>
      <c r="AK306" s="143"/>
      <c r="AL306" s="143"/>
      <c r="AM306" s="143"/>
      <c r="AN306" s="143"/>
      <c r="AO306" s="143"/>
      <c r="AP306" s="143"/>
      <c r="AQ306" s="143"/>
      <c r="AR306" s="142">
        <f>SUM(AS306:AV306)</f>
      </c>
      <c r="AS306" s="143"/>
      <c r="AT306" s="143"/>
      <c r="AU306" s="143"/>
      <c r="AV306" s="143"/>
      <c r="AW306" s="142">
        <f>SUM(AX306:BI306)</f>
      </c>
      <c r="AX306" s="143"/>
      <c r="AY306" s="143"/>
      <c r="AZ306" s="143"/>
      <c r="BA306" s="143"/>
      <c r="BB306" s="143"/>
      <c r="BC306" s="143"/>
      <c r="BD306" s="143"/>
      <c r="BE306" s="143"/>
      <c r="BF306" s="143"/>
      <c r="BG306" s="143"/>
      <c r="BH306" s="143"/>
      <c r="BI306" s="143"/>
      <c r="BJ306" s="142"/>
      <c r="BK306" s="143"/>
      <c r="BL306" s="143"/>
      <c r="BM306" s="143"/>
      <c r="BN306" s="143"/>
      <c r="BO306" s="143"/>
      <c r="BP306" s="143"/>
      <c r="BQ306" s="142"/>
      <c r="BR306" s="143"/>
      <c r="BS306" s="143"/>
      <c r="BT306" s="142">
        <f>SUM(BU306:BW306)</f>
      </c>
      <c r="BU306" s="143"/>
      <c r="BV306" s="143"/>
      <c r="BW306" s="143"/>
      <c r="BX306" s="142">
        <f>SUM(BY306:CD306)</f>
      </c>
      <c r="BY306" s="143"/>
      <c r="BZ306" s="143"/>
      <c r="CA306" s="143"/>
      <c r="CB306" s="143"/>
      <c r="CC306" s="143"/>
      <c r="CD306" s="143"/>
      <c r="CE306" s="142"/>
      <c r="CF306" s="143"/>
      <c r="CG306" s="143"/>
      <c r="CH306" s="143"/>
      <c r="CI306" s="143"/>
      <c r="CJ306" s="143"/>
      <c r="CK306" s="142">
        <f>SUM(CL306:CN306)</f>
      </c>
      <c r="CL306" s="143"/>
      <c r="CM306" s="143"/>
      <c r="CN306" s="143"/>
      <c r="CO306" s="142">
        <f>SUM(CP306:CT306)</f>
      </c>
      <c r="CP306" s="143"/>
      <c r="CQ306" s="143"/>
      <c r="CR306" s="143"/>
      <c r="CS306" s="143"/>
      <c r="CT306" s="143"/>
      <c r="CU306" s="142"/>
      <c r="CV306" s="143"/>
      <c r="CW306" s="143"/>
      <c r="CX306" s="143"/>
      <c r="CY306" s="142"/>
      <c r="CZ306" s="143"/>
      <c r="DA306" s="143"/>
      <c r="DB306" s="143"/>
      <c r="DC306" s="143"/>
      <c r="DD306" s="143"/>
      <c r="DE306" s="143"/>
      <c r="DF306" s="143"/>
      <c r="DG306" s="142">
        <f>SUM(DH306:DH306)</f>
      </c>
      <c r="DH306" s="143"/>
      <c r="DI306" s="142"/>
      <c r="DJ306" s="143"/>
      <c r="DK306" s="142">
        <f>SUM(DL306:DQ306)</f>
      </c>
      <c r="DL306" s="143"/>
      <c r="DM306" s="143"/>
      <c r="DN306" s="143"/>
      <c r="DO306" s="143"/>
      <c r="DP306" s="143"/>
      <c r="DQ306" s="143"/>
      <c r="DR306" s="143"/>
      <c r="DS306" s="143"/>
      <c r="DT306" s="143"/>
      <c r="DU306" s="143"/>
      <c r="DV306" s="143"/>
      <c r="DW306" s="143"/>
      <c r="DX306" s="142"/>
      <c r="DY306" s="143"/>
      <c r="DZ306" s="142"/>
      <c r="EA306" s="143"/>
      <c r="EB306" s="143"/>
      <c r="EC306" s="142"/>
      <c r="ED306" s="143"/>
      <c r="EF306" s="143"/>
      <c r="EG306" s="142">
        <f>SUM(EH306:EQ306)</f>
      </c>
      <c r="EH306" s="143"/>
      <c r="EI306" s="143"/>
      <c r="EJ306" s="143"/>
      <c r="EK306" s="143"/>
      <c r="EL306" s="143"/>
      <c r="EM306" s="143"/>
      <c r="EN306" s="143"/>
      <c r="EO306" s="143"/>
      <c r="EP306" s="143"/>
      <c r="EQ306" s="143"/>
      <c r="ER306" s="142">
        <f>SUM(ES306:ET306)</f>
      </c>
      <c r="ES306" s="143"/>
      <c r="ET306" s="143"/>
      <c r="EU306" s="144"/>
      <c r="FB306" s="146"/>
      <c r="FC306" s="146" cm="1">
        <f t="array" ref="FC306">ROW()-ROW(New[#Headers])</f>
        <v>300</v>
      </c>
    </row>
    <row r="307" spans="2:159" s="139" customFormat="1" ht="10.5" x14ac:dyDescent="0.2">
      <c r="B307" s="133"/>
      <c r="C307" s="133"/>
      <c r="E307" s="133"/>
      <c r="H307" s="133"/>
      <c r="N307" s="140"/>
      <c r="O307" s="140"/>
      <c r="P307" s="141"/>
      <c r="Q307" s="142">
        <f>SUM(R307:AQ307)</f>
      </c>
      <c r="R307" s="143"/>
      <c r="S307" s="143"/>
      <c r="T307" s="143"/>
      <c r="U307" s="143"/>
      <c r="V307" s="143"/>
      <c r="W307" s="143"/>
      <c r="X307" s="143"/>
      <c r="Y307" s="143"/>
      <c r="Z307" s="143"/>
      <c r="AA307" s="143"/>
      <c r="AB307" s="143"/>
      <c r="AC307" s="143"/>
      <c r="AD307" s="143"/>
      <c r="AE307" s="143"/>
      <c r="AF307" s="143"/>
      <c r="AG307" s="143"/>
      <c r="AH307" s="143"/>
      <c r="AI307" s="143"/>
      <c r="AJ307" s="143"/>
      <c r="AK307" s="143"/>
      <c r="AL307" s="143"/>
      <c r="AM307" s="143"/>
      <c r="AN307" s="143"/>
      <c r="AO307" s="143"/>
      <c r="AP307" s="143"/>
      <c r="AQ307" s="143"/>
      <c r="AR307" s="142">
        <f>SUM(AS307:AV307)</f>
      </c>
      <c r="AS307" s="143"/>
      <c r="AT307" s="143"/>
      <c r="AU307" s="143"/>
      <c r="AV307" s="143"/>
      <c r="AW307" s="142">
        <f>SUM(AX307:BI307)</f>
      </c>
      <c r="AX307" s="143"/>
      <c r="AY307" s="143"/>
      <c r="AZ307" s="143"/>
      <c r="BA307" s="143"/>
      <c r="BB307" s="143"/>
      <c r="BC307" s="143"/>
      <c r="BD307" s="143"/>
      <c r="BE307" s="143"/>
      <c r="BF307" s="143"/>
      <c r="BG307" s="143"/>
      <c r="BH307" s="143"/>
      <c r="BI307" s="143"/>
      <c r="BJ307" s="142"/>
      <c r="BK307" s="143"/>
      <c r="BL307" s="143"/>
      <c r="BM307" s="143"/>
      <c r="BN307" s="143"/>
      <c r="BO307" s="143"/>
      <c r="BP307" s="143"/>
      <c r="BQ307" s="142"/>
      <c r="BR307" s="143"/>
      <c r="BS307" s="143"/>
      <c r="BT307" s="142">
        <f>SUM(BU307:BW307)</f>
      </c>
      <c r="BU307" s="143"/>
      <c r="BV307" s="143"/>
      <c r="BW307" s="143"/>
      <c r="BX307" s="142">
        <f>SUM(BY307:CD307)</f>
      </c>
      <c r="BY307" s="143"/>
      <c r="BZ307" s="143"/>
      <c r="CA307" s="143"/>
      <c r="CB307" s="143"/>
      <c r="CC307" s="143"/>
      <c r="CD307" s="143"/>
      <c r="CE307" s="142"/>
      <c r="CF307" s="143"/>
      <c r="CG307" s="143"/>
      <c r="CH307" s="143"/>
      <c r="CI307" s="143"/>
      <c r="CJ307" s="143"/>
      <c r="CK307" s="142">
        <f>SUM(CL307:CN307)</f>
      </c>
      <c r="CL307" s="143"/>
      <c r="CM307" s="143"/>
      <c r="CN307" s="143"/>
      <c r="CO307" s="142">
        <f>SUM(CP307:CT307)</f>
      </c>
      <c r="CP307" s="143"/>
      <c r="CQ307" s="143"/>
      <c r="CR307" s="143"/>
      <c r="CS307" s="143"/>
      <c r="CT307" s="143"/>
      <c r="CU307" s="142"/>
      <c r="CV307" s="143"/>
      <c r="CW307" s="143"/>
      <c r="CX307" s="143"/>
      <c r="CY307" s="142"/>
      <c r="CZ307" s="143"/>
      <c r="DA307" s="143"/>
      <c r="DB307" s="143"/>
      <c r="DC307" s="143"/>
      <c r="DD307" s="143"/>
      <c r="DE307" s="143"/>
      <c r="DF307" s="143"/>
      <c r="DG307" s="142">
        <f>SUM(DH307:DH307)</f>
      </c>
      <c r="DH307" s="143"/>
      <c r="DI307" s="142"/>
      <c r="DJ307" s="143"/>
      <c r="DK307" s="142">
        <f>SUM(DL307:DQ307)</f>
      </c>
      <c r="DL307" s="143"/>
      <c r="DM307" s="143"/>
      <c r="DN307" s="143"/>
      <c r="DO307" s="143"/>
      <c r="DP307" s="143"/>
      <c r="DQ307" s="143"/>
      <c r="DR307" s="143"/>
      <c r="DS307" s="143"/>
      <c r="DT307" s="143"/>
      <c r="DU307" s="143"/>
      <c r="DV307" s="143"/>
      <c r="DW307" s="143"/>
      <c r="DX307" s="142"/>
      <c r="DY307" s="143"/>
      <c r="DZ307" s="142"/>
      <c r="EA307" s="143"/>
      <c r="EB307" s="143"/>
      <c r="EC307" s="142"/>
      <c r="ED307" s="143"/>
      <c r="EF307" s="143"/>
      <c r="EG307" s="142">
        <f>SUM(EH307:EQ307)</f>
      </c>
      <c r="EH307" s="143"/>
      <c r="EI307" s="143"/>
      <c r="EJ307" s="143"/>
      <c r="EK307" s="143"/>
      <c r="EL307" s="143"/>
      <c r="EM307" s="143"/>
      <c r="EN307" s="143"/>
      <c r="EO307" s="143"/>
      <c r="EP307" s="143"/>
      <c r="EQ307" s="143"/>
      <c r="ER307" s="142">
        <f>SUM(ES307:ET307)</f>
      </c>
      <c r="ES307" s="143"/>
      <c r="ET307" s="143"/>
      <c r="EU307" s="144"/>
      <c r="FB307" s="146"/>
      <c r="FC307" s="146" cm="1">
        <f t="array" ref="FC307">ROW()-ROW(New[#Headers])</f>
        <v>301</v>
      </c>
    </row>
    <row r="308" spans="2:159" s="139" customFormat="1" ht="10.5" x14ac:dyDescent="0.2">
      <c r="B308" s="133"/>
      <c r="C308" s="133"/>
      <c r="E308" s="133"/>
      <c r="H308" s="133"/>
      <c r="N308" s="140"/>
      <c r="O308" s="140"/>
      <c r="P308" s="141"/>
      <c r="Q308" s="142">
        <f>SUM(R308:AQ308)</f>
      </c>
      <c r="R308" s="143"/>
      <c r="S308" s="143"/>
      <c r="T308" s="143"/>
      <c r="U308" s="143"/>
      <c r="V308" s="143"/>
      <c r="W308" s="143"/>
      <c r="X308" s="143"/>
      <c r="Y308" s="143"/>
      <c r="Z308" s="143"/>
      <c r="AA308" s="143"/>
      <c r="AB308" s="143"/>
      <c r="AC308" s="143"/>
      <c r="AD308" s="143"/>
      <c r="AE308" s="143"/>
      <c r="AF308" s="143"/>
      <c r="AG308" s="143"/>
      <c r="AH308" s="143"/>
      <c r="AI308" s="143"/>
      <c r="AJ308" s="143"/>
      <c r="AK308" s="143"/>
      <c r="AL308" s="143"/>
      <c r="AM308" s="143"/>
      <c r="AN308" s="143"/>
      <c r="AO308" s="143"/>
      <c r="AP308" s="143"/>
      <c r="AQ308" s="143"/>
      <c r="AR308" s="142">
        <f>SUM(AS308:AV308)</f>
      </c>
      <c r="AS308" s="143"/>
      <c r="AT308" s="143"/>
      <c r="AU308" s="143"/>
      <c r="AV308" s="143"/>
      <c r="AW308" s="142">
        <f>SUM(AX308:BI308)</f>
      </c>
      <c r="AX308" s="143"/>
      <c r="AY308" s="143"/>
      <c r="AZ308" s="143"/>
      <c r="BA308" s="143"/>
      <c r="BB308" s="143"/>
      <c r="BC308" s="143"/>
      <c r="BD308" s="143"/>
      <c r="BE308" s="143"/>
      <c r="BF308" s="143"/>
      <c r="BG308" s="143"/>
      <c r="BH308" s="143"/>
      <c r="BI308" s="143"/>
      <c r="BJ308" s="142"/>
      <c r="BK308" s="143"/>
      <c r="BL308" s="143"/>
      <c r="BM308" s="143"/>
      <c r="BN308" s="143"/>
      <c r="BO308" s="143"/>
      <c r="BP308" s="143"/>
      <c r="BQ308" s="142"/>
      <c r="BR308" s="143"/>
      <c r="BS308" s="143"/>
      <c r="BT308" s="142">
        <f>SUM(BU308:BW308)</f>
      </c>
      <c r="BU308" s="143"/>
      <c r="BV308" s="143"/>
      <c r="BW308" s="143"/>
      <c r="BX308" s="142">
        <f>SUM(BY308:CD308)</f>
      </c>
      <c r="BY308" s="143"/>
      <c r="BZ308" s="143"/>
      <c r="CA308" s="143"/>
      <c r="CB308" s="143"/>
      <c r="CC308" s="143"/>
      <c r="CD308" s="143"/>
      <c r="CE308" s="142"/>
      <c r="CF308" s="143"/>
      <c r="CG308" s="143"/>
      <c r="CH308" s="143"/>
      <c r="CI308" s="143"/>
      <c r="CJ308" s="143"/>
      <c r="CK308" s="142">
        <f>SUM(CL308:CN308)</f>
      </c>
      <c r="CL308" s="143"/>
      <c r="CM308" s="143"/>
      <c r="CN308" s="143"/>
      <c r="CO308" s="142">
        <f>SUM(CP308:CT308)</f>
      </c>
      <c r="CP308" s="143"/>
      <c r="CQ308" s="143"/>
      <c r="CR308" s="143"/>
      <c r="CS308" s="143"/>
      <c r="CT308" s="143"/>
      <c r="CU308" s="142"/>
      <c r="CV308" s="143"/>
      <c r="CW308" s="143"/>
      <c r="CX308" s="143"/>
      <c r="CY308" s="142"/>
      <c r="CZ308" s="143"/>
      <c r="DA308" s="143"/>
      <c r="DB308" s="143"/>
      <c r="DC308" s="143"/>
      <c r="DD308" s="143"/>
      <c r="DE308" s="143"/>
      <c r="DF308" s="143"/>
      <c r="DG308" s="142">
        <f>SUM(DH308:DH308)</f>
      </c>
      <c r="DH308" s="143"/>
      <c r="DI308" s="142"/>
      <c r="DJ308" s="143"/>
      <c r="DK308" s="142">
        <f>SUM(DL308:DQ308)</f>
      </c>
      <c r="DL308" s="143"/>
      <c r="DM308" s="143"/>
      <c r="DN308" s="143"/>
      <c r="DO308" s="143"/>
      <c r="DP308" s="143"/>
      <c r="DQ308" s="143"/>
      <c r="DR308" s="143"/>
      <c r="DS308" s="143"/>
      <c r="DT308" s="143"/>
      <c r="DU308" s="143"/>
      <c r="DV308" s="143"/>
      <c r="DW308" s="143"/>
      <c r="DX308" s="142"/>
      <c r="DY308" s="143"/>
      <c r="DZ308" s="142"/>
      <c r="EA308" s="143"/>
      <c r="EB308" s="143"/>
      <c r="EC308" s="142"/>
      <c r="ED308" s="143"/>
      <c r="EF308" s="143"/>
      <c r="EG308" s="142">
        <f>SUM(EH308:EQ308)</f>
      </c>
      <c r="EH308" s="143"/>
      <c r="EI308" s="143"/>
      <c r="EJ308" s="143"/>
      <c r="EK308" s="143"/>
      <c r="EL308" s="143"/>
      <c r="EM308" s="143"/>
      <c r="EN308" s="143"/>
      <c r="EO308" s="143"/>
      <c r="EP308" s="143"/>
      <c r="EQ308" s="143"/>
      <c r="ER308" s="142">
        <f>SUM(ES308:ET308)</f>
      </c>
      <c r="ES308" s="143"/>
      <c r="ET308" s="143"/>
      <c r="EU308" s="144"/>
      <c r="FB308" s="146"/>
      <c r="FC308" s="146" cm="1">
        <f t="array" ref="FC308">ROW()-ROW(New[#Headers])</f>
        <v>302</v>
      </c>
    </row>
    <row r="309" spans="2:159" s="139" customFormat="1" ht="10.5" x14ac:dyDescent="0.2">
      <c r="B309" s="133"/>
      <c r="C309" s="133"/>
      <c r="E309" s="133"/>
      <c r="H309" s="133"/>
      <c r="N309" s="140"/>
      <c r="O309" s="140"/>
      <c r="P309" s="141"/>
      <c r="Q309" s="142">
        <f>SUM(R309:AQ309)</f>
      </c>
      <c r="R309" s="143"/>
      <c r="S309" s="143"/>
      <c r="T309" s="143"/>
      <c r="U309" s="143"/>
      <c r="V309" s="143"/>
      <c r="W309" s="143"/>
      <c r="X309" s="143"/>
      <c r="Y309" s="143"/>
      <c r="Z309" s="143"/>
      <c r="AA309" s="143"/>
      <c r="AB309" s="143"/>
      <c r="AC309" s="143"/>
      <c r="AD309" s="143"/>
      <c r="AE309" s="143"/>
      <c r="AF309" s="143"/>
      <c r="AG309" s="143"/>
      <c r="AH309" s="143"/>
      <c r="AI309" s="143"/>
      <c r="AJ309" s="143"/>
      <c r="AK309" s="143"/>
      <c r="AL309" s="143"/>
      <c r="AM309" s="143"/>
      <c r="AN309" s="143"/>
      <c r="AO309" s="143"/>
      <c r="AP309" s="143"/>
      <c r="AQ309" s="143"/>
      <c r="AR309" s="142">
        <f>SUM(AS309:AV309)</f>
      </c>
      <c r="AS309" s="143"/>
      <c r="AT309" s="143"/>
      <c r="AU309" s="143"/>
      <c r="AV309" s="143"/>
      <c r="AW309" s="142">
        <f>SUM(AX309:BI309)</f>
      </c>
      <c r="AX309" s="143"/>
      <c r="AY309" s="143"/>
      <c r="AZ309" s="143"/>
      <c r="BA309" s="143"/>
      <c r="BB309" s="143"/>
      <c r="BC309" s="143"/>
      <c r="BD309" s="143"/>
      <c r="BE309" s="143"/>
      <c r="BF309" s="143"/>
      <c r="BG309" s="143"/>
      <c r="BH309" s="143"/>
      <c r="BI309" s="143"/>
      <c r="BJ309" s="142"/>
      <c r="BK309" s="143"/>
      <c r="BL309" s="143"/>
      <c r="BM309" s="143"/>
      <c r="BN309" s="143"/>
      <c r="BO309" s="143"/>
      <c r="BP309" s="143"/>
      <c r="BQ309" s="142"/>
      <c r="BR309" s="143"/>
      <c r="BS309" s="143"/>
      <c r="BT309" s="142">
        <f>SUM(BU309:BW309)</f>
      </c>
      <c r="BU309" s="143"/>
      <c r="BV309" s="143"/>
      <c r="BW309" s="143"/>
      <c r="BX309" s="142">
        <f>SUM(BY309:CD309)</f>
      </c>
      <c r="BY309" s="143"/>
      <c r="BZ309" s="143"/>
      <c r="CA309" s="143"/>
      <c r="CB309" s="143"/>
      <c r="CC309" s="143"/>
      <c r="CD309" s="143"/>
      <c r="CE309" s="142"/>
      <c r="CF309" s="143"/>
      <c r="CG309" s="143"/>
      <c r="CH309" s="143"/>
      <c r="CI309" s="143"/>
      <c r="CJ309" s="143"/>
      <c r="CK309" s="142">
        <f>SUM(CL309:CN309)</f>
      </c>
      <c r="CL309" s="143"/>
      <c r="CM309" s="143"/>
      <c r="CN309" s="143"/>
      <c r="CO309" s="142">
        <f>SUM(CP309:CT309)</f>
      </c>
      <c r="CP309" s="143"/>
      <c r="CQ309" s="143"/>
      <c r="CR309" s="143"/>
      <c r="CS309" s="143"/>
      <c r="CT309" s="143"/>
      <c r="CU309" s="142"/>
      <c r="CV309" s="143"/>
      <c r="CW309" s="143"/>
      <c r="CX309" s="143"/>
      <c r="CY309" s="142"/>
      <c r="CZ309" s="143"/>
      <c r="DA309" s="143"/>
      <c r="DB309" s="143"/>
      <c r="DC309" s="143"/>
      <c r="DD309" s="143"/>
      <c r="DE309" s="143"/>
      <c r="DF309" s="143"/>
      <c r="DG309" s="142">
        <f>SUM(DH309:DH309)</f>
      </c>
      <c r="DH309" s="143"/>
      <c r="DI309" s="142"/>
      <c r="DJ309" s="143"/>
      <c r="DK309" s="142">
        <f>SUM(DL309:DQ309)</f>
      </c>
      <c r="DL309" s="143"/>
      <c r="DM309" s="143"/>
      <c r="DN309" s="143"/>
      <c r="DO309" s="143"/>
      <c r="DP309" s="143"/>
      <c r="DQ309" s="143"/>
      <c r="DR309" s="143"/>
      <c r="DS309" s="143"/>
      <c r="DT309" s="143"/>
      <c r="DU309" s="143"/>
      <c r="DV309" s="143"/>
      <c r="DW309" s="143"/>
      <c r="DX309" s="142"/>
      <c r="DY309" s="143"/>
      <c r="DZ309" s="142"/>
      <c r="EA309" s="143"/>
      <c r="EB309" s="143"/>
      <c r="EC309" s="142"/>
      <c r="ED309" s="143"/>
      <c r="EF309" s="143"/>
      <c r="EG309" s="142">
        <f>SUM(EH309:EQ309)</f>
      </c>
      <c r="EH309" s="143"/>
      <c r="EI309" s="143"/>
      <c r="EJ309" s="143"/>
      <c r="EK309" s="143"/>
      <c r="EL309" s="143"/>
      <c r="EM309" s="143"/>
      <c r="EN309" s="143"/>
      <c r="EO309" s="143"/>
      <c r="EP309" s="143"/>
      <c r="EQ309" s="143"/>
      <c r="ER309" s="142">
        <f>SUM(ES309:ET309)</f>
      </c>
      <c r="ES309" s="143"/>
      <c r="ET309" s="143"/>
      <c r="EU309" s="144"/>
      <c r="FB309" s="146"/>
      <c r="FC309" s="146" cm="1">
        <f t="array" ref="FC309">ROW()-ROW(New[#Headers])</f>
        <v>303</v>
      </c>
    </row>
    <row r="310" spans="2:159" s="139" customFormat="1" ht="10.5" x14ac:dyDescent="0.2">
      <c r="B310" s="133"/>
      <c r="C310" s="133"/>
      <c r="E310" s="133"/>
      <c r="H310" s="133"/>
      <c r="N310" s="140"/>
      <c r="O310" s="140"/>
      <c r="P310" s="141"/>
      <c r="Q310" s="142">
        <f>SUM(R310:AQ310)</f>
      </c>
      <c r="R310" s="143"/>
      <c r="S310" s="143"/>
      <c r="T310" s="143"/>
      <c r="U310" s="143"/>
      <c r="V310" s="143"/>
      <c r="W310" s="143"/>
      <c r="X310" s="143"/>
      <c r="Y310" s="143"/>
      <c r="Z310" s="143"/>
      <c r="AA310" s="143"/>
      <c r="AB310" s="143"/>
      <c r="AC310" s="143"/>
      <c r="AD310" s="143"/>
      <c r="AE310" s="143"/>
      <c r="AF310" s="143"/>
      <c r="AG310" s="143"/>
      <c r="AH310" s="143"/>
      <c r="AI310" s="143"/>
      <c r="AJ310" s="143"/>
      <c r="AK310" s="143"/>
      <c r="AL310" s="143"/>
      <c r="AM310" s="143"/>
      <c r="AN310" s="143"/>
      <c r="AO310" s="143"/>
      <c r="AP310" s="143"/>
      <c r="AQ310" s="143"/>
      <c r="AR310" s="142">
        <f>SUM(AS310:AV310)</f>
      </c>
      <c r="AS310" s="143"/>
      <c r="AT310" s="143"/>
      <c r="AU310" s="143"/>
      <c r="AV310" s="143"/>
      <c r="AW310" s="142">
        <f>SUM(AX310:BI310)</f>
      </c>
      <c r="AX310" s="143"/>
      <c r="AY310" s="143"/>
      <c r="AZ310" s="143"/>
      <c r="BA310" s="143"/>
      <c r="BB310" s="143"/>
      <c r="BC310" s="143"/>
      <c r="BD310" s="143"/>
      <c r="BE310" s="143"/>
      <c r="BF310" s="143"/>
      <c r="BG310" s="143"/>
      <c r="BH310" s="143"/>
      <c r="BI310" s="143"/>
      <c r="BJ310" s="142"/>
      <c r="BK310" s="143"/>
      <c r="BL310" s="143"/>
      <c r="BM310" s="143"/>
      <c r="BN310" s="143"/>
      <c r="BO310" s="143"/>
      <c r="BP310" s="143"/>
      <c r="BQ310" s="142"/>
      <c r="BR310" s="143"/>
      <c r="BS310" s="143"/>
      <c r="BT310" s="142">
        <f>SUM(BU310:BW310)</f>
      </c>
      <c r="BU310" s="143"/>
      <c r="BV310" s="143"/>
      <c r="BW310" s="143"/>
      <c r="BX310" s="142">
        <f>SUM(BY310:CD310)</f>
      </c>
      <c r="BY310" s="143"/>
      <c r="BZ310" s="143"/>
      <c r="CA310" s="143"/>
      <c r="CB310" s="143"/>
      <c r="CC310" s="143"/>
      <c r="CD310" s="143"/>
      <c r="CE310" s="142"/>
      <c r="CF310" s="143"/>
      <c r="CG310" s="143"/>
      <c r="CH310" s="143"/>
      <c r="CI310" s="143"/>
      <c r="CJ310" s="143"/>
      <c r="CK310" s="142">
        <f>SUM(CL310:CN310)</f>
      </c>
      <c r="CL310" s="143"/>
      <c r="CM310" s="143"/>
      <c r="CN310" s="143"/>
      <c r="CO310" s="142">
        <f>SUM(CP310:CT310)</f>
      </c>
      <c r="CP310" s="143"/>
      <c r="CQ310" s="143"/>
      <c r="CR310" s="143"/>
      <c r="CS310" s="143"/>
      <c r="CT310" s="143"/>
      <c r="CU310" s="142"/>
      <c r="CV310" s="143"/>
      <c r="CW310" s="143"/>
      <c r="CX310" s="143"/>
      <c r="CY310" s="142"/>
      <c r="CZ310" s="143"/>
      <c r="DA310" s="143"/>
      <c r="DB310" s="143"/>
      <c r="DC310" s="143"/>
      <c r="DD310" s="143"/>
      <c r="DE310" s="143"/>
      <c r="DF310" s="143"/>
      <c r="DG310" s="142">
        <f>SUM(DH310:DH310)</f>
      </c>
      <c r="DH310" s="143"/>
      <c r="DI310" s="142"/>
      <c r="DJ310" s="143"/>
      <c r="DK310" s="142">
        <f>SUM(DL310:DQ310)</f>
      </c>
      <c r="DL310" s="143"/>
      <c r="DM310" s="143"/>
      <c r="DN310" s="143"/>
      <c r="DO310" s="143"/>
      <c r="DP310" s="143"/>
      <c r="DQ310" s="143"/>
      <c r="DR310" s="143"/>
      <c r="DS310" s="143"/>
      <c r="DT310" s="143"/>
      <c r="DU310" s="143"/>
      <c r="DV310" s="143"/>
      <c r="DW310" s="143"/>
      <c r="DX310" s="142"/>
      <c r="DY310" s="143"/>
      <c r="DZ310" s="142"/>
      <c r="EA310" s="143"/>
      <c r="EB310" s="143"/>
      <c r="EC310" s="142"/>
      <c r="ED310" s="143"/>
      <c r="EF310" s="143"/>
      <c r="EG310" s="142">
        <f>SUM(EH310:EQ310)</f>
      </c>
      <c r="EH310" s="143"/>
      <c r="EI310" s="143"/>
      <c r="EJ310" s="143"/>
      <c r="EK310" s="143"/>
      <c r="EL310" s="143"/>
      <c r="EM310" s="143"/>
      <c r="EN310" s="143"/>
      <c r="EO310" s="143"/>
      <c r="EP310" s="143"/>
      <c r="EQ310" s="143"/>
      <c r="ER310" s="142">
        <f>SUM(ES310:ET310)</f>
      </c>
      <c r="ES310" s="143"/>
      <c r="ET310" s="143"/>
      <c r="EU310" s="144"/>
      <c r="FB310" s="146"/>
      <c r="FC310" s="146" cm="1">
        <f t="array" ref="FC310">ROW()-ROW(New[#Headers])</f>
        <v>304</v>
      </c>
    </row>
    <row r="311" spans="2:159" s="139" customFormat="1" ht="10.5" x14ac:dyDescent="0.2">
      <c r="B311" s="133"/>
      <c r="C311" s="133"/>
      <c r="E311" s="133"/>
      <c r="H311" s="133"/>
      <c r="N311" s="140"/>
      <c r="O311" s="140"/>
      <c r="P311" s="141"/>
      <c r="Q311" s="142">
        <f>SUM(R311:AQ311)</f>
      </c>
      <c r="R311" s="143"/>
      <c r="S311" s="143"/>
      <c r="T311" s="143"/>
      <c r="U311" s="143"/>
      <c r="V311" s="143"/>
      <c r="W311" s="143"/>
      <c r="X311" s="143"/>
      <c r="Y311" s="143"/>
      <c r="Z311" s="143"/>
      <c r="AA311" s="143"/>
      <c r="AB311" s="143"/>
      <c r="AC311" s="143"/>
      <c r="AD311" s="143"/>
      <c r="AE311" s="143"/>
      <c r="AF311" s="143"/>
      <c r="AG311" s="143"/>
      <c r="AH311" s="143"/>
      <c r="AI311" s="143"/>
      <c r="AJ311" s="143"/>
      <c r="AK311" s="143"/>
      <c r="AL311" s="143"/>
      <c r="AM311" s="143"/>
      <c r="AN311" s="143"/>
      <c r="AO311" s="143"/>
      <c r="AP311" s="143"/>
      <c r="AQ311" s="143"/>
      <c r="AR311" s="142">
        <f>SUM(AS311:AV311)</f>
      </c>
      <c r="AS311" s="143"/>
      <c r="AT311" s="143"/>
      <c r="AU311" s="143"/>
      <c r="AV311" s="143"/>
      <c r="AW311" s="142">
        <f>SUM(AX311:BI311)</f>
      </c>
      <c r="AX311" s="143"/>
      <c r="AY311" s="143"/>
      <c r="AZ311" s="143"/>
      <c r="BA311" s="143"/>
      <c r="BB311" s="143"/>
      <c r="BC311" s="143"/>
      <c r="BD311" s="143"/>
      <c r="BE311" s="143"/>
      <c r="BF311" s="143"/>
      <c r="BG311" s="143"/>
      <c r="BH311" s="143"/>
      <c r="BI311" s="143"/>
      <c r="BJ311" s="142"/>
      <c r="BK311" s="143"/>
      <c r="BL311" s="143"/>
      <c r="BM311" s="143"/>
      <c r="BN311" s="143"/>
      <c r="BO311" s="143"/>
      <c r="BP311" s="143"/>
      <c r="BQ311" s="142"/>
      <c r="BR311" s="143"/>
      <c r="BS311" s="143"/>
      <c r="BT311" s="142">
        <f>SUM(BU311:BW311)</f>
      </c>
      <c r="BU311" s="143"/>
      <c r="BV311" s="143"/>
      <c r="BW311" s="143"/>
      <c r="BX311" s="142">
        <f>SUM(BY311:CD311)</f>
      </c>
      <c r="BY311" s="143"/>
      <c r="BZ311" s="143"/>
      <c r="CA311" s="143"/>
      <c r="CB311" s="143"/>
      <c r="CC311" s="143"/>
      <c r="CD311" s="143"/>
      <c r="CE311" s="142"/>
      <c r="CF311" s="143"/>
      <c r="CG311" s="143"/>
      <c r="CH311" s="143"/>
      <c r="CI311" s="143"/>
      <c r="CJ311" s="143"/>
      <c r="CK311" s="142">
        <f>SUM(CL311:CN311)</f>
      </c>
      <c r="CL311" s="143"/>
      <c r="CM311" s="143"/>
      <c r="CN311" s="143"/>
      <c r="CO311" s="142">
        <f>SUM(CP311:CT311)</f>
      </c>
      <c r="CP311" s="143"/>
      <c r="CQ311" s="143"/>
      <c r="CR311" s="143"/>
      <c r="CS311" s="143"/>
      <c r="CT311" s="143"/>
      <c r="CU311" s="142"/>
      <c r="CV311" s="143"/>
      <c r="CW311" s="143"/>
      <c r="CX311" s="143"/>
      <c r="CY311" s="142"/>
      <c r="CZ311" s="143"/>
      <c r="DA311" s="143"/>
      <c r="DB311" s="143"/>
      <c r="DC311" s="143"/>
      <c r="DD311" s="143"/>
      <c r="DE311" s="143"/>
      <c r="DF311" s="143"/>
      <c r="DG311" s="142">
        <f>SUM(DH311:DH311)</f>
      </c>
      <c r="DH311" s="143"/>
      <c r="DI311" s="142"/>
      <c r="DJ311" s="143"/>
      <c r="DK311" s="142">
        <f>SUM(DL311:DQ311)</f>
      </c>
      <c r="DL311" s="143"/>
      <c r="DM311" s="143"/>
      <c r="DN311" s="143"/>
      <c r="DO311" s="143"/>
      <c r="DP311" s="143"/>
      <c r="DQ311" s="143"/>
      <c r="DR311" s="143"/>
      <c r="DS311" s="143"/>
      <c r="DT311" s="143"/>
      <c r="DU311" s="143"/>
      <c r="DV311" s="143"/>
      <c r="DW311" s="143"/>
      <c r="DX311" s="142"/>
      <c r="DY311" s="143"/>
      <c r="DZ311" s="142"/>
      <c r="EA311" s="143"/>
      <c r="EB311" s="143"/>
      <c r="EC311" s="142"/>
      <c r="ED311" s="143"/>
      <c r="EF311" s="143"/>
      <c r="EG311" s="142">
        <f>SUM(EH311:EQ311)</f>
      </c>
      <c r="EH311" s="143"/>
      <c r="EI311" s="143"/>
      <c r="EJ311" s="143"/>
      <c r="EK311" s="143"/>
      <c r="EL311" s="143"/>
      <c r="EM311" s="143"/>
      <c r="EN311" s="143"/>
      <c r="EO311" s="143"/>
      <c r="EP311" s="143"/>
      <c r="EQ311" s="143"/>
      <c r="ER311" s="142">
        <f>SUM(ES311:ET311)</f>
      </c>
      <c r="ES311" s="143"/>
      <c r="ET311" s="143"/>
      <c r="EU311" s="144"/>
      <c r="FB311" s="146"/>
      <c r="FC311" s="146" cm="1">
        <f t="array" ref="FC311">ROW()-ROW(New[#Headers])</f>
        <v>305</v>
      </c>
    </row>
    <row r="312" spans="2:159" s="139" customFormat="1" ht="10.5" x14ac:dyDescent="0.2">
      <c r="B312" s="133"/>
      <c r="C312" s="133"/>
      <c r="E312" s="133"/>
      <c r="H312" s="133"/>
      <c r="N312" s="140"/>
      <c r="O312" s="140"/>
      <c r="P312" s="141"/>
      <c r="Q312" s="142">
        <f>SUM(R312:AQ312)</f>
      </c>
      <c r="R312" s="143"/>
      <c r="S312" s="143"/>
      <c r="T312" s="143"/>
      <c r="U312" s="143"/>
      <c r="V312" s="143"/>
      <c r="W312" s="143"/>
      <c r="X312" s="143"/>
      <c r="Y312" s="143"/>
      <c r="Z312" s="143"/>
      <c r="AA312" s="143"/>
      <c r="AB312" s="143"/>
      <c r="AC312" s="143"/>
      <c r="AD312" s="143"/>
      <c r="AE312" s="143"/>
      <c r="AF312" s="143"/>
      <c r="AG312" s="143"/>
      <c r="AH312" s="143"/>
      <c r="AI312" s="143"/>
      <c r="AJ312" s="143"/>
      <c r="AK312" s="143"/>
      <c r="AL312" s="143"/>
      <c r="AM312" s="143"/>
      <c r="AN312" s="143"/>
      <c r="AO312" s="143"/>
      <c r="AP312" s="143"/>
      <c r="AQ312" s="143"/>
      <c r="AR312" s="142">
        <f>SUM(AS312:AV312)</f>
      </c>
      <c r="AS312" s="143"/>
      <c r="AT312" s="143"/>
      <c r="AU312" s="143"/>
      <c r="AV312" s="143"/>
      <c r="AW312" s="142">
        <f>SUM(AX312:BI312)</f>
      </c>
      <c r="AX312" s="143"/>
      <c r="AY312" s="143"/>
      <c r="AZ312" s="143"/>
      <c r="BA312" s="143"/>
      <c r="BB312" s="143"/>
      <c r="BC312" s="143"/>
      <c r="BD312" s="143"/>
      <c r="BE312" s="143"/>
      <c r="BF312" s="143"/>
      <c r="BG312" s="143"/>
      <c r="BH312" s="143"/>
      <c r="BI312" s="143"/>
      <c r="BJ312" s="142"/>
      <c r="BK312" s="143"/>
      <c r="BL312" s="143"/>
      <c r="BM312" s="143"/>
      <c r="BN312" s="143"/>
      <c r="BO312" s="143"/>
      <c r="BP312" s="143"/>
      <c r="BQ312" s="142"/>
      <c r="BR312" s="143"/>
      <c r="BS312" s="143"/>
      <c r="BT312" s="142">
        <f>SUM(BU312:BW312)</f>
      </c>
      <c r="BU312" s="143"/>
      <c r="BV312" s="143"/>
      <c r="BW312" s="143"/>
      <c r="BX312" s="142">
        <f>SUM(BY312:CD312)</f>
      </c>
      <c r="BY312" s="143"/>
      <c r="BZ312" s="143"/>
      <c r="CA312" s="143"/>
      <c r="CB312" s="143"/>
      <c r="CC312" s="143"/>
      <c r="CD312" s="143"/>
      <c r="CE312" s="142"/>
      <c r="CF312" s="143"/>
      <c r="CG312" s="143"/>
      <c r="CH312" s="143"/>
      <c r="CI312" s="143"/>
      <c r="CJ312" s="143"/>
      <c r="CK312" s="142">
        <f>SUM(CL312:CN312)</f>
      </c>
      <c r="CL312" s="143"/>
      <c r="CM312" s="143"/>
      <c r="CN312" s="143"/>
      <c r="CO312" s="142">
        <f>SUM(CP312:CT312)</f>
      </c>
      <c r="CP312" s="143"/>
      <c r="CQ312" s="143"/>
      <c r="CR312" s="143"/>
      <c r="CS312" s="143"/>
      <c r="CT312" s="143"/>
      <c r="CU312" s="142"/>
      <c r="CV312" s="143"/>
      <c r="CW312" s="143"/>
      <c r="CX312" s="143"/>
      <c r="CY312" s="142"/>
      <c r="CZ312" s="143"/>
      <c r="DA312" s="143"/>
      <c r="DB312" s="143"/>
      <c r="DC312" s="143"/>
      <c r="DD312" s="143"/>
      <c r="DE312" s="143"/>
      <c r="DF312" s="143"/>
      <c r="DG312" s="142">
        <f>SUM(DH312:DH312)</f>
      </c>
      <c r="DH312" s="143"/>
      <c r="DI312" s="142"/>
      <c r="DJ312" s="143"/>
      <c r="DK312" s="142">
        <f>SUM(DL312:DQ312)</f>
      </c>
      <c r="DL312" s="143"/>
      <c r="DM312" s="143"/>
      <c r="DN312" s="143"/>
      <c r="DO312" s="143"/>
      <c r="DP312" s="143"/>
      <c r="DQ312" s="143"/>
      <c r="DR312" s="143"/>
      <c r="DS312" s="143"/>
      <c r="DT312" s="143"/>
      <c r="DU312" s="143"/>
      <c r="DV312" s="143"/>
      <c r="DW312" s="143"/>
      <c r="DX312" s="142"/>
      <c r="DY312" s="143"/>
      <c r="DZ312" s="142"/>
      <c r="EA312" s="143"/>
      <c r="EB312" s="143"/>
      <c r="EC312" s="142"/>
      <c r="ED312" s="143"/>
      <c r="EF312" s="143"/>
      <c r="EG312" s="142">
        <f>SUM(EH312:EQ312)</f>
      </c>
      <c r="EH312" s="143"/>
      <c r="EI312" s="143"/>
      <c r="EJ312" s="143"/>
      <c r="EK312" s="143"/>
      <c r="EL312" s="143"/>
      <c r="EM312" s="143"/>
      <c r="EN312" s="143"/>
      <c r="EO312" s="143"/>
      <c r="EP312" s="143"/>
      <c r="EQ312" s="143"/>
      <c r="ER312" s="142">
        <f>SUM(ES312:ET312)</f>
      </c>
      <c r="ES312" s="143"/>
      <c r="ET312" s="143"/>
      <c r="EU312" s="144"/>
      <c r="FB312" s="146"/>
      <c r="FC312" s="146" cm="1">
        <f t="array" ref="FC312">ROW()-ROW(New[#Headers])</f>
        <v>306</v>
      </c>
    </row>
    <row r="313" spans="2:159" s="139" customFormat="1" ht="10.5" x14ac:dyDescent="0.2">
      <c r="B313" s="133"/>
      <c r="C313" s="133"/>
      <c r="E313" s="133"/>
      <c r="H313" s="133"/>
      <c r="N313" s="140"/>
      <c r="O313" s="140"/>
      <c r="P313" s="141"/>
      <c r="Q313" s="142">
        <f>SUM(R313:AQ313)</f>
      </c>
      <c r="R313" s="143"/>
      <c r="S313" s="143"/>
      <c r="T313" s="143"/>
      <c r="U313" s="143"/>
      <c r="V313" s="143"/>
      <c r="W313" s="143"/>
      <c r="X313" s="143"/>
      <c r="Y313" s="143"/>
      <c r="Z313" s="143"/>
      <c r="AA313" s="143"/>
      <c r="AB313" s="143"/>
      <c r="AC313" s="143"/>
      <c r="AD313" s="143"/>
      <c r="AE313" s="143"/>
      <c r="AF313" s="143"/>
      <c r="AG313" s="143"/>
      <c r="AH313" s="143"/>
      <c r="AI313" s="143"/>
      <c r="AJ313" s="143"/>
      <c r="AK313" s="143"/>
      <c r="AL313" s="143"/>
      <c r="AM313" s="143"/>
      <c r="AN313" s="143"/>
      <c r="AO313" s="143"/>
      <c r="AP313" s="143"/>
      <c r="AQ313" s="143"/>
      <c r="AR313" s="142">
        <f>SUM(AS313:AV313)</f>
      </c>
      <c r="AS313" s="143"/>
      <c r="AT313" s="143"/>
      <c r="AU313" s="143"/>
      <c r="AV313" s="143"/>
      <c r="AW313" s="142">
        <f>SUM(AX313:BI313)</f>
      </c>
      <c r="AX313" s="143"/>
      <c r="AY313" s="143"/>
      <c r="AZ313" s="143"/>
      <c r="BA313" s="143"/>
      <c r="BB313" s="143"/>
      <c r="BC313" s="143"/>
      <c r="BD313" s="143"/>
      <c r="BE313" s="143"/>
      <c r="BF313" s="143"/>
      <c r="BG313" s="143"/>
      <c r="BH313" s="143"/>
      <c r="BI313" s="143"/>
      <c r="BJ313" s="142"/>
      <c r="BK313" s="143"/>
      <c r="BL313" s="143"/>
      <c r="BM313" s="143"/>
      <c r="BN313" s="143"/>
      <c r="BO313" s="143"/>
      <c r="BP313" s="143"/>
      <c r="BQ313" s="142"/>
      <c r="BR313" s="143"/>
      <c r="BS313" s="143"/>
      <c r="BT313" s="142">
        <f>SUM(BU313:BW313)</f>
      </c>
      <c r="BU313" s="143"/>
      <c r="BV313" s="143"/>
      <c r="BW313" s="143"/>
      <c r="BX313" s="142">
        <f>SUM(BY313:CD313)</f>
      </c>
      <c r="BY313" s="143"/>
      <c r="BZ313" s="143"/>
      <c r="CA313" s="143"/>
      <c r="CB313" s="143"/>
      <c r="CC313" s="143"/>
      <c r="CD313" s="143"/>
      <c r="CE313" s="142"/>
      <c r="CF313" s="143"/>
      <c r="CG313" s="143"/>
      <c r="CH313" s="143"/>
      <c r="CI313" s="143"/>
      <c r="CJ313" s="143"/>
      <c r="CK313" s="142">
        <f>SUM(CL313:CN313)</f>
      </c>
      <c r="CL313" s="143"/>
      <c r="CM313" s="143"/>
      <c r="CN313" s="143"/>
      <c r="CO313" s="142">
        <f>SUM(CP313:CT313)</f>
      </c>
      <c r="CP313" s="143"/>
      <c r="CQ313" s="143"/>
      <c r="CR313" s="143"/>
      <c r="CS313" s="143"/>
      <c r="CT313" s="143"/>
      <c r="CU313" s="142"/>
      <c r="CV313" s="143"/>
      <c r="CW313" s="143"/>
      <c r="CX313" s="143"/>
      <c r="CY313" s="142"/>
      <c r="CZ313" s="143"/>
      <c r="DA313" s="143"/>
      <c r="DB313" s="143"/>
      <c r="DC313" s="143"/>
      <c r="DD313" s="143"/>
      <c r="DE313" s="143"/>
      <c r="DF313" s="143"/>
      <c r="DG313" s="142">
        <f>SUM(DH313:DH313)</f>
      </c>
      <c r="DH313" s="143"/>
      <c r="DI313" s="142"/>
      <c r="DJ313" s="143"/>
      <c r="DK313" s="142">
        <f>SUM(DL313:DQ313)</f>
      </c>
      <c r="DL313" s="143"/>
      <c r="DM313" s="143"/>
      <c r="DN313" s="143"/>
      <c r="DO313" s="143"/>
      <c r="DP313" s="143"/>
      <c r="DQ313" s="143"/>
      <c r="DR313" s="143"/>
      <c r="DS313" s="143"/>
      <c r="DT313" s="143"/>
      <c r="DU313" s="143"/>
      <c r="DV313" s="143"/>
      <c r="DW313" s="143"/>
      <c r="DX313" s="142"/>
      <c r="DY313" s="143"/>
      <c r="DZ313" s="142"/>
      <c r="EA313" s="143"/>
      <c r="EB313" s="143"/>
      <c r="EC313" s="142"/>
      <c r="ED313" s="143"/>
      <c r="EF313" s="143"/>
      <c r="EG313" s="142">
        <f>SUM(EH313:EQ313)</f>
      </c>
      <c r="EH313" s="143"/>
      <c r="EI313" s="143"/>
      <c r="EJ313" s="143"/>
      <c r="EK313" s="143"/>
      <c r="EL313" s="143"/>
      <c r="EM313" s="143"/>
      <c r="EN313" s="143"/>
      <c r="EO313" s="143"/>
      <c r="EP313" s="143"/>
      <c r="EQ313" s="143"/>
      <c r="ER313" s="142">
        <f>SUM(ES313:ET313)</f>
      </c>
      <c r="ES313" s="143"/>
      <c r="ET313" s="143"/>
      <c r="EU313" s="144"/>
      <c r="FB313" s="146"/>
      <c r="FC313" s="146" cm="1">
        <f t="array" ref="FC313">ROW()-ROW(New[#Headers])</f>
        <v>307</v>
      </c>
    </row>
    <row r="314" spans="2:159" s="139" customFormat="1" ht="10.5" x14ac:dyDescent="0.2">
      <c r="B314" s="133"/>
      <c r="C314" s="133"/>
      <c r="E314" s="133"/>
      <c r="H314" s="133"/>
      <c r="N314" s="140"/>
      <c r="O314" s="140"/>
      <c r="P314" s="141"/>
      <c r="Q314" s="142">
        <f>SUM(R314:AQ314)</f>
      </c>
      <c r="R314" s="143"/>
      <c r="S314" s="143"/>
      <c r="T314" s="143"/>
      <c r="U314" s="143"/>
      <c r="V314" s="143"/>
      <c r="W314" s="143"/>
      <c r="X314" s="143"/>
      <c r="Y314" s="143"/>
      <c r="Z314" s="143"/>
      <c r="AA314" s="143"/>
      <c r="AB314" s="143"/>
      <c r="AC314" s="143"/>
      <c r="AD314" s="143"/>
      <c r="AE314" s="143"/>
      <c r="AF314" s="143"/>
      <c r="AG314" s="143"/>
      <c r="AH314" s="143"/>
      <c r="AI314" s="143"/>
      <c r="AJ314" s="143"/>
      <c r="AK314" s="143"/>
      <c r="AL314" s="143"/>
      <c r="AM314" s="143"/>
      <c r="AN314" s="143"/>
      <c r="AO314" s="143"/>
      <c r="AP314" s="143"/>
      <c r="AQ314" s="143"/>
      <c r="AR314" s="142">
        <f>SUM(AS314:AV314)</f>
      </c>
      <c r="AS314" s="143"/>
      <c r="AT314" s="143"/>
      <c r="AU314" s="143"/>
      <c r="AV314" s="143"/>
      <c r="AW314" s="142">
        <f>SUM(AX314:BI314)</f>
      </c>
      <c r="AX314" s="143"/>
      <c r="AY314" s="143"/>
      <c r="AZ314" s="143"/>
      <c r="BA314" s="143"/>
      <c r="BB314" s="143"/>
      <c r="BC314" s="143"/>
      <c r="BD314" s="143"/>
      <c r="BE314" s="143"/>
      <c r="BF314" s="143"/>
      <c r="BG314" s="143"/>
      <c r="BH314" s="143"/>
      <c r="BI314" s="143"/>
      <c r="BJ314" s="142"/>
      <c r="BK314" s="143"/>
      <c r="BL314" s="143"/>
      <c r="BM314" s="143"/>
      <c r="BN314" s="143"/>
      <c r="BO314" s="143"/>
      <c r="BP314" s="143"/>
      <c r="BQ314" s="142"/>
      <c r="BR314" s="143"/>
      <c r="BS314" s="143"/>
      <c r="BT314" s="142">
        <f>SUM(BU314:BW314)</f>
      </c>
      <c r="BU314" s="143"/>
      <c r="BV314" s="143"/>
      <c r="BW314" s="143"/>
      <c r="BX314" s="142">
        <f>SUM(BY314:CD314)</f>
      </c>
      <c r="BY314" s="143"/>
      <c r="BZ314" s="143"/>
      <c r="CA314" s="143"/>
      <c r="CB314" s="143"/>
      <c r="CC314" s="143"/>
      <c r="CD314" s="143"/>
      <c r="CE314" s="142"/>
      <c r="CF314" s="143"/>
      <c r="CG314" s="143"/>
      <c r="CH314" s="143"/>
      <c r="CI314" s="143"/>
      <c r="CJ314" s="143"/>
      <c r="CK314" s="142">
        <f>SUM(CL314:CN314)</f>
      </c>
      <c r="CL314" s="143"/>
      <c r="CM314" s="143"/>
      <c r="CN314" s="143"/>
      <c r="CO314" s="142">
        <f>SUM(CP314:CT314)</f>
      </c>
      <c r="CP314" s="143"/>
      <c r="CQ314" s="143"/>
      <c r="CR314" s="143"/>
      <c r="CS314" s="143"/>
      <c r="CT314" s="143"/>
      <c r="CU314" s="142"/>
      <c r="CV314" s="143"/>
      <c r="CW314" s="143"/>
      <c r="CX314" s="143"/>
      <c r="CY314" s="142"/>
      <c r="CZ314" s="143"/>
      <c r="DA314" s="143"/>
      <c r="DB314" s="143"/>
      <c r="DC314" s="143"/>
      <c r="DD314" s="143"/>
      <c r="DE314" s="143"/>
      <c r="DF314" s="143"/>
      <c r="DG314" s="142">
        <f>SUM(DH314:DH314)</f>
      </c>
      <c r="DH314" s="143"/>
      <c r="DI314" s="142"/>
      <c r="DJ314" s="143"/>
      <c r="DK314" s="142">
        <f>SUM(DL314:DQ314)</f>
      </c>
      <c r="DL314" s="143"/>
      <c r="DM314" s="143"/>
      <c r="DN314" s="143"/>
      <c r="DO314" s="143"/>
      <c r="DP314" s="143"/>
      <c r="DQ314" s="143"/>
      <c r="DR314" s="143"/>
      <c r="DS314" s="143"/>
      <c r="DT314" s="143"/>
      <c r="DU314" s="143"/>
      <c r="DV314" s="143"/>
      <c r="DW314" s="143"/>
      <c r="DX314" s="142"/>
      <c r="DY314" s="143"/>
      <c r="DZ314" s="142"/>
      <c r="EA314" s="143"/>
      <c r="EB314" s="143"/>
      <c r="EC314" s="142"/>
      <c r="ED314" s="143"/>
      <c r="EF314" s="143"/>
      <c r="EG314" s="142">
        <f>SUM(EH314:EQ314)</f>
      </c>
      <c r="EH314" s="143"/>
      <c r="EI314" s="143"/>
      <c r="EJ314" s="143"/>
      <c r="EK314" s="143"/>
      <c r="EL314" s="143"/>
      <c r="EM314" s="143"/>
      <c r="EN314" s="143"/>
      <c r="EO314" s="143"/>
      <c r="EP314" s="143"/>
      <c r="EQ314" s="143"/>
      <c r="ER314" s="142">
        <f>SUM(ES314:ET314)</f>
      </c>
      <c r="ES314" s="143"/>
      <c r="ET314" s="143"/>
      <c r="EU314" s="144"/>
      <c r="FB314" s="146"/>
      <c r="FC314" s="146" cm="1">
        <f t="array" ref="FC314">ROW()-ROW(New[#Headers])</f>
        <v>308</v>
      </c>
    </row>
    <row r="315" spans="2:159" s="139" customFormat="1" ht="10.5" x14ac:dyDescent="0.2">
      <c r="B315" s="133"/>
      <c r="C315" s="133"/>
      <c r="E315" s="133"/>
      <c r="H315" s="133"/>
      <c r="N315" s="140"/>
      <c r="O315" s="140"/>
      <c r="P315" s="141"/>
      <c r="Q315" s="142">
        <f>SUM(R315:AQ315)</f>
      </c>
      <c r="R315" s="143"/>
      <c r="S315" s="143"/>
      <c r="T315" s="143"/>
      <c r="U315" s="143"/>
      <c r="V315" s="143"/>
      <c r="W315" s="143"/>
      <c r="X315" s="143"/>
      <c r="Y315" s="143"/>
      <c r="Z315" s="143"/>
      <c r="AA315" s="143"/>
      <c r="AB315" s="143"/>
      <c r="AC315" s="143"/>
      <c r="AD315" s="143"/>
      <c r="AE315" s="143"/>
      <c r="AF315" s="143"/>
      <c r="AG315" s="143"/>
      <c r="AH315" s="143"/>
      <c r="AI315" s="143"/>
      <c r="AJ315" s="143"/>
      <c r="AK315" s="143"/>
      <c r="AL315" s="143"/>
      <c r="AM315" s="143"/>
      <c r="AN315" s="143"/>
      <c r="AO315" s="143"/>
      <c r="AP315" s="143"/>
      <c r="AQ315" s="143"/>
      <c r="AR315" s="142">
        <f>SUM(AS315:AV315)</f>
      </c>
      <c r="AS315" s="143"/>
      <c r="AT315" s="143"/>
      <c r="AU315" s="143"/>
      <c r="AV315" s="143"/>
      <c r="AW315" s="142">
        <f>SUM(AX315:BI315)</f>
      </c>
      <c r="AX315" s="143"/>
      <c r="AY315" s="143"/>
      <c r="AZ315" s="143"/>
      <c r="BA315" s="143"/>
      <c r="BB315" s="143"/>
      <c r="BC315" s="143"/>
      <c r="BD315" s="143"/>
      <c r="BE315" s="143"/>
      <c r="BF315" s="143"/>
      <c r="BG315" s="143"/>
      <c r="BH315" s="143"/>
      <c r="BI315" s="143"/>
      <c r="BJ315" s="142"/>
      <c r="BK315" s="143"/>
      <c r="BL315" s="143"/>
      <c r="BM315" s="143"/>
      <c r="BN315" s="143"/>
      <c r="BO315" s="143"/>
      <c r="BP315" s="143"/>
      <c r="BQ315" s="142"/>
      <c r="BR315" s="143"/>
      <c r="BS315" s="143"/>
      <c r="BT315" s="142">
        <f>SUM(BU315:BW315)</f>
      </c>
      <c r="BU315" s="143"/>
      <c r="BV315" s="143"/>
      <c r="BW315" s="143"/>
      <c r="BX315" s="142">
        <f>SUM(BY315:CD315)</f>
      </c>
      <c r="BY315" s="143"/>
      <c r="BZ315" s="143"/>
      <c r="CA315" s="143"/>
      <c r="CB315" s="143"/>
      <c r="CC315" s="143"/>
      <c r="CD315" s="143"/>
      <c r="CE315" s="142"/>
      <c r="CF315" s="143"/>
      <c r="CG315" s="143"/>
      <c r="CH315" s="143"/>
      <c r="CI315" s="143"/>
      <c r="CJ315" s="143"/>
      <c r="CK315" s="142">
        <f>SUM(CL315:CN315)</f>
      </c>
      <c r="CL315" s="143"/>
      <c r="CM315" s="143"/>
      <c r="CN315" s="143"/>
      <c r="CO315" s="142">
        <f>SUM(CP315:CT315)</f>
      </c>
      <c r="CP315" s="143"/>
      <c r="CQ315" s="143"/>
      <c r="CR315" s="143"/>
      <c r="CS315" s="143"/>
      <c r="CT315" s="143"/>
      <c r="CU315" s="142"/>
      <c r="CV315" s="143"/>
      <c r="CW315" s="143"/>
      <c r="CX315" s="143"/>
      <c r="CY315" s="142"/>
      <c r="CZ315" s="143"/>
      <c r="DA315" s="143"/>
      <c r="DB315" s="143"/>
      <c r="DC315" s="143"/>
      <c r="DD315" s="143"/>
      <c r="DE315" s="143"/>
      <c r="DF315" s="143"/>
      <c r="DG315" s="142">
        <f>SUM(DH315:DH315)</f>
      </c>
      <c r="DH315" s="143"/>
      <c r="DI315" s="142"/>
      <c r="DJ315" s="143"/>
      <c r="DK315" s="142">
        <f>SUM(DL315:DQ315)</f>
      </c>
      <c r="DL315" s="143"/>
      <c r="DM315" s="143"/>
      <c r="DN315" s="143"/>
      <c r="DO315" s="143"/>
      <c r="DP315" s="143"/>
      <c r="DQ315" s="143"/>
      <c r="DR315" s="143"/>
      <c r="DS315" s="143"/>
      <c r="DT315" s="143"/>
      <c r="DU315" s="143"/>
      <c r="DV315" s="143"/>
      <c r="DW315" s="143"/>
      <c r="DX315" s="142"/>
      <c r="DY315" s="143"/>
      <c r="DZ315" s="142"/>
      <c r="EA315" s="143"/>
      <c r="EB315" s="143"/>
      <c r="EC315" s="142"/>
      <c r="ED315" s="143"/>
      <c r="EF315" s="143"/>
      <c r="EG315" s="142">
        <f>SUM(EH315:EQ315)</f>
      </c>
      <c r="EH315" s="143"/>
      <c r="EI315" s="143"/>
      <c r="EJ315" s="143"/>
      <c r="EK315" s="143"/>
      <c r="EL315" s="143"/>
      <c r="EM315" s="143"/>
      <c r="EN315" s="143"/>
      <c r="EO315" s="143"/>
      <c r="EP315" s="143"/>
      <c r="EQ315" s="143"/>
      <c r="ER315" s="142">
        <f>SUM(ES315:ET315)</f>
      </c>
      <c r="ES315" s="143"/>
      <c r="ET315" s="143"/>
      <c r="EU315" s="144"/>
      <c r="FB315" s="146"/>
      <c r="FC315" s="146" cm="1">
        <f t="array" ref="FC315">ROW()-ROW(New[#Headers])</f>
        <v>309</v>
      </c>
    </row>
    <row r="316" spans="2:159" s="139" customFormat="1" ht="10.5" x14ac:dyDescent="0.2">
      <c r="B316" s="133"/>
      <c r="C316" s="133"/>
      <c r="E316" s="133"/>
      <c r="H316" s="133"/>
      <c r="N316" s="140"/>
      <c r="O316" s="140"/>
      <c r="P316" s="141"/>
      <c r="Q316" s="142">
        <f>SUM(R316:AQ316)</f>
      </c>
      <c r="R316" s="143"/>
      <c r="S316" s="143"/>
      <c r="T316" s="143"/>
      <c r="U316" s="143"/>
      <c r="V316" s="143"/>
      <c r="W316" s="143"/>
      <c r="X316" s="143"/>
      <c r="Y316" s="143"/>
      <c r="Z316" s="143"/>
      <c r="AA316" s="143"/>
      <c r="AB316" s="143"/>
      <c r="AC316" s="143"/>
      <c r="AD316" s="143"/>
      <c r="AE316" s="143"/>
      <c r="AF316" s="143"/>
      <c r="AG316" s="143"/>
      <c r="AH316" s="143"/>
      <c r="AI316" s="143"/>
      <c r="AJ316" s="143"/>
      <c r="AK316" s="143"/>
      <c r="AL316" s="143"/>
      <c r="AM316" s="143"/>
      <c r="AN316" s="143"/>
      <c r="AO316" s="143"/>
      <c r="AP316" s="143"/>
      <c r="AQ316" s="143"/>
      <c r="AR316" s="142">
        <f>SUM(AS316:AV316)</f>
      </c>
      <c r="AS316" s="143"/>
      <c r="AT316" s="143"/>
      <c r="AU316" s="143"/>
      <c r="AV316" s="143"/>
      <c r="AW316" s="142">
        <f>SUM(AX316:BI316)</f>
      </c>
      <c r="AX316" s="143"/>
      <c r="AY316" s="143"/>
      <c r="AZ316" s="143"/>
      <c r="BA316" s="143"/>
      <c r="BB316" s="143"/>
      <c r="BC316" s="143"/>
      <c r="BD316" s="143"/>
      <c r="BE316" s="143"/>
      <c r="BF316" s="143"/>
      <c r="BG316" s="143"/>
      <c r="BH316" s="143"/>
      <c r="BI316" s="143"/>
      <c r="BJ316" s="142"/>
      <c r="BK316" s="143"/>
      <c r="BL316" s="143"/>
      <c r="BM316" s="143"/>
      <c r="BN316" s="143"/>
      <c r="BO316" s="143"/>
      <c r="BP316" s="143"/>
      <c r="BQ316" s="142"/>
      <c r="BR316" s="143"/>
      <c r="BS316" s="143"/>
      <c r="BT316" s="142">
        <f>SUM(BU316:BW316)</f>
      </c>
      <c r="BU316" s="143"/>
      <c r="BV316" s="143"/>
      <c r="BW316" s="143"/>
      <c r="BX316" s="142">
        <f>SUM(BY316:CD316)</f>
      </c>
      <c r="BY316" s="143"/>
      <c r="BZ316" s="143"/>
      <c r="CA316" s="143"/>
      <c r="CB316" s="143"/>
      <c r="CC316" s="143"/>
      <c r="CD316" s="143"/>
      <c r="CE316" s="142"/>
      <c r="CF316" s="143"/>
      <c r="CG316" s="143"/>
      <c r="CH316" s="143"/>
      <c r="CI316" s="143"/>
      <c r="CJ316" s="143"/>
      <c r="CK316" s="142">
        <f>SUM(CL316:CN316)</f>
      </c>
      <c r="CL316" s="143"/>
      <c r="CM316" s="143"/>
      <c r="CN316" s="143"/>
      <c r="CO316" s="142">
        <f>SUM(CP316:CT316)</f>
      </c>
      <c r="CP316" s="143"/>
      <c r="CQ316" s="143"/>
      <c r="CR316" s="143"/>
      <c r="CS316" s="143"/>
      <c r="CT316" s="143"/>
      <c r="CU316" s="142"/>
      <c r="CV316" s="143"/>
      <c r="CW316" s="143"/>
      <c r="CX316" s="143"/>
      <c r="CY316" s="142"/>
      <c r="CZ316" s="143"/>
      <c r="DA316" s="143"/>
      <c r="DB316" s="143"/>
      <c r="DC316" s="143"/>
      <c r="DD316" s="143"/>
      <c r="DE316" s="143"/>
      <c r="DF316" s="143"/>
      <c r="DG316" s="142">
        <f>SUM(DH316:DH316)</f>
      </c>
      <c r="DH316" s="143"/>
      <c r="DI316" s="142"/>
      <c r="DJ316" s="143"/>
      <c r="DK316" s="142">
        <f>SUM(DL316:DQ316)</f>
      </c>
      <c r="DL316" s="143"/>
      <c r="DM316" s="143"/>
      <c r="DN316" s="143"/>
      <c r="DO316" s="143"/>
      <c r="DP316" s="143"/>
      <c r="DQ316" s="143"/>
      <c r="DR316" s="143"/>
      <c r="DS316" s="143"/>
      <c r="DT316" s="143"/>
      <c r="DU316" s="143"/>
      <c r="DV316" s="143"/>
      <c r="DW316" s="143"/>
      <c r="DX316" s="142"/>
      <c r="DY316" s="143"/>
      <c r="DZ316" s="142"/>
      <c r="EA316" s="143"/>
      <c r="EB316" s="143"/>
      <c r="EC316" s="142"/>
      <c r="ED316" s="143"/>
      <c r="EF316" s="143"/>
      <c r="EG316" s="142">
        <f>SUM(EH316:EQ316)</f>
      </c>
      <c r="EH316" s="143"/>
      <c r="EI316" s="143"/>
      <c r="EJ316" s="143"/>
      <c r="EK316" s="143"/>
      <c r="EL316" s="143"/>
      <c r="EM316" s="143"/>
      <c r="EN316" s="143"/>
      <c r="EO316" s="143"/>
      <c r="EP316" s="143"/>
      <c r="EQ316" s="143"/>
      <c r="ER316" s="142">
        <f>SUM(ES316:ET316)</f>
      </c>
      <c r="ES316" s="143"/>
      <c r="ET316" s="143"/>
      <c r="EU316" s="144"/>
      <c r="FB316" s="146"/>
      <c r="FC316" s="146" cm="1">
        <f t="array" ref="FC316">ROW()-ROW(New[#Headers])</f>
        <v>310</v>
      </c>
    </row>
    <row r="317" spans="2:159" s="139" customFormat="1" ht="10.5" x14ac:dyDescent="0.2">
      <c r="B317" s="133"/>
      <c r="C317" s="133"/>
      <c r="E317" s="133"/>
      <c r="H317" s="133"/>
      <c r="N317" s="140"/>
      <c r="O317" s="140"/>
      <c r="P317" s="141"/>
      <c r="Q317" s="142">
        <f>SUM(R317:AQ317)</f>
      </c>
      <c r="R317" s="143"/>
      <c r="S317" s="143"/>
      <c r="T317" s="143"/>
      <c r="U317" s="143"/>
      <c r="V317" s="143"/>
      <c r="W317" s="143"/>
      <c r="X317" s="143"/>
      <c r="Y317" s="143"/>
      <c r="Z317" s="143"/>
      <c r="AA317" s="143"/>
      <c r="AB317" s="143"/>
      <c r="AC317" s="143"/>
      <c r="AD317" s="143"/>
      <c r="AE317" s="143"/>
      <c r="AF317" s="143"/>
      <c r="AG317" s="143"/>
      <c r="AH317" s="143"/>
      <c r="AI317" s="143"/>
      <c r="AJ317" s="143"/>
      <c r="AK317" s="143"/>
      <c r="AL317" s="143"/>
      <c r="AM317" s="143"/>
      <c r="AN317" s="143"/>
      <c r="AO317" s="143"/>
      <c r="AP317" s="143"/>
      <c r="AQ317" s="143"/>
      <c r="AR317" s="142">
        <f>SUM(AS317:AV317)</f>
      </c>
      <c r="AS317" s="143"/>
      <c r="AT317" s="143"/>
      <c r="AU317" s="143"/>
      <c r="AV317" s="143"/>
      <c r="AW317" s="142">
        <f>SUM(AX317:BI317)</f>
      </c>
      <c r="AX317" s="143"/>
      <c r="AY317" s="143"/>
      <c r="AZ317" s="143"/>
      <c r="BA317" s="143"/>
      <c r="BB317" s="143"/>
      <c r="BC317" s="143"/>
      <c r="BD317" s="143"/>
      <c r="BE317" s="143"/>
      <c r="BF317" s="143"/>
      <c r="BG317" s="143"/>
      <c r="BH317" s="143"/>
      <c r="BI317" s="143"/>
      <c r="BJ317" s="142"/>
      <c r="BK317" s="143"/>
      <c r="BL317" s="143"/>
      <c r="BM317" s="143"/>
      <c r="BN317" s="143"/>
      <c r="BO317" s="143"/>
      <c r="BP317" s="143"/>
      <c r="BQ317" s="142"/>
      <c r="BR317" s="143"/>
      <c r="BS317" s="143"/>
      <c r="BT317" s="142">
        <f>SUM(BU317:BW317)</f>
      </c>
      <c r="BU317" s="143"/>
      <c r="BV317" s="143"/>
      <c r="BW317" s="143"/>
      <c r="BX317" s="142">
        <f>SUM(BY317:CD317)</f>
      </c>
      <c r="BY317" s="143"/>
      <c r="BZ317" s="143"/>
      <c r="CA317" s="143"/>
      <c r="CB317" s="143"/>
      <c r="CC317" s="143"/>
      <c r="CD317" s="143"/>
      <c r="CE317" s="142"/>
      <c r="CF317" s="143"/>
      <c r="CG317" s="143"/>
      <c r="CH317" s="143"/>
      <c r="CI317" s="143"/>
      <c r="CJ317" s="143"/>
      <c r="CK317" s="142">
        <f>SUM(CL317:CN317)</f>
      </c>
      <c r="CL317" s="143"/>
      <c r="CM317" s="143"/>
      <c r="CN317" s="143"/>
      <c r="CO317" s="142">
        <f>SUM(CP317:CT317)</f>
      </c>
      <c r="CP317" s="143"/>
      <c r="CQ317" s="143"/>
      <c r="CR317" s="143"/>
      <c r="CS317" s="143"/>
      <c r="CT317" s="143"/>
      <c r="CU317" s="142"/>
      <c r="CV317" s="143"/>
      <c r="CW317" s="143"/>
      <c r="CX317" s="143"/>
      <c r="CY317" s="142"/>
      <c r="CZ317" s="143"/>
      <c r="DA317" s="143"/>
      <c r="DB317" s="143"/>
      <c r="DC317" s="143"/>
      <c r="DD317" s="143"/>
      <c r="DE317" s="143"/>
      <c r="DF317" s="143"/>
      <c r="DG317" s="142">
        <f>SUM(DH317:DH317)</f>
      </c>
      <c r="DH317" s="143"/>
      <c r="DI317" s="142"/>
      <c r="DJ317" s="143"/>
      <c r="DK317" s="142">
        <f>SUM(DL317:DQ317)</f>
      </c>
      <c r="DL317" s="143"/>
      <c r="DM317" s="143"/>
      <c r="DN317" s="143"/>
      <c r="DO317" s="143"/>
      <c r="DP317" s="143"/>
      <c r="DQ317" s="143"/>
      <c r="DR317" s="143"/>
      <c r="DS317" s="143"/>
      <c r="DT317" s="143"/>
      <c r="DU317" s="143"/>
      <c r="DV317" s="143"/>
      <c r="DW317" s="143"/>
      <c r="DX317" s="142"/>
      <c r="DY317" s="143"/>
      <c r="DZ317" s="142"/>
      <c r="EA317" s="143"/>
      <c r="EB317" s="143"/>
      <c r="EC317" s="142"/>
      <c r="ED317" s="143"/>
      <c r="EF317" s="143"/>
      <c r="EG317" s="142">
        <f>SUM(EH317:EQ317)</f>
      </c>
      <c r="EH317" s="143"/>
      <c r="EI317" s="143"/>
      <c r="EJ317" s="143"/>
      <c r="EK317" s="143"/>
      <c r="EL317" s="143"/>
      <c r="EM317" s="143"/>
      <c r="EN317" s="143"/>
      <c r="EO317" s="143"/>
      <c r="EP317" s="143"/>
      <c r="EQ317" s="143"/>
      <c r="ER317" s="142">
        <f>SUM(ES317:ET317)</f>
      </c>
      <c r="ES317" s="143"/>
      <c r="ET317" s="143"/>
      <c r="EU317" s="144"/>
      <c r="FB317" s="146"/>
      <c r="FC317" s="146" cm="1">
        <f t="array" ref="FC317">ROW()-ROW(New[#Headers])</f>
        <v>311</v>
      </c>
    </row>
    <row r="318" spans="2:159" s="139" customFormat="1" ht="10.5" x14ac:dyDescent="0.2">
      <c r="B318" s="133"/>
      <c r="C318" s="133"/>
      <c r="E318" s="133"/>
      <c r="H318" s="133"/>
      <c r="N318" s="140"/>
      <c r="O318" s="140"/>
      <c r="P318" s="141"/>
      <c r="Q318" s="142">
        <f>SUM(R318:AQ318)</f>
      </c>
      <c r="R318" s="143"/>
      <c r="S318" s="143"/>
      <c r="T318" s="143"/>
      <c r="U318" s="143"/>
      <c r="V318" s="143"/>
      <c r="W318" s="143"/>
      <c r="X318" s="143"/>
      <c r="Y318" s="143"/>
      <c r="Z318" s="143"/>
      <c r="AA318" s="143"/>
      <c r="AB318" s="143"/>
      <c r="AC318" s="143"/>
      <c r="AD318" s="143"/>
      <c r="AE318" s="143"/>
      <c r="AF318" s="143"/>
      <c r="AG318" s="143"/>
      <c r="AH318" s="143"/>
      <c r="AI318" s="143"/>
      <c r="AJ318" s="143"/>
      <c r="AK318" s="143"/>
      <c r="AL318" s="143"/>
      <c r="AM318" s="143"/>
      <c r="AN318" s="143"/>
      <c r="AO318" s="143"/>
      <c r="AP318" s="143"/>
      <c r="AQ318" s="143"/>
      <c r="AR318" s="142">
        <f>SUM(AS318:AV318)</f>
      </c>
      <c r="AS318" s="143"/>
      <c r="AT318" s="143"/>
      <c r="AU318" s="143"/>
      <c r="AV318" s="143"/>
      <c r="AW318" s="142">
        <f>SUM(AX318:BI318)</f>
      </c>
      <c r="AX318" s="143"/>
      <c r="AY318" s="143"/>
      <c r="AZ318" s="143"/>
      <c r="BA318" s="143"/>
      <c r="BB318" s="143"/>
      <c r="BC318" s="143"/>
      <c r="BD318" s="143"/>
      <c r="BE318" s="143"/>
      <c r="BF318" s="143"/>
      <c r="BG318" s="143"/>
      <c r="BH318" s="143"/>
      <c r="BI318" s="143"/>
      <c r="BJ318" s="142"/>
      <c r="BK318" s="143"/>
      <c r="BL318" s="143"/>
      <c r="BM318" s="143"/>
      <c r="BN318" s="143"/>
      <c r="BO318" s="143"/>
      <c r="BP318" s="143"/>
      <c r="BQ318" s="142"/>
      <c r="BR318" s="143"/>
      <c r="BS318" s="143"/>
      <c r="BT318" s="142">
        <f>SUM(BU318:BW318)</f>
      </c>
      <c r="BU318" s="143"/>
      <c r="BV318" s="143"/>
      <c r="BW318" s="143"/>
      <c r="BX318" s="142">
        <f>SUM(BY318:CD318)</f>
      </c>
      <c r="BY318" s="143"/>
      <c r="BZ318" s="143"/>
      <c r="CA318" s="143"/>
      <c r="CB318" s="143"/>
      <c r="CC318" s="143"/>
      <c r="CD318" s="143"/>
      <c r="CE318" s="142"/>
      <c r="CF318" s="143"/>
      <c r="CG318" s="143"/>
      <c r="CH318" s="143"/>
      <c r="CI318" s="143"/>
      <c r="CJ318" s="143"/>
      <c r="CK318" s="142">
        <f>SUM(CL318:CN318)</f>
      </c>
      <c r="CL318" s="143"/>
      <c r="CM318" s="143"/>
      <c r="CN318" s="143"/>
      <c r="CO318" s="142">
        <f>SUM(CP318:CT318)</f>
      </c>
      <c r="CP318" s="143"/>
      <c r="CQ318" s="143"/>
      <c r="CR318" s="143"/>
      <c r="CS318" s="143"/>
      <c r="CT318" s="143"/>
      <c r="CU318" s="142"/>
      <c r="CV318" s="143"/>
      <c r="CW318" s="143"/>
      <c r="CX318" s="143"/>
      <c r="CY318" s="142"/>
      <c r="CZ318" s="143"/>
      <c r="DA318" s="143"/>
      <c r="DB318" s="143"/>
      <c r="DC318" s="143"/>
      <c r="DD318" s="143"/>
      <c r="DE318" s="143"/>
      <c r="DF318" s="143"/>
      <c r="DG318" s="142">
        <f>SUM(DH318:DH318)</f>
      </c>
      <c r="DH318" s="143"/>
      <c r="DI318" s="142"/>
      <c r="DJ318" s="143"/>
      <c r="DK318" s="142">
        <f>SUM(DL318:DQ318)</f>
      </c>
      <c r="DL318" s="143"/>
      <c r="DM318" s="143"/>
      <c r="DN318" s="143"/>
      <c r="DO318" s="143"/>
      <c r="DP318" s="143"/>
      <c r="DQ318" s="143"/>
      <c r="DR318" s="143"/>
      <c r="DS318" s="143"/>
      <c r="DT318" s="143"/>
      <c r="DU318" s="143"/>
      <c r="DV318" s="143"/>
      <c r="DW318" s="143"/>
      <c r="DX318" s="142"/>
      <c r="DY318" s="143"/>
      <c r="DZ318" s="142"/>
      <c r="EA318" s="143"/>
      <c r="EB318" s="143"/>
      <c r="EC318" s="142"/>
      <c r="ED318" s="143"/>
      <c r="EF318" s="143"/>
      <c r="EG318" s="142">
        <f>SUM(EH318:EQ318)</f>
      </c>
      <c r="EH318" s="143"/>
      <c r="EI318" s="143"/>
      <c r="EJ318" s="143"/>
      <c r="EK318" s="143"/>
      <c r="EL318" s="143"/>
      <c r="EM318" s="143"/>
      <c r="EN318" s="143"/>
      <c r="EO318" s="143"/>
      <c r="EP318" s="143"/>
      <c r="EQ318" s="143"/>
      <c r="ER318" s="142">
        <f>SUM(ES318:ET318)</f>
      </c>
      <c r="ES318" s="143"/>
      <c r="ET318" s="143"/>
      <c r="EU318" s="144"/>
      <c r="FB318" s="146"/>
      <c r="FC318" s="146" cm="1">
        <f t="array" ref="FC318">ROW()-ROW(New[#Headers])</f>
        <v>312</v>
      </c>
    </row>
    <row r="319" spans="2:159" s="139" customFormat="1" ht="10.5" x14ac:dyDescent="0.2">
      <c r="B319" s="133"/>
      <c r="C319" s="133"/>
      <c r="E319" s="133"/>
      <c r="H319" s="133"/>
      <c r="N319" s="140"/>
      <c r="O319" s="140"/>
      <c r="P319" s="141"/>
      <c r="Q319" s="142">
        <f>SUM(R319:AQ319)</f>
      </c>
      <c r="R319" s="143"/>
      <c r="S319" s="143"/>
      <c r="T319" s="143"/>
      <c r="U319" s="143"/>
      <c r="V319" s="143"/>
      <c r="W319" s="143"/>
      <c r="X319" s="143"/>
      <c r="Y319" s="143"/>
      <c r="Z319" s="143"/>
      <c r="AA319" s="143"/>
      <c r="AB319" s="143"/>
      <c r="AC319" s="143"/>
      <c r="AD319" s="143"/>
      <c r="AE319" s="143"/>
      <c r="AF319" s="143"/>
      <c r="AG319" s="143"/>
      <c r="AH319" s="143"/>
      <c r="AI319" s="143"/>
      <c r="AJ319" s="143"/>
      <c r="AK319" s="143"/>
      <c r="AL319" s="143"/>
      <c r="AM319" s="143"/>
      <c r="AN319" s="143"/>
      <c r="AO319" s="143"/>
      <c r="AP319" s="143"/>
      <c r="AQ319" s="143"/>
      <c r="AR319" s="142">
        <f>SUM(AS319:AV319)</f>
      </c>
      <c r="AS319" s="143"/>
      <c r="AT319" s="143"/>
      <c r="AU319" s="143"/>
      <c r="AV319" s="143"/>
      <c r="AW319" s="142">
        <f>SUM(AX319:BI319)</f>
      </c>
      <c r="AX319" s="143"/>
      <c r="AY319" s="143"/>
      <c r="AZ319" s="143"/>
      <c r="BA319" s="143"/>
      <c r="BB319" s="143"/>
      <c r="BC319" s="143"/>
      <c r="BD319" s="143"/>
      <c r="BE319" s="143"/>
      <c r="BF319" s="143"/>
      <c r="BG319" s="143"/>
      <c r="BH319" s="143"/>
      <c r="BI319" s="143"/>
      <c r="BJ319" s="142"/>
      <c r="BK319" s="143"/>
      <c r="BL319" s="143"/>
      <c r="BM319" s="143"/>
      <c r="BN319" s="143"/>
      <c r="BO319" s="143"/>
      <c r="BP319" s="143"/>
      <c r="BQ319" s="142"/>
      <c r="BR319" s="143"/>
      <c r="BS319" s="143"/>
      <c r="BT319" s="142">
        <f>SUM(BU319:BW319)</f>
      </c>
      <c r="BU319" s="143"/>
      <c r="BV319" s="143"/>
      <c r="BW319" s="143"/>
      <c r="BX319" s="142">
        <f>SUM(BY319:CD319)</f>
      </c>
      <c r="BY319" s="143"/>
      <c r="BZ319" s="143"/>
      <c r="CA319" s="143"/>
      <c r="CB319" s="143"/>
      <c r="CC319" s="143"/>
      <c r="CD319" s="143"/>
      <c r="CE319" s="142"/>
      <c r="CF319" s="143"/>
      <c r="CG319" s="143"/>
      <c r="CH319" s="143"/>
      <c r="CI319" s="143"/>
      <c r="CJ319" s="143"/>
      <c r="CK319" s="142">
        <f>SUM(CL319:CN319)</f>
      </c>
      <c r="CL319" s="143"/>
      <c r="CM319" s="143"/>
      <c r="CN319" s="143"/>
      <c r="CO319" s="142">
        <f>SUM(CP319:CT319)</f>
      </c>
      <c r="CP319" s="143"/>
      <c r="CQ319" s="143"/>
      <c r="CR319" s="143"/>
      <c r="CS319" s="143"/>
      <c r="CT319" s="143"/>
      <c r="CU319" s="142"/>
      <c r="CV319" s="143"/>
      <c r="CW319" s="143"/>
      <c r="CX319" s="143"/>
      <c r="CY319" s="142"/>
      <c r="CZ319" s="143"/>
      <c r="DA319" s="143"/>
      <c r="DB319" s="143"/>
      <c r="DC319" s="143"/>
      <c r="DD319" s="143"/>
      <c r="DE319" s="143"/>
      <c r="DF319" s="143"/>
      <c r="DG319" s="142">
        <f>SUM(DH319:DH319)</f>
      </c>
      <c r="DH319" s="143"/>
      <c r="DI319" s="142"/>
      <c r="DJ319" s="143"/>
      <c r="DK319" s="142">
        <f>SUM(DL319:DQ319)</f>
      </c>
      <c r="DL319" s="143"/>
      <c r="DM319" s="143"/>
      <c r="DN319" s="143"/>
      <c r="DO319" s="143"/>
      <c r="DP319" s="143"/>
      <c r="DQ319" s="143"/>
      <c r="DR319" s="143"/>
      <c r="DS319" s="143"/>
      <c r="DT319" s="143"/>
      <c r="DU319" s="143"/>
      <c r="DV319" s="143"/>
      <c r="DW319" s="143"/>
      <c r="DX319" s="142"/>
      <c r="DY319" s="143"/>
      <c r="DZ319" s="142"/>
      <c r="EA319" s="143"/>
      <c r="EB319" s="143"/>
      <c r="EC319" s="142"/>
      <c r="ED319" s="143"/>
      <c r="EF319" s="143"/>
      <c r="EG319" s="142">
        <f>SUM(EH319:EQ319)</f>
      </c>
      <c r="EH319" s="143"/>
      <c r="EI319" s="143"/>
      <c r="EJ319" s="143"/>
      <c r="EK319" s="143"/>
      <c r="EL319" s="143"/>
      <c r="EM319" s="143"/>
      <c r="EN319" s="143"/>
      <c r="EO319" s="143"/>
      <c r="EP319" s="143"/>
      <c r="EQ319" s="143"/>
      <c r="ER319" s="142">
        <f>SUM(ES319:ET319)</f>
      </c>
      <c r="ES319" s="143"/>
      <c r="ET319" s="143"/>
      <c r="EU319" s="144"/>
      <c r="FB319" s="146"/>
      <c r="FC319" s="146" cm="1">
        <f t="array" ref="FC319">ROW()-ROW(New[#Headers])</f>
        <v>313</v>
      </c>
    </row>
    <row r="320" spans="2:159" s="139" customFormat="1" ht="10.5" x14ac:dyDescent="0.2">
      <c r="B320" s="133"/>
      <c r="C320" s="133"/>
      <c r="E320" s="133"/>
      <c r="H320" s="133"/>
      <c r="N320" s="140"/>
      <c r="O320" s="140"/>
      <c r="P320" s="141"/>
      <c r="Q320" s="142">
        <f>SUM(R320:AQ320)</f>
      </c>
      <c r="R320" s="143"/>
      <c r="S320" s="143"/>
      <c r="T320" s="143"/>
      <c r="U320" s="143"/>
      <c r="V320" s="143"/>
      <c r="W320" s="143"/>
      <c r="X320" s="143"/>
      <c r="Y320" s="143"/>
      <c r="Z320" s="143"/>
      <c r="AA320" s="143"/>
      <c r="AB320" s="143"/>
      <c r="AC320" s="143"/>
      <c r="AD320" s="143"/>
      <c r="AE320" s="143"/>
      <c r="AF320" s="143"/>
      <c r="AG320" s="143"/>
      <c r="AH320" s="143"/>
      <c r="AI320" s="143"/>
      <c r="AJ320" s="143"/>
      <c r="AK320" s="143"/>
      <c r="AL320" s="143"/>
      <c r="AM320" s="143"/>
      <c r="AN320" s="143"/>
      <c r="AO320" s="143"/>
      <c r="AP320" s="143"/>
      <c r="AQ320" s="143"/>
      <c r="AR320" s="142">
        <f>SUM(AS320:AV320)</f>
      </c>
      <c r="AS320" s="143"/>
      <c r="AT320" s="143"/>
      <c r="AU320" s="143"/>
      <c r="AV320" s="143"/>
      <c r="AW320" s="142">
        <f>SUM(AX320:BI320)</f>
      </c>
      <c r="AX320" s="143"/>
      <c r="AY320" s="143"/>
      <c r="AZ320" s="143"/>
      <c r="BA320" s="143"/>
      <c r="BB320" s="143"/>
      <c r="BC320" s="143"/>
      <c r="BD320" s="143"/>
      <c r="BE320" s="143"/>
      <c r="BF320" s="143"/>
      <c r="BG320" s="143"/>
      <c r="BH320" s="143"/>
      <c r="BI320" s="143"/>
      <c r="BJ320" s="142"/>
      <c r="BK320" s="143"/>
      <c r="BL320" s="143"/>
      <c r="BM320" s="143"/>
      <c r="BN320" s="143"/>
      <c r="BO320" s="143"/>
      <c r="BP320" s="143"/>
      <c r="BQ320" s="142"/>
      <c r="BR320" s="143"/>
      <c r="BS320" s="143"/>
      <c r="BT320" s="142">
        <f>SUM(BU320:BW320)</f>
      </c>
      <c r="BU320" s="143"/>
      <c r="BV320" s="143"/>
      <c r="BW320" s="143"/>
      <c r="BX320" s="142">
        <f>SUM(BY320:CD320)</f>
      </c>
      <c r="BY320" s="143"/>
      <c r="BZ320" s="143"/>
      <c r="CA320" s="143"/>
      <c r="CB320" s="143"/>
      <c r="CC320" s="143"/>
      <c r="CD320" s="143"/>
      <c r="CE320" s="142"/>
      <c r="CF320" s="143"/>
      <c r="CG320" s="143"/>
      <c r="CH320" s="143"/>
      <c r="CI320" s="143"/>
      <c r="CJ320" s="143"/>
      <c r="CK320" s="142">
        <f>SUM(CL320:CN320)</f>
      </c>
      <c r="CL320" s="143"/>
      <c r="CM320" s="143"/>
      <c r="CN320" s="143"/>
      <c r="CO320" s="142">
        <f>SUM(CP320:CT320)</f>
      </c>
      <c r="CP320" s="143"/>
      <c r="CQ320" s="143"/>
      <c r="CR320" s="143"/>
      <c r="CS320" s="143"/>
      <c r="CT320" s="143"/>
      <c r="CU320" s="142"/>
      <c r="CV320" s="143"/>
      <c r="CW320" s="143"/>
      <c r="CX320" s="143"/>
      <c r="CY320" s="142"/>
      <c r="CZ320" s="143"/>
      <c r="DA320" s="143"/>
      <c r="DB320" s="143"/>
      <c r="DC320" s="143"/>
      <c r="DD320" s="143"/>
      <c r="DE320" s="143"/>
      <c r="DF320" s="143"/>
      <c r="DG320" s="142">
        <f>SUM(DH320:DH320)</f>
      </c>
      <c r="DH320" s="143"/>
      <c r="DI320" s="142"/>
      <c r="DJ320" s="143"/>
      <c r="DK320" s="142">
        <f>SUM(DL320:DQ320)</f>
      </c>
      <c r="DL320" s="143"/>
      <c r="DM320" s="143"/>
      <c r="DN320" s="143"/>
      <c r="DO320" s="143"/>
      <c r="DP320" s="143"/>
      <c r="DQ320" s="143"/>
      <c r="DR320" s="143"/>
      <c r="DS320" s="143"/>
      <c r="DT320" s="143"/>
      <c r="DU320" s="143"/>
      <c r="DV320" s="143"/>
      <c r="DW320" s="143"/>
      <c r="DX320" s="142"/>
      <c r="DY320" s="143"/>
      <c r="DZ320" s="142"/>
      <c r="EA320" s="143"/>
      <c r="EB320" s="143"/>
      <c r="EC320" s="142"/>
      <c r="ED320" s="143"/>
      <c r="EF320" s="143"/>
      <c r="EG320" s="142">
        <f>SUM(EH320:EQ320)</f>
      </c>
      <c r="EH320" s="143"/>
      <c r="EI320" s="143"/>
      <c r="EJ320" s="143"/>
      <c r="EK320" s="143"/>
      <c r="EL320" s="143"/>
      <c r="EM320" s="143"/>
      <c r="EN320" s="143"/>
      <c r="EO320" s="143"/>
      <c r="EP320" s="143"/>
      <c r="EQ320" s="143"/>
      <c r="ER320" s="142">
        <f>SUM(ES320:ET320)</f>
      </c>
      <c r="ES320" s="143"/>
      <c r="ET320" s="143"/>
      <c r="EU320" s="144"/>
      <c r="FB320" s="146"/>
      <c r="FC320" s="146" cm="1">
        <f t="array" ref="FC320">ROW()-ROW(New[#Headers])</f>
        <v>314</v>
      </c>
    </row>
    <row r="321" spans="2:159" s="139" customFormat="1" ht="10.5" x14ac:dyDescent="0.2">
      <c r="B321" s="133"/>
      <c r="C321" s="133"/>
      <c r="E321" s="133"/>
      <c r="H321" s="133"/>
      <c r="N321" s="140"/>
      <c r="O321" s="140"/>
      <c r="P321" s="141"/>
      <c r="Q321" s="142">
        <f>SUM(R321:AQ321)</f>
      </c>
      <c r="R321" s="143"/>
      <c r="S321" s="143"/>
      <c r="T321" s="143"/>
      <c r="U321" s="143"/>
      <c r="V321" s="143"/>
      <c r="W321" s="143"/>
      <c r="X321" s="143"/>
      <c r="Y321" s="143"/>
      <c r="Z321" s="143"/>
      <c r="AA321" s="143"/>
      <c r="AB321" s="143"/>
      <c r="AC321" s="143"/>
      <c r="AD321" s="143"/>
      <c r="AE321" s="143"/>
      <c r="AF321" s="143"/>
      <c r="AG321" s="143"/>
      <c r="AH321" s="143"/>
      <c r="AI321" s="143"/>
      <c r="AJ321" s="143"/>
      <c r="AK321" s="143"/>
      <c r="AL321" s="143"/>
      <c r="AM321" s="143"/>
      <c r="AN321" s="143"/>
      <c r="AO321" s="143"/>
      <c r="AP321" s="143"/>
      <c r="AQ321" s="143"/>
      <c r="AR321" s="142">
        <f>SUM(AS321:AV321)</f>
      </c>
      <c r="AS321" s="143"/>
      <c r="AT321" s="143"/>
      <c r="AU321" s="143"/>
      <c r="AV321" s="143"/>
      <c r="AW321" s="142">
        <f>SUM(AX321:BI321)</f>
      </c>
      <c r="AX321" s="143"/>
      <c r="AY321" s="143"/>
      <c r="AZ321" s="143"/>
      <c r="BA321" s="143"/>
      <c r="BB321" s="143"/>
      <c r="BC321" s="143"/>
      <c r="BD321" s="143"/>
      <c r="BE321" s="143"/>
      <c r="BF321" s="143"/>
      <c r="BG321" s="143"/>
      <c r="BH321" s="143"/>
      <c r="BI321" s="143"/>
      <c r="BJ321" s="142"/>
      <c r="BK321" s="143"/>
      <c r="BL321" s="143"/>
      <c r="BM321" s="143"/>
      <c r="BN321" s="143"/>
      <c r="BO321" s="143"/>
      <c r="BP321" s="143"/>
      <c r="BQ321" s="142"/>
      <c r="BR321" s="143"/>
      <c r="BS321" s="143"/>
      <c r="BT321" s="142">
        <f>SUM(BU321:BW321)</f>
      </c>
      <c r="BU321" s="143"/>
      <c r="BV321" s="143"/>
      <c r="BW321" s="143"/>
      <c r="BX321" s="142">
        <f>SUM(BY321:CD321)</f>
      </c>
      <c r="BY321" s="143"/>
      <c r="BZ321" s="143"/>
      <c r="CA321" s="143"/>
      <c r="CB321" s="143"/>
      <c r="CC321" s="143"/>
      <c r="CD321" s="143"/>
      <c r="CE321" s="142"/>
      <c r="CF321" s="143"/>
      <c r="CG321" s="143"/>
      <c r="CH321" s="143"/>
      <c r="CI321" s="143"/>
      <c r="CJ321" s="143"/>
      <c r="CK321" s="142">
        <f>SUM(CL321:CN321)</f>
      </c>
      <c r="CL321" s="143"/>
      <c r="CM321" s="143"/>
      <c r="CN321" s="143"/>
      <c r="CO321" s="142">
        <f>SUM(CP321:CT321)</f>
      </c>
      <c r="CP321" s="143"/>
      <c r="CQ321" s="143"/>
      <c r="CR321" s="143"/>
      <c r="CS321" s="143"/>
      <c r="CT321" s="143"/>
      <c r="CU321" s="142"/>
      <c r="CV321" s="143"/>
      <c r="CW321" s="143"/>
      <c r="CX321" s="143"/>
      <c r="CY321" s="142"/>
      <c r="CZ321" s="143"/>
      <c r="DA321" s="143"/>
      <c r="DB321" s="143"/>
      <c r="DC321" s="143"/>
      <c r="DD321" s="143"/>
      <c r="DE321" s="143"/>
      <c r="DF321" s="143"/>
      <c r="DG321" s="142">
        <f>SUM(DH321:DH321)</f>
      </c>
      <c r="DH321" s="143"/>
      <c r="DI321" s="142"/>
      <c r="DJ321" s="143"/>
      <c r="DK321" s="142">
        <f>SUM(DL321:DQ321)</f>
      </c>
      <c r="DL321" s="143"/>
      <c r="DM321" s="143"/>
      <c r="DN321" s="143"/>
      <c r="DO321" s="143"/>
      <c r="DP321" s="143"/>
      <c r="DQ321" s="143"/>
      <c r="DR321" s="143"/>
      <c r="DS321" s="143"/>
      <c r="DT321" s="143"/>
      <c r="DU321" s="143"/>
      <c r="DV321" s="143"/>
      <c r="DW321" s="143"/>
      <c r="DX321" s="142"/>
      <c r="DY321" s="143"/>
      <c r="DZ321" s="142"/>
      <c r="EA321" s="143"/>
      <c r="EB321" s="143"/>
      <c r="EC321" s="142"/>
      <c r="ED321" s="143"/>
      <c r="EF321" s="143"/>
      <c r="EG321" s="142">
        <f>SUM(EH321:EQ321)</f>
      </c>
      <c r="EH321" s="143"/>
      <c r="EI321" s="143"/>
      <c r="EJ321" s="143"/>
      <c r="EK321" s="143"/>
      <c r="EL321" s="143"/>
      <c r="EM321" s="143"/>
      <c r="EN321" s="143"/>
      <c r="EO321" s="143"/>
      <c r="EP321" s="143"/>
      <c r="EQ321" s="143"/>
      <c r="ER321" s="142">
        <f>SUM(ES321:ET321)</f>
      </c>
      <c r="ES321" s="143"/>
      <c r="ET321" s="143"/>
      <c r="EU321" s="144"/>
      <c r="FB321" s="146"/>
      <c r="FC321" s="146" cm="1">
        <f t="array" ref="FC321">ROW()-ROW(New[#Headers])</f>
        <v>315</v>
      </c>
    </row>
    <row r="322" spans="2:159" s="139" customFormat="1" ht="10.5" x14ac:dyDescent="0.2">
      <c r="B322" s="133"/>
      <c r="C322" s="133"/>
      <c r="E322" s="133"/>
      <c r="H322" s="133"/>
      <c r="N322" s="140"/>
      <c r="O322" s="140"/>
      <c r="P322" s="141"/>
      <c r="Q322" s="142">
        <f>SUM(R322:AQ322)</f>
      </c>
      <c r="R322" s="143"/>
      <c r="S322" s="143"/>
      <c r="T322" s="143"/>
      <c r="U322" s="143"/>
      <c r="V322" s="143"/>
      <c r="W322" s="143"/>
      <c r="X322" s="143"/>
      <c r="Y322" s="143"/>
      <c r="Z322" s="143"/>
      <c r="AA322" s="143"/>
      <c r="AB322" s="143"/>
      <c r="AC322" s="143"/>
      <c r="AD322" s="143"/>
      <c r="AE322" s="143"/>
      <c r="AF322" s="143"/>
      <c r="AG322" s="143"/>
      <c r="AH322" s="143"/>
      <c r="AI322" s="143"/>
      <c r="AJ322" s="143"/>
      <c r="AK322" s="143"/>
      <c r="AL322" s="143"/>
      <c r="AM322" s="143"/>
      <c r="AN322" s="143"/>
      <c r="AO322" s="143"/>
      <c r="AP322" s="143"/>
      <c r="AQ322" s="143"/>
      <c r="AR322" s="142">
        <f>SUM(AS322:AV322)</f>
      </c>
      <c r="AS322" s="143"/>
      <c r="AT322" s="143"/>
      <c r="AU322" s="143"/>
      <c r="AV322" s="143"/>
      <c r="AW322" s="142">
        <f>SUM(AX322:BI322)</f>
      </c>
      <c r="AX322" s="143"/>
      <c r="AY322" s="143"/>
      <c r="AZ322" s="143"/>
      <c r="BA322" s="143"/>
      <c r="BB322" s="143"/>
      <c r="BC322" s="143"/>
      <c r="BD322" s="143"/>
      <c r="BE322" s="143"/>
      <c r="BF322" s="143"/>
      <c r="BG322" s="143"/>
      <c r="BH322" s="143"/>
      <c r="BI322" s="143"/>
      <c r="BJ322" s="142"/>
      <c r="BK322" s="143"/>
      <c r="BL322" s="143"/>
      <c r="BM322" s="143"/>
      <c r="BN322" s="143"/>
      <c r="BO322" s="143"/>
      <c r="BP322" s="143"/>
      <c r="BQ322" s="142"/>
      <c r="BR322" s="143"/>
      <c r="BS322" s="143"/>
      <c r="BT322" s="142">
        <f>SUM(BU322:BW322)</f>
      </c>
      <c r="BU322" s="143"/>
      <c r="BV322" s="143"/>
      <c r="BW322" s="143"/>
      <c r="BX322" s="142">
        <f>SUM(BY322:CD322)</f>
      </c>
      <c r="BY322" s="143"/>
      <c r="BZ322" s="143"/>
      <c r="CA322" s="143"/>
      <c r="CB322" s="143"/>
      <c r="CC322" s="143"/>
      <c r="CD322" s="143"/>
      <c r="CE322" s="142"/>
      <c r="CF322" s="143"/>
      <c r="CG322" s="143"/>
      <c r="CH322" s="143"/>
      <c r="CI322" s="143"/>
      <c r="CJ322" s="143"/>
      <c r="CK322" s="142">
        <f>SUM(CL322:CN322)</f>
      </c>
      <c r="CL322" s="143"/>
      <c r="CM322" s="143"/>
      <c r="CN322" s="143"/>
      <c r="CO322" s="142">
        <f>SUM(CP322:CT322)</f>
      </c>
      <c r="CP322" s="143"/>
      <c r="CQ322" s="143"/>
      <c r="CR322" s="143"/>
      <c r="CS322" s="143"/>
      <c r="CT322" s="143"/>
      <c r="CU322" s="142"/>
      <c r="CV322" s="143"/>
      <c r="CW322" s="143"/>
      <c r="CX322" s="143"/>
      <c r="CY322" s="142"/>
      <c r="CZ322" s="143"/>
      <c r="DA322" s="143"/>
      <c r="DB322" s="143"/>
      <c r="DC322" s="143"/>
      <c r="DD322" s="143"/>
      <c r="DE322" s="143"/>
      <c r="DF322" s="143"/>
      <c r="DG322" s="142">
        <f>SUM(DH322:DH322)</f>
      </c>
      <c r="DH322" s="143"/>
      <c r="DI322" s="142"/>
      <c r="DJ322" s="143"/>
      <c r="DK322" s="142">
        <f>SUM(DL322:DQ322)</f>
      </c>
      <c r="DL322" s="143"/>
      <c r="DM322" s="143"/>
      <c r="DN322" s="143"/>
      <c r="DO322" s="143"/>
      <c r="DP322" s="143"/>
      <c r="DQ322" s="143"/>
      <c r="DR322" s="143"/>
      <c r="DS322" s="143"/>
      <c r="DT322" s="143"/>
      <c r="DU322" s="143"/>
      <c r="DV322" s="143"/>
      <c r="DW322" s="143"/>
      <c r="DX322" s="142"/>
      <c r="DY322" s="143"/>
      <c r="DZ322" s="142"/>
      <c r="EA322" s="143"/>
      <c r="EB322" s="143"/>
      <c r="EC322" s="142"/>
      <c r="ED322" s="143"/>
      <c r="EF322" s="143"/>
      <c r="EG322" s="142">
        <f>SUM(EH322:EQ322)</f>
      </c>
      <c r="EH322" s="143"/>
      <c r="EI322" s="143"/>
      <c r="EJ322" s="143"/>
      <c r="EK322" s="143"/>
      <c r="EL322" s="143"/>
      <c r="EM322" s="143"/>
      <c r="EN322" s="143"/>
      <c r="EO322" s="143"/>
      <c r="EP322" s="143"/>
      <c r="EQ322" s="143"/>
      <c r="ER322" s="142">
        <f>SUM(ES322:ET322)</f>
      </c>
      <c r="ES322" s="143"/>
      <c r="ET322" s="143"/>
      <c r="EU322" s="144"/>
      <c r="FB322" s="146"/>
      <c r="FC322" s="146" cm="1">
        <f t="array" ref="FC322">ROW()-ROW(New[#Headers])</f>
        <v>316</v>
      </c>
    </row>
    <row r="323" spans="2:159" s="139" customFormat="1" ht="10.5" x14ac:dyDescent="0.2">
      <c r="B323" s="133"/>
      <c r="C323" s="133"/>
      <c r="E323" s="133"/>
      <c r="H323" s="133"/>
      <c r="N323" s="140"/>
      <c r="O323" s="140"/>
      <c r="P323" s="141"/>
      <c r="Q323" s="142">
        <f>SUM(R323:AQ323)</f>
      </c>
      <c r="R323" s="143"/>
      <c r="S323" s="143"/>
      <c r="T323" s="143"/>
      <c r="U323" s="143"/>
      <c r="V323" s="143"/>
      <c r="W323" s="143"/>
      <c r="X323" s="143"/>
      <c r="Y323" s="143"/>
      <c r="Z323" s="143"/>
      <c r="AA323" s="143"/>
      <c r="AB323" s="143"/>
      <c r="AC323" s="143"/>
      <c r="AD323" s="143"/>
      <c r="AE323" s="143"/>
      <c r="AF323" s="143"/>
      <c r="AG323" s="143"/>
      <c r="AH323" s="143"/>
      <c r="AI323" s="143"/>
      <c r="AJ323" s="143"/>
      <c r="AK323" s="143"/>
      <c r="AL323" s="143"/>
      <c r="AM323" s="143"/>
      <c r="AN323" s="143"/>
      <c r="AO323" s="143"/>
      <c r="AP323" s="143"/>
      <c r="AQ323" s="143"/>
      <c r="AR323" s="142">
        <f>SUM(AS323:AV323)</f>
      </c>
      <c r="AS323" s="143"/>
      <c r="AT323" s="143"/>
      <c r="AU323" s="143"/>
      <c r="AV323" s="143"/>
      <c r="AW323" s="142">
        <f>SUM(AX323:BI323)</f>
      </c>
      <c r="AX323" s="143"/>
      <c r="AY323" s="143"/>
      <c r="AZ323" s="143"/>
      <c r="BA323" s="143"/>
      <c r="BB323" s="143"/>
      <c r="BC323" s="143"/>
      <c r="BD323" s="143"/>
      <c r="BE323" s="143"/>
      <c r="BF323" s="143"/>
      <c r="BG323" s="143"/>
      <c r="BH323" s="143"/>
      <c r="BI323" s="143"/>
      <c r="BJ323" s="142"/>
      <c r="BK323" s="143"/>
      <c r="BL323" s="143"/>
      <c r="BM323" s="143"/>
      <c r="BN323" s="143"/>
      <c r="BO323" s="143"/>
      <c r="BP323" s="143"/>
      <c r="BQ323" s="142"/>
      <c r="BR323" s="143"/>
      <c r="BS323" s="143"/>
      <c r="BT323" s="142">
        <f>SUM(BU323:BW323)</f>
      </c>
      <c r="BU323" s="143"/>
      <c r="BV323" s="143"/>
      <c r="BW323" s="143"/>
      <c r="BX323" s="142">
        <f>SUM(BY323:CD323)</f>
      </c>
      <c r="BY323" s="143"/>
      <c r="BZ323" s="143"/>
      <c r="CA323" s="143"/>
      <c r="CB323" s="143"/>
      <c r="CC323" s="143"/>
      <c r="CD323" s="143"/>
      <c r="CE323" s="142"/>
      <c r="CF323" s="143"/>
      <c r="CG323" s="143"/>
      <c r="CH323" s="143"/>
      <c r="CI323" s="143"/>
      <c r="CJ323" s="143"/>
      <c r="CK323" s="142">
        <f>SUM(CL323:CN323)</f>
      </c>
      <c r="CL323" s="143"/>
      <c r="CM323" s="143"/>
      <c r="CN323" s="143"/>
      <c r="CO323" s="142">
        <f>SUM(CP323:CT323)</f>
      </c>
      <c r="CP323" s="143"/>
      <c r="CQ323" s="143"/>
      <c r="CR323" s="143"/>
      <c r="CS323" s="143"/>
      <c r="CT323" s="143"/>
      <c r="CU323" s="142"/>
      <c r="CV323" s="143"/>
      <c r="CW323" s="143"/>
      <c r="CX323" s="143"/>
      <c r="CY323" s="142"/>
      <c r="CZ323" s="143"/>
      <c r="DA323" s="143"/>
      <c r="DB323" s="143"/>
      <c r="DC323" s="143"/>
      <c r="DD323" s="143"/>
      <c r="DE323" s="143"/>
      <c r="DF323" s="143"/>
      <c r="DG323" s="142">
        <f>SUM(DH323:DH323)</f>
      </c>
      <c r="DH323" s="143"/>
      <c r="DI323" s="142"/>
      <c r="DJ323" s="143"/>
      <c r="DK323" s="142">
        <f>SUM(DL323:DQ323)</f>
      </c>
      <c r="DL323" s="143"/>
      <c r="DM323" s="143"/>
      <c r="DN323" s="143"/>
      <c r="DO323" s="143"/>
      <c r="DP323" s="143"/>
      <c r="DQ323" s="143"/>
      <c r="DR323" s="143"/>
      <c r="DS323" s="143"/>
      <c r="DT323" s="143"/>
      <c r="DU323" s="143"/>
      <c r="DV323" s="143"/>
      <c r="DW323" s="143"/>
      <c r="DX323" s="142"/>
      <c r="DY323" s="143"/>
      <c r="DZ323" s="142"/>
      <c r="EA323" s="143"/>
      <c r="EB323" s="143"/>
      <c r="EC323" s="142"/>
      <c r="ED323" s="143"/>
      <c r="EF323" s="143"/>
      <c r="EG323" s="142">
        <f>SUM(EH323:EQ323)</f>
      </c>
      <c r="EH323" s="143"/>
      <c r="EI323" s="143"/>
      <c r="EJ323" s="143"/>
      <c r="EK323" s="143"/>
      <c r="EL323" s="143"/>
      <c r="EM323" s="143"/>
      <c r="EN323" s="143"/>
      <c r="EO323" s="143"/>
      <c r="EP323" s="143"/>
      <c r="EQ323" s="143"/>
      <c r="ER323" s="142">
        <f>SUM(ES323:ET323)</f>
      </c>
      <c r="ES323" s="143"/>
      <c r="ET323" s="143"/>
      <c r="EU323" s="144"/>
      <c r="FB323" s="146"/>
      <c r="FC323" s="146" cm="1">
        <f t="array" ref="FC323">ROW()-ROW(New[#Headers])</f>
        <v>317</v>
      </c>
    </row>
    <row r="324" spans="2:159" s="139" customFormat="1" ht="10.5" x14ac:dyDescent="0.2">
      <c r="B324" s="133"/>
      <c r="C324" s="133"/>
      <c r="E324" s="133"/>
      <c r="H324" s="133"/>
      <c r="N324" s="140"/>
      <c r="O324" s="140"/>
      <c r="P324" s="141"/>
      <c r="Q324" s="142">
        <f>SUM(R324:AQ324)</f>
      </c>
      <c r="R324" s="143"/>
      <c r="S324" s="143"/>
      <c r="T324" s="143"/>
      <c r="U324" s="143"/>
      <c r="V324" s="143"/>
      <c r="W324" s="143"/>
      <c r="X324" s="143"/>
      <c r="Y324" s="143"/>
      <c r="Z324" s="143"/>
      <c r="AA324" s="143"/>
      <c r="AB324" s="143"/>
      <c r="AC324" s="143"/>
      <c r="AD324" s="143"/>
      <c r="AE324" s="143"/>
      <c r="AF324" s="143"/>
      <c r="AG324" s="143"/>
      <c r="AH324" s="143"/>
      <c r="AI324" s="143"/>
      <c r="AJ324" s="143"/>
      <c r="AK324" s="143"/>
      <c r="AL324" s="143"/>
      <c r="AM324" s="143"/>
      <c r="AN324" s="143"/>
      <c r="AO324" s="143"/>
      <c r="AP324" s="143"/>
      <c r="AQ324" s="143"/>
      <c r="AR324" s="142">
        <f>SUM(AS324:AV324)</f>
      </c>
      <c r="AS324" s="143"/>
      <c r="AT324" s="143"/>
      <c r="AU324" s="143"/>
      <c r="AV324" s="143"/>
      <c r="AW324" s="142">
        <f>SUM(AX324:BI324)</f>
      </c>
      <c r="AX324" s="143"/>
      <c r="AY324" s="143"/>
      <c r="AZ324" s="143"/>
      <c r="BA324" s="143"/>
      <c r="BB324" s="143"/>
      <c r="BC324" s="143"/>
      <c r="BD324" s="143"/>
      <c r="BE324" s="143"/>
      <c r="BF324" s="143"/>
      <c r="BG324" s="143"/>
      <c r="BH324" s="143"/>
      <c r="BI324" s="143"/>
      <c r="BJ324" s="142"/>
      <c r="BK324" s="143"/>
      <c r="BL324" s="143"/>
      <c r="BM324" s="143"/>
      <c r="BN324" s="143"/>
      <c r="BO324" s="143"/>
      <c r="BP324" s="143"/>
      <c r="BQ324" s="142"/>
      <c r="BR324" s="143"/>
      <c r="BS324" s="143"/>
      <c r="BT324" s="142">
        <f>SUM(BU324:BW324)</f>
      </c>
      <c r="BU324" s="143"/>
      <c r="BV324" s="143"/>
      <c r="BW324" s="143"/>
      <c r="BX324" s="142">
        <f>SUM(BY324:CD324)</f>
      </c>
      <c r="BY324" s="143"/>
      <c r="BZ324" s="143"/>
      <c r="CA324" s="143"/>
      <c r="CB324" s="143"/>
      <c r="CC324" s="143"/>
      <c r="CD324" s="143"/>
      <c r="CE324" s="142"/>
      <c r="CF324" s="143"/>
      <c r="CG324" s="143"/>
      <c r="CH324" s="143"/>
      <c r="CI324" s="143"/>
      <c r="CJ324" s="143"/>
      <c r="CK324" s="142">
        <f>SUM(CL324:CN324)</f>
      </c>
      <c r="CL324" s="143"/>
      <c r="CM324" s="143"/>
      <c r="CN324" s="143"/>
      <c r="CO324" s="142">
        <f>SUM(CP324:CT324)</f>
      </c>
      <c r="CP324" s="143"/>
      <c r="CQ324" s="143"/>
      <c r="CR324" s="143"/>
      <c r="CS324" s="143"/>
      <c r="CT324" s="143"/>
      <c r="CU324" s="142"/>
      <c r="CV324" s="143"/>
      <c r="CW324" s="143"/>
      <c r="CX324" s="143"/>
      <c r="CY324" s="142"/>
      <c r="CZ324" s="143"/>
      <c r="DA324" s="143"/>
      <c r="DB324" s="143"/>
      <c r="DC324" s="143"/>
      <c r="DD324" s="143"/>
      <c r="DE324" s="143"/>
      <c r="DF324" s="143"/>
      <c r="DG324" s="142">
        <f>SUM(DH324:DH324)</f>
      </c>
      <c r="DH324" s="143"/>
      <c r="DI324" s="142"/>
      <c r="DJ324" s="143"/>
      <c r="DK324" s="142">
        <f>SUM(DL324:DQ324)</f>
      </c>
      <c r="DL324" s="143"/>
      <c r="DM324" s="143"/>
      <c r="DN324" s="143"/>
      <c r="DO324" s="143"/>
      <c r="DP324" s="143"/>
      <c r="DQ324" s="143"/>
      <c r="DR324" s="143"/>
      <c r="DS324" s="143"/>
      <c r="DT324" s="143"/>
      <c r="DU324" s="143"/>
      <c r="DV324" s="143"/>
      <c r="DW324" s="143"/>
      <c r="DX324" s="142"/>
      <c r="DY324" s="143"/>
      <c r="DZ324" s="142"/>
      <c r="EA324" s="143"/>
      <c r="EB324" s="143"/>
      <c r="EC324" s="142"/>
      <c r="ED324" s="143"/>
      <c r="EF324" s="143"/>
      <c r="EG324" s="142">
        <f>SUM(EH324:EQ324)</f>
      </c>
      <c r="EH324" s="143"/>
      <c r="EI324" s="143"/>
      <c r="EJ324" s="143"/>
      <c r="EK324" s="143"/>
      <c r="EL324" s="143"/>
      <c r="EM324" s="143"/>
      <c r="EN324" s="143"/>
      <c r="EO324" s="143"/>
      <c r="EP324" s="143"/>
      <c r="EQ324" s="143"/>
      <c r="ER324" s="142">
        <f>SUM(ES324:ET324)</f>
      </c>
      <c r="ES324" s="143"/>
      <c r="ET324" s="143"/>
      <c r="EU324" s="144"/>
      <c r="FB324" s="146"/>
      <c r="FC324" s="146" cm="1">
        <f t="array" ref="FC324">ROW()-ROW(New[#Headers])</f>
        <v>318</v>
      </c>
    </row>
    <row r="325" spans="2:159" s="139" customFormat="1" ht="10.5" x14ac:dyDescent="0.2">
      <c r="B325" s="133"/>
      <c r="C325" s="133"/>
      <c r="E325" s="133"/>
      <c r="H325" s="133"/>
      <c r="N325" s="140"/>
      <c r="O325" s="140"/>
      <c r="P325" s="141"/>
      <c r="Q325" s="142">
        <f>SUM(R325:AQ325)</f>
      </c>
      <c r="R325" s="143"/>
      <c r="S325" s="143"/>
      <c r="T325" s="143"/>
      <c r="U325" s="143"/>
      <c r="V325" s="143"/>
      <c r="W325" s="143"/>
      <c r="X325" s="143"/>
      <c r="Y325" s="143"/>
      <c r="Z325" s="143"/>
      <c r="AA325" s="143"/>
      <c r="AB325" s="143"/>
      <c r="AC325" s="143"/>
      <c r="AD325" s="143"/>
      <c r="AE325" s="143"/>
      <c r="AF325" s="143"/>
      <c r="AG325" s="143"/>
      <c r="AH325" s="143"/>
      <c r="AI325" s="143"/>
      <c r="AJ325" s="143"/>
      <c r="AK325" s="143"/>
      <c r="AL325" s="143"/>
      <c r="AM325" s="143"/>
      <c r="AN325" s="143"/>
      <c r="AO325" s="143"/>
      <c r="AP325" s="143"/>
      <c r="AQ325" s="143"/>
      <c r="AR325" s="142">
        <f>SUM(AS325:AV325)</f>
      </c>
      <c r="AS325" s="143"/>
      <c r="AT325" s="143"/>
      <c r="AU325" s="143"/>
      <c r="AV325" s="143"/>
      <c r="AW325" s="142">
        <f>SUM(AX325:BI325)</f>
      </c>
      <c r="AX325" s="143"/>
      <c r="AY325" s="143"/>
      <c r="AZ325" s="143"/>
      <c r="BA325" s="143"/>
      <c r="BB325" s="143"/>
      <c r="BC325" s="143"/>
      <c r="BD325" s="143"/>
      <c r="BE325" s="143"/>
      <c r="BF325" s="143"/>
      <c r="BG325" s="143"/>
      <c r="BH325" s="143"/>
      <c r="BI325" s="143"/>
      <c r="BJ325" s="142"/>
      <c r="BK325" s="143"/>
      <c r="BL325" s="143"/>
      <c r="BM325" s="143"/>
      <c r="BN325" s="143"/>
      <c r="BO325" s="143"/>
      <c r="BP325" s="143"/>
      <c r="BQ325" s="142"/>
      <c r="BR325" s="143"/>
      <c r="BS325" s="143"/>
      <c r="BT325" s="142">
        <f>SUM(BU325:BW325)</f>
      </c>
      <c r="BU325" s="143"/>
      <c r="BV325" s="143"/>
      <c r="BW325" s="143"/>
      <c r="BX325" s="142">
        <f>SUM(BY325:CD325)</f>
      </c>
      <c r="BY325" s="143"/>
      <c r="BZ325" s="143"/>
      <c r="CA325" s="143"/>
      <c r="CB325" s="143"/>
      <c r="CC325" s="143"/>
      <c r="CD325" s="143"/>
      <c r="CE325" s="142"/>
      <c r="CF325" s="143"/>
      <c r="CG325" s="143"/>
      <c r="CH325" s="143"/>
      <c r="CI325" s="143"/>
      <c r="CJ325" s="143"/>
      <c r="CK325" s="142">
        <f>SUM(CL325:CN325)</f>
      </c>
      <c r="CL325" s="143"/>
      <c r="CM325" s="143"/>
      <c r="CN325" s="143"/>
      <c r="CO325" s="142">
        <f>SUM(CP325:CT325)</f>
      </c>
      <c r="CP325" s="143"/>
      <c r="CQ325" s="143"/>
      <c r="CR325" s="143"/>
      <c r="CS325" s="143"/>
      <c r="CT325" s="143"/>
      <c r="CU325" s="142"/>
      <c r="CV325" s="143"/>
      <c r="CW325" s="143"/>
      <c r="CX325" s="143"/>
      <c r="CY325" s="142"/>
      <c r="CZ325" s="143"/>
      <c r="DA325" s="143"/>
      <c r="DB325" s="143"/>
      <c r="DC325" s="143"/>
      <c r="DD325" s="143"/>
      <c r="DE325" s="143"/>
      <c r="DF325" s="143"/>
      <c r="DG325" s="142">
        <f>SUM(DH325:DH325)</f>
      </c>
      <c r="DH325" s="143"/>
      <c r="DI325" s="142"/>
      <c r="DJ325" s="143"/>
      <c r="DK325" s="142">
        <f>SUM(DL325:DQ325)</f>
      </c>
      <c r="DL325" s="143"/>
      <c r="DM325" s="143"/>
      <c r="DN325" s="143"/>
      <c r="DO325" s="143"/>
      <c r="DP325" s="143"/>
      <c r="DQ325" s="143"/>
      <c r="DR325" s="143"/>
      <c r="DS325" s="143"/>
      <c r="DT325" s="143"/>
      <c r="DU325" s="143"/>
      <c r="DV325" s="143"/>
      <c r="DW325" s="143"/>
      <c r="DX325" s="142"/>
      <c r="DY325" s="143"/>
      <c r="DZ325" s="142"/>
      <c r="EA325" s="143"/>
      <c r="EB325" s="143"/>
      <c r="EC325" s="142"/>
      <c r="ED325" s="143"/>
      <c r="EF325" s="143"/>
      <c r="EG325" s="142">
        <f>SUM(EH325:EQ325)</f>
      </c>
      <c r="EH325" s="143"/>
      <c r="EI325" s="143"/>
      <c r="EJ325" s="143"/>
      <c r="EK325" s="143"/>
      <c r="EL325" s="143"/>
      <c r="EM325" s="143"/>
      <c r="EN325" s="143"/>
      <c r="EO325" s="143"/>
      <c r="EP325" s="143"/>
      <c r="EQ325" s="143"/>
      <c r="ER325" s="142">
        <f>SUM(ES325:ET325)</f>
      </c>
      <c r="ES325" s="143"/>
      <c r="ET325" s="143"/>
      <c r="EU325" s="144"/>
      <c r="FB325" s="146"/>
      <c r="FC325" s="146" cm="1">
        <f t="array" ref="FC325">ROW()-ROW(New[#Headers])</f>
        <v>319</v>
      </c>
    </row>
    <row r="326" spans="2:159" s="139" customFormat="1" ht="10.5" x14ac:dyDescent="0.2">
      <c r="B326" s="133"/>
      <c r="C326" s="133"/>
      <c r="E326" s="133"/>
      <c r="H326" s="133"/>
      <c r="N326" s="140"/>
      <c r="O326" s="140"/>
      <c r="P326" s="141"/>
      <c r="Q326" s="142">
        <f>SUM(R326:AQ326)</f>
      </c>
      <c r="R326" s="143"/>
      <c r="S326" s="143"/>
      <c r="T326" s="143"/>
      <c r="U326" s="143"/>
      <c r="V326" s="143"/>
      <c r="W326" s="143"/>
      <c r="X326" s="143"/>
      <c r="Y326" s="143"/>
      <c r="Z326" s="143"/>
      <c r="AA326" s="143"/>
      <c r="AB326" s="143"/>
      <c r="AC326" s="143"/>
      <c r="AD326" s="143"/>
      <c r="AE326" s="143"/>
      <c r="AF326" s="143"/>
      <c r="AG326" s="143"/>
      <c r="AH326" s="143"/>
      <c r="AI326" s="143"/>
      <c r="AJ326" s="143"/>
      <c r="AK326" s="143"/>
      <c r="AL326" s="143"/>
      <c r="AM326" s="143"/>
      <c r="AN326" s="143"/>
      <c r="AO326" s="143"/>
      <c r="AP326" s="143"/>
      <c r="AQ326" s="143"/>
      <c r="AR326" s="142">
        <f>SUM(AS326:AV326)</f>
      </c>
      <c r="AS326" s="143"/>
      <c r="AT326" s="143"/>
      <c r="AU326" s="143"/>
      <c r="AV326" s="143"/>
      <c r="AW326" s="142">
        <f>SUM(AX326:BI326)</f>
      </c>
      <c r="AX326" s="143"/>
      <c r="AY326" s="143"/>
      <c r="AZ326" s="143"/>
      <c r="BA326" s="143"/>
      <c r="BB326" s="143"/>
      <c r="BC326" s="143"/>
      <c r="BD326" s="143"/>
      <c r="BE326" s="143"/>
      <c r="BF326" s="143"/>
      <c r="BG326" s="143"/>
      <c r="BH326" s="143"/>
      <c r="BI326" s="143"/>
      <c r="BJ326" s="142"/>
      <c r="BK326" s="143"/>
      <c r="BL326" s="143"/>
      <c r="BM326" s="143"/>
      <c r="BN326" s="143"/>
      <c r="BO326" s="143"/>
      <c r="BP326" s="143"/>
      <c r="BQ326" s="142"/>
      <c r="BR326" s="143"/>
      <c r="BS326" s="143"/>
      <c r="BT326" s="142">
        <f>SUM(BU326:BW326)</f>
      </c>
      <c r="BU326" s="143"/>
      <c r="BV326" s="143"/>
      <c r="BW326" s="143"/>
      <c r="BX326" s="142">
        <f>SUM(BY326:CD326)</f>
      </c>
      <c r="BY326" s="143"/>
      <c r="BZ326" s="143"/>
      <c r="CA326" s="143"/>
      <c r="CB326" s="143"/>
      <c r="CC326" s="143"/>
      <c r="CD326" s="143"/>
      <c r="CE326" s="142"/>
      <c r="CF326" s="143"/>
      <c r="CG326" s="143"/>
      <c r="CH326" s="143"/>
      <c r="CI326" s="143"/>
      <c r="CJ326" s="143"/>
      <c r="CK326" s="142">
        <f>SUM(CL326:CN326)</f>
      </c>
      <c r="CL326" s="143"/>
      <c r="CM326" s="143"/>
      <c r="CN326" s="143"/>
      <c r="CO326" s="142">
        <f>SUM(CP326:CT326)</f>
      </c>
      <c r="CP326" s="143"/>
      <c r="CQ326" s="143"/>
      <c r="CR326" s="143"/>
      <c r="CS326" s="143"/>
      <c r="CT326" s="143"/>
      <c r="CU326" s="142"/>
      <c r="CV326" s="143"/>
      <c r="CW326" s="143"/>
      <c r="CX326" s="143"/>
      <c r="CY326" s="142"/>
      <c r="CZ326" s="143"/>
      <c r="DA326" s="143"/>
      <c r="DB326" s="143"/>
      <c r="DC326" s="143"/>
      <c r="DD326" s="143"/>
      <c r="DE326" s="143"/>
      <c r="DF326" s="143"/>
      <c r="DG326" s="142">
        <f>SUM(DH326:DH326)</f>
      </c>
      <c r="DH326" s="143"/>
      <c r="DI326" s="142"/>
      <c r="DJ326" s="143"/>
      <c r="DK326" s="142">
        <f>SUM(DL326:DQ326)</f>
      </c>
      <c r="DL326" s="143"/>
      <c r="DM326" s="143"/>
      <c r="DN326" s="143"/>
      <c r="DO326" s="143"/>
      <c r="DP326" s="143"/>
      <c r="DQ326" s="143"/>
      <c r="DR326" s="143"/>
      <c r="DS326" s="143"/>
      <c r="DT326" s="143"/>
      <c r="DU326" s="143"/>
      <c r="DV326" s="143"/>
      <c r="DW326" s="143"/>
      <c r="DX326" s="142"/>
      <c r="DY326" s="143"/>
      <c r="DZ326" s="142"/>
      <c r="EA326" s="143"/>
      <c r="EB326" s="143"/>
      <c r="EC326" s="142"/>
      <c r="ED326" s="143"/>
      <c r="EF326" s="143"/>
      <c r="EG326" s="142">
        <f>SUM(EH326:EQ326)</f>
      </c>
      <c r="EH326" s="143"/>
      <c r="EI326" s="143"/>
      <c r="EJ326" s="143"/>
      <c r="EK326" s="143"/>
      <c r="EL326" s="143"/>
      <c r="EM326" s="143"/>
      <c r="EN326" s="143"/>
      <c r="EO326" s="143"/>
      <c r="EP326" s="143"/>
      <c r="EQ326" s="143"/>
      <c r="ER326" s="142">
        <f>SUM(ES326:ET326)</f>
      </c>
      <c r="ES326" s="143"/>
      <c r="ET326" s="143"/>
      <c r="EU326" s="144"/>
      <c r="FB326" s="146"/>
      <c r="FC326" s="146" cm="1">
        <f t="array" ref="FC326">ROW()-ROW(New[#Headers])</f>
        <v>320</v>
      </c>
    </row>
    <row r="327" spans="2:159" s="139" customFormat="1" ht="10.5" x14ac:dyDescent="0.2">
      <c r="B327" s="133"/>
      <c r="C327" s="133"/>
      <c r="E327" s="133"/>
      <c r="H327" s="133"/>
      <c r="N327" s="140"/>
      <c r="O327" s="140"/>
      <c r="P327" s="141"/>
      <c r="Q327" s="142">
        <f>SUM(R327:AQ327)</f>
      </c>
      <c r="R327" s="143"/>
      <c r="S327" s="143"/>
      <c r="T327" s="143"/>
      <c r="U327" s="143"/>
      <c r="V327" s="143"/>
      <c r="W327" s="143"/>
      <c r="X327" s="143"/>
      <c r="Y327" s="143"/>
      <c r="Z327" s="143"/>
      <c r="AA327" s="143"/>
      <c r="AB327" s="143"/>
      <c r="AC327" s="143"/>
      <c r="AD327" s="143"/>
      <c r="AE327" s="143"/>
      <c r="AF327" s="143"/>
      <c r="AG327" s="143"/>
      <c r="AH327" s="143"/>
      <c r="AI327" s="143"/>
      <c r="AJ327" s="143"/>
      <c r="AK327" s="143"/>
      <c r="AL327" s="143"/>
      <c r="AM327" s="143"/>
      <c r="AN327" s="143"/>
      <c r="AO327" s="143"/>
      <c r="AP327" s="143"/>
      <c r="AQ327" s="143"/>
      <c r="AR327" s="142">
        <f>SUM(AS327:AV327)</f>
      </c>
      <c r="AS327" s="143"/>
      <c r="AT327" s="143"/>
      <c r="AU327" s="143"/>
      <c r="AV327" s="143"/>
      <c r="AW327" s="142">
        <f>SUM(AX327:BI327)</f>
      </c>
      <c r="AX327" s="143"/>
      <c r="AY327" s="143"/>
      <c r="AZ327" s="143"/>
      <c r="BA327" s="143"/>
      <c r="BB327" s="143"/>
      <c r="BC327" s="143"/>
      <c r="BD327" s="143"/>
      <c r="BE327" s="143"/>
      <c r="BF327" s="143"/>
      <c r="BG327" s="143"/>
      <c r="BH327" s="143"/>
      <c r="BI327" s="143"/>
      <c r="BJ327" s="142"/>
      <c r="BK327" s="143"/>
      <c r="BL327" s="143"/>
      <c r="BM327" s="143"/>
      <c r="BN327" s="143"/>
      <c r="BO327" s="143"/>
      <c r="BP327" s="143"/>
      <c r="BQ327" s="142"/>
      <c r="BR327" s="143"/>
      <c r="BS327" s="143"/>
      <c r="BT327" s="142">
        <f>SUM(BU327:BW327)</f>
      </c>
      <c r="BU327" s="143"/>
      <c r="BV327" s="143"/>
      <c r="BW327" s="143"/>
      <c r="BX327" s="142">
        <f>SUM(BY327:CD327)</f>
      </c>
      <c r="BY327" s="143"/>
      <c r="BZ327" s="143"/>
      <c r="CA327" s="143"/>
      <c r="CB327" s="143"/>
      <c r="CC327" s="143"/>
      <c r="CD327" s="143"/>
      <c r="CE327" s="142"/>
      <c r="CF327" s="143"/>
      <c r="CG327" s="143"/>
      <c r="CH327" s="143"/>
      <c r="CI327" s="143"/>
      <c r="CJ327" s="143"/>
      <c r="CK327" s="142">
        <f>SUM(CL327:CN327)</f>
      </c>
      <c r="CL327" s="143"/>
      <c r="CM327" s="143"/>
      <c r="CN327" s="143"/>
      <c r="CO327" s="142">
        <f>SUM(CP327:CT327)</f>
      </c>
      <c r="CP327" s="143"/>
      <c r="CQ327" s="143"/>
      <c r="CR327" s="143"/>
      <c r="CS327" s="143"/>
      <c r="CT327" s="143"/>
      <c r="CU327" s="142"/>
      <c r="CV327" s="143"/>
      <c r="CW327" s="143"/>
      <c r="CX327" s="143"/>
      <c r="CY327" s="142"/>
      <c r="CZ327" s="143"/>
      <c r="DA327" s="143"/>
      <c r="DB327" s="143"/>
      <c r="DC327" s="143"/>
      <c r="DD327" s="143"/>
      <c r="DE327" s="143"/>
      <c r="DF327" s="143"/>
      <c r="DG327" s="142">
        <f>SUM(DH327:DH327)</f>
      </c>
      <c r="DH327" s="143"/>
      <c r="DI327" s="142"/>
      <c r="DJ327" s="143"/>
      <c r="DK327" s="142">
        <f>SUM(DL327:DQ327)</f>
      </c>
      <c r="DL327" s="143"/>
      <c r="DM327" s="143"/>
      <c r="DN327" s="143"/>
      <c r="DO327" s="143"/>
      <c r="DP327" s="143"/>
      <c r="DQ327" s="143"/>
      <c r="DR327" s="143"/>
      <c r="DS327" s="143"/>
      <c r="DT327" s="143"/>
      <c r="DU327" s="143"/>
      <c r="DV327" s="143"/>
      <c r="DW327" s="143"/>
      <c r="DX327" s="142"/>
      <c r="DY327" s="143"/>
      <c r="DZ327" s="142"/>
      <c r="EA327" s="143"/>
      <c r="EB327" s="143"/>
      <c r="EC327" s="142"/>
      <c r="ED327" s="143"/>
      <c r="EF327" s="143"/>
      <c r="EG327" s="142">
        <f>SUM(EH327:EQ327)</f>
      </c>
      <c r="EH327" s="143"/>
      <c r="EI327" s="143"/>
      <c r="EJ327" s="143"/>
      <c r="EK327" s="143"/>
      <c r="EL327" s="143"/>
      <c r="EM327" s="143"/>
      <c r="EN327" s="143"/>
      <c r="EO327" s="143"/>
      <c r="EP327" s="143"/>
      <c r="EQ327" s="143"/>
      <c r="ER327" s="142">
        <f>SUM(ES327:ET327)</f>
      </c>
      <c r="ES327" s="143"/>
      <c r="ET327" s="143"/>
      <c r="EU327" s="144"/>
      <c r="FB327" s="146"/>
      <c r="FC327" s="146" cm="1">
        <f t="array" ref="FC327">ROW()-ROW(New[#Headers])</f>
        <v>321</v>
      </c>
    </row>
    <row r="328" spans="2:159" s="139" customFormat="1" ht="10.5" x14ac:dyDescent="0.2">
      <c r="B328" s="133"/>
      <c r="C328" s="133"/>
      <c r="E328" s="133"/>
      <c r="H328" s="133"/>
      <c r="N328" s="140"/>
      <c r="O328" s="140"/>
      <c r="P328" s="141"/>
      <c r="Q328" s="142">
        <f>SUM(R328:AQ328)</f>
      </c>
      <c r="R328" s="143"/>
      <c r="S328" s="143"/>
      <c r="T328" s="143"/>
      <c r="U328" s="143"/>
      <c r="V328" s="143"/>
      <c r="W328" s="143"/>
      <c r="X328" s="143"/>
      <c r="Y328" s="143"/>
      <c r="Z328" s="143"/>
      <c r="AA328" s="143"/>
      <c r="AB328" s="143"/>
      <c r="AC328" s="143"/>
      <c r="AD328" s="143"/>
      <c r="AE328" s="143"/>
      <c r="AF328" s="143"/>
      <c r="AG328" s="143"/>
      <c r="AH328" s="143"/>
      <c r="AI328" s="143"/>
      <c r="AJ328" s="143"/>
      <c r="AK328" s="143"/>
      <c r="AL328" s="143"/>
      <c r="AM328" s="143"/>
      <c r="AN328" s="143"/>
      <c r="AO328" s="143"/>
      <c r="AP328" s="143"/>
      <c r="AQ328" s="143"/>
      <c r="AR328" s="142">
        <f>SUM(AS328:AV328)</f>
      </c>
      <c r="AS328" s="143"/>
      <c r="AT328" s="143"/>
      <c r="AU328" s="143"/>
      <c r="AV328" s="143"/>
      <c r="AW328" s="142">
        <f>SUM(AX328:BI328)</f>
      </c>
      <c r="AX328" s="143"/>
      <c r="AY328" s="143"/>
      <c r="AZ328" s="143"/>
      <c r="BA328" s="143"/>
      <c r="BB328" s="143"/>
      <c r="BC328" s="143"/>
      <c r="BD328" s="143"/>
      <c r="BE328" s="143"/>
      <c r="BF328" s="143"/>
      <c r="BG328" s="143"/>
      <c r="BH328" s="143"/>
      <c r="BI328" s="143"/>
      <c r="BJ328" s="142"/>
      <c r="BK328" s="143"/>
      <c r="BL328" s="143"/>
      <c r="BM328" s="143"/>
      <c r="BN328" s="143"/>
      <c r="BO328" s="143"/>
      <c r="BP328" s="143"/>
      <c r="BQ328" s="142"/>
      <c r="BR328" s="143"/>
      <c r="BS328" s="143"/>
      <c r="BT328" s="142">
        <f>SUM(BU328:BW328)</f>
      </c>
      <c r="BU328" s="143"/>
      <c r="BV328" s="143"/>
      <c r="BW328" s="143"/>
      <c r="BX328" s="142">
        <f>SUM(BY328:CD328)</f>
      </c>
      <c r="BY328" s="143"/>
      <c r="BZ328" s="143"/>
      <c r="CA328" s="143"/>
      <c r="CB328" s="143"/>
      <c r="CC328" s="143"/>
      <c r="CD328" s="143"/>
      <c r="CE328" s="142"/>
      <c r="CF328" s="143"/>
      <c r="CG328" s="143"/>
      <c r="CH328" s="143"/>
      <c r="CI328" s="143"/>
      <c r="CJ328" s="143"/>
      <c r="CK328" s="142">
        <f>SUM(CL328:CN328)</f>
      </c>
      <c r="CL328" s="143"/>
      <c r="CM328" s="143"/>
      <c r="CN328" s="143"/>
      <c r="CO328" s="142">
        <f>SUM(CP328:CT328)</f>
      </c>
      <c r="CP328" s="143"/>
      <c r="CQ328" s="143"/>
      <c r="CR328" s="143"/>
      <c r="CS328" s="143"/>
      <c r="CT328" s="143"/>
      <c r="CU328" s="142"/>
      <c r="CV328" s="143"/>
      <c r="CW328" s="143"/>
      <c r="CX328" s="143"/>
      <c r="CY328" s="142"/>
      <c r="CZ328" s="143"/>
      <c r="DA328" s="143"/>
      <c r="DB328" s="143"/>
      <c r="DC328" s="143"/>
      <c r="DD328" s="143"/>
      <c r="DE328" s="143"/>
      <c r="DF328" s="143"/>
      <c r="DG328" s="142">
        <f>SUM(DH328:DH328)</f>
      </c>
      <c r="DH328" s="143"/>
      <c r="DI328" s="142"/>
      <c r="DJ328" s="143"/>
      <c r="DK328" s="142">
        <f>SUM(DL328:DQ328)</f>
      </c>
      <c r="DL328" s="143"/>
      <c r="DM328" s="143"/>
      <c r="DN328" s="143"/>
      <c r="DO328" s="143"/>
      <c r="DP328" s="143"/>
      <c r="DQ328" s="143"/>
      <c r="DR328" s="143"/>
      <c r="DS328" s="143"/>
      <c r="DT328" s="143"/>
      <c r="DU328" s="143"/>
      <c r="DV328" s="143"/>
      <c r="DW328" s="143"/>
      <c r="DX328" s="142"/>
      <c r="DY328" s="143"/>
      <c r="DZ328" s="142"/>
      <c r="EA328" s="143"/>
      <c r="EB328" s="143"/>
      <c r="EC328" s="142"/>
      <c r="ED328" s="143"/>
      <c r="EF328" s="143"/>
      <c r="EG328" s="142">
        <f>SUM(EH328:EQ328)</f>
      </c>
      <c r="EH328" s="143"/>
      <c r="EI328" s="143"/>
      <c r="EJ328" s="143"/>
      <c r="EK328" s="143"/>
      <c r="EL328" s="143"/>
      <c r="EM328" s="143"/>
      <c r="EN328" s="143"/>
      <c r="EO328" s="143"/>
      <c r="EP328" s="143"/>
      <c r="EQ328" s="143"/>
      <c r="ER328" s="142">
        <f>SUM(ES328:ET328)</f>
      </c>
      <c r="ES328" s="143"/>
      <c r="ET328" s="143"/>
      <c r="EU328" s="144"/>
      <c r="FB328" s="146"/>
      <c r="FC328" s="146" cm="1">
        <f t="array" ref="FC328">ROW()-ROW(New[#Headers])</f>
        <v>322</v>
      </c>
    </row>
    <row r="329" spans="2:159" s="139" customFormat="1" ht="10.5" x14ac:dyDescent="0.2">
      <c r="B329" s="133"/>
      <c r="C329" s="133"/>
      <c r="E329" s="133"/>
      <c r="H329" s="133"/>
      <c r="N329" s="140"/>
      <c r="O329" s="140"/>
      <c r="P329" s="141"/>
      <c r="Q329" s="142">
        <f>SUM(R329:AQ329)</f>
      </c>
      <c r="R329" s="143"/>
      <c r="S329" s="143"/>
      <c r="T329" s="143"/>
      <c r="U329" s="143"/>
      <c r="V329" s="143"/>
      <c r="W329" s="143"/>
      <c r="X329" s="143"/>
      <c r="Y329" s="143"/>
      <c r="Z329" s="143"/>
      <c r="AA329" s="143"/>
      <c r="AB329" s="143"/>
      <c r="AC329" s="143"/>
      <c r="AD329" s="143"/>
      <c r="AE329" s="143"/>
      <c r="AF329" s="143"/>
      <c r="AG329" s="143"/>
      <c r="AH329" s="143"/>
      <c r="AI329" s="143"/>
      <c r="AJ329" s="143"/>
      <c r="AK329" s="143"/>
      <c r="AL329" s="143"/>
      <c r="AM329" s="143"/>
      <c r="AN329" s="143"/>
      <c r="AO329" s="143"/>
      <c r="AP329" s="143"/>
      <c r="AQ329" s="143"/>
      <c r="AR329" s="142">
        <f>SUM(AS329:AV329)</f>
      </c>
      <c r="AS329" s="143"/>
      <c r="AT329" s="143"/>
      <c r="AU329" s="143"/>
      <c r="AV329" s="143"/>
      <c r="AW329" s="142">
        <f>SUM(AX329:BI329)</f>
      </c>
      <c r="AX329" s="143"/>
      <c r="AY329" s="143"/>
      <c r="AZ329" s="143"/>
      <c r="BA329" s="143"/>
      <c r="BB329" s="143"/>
      <c r="BC329" s="143"/>
      <c r="BD329" s="143"/>
      <c r="BE329" s="143"/>
      <c r="BF329" s="143"/>
      <c r="BG329" s="143"/>
      <c r="BH329" s="143"/>
      <c r="BI329" s="143"/>
      <c r="BJ329" s="142"/>
      <c r="BK329" s="143"/>
      <c r="BL329" s="143"/>
      <c r="BM329" s="143"/>
      <c r="BN329" s="143"/>
      <c r="BO329" s="143"/>
      <c r="BP329" s="143"/>
      <c r="BQ329" s="142"/>
      <c r="BR329" s="143"/>
      <c r="BS329" s="143"/>
      <c r="BT329" s="142">
        <f>SUM(BU329:BW329)</f>
      </c>
      <c r="BU329" s="143"/>
      <c r="BV329" s="143"/>
      <c r="BW329" s="143"/>
      <c r="BX329" s="142">
        <f>SUM(BY329:CD329)</f>
      </c>
      <c r="BY329" s="143"/>
      <c r="BZ329" s="143"/>
      <c r="CA329" s="143"/>
      <c r="CB329" s="143"/>
      <c r="CC329" s="143"/>
      <c r="CD329" s="143"/>
      <c r="CE329" s="142"/>
      <c r="CF329" s="143"/>
      <c r="CG329" s="143"/>
      <c r="CH329" s="143"/>
      <c r="CI329" s="143"/>
      <c r="CJ329" s="143"/>
      <c r="CK329" s="142">
        <f>SUM(CL329:CN329)</f>
      </c>
      <c r="CL329" s="143"/>
      <c r="CM329" s="143"/>
      <c r="CN329" s="143"/>
      <c r="CO329" s="142">
        <f>SUM(CP329:CT329)</f>
      </c>
      <c r="CP329" s="143"/>
      <c r="CQ329" s="143"/>
      <c r="CR329" s="143"/>
      <c r="CS329" s="143"/>
      <c r="CT329" s="143"/>
      <c r="CU329" s="142"/>
      <c r="CV329" s="143"/>
      <c r="CW329" s="143"/>
      <c r="CX329" s="143"/>
      <c r="CY329" s="142"/>
      <c r="CZ329" s="143"/>
      <c r="DA329" s="143"/>
      <c r="DB329" s="143"/>
      <c r="DC329" s="143"/>
      <c r="DD329" s="143"/>
      <c r="DE329" s="143"/>
      <c r="DF329" s="143"/>
      <c r="DG329" s="142">
        <f>SUM(DH329:DH329)</f>
      </c>
      <c r="DH329" s="143"/>
      <c r="DI329" s="142"/>
      <c r="DJ329" s="143"/>
      <c r="DK329" s="142">
        <f>SUM(DL329:DQ329)</f>
      </c>
      <c r="DL329" s="143"/>
      <c r="DM329" s="143"/>
      <c r="DN329" s="143"/>
      <c r="DO329" s="143"/>
      <c r="DP329" s="143"/>
      <c r="DQ329" s="143"/>
      <c r="DR329" s="143"/>
      <c r="DS329" s="143"/>
      <c r="DT329" s="143"/>
      <c r="DU329" s="143"/>
      <c r="DV329" s="143"/>
      <c r="DW329" s="143"/>
      <c r="DX329" s="142"/>
      <c r="DY329" s="143"/>
      <c r="DZ329" s="142"/>
      <c r="EA329" s="143"/>
      <c r="EB329" s="143"/>
      <c r="EC329" s="142"/>
      <c r="ED329" s="143"/>
      <c r="EF329" s="143"/>
      <c r="EG329" s="142">
        <f>SUM(EH329:EQ329)</f>
      </c>
      <c r="EH329" s="143"/>
      <c r="EI329" s="143"/>
      <c r="EJ329" s="143"/>
      <c r="EK329" s="143"/>
      <c r="EL329" s="143"/>
      <c r="EM329" s="143"/>
      <c r="EN329" s="143"/>
      <c r="EO329" s="143"/>
      <c r="EP329" s="143"/>
      <c r="EQ329" s="143"/>
      <c r="ER329" s="142">
        <f>SUM(ES329:ET329)</f>
      </c>
      <c r="ES329" s="143"/>
      <c r="ET329" s="143"/>
      <c r="EU329" s="144"/>
      <c r="FB329" s="146"/>
      <c r="FC329" s="146" cm="1">
        <f t="array" ref="FC329">ROW()-ROW(New[#Headers])</f>
        <v>323</v>
      </c>
    </row>
    <row r="330" spans="2:159" s="139" customFormat="1" ht="10.5" x14ac:dyDescent="0.2">
      <c r="B330" s="133"/>
      <c r="C330" s="133"/>
      <c r="E330" s="133"/>
      <c r="H330" s="133"/>
      <c r="N330" s="140"/>
      <c r="O330" s="140"/>
      <c r="P330" s="141"/>
      <c r="Q330" s="142">
        <f>SUM(R330:AQ330)</f>
      </c>
      <c r="R330" s="143"/>
      <c r="S330" s="143"/>
      <c r="T330" s="143"/>
      <c r="U330" s="143"/>
      <c r="V330" s="143"/>
      <c r="W330" s="143"/>
      <c r="X330" s="143"/>
      <c r="Y330" s="143"/>
      <c r="Z330" s="143"/>
      <c r="AA330" s="143"/>
      <c r="AB330" s="143"/>
      <c r="AC330" s="143"/>
      <c r="AD330" s="143"/>
      <c r="AE330" s="143"/>
      <c r="AF330" s="143"/>
      <c r="AG330" s="143"/>
      <c r="AH330" s="143"/>
      <c r="AI330" s="143"/>
      <c r="AJ330" s="143"/>
      <c r="AK330" s="143"/>
      <c r="AL330" s="143"/>
      <c r="AM330" s="143"/>
      <c r="AN330" s="143"/>
      <c r="AO330" s="143"/>
      <c r="AP330" s="143"/>
      <c r="AQ330" s="143"/>
      <c r="AR330" s="142">
        <f>SUM(AS330:AV330)</f>
      </c>
      <c r="AS330" s="143"/>
      <c r="AT330" s="143"/>
      <c r="AU330" s="143"/>
      <c r="AV330" s="143"/>
      <c r="AW330" s="142">
        <f>SUM(AX330:BI330)</f>
      </c>
      <c r="AX330" s="143"/>
      <c r="AY330" s="143"/>
      <c r="AZ330" s="143"/>
      <c r="BA330" s="143"/>
      <c r="BB330" s="143"/>
      <c r="BC330" s="143"/>
      <c r="BD330" s="143"/>
      <c r="BE330" s="143"/>
      <c r="BF330" s="143"/>
      <c r="BG330" s="143"/>
      <c r="BH330" s="143"/>
      <c r="BI330" s="143"/>
      <c r="BJ330" s="142"/>
      <c r="BK330" s="143"/>
      <c r="BL330" s="143"/>
      <c r="BM330" s="143"/>
      <c r="BN330" s="143"/>
      <c r="BO330" s="143"/>
      <c r="BP330" s="143"/>
      <c r="BQ330" s="142"/>
      <c r="BR330" s="143"/>
      <c r="BS330" s="143"/>
      <c r="BT330" s="142">
        <f>SUM(BU330:BW330)</f>
      </c>
      <c r="BU330" s="143"/>
      <c r="BV330" s="143"/>
      <c r="BW330" s="143"/>
      <c r="BX330" s="142">
        <f>SUM(BY330:CD330)</f>
      </c>
      <c r="BY330" s="143"/>
      <c r="BZ330" s="143"/>
      <c r="CA330" s="143"/>
      <c r="CB330" s="143"/>
      <c r="CC330" s="143"/>
      <c r="CD330" s="143"/>
      <c r="CE330" s="142"/>
      <c r="CF330" s="143"/>
      <c r="CG330" s="143"/>
      <c r="CH330" s="143"/>
      <c r="CI330" s="143"/>
      <c r="CJ330" s="143"/>
      <c r="CK330" s="142">
        <f>SUM(CL330:CN330)</f>
      </c>
      <c r="CL330" s="143"/>
      <c r="CM330" s="143"/>
      <c r="CN330" s="143"/>
      <c r="CO330" s="142">
        <f>SUM(CP330:CT330)</f>
      </c>
      <c r="CP330" s="143"/>
      <c r="CQ330" s="143"/>
      <c r="CR330" s="143"/>
      <c r="CS330" s="143"/>
      <c r="CT330" s="143"/>
      <c r="CU330" s="142"/>
      <c r="CV330" s="143"/>
      <c r="CW330" s="143"/>
      <c r="CX330" s="143"/>
      <c r="CY330" s="142"/>
      <c r="CZ330" s="143"/>
      <c r="DA330" s="143"/>
      <c r="DB330" s="143"/>
      <c r="DC330" s="143"/>
      <c r="DD330" s="143"/>
      <c r="DE330" s="143"/>
      <c r="DF330" s="143"/>
      <c r="DG330" s="142">
        <f>SUM(DH330:DH330)</f>
      </c>
      <c r="DH330" s="143"/>
      <c r="DI330" s="142"/>
      <c r="DJ330" s="143"/>
      <c r="DK330" s="142">
        <f>SUM(DL330:DQ330)</f>
      </c>
      <c r="DL330" s="143"/>
      <c r="DM330" s="143"/>
      <c r="DN330" s="143"/>
      <c r="DO330" s="143"/>
      <c r="DP330" s="143"/>
      <c r="DQ330" s="143"/>
      <c r="DR330" s="143"/>
      <c r="DS330" s="143"/>
      <c r="DT330" s="143"/>
      <c r="DU330" s="143"/>
      <c r="DV330" s="143"/>
      <c r="DW330" s="143"/>
      <c r="DX330" s="142"/>
      <c r="DY330" s="143"/>
      <c r="DZ330" s="142"/>
      <c r="EA330" s="143"/>
      <c r="EB330" s="143"/>
      <c r="EC330" s="142"/>
      <c r="ED330" s="143"/>
      <c r="EF330" s="143"/>
      <c r="EG330" s="142">
        <f>SUM(EH330:EQ330)</f>
      </c>
      <c r="EH330" s="143"/>
      <c r="EI330" s="143"/>
      <c r="EJ330" s="143"/>
      <c r="EK330" s="143"/>
      <c r="EL330" s="143"/>
      <c r="EM330" s="143"/>
      <c r="EN330" s="143"/>
      <c r="EO330" s="143"/>
      <c r="EP330" s="143"/>
      <c r="EQ330" s="143"/>
      <c r="ER330" s="142">
        <f>SUM(ES330:ET330)</f>
      </c>
      <c r="ES330" s="143"/>
      <c r="ET330" s="143"/>
      <c r="EU330" s="144"/>
      <c r="FB330" s="146"/>
      <c r="FC330" s="146" cm="1">
        <f t="array" ref="FC330">ROW()-ROW(New[#Headers])</f>
        <v>324</v>
      </c>
    </row>
    <row r="331" spans="2:159" s="139" customFormat="1" ht="10.5" x14ac:dyDescent="0.2">
      <c r="B331" s="133"/>
      <c r="C331" s="133"/>
      <c r="E331" s="133"/>
      <c r="H331" s="133"/>
      <c r="N331" s="140"/>
      <c r="O331" s="140"/>
      <c r="P331" s="141"/>
      <c r="Q331" s="142">
        <f>SUM(R331:AQ331)</f>
      </c>
      <c r="R331" s="143"/>
      <c r="S331" s="143"/>
      <c r="T331" s="143"/>
      <c r="U331" s="143"/>
      <c r="V331" s="143"/>
      <c r="W331" s="143"/>
      <c r="X331" s="143"/>
      <c r="Y331" s="143"/>
      <c r="Z331" s="143"/>
      <c r="AA331" s="143"/>
      <c r="AB331" s="143"/>
      <c r="AC331" s="143"/>
      <c r="AD331" s="143"/>
      <c r="AE331" s="143"/>
      <c r="AF331" s="143"/>
      <c r="AG331" s="143"/>
      <c r="AH331" s="143"/>
      <c r="AI331" s="143"/>
      <c r="AJ331" s="143"/>
      <c r="AK331" s="143"/>
      <c r="AL331" s="143"/>
      <c r="AM331" s="143"/>
      <c r="AN331" s="143"/>
      <c r="AO331" s="143"/>
      <c r="AP331" s="143"/>
      <c r="AQ331" s="143"/>
      <c r="AR331" s="142">
        <f>SUM(AS331:AV331)</f>
      </c>
      <c r="AS331" s="143"/>
      <c r="AT331" s="143"/>
      <c r="AU331" s="143"/>
      <c r="AV331" s="143"/>
      <c r="AW331" s="142">
        <f>SUM(AX331:BI331)</f>
      </c>
      <c r="AX331" s="143"/>
      <c r="AY331" s="143"/>
      <c r="AZ331" s="143"/>
      <c r="BA331" s="143"/>
      <c r="BB331" s="143"/>
      <c r="BC331" s="143"/>
      <c r="BD331" s="143"/>
      <c r="BE331" s="143"/>
      <c r="BF331" s="143"/>
      <c r="BG331" s="143"/>
      <c r="BH331" s="143"/>
      <c r="BI331" s="143"/>
      <c r="BJ331" s="142"/>
      <c r="BK331" s="143"/>
      <c r="BL331" s="143"/>
      <c r="BM331" s="143"/>
      <c r="BN331" s="143"/>
      <c r="BO331" s="143"/>
      <c r="BP331" s="143"/>
      <c r="BQ331" s="142"/>
      <c r="BR331" s="143"/>
      <c r="BS331" s="143"/>
      <c r="BT331" s="142">
        <f>SUM(BU331:BW331)</f>
      </c>
      <c r="BU331" s="143"/>
      <c r="BV331" s="143"/>
      <c r="BW331" s="143"/>
      <c r="BX331" s="142">
        <f>SUM(BY331:CD331)</f>
      </c>
      <c r="BY331" s="143"/>
      <c r="BZ331" s="143"/>
      <c r="CA331" s="143"/>
      <c r="CB331" s="143"/>
      <c r="CC331" s="143"/>
      <c r="CD331" s="143"/>
      <c r="CE331" s="142"/>
      <c r="CF331" s="143"/>
      <c r="CG331" s="143"/>
      <c r="CH331" s="143"/>
      <c r="CI331" s="143"/>
      <c r="CJ331" s="143"/>
      <c r="CK331" s="142">
        <f>SUM(CL331:CN331)</f>
      </c>
      <c r="CL331" s="143"/>
      <c r="CM331" s="143"/>
      <c r="CN331" s="143"/>
      <c r="CO331" s="142">
        <f>SUM(CP331:CT331)</f>
      </c>
      <c r="CP331" s="143"/>
      <c r="CQ331" s="143"/>
      <c r="CR331" s="143"/>
      <c r="CS331" s="143"/>
      <c r="CT331" s="143"/>
      <c r="CU331" s="142"/>
      <c r="CV331" s="143"/>
      <c r="CW331" s="143"/>
      <c r="CX331" s="143"/>
      <c r="CY331" s="142"/>
      <c r="CZ331" s="143"/>
      <c r="DA331" s="143"/>
      <c r="DB331" s="143"/>
      <c r="DC331" s="143"/>
      <c r="DD331" s="143"/>
      <c r="DE331" s="143"/>
      <c r="DF331" s="143"/>
      <c r="DG331" s="142">
        <f>SUM(DH331:DH331)</f>
      </c>
      <c r="DH331" s="143"/>
      <c r="DI331" s="142"/>
      <c r="DJ331" s="143"/>
      <c r="DK331" s="142">
        <f>SUM(DL331:DQ331)</f>
      </c>
      <c r="DL331" s="143"/>
      <c r="DM331" s="143"/>
      <c r="DN331" s="143"/>
      <c r="DO331" s="143"/>
      <c r="DP331" s="143"/>
      <c r="DQ331" s="143"/>
      <c r="DR331" s="143"/>
      <c r="DS331" s="143"/>
      <c r="DT331" s="143"/>
      <c r="DU331" s="143"/>
      <c r="DV331" s="143"/>
      <c r="DW331" s="143"/>
      <c r="DX331" s="142"/>
      <c r="DY331" s="143"/>
      <c r="DZ331" s="142"/>
      <c r="EA331" s="143"/>
      <c r="EB331" s="143"/>
      <c r="EC331" s="142"/>
      <c r="ED331" s="143"/>
      <c r="EF331" s="143"/>
      <c r="EG331" s="142">
        <f>SUM(EH331:EQ331)</f>
      </c>
      <c r="EH331" s="143"/>
      <c r="EI331" s="143"/>
      <c r="EJ331" s="143"/>
      <c r="EK331" s="143"/>
      <c r="EL331" s="143"/>
      <c r="EM331" s="143"/>
      <c r="EN331" s="143"/>
      <c r="EO331" s="143"/>
      <c r="EP331" s="143"/>
      <c r="EQ331" s="143"/>
      <c r="ER331" s="142">
        <f>SUM(ES331:ET331)</f>
      </c>
      <c r="ES331" s="143"/>
      <c r="ET331" s="143"/>
      <c r="EU331" s="144"/>
      <c r="FB331" s="146"/>
      <c r="FC331" s="146" cm="1">
        <f t="array" ref="FC331">ROW()-ROW(New[#Headers])</f>
        <v>325</v>
      </c>
    </row>
    <row r="332" spans="2:159" s="139" customFormat="1" ht="10.5" x14ac:dyDescent="0.2">
      <c r="B332" s="133"/>
      <c r="C332" s="133"/>
      <c r="E332" s="133"/>
      <c r="H332" s="133"/>
      <c r="N332" s="140"/>
      <c r="O332" s="140"/>
      <c r="P332" s="141"/>
      <c r="Q332" s="142">
        <f>SUM(R332:AQ332)</f>
      </c>
      <c r="R332" s="143"/>
      <c r="S332" s="143"/>
      <c r="T332" s="143"/>
      <c r="U332" s="143"/>
      <c r="V332" s="143"/>
      <c r="W332" s="143"/>
      <c r="X332" s="143"/>
      <c r="Y332" s="143"/>
      <c r="Z332" s="143"/>
      <c r="AA332" s="143"/>
      <c r="AB332" s="143"/>
      <c r="AC332" s="143"/>
      <c r="AD332" s="143"/>
      <c r="AE332" s="143"/>
      <c r="AF332" s="143"/>
      <c r="AG332" s="143"/>
      <c r="AH332" s="143"/>
      <c r="AI332" s="143"/>
      <c r="AJ332" s="143"/>
      <c r="AK332" s="143"/>
      <c r="AL332" s="143"/>
      <c r="AM332" s="143"/>
      <c r="AN332" s="143"/>
      <c r="AO332" s="143"/>
      <c r="AP332" s="143"/>
      <c r="AQ332" s="143"/>
      <c r="AR332" s="142">
        <f>SUM(AS332:AV332)</f>
      </c>
      <c r="AS332" s="143"/>
      <c r="AT332" s="143"/>
      <c r="AU332" s="143"/>
      <c r="AV332" s="143"/>
      <c r="AW332" s="142">
        <f>SUM(AX332:BI332)</f>
      </c>
      <c r="AX332" s="143"/>
      <c r="AY332" s="143"/>
      <c r="AZ332" s="143"/>
      <c r="BA332" s="143"/>
      <c r="BB332" s="143"/>
      <c r="BC332" s="143"/>
      <c r="BD332" s="143"/>
      <c r="BE332" s="143"/>
      <c r="BF332" s="143"/>
      <c r="BG332" s="143"/>
      <c r="BH332" s="143"/>
      <c r="BI332" s="143"/>
      <c r="BJ332" s="142"/>
      <c r="BK332" s="143"/>
      <c r="BL332" s="143"/>
      <c r="BM332" s="143"/>
      <c r="BN332" s="143"/>
      <c r="BO332" s="143"/>
      <c r="BP332" s="143"/>
      <c r="BQ332" s="142"/>
      <c r="BR332" s="143"/>
      <c r="BS332" s="143"/>
      <c r="BT332" s="142">
        <f>SUM(BU332:BW332)</f>
      </c>
      <c r="BU332" s="143"/>
      <c r="BV332" s="143"/>
      <c r="BW332" s="143"/>
      <c r="BX332" s="142">
        <f>SUM(BY332:CD332)</f>
      </c>
      <c r="BY332" s="143"/>
      <c r="BZ332" s="143"/>
      <c r="CA332" s="143"/>
      <c r="CB332" s="143"/>
      <c r="CC332" s="143"/>
      <c r="CD332" s="143"/>
      <c r="CE332" s="142"/>
      <c r="CF332" s="143"/>
      <c r="CG332" s="143"/>
      <c r="CH332" s="143"/>
      <c r="CI332" s="143"/>
      <c r="CJ332" s="143"/>
      <c r="CK332" s="142">
        <f>SUM(CL332:CN332)</f>
      </c>
      <c r="CL332" s="143"/>
      <c r="CM332" s="143"/>
      <c r="CN332" s="143"/>
      <c r="CO332" s="142">
        <f>SUM(CP332:CT332)</f>
      </c>
      <c r="CP332" s="143"/>
      <c r="CQ332" s="143"/>
      <c r="CR332" s="143"/>
      <c r="CS332" s="143"/>
      <c r="CT332" s="143"/>
      <c r="CU332" s="142"/>
      <c r="CV332" s="143"/>
      <c r="CW332" s="143"/>
      <c r="CX332" s="143"/>
      <c r="CY332" s="142"/>
      <c r="CZ332" s="143"/>
      <c r="DA332" s="143"/>
      <c r="DB332" s="143"/>
      <c r="DC332" s="143"/>
      <c r="DD332" s="143"/>
      <c r="DE332" s="143"/>
      <c r="DF332" s="143"/>
      <c r="DG332" s="142">
        <f>SUM(DH332:DH332)</f>
      </c>
      <c r="DH332" s="143"/>
      <c r="DI332" s="142"/>
      <c r="DJ332" s="143"/>
      <c r="DK332" s="142">
        <f>SUM(DL332:DQ332)</f>
      </c>
      <c r="DL332" s="143"/>
      <c r="DM332" s="143"/>
      <c r="DN332" s="143"/>
      <c r="DO332" s="143"/>
      <c r="DP332" s="143"/>
      <c r="DQ332" s="143"/>
      <c r="DR332" s="143"/>
      <c r="DS332" s="143"/>
      <c r="DT332" s="143"/>
      <c r="DU332" s="143"/>
      <c r="DV332" s="143"/>
      <c r="DW332" s="143"/>
      <c r="DX332" s="142"/>
      <c r="DY332" s="143"/>
      <c r="DZ332" s="142"/>
      <c r="EA332" s="143"/>
      <c r="EB332" s="143"/>
      <c r="EC332" s="142"/>
      <c r="ED332" s="143"/>
      <c r="EF332" s="143"/>
      <c r="EG332" s="142">
        <f>SUM(EH332:EQ332)</f>
      </c>
      <c r="EH332" s="143"/>
      <c r="EI332" s="143"/>
      <c r="EJ332" s="143"/>
      <c r="EK332" s="143"/>
      <c r="EL332" s="143"/>
      <c r="EM332" s="143"/>
      <c r="EN332" s="143"/>
      <c r="EO332" s="143"/>
      <c r="EP332" s="143"/>
      <c r="EQ332" s="143"/>
      <c r="ER332" s="142">
        <f>SUM(ES332:ET332)</f>
      </c>
      <c r="ES332" s="143"/>
      <c r="ET332" s="143"/>
      <c r="EU332" s="144"/>
      <c r="FB332" s="146"/>
      <c r="FC332" s="146" cm="1">
        <f t="array" ref="FC332">ROW()-ROW(New[#Headers])</f>
        <v>326</v>
      </c>
    </row>
    <row r="333" spans="2:159" s="139" customFormat="1" ht="10.5" x14ac:dyDescent="0.2">
      <c r="B333" s="133"/>
      <c r="C333" s="133"/>
      <c r="E333" s="133"/>
      <c r="H333" s="133"/>
      <c r="N333" s="140"/>
      <c r="O333" s="140"/>
      <c r="P333" s="141"/>
      <c r="Q333" s="142">
        <f>SUM(R333:AQ333)</f>
      </c>
      <c r="R333" s="143"/>
      <c r="S333" s="143"/>
      <c r="T333" s="143"/>
      <c r="U333" s="143"/>
      <c r="V333" s="143"/>
      <c r="W333" s="143"/>
      <c r="X333" s="143"/>
      <c r="Y333" s="143"/>
      <c r="Z333" s="143"/>
      <c r="AA333" s="143"/>
      <c r="AB333" s="143"/>
      <c r="AC333" s="143"/>
      <c r="AD333" s="143"/>
      <c r="AE333" s="143"/>
      <c r="AF333" s="143"/>
      <c r="AG333" s="143"/>
      <c r="AH333" s="143"/>
      <c r="AI333" s="143"/>
      <c r="AJ333" s="143"/>
      <c r="AK333" s="143"/>
      <c r="AL333" s="143"/>
      <c r="AM333" s="143"/>
      <c r="AN333" s="143"/>
      <c r="AO333" s="143"/>
      <c r="AP333" s="143"/>
      <c r="AQ333" s="143"/>
      <c r="AR333" s="142">
        <f>SUM(AS333:AV333)</f>
      </c>
      <c r="AS333" s="143"/>
      <c r="AT333" s="143"/>
      <c r="AU333" s="143"/>
      <c r="AV333" s="143"/>
      <c r="AW333" s="142">
        <f>SUM(AX333:BI333)</f>
      </c>
      <c r="AX333" s="143"/>
      <c r="AY333" s="143"/>
      <c r="AZ333" s="143"/>
      <c r="BA333" s="143"/>
      <c r="BB333" s="143"/>
      <c r="BC333" s="143"/>
      <c r="BD333" s="143"/>
      <c r="BE333" s="143"/>
      <c r="BF333" s="143"/>
      <c r="BG333" s="143"/>
      <c r="BH333" s="143"/>
      <c r="BI333" s="143"/>
      <c r="BJ333" s="142"/>
      <c r="BK333" s="143"/>
      <c r="BL333" s="143"/>
      <c r="BM333" s="143"/>
      <c r="BN333" s="143"/>
      <c r="BO333" s="143"/>
      <c r="BP333" s="143"/>
      <c r="BQ333" s="142"/>
      <c r="BR333" s="143"/>
      <c r="BS333" s="143"/>
      <c r="BT333" s="142">
        <f>SUM(BU333:BW333)</f>
      </c>
      <c r="BU333" s="143"/>
      <c r="BV333" s="143"/>
      <c r="BW333" s="143"/>
      <c r="BX333" s="142">
        <f>SUM(BY333:CD333)</f>
      </c>
      <c r="BY333" s="143"/>
      <c r="BZ333" s="143"/>
      <c r="CA333" s="143"/>
      <c r="CB333" s="143"/>
      <c r="CC333" s="143"/>
      <c r="CD333" s="143"/>
      <c r="CE333" s="142"/>
      <c r="CF333" s="143"/>
      <c r="CG333" s="143"/>
      <c r="CH333" s="143"/>
      <c r="CI333" s="143"/>
      <c r="CJ333" s="143"/>
      <c r="CK333" s="142">
        <f>SUM(CL333:CN333)</f>
      </c>
      <c r="CL333" s="143"/>
      <c r="CM333" s="143"/>
      <c r="CN333" s="143"/>
      <c r="CO333" s="142">
        <f>SUM(CP333:CT333)</f>
      </c>
      <c r="CP333" s="143"/>
      <c r="CQ333" s="143"/>
      <c r="CR333" s="143"/>
      <c r="CS333" s="143"/>
      <c r="CT333" s="143"/>
      <c r="CU333" s="142"/>
      <c r="CV333" s="143"/>
      <c r="CW333" s="143"/>
      <c r="CX333" s="143"/>
      <c r="CY333" s="142"/>
      <c r="CZ333" s="143"/>
      <c r="DA333" s="143"/>
      <c r="DB333" s="143"/>
      <c r="DC333" s="143"/>
      <c r="DD333" s="143"/>
      <c r="DE333" s="143"/>
      <c r="DF333" s="143"/>
      <c r="DG333" s="142">
        <f>SUM(DH333:DH333)</f>
      </c>
      <c r="DH333" s="143"/>
      <c r="DI333" s="142"/>
      <c r="DJ333" s="143"/>
      <c r="DK333" s="142">
        <f>SUM(DL333:DQ333)</f>
      </c>
      <c r="DL333" s="143"/>
      <c r="DM333" s="143"/>
      <c r="DN333" s="143"/>
      <c r="DO333" s="143"/>
      <c r="DP333" s="143"/>
      <c r="DQ333" s="143"/>
      <c r="DR333" s="143"/>
      <c r="DS333" s="143"/>
      <c r="DT333" s="143"/>
      <c r="DU333" s="143"/>
      <c r="DV333" s="143"/>
      <c r="DW333" s="143"/>
      <c r="DX333" s="142"/>
      <c r="DY333" s="143"/>
      <c r="DZ333" s="142"/>
      <c r="EA333" s="143"/>
      <c r="EB333" s="143"/>
      <c r="EC333" s="142"/>
      <c r="ED333" s="143"/>
      <c r="EF333" s="143"/>
      <c r="EG333" s="142">
        <f>SUM(EH333:EQ333)</f>
      </c>
      <c r="EH333" s="143"/>
      <c r="EI333" s="143"/>
      <c r="EJ333" s="143"/>
      <c r="EK333" s="143"/>
      <c r="EL333" s="143"/>
      <c r="EM333" s="143"/>
      <c r="EN333" s="143"/>
      <c r="EO333" s="143"/>
      <c r="EP333" s="143"/>
      <c r="EQ333" s="143"/>
      <c r="ER333" s="142">
        <f>SUM(ES333:ET333)</f>
      </c>
      <c r="ES333" s="143"/>
      <c r="ET333" s="143"/>
      <c r="EU333" s="144"/>
      <c r="FB333" s="146"/>
      <c r="FC333" s="146" cm="1">
        <f t="array" ref="FC333">ROW()-ROW(New[#Headers])</f>
        <v>327</v>
      </c>
    </row>
    <row r="334" spans="2:159" s="139" customFormat="1" ht="10.5" x14ac:dyDescent="0.2">
      <c r="B334" s="133"/>
      <c r="C334" s="133"/>
      <c r="E334" s="133"/>
      <c r="H334" s="133"/>
      <c r="N334" s="140"/>
      <c r="O334" s="140"/>
      <c r="P334" s="141"/>
      <c r="Q334" s="142">
        <f>SUM(R334:AQ334)</f>
      </c>
      <c r="R334" s="143"/>
      <c r="S334" s="143"/>
      <c r="T334" s="143"/>
      <c r="U334" s="143"/>
      <c r="V334" s="143"/>
      <c r="W334" s="143"/>
      <c r="X334" s="143"/>
      <c r="Y334" s="143"/>
      <c r="Z334" s="143"/>
      <c r="AA334" s="143"/>
      <c r="AB334" s="143"/>
      <c r="AC334" s="143"/>
      <c r="AD334" s="143"/>
      <c r="AE334" s="143"/>
      <c r="AF334" s="143"/>
      <c r="AG334" s="143"/>
      <c r="AH334" s="143"/>
      <c r="AI334" s="143"/>
      <c r="AJ334" s="143"/>
      <c r="AK334" s="143"/>
      <c r="AL334" s="143"/>
      <c r="AM334" s="143"/>
      <c r="AN334" s="143"/>
      <c r="AO334" s="143"/>
      <c r="AP334" s="143"/>
      <c r="AQ334" s="143"/>
      <c r="AR334" s="142">
        <f>SUM(AS334:AV334)</f>
      </c>
      <c r="AS334" s="143"/>
      <c r="AT334" s="143"/>
      <c r="AU334" s="143"/>
      <c r="AV334" s="143"/>
      <c r="AW334" s="142">
        <f>SUM(AX334:BI334)</f>
      </c>
      <c r="AX334" s="143"/>
      <c r="AY334" s="143"/>
      <c r="AZ334" s="143"/>
      <c r="BA334" s="143"/>
      <c r="BB334" s="143"/>
      <c r="BC334" s="143"/>
      <c r="BD334" s="143"/>
      <c r="BE334" s="143"/>
      <c r="BF334" s="143"/>
      <c r="BG334" s="143"/>
      <c r="BH334" s="143"/>
      <c r="BI334" s="143"/>
      <c r="BJ334" s="142"/>
      <c r="BK334" s="143"/>
      <c r="BL334" s="143"/>
      <c r="BM334" s="143"/>
      <c r="BN334" s="143"/>
      <c r="BO334" s="143"/>
      <c r="BP334" s="143"/>
      <c r="BQ334" s="142"/>
      <c r="BR334" s="143"/>
      <c r="BS334" s="143"/>
      <c r="BT334" s="142">
        <f>SUM(BU334:BW334)</f>
      </c>
      <c r="BU334" s="143"/>
      <c r="BV334" s="143"/>
      <c r="BW334" s="143"/>
      <c r="BX334" s="142">
        <f>SUM(BY334:CD334)</f>
      </c>
      <c r="BY334" s="143"/>
      <c r="BZ334" s="143"/>
      <c r="CA334" s="143"/>
      <c r="CB334" s="143"/>
      <c r="CC334" s="143"/>
      <c r="CD334" s="143"/>
      <c r="CE334" s="142"/>
      <c r="CF334" s="143"/>
      <c r="CG334" s="143"/>
      <c r="CH334" s="143"/>
      <c r="CI334" s="143"/>
      <c r="CJ334" s="143"/>
      <c r="CK334" s="142">
        <f>SUM(CL334:CN334)</f>
      </c>
      <c r="CL334" s="143"/>
      <c r="CM334" s="143"/>
      <c r="CN334" s="143"/>
      <c r="CO334" s="142">
        <f>SUM(CP334:CT334)</f>
      </c>
      <c r="CP334" s="143"/>
      <c r="CQ334" s="143"/>
      <c r="CR334" s="143"/>
      <c r="CS334" s="143"/>
      <c r="CT334" s="143"/>
      <c r="CU334" s="142"/>
      <c r="CV334" s="143"/>
      <c r="CW334" s="143"/>
      <c r="CX334" s="143"/>
      <c r="CY334" s="142"/>
      <c r="CZ334" s="143"/>
      <c r="DA334" s="143"/>
      <c r="DB334" s="143"/>
      <c r="DC334" s="143"/>
      <c r="DD334" s="143"/>
      <c r="DE334" s="143"/>
      <c r="DF334" s="143"/>
      <c r="DG334" s="142">
        <f>SUM(DH334:DH334)</f>
      </c>
      <c r="DH334" s="143"/>
      <c r="DI334" s="142"/>
      <c r="DJ334" s="143"/>
      <c r="DK334" s="142">
        <f>SUM(DL334:DQ334)</f>
      </c>
      <c r="DL334" s="143"/>
      <c r="DM334" s="143"/>
      <c r="DN334" s="143"/>
      <c r="DO334" s="143"/>
      <c r="DP334" s="143"/>
      <c r="DQ334" s="143"/>
      <c r="DR334" s="143"/>
      <c r="DS334" s="143"/>
      <c r="DT334" s="143"/>
      <c r="DU334" s="143"/>
      <c r="DV334" s="143"/>
      <c r="DW334" s="143"/>
      <c r="DX334" s="142"/>
      <c r="DY334" s="143"/>
      <c r="DZ334" s="142"/>
      <c r="EA334" s="143"/>
      <c r="EB334" s="143"/>
      <c r="EC334" s="142"/>
      <c r="ED334" s="143"/>
      <c r="EF334" s="143"/>
      <c r="EG334" s="142">
        <f>SUM(EH334:EQ334)</f>
      </c>
      <c r="EH334" s="143"/>
      <c r="EI334" s="143"/>
      <c r="EJ334" s="143"/>
      <c r="EK334" s="143"/>
      <c r="EL334" s="143"/>
      <c r="EM334" s="143"/>
      <c r="EN334" s="143"/>
      <c r="EO334" s="143"/>
      <c r="EP334" s="143"/>
      <c r="EQ334" s="143"/>
      <c r="ER334" s="142">
        <f>SUM(ES334:ET334)</f>
      </c>
      <c r="ES334" s="143"/>
      <c r="ET334" s="143"/>
      <c r="EU334" s="144"/>
      <c r="FB334" s="146"/>
      <c r="FC334" s="146" cm="1">
        <f t="array" ref="FC334">ROW()-ROW(New[#Headers])</f>
        <v>328</v>
      </c>
    </row>
    <row r="335" spans="2:159" s="139" customFormat="1" ht="10.5" x14ac:dyDescent="0.2">
      <c r="B335" s="133"/>
      <c r="C335" s="133"/>
      <c r="E335" s="133"/>
      <c r="H335" s="133"/>
      <c r="N335" s="140"/>
      <c r="O335" s="140"/>
      <c r="P335" s="141"/>
      <c r="Q335" s="142">
        <f>SUM(R335:AQ335)</f>
      </c>
      <c r="R335" s="143"/>
      <c r="S335" s="143"/>
      <c r="T335" s="143"/>
      <c r="U335" s="143"/>
      <c r="V335" s="143"/>
      <c r="W335" s="143"/>
      <c r="X335" s="143"/>
      <c r="Y335" s="143"/>
      <c r="Z335" s="143"/>
      <c r="AA335" s="143"/>
      <c r="AB335" s="143"/>
      <c r="AC335" s="143"/>
      <c r="AD335" s="143"/>
      <c r="AE335" s="143"/>
      <c r="AF335" s="143"/>
      <c r="AG335" s="143"/>
      <c r="AH335" s="143"/>
      <c r="AI335" s="143"/>
      <c r="AJ335" s="143"/>
      <c r="AK335" s="143"/>
      <c r="AL335" s="143"/>
      <c r="AM335" s="143"/>
      <c r="AN335" s="143"/>
      <c r="AO335" s="143"/>
      <c r="AP335" s="143"/>
      <c r="AQ335" s="143"/>
      <c r="AR335" s="142">
        <f>SUM(AS335:AV335)</f>
      </c>
      <c r="AS335" s="143"/>
      <c r="AT335" s="143"/>
      <c r="AU335" s="143"/>
      <c r="AV335" s="143"/>
      <c r="AW335" s="142">
        <f>SUM(AX335:BI335)</f>
      </c>
      <c r="AX335" s="143"/>
      <c r="AY335" s="143"/>
      <c r="AZ335" s="143"/>
      <c r="BA335" s="143"/>
      <c r="BB335" s="143"/>
      <c r="BC335" s="143"/>
      <c r="BD335" s="143"/>
      <c r="BE335" s="143"/>
      <c r="BF335" s="143"/>
      <c r="BG335" s="143"/>
      <c r="BH335" s="143"/>
      <c r="BI335" s="143"/>
      <c r="BJ335" s="142"/>
      <c r="BK335" s="143"/>
      <c r="BL335" s="143"/>
      <c r="BM335" s="143"/>
      <c r="BN335" s="143"/>
      <c r="BO335" s="143"/>
      <c r="BP335" s="143"/>
      <c r="BQ335" s="142"/>
      <c r="BR335" s="143"/>
      <c r="BS335" s="143"/>
      <c r="BT335" s="142">
        <f>SUM(BU335:BW335)</f>
      </c>
      <c r="BU335" s="143"/>
      <c r="BV335" s="143"/>
      <c r="BW335" s="143"/>
      <c r="BX335" s="142">
        <f>SUM(BY335:CD335)</f>
      </c>
      <c r="BY335" s="143"/>
      <c r="BZ335" s="143"/>
      <c r="CA335" s="143"/>
      <c r="CB335" s="143"/>
      <c r="CC335" s="143"/>
      <c r="CD335" s="143"/>
      <c r="CE335" s="142"/>
      <c r="CF335" s="143"/>
      <c r="CG335" s="143"/>
      <c r="CH335" s="143"/>
      <c r="CI335" s="143"/>
      <c r="CJ335" s="143"/>
      <c r="CK335" s="142">
        <f>SUM(CL335:CN335)</f>
      </c>
      <c r="CL335" s="143"/>
      <c r="CM335" s="143"/>
      <c r="CN335" s="143"/>
      <c r="CO335" s="142">
        <f>SUM(CP335:CT335)</f>
      </c>
      <c r="CP335" s="143"/>
      <c r="CQ335" s="143"/>
      <c r="CR335" s="143"/>
      <c r="CS335" s="143"/>
      <c r="CT335" s="143"/>
      <c r="CU335" s="142"/>
      <c r="CV335" s="143"/>
      <c r="CW335" s="143"/>
      <c r="CX335" s="143"/>
      <c r="CY335" s="142"/>
      <c r="CZ335" s="143"/>
      <c r="DA335" s="143"/>
      <c r="DB335" s="143"/>
      <c r="DC335" s="143"/>
      <c r="DD335" s="143"/>
      <c r="DE335" s="143"/>
      <c r="DF335" s="143"/>
      <c r="DG335" s="142">
        <f>SUM(DH335:DH335)</f>
      </c>
      <c r="DH335" s="143"/>
      <c r="DI335" s="142"/>
      <c r="DJ335" s="143"/>
      <c r="DK335" s="142">
        <f>SUM(DL335:DQ335)</f>
      </c>
      <c r="DL335" s="143"/>
      <c r="DM335" s="143"/>
      <c r="DN335" s="143"/>
      <c r="DO335" s="143"/>
      <c r="DP335" s="143"/>
      <c r="DQ335" s="143"/>
      <c r="DR335" s="143"/>
      <c r="DS335" s="143"/>
      <c r="DT335" s="143"/>
      <c r="DU335" s="143"/>
      <c r="DV335" s="143"/>
      <c r="DW335" s="143"/>
      <c r="DX335" s="142"/>
      <c r="DY335" s="143"/>
      <c r="DZ335" s="142"/>
      <c r="EA335" s="143"/>
      <c r="EB335" s="143"/>
      <c r="EC335" s="142"/>
      <c r="ED335" s="143"/>
      <c r="EF335" s="143"/>
      <c r="EG335" s="142">
        <f>SUM(EH335:EQ335)</f>
      </c>
      <c r="EH335" s="143"/>
      <c r="EI335" s="143"/>
      <c r="EJ335" s="143"/>
      <c r="EK335" s="143"/>
      <c r="EL335" s="143"/>
      <c r="EM335" s="143"/>
      <c r="EN335" s="143"/>
      <c r="EO335" s="143"/>
      <c r="EP335" s="143"/>
      <c r="EQ335" s="143"/>
      <c r="ER335" s="142">
        <f>SUM(ES335:ET335)</f>
      </c>
      <c r="ES335" s="143"/>
      <c r="ET335" s="143"/>
      <c r="EU335" s="144"/>
      <c r="FB335" s="146"/>
      <c r="FC335" s="146" cm="1">
        <f t="array" ref="FC335">ROW()-ROW(New[#Headers])</f>
        <v>329</v>
      </c>
    </row>
    <row r="336" spans="2:159" s="139" customFormat="1" ht="10.5" x14ac:dyDescent="0.2">
      <c r="B336" s="133"/>
      <c r="C336" s="133"/>
      <c r="E336" s="133"/>
      <c r="H336" s="133"/>
      <c r="N336" s="140"/>
      <c r="O336" s="140"/>
      <c r="P336" s="141"/>
      <c r="Q336" s="142">
        <f>SUM(R336:AQ336)</f>
      </c>
      <c r="R336" s="143"/>
      <c r="S336" s="143"/>
      <c r="T336" s="143"/>
      <c r="U336" s="143"/>
      <c r="V336" s="143"/>
      <c r="W336" s="143"/>
      <c r="X336" s="143"/>
      <c r="Y336" s="143"/>
      <c r="Z336" s="143"/>
      <c r="AA336" s="143"/>
      <c r="AB336" s="143"/>
      <c r="AC336" s="143"/>
      <c r="AD336" s="143"/>
      <c r="AE336" s="143"/>
      <c r="AF336" s="143"/>
      <c r="AG336" s="143"/>
      <c r="AH336" s="143"/>
      <c r="AI336" s="143"/>
      <c r="AJ336" s="143"/>
      <c r="AK336" s="143"/>
      <c r="AL336" s="143"/>
      <c r="AM336" s="143"/>
      <c r="AN336" s="143"/>
      <c r="AO336" s="143"/>
      <c r="AP336" s="143"/>
      <c r="AQ336" s="143"/>
      <c r="AR336" s="142">
        <f>SUM(AS336:AV336)</f>
      </c>
      <c r="AS336" s="143"/>
      <c r="AT336" s="143"/>
      <c r="AU336" s="143"/>
      <c r="AV336" s="143"/>
      <c r="AW336" s="142">
        <f>SUM(AX336:BI336)</f>
      </c>
      <c r="AX336" s="143"/>
      <c r="AY336" s="143"/>
      <c r="AZ336" s="143"/>
      <c r="BA336" s="143"/>
      <c r="BB336" s="143"/>
      <c r="BC336" s="143"/>
      <c r="BD336" s="143"/>
      <c r="BE336" s="143"/>
      <c r="BF336" s="143"/>
      <c r="BG336" s="143"/>
      <c r="BH336" s="143"/>
      <c r="BI336" s="143"/>
      <c r="BJ336" s="142"/>
      <c r="BK336" s="143"/>
      <c r="BL336" s="143"/>
      <c r="BM336" s="143"/>
      <c r="BN336" s="143"/>
      <c r="BO336" s="143"/>
      <c r="BP336" s="143"/>
      <c r="BQ336" s="142"/>
      <c r="BR336" s="143"/>
      <c r="BS336" s="143"/>
      <c r="BT336" s="142">
        <f>SUM(BU336:BW336)</f>
      </c>
      <c r="BU336" s="143"/>
      <c r="BV336" s="143"/>
      <c r="BW336" s="143"/>
      <c r="BX336" s="142">
        <f>SUM(BY336:CD336)</f>
      </c>
      <c r="BY336" s="143"/>
      <c r="BZ336" s="143"/>
      <c r="CA336" s="143"/>
      <c r="CB336" s="143"/>
      <c r="CC336" s="143"/>
      <c r="CD336" s="143"/>
      <c r="CE336" s="142"/>
      <c r="CF336" s="143"/>
      <c r="CG336" s="143"/>
      <c r="CH336" s="143"/>
      <c r="CI336" s="143"/>
      <c r="CJ336" s="143"/>
      <c r="CK336" s="142">
        <f>SUM(CL336:CN336)</f>
      </c>
      <c r="CL336" s="143"/>
      <c r="CM336" s="143"/>
      <c r="CN336" s="143"/>
      <c r="CO336" s="142">
        <f>SUM(CP336:CT336)</f>
      </c>
      <c r="CP336" s="143"/>
      <c r="CQ336" s="143"/>
      <c r="CR336" s="143"/>
      <c r="CS336" s="143"/>
      <c r="CT336" s="143"/>
      <c r="CU336" s="142"/>
      <c r="CV336" s="143"/>
      <c r="CW336" s="143"/>
      <c r="CX336" s="143"/>
      <c r="CY336" s="142"/>
      <c r="CZ336" s="143"/>
      <c r="DA336" s="143"/>
      <c r="DB336" s="143"/>
      <c r="DC336" s="143"/>
      <c r="DD336" s="143"/>
      <c r="DE336" s="143"/>
      <c r="DF336" s="143"/>
      <c r="DG336" s="142">
        <f>SUM(DH336:DH336)</f>
      </c>
      <c r="DH336" s="143"/>
      <c r="DI336" s="142"/>
      <c r="DJ336" s="143"/>
      <c r="DK336" s="142">
        <f>SUM(DL336:DQ336)</f>
      </c>
      <c r="DL336" s="143"/>
      <c r="DM336" s="143"/>
      <c r="DN336" s="143"/>
      <c r="DO336" s="143"/>
      <c r="DP336" s="143"/>
      <c r="DQ336" s="143"/>
      <c r="DR336" s="143"/>
      <c r="DS336" s="143"/>
      <c r="DT336" s="143"/>
      <c r="DU336" s="143"/>
      <c r="DV336" s="143"/>
      <c r="DW336" s="143"/>
      <c r="DX336" s="142"/>
      <c r="DY336" s="143"/>
      <c r="DZ336" s="142"/>
      <c r="EA336" s="143"/>
      <c r="EB336" s="143"/>
      <c r="EC336" s="142"/>
      <c r="ED336" s="143"/>
      <c r="EF336" s="143"/>
      <c r="EG336" s="142">
        <f>SUM(EH336:EQ336)</f>
      </c>
      <c r="EH336" s="143"/>
      <c r="EI336" s="143"/>
      <c r="EJ336" s="143"/>
      <c r="EK336" s="143"/>
      <c r="EL336" s="143"/>
      <c r="EM336" s="143"/>
      <c r="EN336" s="143"/>
      <c r="EO336" s="143"/>
      <c r="EP336" s="143"/>
      <c r="EQ336" s="143"/>
      <c r="ER336" s="142">
        <f>SUM(ES336:ET336)</f>
      </c>
      <c r="ES336" s="143"/>
      <c r="ET336" s="143"/>
      <c r="EU336" s="144"/>
      <c r="FB336" s="146"/>
      <c r="FC336" s="146" cm="1">
        <f t="array" ref="FC336">ROW()-ROW(New[#Headers])</f>
        <v>330</v>
      </c>
    </row>
    <row r="337" spans="2:159" s="139" customFormat="1" ht="10.5" x14ac:dyDescent="0.2">
      <c r="B337" s="133"/>
      <c r="C337" s="133"/>
      <c r="E337" s="133"/>
      <c r="H337" s="133"/>
      <c r="N337" s="140"/>
      <c r="O337" s="140"/>
      <c r="P337" s="141"/>
      <c r="Q337" s="142">
        <f>SUM(R337:AQ337)</f>
      </c>
      <c r="R337" s="143"/>
      <c r="S337" s="143"/>
      <c r="T337" s="143"/>
      <c r="U337" s="143"/>
      <c r="V337" s="143"/>
      <c r="W337" s="143"/>
      <c r="X337" s="143"/>
      <c r="Y337" s="143"/>
      <c r="Z337" s="143"/>
      <c r="AA337" s="143"/>
      <c r="AB337" s="143"/>
      <c r="AC337" s="143"/>
      <c r="AD337" s="143"/>
      <c r="AE337" s="143"/>
      <c r="AF337" s="143"/>
      <c r="AG337" s="143"/>
      <c r="AH337" s="143"/>
      <c r="AI337" s="143"/>
      <c r="AJ337" s="143"/>
      <c r="AK337" s="143"/>
      <c r="AL337" s="143"/>
      <c r="AM337" s="143"/>
      <c r="AN337" s="143"/>
      <c r="AO337" s="143"/>
      <c r="AP337" s="143"/>
      <c r="AQ337" s="143"/>
      <c r="AR337" s="142">
        <f>SUM(AS337:AV337)</f>
      </c>
      <c r="AS337" s="143"/>
      <c r="AT337" s="143"/>
      <c r="AU337" s="143"/>
      <c r="AV337" s="143"/>
      <c r="AW337" s="142">
        <f>SUM(AX337:BI337)</f>
      </c>
      <c r="AX337" s="143"/>
      <c r="AY337" s="143"/>
      <c r="AZ337" s="143"/>
      <c r="BA337" s="143"/>
      <c r="BB337" s="143"/>
      <c r="BC337" s="143"/>
      <c r="BD337" s="143"/>
      <c r="BE337" s="143"/>
      <c r="BF337" s="143"/>
      <c r="BG337" s="143"/>
      <c r="BH337" s="143"/>
      <c r="BI337" s="143"/>
      <c r="BJ337" s="142"/>
      <c r="BK337" s="143"/>
      <c r="BL337" s="143"/>
      <c r="BM337" s="143"/>
      <c r="BN337" s="143"/>
      <c r="BO337" s="143"/>
      <c r="BP337" s="143"/>
      <c r="BQ337" s="142"/>
      <c r="BR337" s="143"/>
      <c r="BS337" s="143"/>
      <c r="BT337" s="142">
        <f>SUM(BU337:BW337)</f>
      </c>
      <c r="BU337" s="143"/>
      <c r="BV337" s="143"/>
      <c r="BW337" s="143"/>
      <c r="BX337" s="142">
        <f>SUM(BY337:CD337)</f>
      </c>
      <c r="BY337" s="143"/>
      <c r="BZ337" s="143"/>
      <c r="CA337" s="143"/>
      <c r="CB337" s="143"/>
      <c r="CC337" s="143"/>
      <c r="CD337" s="143"/>
      <c r="CE337" s="142"/>
      <c r="CF337" s="143"/>
      <c r="CG337" s="143"/>
      <c r="CH337" s="143"/>
      <c r="CI337" s="143"/>
      <c r="CJ337" s="143"/>
      <c r="CK337" s="142">
        <f>SUM(CL337:CN337)</f>
      </c>
      <c r="CL337" s="143"/>
      <c r="CM337" s="143"/>
      <c r="CN337" s="143"/>
      <c r="CO337" s="142">
        <f>SUM(CP337:CT337)</f>
      </c>
      <c r="CP337" s="143"/>
      <c r="CQ337" s="143"/>
      <c r="CR337" s="143"/>
      <c r="CS337" s="143"/>
      <c r="CT337" s="143"/>
      <c r="CU337" s="142"/>
      <c r="CV337" s="143"/>
      <c r="CW337" s="143"/>
      <c r="CX337" s="143"/>
      <c r="CY337" s="142"/>
      <c r="CZ337" s="143"/>
      <c r="DA337" s="143"/>
      <c r="DB337" s="143"/>
      <c r="DC337" s="143"/>
      <c r="DD337" s="143"/>
      <c r="DE337" s="143"/>
      <c r="DF337" s="143"/>
      <c r="DG337" s="142">
        <f>SUM(DH337:DH337)</f>
      </c>
      <c r="DH337" s="143"/>
      <c r="DI337" s="142"/>
      <c r="DJ337" s="143"/>
      <c r="DK337" s="142">
        <f>SUM(DL337:DQ337)</f>
      </c>
      <c r="DL337" s="143"/>
      <c r="DM337" s="143"/>
      <c r="DN337" s="143"/>
      <c r="DO337" s="143"/>
      <c r="DP337" s="143"/>
      <c r="DQ337" s="143"/>
      <c r="DR337" s="143"/>
      <c r="DS337" s="143"/>
      <c r="DT337" s="143"/>
      <c r="DU337" s="143"/>
      <c r="DV337" s="143"/>
      <c r="DW337" s="143"/>
      <c r="DX337" s="142"/>
      <c r="DY337" s="143"/>
      <c r="DZ337" s="142"/>
      <c r="EA337" s="143"/>
      <c r="EB337" s="143"/>
      <c r="EC337" s="142"/>
      <c r="ED337" s="143"/>
      <c r="EF337" s="143"/>
      <c r="EG337" s="142">
        <f>SUM(EH337:EQ337)</f>
      </c>
      <c r="EH337" s="143"/>
      <c r="EI337" s="143"/>
      <c r="EJ337" s="143"/>
      <c r="EK337" s="143"/>
      <c r="EL337" s="143"/>
      <c r="EM337" s="143"/>
      <c r="EN337" s="143"/>
      <c r="EO337" s="143"/>
      <c r="EP337" s="143"/>
      <c r="EQ337" s="143"/>
      <c r="ER337" s="142">
        <f>SUM(ES337:ET337)</f>
      </c>
      <c r="ES337" s="143"/>
      <c r="ET337" s="143"/>
      <c r="EU337" s="144"/>
      <c r="FB337" s="146"/>
      <c r="FC337" s="146" cm="1">
        <f t="array" ref="FC337">ROW()-ROW(New[#Headers])</f>
        <v>331</v>
      </c>
    </row>
    <row r="338" spans="2:159" s="139" customFormat="1" ht="10.5" x14ac:dyDescent="0.2">
      <c r="B338" s="133"/>
      <c r="C338" s="133"/>
      <c r="E338" s="133"/>
      <c r="H338" s="133"/>
      <c r="N338" s="140"/>
      <c r="O338" s="140"/>
      <c r="P338" s="141"/>
      <c r="Q338" s="142">
        <f>SUM(R338:AQ338)</f>
      </c>
      <c r="R338" s="143"/>
      <c r="S338" s="143"/>
      <c r="T338" s="143"/>
      <c r="U338" s="143"/>
      <c r="V338" s="143"/>
      <c r="W338" s="143"/>
      <c r="X338" s="143"/>
      <c r="Y338" s="143"/>
      <c r="Z338" s="143"/>
      <c r="AA338" s="143"/>
      <c r="AB338" s="143"/>
      <c r="AC338" s="143"/>
      <c r="AD338" s="143"/>
      <c r="AE338" s="143"/>
      <c r="AF338" s="143"/>
      <c r="AG338" s="143"/>
      <c r="AH338" s="143"/>
      <c r="AI338" s="143"/>
      <c r="AJ338" s="143"/>
      <c r="AK338" s="143"/>
      <c r="AL338" s="143"/>
      <c r="AM338" s="143"/>
      <c r="AN338" s="143"/>
      <c r="AO338" s="143"/>
      <c r="AP338" s="143"/>
      <c r="AQ338" s="143"/>
      <c r="AR338" s="142">
        <f>SUM(AS338:AV338)</f>
      </c>
      <c r="AS338" s="143"/>
      <c r="AT338" s="143"/>
      <c r="AU338" s="143"/>
      <c r="AV338" s="143"/>
      <c r="AW338" s="142">
        <f>SUM(AX338:BI338)</f>
      </c>
      <c r="AX338" s="143"/>
      <c r="AY338" s="143"/>
      <c r="AZ338" s="143"/>
      <c r="BA338" s="143"/>
      <c r="BB338" s="143"/>
      <c r="BC338" s="143"/>
      <c r="BD338" s="143"/>
      <c r="BE338" s="143"/>
      <c r="BF338" s="143"/>
      <c r="BG338" s="143"/>
      <c r="BH338" s="143"/>
      <c r="BI338" s="143"/>
      <c r="BJ338" s="142"/>
      <c r="BK338" s="143"/>
      <c r="BL338" s="143"/>
      <c r="BM338" s="143"/>
      <c r="BN338" s="143"/>
      <c r="BO338" s="143"/>
      <c r="BP338" s="143"/>
      <c r="BQ338" s="142"/>
      <c r="BR338" s="143"/>
      <c r="BS338" s="143"/>
      <c r="BT338" s="142">
        <f>SUM(BU338:BW338)</f>
      </c>
      <c r="BU338" s="143"/>
      <c r="BV338" s="143"/>
      <c r="BW338" s="143"/>
      <c r="BX338" s="142">
        <f>SUM(BY338:CD338)</f>
      </c>
      <c r="BY338" s="143"/>
      <c r="BZ338" s="143"/>
      <c r="CA338" s="143"/>
      <c r="CB338" s="143"/>
      <c r="CC338" s="143"/>
      <c r="CD338" s="143"/>
      <c r="CE338" s="142"/>
      <c r="CF338" s="143"/>
      <c r="CG338" s="143"/>
      <c r="CH338" s="143"/>
      <c r="CI338" s="143"/>
      <c r="CJ338" s="143"/>
      <c r="CK338" s="142">
        <f>SUM(CL338:CN338)</f>
      </c>
      <c r="CL338" s="143"/>
      <c r="CM338" s="143"/>
      <c r="CN338" s="143"/>
      <c r="CO338" s="142">
        <f>SUM(CP338:CT338)</f>
      </c>
      <c r="CP338" s="143"/>
      <c r="CQ338" s="143"/>
      <c r="CR338" s="143"/>
      <c r="CS338" s="143"/>
      <c r="CT338" s="143"/>
      <c r="CU338" s="142"/>
      <c r="CV338" s="143"/>
      <c r="CW338" s="143"/>
      <c r="CX338" s="143"/>
      <c r="CY338" s="142"/>
      <c r="CZ338" s="143"/>
      <c r="DA338" s="143"/>
      <c r="DB338" s="143"/>
      <c r="DC338" s="143"/>
      <c r="DD338" s="143"/>
      <c r="DE338" s="143"/>
      <c r="DF338" s="143"/>
      <c r="DG338" s="142">
        <f>SUM(DH338:DH338)</f>
      </c>
      <c r="DH338" s="143"/>
      <c r="DI338" s="142"/>
      <c r="DJ338" s="143"/>
      <c r="DK338" s="142">
        <f>SUM(DL338:DQ338)</f>
      </c>
      <c r="DL338" s="143"/>
      <c r="DM338" s="143"/>
      <c r="DN338" s="143"/>
      <c r="DO338" s="143"/>
      <c r="DP338" s="143"/>
      <c r="DQ338" s="143"/>
      <c r="DR338" s="143"/>
      <c r="DS338" s="143"/>
      <c r="DT338" s="143"/>
      <c r="DU338" s="143"/>
      <c r="DV338" s="143"/>
      <c r="DW338" s="143"/>
      <c r="DX338" s="142"/>
      <c r="DY338" s="143"/>
      <c r="DZ338" s="142"/>
      <c r="EA338" s="143"/>
      <c r="EB338" s="143"/>
      <c r="EC338" s="142"/>
      <c r="ED338" s="143"/>
      <c r="EF338" s="143"/>
      <c r="EG338" s="142">
        <f>SUM(EH338:EQ338)</f>
      </c>
      <c r="EH338" s="143"/>
      <c r="EI338" s="143"/>
      <c r="EJ338" s="143"/>
      <c r="EK338" s="143"/>
      <c r="EL338" s="143"/>
      <c r="EM338" s="143"/>
      <c r="EN338" s="143"/>
      <c r="EO338" s="143"/>
      <c r="EP338" s="143"/>
      <c r="EQ338" s="143"/>
      <c r="ER338" s="142">
        <f>SUM(ES338:ET338)</f>
      </c>
      <c r="ES338" s="143"/>
      <c r="ET338" s="143"/>
      <c r="EU338" s="144"/>
      <c r="FB338" s="146"/>
      <c r="FC338" s="146" cm="1">
        <f t="array" ref="FC338">ROW()-ROW(New[#Headers])</f>
        <v>332</v>
      </c>
    </row>
    <row r="339" spans="2:159" s="139" customFormat="1" ht="10.5" x14ac:dyDescent="0.2">
      <c r="B339" s="133"/>
      <c r="C339" s="133"/>
      <c r="E339" s="133"/>
      <c r="H339" s="133"/>
      <c r="N339" s="140"/>
      <c r="O339" s="140"/>
      <c r="P339" s="141"/>
      <c r="Q339" s="142">
        <f>SUM(R339:AQ339)</f>
      </c>
      <c r="R339" s="143"/>
      <c r="S339" s="143"/>
      <c r="T339" s="143"/>
      <c r="U339" s="143"/>
      <c r="V339" s="143"/>
      <c r="W339" s="143"/>
      <c r="X339" s="143"/>
      <c r="Y339" s="143"/>
      <c r="Z339" s="143"/>
      <c r="AA339" s="143"/>
      <c r="AB339" s="143"/>
      <c r="AC339" s="143"/>
      <c r="AD339" s="143"/>
      <c r="AE339" s="143"/>
      <c r="AF339" s="143"/>
      <c r="AG339" s="143"/>
      <c r="AH339" s="143"/>
      <c r="AI339" s="143"/>
      <c r="AJ339" s="143"/>
      <c r="AK339" s="143"/>
      <c r="AL339" s="143"/>
      <c r="AM339" s="143"/>
      <c r="AN339" s="143"/>
      <c r="AO339" s="143"/>
      <c r="AP339" s="143"/>
      <c r="AQ339" s="143"/>
      <c r="AR339" s="142">
        <f>SUM(AS339:AV339)</f>
      </c>
      <c r="AS339" s="143"/>
      <c r="AT339" s="143"/>
      <c r="AU339" s="143"/>
      <c r="AV339" s="143"/>
      <c r="AW339" s="142">
        <f>SUM(AX339:BI339)</f>
      </c>
      <c r="AX339" s="143"/>
      <c r="AY339" s="143"/>
      <c r="AZ339" s="143"/>
      <c r="BA339" s="143"/>
      <c r="BB339" s="143"/>
      <c r="BC339" s="143"/>
      <c r="BD339" s="143"/>
      <c r="BE339" s="143"/>
      <c r="BF339" s="143"/>
      <c r="BG339" s="143"/>
      <c r="BH339" s="143"/>
      <c r="BI339" s="143"/>
      <c r="BJ339" s="142"/>
      <c r="BK339" s="143"/>
      <c r="BL339" s="143"/>
      <c r="BM339" s="143"/>
      <c r="BN339" s="143"/>
      <c r="BO339" s="143"/>
      <c r="BP339" s="143"/>
      <c r="BQ339" s="142"/>
      <c r="BR339" s="143"/>
      <c r="BS339" s="143"/>
      <c r="BT339" s="142">
        <f>SUM(BU339:BW339)</f>
      </c>
      <c r="BU339" s="143"/>
      <c r="BV339" s="143"/>
      <c r="BW339" s="143"/>
      <c r="BX339" s="142">
        <f>SUM(BY339:CD339)</f>
      </c>
      <c r="BY339" s="143"/>
      <c r="BZ339" s="143"/>
      <c r="CA339" s="143"/>
      <c r="CB339" s="143"/>
      <c r="CC339" s="143"/>
      <c r="CD339" s="143"/>
      <c r="CE339" s="142"/>
      <c r="CF339" s="143"/>
      <c r="CG339" s="143"/>
      <c r="CH339" s="143"/>
      <c r="CI339" s="143"/>
      <c r="CJ339" s="143"/>
      <c r="CK339" s="142">
        <f>SUM(CL339:CN339)</f>
      </c>
      <c r="CL339" s="143"/>
      <c r="CM339" s="143"/>
      <c r="CN339" s="143"/>
      <c r="CO339" s="142">
        <f>SUM(CP339:CT339)</f>
      </c>
      <c r="CP339" s="143"/>
      <c r="CQ339" s="143"/>
      <c r="CR339" s="143"/>
      <c r="CS339" s="143"/>
      <c r="CT339" s="143"/>
      <c r="CU339" s="142"/>
      <c r="CV339" s="143"/>
      <c r="CW339" s="143"/>
      <c r="CX339" s="143"/>
      <c r="CY339" s="142"/>
      <c r="CZ339" s="143"/>
      <c r="DA339" s="143"/>
      <c r="DB339" s="143"/>
      <c r="DC339" s="143"/>
      <c r="DD339" s="143"/>
      <c r="DE339" s="143"/>
      <c r="DF339" s="143"/>
      <c r="DG339" s="142">
        <f>SUM(DH339:DH339)</f>
      </c>
      <c r="DH339" s="143"/>
      <c r="DI339" s="142"/>
      <c r="DJ339" s="143"/>
      <c r="DK339" s="142">
        <f>SUM(DL339:DQ339)</f>
      </c>
      <c r="DL339" s="143"/>
      <c r="DM339" s="143"/>
      <c r="DN339" s="143"/>
      <c r="DO339" s="143"/>
      <c r="DP339" s="143"/>
      <c r="DQ339" s="143"/>
      <c r="DR339" s="143"/>
      <c r="DS339" s="143"/>
      <c r="DT339" s="143"/>
      <c r="DU339" s="143"/>
      <c r="DV339" s="143"/>
      <c r="DW339" s="143"/>
      <c r="DX339" s="142"/>
      <c r="DY339" s="143"/>
      <c r="DZ339" s="142"/>
      <c r="EA339" s="143"/>
      <c r="EB339" s="143"/>
      <c r="EC339" s="142"/>
      <c r="ED339" s="143"/>
      <c r="EF339" s="143"/>
      <c r="EG339" s="142">
        <f>SUM(EH339:EQ339)</f>
      </c>
      <c r="EH339" s="143"/>
      <c r="EI339" s="143"/>
      <c r="EJ339" s="143"/>
      <c r="EK339" s="143"/>
      <c r="EL339" s="143"/>
      <c r="EM339" s="143"/>
      <c r="EN339" s="143"/>
      <c r="EO339" s="143"/>
      <c r="EP339" s="143"/>
      <c r="EQ339" s="143"/>
      <c r="ER339" s="142">
        <f>SUM(ES339:ET339)</f>
      </c>
      <c r="ES339" s="143"/>
      <c r="ET339" s="143"/>
      <c r="EU339" s="144"/>
      <c r="FB339" s="146"/>
      <c r="FC339" s="146" cm="1">
        <f t="array" ref="FC339">ROW()-ROW(New[#Headers])</f>
        <v>333</v>
      </c>
    </row>
    <row r="340" spans="2:159" s="139" customFormat="1" ht="10.5" x14ac:dyDescent="0.2">
      <c r="B340" s="133"/>
      <c r="C340" s="133"/>
      <c r="E340" s="133"/>
      <c r="H340" s="133"/>
      <c r="N340" s="140"/>
      <c r="O340" s="140"/>
      <c r="P340" s="141"/>
      <c r="Q340" s="142">
        <f>SUM(R340:AQ340)</f>
      </c>
      <c r="R340" s="143"/>
      <c r="S340" s="143"/>
      <c r="T340" s="143"/>
      <c r="U340" s="143"/>
      <c r="V340" s="143"/>
      <c r="W340" s="143"/>
      <c r="X340" s="143"/>
      <c r="Y340" s="143"/>
      <c r="Z340" s="143"/>
      <c r="AA340" s="143"/>
      <c r="AB340" s="143"/>
      <c r="AC340" s="143"/>
      <c r="AD340" s="143"/>
      <c r="AE340" s="143"/>
      <c r="AF340" s="143"/>
      <c r="AG340" s="143"/>
      <c r="AH340" s="143"/>
      <c r="AI340" s="143"/>
      <c r="AJ340" s="143"/>
      <c r="AK340" s="143"/>
      <c r="AL340" s="143"/>
      <c r="AM340" s="143"/>
      <c r="AN340" s="143"/>
      <c r="AO340" s="143"/>
      <c r="AP340" s="143"/>
      <c r="AQ340" s="143"/>
      <c r="AR340" s="142">
        <f>SUM(AS340:AV340)</f>
      </c>
      <c r="AS340" s="143"/>
      <c r="AT340" s="143"/>
      <c r="AU340" s="143"/>
      <c r="AV340" s="143"/>
      <c r="AW340" s="142">
        <f>SUM(AX340:BI340)</f>
      </c>
      <c r="AX340" s="143"/>
      <c r="AY340" s="143"/>
      <c r="AZ340" s="143"/>
      <c r="BA340" s="143"/>
      <c r="BB340" s="143"/>
      <c r="BC340" s="143"/>
      <c r="BD340" s="143"/>
      <c r="BE340" s="143"/>
      <c r="BF340" s="143"/>
      <c r="BG340" s="143"/>
      <c r="BH340" s="143"/>
      <c r="BI340" s="143"/>
      <c r="BJ340" s="142"/>
      <c r="BK340" s="143"/>
      <c r="BL340" s="143"/>
      <c r="BM340" s="143"/>
      <c r="BN340" s="143"/>
      <c r="BO340" s="143"/>
      <c r="BP340" s="143"/>
      <c r="BQ340" s="142"/>
      <c r="BR340" s="143"/>
      <c r="BS340" s="143"/>
      <c r="BT340" s="142">
        <f>SUM(BU340:BW340)</f>
      </c>
      <c r="BU340" s="143"/>
      <c r="BV340" s="143"/>
      <c r="BW340" s="143"/>
      <c r="BX340" s="142">
        <f>SUM(BY340:CD340)</f>
      </c>
      <c r="BY340" s="143"/>
      <c r="BZ340" s="143"/>
      <c r="CA340" s="143"/>
      <c r="CB340" s="143"/>
      <c r="CC340" s="143"/>
      <c r="CD340" s="143"/>
      <c r="CE340" s="142"/>
      <c r="CF340" s="143"/>
      <c r="CG340" s="143"/>
      <c r="CH340" s="143"/>
      <c r="CI340" s="143"/>
      <c r="CJ340" s="143"/>
      <c r="CK340" s="142">
        <f>SUM(CL340:CN340)</f>
      </c>
      <c r="CL340" s="143"/>
      <c r="CM340" s="143"/>
      <c r="CN340" s="143"/>
      <c r="CO340" s="142">
        <f>SUM(CP340:CT340)</f>
      </c>
      <c r="CP340" s="143"/>
      <c r="CQ340" s="143"/>
      <c r="CR340" s="143"/>
      <c r="CS340" s="143"/>
      <c r="CT340" s="143"/>
      <c r="CU340" s="142"/>
      <c r="CV340" s="143"/>
      <c r="CW340" s="143"/>
      <c r="CX340" s="143"/>
      <c r="CY340" s="142"/>
      <c r="CZ340" s="143"/>
      <c r="DA340" s="143"/>
      <c r="DB340" s="143"/>
      <c r="DC340" s="143"/>
      <c r="DD340" s="143"/>
      <c r="DE340" s="143"/>
      <c r="DF340" s="143"/>
      <c r="DG340" s="142">
        <f>SUM(DH340:DH340)</f>
      </c>
      <c r="DH340" s="143"/>
      <c r="DI340" s="142"/>
      <c r="DJ340" s="143"/>
      <c r="DK340" s="142">
        <f>SUM(DL340:DQ340)</f>
      </c>
      <c r="DL340" s="143"/>
      <c r="DM340" s="143"/>
      <c r="DN340" s="143"/>
      <c r="DO340" s="143"/>
      <c r="DP340" s="143"/>
      <c r="DQ340" s="143"/>
      <c r="DR340" s="143"/>
      <c r="DS340" s="143"/>
      <c r="DT340" s="143"/>
      <c r="DU340" s="143"/>
      <c r="DV340" s="143"/>
      <c r="DW340" s="143"/>
      <c r="DX340" s="142"/>
      <c r="DY340" s="143"/>
      <c r="DZ340" s="142"/>
      <c r="EA340" s="143"/>
      <c r="EB340" s="143"/>
      <c r="EC340" s="142"/>
      <c r="ED340" s="143"/>
      <c r="EF340" s="143"/>
      <c r="EG340" s="142">
        <f>SUM(EH340:EQ340)</f>
      </c>
      <c r="EH340" s="143"/>
      <c r="EI340" s="143"/>
      <c r="EJ340" s="143"/>
      <c r="EK340" s="143"/>
      <c r="EL340" s="143"/>
      <c r="EM340" s="143"/>
      <c r="EN340" s="143"/>
      <c r="EO340" s="143"/>
      <c r="EP340" s="143"/>
      <c r="EQ340" s="143"/>
      <c r="ER340" s="142">
        <f>SUM(ES340:ET340)</f>
      </c>
      <c r="ES340" s="143"/>
      <c r="ET340" s="143"/>
      <c r="EU340" s="144"/>
      <c r="FB340" s="146"/>
      <c r="FC340" s="146" cm="1">
        <f t="array" ref="FC340">ROW()-ROW(New[#Headers])</f>
        <v>334</v>
      </c>
    </row>
    <row r="341" spans="2:159" s="139" customFormat="1" ht="10.5" x14ac:dyDescent="0.2">
      <c r="B341" s="133"/>
      <c r="C341" s="133"/>
      <c r="E341" s="133"/>
      <c r="H341" s="133"/>
      <c r="N341" s="140"/>
      <c r="O341" s="140"/>
      <c r="P341" s="141"/>
      <c r="Q341" s="142">
        <f>SUM(R341:AQ341)</f>
      </c>
      <c r="R341" s="143"/>
      <c r="S341" s="143"/>
      <c r="T341" s="143"/>
      <c r="U341" s="143"/>
      <c r="V341" s="143"/>
      <c r="W341" s="143"/>
      <c r="X341" s="143"/>
      <c r="Y341" s="143"/>
      <c r="Z341" s="143"/>
      <c r="AA341" s="143"/>
      <c r="AB341" s="143"/>
      <c r="AC341" s="143"/>
      <c r="AD341" s="143"/>
      <c r="AE341" s="143"/>
      <c r="AF341" s="143"/>
      <c r="AG341" s="143"/>
      <c r="AH341" s="143"/>
      <c r="AI341" s="143"/>
      <c r="AJ341" s="143"/>
      <c r="AK341" s="143"/>
      <c r="AL341" s="143"/>
      <c r="AM341" s="143"/>
      <c r="AN341" s="143"/>
      <c r="AO341" s="143"/>
      <c r="AP341" s="143"/>
      <c r="AQ341" s="143"/>
      <c r="AR341" s="142">
        <f>SUM(AS341:AV341)</f>
      </c>
      <c r="AS341" s="143"/>
      <c r="AT341" s="143"/>
      <c r="AU341" s="143"/>
      <c r="AV341" s="143"/>
      <c r="AW341" s="142">
        <f>SUM(AX341:BI341)</f>
      </c>
      <c r="AX341" s="143"/>
      <c r="AY341" s="143"/>
      <c r="AZ341" s="143"/>
      <c r="BA341" s="143"/>
      <c r="BB341" s="143"/>
      <c r="BC341" s="143"/>
      <c r="BD341" s="143"/>
      <c r="BE341" s="143"/>
      <c r="BF341" s="143"/>
      <c r="BG341" s="143"/>
      <c r="BH341" s="143"/>
      <c r="BI341" s="143"/>
      <c r="BJ341" s="142"/>
      <c r="BK341" s="143"/>
      <c r="BL341" s="143"/>
      <c r="BM341" s="143"/>
      <c r="BN341" s="143"/>
      <c r="BO341" s="143"/>
      <c r="BP341" s="143"/>
      <c r="BQ341" s="142"/>
      <c r="BR341" s="143"/>
      <c r="BS341" s="143"/>
      <c r="BT341" s="142">
        <f>SUM(BU341:BW341)</f>
      </c>
      <c r="BU341" s="143"/>
      <c r="BV341" s="143"/>
      <c r="BW341" s="143"/>
      <c r="BX341" s="142">
        <f>SUM(BY341:CD341)</f>
      </c>
      <c r="BY341" s="143"/>
      <c r="BZ341" s="143"/>
      <c r="CA341" s="143"/>
      <c r="CB341" s="143"/>
      <c r="CC341" s="143"/>
      <c r="CD341" s="143"/>
      <c r="CE341" s="142"/>
      <c r="CF341" s="143"/>
      <c r="CG341" s="143"/>
      <c r="CH341" s="143"/>
      <c r="CI341" s="143"/>
      <c r="CJ341" s="143"/>
      <c r="CK341" s="142">
        <f>SUM(CL341:CN341)</f>
      </c>
      <c r="CL341" s="143"/>
      <c r="CM341" s="143"/>
      <c r="CN341" s="143"/>
      <c r="CO341" s="142">
        <f>SUM(CP341:CT341)</f>
      </c>
      <c r="CP341" s="143"/>
      <c r="CQ341" s="143"/>
      <c r="CR341" s="143"/>
      <c r="CS341" s="143"/>
      <c r="CT341" s="143"/>
      <c r="CU341" s="142"/>
      <c r="CV341" s="143"/>
      <c r="CW341" s="143"/>
      <c r="CX341" s="143"/>
      <c r="CY341" s="142"/>
      <c r="CZ341" s="143"/>
      <c r="DA341" s="143"/>
      <c r="DB341" s="143"/>
      <c r="DC341" s="143"/>
      <c r="DD341" s="143"/>
      <c r="DE341" s="143"/>
      <c r="DF341" s="143"/>
      <c r="DG341" s="142">
        <f>SUM(DH341:DH341)</f>
      </c>
      <c r="DH341" s="143"/>
      <c r="DI341" s="142"/>
      <c r="DJ341" s="143"/>
      <c r="DK341" s="142">
        <f>SUM(DL341:DQ341)</f>
      </c>
      <c r="DL341" s="143"/>
      <c r="DM341" s="143"/>
      <c r="DN341" s="143"/>
      <c r="DO341" s="143"/>
      <c r="DP341" s="143"/>
      <c r="DQ341" s="143"/>
      <c r="DR341" s="143"/>
      <c r="DS341" s="143"/>
      <c r="DT341" s="143"/>
      <c r="DU341" s="143"/>
      <c r="DV341" s="143"/>
      <c r="DW341" s="143"/>
      <c r="DX341" s="142"/>
      <c r="DY341" s="143"/>
      <c r="DZ341" s="142"/>
      <c r="EA341" s="143"/>
      <c r="EB341" s="143"/>
      <c r="EC341" s="142"/>
      <c r="ED341" s="143"/>
      <c r="EF341" s="143"/>
      <c r="EG341" s="142">
        <f>SUM(EH341:EQ341)</f>
      </c>
      <c r="EH341" s="143"/>
      <c r="EI341" s="143"/>
      <c r="EJ341" s="143"/>
      <c r="EK341" s="143"/>
      <c r="EL341" s="143"/>
      <c r="EM341" s="143"/>
      <c r="EN341" s="143"/>
      <c r="EO341" s="143"/>
      <c r="EP341" s="143"/>
      <c r="EQ341" s="143"/>
      <c r="ER341" s="142">
        <f>SUM(ES341:ET341)</f>
      </c>
      <c r="ES341" s="143"/>
      <c r="ET341" s="143"/>
      <c r="EU341" s="144"/>
      <c r="FB341" s="146"/>
      <c r="FC341" s="146" cm="1">
        <f t="array" ref="FC341">ROW()-ROW(New[#Headers])</f>
        <v>335</v>
      </c>
    </row>
    <row r="342" spans="2:159" s="139" customFormat="1" ht="10.5" x14ac:dyDescent="0.2">
      <c r="B342" s="133"/>
      <c r="C342" s="133"/>
      <c r="E342" s="133"/>
      <c r="H342" s="133"/>
      <c r="N342" s="140"/>
      <c r="O342" s="140"/>
      <c r="P342" s="141"/>
      <c r="Q342" s="142">
        <f>SUM(R342:AQ342)</f>
      </c>
      <c r="R342" s="143"/>
      <c r="S342" s="143"/>
      <c r="T342" s="143"/>
      <c r="U342" s="143"/>
      <c r="V342" s="143"/>
      <c r="W342" s="143"/>
      <c r="X342" s="143"/>
      <c r="Y342" s="143"/>
      <c r="Z342" s="143"/>
      <c r="AA342" s="143"/>
      <c r="AB342" s="143"/>
      <c r="AC342" s="143"/>
      <c r="AD342" s="143"/>
      <c r="AE342" s="143"/>
      <c r="AF342" s="143"/>
      <c r="AG342" s="143"/>
      <c r="AH342" s="143"/>
      <c r="AI342" s="143"/>
      <c r="AJ342" s="143"/>
      <c r="AK342" s="143"/>
      <c r="AL342" s="143"/>
      <c r="AM342" s="143"/>
      <c r="AN342" s="143"/>
      <c r="AO342" s="143"/>
      <c r="AP342" s="143"/>
      <c r="AQ342" s="143"/>
      <c r="AR342" s="142">
        <f>SUM(AS342:AV342)</f>
      </c>
      <c r="AS342" s="143"/>
      <c r="AT342" s="143"/>
      <c r="AU342" s="143"/>
      <c r="AV342" s="143"/>
      <c r="AW342" s="142">
        <f>SUM(AX342:BI342)</f>
      </c>
      <c r="AX342" s="143"/>
      <c r="AY342" s="143"/>
      <c r="AZ342" s="143"/>
      <c r="BA342" s="143"/>
      <c r="BB342" s="143"/>
      <c r="BC342" s="143"/>
      <c r="BD342" s="143"/>
      <c r="BE342" s="143"/>
      <c r="BF342" s="143"/>
      <c r="BG342" s="143"/>
      <c r="BH342" s="143"/>
      <c r="BI342" s="143"/>
      <c r="BJ342" s="142"/>
      <c r="BK342" s="143"/>
      <c r="BL342" s="143"/>
      <c r="BM342" s="143"/>
      <c r="BN342" s="143"/>
      <c r="BO342" s="143"/>
      <c r="BP342" s="143"/>
      <c r="BQ342" s="142"/>
      <c r="BR342" s="143"/>
      <c r="BS342" s="143"/>
      <c r="BT342" s="142">
        <f>SUM(BU342:BW342)</f>
      </c>
      <c r="BU342" s="143"/>
      <c r="BV342" s="143"/>
      <c r="BW342" s="143"/>
      <c r="BX342" s="142">
        <f>SUM(BY342:CD342)</f>
      </c>
      <c r="BY342" s="143"/>
      <c r="BZ342" s="143"/>
      <c r="CA342" s="143"/>
      <c r="CB342" s="143"/>
      <c r="CC342" s="143"/>
      <c r="CD342" s="143"/>
      <c r="CE342" s="142"/>
      <c r="CF342" s="143"/>
      <c r="CG342" s="143"/>
      <c r="CH342" s="143"/>
      <c r="CI342" s="143"/>
      <c r="CJ342" s="143"/>
      <c r="CK342" s="142">
        <f>SUM(CL342:CN342)</f>
      </c>
      <c r="CL342" s="143"/>
      <c r="CM342" s="143"/>
      <c r="CN342" s="143"/>
      <c r="CO342" s="142">
        <f>SUM(CP342:CT342)</f>
      </c>
      <c r="CP342" s="143"/>
      <c r="CQ342" s="143"/>
      <c r="CR342" s="143"/>
      <c r="CS342" s="143"/>
      <c r="CT342" s="143"/>
      <c r="CU342" s="142"/>
      <c r="CV342" s="143"/>
      <c r="CW342" s="143"/>
      <c r="CX342" s="143"/>
      <c r="CY342" s="142"/>
      <c r="CZ342" s="143"/>
      <c r="DA342" s="143"/>
      <c r="DB342" s="143"/>
      <c r="DC342" s="143"/>
      <c r="DD342" s="143"/>
      <c r="DE342" s="143"/>
      <c r="DF342" s="143"/>
      <c r="DG342" s="142">
        <f>SUM(DH342:DH342)</f>
      </c>
      <c r="DH342" s="143"/>
      <c r="DI342" s="142"/>
      <c r="DJ342" s="143"/>
      <c r="DK342" s="142">
        <f>SUM(DL342:DQ342)</f>
      </c>
      <c r="DL342" s="143"/>
      <c r="DM342" s="143"/>
      <c r="DN342" s="143"/>
      <c r="DO342" s="143"/>
      <c r="DP342" s="143"/>
      <c r="DQ342" s="143"/>
      <c r="DR342" s="143"/>
      <c r="DS342" s="143"/>
      <c r="DT342" s="143"/>
      <c r="DU342" s="143"/>
      <c r="DV342" s="143"/>
      <c r="DW342" s="143"/>
      <c r="DX342" s="142"/>
      <c r="DY342" s="143"/>
      <c r="DZ342" s="142"/>
      <c r="EA342" s="143"/>
      <c r="EB342" s="143"/>
      <c r="EC342" s="142"/>
      <c r="ED342" s="143"/>
      <c r="EF342" s="143"/>
      <c r="EG342" s="142">
        <f>SUM(EH342:EQ342)</f>
      </c>
      <c r="EH342" s="143"/>
      <c r="EI342" s="143"/>
      <c r="EJ342" s="143"/>
      <c r="EK342" s="143"/>
      <c r="EL342" s="143"/>
      <c r="EM342" s="143"/>
      <c r="EN342" s="143"/>
      <c r="EO342" s="143"/>
      <c r="EP342" s="143"/>
      <c r="EQ342" s="143"/>
      <c r="ER342" s="142">
        <f>SUM(ES342:ET342)</f>
      </c>
      <c r="ES342" s="143"/>
      <c r="ET342" s="143"/>
      <c r="EU342" s="144"/>
      <c r="FB342" s="146"/>
      <c r="FC342" s="146" cm="1">
        <f t="array" ref="FC342">ROW()-ROW(New[#Headers])</f>
        <v>336</v>
      </c>
    </row>
    <row r="343" spans="2:159" s="139" customFormat="1" ht="10.5" x14ac:dyDescent="0.2">
      <c r="B343" s="133"/>
      <c r="C343" s="133"/>
      <c r="E343" s="133"/>
      <c r="H343" s="133"/>
      <c r="N343" s="140"/>
      <c r="O343" s="140"/>
      <c r="P343" s="141"/>
      <c r="Q343" s="142">
        <f>SUM(R343:AQ343)</f>
      </c>
      <c r="R343" s="143"/>
      <c r="S343" s="143"/>
      <c r="T343" s="143"/>
      <c r="U343" s="143"/>
      <c r="V343" s="143"/>
      <c r="W343" s="143"/>
      <c r="X343" s="143"/>
      <c r="Y343" s="143"/>
      <c r="Z343" s="143"/>
      <c r="AA343" s="143"/>
      <c r="AB343" s="143"/>
      <c r="AC343" s="143"/>
      <c r="AD343" s="143"/>
      <c r="AE343" s="143"/>
      <c r="AF343" s="143"/>
      <c r="AG343" s="143"/>
      <c r="AH343" s="143"/>
      <c r="AI343" s="143"/>
      <c r="AJ343" s="143"/>
      <c r="AK343" s="143"/>
      <c r="AL343" s="143"/>
      <c r="AM343" s="143"/>
      <c r="AN343" s="143"/>
      <c r="AO343" s="143"/>
      <c r="AP343" s="143"/>
      <c r="AQ343" s="143"/>
      <c r="AR343" s="142">
        <f>SUM(AS343:AV343)</f>
      </c>
      <c r="AS343" s="143"/>
      <c r="AT343" s="143"/>
      <c r="AU343" s="143"/>
      <c r="AV343" s="143"/>
      <c r="AW343" s="142">
        <f>SUM(AX343:BI343)</f>
      </c>
      <c r="AX343" s="143"/>
      <c r="AY343" s="143"/>
      <c r="AZ343" s="143"/>
      <c r="BA343" s="143"/>
      <c r="BB343" s="143"/>
      <c r="BC343" s="143"/>
      <c r="BD343" s="143"/>
      <c r="BE343" s="143"/>
      <c r="BF343" s="143"/>
      <c r="BG343" s="143"/>
      <c r="BH343" s="143"/>
      <c r="BI343" s="143"/>
      <c r="BJ343" s="142"/>
      <c r="BK343" s="143"/>
      <c r="BL343" s="143"/>
      <c r="BM343" s="143"/>
      <c r="BN343" s="143"/>
      <c r="BO343" s="143"/>
      <c r="BP343" s="143"/>
      <c r="BQ343" s="142"/>
      <c r="BR343" s="143"/>
      <c r="BS343" s="143"/>
      <c r="BT343" s="142">
        <f>SUM(BU343:BW343)</f>
      </c>
      <c r="BU343" s="143"/>
      <c r="BV343" s="143"/>
      <c r="BW343" s="143"/>
      <c r="BX343" s="142">
        <f>SUM(BY343:CD343)</f>
      </c>
      <c r="BY343" s="143"/>
      <c r="BZ343" s="143"/>
      <c r="CA343" s="143"/>
      <c r="CB343" s="143"/>
      <c r="CC343" s="143"/>
      <c r="CD343" s="143"/>
      <c r="CE343" s="142"/>
      <c r="CF343" s="143"/>
      <c r="CG343" s="143"/>
      <c r="CH343" s="143"/>
      <c r="CI343" s="143"/>
      <c r="CJ343" s="143"/>
      <c r="CK343" s="142">
        <f>SUM(CL343:CN343)</f>
      </c>
      <c r="CL343" s="143"/>
      <c r="CM343" s="143"/>
      <c r="CN343" s="143"/>
      <c r="CO343" s="142">
        <f>SUM(CP343:CT343)</f>
      </c>
      <c r="CP343" s="143"/>
      <c r="CQ343" s="143"/>
      <c r="CR343" s="143"/>
      <c r="CS343" s="143"/>
      <c r="CT343" s="143"/>
      <c r="CU343" s="142"/>
      <c r="CV343" s="143"/>
      <c r="CW343" s="143"/>
      <c r="CX343" s="143"/>
      <c r="CY343" s="142"/>
      <c r="CZ343" s="143"/>
      <c r="DA343" s="143"/>
      <c r="DB343" s="143"/>
      <c r="DC343" s="143"/>
      <c r="DD343" s="143"/>
      <c r="DE343" s="143"/>
      <c r="DF343" s="143"/>
      <c r="DG343" s="142">
        <f>SUM(DH343:DH343)</f>
      </c>
      <c r="DH343" s="143"/>
      <c r="DI343" s="142"/>
      <c r="DJ343" s="143"/>
      <c r="DK343" s="142">
        <f>SUM(DL343:DQ343)</f>
      </c>
      <c r="DL343" s="143"/>
      <c r="DM343" s="143"/>
      <c r="DN343" s="143"/>
      <c r="DO343" s="143"/>
      <c r="DP343" s="143"/>
      <c r="DQ343" s="143"/>
      <c r="DR343" s="143"/>
      <c r="DS343" s="143"/>
      <c r="DT343" s="143"/>
      <c r="DU343" s="143"/>
      <c r="DV343" s="143"/>
      <c r="DW343" s="143"/>
      <c r="DX343" s="142"/>
      <c r="DY343" s="143"/>
      <c r="DZ343" s="142"/>
      <c r="EA343" s="143"/>
      <c r="EB343" s="143"/>
      <c r="EC343" s="142"/>
      <c r="ED343" s="143"/>
      <c r="EF343" s="143"/>
      <c r="EG343" s="142">
        <f>SUM(EH343:EQ343)</f>
      </c>
      <c r="EH343" s="143"/>
      <c r="EI343" s="143"/>
      <c r="EJ343" s="143"/>
      <c r="EK343" s="143"/>
      <c r="EL343" s="143"/>
      <c r="EM343" s="143"/>
      <c r="EN343" s="143"/>
      <c r="EO343" s="143"/>
      <c r="EP343" s="143"/>
      <c r="EQ343" s="143"/>
      <c r="ER343" s="142">
        <f>SUM(ES343:ET343)</f>
      </c>
      <c r="ES343" s="143"/>
      <c r="ET343" s="143"/>
      <c r="EU343" s="144"/>
      <c r="FB343" s="146"/>
      <c r="FC343" s="146" cm="1">
        <f t="array" ref="FC343">ROW()-ROW(New[#Headers])</f>
        <v>337</v>
      </c>
    </row>
    <row r="344" spans="2:159" s="139" customFormat="1" ht="10.5" x14ac:dyDescent="0.2">
      <c r="B344" s="133"/>
      <c r="C344" s="133"/>
      <c r="E344" s="133"/>
      <c r="H344" s="133"/>
      <c r="N344" s="140"/>
      <c r="O344" s="140"/>
      <c r="P344" s="141"/>
      <c r="Q344" s="142">
        <f>SUM(R344:AQ344)</f>
      </c>
      <c r="R344" s="143"/>
      <c r="S344" s="143"/>
      <c r="T344" s="143"/>
      <c r="U344" s="143"/>
      <c r="V344" s="143"/>
      <c r="W344" s="143"/>
      <c r="X344" s="143"/>
      <c r="Y344" s="143"/>
      <c r="Z344" s="143"/>
      <c r="AA344" s="143"/>
      <c r="AB344" s="143"/>
      <c r="AC344" s="143"/>
      <c r="AD344" s="143"/>
      <c r="AE344" s="143"/>
      <c r="AF344" s="143"/>
      <c r="AG344" s="143"/>
      <c r="AH344" s="143"/>
      <c r="AI344" s="143"/>
      <c r="AJ344" s="143"/>
      <c r="AK344" s="143"/>
      <c r="AL344" s="143"/>
      <c r="AM344" s="143"/>
      <c r="AN344" s="143"/>
      <c r="AO344" s="143"/>
      <c r="AP344" s="143"/>
      <c r="AQ344" s="143"/>
      <c r="AR344" s="142">
        <f>SUM(AS344:AV344)</f>
      </c>
      <c r="AS344" s="143"/>
      <c r="AT344" s="143"/>
      <c r="AU344" s="143"/>
      <c r="AV344" s="143"/>
      <c r="AW344" s="142">
        <f>SUM(AX344:BI344)</f>
      </c>
      <c r="AX344" s="143"/>
      <c r="AY344" s="143"/>
      <c r="AZ344" s="143"/>
      <c r="BA344" s="143"/>
      <c r="BB344" s="143"/>
      <c r="BC344" s="143"/>
      <c r="BD344" s="143"/>
      <c r="BE344" s="143"/>
      <c r="BF344" s="143"/>
      <c r="BG344" s="143"/>
      <c r="BH344" s="143"/>
      <c r="BI344" s="143"/>
      <c r="BJ344" s="142"/>
      <c r="BK344" s="143"/>
      <c r="BL344" s="143"/>
      <c r="BM344" s="143"/>
      <c r="BN344" s="143"/>
      <c r="BO344" s="143"/>
      <c r="BP344" s="143"/>
      <c r="BQ344" s="142"/>
      <c r="BR344" s="143"/>
      <c r="BS344" s="143"/>
      <c r="BT344" s="142">
        <f>SUM(BU344:BW344)</f>
      </c>
      <c r="BU344" s="143"/>
      <c r="BV344" s="143"/>
      <c r="BW344" s="143"/>
      <c r="BX344" s="142">
        <f>SUM(BY344:CD344)</f>
      </c>
      <c r="BY344" s="143"/>
      <c r="BZ344" s="143"/>
      <c r="CA344" s="143"/>
      <c r="CB344" s="143"/>
      <c r="CC344" s="143"/>
      <c r="CD344" s="143"/>
      <c r="CE344" s="142"/>
      <c r="CF344" s="143"/>
      <c r="CG344" s="143"/>
      <c r="CH344" s="143"/>
      <c r="CI344" s="143"/>
      <c r="CJ344" s="143"/>
      <c r="CK344" s="142">
        <f>SUM(CL344:CN344)</f>
      </c>
      <c r="CL344" s="143"/>
      <c r="CM344" s="143"/>
      <c r="CN344" s="143"/>
      <c r="CO344" s="142">
        <f>SUM(CP344:CT344)</f>
      </c>
      <c r="CP344" s="143"/>
      <c r="CQ344" s="143"/>
      <c r="CR344" s="143"/>
      <c r="CS344" s="143"/>
      <c r="CT344" s="143"/>
      <c r="CU344" s="142"/>
      <c r="CV344" s="143"/>
      <c r="CW344" s="143"/>
      <c r="CX344" s="143"/>
      <c r="CY344" s="142"/>
      <c r="CZ344" s="143"/>
      <c r="DA344" s="143"/>
      <c r="DB344" s="143"/>
      <c r="DC344" s="143"/>
      <c r="DD344" s="143"/>
      <c r="DE344" s="143"/>
      <c r="DF344" s="143"/>
      <c r="DG344" s="142">
        <f>SUM(DH344:DH344)</f>
      </c>
      <c r="DH344" s="143"/>
      <c r="DI344" s="142"/>
      <c r="DJ344" s="143"/>
      <c r="DK344" s="142">
        <f>SUM(DL344:DQ344)</f>
      </c>
      <c r="DL344" s="143"/>
      <c r="DM344" s="143"/>
      <c r="DN344" s="143"/>
      <c r="DO344" s="143"/>
      <c r="DP344" s="143"/>
      <c r="DQ344" s="143"/>
      <c r="DR344" s="143"/>
      <c r="DS344" s="143"/>
      <c r="DT344" s="143"/>
      <c r="DU344" s="143"/>
      <c r="DV344" s="143"/>
      <c r="DW344" s="143"/>
      <c r="DX344" s="142"/>
      <c r="DY344" s="143"/>
      <c r="DZ344" s="142"/>
      <c r="EA344" s="143"/>
      <c r="EB344" s="143"/>
      <c r="EC344" s="142"/>
      <c r="ED344" s="143"/>
      <c r="EF344" s="143"/>
      <c r="EG344" s="142">
        <f>SUM(EH344:EQ344)</f>
      </c>
      <c r="EH344" s="143"/>
      <c r="EI344" s="143"/>
      <c r="EJ344" s="143"/>
      <c r="EK344" s="143"/>
      <c r="EL344" s="143"/>
      <c r="EM344" s="143"/>
      <c r="EN344" s="143"/>
      <c r="EO344" s="143"/>
      <c r="EP344" s="143"/>
      <c r="EQ344" s="143"/>
      <c r="ER344" s="142">
        <f>SUM(ES344:ET344)</f>
      </c>
      <c r="ES344" s="143"/>
      <c r="ET344" s="143"/>
      <c r="EU344" s="144"/>
      <c r="FB344" s="146"/>
      <c r="FC344" s="146" cm="1">
        <f t="array" ref="FC344">ROW()-ROW(New[#Headers])</f>
        <v>338</v>
      </c>
    </row>
    <row r="345" spans="2:159" s="139" customFormat="1" ht="10.5" x14ac:dyDescent="0.2">
      <c r="B345" s="133"/>
      <c r="C345" s="133"/>
      <c r="E345" s="133"/>
      <c r="H345" s="133"/>
      <c r="N345" s="140"/>
      <c r="O345" s="140"/>
      <c r="P345" s="141"/>
      <c r="Q345" s="142">
        <f>SUM(R345:AQ345)</f>
      </c>
      <c r="R345" s="143"/>
      <c r="S345" s="143"/>
      <c r="T345" s="143"/>
      <c r="U345" s="143"/>
      <c r="V345" s="143"/>
      <c r="W345" s="143"/>
      <c r="X345" s="143"/>
      <c r="Y345" s="143"/>
      <c r="Z345" s="143"/>
      <c r="AA345" s="143"/>
      <c r="AB345" s="143"/>
      <c r="AC345" s="143"/>
      <c r="AD345" s="143"/>
      <c r="AE345" s="143"/>
      <c r="AF345" s="143"/>
      <c r="AG345" s="143"/>
      <c r="AH345" s="143"/>
      <c r="AI345" s="143"/>
      <c r="AJ345" s="143"/>
      <c r="AK345" s="143"/>
      <c r="AL345" s="143"/>
      <c r="AM345" s="143"/>
      <c r="AN345" s="143"/>
      <c r="AO345" s="143"/>
      <c r="AP345" s="143"/>
      <c r="AQ345" s="143"/>
      <c r="AR345" s="142">
        <f>SUM(AS345:AV345)</f>
      </c>
      <c r="AS345" s="143"/>
      <c r="AT345" s="143"/>
      <c r="AU345" s="143"/>
      <c r="AV345" s="143"/>
      <c r="AW345" s="142">
        <f>SUM(AX345:BI345)</f>
      </c>
      <c r="AX345" s="143"/>
      <c r="AY345" s="143"/>
      <c r="AZ345" s="143"/>
      <c r="BA345" s="143"/>
      <c r="BB345" s="143"/>
      <c r="BC345" s="143"/>
      <c r="BD345" s="143"/>
      <c r="BE345" s="143"/>
      <c r="BF345" s="143"/>
      <c r="BG345" s="143"/>
      <c r="BH345" s="143"/>
      <c r="BI345" s="143"/>
      <c r="BJ345" s="142"/>
      <c r="BK345" s="143"/>
      <c r="BL345" s="143"/>
      <c r="BM345" s="143"/>
      <c r="BN345" s="143"/>
      <c r="BO345" s="143"/>
      <c r="BP345" s="143"/>
      <c r="BQ345" s="142"/>
      <c r="BR345" s="143"/>
      <c r="BS345" s="143"/>
      <c r="BT345" s="142">
        <f>SUM(BU345:BW345)</f>
      </c>
      <c r="BU345" s="143"/>
      <c r="BV345" s="143"/>
      <c r="BW345" s="143"/>
      <c r="BX345" s="142">
        <f>SUM(BY345:CD345)</f>
      </c>
      <c r="BY345" s="143"/>
      <c r="BZ345" s="143"/>
      <c r="CA345" s="143"/>
      <c r="CB345" s="143"/>
      <c r="CC345" s="143"/>
      <c r="CD345" s="143"/>
      <c r="CE345" s="142"/>
      <c r="CF345" s="143"/>
      <c r="CG345" s="143"/>
      <c r="CH345" s="143"/>
      <c r="CI345" s="143"/>
      <c r="CJ345" s="143"/>
      <c r="CK345" s="142">
        <f>SUM(CL345:CN345)</f>
      </c>
      <c r="CL345" s="143"/>
      <c r="CM345" s="143"/>
      <c r="CN345" s="143"/>
      <c r="CO345" s="142">
        <f>SUM(CP345:CT345)</f>
      </c>
      <c r="CP345" s="143"/>
      <c r="CQ345" s="143"/>
      <c r="CR345" s="143"/>
      <c r="CS345" s="143"/>
      <c r="CT345" s="143"/>
      <c r="CU345" s="142"/>
      <c r="CV345" s="143"/>
      <c r="CW345" s="143"/>
      <c r="CX345" s="143"/>
      <c r="CY345" s="142"/>
      <c r="CZ345" s="143"/>
      <c r="DA345" s="143"/>
      <c r="DB345" s="143"/>
      <c r="DC345" s="143"/>
      <c r="DD345" s="143"/>
      <c r="DE345" s="143"/>
      <c r="DF345" s="143"/>
      <c r="DG345" s="142">
        <f>SUM(DH345:DH345)</f>
      </c>
      <c r="DH345" s="143"/>
      <c r="DI345" s="142"/>
      <c r="DJ345" s="143"/>
      <c r="DK345" s="142">
        <f>SUM(DL345:DQ345)</f>
      </c>
      <c r="DL345" s="143"/>
      <c r="DM345" s="143"/>
      <c r="DN345" s="143"/>
      <c r="DO345" s="143"/>
      <c r="DP345" s="143"/>
      <c r="DQ345" s="143"/>
      <c r="DR345" s="143"/>
      <c r="DS345" s="143"/>
      <c r="DT345" s="143"/>
      <c r="DU345" s="143"/>
      <c r="DV345" s="143"/>
      <c r="DW345" s="143"/>
      <c r="DX345" s="142"/>
      <c r="DY345" s="143"/>
      <c r="DZ345" s="142"/>
      <c r="EA345" s="143"/>
      <c r="EB345" s="143"/>
      <c r="EC345" s="142"/>
      <c r="ED345" s="143"/>
      <c r="EF345" s="143"/>
      <c r="EG345" s="142">
        <f>SUM(EH345:EQ345)</f>
      </c>
      <c r="EH345" s="143"/>
      <c r="EI345" s="143"/>
      <c r="EJ345" s="143"/>
      <c r="EK345" s="143"/>
      <c r="EL345" s="143"/>
      <c r="EM345" s="143"/>
      <c r="EN345" s="143"/>
      <c r="EO345" s="143"/>
      <c r="EP345" s="143"/>
      <c r="EQ345" s="143"/>
      <c r="ER345" s="142">
        <f>SUM(ES345:ET345)</f>
      </c>
      <c r="ES345" s="143"/>
      <c r="ET345" s="143"/>
      <c r="EU345" s="144"/>
      <c r="FB345" s="146"/>
      <c r="FC345" s="146" cm="1">
        <f t="array" ref="FC345">ROW()-ROW(New[#Headers])</f>
        <v>339</v>
      </c>
    </row>
    <row r="346" spans="2:159" s="139" customFormat="1" ht="10.5" x14ac:dyDescent="0.2">
      <c r="B346" s="133"/>
      <c r="C346" s="133"/>
      <c r="E346" s="133"/>
      <c r="H346" s="133"/>
      <c r="N346" s="140"/>
      <c r="O346" s="140"/>
      <c r="P346" s="141"/>
      <c r="Q346" s="142">
        <f>SUM(R346:AQ346)</f>
      </c>
      <c r="R346" s="143"/>
      <c r="S346" s="143"/>
      <c r="T346" s="143"/>
      <c r="U346" s="143"/>
      <c r="V346" s="143"/>
      <c r="W346" s="143"/>
      <c r="X346" s="143"/>
      <c r="Y346" s="143"/>
      <c r="Z346" s="143"/>
      <c r="AA346" s="143"/>
      <c r="AB346" s="143"/>
      <c r="AC346" s="143"/>
      <c r="AD346" s="143"/>
      <c r="AE346" s="143"/>
      <c r="AF346" s="143"/>
      <c r="AG346" s="143"/>
      <c r="AH346" s="143"/>
      <c r="AI346" s="143"/>
      <c r="AJ346" s="143"/>
      <c r="AK346" s="143"/>
      <c r="AL346" s="143"/>
      <c r="AM346" s="143"/>
      <c r="AN346" s="143"/>
      <c r="AO346" s="143"/>
      <c r="AP346" s="143"/>
      <c r="AQ346" s="143"/>
      <c r="AR346" s="142">
        <f>SUM(AS346:AV346)</f>
      </c>
      <c r="AS346" s="143"/>
      <c r="AT346" s="143"/>
      <c r="AU346" s="143"/>
      <c r="AV346" s="143"/>
      <c r="AW346" s="142">
        <f>SUM(AX346:BI346)</f>
      </c>
      <c r="AX346" s="143"/>
      <c r="AY346" s="143"/>
      <c r="AZ346" s="143"/>
      <c r="BA346" s="143"/>
      <c r="BB346" s="143"/>
      <c r="BC346" s="143"/>
      <c r="BD346" s="143"/>
      <c r="BE346" s="143"/>
      <c r="BF346" s="143"/>
      <c r="BG346" s="143"/>
      <c r="BH346" s="143"/>
      <c r="BI346" s="143"/>
      <c r="BJ346" s="142"/>
      <c r="BK346" s="143"/>
      <c r="BL346" s="143"/>
      <c r="BM346" s="143"/>
      <c r="BN346" s="143"/>
      <c r="BO346" s="143"/>
      <c r="BP346" s="143"/>
      <c r="BQ346" s="142"/>
      <c r="BR346" s="143"/>
      <c r="BS346" s="143"/>
      <c r="BT346" s="142">
        <f>SUM(BU346:BW346)</f>
      </c>
      <c r="BU346" s="143"/>
      <c r="BV346" s="143"/>
      <c r="BW346" s="143"/>
      <c r="BX346" s="142">
        <f>SUM(BY346:CD346)</f>
      </c>
      <c r="BY346" s="143"/>
      <c r="BZ346" s="143"/>
      <c r="CA346" s="143"/>
      <c r="CB346" s="143"/>
      <c r="CC346" s="143"/>
      <c r="CD346" s="143"/>
      <c r="CE346" s="142"/>
      <c r="CF346" s="143"/>
      <c r="CG346" s="143"/>
      <c r="CH346" s="143"/>
      <c r="CI346" s="143"/>
      <c r="CJ346" s="143"/>
      <c r="CK346" s="142">
        <f>SUM(CL346:CN346)</f>
      </c>
      <c r="CL346" s="143"/>
      <c r="CM346" s="143"/>
      <c r="CN346" s="143"/>
      <c r="CO346" s="142">
        <f>SUM(CP346:CT346)</f>
      </c>
      <c r="CP346" s="143"/>
      <c r="CQ346" s="143"/>
      <c r="CR346" s="143"/>
      <c r="CS346" s="143"/>
      <c r="CT346" s="143"/>
      <c r="CU346" s="142"/>
      <c r="CV346" s="143"/>
      <c r="CW346" s="143"/>
      <c r="CX346" s="143"/>
      <c r="CY346" s="142"/>
      <c r="CZ346" s="143"/>
      <c r="DA346" s="143"/>
      <c r="DB346" s="143"/>
      <c r="DC346" s="143"/>
      <c r="DD346" s="143"/>
      <c r="DE346" s="143"/>
      <c r="DF346" s="143"/>
      <c r="DG346" s="142">
        <f>SUM(DH346:DH346)</f>
      </c>
      <c r="DH346" s="143"/>
      <c r="DI346" s="142"/>
      <c r="DJ346" s="143"/>
      <c r="DK346" s="142">
        <f>SUM(DL346:DQ346)</f>
      </c>
      <c r="DL346" s="143"/>
      <c r="DM346" s="143"/>
      <c r="DN346" s="143"/>
      <c r="DO346" s="143"/>
      <c r="DP346" s="143"/>
      <c r="DQ346" s="143"/>
      <c r="DR346" s="143"/>
      <c r="DS346" s="143"/>
      <c r="DT346" s="143"/>
      <c r="DU346" s="143"/>
      <c r="DV346" s="143"/>
      <c r="DW346" s="143"/>
      <c r="DX346" s="142"/>
      <c r="DY346" s="143"/>
      <c r="DZ346" s="142"/>
      <c r="EA346" s="143"/>
      <c r="EB346" s="143"/>
      <c r="EC346" s="142"/>
      <c r="ED346" s="143"/>
      <c r="EF346" s="143"/>
      <c r="EG346" s="142">
        <f>SUM(EH346:EQ346)</f>
      </c>
      <c r="EH346" s="143"/>
      <c r="EI346" s="143"/>
      <c r="EJ346" s="143"/>
      <c r="EK346" s="143"/>
      <c r="EL346" s="143"/>
      <c r="EM346" s="143"/>
      <c r="EN346" s="143"/>
      <c r="EO346" s="143"/>
      <c r="EP346" s="143"/>
      <c r="EQ346" s="143"/>
      <c r="ER346" s="142">
        <f>SUM(ES346:ET346)</f>
      </c>
      <c r="ES346" s="143"/>
      <c r="ET346" s="143"/>
      <c r="EU346" s="144"/>
      <c r="FB346" s="146"/>
      <c r="FC346" s="146" cm="1">
        <f t="array" ref="FC346">ROW()-ROW(New[#Headers])</f>
        <v>340</v>
      </c>
    </row>
    <row r="347" spans="2:159" s="139" customFormat="1" ht="10.5" x14ac:dyDescent="0.2">
      <c r="B347" s="133"/>
      <c r="C347" s="133"/>
      <c r="E347" s="133"/>
      <c r="H347" s="133"/>
      <c r="N347" s="140"/>
      <c r="O347" s="140"/>
      <c r="P347" s="141"/>
      <c r="Q347" s="142">
        <f>SUM(R347:AQ347)</f>
      </c>
      <c r="R347" s="143"/>
      <c r="S347" s="143"/>
      <c r="T347" s="143"/>
      <c r="U347" s="143"/>
      <c r="V347" s="143"/>
      <c r="W347" s="143"/>
      <c r="X347" s="143"/>
      <c r="Y347" s="143"/>
      <c r="Z347" s="143"/>
      <c r="AA347" s="143"/>
      <c r="AB347" s="143"/>
      <c r="AC347" s="143"/>
      <c r="AD347" s="143"/>
      <c r="AE347" s="143"/>
      <c r="AF347" s="143"/>
      <c r="AG347" s="143"/>
      <c r="AH347" s="143"/>
      <c r="AI347" s="143"/>
      <c r="AJ347" s="143"/>
      <c r="AK347" s="143"/>
      <c r="AL347" s="143"/>
      <c r="AM347" s="143"/>
      <c r="AN347" s="143"/>
      <c r="AO347" s="143"/>
      <c r="AP347" s="143"/>
      <c r="AQ347" s="143"/>
      <c r="AR347" s="142">
        <f>SUM(AS347:AV347)</f>
      </c>
      <c r="AS347" s="143"/>
      <c r="AT347" s="143"/>
      <c r="AU347" s="143"/>
      <c r="AV347" s="143"/>
      <c r="AW347" s="142">
        <f>SUM(AX347:BI347)</f>
      </c>
      <c r="AX347" s="143"/>
      <c r="AY347" s="143"/>
      <c r="AZ347" s="143"/>
      <c r="BA347" s="143"/>
      <c r="BB347" s="143"/>
      <c r="BC347" s="143"/>
      <c r="BD347" s="143"/>
      <c r="BE347" s="143"/>
      <c r="BF347" s="143"/>
      <c r="BG347" s="143"/>
      <c r="BH347" s="143"/>
      <c r="BI347" s="143"/>
      <c r="BJ347" s="142"/>
      <c r="BK347" s="143"/>
      <c r="BL347" s="143"/>
      <c r="BM347" s="143"/>
      <c r="BN347" s="143"/>
      <c r="BO347" s="143"/>
      <c r="BP347" s="143"/>
      <c r="BQ347" s="142"/>
      <c r="BR347" s="143"/>
      <c r="BS347" s="143"/>
      <c r="BT347" s="142">
        <f>SUM(BU347:BW347)</f>
      </c>
      <c r="BU347" s="143"/>
      <c r="BV347" s="143"/>
      <c r="BW347" s="143"/>
      <c r="BX347" s="142">
        <f>SUM(BY347:CD347)</f>
      </c>
      <c r="BY347" s="143"/>
      <c r="BZ347" s="143"/>
      <c r="CA347" s="143"/>
      <c r="CB347" s="143"/>
      <c r="CC347" s="143"/>
      <c r="CD347" s="143"/>
      <c r="CE347" s="142"/>
      <c r="CF347" s="143"/>
      <c r="CG347" s="143"/>
      <c r="CH347" s="143"/>
      <c r="CI347" s="143"/>
      <c r="CJ347" s="143"/>
      <c r="CK347" s="142">
        <f>SUM(CL347:CN347)</f>
      </c>
      <c r="CL347" s="143"/>
      <c r="CM347" s="143"/>
      <c r="CN347" s="143"/>
      <c r="CO347" s="142">
        <f>SUM(CP347:CT347)</f>
      </c>
      <c r="CP347" s="143"/>
      <c r="CQ347" s="143"/>
      <c r="CR347" s="143"/>
      <c r="CS347" s="143"/>
      <c r="CT347" s="143"/>
      <c r="CU347" s="142"/>
      <c r="CV347" s="143"/>
      <c r="CW347" s="143"/>
      <c r="CX347" s="143"/>
      <c r="CY347" s="142"/>
      <c r="CZ347" s="143"/>
      <c r="DA347" s="143"/>
      <c r="DB347" s="143"/>
      <c r="DC347" s="143"/>
      <c r="DD347" s="143"/>
      <c r="DE347" s="143"/>
      <c r="DF347" s="143"/>
      <c r="DG347" s="142">
        <f>SUM(DH347:DH347)</f>
      </c>
      <c r="DH347" s="143"/>
      <c r="DI347" s="142"/>
      <c r="DJ347" s="143"/>
      <c r="DK347" s="142">
        <f>SUM(DL347:DQ347)</f>
      </c>
      <c r="DL347" s="143"/>
      <c r="DM347" s="143"/>
      <c r="DN347" s="143"/>
      <c r="DO347" s="143"/>
      <c r="DP347" s="143"/>
      <c r="DQ347" s="143"/>
      <c r="DR347" s="143"/>
      <c r="DS347" s="143"/>
      <c r="DT347" s="143"/>
      <c r="DU347" s="143"/>
      <c r="DV347" s="143"/>
      <c r="DW347" s="143"/>
      <c r="DX347" s="142"/>
      <c r="DY347" s="143"/>
      <c r="DZ347" s="142"/>
      <c r="EA347" s="143"/>
      <c r="EB347" s="143"/>
      <c r="EC347" s="142"/>
      <c r="ED347" s="143"/>
      <c r="EF347" s="143"/>
      <c r="EG347" s="142">
        <f>SUM(EH347:EQ347)</f>
      </c>
      <c r="EH347" s="143"/>
      <c r="EI347" s="143"/>
      <c r="EJ347" s="143"/>
      <c r="EK347" s="143"/>
      <c r="EL347" s="143"/>
      <c r="EM347" s="143"/>
      <c r="EN347" s="143"/>
      <c r="EO347" s="143"/>
      <c r="EP347" s="143"/>
      <c r="EQ347" s="143"/>
      <c r="ER347" s="142">
        <f>SUM(ES347:ET347)</f>
      </c>
      <c r="ES347" s="143"/>
      <c r="ET347" s="143"/>
      <c r="EU347" s="144"/>
      <c r="FB347" s="146"/>
      <c r="FC347" s="146" cm="1">
        <f t="array" ref="FC347">ROW()-ROW(New[#Headers])</f>
        <v>341</v>
      </c>
    </row>
    <row r="348" spans="2:159" s="139" customFormat="1" ht="10.5" x14ac:dyDescent="0.2">
      <c r="B348" s="133"/>
      <c r="C348" s="133"/>
      <c r="E348" s="133"/>
      <c r="H348" s="133"/>
      <c r="N348" s="140"/>
      <c r="O348" s="140"/>
      <c r="P348" s="141"/>
      <c r="Q348" s="142">
        <f>SUM(R348:AQ348)</f>
      </c>
      <c r="R348" s="143"/>
      <c r="S348" s="143"/>
      <c r="T348" s="143"/>
      <c r="U348" s="143"/>
      <c r="V348" s="143"/>
      <c r="W348" s="143"/>
      <c r="X348" s="143"/>
      <c r="Y348" s="143"/>
      <c r="Z348" s="143"/>
      <c r="AA348" s="143"/>
      <c r="AB348" s="143"/>
      <c r="AC348" s="143"/>
      <c r="AD348" s="143"/>
      <c r="AE348" s="143"/>
      <c r="AF348" s="143"/>
      <c r="AG348" s="143"/>
      <c r="AH348" s="143"/>
      <c r="AI348" s="143"/>
      <c r="AJ348" s="143"/>
      <c r="AK348" s="143"/>
      <c r="AL348" s="143"/>
      <c r="AM348" s="143"/>
      <c r="AN348" s="143"/>
      <c r="AO348" s="143"/>
      <c r="AP348" s="143"/>
      <c r="AQ348" s="143"/>
      <c r="AR348" s="142">
        <f>SUM(AS348:AV348)</f>
      </c>
      <c r="AS348" s="143"/>
      <c r="AT348" s="143"/>
      <c r="AU348" s="143"/>
      <c r="AV348" s="143"/>
      <c r="AW348" s="142">
        <f>SUM(AX348:BI348)</f>
      </c>
      <c r="AX348" s="143"/>
      <c r="AY348" s="143"/>
      <c r="AZ348" s="143"/>
      <c r="BA348" s="143"/>
      <c r="BB348" s="143"/>
      <c r="BC348" s="143"/>
      <c r="BD348" s="143"/>
      <c r="BE348" s="143"/>
      <c r="BF348" s="143"/>
      <c r="BG348" s="143"/>
      <c r="BH348" s="143"/>
      <c r="BI348" s="143"/>
      <c r="BJ348" s="142"/>
      <c r="BK348" s="143"/>
      <c r="BL348" s="143"/>
      <c r="BM348" s="143"/>
      <c r="BN348" s="143"/>
      <c r="BO348" s="143"/>
      <c r="BP348" s="143"/>
      <c r="BQ348" s="142"/>
      <c r="BR348" s="143"/>
      <c r="BS348" s="143"/>
      <c r="BT348" s="142">
        <f>SUM(BU348:BW348)</f>
      </c>
      <c r="BU348" s="143"/>
      <c r="BV348" s="143"/>
      <c r="BW348" s="143"/>
      <c r="BX348" s="142">
        <f>SUM(BY348:CD348)</f>
      </c>
      <c r="BY348" s="143"/>
      <c r="BZ348" s="143"/>
      <c r="CA348" s="143"/>
      <c r="CB348" s="143"/>
      <c r="CC348" s="143"/>
      <c r="CD348" s="143"/>
      <c r="CE348" s="142"/>
      <c r="CF348" s="143"/>
      <c r="CG348" s="143"/>
      <c r="CH348" s="143"/>
      <c r="CI348" s="143"/>
      <c r="CJ348" s="143"/>
      <c r="CK348" s="142">
        <f>SUM(CL348:CN348)</f>
      </c>
      <c r="CL348" s="143"/>
      <c r="CM348" s="143"/>
      <c r="CN348" s="143"/>
      <c r="CO348" s="142">
        <f>SUM(CP348:CT348)</f>
      </c>
      <c r="CP348" s="143"/>
      <c r="CQ348" s="143"/>
      <c r="CR348" s="143"/>
      <c r="CS348" s="143"/>
      <c r="CT348" s="143"/>
      <c r="CU348" s="142"/>
      <c r="CV348" s="143"/>
      <c r="CW348" s="143"/>
      <c r="CX348" s="143"/>
      <c r="CY348" s="142"/>
      <c r="CZ348" s="143"/>
      <c r="DA348" s="143"/>
      <c r="DB348" s="143"/>
      <c r="DC348" s="143"/>
      <c r="DD348" s="143"/>
      <c r="DE348" s="143"/>
      <c r="DF348" s="143"/>
      <c r="DG348" s="142">
        <f>SUM(DH348:DH348)</f>
      </c>
      <c r="DH348" s="143"/>
      <c r="DI348" s="142"/>
      <c r="DJ348" s="143"/>
      <c r="DK348" s="142">
        <f>SUM(DL348:DQ348)</f>
      </c>
      <c r="DL348" s="143"/>
      <c r="DM348" s="143"/>
      <c r="DN348" s="143"/>
      <c r="DO348" s="143"/>
      <c r="DP348" s="143"/>
      <c r="DQ348" s="143"/>
      <c r="DR348" s="143"/>
      <c r="DS348" s="143"/>
      <c r="DT348" s="143"/>
      <c r="DU348" s="143"/>
      <c r="DV348" s="143"/>
      <c r="DW348" s="143"/>
      <c r="DX348" s="142"/>
      <c r="DY348" s="143"/>
      <c r="DZ348" s="142"/>
      <c r="EA348" s="143"/>
      <c r="EB348" s="143"/>
      <c r="EC348" s="142"/>
      <c r="ED348" s="143"/>
      <c r="EF348" s="143"/>
      <c r="EG348" s="142">
        <f>SUM(EH348:EQ348)</f>
      </c>
      <c r="EH348" s="143"/>
      <c r="EI348" s="143"/>
      <c r="EJ348" s="143"/>
      <c r="EK348" s="143"/>
      <c r="EL348" s="143"/>
      <c r="EM348" s="143"/>
      <c r="EN348" s="143"/>
      <c r="EO348" s="143"/>
      <c r="EP348" s="143"/>
      <c r="EQ348" s="143"/>
      <c r="ER348" s="142">
        <f>SUM(ES348:ET348)</f>
      </c>
      <c r="ES348" s="143"/>
      <c r="ET348" s="143"/>
      <c r="EU348" s="144"/>
      <c r="FB348" s="146"/>
      <c r="FC348" s="146" cm="1">
        <f t="array" ref="FC348">ROW()-ROW(New[#Headers])</f>
        <v>342</v>
      </c>
    </row>
    <row r="349" spans="2:159" s="139" customFormat="1" ht="10.5" x14ac:dyDescent="0.2">
      <c r="B349" s="133"/>
      <c r="C349" s="133"/>
      <c r="E349" s="133"/>
      <c r="H349" s="133"/>
      <c r="N349" s="140"/>
      <c r="O349" s="140"/>
      <c r="P349" s="141"/>
      <c r="Q349" s="142">
        <f>SUM(R349:AQ349)</f>
      </c>
      <c r="R349" s="143"/>
      <c r="S349" s="143"/>
      <c r="T349" s="143"/>
      <c r="U349" s="143"/>
      <c r="V349" s="143"/>
      <c r="W349" s="143"/>
      <c r="X349" s="143"/>
      <c r="Y349" s="143"/>
      <c r="Z349" s="143"/>
      <c r="AA349" s="143"/>
      <c r="AB349" s="143"/>
      <c r="AC349" s="143"/>
      <c r="AD349" s="143"/>
      <c r="AE349" s="143"/>
      <c r="AF349" s="143"/>
      <c r="AG349" s="143"/>
      <c r="AH349" s="143"/>
      <c r="AI349" s="143"/>
      <c r="AJ349" s="143"/>
      <c r="AK349" s="143"/>
      <c r="AL349" s="143"/>
      <c r="AM349" s="143"/>
      <c r="AN349" s="143"/>
      <c r="AO349" s="143"/>
      <c r="AP349" s="143"/>
      <c r="AQ349" s="143"/>
      <c r="AR349" s="142">
        <f>SUM(AS349:AV349)</f>
      </c>
      <c r="AS349" s="143"/>
      <c r="AT349" s="143"/>
      <c r="AU349" s="143"/>
      <c r="AV349" s="143"/>
      <c r="AW349" s="142">
        <f>SUM(AX349:BI349)</f>
      </c>
      <c r="AX349" s="143"/>
      <c r="AY349" s="143"/>
      <c r="AZ349" s="143"/>
      <c r="BA349" s="143"/>
      <c r="BB349" s="143"/>
      <c r="BC349" s="143"/>
      <c r="BD349" s="143"/>
      <c r="BE349" s="143"/>
      <c r="BF349" s="143"/>
      <c r="BG349" s="143"/>
      <c r="BH349" s="143"/>
      <c r="BI349" s="143"/>
      <c r="BJ349" s="142"/>
      <c r="BK349" s="143"/>
      <c r="BL349" s="143"/>
      <c r="BM349" s="143"/>
      <c r="BN349" s="143"/>
      <c r="BO349" s="143"/>
      <c r="BP349" s="143"/>
      <c r="BQ349" s="142"/>
      <c r="BR349" s="143"/>
      <c r="BS349" s="143"/>
      <c r="BT349" s="142">
        <f>SUM(BU349:BW349)</f>
      </c>
      <c r="BU349" s="143"/>
      <c r="BV349" s="143"/>
      <c r="BW349" s="143"/>
      <c r="BX349" s="142">
        <f>SUM(BY349:CD349)</f>
      </c>
      <c r="BY349" s="143"/>
      <c r="BZ349" s="143"/>
      <c r="CA349" s="143"/>
      <c r="CB349" s="143"/>
      <c r="CC349" s="143"/>
      <c r="CD349" s="143"/>
      <c r="CE349" s="142"/>
      <c r="CF349" s="143"/>
      <c r="CG349" s="143"/>
      <c r="CH349" s="143"/>
      <c r="CI349" s="143"/>
      <c r="CJ349" s="143"/>
      <c r="CK349" s="142">
        <f>SUM(CL349:CN349)</f>
      </c>
      <c r="CL349" s="143"/>
      <c r="CM349" s="143"/>
      <c r="CN349" s="143"/>
      <c r="CO349" s="142">
        <f>SUM(CP349:CT349)</f>
      </c>
      <c r="CP349" s="143"/>
      <c r="CQ349" s="143"/>
      <c r="CR349" s="143"/>
      <c r="CS349" s="143"/>
      <c r="CT349" s="143"/>
      <c r="CU349" s="142"/>
      <c r="CV349" s="143"/>
      <c r="CW349" s="143"/>
      <c r="CX349" s="143"/>
      <c r="CY349" s="142"/>
      <c r="CZ349" s="143"/>
      <c r="DA349" s="143"/>
      <c r="DB349" s="143"/>
      <c r="DC349" s="143"/>
      <c r="DD349" s="143"/>
      <c r="DE349" s="143"/>
      <c r="DF349" s="143"/>
      <c r="DG349" s="142">
        <f>SUM(DH349:DH349)</f>
      </c>
      <c r="DH349" s="143"/>
      <c r="DI349" s="142"/>
      <c r="DJ349" s="143"/>
      <c r="DK349" s="142">
        <f>SUM(DL349:DQ349)</f>
      </c>
      <c r="DL349" s="143"/>
      <c r="DM349" s="143"/>
      <c r="DN349" s="143"/>
      <c r="DO349" s="143"/>
      <c r="DP349" s="143"/>
      <c r="DQ349" s="143"/>
      <c r="DR349" s="143"/>
      <c r="DS349" s="143"/>
      <c r="DT349" s="143"/>
      <c r="DU349" s="143"/>
      <c r="DV349" s="143"/>
      <c r="DW349" s="143"/>
      <c r="DX349" s="142"/>
      <c r="DY349" s="143"/>
      <c r="DZ349" s="142"/>
      <c r="EA349" s="143"/>
      <c r="EB349" s="143"/>
      <c r="EC349" s="142"/>
      <c r="ED349" s="143"/>
      <c r="EF349" s="143"/>
      <c r="EG349" s="142">
        <f>SUM(EH349:EQ349)</f>
      </c>
      <c r="EH349" s="143"/>
      <c r="EI349" s="143"/>
      <c r="EJ349" s="143"/>
      <c r="EK349" s="143"/>
      <c r="EL349" s="143"/>
      <c r="EM349" s="143"/>
      <c r="EN349" s="143"/>
      <c r="EO349" s="143"/>
      <c r="EP349" s="143"/>
      <c r="EQ349" s="143"/>
      <c r="ER349" s="142">
        <f>SUM(ES349:ET349)</f>
      </c>
      <c r="ES349" s="143"/>
      <c r="ET349" s="143"/>
      <c r="EU349" s="144"/>
      <c r="FB349" s="146"/>
      <c r="FC349" s="146" cm="1">
        <f t="array" ref="FC349">ROW()-ROW(New[#Headers])</f>
        <v>343</v>
      </c>
    </row>
    <row r="350" spans="2:159" s="139" customFormat="1" ht="10.5" x14ac:dyDescent="0.2">
      <c r="B350" s="133"/>
      <c r="C350" s="133"/>
      <c r="E350" s="133"/>
      <c r="H350" s="133"/>
      <c r="N350" s="140"/>
      <c r="O350" s="140"/>
      <c r="P350" s="141"/>
      <c r="Q350" s="142">
        <f>SUM(R350:AQ350)</f>
      </c>
      <c r="R350" s="143"/>
      <c r="S350" s="143"/>
      <c r="T350" s="143"/>
      <c r="U350" s="143"/>
      <c r="V350" s="143"/>
      <c r="W350" s="143"/>
      <c r="X350" s="143"/>
      <c r="Y350" s="143"/>
      <c r="Z350" s="143"/>
      <c r="AA350" s="143"/>
      <c r="AB350" s="143"/>
      <c r="AC350" s="143"/>
      <c r="AD350" s="143"/>
      <c r="AE350" s="143"/>
      <c r="AF350" s="143"/>
      <c r="AG350" s="143"/>
      <c r="AH350" s="143"/>
      <c r="AI350" s="143"/>
      <c r="AJ350" s="143"/>
      <c r="AK350" s="143"/>
      <c r="AL350" s="143"/>
      <c r="AM350" s="143"/>
      <c r="AN350" s="143"/>
      <c r="AO350" s="143"/>
      <c r="AP350" s="143"/>
      <c r="AQ350" s="143"/>
      <c r="AR350" s="142">
        <f>SUM(AS350:AV350)</f>
      </c>
      <c r="AS350" s="143"/>
      <c r="AT350" s="143"/>
      <c r="AU350" s="143"/>
      <c r="AV350" s="143"/>
      <c r="AW350" s="142">
        <f>SUM(AX350:BI350)</f>
      </c>
      <c r="AX350" s="143"/>
      <c r="AY350" s="143"/>
      <c r="AZ350" s="143"/>
      <c r="BA350" s="143"/>
      <c r="BB350" s="143"/>
      <c r="BC350" s="143"/>
      <c r="BD350" s="143"/>
      <c r="BE350" s="143"/>
      <c r="BF350" s="143"/>
      <c r="BG350" s="143"/>
      <c r="BH350" s="143"/>
      <c r="BI350" s="143"/>
      <c r="BJ350" s="142"/>
      <c r="BK350" s="143"/>
      <c r="BL350" s="143"/>
      <c r="BM350" s="143"/>
      <c r="BN350" s="143"/>
      <c r="BO350" s="143"/>
      <c r="BP350" s="143"/>
      <c r="BQ350" s="142"/>
      <c r="BR350" s="143"/>
      <c r="BS350" s="143"/>
      <c r="BT350" s="142">
        <f>SUM(BU350:BW350)</f>
      </c>
      <c r="BU350" s="143"/>
      <c r="BV350" s="143"/>
      <c r="BW350" s="143"/>
      <c r="BX350" s="142">
        <f>SUM(BY350:CD350)</f>
      </c>
      <c r="BY350" s="143"/>
      <c r="BZ350" s="143"/>
      <c r="CA350" s="143"/>
      <c r="CB350" s="143"/>
      <c r="CC350" s="143"/>
      <c r="CD350" s="143"/>
      <c r="CE350" s="142"/>
      <c r="CF350" s="143"/>
      <c r="CG350" s="143"/>
      <c r="CH350" s="143"/>
      <c r="CI350" s="143"/>
      <c r="CJ350" s="143"/>
      <c r="CK350" s="142">
        <f>SUM(CL350:CN350)</f>
      </c>
      <c r="CL350" s="143"/>
      <c r="CM350" s="143"/>
      <c r="CN350" s="143"/>
      <c r="CO350" s="142">
        <f>SUM(CP350:CT350)</f>
      </c>
      <c r="CP350" s="143"/>
      <c r="CQ350" s="143"/>
      <c r="CR350" s="143"/>
      <c r="CS350" s="143"/>
      <c r="CT350" s="143"/>
      <c r="CU350" s="142"/>
      <c r="CV350" s="143"/>
      <c r="CW350" s="143"/>
      <c r="CX350" s="143"/>
      <c r="CY350" s="142"/>
      <c r="CZ350" s="143"/>
      <c r="DA350" s="143"/>
      <c r="DB350" s="143"/>
      <c r="DC350" s="143"/>
      <c r="DD350" s="143"/>
      <c r="DE350" s="143"/>
      <c r="DF350" s="143"/>
      <c r="DG350" s="142">
        <f>SUM(DH350:DH350)</f>
      </c>
      <c r="DH350" s="143"/>
      <c r="DI350" s="142"/>
      <c r="DJ350" s="143"/>
      <c r="DK350" s="142">
        <f>SUM(DL350:DQ350)</f>
      </c>
      <c r="DL350" s="143"/>
      <c r="DM350" s="143"/>
      <c r="DN350" s="143"/>
      <c r="DO350" s="143"/>
      <c r="DP350" s="143"/>
      <c r="DQ350" s="143"/>
      <c r="DR350" s="143"/>
      <c r="DS350" s="143"/>
      <c r="DT350" s="143"/>
      <c r="DU350" s="143"/>
      <c r="DV350" s="143"/>
      <c r="DW350" s="143"/>
      <c r="DX350" s="142"/>
      <c r="DY350" s="143"/>
      <c r="DZ350" s="142"/>
      <c r="EA350" s="143"/>
      <c r="EB350" s="143"/>
      <c r="EC350" s="142"/>
      <c r="ED350" s="143"/>
      <c r="EF350" s="143"/>
      <c r="EG350" s="142">
        <f>SUM(EH350:EQ350)</f>
      </c>
      <c r="EH350" s="143"/>
      <c r="EI350" s="143"/>
      <c r="EJ350" s="143"/>
      <c r="EK350" s="143"/>
      <c r="EL350" s="143"/>
      <c r="EM350" s="143"/>
      <c r="EN350" s="143"/>
      <c r="EO350" s="143"/>
      <c r="EP350" s="143"/>
      <c r="EQ350" s="143"/>
      <c r="ER350" s="142">
        <f>SUM(ES350:ET350)</f>
      </c>
      <c r="ES350" s="143"/>
      <c r="ET350" s="143"/>
      <c r="EU350" s="144"/>
      <c r="FB350" s="146"/>
      <c r="FC350" s="146" cm="1">
        <f t="array" ref="FC350">ROW()-ROW(New[#Headers])</f>
        <v>344</v>
      </c>
    </row>
    <row r="351" spans="2:159" s="139" customFormat="1" ht="10.5" x14ac:dyDescent="0.2">
      <c r="B351" s="133"/>
      <c r="C351" s="133"/>
      <c r="E351" s="133"/>
      <c r="H351" s="133"/>
      <c r="N351" s="140"/>
      <c r="O351" s="140"/>
      <c r="P351" s="141"/>
      <c r="Q351" s="142">
        <f>SUM(R351:AQ351)</f>
      </c>
      <c r="R351" s="143"/>
      <c r="S351" s="143"/>
      <c r="T351" s="143"/>
      <c r="U351" s="143"/>
      <c r="V351" s="143"/>
      <c r="W351" s="143"/>
      <c r="X351" s="143"/>
      <c r="Y351" s="143"/>
      <c r="Z351" s="143"/>
      <c r="AA351" s="143"/>
      <c r="AB351" s="143"/>
      <c r="AC351" s="143"/>
      <c r="AD351" s="143"/>
      <c r="AE351" s="143"/>
      <c r="AF351" s="143"/>
      <c r="AG351" s="143"/>
      <c r="AH351" s="143"/>
      <c r="AI351" s="143"/>
      <c r="AJ351" s="143"/>
      <c r="AK351" s="143"/>
      <c r="AL351" s="143"/>
      <c r="AM351" s="143"/>
      <c r="AN351" s="143"/>
      <c r="AO351" s="143"/>
      <c r="AP351" s="143"/>
      <c r="AQ351" s="143"/>
      <c r="AR351" s="142">
        <f>SUM(AS351:AV351)</f>
      </c>
      <c r="AS351" s="143"/>
      <c r="AT351" s="143"/>
      <c r="AU351" s="143"/>
      <c r="AV351" s="143"/>
      <c r="AW351" s="142">
        <f>SUM(AX351:BI351)</f>
      </c>
      <c r="AX351" s="143"/>
      <c r="AY351" s="143"/>
      <c r="AZ351" s="143"/>
      <c r="BA351" s="143"/>
      <c r="BB351" s="143"/>
      <c r="BC351" s="143"/>
      <c r="BD351" s="143"/>
      <c r="BE351" s="143"/>
      <c r="BF351" s="143"/>
      <c r="BG351" s="143"/>
      <c r="BH351" s="143"/>
      <c r="BI351" s="143"/>
      <c r="BJ351" s="142"/>
      <c r="BK351" s="143"/>
      <c r="BL351" s="143"/>
      <c r="BM351" s="143"/>
      <c r="BN351" s="143"/>
      <c r="BO351" s="143"/>
      <c r="BP351" s="143"/>
      <c r="BQ351" s="142"/>
      <c r="BR351" s="143"/>
      <c r="BS351" s="143"/>
      <c r="BT351" s="142">
        <f>SUM(BU351:BW351)</f>
      </c>
      <c r="BU351" s="143"/>
      <c r="BV351" s="143"/>
      <c r="BW351" s="143"/>
      <c r="BX351" s="142">
        <f>SUM(BY351:CD351)</f>
      </c>
      <c r="BY351" s="143"/>
      <c r="BZ351" s="143"/>
      <c r="CA351" s="143"/>
      <c r="CB351" s="143"/>
      <c r="CC351" s="143"/>
      <c r="CD351" s="143"/>
      <c r="CE351" s="142"/>
      <c r="CF351" s="143"/>
      <c r="CG351" s="143"/>
      <c r="CH351" s="143"/>
      <c r="CI351" s="143"/>
      <c r="CJ351" s="143"/>
      <c r="CK351" s="142">
        <f>SUM(CL351:CN351)</f>
      </c>
      <c r="CL351" s="143"/>
      <c r="CM351" s="143"/>
      <c r="CN351" s="143"/>
      <c r="CO351" s="142">
        <f>SUM(CP351:CT351)</f>
      </c>
      <c r="CP351" s="143"/>
      <c r="CQ351" s="143"/>
      <c r="CR351" s="143"/>
      <c r="CS351" s="143"/>
      <c r="CT351" s="143"/>
      <c r="CU351" s="142"/>
      <c r="CV351" s="143"/>
      <c r="CW351" s="143"/>
      <c r="CX351" s="143"/>
      <c r="CY351" s="142"/>
      <c r="CZ351" s="143"/>
      <c r="DA351" s="143"/>
      <c r="DB351" s="143"/>
      <c r="DC351" s="143"/>
      <c r="DD351" s="143"/>
      <c r="DE351" s="143"/>
      <c r="DF351" s="143"/>
      <c r="DG351" s="142">
        <f>SUM(DH351:DH351)</f>
      </c>
      <c r="DH351" s="143"/>
      <c r="DI351" s="142"/>
      <c r="DJ351" s="143"/>
      <c r="DK351" s="142">
        <f>SUM(DL351:DQ351)</f>
      </c>
      <c r="DL351" s="143"/>
      <c r="DM351" s="143"/>
      <c r="DN351" s="143"/>
      <c r="DO351" s="143"/>
      <c r="DP351" s="143"/>
      <c r="DQ351" s="143"/>
      <c r="DR351" s="143"/>
      <c r="DS351" s="143"/>
      <c r="DT351" s="143"/>
      <c r="DU351" s="143"/>
      <c r="DV351" s="143"/>
      <c r="DW351" s="143"/>
      <c r="DX351" s="142"/>
      <c r="DY351" s="143"/>
      <c r="DZ351" s="142"/>
      <c r="EA351" s="143"/>
      <c r="EB351" s="143"/>
      <c r="EC351" s="142"/>
      <c r="ED351" s="143"/>
      <c r="EF351" s="143"/>
      <c r="EG351" s="142">
        <f>SUM(EH351:EQ351)</f>
      </c>
      <c r="EH351" s="143"/>
      <c r="EI351" s="143"/>
      <c r="EJ351" s="143"/>
      <c r="EK351" s="143"/>
      <c r="EL351" s="143"/>
      <c r="EM351" s="143"/>
      <c r="EN351" s="143"/>
      <c r="EO351" s="143"/>
      <c r="EP351" s="143"/>
      <c r="EQ351" s="143"/>
      <c r="ER351" s="142">
        <f>SUM(ES351:ET351)</f>
      </c>
      <c r="ES351" s="143"/>
      <c r="ET351" s="143"/>
      <c r="EU351" s="144"/>
      <c r="FB351" s="146"/>
      <c r="FC351" s="146" cm="1">
        <f t="array" ref="FC351">ROW()-ROW(New[#Headers])</f>
        <v>345</v>
      </c>
    </row>
    <row r="352" spans="2:159" s="139" customFormat="1" ht="10.5" x14ac:dyDescent="0.2">
      <c r="B352" s="133"/>
      <c r="C352" s="133"/>
      <c r="E352" s="133"/>
      <c r="H352" s="133"/>
      <c r="N352" s="140"/>
      <c r="O352" s="140"/>
      <c r="P352" s="141"/>
      <c r="Q352" s="142">
        <f>SUM(R352:AQ352)</f>
      </c>
      <c r="R352" s="143"/>
      <c r="S352" s="143"/>
      <c r="T352" s="143"/>
      <c r="U352" s="143"/>
      <c r="V352" s="143"/>
      <c r="W352" s="143"/>
      <c r="X352" s="143"/>
      <c r="Y352" s="143"/>
      <c r="Z352" s="143"/>
      <c r="AA352" s="143"/>
      <c r="AB352" s="143"/>
      <c r="AC352" s="143"/>
      <c r="AD352" s="143"/>
      <c r="AE352" s="143"/>
      <c r="AF352" s="143"/>
      <c r="AG352" s="143"/>
      <c r="AH352" s="143"/>
      <c r="AI352" s="143"/>
      <c r="AJ352" s="143"/>
      <c r="AK352" s="143"/>
      <c r="AL352" s="143"/>
      <c r="AM352" s="143"/>
      <c r="AN352" s="143"/>
      <c r="AO352" s="143"/>
      <c r="AP352" s="143"/>
      <c r="AQ352" s="143"/>
      <c r="AR352" s="142">
        <f>SUM(AS352:AV352)</f>
      </c>
      <c r="AS352" s="143"/>
      <c r="AT352" s="143"/>
      <c r="AU352" s="143"/>
      <c r="AV352" s="143"/>
      <c r="AW352" s="142">
        <f>SUM(AX352:BI352)</f>
      </c>
      <c r="AX352" s="143"/>
      <c r="AY352" s="143"/>
      <c r="AZ352" s="143"/>
      <c r="BA352" s="143"/>
      <c r="BB352" s="143"/>
      <c r="BC352" s="143"/>
      <c r="BD352" s="143"/>
      <c r="BE352" s="143"/>
      <c r="BF352" s="143"/>
      <c r="BG352" s="143"/>
      <c r="BH352" s="143"/>
      <c r="BI352" s="143"/>
      <c r="BJ352" s="142"/>
      <c r="BK352" s="143"/>
      <c r="BL352" s="143"/>
      <c r="BM352" s="143"/>
      <c r="BN352" s="143"/>
      <c r="BO352" s="143"/>
      <c r="BP352" s="143"/>
      <c r="BQ352" s="142"/>
      <c r="BR352" s="143"/>
      <c r="BS352" s="143"/>
      <c r="BT352" s="142">
        <f>SUM(BU352:BW352)</f>
      </c>
      <c r="BU352" s="143"/>
      <c r="BV352" s="143"/>
      <c r="BW352" s="143"/>
      <c r="BX352" s="142">
        <f>SUM(BY352:CD352)</f>
      </c>
      <c r="BY352" s="143"/>
      <c r="BZ352" s="143"/>
      <c r="CA352" s="143"/>
      <c r="CB352" s="143"/>
      <c r="CC352" s="143"/>
      <c r="CD352" s="143"/>
      <c r="CE352" s="142"/>
      <c r="CF352" s="143"/>
      <c r="CG352" s="143"/>
      <c r="CH352" s="143"/>
      <c r="CI352" s="143"/>
      <c r="CJ352" s="143"/>
      <c r="CK352" s="142">
        <f>SUM(CL352:CN352)</f>
      </c>
      <c r="CL352" s="143"/>
      <c r="CM352" s="143"/>
      <c r="CN352" s="143"/>
      <c r="CO352" s="142">
        <f>SUM(CP352:CT352)</f>
      </c>
      <c r="CP352" s="143"/>
      <c r="CQ352" s="143"/>
      <c r="CR352" s="143"/>
      <c r="CS352" s="143"/>
      <c r="CT352" s="143"/>
      <c r="CU352" s="142"/>
      <c r="CV352" s="143"/>
      <c r="CW352" s="143"/>
      <c r="CX352" s="143"/>
      <c r="CY352" s="142"/>
      <c r="CZ352" s="143"/>
      <c r="DA352" s="143"/>
      <c r="DB352" s="143"/>
      <c r="DC352" s="143"/>
      <c r="DD352" s="143"/>
      <c r="DE352" s="143"/>
      <c r="DF352" s="143"/>
      <c r="DG352" s="142">
        <f>SUM(DH352:DH352)</f>
      </c>
      <c r="DH352" s="143"/>
      <c r="DI352" s="142"/>
      <c r="DJ352" s="143"/>
      <c r="DK352" s="142">
        <f>SUM(DL352:DQ352)</f>
      </c>
      <c r="DL352" s="143"/>
      <c r="DM352" s="143"/>
      <c r="DN352" s="143"/>
      <c r="DO352" s="143"/>
      <c r="DP352" s="143"/>
      <c r="DQ352" s="143"/>
      <c r="DR352" s="143"/>
      <c r="DS352" s="143"/>
      <c r="DT352" s="143"/>
      <c r="DU352" s="143"/>
      <c r="DV352" s="143"/>
      <c r="DW352" s="143"/>
      <c r="DX352" s="142"/>
      <c r="DY352" s="143"/>
      <c r="DZ352" s="142"/>
      <c r="EA352" s="143"/>
      <c r="EB352" s="143"/>
      <c r="EC352" s="142"/>
      <c r="ED352" s="143"/>
      <c r="EF352" s="143"/>
      <c r="EG352" s="142">
        <f>SUM(EH352:EQ352)</f>
      </c>
      <c r="EH352" s="143"/>
      <c r="EI352" s="143"/>
      <c r="EJ352" s="143"/>
      <c r="EK352" s="143"/>
      <c r="EL352" s="143"/>
      <c r="EM352" s="143"/>
      <c r="EN352" s="143"/>
      <c r="EO352" s="143"/>
      <c r="EP352" s="143"/>
      <c r="EQ352" s="143"/>
      <c r="ER352" s="142">
        <f>SUM(ES352:ET352)</f>
      </c>
      <c r="ES352" s="143"/>
      <c r="ET352" s="143"/>
      <c r="EU352" s="144"/>
      <c r="FB352" s="146"/>
      <c r="FC352" s="146" cm="1">
        <f t="array" ref="FC352">ROW()-ROW(New[#Headers])</f>
        <v>346</v>
      </c>
    </row>
    <row r="353" spans="2:159" s="139" customFormat="1" ht="10.5" x14ac:dyDescent="0.2">
      <c r="B353" s="133"/>
      <c r="C353" s="133"/>
      <c r="E353" s="133"/>
      <c r="H353" s="133"/>
      <c r="N353" s="140"/>
      <c r="O353" s="140"/>
      <c r="P353" s="141"/>
      <c r="Q353" s="142">
        <f>SUM(R353:AQ353)</f>
      </c>
      <c r="R353" s="143"/>
      <c r="S353" s="143"/>
      <c r="T353" s="143"/>
      <c r="U353" s="143"/>
      <c r="V353" s="143"/>
      <c r="W353" s="143"/>
      <c r="X353" s="143"/>
      <c r="Y353" s="143"/>
      <c r="Z353" s="143"/>
      <c r="AA353" s="143"/>
      <c r="AB353" s="143"/>
      <c r="AC353" s="143"/>
      <c r="AD353" s="143"/>
      <c r="AE353" s="143"/>
      <c r="AF353" s="143"/>
      <c r="AG353" s="143"/>
      <c r="AH353" s="143"/>
      <c r="AI353" s="143"/>
      <c r="AJ353" s="143"/>
      <c r="AK353" s="143"/>
      <c r="AL353" s="143"/>
      <c r="AM353" s="143"/>
      <c r="AN353" s="143"/>
      <c r="AO353" s="143"/>
      <c r="AP353" s="143"/>
      <c r="AQ353" s="143"/>
      <c r="AR353" s="142">
        <f>SUM(AS353:AV353)</f>
      </c>
      <c r="AS353" s="143"/>
      <c r="AT353" s="143"/>
      <c r="AU353" s="143"/>
      <c r="AV353" s="143"/>
      <c r="AW353" s="142">
        <f>SUM(AX353:BI353)</f>
      </c>
      <c r="AX353" s="143"/>
      <c r="AY353" s="143"/>
      <c r="AZ353" s="143"/>
      <c r="BA353" s="143"/>
      <c r="BB353" s="143"/>
      <c r="BC353" s="143"/>
      <c r="BD353" s="143"/>
      <c r="BE353" s="143"/>
      <c r="BF353" s="143"/>
      <c r="BG353" s="143"/>
      <c r="BH353" s="143"/>
      <c r="BI353" s="143"/>
      <c r="BJ353" s="142"/>
      <c r="BK353" s="143"/>
      <c r="BL353" s="143"/>
      <c r="BM353" s="143"/>
      <c r="BN353" s="143"/>
      <c r="BO353" s="143"/>
      <c r="BP353" s="143"/>
      <c r="BQ353" s="142"/>
      <c r="BR353" s="143"/>
      <c r="BS353" s="143"/>
      <c r="BT353" s="142">
        <f>SUM(BU353:BW353)</f>
      </c>
      <c r="BU353" s="143"/>
      <c r="BV353" s="143"/>
      <c r="BW353" s="143"/>
      <c r="BX353" s="142">
        <f>SUM(BY353:CD353)</f>
      </c>
      <c r="BY353" s="143"/>
      <c r="BZ353" s="143"/>
      <c r="CA353" s="143"/>
      <c r="CB353" s="143"/>
      <c r="CC353" s="143"/>
      <c r="CD353" s="143"/>
      <c r="CE353" s="142"/>
      <c r="CF353" s="143"/>
      <c r="CG353" s="143"/>
      <c r="CH353" s="143"/>
      <c r="CI353" s="143"/>
      <c r="CJ353" s="143"/>
      <c r="CK353" s="142">
        <f>SUM(CL353:CN353)</f>
      </c>
      <c r="CL353" s="143"/>
      <c r="CM353" s="143"/>
      <c r="CN353" s="143"/>
      <c r="CO353" s="142">
        <f>SUM(CP353:CT353)</f>
      </c>
      <c r="CP353" s="143"/>
      <c r="CQ353" s="143"/>
      <c r="CR353" s="143"/>
      <c r="CS353" s="143"/>
      <c r="CT353" s="143"/>
      <c r="CU353" s="142"/>
      <c r="CV353" s="143"/>
      <c r="CW353" s="143"/>
      <c r="CX353" s="143"/>
      <c r="CY353" s="142"/>
      <c r="CZ353" s="143"/>
      <c r="DA353" s="143"/>
      <c r="DB353" s="143"/>
      <c r="DC353" s="143"/>
      <c r="DD353" s="143"/>
      <c r="DE353" s="143"/>
      <c r="DF353" s="143"/>
      <c r="DG353" s="142">
        <f>SUM(DH353:DH353)</f>
      </c>
      <c r="DH353" s="143"/>
      <c r="DI353" s="142"/>
      <c r="DJ353" s="143"/>
      <c r="DK353" s="142">
        <f>SUM(DL353:DQ353)</f>
      </c>
      <c r="DL353" s="143"/>
      <c r="DM353" s="143"/>
      <c r="DN353" s="143"/>
      <c r="DO353" s="143"/>
      <c r="DP353" s="143"/>
      <c r="DQ353" s="143"/>
      <c r="DR353" s="143"/>
      <c r="DS353" s="143"/>
      <c r="DT353" s="143"/>
      <c r="DU353" s="143"/>
      <c r="DV353" s="143"/>
      <c r="DW353" s="143"/>
      <c r="DX353" s="142"/>
      <c r="DY353" s="143"/>
      <c r="DZ353" s="142"/>
      <c r="EA353" s="143"/>
      <c r="EB353" s="143"/>
      <c r="EC353" s="142"/>
      <c r="ED353" s="143"/>
      <c r="EF353" s="143"/>
      <c r="EG353" s="142">
        <f>SUM(EH353:EQ353)</f>
      </c>
      <c r="EH353" s="143"/>
      <c r="EI353" s="143"/>
      <c r="EJ353" s="143"/>
      <c r="EK353" s="143"/>
      <c r="EL353" s="143"/>
      <c r="EM353" s="143"/>
      <c r="EN353" s="143"/>
      <c r="EO353" s="143"/>
      <c r="EP353" s="143"/>
      <c r="EQ353" s="143"/>
      <c r="ER353" s="142">
        <f>SUM(ES353:ET353)</f>
      </c>
      <c r="ES353" s="143"/>
      <c r="ET353" s="143"/>
      <c r="EU353" s="144"/>
      <c r="FB353" s="146"/>
      <c r="FC353" s="146" cm="1">
        <f t="array" ref="FC353">ROW()-ROW(New[#Headers])</f>
        <v>347</v>
      </c>
    </row>
    <row r="354" spans="2:159" s="139" customFormat="1" ht="10.5" x14ac:dyDescent="0.2">
      <c r="B354" s="133"/>
      <c r="C354" s="133"/>
      <c r="E354" s="133"/>
      <c r="H354" s="133"/>
      <c r="N354" s="140"/>
      <c r="O354" s="140"/>
      <c r="P354" s="141"/>
      <c r="Q354" s="142">
        <f>SUM(R354:AQ354)</f>
      </c>
      <c r="R354" s="143"/>
      <c r="S354" s="143"/>
      <c r="T354" s="143"/>
      <c r="U354" s="143"/>
      <c r="V354" s="143"/>
      <c r="W354" s="143"/>
      <c r="X354" s="143"/>
      <c r="Y354" s="143"/>
      <c r="Z354" s="143"/>
      <c r="AA354" s="143"/>
      <c r="AB354" s="143"/>
      <c r="AC354" s="143"/>
      <c r="AD354" s="143"/>
      <c r="AE354" s="143"/>
      <c r="AF354" s="143"/>
      <c r="AG354" s="143"/>
      <c r="AH354" s="143"/>
      <c r="AI354" s="143"/>
      <c r="AJ354" s="143"/>
      <c r="AK354" s="143"/>
      <c r="AL354" s="143"/>
      <c r="AM354" s="143"/>
      <c r="AN354" s="143"/>
      <c r="AO354" s="143"/>
      <c r="AP354" s="143"/>
      <c r="AQ354" s="143"/>
      <c r="AR354" s="142">
        <f>SUM(AS354:AV354)</f>
      </c>
      <c r="AS354" s="143"/>
      <c r="AT354" s="143"/>
      <c r="AU354" s="143"/>
      <c r="AV354" s="143"/>
      <c r="AW354" s="142">
        <f>SUM(AX354:BI354)</f>
      </c>
      <c r="AX354" s="143"/>
      <c r="AY354" s="143"/>
      <c r="AZ354" s="143"/>
      <c r="BA354" s="143"/>
      <c r="BB354" s="143"/>
      <c r="BC354" s="143"/>
      <c r="BD354" s="143"/>
      <c r="BE354" s="143"/>
      <c r="BF354" s="143"/>
      <c r="BG354" s="143"/>
      <c r="BH354" s="143"/>
      <c r="BI354" s="143"/>
      <c r="BJ354" s="142"/>
      <c r="BK354" s="143"/>
      <c r="BL354" s="143"/>
      <c r="BM354" s="143"/>
      <c r="BN354" s="143"/>
      <c r="BO354" s="143"/>
      <c r="BP354" s="143"/>
      <c r="BQ354" s="142"/>
      <c r="BR354" s="143"/>
      <c r="BS354" s="143"/>
      <c r="BT354" s="142">
        <f>SUM(BU354:BW354)</f>
      </c>
      <c r="BU354" s="143"/>
      <c r="BV354" s="143"/>
      <c r="BW354" s="143"/>
      <c r="BX354" s="142">
        <f>SUM(BY354:CD354)</f>
      </c>
      <c r="BY354" s="143"/>
      <c r="BZ354" s="143"/>
      <c r="CA354" s="143"/>
      <c r="CB354" s="143"/>
      <c r="CC354" s="143"/>
      <c r="CD354" s="143"/>
      <c r="CE354" s="142"/>
      <c r="CF354" s="143"/>
      <c r="CG354" s="143"/>
      <c r="CH354" s="143"/>
      <c r="CI354" s="143"/>
      <c r="CJ354" s="143"/>
      <c r="CK354" s="142">
        <f>SUM(CL354:CN354)</f>
      </c>
      <c r="CL354" s="143"/>
      <c r="CM354" s="143"/>
      <c r="CN354" s="143"/>
      <c r="CO354" s="142">
        <f>SUM(CP354:CT354)</f>
      </c>
      <c r="CP354" s="143"/>
      <c r="CQ354" s="143"/>
      <c r="CR354" s="143"/>
      <c r="CS354" s="143"/>
      <c r="CT354" s="143"/>
      <c r="CU354" s="142"/>
      <c r="CV354" s="143"/>
      <c r="CW354" s="143"/>
      <c r="CX354" s="143"/>
      <c r="CY354" s="142"/>
      <c r="CZ354" s="143"/>
      <c r="DA354" s="143"/>
      <c r="DB354" s="143"/>
      <c r="DC354" s="143"/>
      <c r="DD354" s="143"/>
      <c r="DE354" s="143"/>
      <c r="DF354" s="143"/>
      <c r="DG354" s="142">
        <f>SUM(DH354:DH354)</f>
      </c>
      <c r="DH354" s="143"/>
      <c r="DI354" s="142"/>
      <c r="DJ354" s="143"/>
      <c r="DK354" s="142">
        <f>SUM(DL354:DQ354)</f>
      </c>
      <c r="DL354" s="143"/>
      <c r="DM354" s="143"/>
      <c r="DN354" s="143"/>
      <c r="DO354" s="143"/>
      <c r="DP354" s="143"/>
      <c r="DQ354" s="143"/>
      <c r="DR354" s="143"/>
      <c r="DS354" s="143"/>
      <c r="DT354" s="143"/>
      <c r="DU354" s="143"/>
      <c r="DV354" s="143"/>
      <c r="DW354" s="143"/>
      <c r="DX354" s="142"/>
      <c r="DY354" s="143"/>
      <c r="DZ354" s="142"/>
      <c r="EA354" s="143"/>
      <c r="EB354" s="143"/>
      <c r="EC354" s="142"/>
      <c r="ED354" s="143"/>
      <c r="EF354" s="143"/>
      <c r="EG354" s="142">
        <f>SUM(EH354:EQ354)</f>
      </c>
      <c r="EH354" s="143"/>
      <c r="EI354" s="143"/>
      <c r="EJ354" s="143"/>
      <c r="EK354" s="143"/>
      <c r="EL354" s="143"/>
      <c r="EM354" s="143"/>
      <c r="EN354" s="143"/>
      <c r="EO354" s="143"/>
      <c r="EP354" s="143"/>
      <c r="EQ354" s="143"/>
      <c r="ER354" s="142">
        <f>SUM(ES354:ET354)</f>
      </c>
      <c r="ES354" s="143"/>
      <c r="ET354" s="143"/>
      <c r="EU354" s="144"/>
      <c r="FB354" s="146"/>
      <c r="FC354" s="146" cm="1">
        <f t="array" ref="FC354">ROW()-ROW(New[#Headers])</f>
        <v>348</v>
      </c>
    </row>
    <row r="355" spans="2:159" s="139" customFormat="1" ht="10.5" x14ac:dyDescent="0.2">
      <c r="B355" s="133"/>
      <c r="C355" s="133"/>
      <c r="E355" s="133"/>
      <c r="H355" s="133"/>
      <c r="N355" s="140"/>
      <c r="O355" s="140"/>
      <c r="P355" s="141"/>
      <c r="Q355" s="142">
        <f>SUM(R355:AQ355)</f>
      </c>
      <c r="R355" s="143"/>
      <c r="S355" s="143"/>
      <c r="T355" s="143"/>
      <c r="U355" s="143"/>
      <c r="V355" s="143"/>
      <c r="W355" s="143"/>
      <c r="X355" s="143"/>
      <c r="Y355" s="143"/>
      <c r="Z355" s="143"/>
      <c r="AA355" s="143"/>
      <c r="AB355" s="143"/>
      <c r="AC355" s="143"/>
      <c r="AD355" s="143"/>
      <c r="AE355" s="143"/>
      <c r="AF355" s="143"/>
      <c r="AG355" s="143"/>
      <c r="AH355" s="143"/>
      <c r="AI355" s="143"/>
      <c r="AJ355" s="143"/>
      <c r="AK355" s="143"/>
      <c r="AL355" s="143"/>
      <c r="AM355" s="143"/>
      <c r="AN355" s="143"/>
      <c r="AO355" s="143"/>
      <c r="AP355" s="143"/>
      <c r="AQ355" s="143"/>
      <c r="AR355" s="142">
        <f>SUM(AS355:AV355)</f>
      </c>
      <c r="AS355" s="143"/>
      <c r="AT355" s="143"/>
      <c r="AU355" s="143"/>
      <c r="AV355" s="143"/>
      <c r="AW355" s="142">
        <f>SUM(AX355:BI355)</f>
      </c>
      <c r="AX355" s="143"/>
      <c r="AY355" s="143"/>
      <c r="AZ355" s="143"/>
      <c r="BA355" s="143"/>
      <c r="BB355" s="143"/>
      <c r="BC355" s="143"/>
      <c r="BD355" s="143"/>
      <c r="BE355" s="143"/>
      <c r="BF355" s="143"/>
      <c r="BG355" s="143"/>
      <c r="BH355" s="143"/>
      <c r="BI355" s="143"/>
      <c r="BJ355" s="142"/>
      <c r="BK355" s="143"/>
      <c r="BL355" s="143"/>
      <c r="BM355" s="143"/>
      <c r="BN355" s="143"/>
      <c r="BO355" s="143"/>
      <c r="BP355" s="143"/>
      <c r="BQ355" s="142"/>
      <c r="BR355" s="143"/>
      <c r="BS355" s="143"/>
      <c r="BT355" s="142">
        <f>SUM(BU355:BW355)</f>
      </c>
      <c r="BU355" s="143"/>
      <c r="BV355" s="143"/>
      <c r="BW355" s="143"/>
      <c r="BX355" s="142">
        <f>SUM(BY355:CD355)</f>
      </c>
      <c r="BY355" s="143"/>
      <c r="BZ355" s="143"/>
      <c r="CA355" s="143"/>
      <c r="CB355" s="143"/>
      <c r="CC355" s="143"/>
      <c r="CD355" s="143"/>
      <c r="CE355" s="142"/>
      <c r="CF355" s="143"/>
      <c r="CG355" s="143"/>
      <c r="CH355" s="143"/>
      <c r="CI355" s="143"/>
      <c r="CJ355" s="143"/>
      <c r="CK355" s="142">
        <f>SUM(CL355:CN355)</f>
      </c>
      <c r="CL355" s="143"/>
      <c r="CM355" s="143"/>
      <c r="CN355" s="143"/>
      <c r="CO355" s="142">
        <f>SUM(CP355:CT355)</f>
      </c>
      <c r="CP355" s="143"/>
      <c r="CQ355" s="143"/>
      <c r="CR355" s="143"/>
      <c r="CS355" s="143"/>
      <c r="CT355" s="143"/>
      <c r="CU355" s="142"/>
      <c r="CV355" s="143"/>
      <c r="CW355" s="143"/>
      <c r="CX355" s="143"/>
      <c r="CY355" s="142"/>
      <c r="CZ355" s="143"/>
      <c r="DA355" s="143"/>
      <c r="DB355" s="143"/>
      <c r="DC355" s="143"/>
      <c r="DD355" s="143"/>
      <c r="DE355" s="143"/>
      <c r="DF355" s="143"/>
      <c r="DG355" s="142">
        <f>SUM(DH355:DH355)</f>
      </c>
      <c r="DH355" s="143"/>
      <c r="DI355" s="142"/>
      <c r="DJ355" s="143"/>
      <c r="DK355" s="142">
        <f>SUM(DL355:DQ355)</f>
      </c>
      <c r="DL355" s="143"/>
      <c r="DM355" s="143"/>
      <c r="DN355" s="143"/>
      <c r="DO355" s="143"/>
      <c r="DP355" s="143"/>
      <c r="DQ355" s="143"/>
      <c r="DR355" s="143"/>
      <c r="DS355" s="143"/>
      <c r="DT355" s="143"/>
      <c r="DU355" s="143"/>
      <c r="DV355" s="143"/>
      <c r="DW355" s="143"/>
      <c r="DX355" s="142"/>
      <c r="DY355" s="143"/>
      <c r="DZ355" s="142"/>
      <c r="EA355" s="143"/>
      <c r="EB355" s="143"/>
      <c r="EC355" s="142"/>
      <c r="ED355" s="143"/>
      <c r="EF355" s="143"/>
      <c r="EG355" s="142">
        <f>SUM(EH355:EQ355)</f>
      </c>
      <c r="EH355" s="143"/>
      <c r="EI355" s="143"/>
      <c r="EJ355" s="143"/>
      <c r="EK355" s="143"/>
      <c r="EL355" s="143"/>
      <c r="EM355" s="143"/>
      <c r="EN355" s="143"/>
      <c r="EO355" s="143"/>
      <c r="EP355" s="143"/>
      <c r="EQ355" s="143"/>
      <c r="ER355" s="142">
        <f>SUM(ES355:ET355)</f>
      </c>
      <c r="ES355" s="143"/>
      <c r="ET355" s="143"/>
      <c r="EU355" s="144"/>
      <c r="FB355" s="146"/>
      <c r="FC355" s="146" cm="1">
        <f t="array" ref="FC355">ROW()-ROW(New[#Headers])</f>
        <v>349</v>
      </c>
    </row>
    <row r="356" spans="2:159" s="139" customFormat="1" ht="10.5" x14ac:dyDescent="0.2">
      <c r="B356" s="133"/>
      <c r="C356" s="133"/>
      <c r="E356" s="133"/>
      <c r="H356" s="133"/>
      <c r="N356" s="140"/>
      <c r="O356" s="140"/>
      <c r="P356" s="141"/>
      <c r="Q356" s="142">
        <f>SUM(R356:AQ356)</f>
      </c>
      <c r="R356" s="143"/>
      <c r="S356" s="143"/>
      <c r="T356" s="143"/>
      <c r="U356" s="143"/>
      <c r="V356" s="143"/>
      <c r="W356" s="143"/>
      <c r="X356" s="143"/>
      <c r="Y356" s="143"/>
      <c r="Z356" s="143"/>
      <c r="AA356" s="143"/>
      <c r="AB356" s="143"/>
      <c r="AC356" s="143"/>
      <c r="AD356" s="143"/>
      <c r="AE356" s="143"/>
      <c r="AF356" s="143"/>
      <c r="AG356" s="143"/>
      <c r="AH356" s="143"/>
      <c r="AI356" s="143"/>
      <c r="AJ356" s="143"/>
      <c r="AK356" s="143"/>
      <c r="AL356" s="143"/>
      <c r="AM356" s="143"/>
      <c r="AN356" s="143"/>
      <c r="AO356" s="143"/>
      <c r="AP356" s="143"/>
      <c r="AQ356" s="143"/>
      <c r="AR356" s="142">
        <f>SUM(AS356:AV356)</f>
      </c>
      <c r="AS356" s="143"/>
      <c r="AT356" s="143"/>
      <c r="AU356" s="143"/>
      <c r="AV356" s="143"/>
      <c r="AW356" s="142">
        <f>SUM(AX356:BI356)</f>
      </c>
      <c r="AX356" s="143"/>
      <c r="AY356" s="143"/>
      <c r="AZ356" s="143"/>
      <c r="BA356" s="143"/>
      <c r="BB356" s="143"/>
      <c r="BC356" s="143"/>
      <c r="BD356" s="143"/>
      <c r="BE356" s="143"/>
      <c r="BF356" s="143"/>
      <c r="BG356" s="143"/>
      <c r="BH356" s="143"/>
      <c r="BI356" s="143"/>
      <c r="BJ356" s="142"/>
      <c r="BK356" s="143"/>
      <c r="BL356" s="143"/>
      <c r="BM356" s="143"/>
      <c r="BN356" s="143"/>
      <c r="BO356" s="143"/>
      <c r="BP356" s="143"/>
      <c r="BQ356" s="142"/>
      <c r="BR356" s="143"/>
      <c r="BS356" s="143"/>
      <c r="BT356" s="142">
        <f>SUM(BU356:BW356)</f>
      </c>
      <c r="BU356" s="143"/>
      <c r="BV356" s="143"/>
      <c r="BW356" s="143"/>
      <c r="BX356" s="142">
        <f>SUM(BY356:CD356)</f>
      </c>
      <c r="BY356" s="143"/>
      <c r="BZ356" s="143"/>
      <c r="CA356" s="143"/>
      <c r="CB356" s="143"/>
      <c r="CC356" s="143"/>
      <c r="CD356" s="143"/>
      <c r="CE356" s="142"/>
      <c r="CF356" s="143"/>
      <c r="CG356" s="143"/>
      <c r="CH356" s="143"/>
      <c r="CI356" s="143"/>
      <c r="CJ356" s="143"/>
      <c r="CK356" s="142">
        <f>SUM(CL356:CN356)</f>
      </c>
      <c r="CL356" s="143"/>
      <c r="CM356" s="143"/>
      <c r="CN356" s="143"/>
      <c r="CO356" s="142">
        <f>SUM(CP356:CT356)</f>
      </c>
      <c r="CP356" s="143"/>
      <c r="CQ356" s="143"/>
      <c r="CR356" s="143"/>
      <c r="CS356" s="143"/>
      <c r="CT356" s="143"/>
      <c r="CU356" s="142"/>
      <c r="CV356" s="143"/>
      <c r="CW356" s="143"/>
      <c r="CX356" s="143"/>
      <c r="CY356" s="142"/>
      <c r="CZ356" s="143"/>
      <c r="DA356" s="143"/>
      <c r="DB356" s="143"/>
      <c r="DC356" s="143"/>
      <c r="DD356" s="143"/>
      <c r="DE356" s="143"/>
      <c r="DF356" s="143"/>
      <c r="DG356" s="142">
        <f>SUM(DH356:DH356)</f>
      </c>
      <c r="DH356" s="143"/>
      <c r="DI356" s="142"/>
      <c r="DJ356" s="143"/>
      <c r="DK356" s="142">
        <f>SUM(DL356:DQ356)</f>
      </c>
      <c r="DL356" s="143"/>
      <c r="DM356" s="143"/>
      <c r="DN356" s="143"/>
      <c r="DO356" s="143"/>
      <c r="DP356" s="143"/>
      <c r="DQ356" s="143"/>
      <c r="DR356" s="143"/>
      <c r="DS356" s="143"/>
      <c r="DT356" s="143"/>
      <c r="DU356" s="143"/>
      <c r="DV356" s="143"/>
      <c r="DW356" s="143"/>
      <c r="DX356" s="142"/>
      <c r="DY356" s="143"/>
      <c r="DZ356" s="142"/>
      <c r="EA356" s="143"/>
      <c r="EB356" s="143"/>
      <c r="EC356" s="142"/>
      <c r="ED356" s="143"/>
      <c r="EF356" s="143"/>
      <c r="EG356" s="142">
        <f>SUM(EH356:EQ356)</f>
      </c>
      <c r="EH356" s="143"/>
      <c r="EI356" s="143"/>
      <c r="EJ356" s="143"/>
      <c r="EK356" s="143"/>
      <c r="EL356" s="143"/>
      <c r="EM356" s="143"/>
      <c r="EN356" s="143"/>
      <c r="EO356" s="143"/>
      <c r="EP356" s="143"/>
      <c r="EQ356" s="143"/>
      <c r="ER356" s="142">
        <f>SUM(ES356:ET356)</f>
      </c>
      <c r="ES356" s="143"/>
      <c r="ET356" s="143"/>
      <c r="EU356" s="144"/>
      <c r="FB356" s="146"/>
      <c r="FC356" s="146" cm="1">
        <f t="array" ref="FC356">ROW()-ROW(New[#Headers])</f>
        <v>350</v>
      </c>
    </row>
    <row r="357" spans="2:159" s="139" customFormat="1" ht="10.5" x14ac:dyDescent="0.2">
      <c r="B357" s="133"/>
      <c r="C357" s="133"/>
      <c r="E357" s="133"/>
      <c r="H357" s="133"/>
      <c r="N357" s="140"/>
      <c r="O357" s="140"/>
      <c r="P357" s="141"/>
      <c r="Q357" s="142">
        <f>SUM(R357:AQ357)</f>
      </c>
      <c r="R357" s="143"/>
      <c r="S357" s="143"/>
      <c r="T357" s="143"/>
      <c r="U357" s="143"/>
      <c r="V357" s="143"/>
      <c r="W357" s="143"/>
      <c r="X357" s="143"/>
      <c r="Y357" s="143"/>
      <c r="Z357" s="143"/>
      <c r="AA357" s="143"/>
      <c r="AB357" s="143"/>
      <c r="AC357" s="143"/>
      <c r="AD357" s="143"/>
      <c r="AE357" s="143"/>
      <c r="AF357" s="143"/>
      <c r="AG357" s="143"/>
      <c r="AH357" s="143"/>
      <c r="AI357" s="143"/>
      <c r="AJ357" s="143"/>
      <c r="AK357" s="143"/>
      <c r="AL357" s="143"/>
      <c r="AM357" s="143"/>
      <c r="AN357" s="143"/>
      <c r="AO357" s="143"/>
      <c r="AP357" s="143"/>
      <c r="AQ357" s="143"/>
      <c r="AR357" s="142">
        <f>SUM(AS357:AV357)</f>
      </c>
      <c r="AS357" s="143"/>
      <c r="AT357" s="143"/>
      <c r="AU357" s="143"/>
      <c r="AV357" s="143"/>
      <c r="AW357" s="142">
        <f>SUM(AX357:BI357)</f>
      </c>
      <c r="AX357" s="143"/>
      <c r="AY357" s="143"/>
      <c r="AZ357" s="143"/>
      <c r="BA357" s="143"/>
      <c r="BB357" s="143"/>
      <c r="BC357" s="143"/>
      <c r="BD357" s="143"/>
      <c r="BE357" s="143"/>
      <c r="BF357" s="143"/>
      <c r="BG357" s="143"/>
      <c r="BH357" s="143"/>
      <c r="BI357" s="143"/>
      <c r="BJ357" s="142"/>
      <c r="BK357" s="143"/>
      <c r="BL357" s="143"/>
      <c r="BM357" s="143"/>
      <c r="BN357" s="143"/>
      <c r="BO357" s="143"/>
      <c r="BP357" s="143"/>
      <c r="BQ357" s="142"/>
      <c r="BR357" s="143"/>
      <c r="BS357" s="143"/>
      <c r="BT357" s="142">
        <f>SUM(BU357:BW357)</f>
      </c>
      <c r="BU357" s="143"/>
      <c r="BV357" s="143"/>
      <c r="BW357" s="143"/>
      <c r="BX357" s="142">
        <f>SUM(BY357:CD357)</f>
      </c>
      <c r="BY357" s="143"/>
      <c r="BZ357" s="143"/>
      <c r="CA357" s="143"/>
      <c r="CB357" s="143"/>
      <c r="CC357" s="143"/>
      <c r="CD357" s="143"/>
      <c r="CE357" s="142"/>
      <c r="CF357" s="143"/>
      <c r="CG357" s="143"/>
      <c r="CH357" s="143"/>
      <c r="CI357" s="143"/>
      <c r="CJ357" s="143"/>
      <c r="CK357" s="142">
        <f>SUM(CL357:CN357)</f>
      </c>
      <c r="CL357" s="143"/>
      <c r="CM357" s="143"/>
      <c r="CN357" s="143"/>
      <c r="CO357" s="142">
        <f>SUM(CP357:CT357)</f>
      </c>
      <c r="CP357" s="143"/>
      <c r="CQ357" s="143"/>
      <c r="CR357" s="143"/>
      <c r="CS357" s="143"/>
      <c r="CT357" s="143"/>
      <c r="CU357" s="142"/>
      <c r="CV357" s="143"/>
      <c r="CW357" s="143"/>
      <c r="CX357" s="143"/>
      <c r="CY357" s="142"/>
      <c r="CZ357" s="143"/>
      <c r="DA357" s="143"/>
      <c r="DB357" s="143"/>
      <c r="DC357" s="143"/>
      <c r="DD357" s="143"/>
      <c r="DE357" s="143"/>
      <c r="DF357" s="143"/>
      <c r="DG357" s="142">
        <f>SUM(DH357:DH357)</f>
      </c>
      <c r="DH357" s="143"/>
      <c r="DI357" s="142"/>
      <c r="DJ357" s="143"/>
      <c r="DK357" s="142">
        <f>SUM(DL357:DQ357)</f>
      </c>
      <c r="DL357" s="143"/>
      <c r="DM357" s="143"/>
      <c r="DN357" s="143"/>
      <c r="DO357" s="143"/>
      <c r="DP357" s="143"/>
      <c r="DQ357" s="143"/>
      <c r="DR357" s="143"/>
      <c r="DS357" s="143"/>
      <c r="DT357" s="143"/>
      <c r="DU357" s="143"/>
      <c r="DV357" s="143"/>
      <c r="DW357" s="143"/>
      <c r="DX357" s="142"/>
      <c r="DY357" s="143"/>
      <c r="DZ357" s="142"/>
      <c r="EA357" s="143"/>
      <c r="EB357" s="143"/>
      <c r="EC357" s="142"/>
      <c r="ED357" s="143"/>
      <c r="EF357" s="143"/>
      <c r="EG357" s="142">
        <f>SUM(EH357:EQ357)</f>
      </c>
      <c r="EH357" s="143"/>
      <c r="EI357" s="143"/>
      <c r="EJ357" s="143"/>
      <c r="EK357" s="143"/>
      <c r="EL357" s="143"/>
      <c r="EM357" s="143"/>
      <c r="EN357" s="143"/>
      <c r="EO357" s="143"/>
      <c r="EP357" s="143"/>
      <c r="EQ357" s="143"/>
      <c r="ER357" s="142">
        <f>SUM(ES357:ET357)</f>
      </c>
      <c r="ES357" s="143"/>
      <c r="ET357" s="143"/>
      <c r="EU357" s="144"/>
      <c r="FB357" s="146"/>
      <c r="FC357" s="146" cm="1">
        <f t="array" ref="FC357">ROW()-ROW(New[#Headers])</f>
        <v>351</v>
      </c>
    </row>
    <row r="358" spans="2:159" s="139" customFormat="1" ht="10.5" x14ac:dyDescent="0.2">
      <c r="B358" s="133"/>
      <c r="C358" s="133"/>
      <c r="E358" s="133"/>
      <c r="H358" s="133"/>
      <c r="N358" s="140"/>
      <c r="O358" s="140"/>
      <c r="P358" s="141"/>
      <c r="Q358" s="142">
        <f>SUM(R358:AQ358)</f>
      </c>
      <c r="R358" s="143"/>
      <c r="S358" s="143"/>
      <c r="T358" s="143"/>
      <c r="U358" s="143"/>
      <c r="V358" s="143"/>
      <c r="W358" s="143"/>
      <c r="X358" s="143"/>
      <c r="Y358" s="143"/>
      <c r="Z358" s="143"/>
      <c r="AA358" s="143"/>
      <c r="AB358" s="143"/>
      <c r="AC358" s="143"/>
      <c r="AD358" s="143"/>
      <c r="AE358" s="143"/>
      <c r="AF358" s="143"/>
      <c r="AG358" s="143"/>
      <c r="AH358" s="143"/>
      <c r="AI358" s="143"/>
      <c r="AJ358" s="143"/>
      <c r="AK358" s="143"/>
      <c r="AL358" s="143"/>
      <c r="AM358" s="143"/>
      <c r="AN358" s="143"/>
      <c r="AO358" s="143"/>
      <c r="AP358" s="143"/>
      <c r="AQ358" s="143"/>
      <c r="AR358" s="142">
        <f>SUM(AS358:AV358)</f>
      </c>
      <c r="AS358" s="143"/>
      <c r="AT358" s="143"/>
      <c r="AU358" s="143"/>
      <c r="AV358" s="143"/>
      <c r="AW358" s="142">
        <f>SUM(AX358:BI358)</f>
      </c>
      <c r="AX358" s="143"/>
      <c r="AY358" s="143"/>
      <c r="AZ358" s="143"/>
      <c r="BA358" s="143"/>
      <c r="BB358" s="143"/>
      <c r="BC358" s="143"/>
      <c r="BD358" s="143"/>
      <c r="BE358" s="143"/>
      <c r="BF358" s="143"/>
      <c r="BG358" s="143"/>
      <c r="BH358" s="143"/>
      <c r="BI358" s="143"/>
      <c r="BJ358" s="142"/>
      <c r="BK358" s="143"/>
      <c r="BL358" s="143"/>
      <c r="BM358" s="143"/>
      <c r="BN358" s="143"/>
      <c r="BO358" s="143"/>
      <c r="BP358" s="143"/>
      <c r="BQ358" s="142"/>
      <c r="BR358" s="143"/>
      <c r="BS358" s="143"/>
      <c r="BT358" s="142">
        <f>SUM(BU358:BW358)</f>
      </c>
      <c r="BU358" s="143"/>
      <c r="BV358" s="143"/>
      <c r="BW358" s="143"/>
      <c r="BX358" s="142">
        <f>SUM(BY358:CD358)</f>
      </c>
      <c r="BY358" s="143"/>
      <c r="BZ358" s="143"/>
      <c r="CA358" s="143"/>
      <c r="CB358" s="143"/>
      <c r="CC358" s="143"/>
      <c r="CD358" s="143"/>
      <c r="CE358" s="142"/>
      <c r="CF358" s="143"/>
      <c r="CG358" s="143"/>
      <c r="CH358" s="143"/>
      <c r="CI358" s="143"/>
      <c r="CJ358" s="143"/>
      <c r="CK358" s="142">
        <f>SUM(CL358:CN358)</f>
      </c>
      <c r="CL358" s="143"/>
      <c r="CM358" s="143"/>
      <c r="CN358" s="143"/>
      <c r="CO358" s="142">
        <f>SUM(CP358:CT358)</f>
      </c>
      <c r="CP358" s="143"/>
      <c r="CQ358" s="143"/>
      <c r="CR358" s="143"/>
      <c r="CS358" s="143"/>
      <c r="CT358" s="143"/>
      <c r="CU358" s="142"/>
      <c r="CV358" s="143"/>
      <c r="CW358" s="143"/>
      <c r="CX358" s="143"/>
      <c r="CY358" s="142"/>
      <c r="CZ358" s="143"/>
      <c r="DA358" s="143"/>
      <c r="DB358" s="143"/>
      <c r="DC358" s="143"/>
      <c r="DD358" s="143"/>
      <c r="DE358" s="143"/>
      <c r="DF358" s="143"/>
      <c r="DG358" s="142">
        <f>SUM(DH358:DH358)</f>
      </c>
      <c r="DH358" s="143"/>
      <c r="DI358" s="142"/>
      <c r="DJ358" s="143"/>
      <c r="DK358" s="142">
        <f>SUM(DL358:DQ358)</f>
      </c>
      <c r="DL358" s="143"/>
      <c r="DM358" s="143"/>
      <c r="DN358" s="143"/>
      <c r="DO358" s="143"/>
      <c r="DP358" s="143"/>
      <c r="DQ358" s="143"/>
      <c r="DR358" s="143"/>
      <c r="DS358" s="143"/>
      <c r="DT358" s="143"/>
      <c r="DU358" s="143"/>
      <c r="DV358" s="143"/>
      <c r="DW358" s="143"/>
      <c r="DX358" s="142"/>
      <c r="DY358" s="143"/>
      <c r="DZ358" s="142"/>
      <c r="EA358" s="143"/>
      <c r="EB358" s="143"/>
      <c r="EC358" s="142"/>
      <c r="ED358" s="143"/>
      <c r="EF358" s="143"/>
      <c r="EG358" s="142">
        <f>SUM(EH358:EQ358)</f>
      </c>
      <c r="EH358" s="143"/>
      <c r="EI358" s="143"/>
      <c r="EJ358" s="143"/>
      <c r="EK358" s="143"/>
      <c r="EL358" s="143"/>
      <c r="EM358" s="143"/>
      <c r="EN358" s="143"/>
      <c r="EO358" s="143"/>
      <c r="EP358" s="143"/>
      <c r="EQ358" s="143"/>
      <c r="ER358" s="142">
        <f>SUM(ES358:ET358)</f>
      </c>
      <c r="ES358" s="143"/>
      <c r="ET358" s="143"/>
      <c r="EU358" s="144"/>
      <c r="FB358" s="146"/>
      <c r="FC358" s="146" cm="1">
        <f t="array" ref="FC358">ROW()-ROW(New[#Headers])</f>
        <v>352</v>
      </c>
    </row>
    <row r="359" spans="2:159" s="139" customFormat="1" ht="10.5" x14ac:dyDescent="0.2">
      <c r="B359" s="133"/>
      <c r="C359" s="133"/>
      <c r="E359" s="133"/>
      <c r="H359" s="133"/>
      <c r="N359" s="140"/>
      <c r="O359" s="140"/>
      <c r="P359" s="141"/>
      <c r="Q359" s="142">
        <f>SUM(R359:AQ359)</f>
      </c>
      <c r="R359" s="143"/>
      <c r="S359" s="143"/>
      <c r="T359" s="143"/>
      <c r="U359" s="143"/>
      <c r="V359" s="143"/>
      <c r="W359" s="143"/>
      <c r="X359" s="143"/>
      <c r="Y359" s="143"/>
      <c r="Z359" s="143"/>
      <c r="AA359" s="143"/>
      <c r="AB359" s="143"/>
      <c r="AC359" s="143"/>
      <c r="AD359" s="143"/>
      <c r="AE359" s="143"/>
      <c r="AF359" s="143"/>
      <c r="AG359" s="143"/>
      <c r="AH359" s="143"/>
      <c r="AI359" s="143"/>
      <c r="AJ359" s="143"/>
      <c r="AK359" s="143"/>
      <c r="AL359" s="143"/>
      <c r="AM359" s="143"/>
      <c r="AN359" s="143"/>
      <c r="AO359" s="143"/>
      <c r="AP359" s="143"/>
      <c r="AQ359" s="143"/>
      <c r="AR359" s="142">
        <f>SUM(AS359:AV359)</f>
      </c>
      <c r="AS359" s="143"/>
      <c r="AT359" s="143"/>
      <c r="AU359" s="143"/>
      <c r="AV359" s="143"/>
      <c r="AW359" s="142">
        <f>SUM(AX359:BI359)</f>
      </c>
      <c r="AX359" s="143"/>
      <c r="AY359" s="143"/>
      <c r="AZ359" s="143"/>
      <c r="BA359" s="143"/>
      <c r="BB359" s="143"/>
      <c r="BC359" s="143"/>
      <c r="BD359" s="143"/>
      <c r="BE359" s="143"/>
      <c r="BF359" s="143"/>
      <c r="BG359" s="143"/>
      <c r="BH359" s="143"/>
      <c r="BI359" s="143"/>
      <c r="BJ359" s="142"/>
      <c r="BK359" s="143"/>
      <c r="BL359" s="143"/>
      <c r="BM359" s="143"/>
      <c r="BN359" s="143"/>
      <c r="BO359" s="143"/>
      <c r="BP359" s="143"/>
      <c r="BQ359" s="142"/>
      <c r="BR359" s="143"/>
      <c r="BS359" s="143"/>
      <c r="BT359" s="142">
        <f>SUM(BU359:BW359)</f>
      </c>
      <c r="BU359" s="143"/>
      <c r="BV359" s="143"/>
      <c r="BW359" s="143"/>
      <c r="BX359" s="142">
        <f>SUM(BY359:CD359)</f>
      </c>
      <c r="BY359" s="143"/>
      <c r="BZ359" s="143"/>
      <c r="CA359" s="143"/>
      <c r="CB359" s="143"/>
      <c r="CC359" s="143"/>
      <c r="CD359" s="143"/>
      <c r="CE359" s="142"/>
      <c r="CF359" s="143"/>
      <c r="CG359" s="143"/>
      <c r="CH359" s="143"/>
      <c r="CI359" s="143"/>
      <c r="CJ359" s="143"/>
      <c r="CK359" s="142">
        <f>SUM(CL359:CN359)</f>
      </c>
      <c r="CL359" s="143"/>
      <c r="CM359" s="143"/>
      <c r="CN359" s="143"/>
      <c r="CO359" s="142">
        <f>SUM(CP359:CT359)</f>
      </c>
      <c r="CP359" s="143"/>
      <c r="CQ359" s="143"/>
      <c r="CR359" s="143"/>
      <c r="CS359" s="143"/>
      <c r="CT359" s="143"/>
      <c r="CU359" s="142"/>
      <c r="CV359" s="143"/>
      <c r="CW359" s="143"/>
      <c r="CX359" s="143"/>
      <c r="CY359" s="142"/>
      <c r="CZ359" s="143"/>
      <c r="DA359" s="143"/>
      <c r="DB359" s="143"/>
      <c r="DC359" s="143"/>
      <c r="DD359" s="143"/>
      <c r="DE359" s="143"/>
      <c r="DF359" s="143"/>
      <c r="DG359" s="142">
        <f>SUM(DH359:DH359)</f>
      </c>
      <c r="DH359" s="143"/>
      <c r="DI359" s="142"/>
      <c r="DJ359" s="143"/>
      <c r="DK359" s="142">
        <f>SUM(DL359:DQ359)</f>
      </c>
      <c r="DL359" s="143"/>
      <c r="DM359" s="143"/>
      <c r="DN359" s="143"/>
      <c r="DO359" s="143"/>
      <c r="DP359" s="143"/>
      <c r="DQ359" s="143"/>
      <c r="DR359" s="143"/>
      <c r="DS359" s="143"/>
      <c r="DT359" s="143"/>
      <c r="DU359" s="143"/>
      <c r="DV359" s="143"/>
      <c r="DW359" s="143"/>
      <c r="DX359" s="142"/>
      <c r="DY359" s="143"/>
      <c r="DZ359" s="142"/>
      <c r="EA359" s="143"/>
      <c r="EB359" s="143"/>
      <c r="EC359" s="142"/>
      <c r="ED359" s="143"/>
      <c r="EF359" s="143"/>
      <c r="EG359" s="142">
        <f>SUM(EH359:EQ359)</f>
      </c>
      <c r="EH359" s="143"/>
      <c r="EI359" s="143"/>
      <c r="EJ359" s="143"/>
      <c r="EK359" s="143"/>
      <c r="EL359" s="143"/>
      <c r="EM359" s="143"/>
      <c r="EN359" s="143"/>
      <c r="EO359" s="143"/>
      <c r="EP359" s="143"/>
      <c r="EQ359" s="143"/>
      <c r="ER359" s="142">
        <f>SUM(ES359:ET359)</f>
      </c>
      <c r="ES359" s="143"/>
      <c r="ET359" s="143"/>
      <c r="EU359" s="144"/>
      <c r="FB359" s="146"/>
      <c r="FC359" s="146" cm="1">
        <f t="array" ref="FC359">ROW()-ROW(New[#Headers])</f>
        <v>353</v>
      </c>
    </row>
    <row r="360" spans="2:159" s="139" customFormat="1" ht="10.5" x14ac:dyDescent="0.2">
      <c r="B360" s="133"/>
      <c r="C360" s="133"/>
      <c r="E360" s="133"/>
      <c r="H360" s="133"/>
      <c r="N360" s="140"/>
      <c r="O360" s="140"/>
      <c r="P360" s="141"/>
      <c r="Q360" s="142">
        <f>SUM(R360:AQ360)</f>
      </c>
      <c r="R360" s="143"/>
      <c r="S360" s="143"/>
      <c r="T360" s="143"/>
      <c r="U360" s="143"/>
      <c r="V360" s="143"/>
      <c r="W360" s="143"/>
      <c r="X360" s="143"/>
      <c r="Y360" s="143"/>
      <c r="Z360" s="143"/>
      <c r="AA360" s="143"/>
      <c r="AB360" s="143"/>
      <c r="AC360" s="143"/>
      <c r="AD360" s="143"/>
      <c r="AE360" s="143"/>
      <c r="AF360" s="143"/>
      <c r="AG360" s="143"/>
      <c r="AH360" s="143"/>
      <c r="AI360" s="143"/>
      <c r="AJ360" s="143"/>
      <c r="AK360" s="143"/>
      <c r="AL360" s="143"/>
      <c r="AM360" s="143"/>
      <c r="AN360" s="143"/>
      <c r="AO360" s="143"/>
      <c r="AP360" s="143"/>
      <c r="AQ360" s="143"/>
      <c r="AR360" s="142">
        <f>SUM(AS360:AV360)</f>
      </c>
      <c r="AS360" s="143"/>
      <c r="AT360" s="143"/>
      <c r="AU360" s="143"/>
      <c r="AV360" s="143"/>
      <c r="AW360" s="142">
        <f>SUM(AX360:BI360)</f>
      </c>
      <c r="AX360" s="143"/>
      <c r="AY360" s="143"/>
      <c r="AZ360" s="143"/>
      <c r="BA360" s="143"/>
      <c r="BB360" s="143"/>
      <c r="BC360" s="143"/>
      <c r="BD360" s="143"/>
      <c r="BE360" s="143"/>
      <c r="BF360" s="143"/>
      <c r="BG360" s="143"/>
      <c r="BH360" s="143"/>
      <c r="BI360" s="143"/>
      <c r="BJ360" s="142"/>
      <c r="BK360" s="143"/>
      <c r="BL360" s="143"/>
      <c r="BM360" s="143"/>
      <c r="BN360" s="143"/>
      <c r="BO360" s="143"/>
      <c r="BP360" s="143"/>
      <c r="BQ360" s="142"/>
      <c r="BR360" s="143"/>
      <c r="BS360" s="143"/>
      <c r="BT360" s="142">
        <f>SUM(BU360:BW360)</f>
      </c>
      <c r="BU360" s="143"/>
      <c r="BV360" s="143"/>
      <c r="BW360" s="143"/>
      <c r="BX360" s="142">
        <f>SUM(BY360:CD360)</f>
      </c>
      <c r="BY360" s="143"/>
      <c r="BZ360" s="143"/>
      <c r="CA360" s="143"/>
      <c r="CB360" s="143"/>
      <c r="CC360" s="143"/>
      <c r="CD360" s="143"/>
      <c r="CE360" s="142"/>
      <c r="CF360" s="143"/>
      <c r="CG360" s="143"/>
      <c r="CH360" s="143"/>
      <c r="CI360" s="143"/>
      <c r="CJ360" s="143"/>
      <c r="CK360" s="142">
        <f>SUM(CL360:CN360)</f>
      </c>
      <c r="CL360" s="143"/>
      <c r="CM360" s="143"/>
      <c r="CN360" s="143"/>
      <c r="CO360" s="142">
        <f>SUM(CP360:CT360)</f>
      </c>
      <c r="CP360" s="143"/>
      <c r="CQ360" s="143"/>
      <c r="CR360" s="143"/>
      <c r="CS360" s="143"/>
      <c r="CT360" s="143"/>
      <c r="CU360" s="142"/>
      <c r="CV360" s="143"/>
      <c r="CW360" s="143"/>
      <c r="CX360" s="143"/>
      <c r="CY360" s="142"/>
      <c r="CZ360" s="143"/>
      <c r="DA360" s="143"/>
      <c r="DB360" s="143"/>
      <c r="DC360" s="143"/>
      <c r="DD360" s="143"/>
      <c r="DE360" s="143"/>
      <c r="DF360" s="143"/>
      <c r="DG360" s="142">
        <f>SUM(DH360:DH360)</f>
      </c>
      <c r="DH360" s="143"/>
      <c r="DI360" s="142"/>
      <c r="DJ360" s="143"/>
      <c r="DK360" s="142">
        <f>SUM(DL360:DQ360)</f>
      </c>
      <c r="DL360" s="143"/>
      <c r="DM360" s="143"/>
      <c r="DN360" s="143"/>
      <c r="DO360" s="143"/>
      <c r="DP360" s="143"/>
      <c r="DQ360" s="143"/>
      <c r="DR360" s="143"/>
      <c r="DS360" s="143"/>
      <c r="DT360" s="143"/>
      <c r="DU360" s="143"/>
      <c r="DV360" s="143"/>
      <c r="DW360" s="143"/>
      <c r="DX360" s="142"/>
      <c r="DY360" s="143"/>
      <c r="DZ360" s="142"/>
      <c r="EA360" s="143"/>
      <c r="EB360" s="143"/>
      <c r="EC360" s="142"/>
      <c r="ED360" s="143"/>
      <c r="EF360" s="143"/>
      <c r="EG360" s="142">
        <f>SUM(EH360:EQ360)</f>
      </c>
      <c r="EH360" s="143"/>
      <c r="EI360" s="143"/>
      <c r="EJ360" s="143"/>
      <c r="EK360" s="143"/>
      <c r="EL360" s="143"/>
      <c r="EM360" s="143"/>
      <c r="EN360" s="143"/>
      <c r="EO360" s="143"/>
      <c r="EP360" s="143"/>
      <c r="EQ360" s="143"/>
      <c r="ER360" s="142">
        <f>SUM(ES360:ET360)</f>
      </c>
      <c r="ES360" s="143"/>
      <c r="ET360" s="143"/>
      <c r="EU360" s="144"/>
      <c r="FB360" s="146"/>
      <c r="FC360" s="146" cm="1">
        <f t="array" ref="FC360">ROW()-ROW(New[#Headers])</f>
        <v>354</v>
      </c>
    </row>
    <row r="361" spans="2:159" s="139" customFormat="1" ht="10.5" x14ac:dyDescent="0.2">
      <c r="B361" s="133"/>
      <c r="C361" s="133"/>
      <c r="E361" s="133"/>
      <c r="H361" s="133"/>
      <c r="N361" s="140"/>
      <c r="O361" s="140"/>
      <c r="P361" s="141"/>
      <c r="Q361" s="142">
        <f>SUM(R361:AQ361)</f>
      </c>
      <c r="R361" s="143"/>
      <c r="S361" s="143"/>
      <c r="T361" s="143"/>
      <c r="U361" s="143"/>
      <c r="V361" s="143"/>
      <c r="W361" s="143"/>
      <c r="X361" s="143"/>
      <c r="Y361" s="143"/>
      <c r="Z361" s="143"/>
      <c r="AA361" s="143"/>
      <c r="AB361" s="143"/>
      <c r="AC361" s="143"/>
      <c r="AD361" s="143"/>
      <c r="AE361" s="143"/>
      <c r="AF361" s="143"/>
      <c r="AG361" s="143"/>
      <c r="AH361" s="143"/>
      <c r="AI361" s="143"/>
      <c r="AJ361" s="143"/>
      <c r="AK361" s="143"/>
      <c r="AL361" s="143"/>
      <c r="AM361" s="143"/>
      <c r="AN361" s="143"/>
      <c r="AO361" s="143"/>
      <c r="AP361" s="143"/>
      <c r="AQ361" s="143"/>
      <c r="AR361" s="142">
        <f>SUM(AS361:AV361)</f>
      </c>
      <c r="AS361" s="143"/>
      <c r="AT361" s="143"/>
      <c r="AU361" s="143"/>
      <c r="AV361" s="143"/>
      <c r="AW361" s="142">
        <f>SUM(AX361:BI361)</f>
      </c>
      <c r="AX361" s="143"/>
      <c r="AY361" s="143"/>
      <c r="AZ361" s="143"/>
      <c r="BA361" s="143"/>
      <c r="BB361" s="143"/>
      <c r="BC361" s="143"/>
      <c r="BD361" s="143"/>
      <c r="BE361" s="143"/>
      <c r="BF361" s="143"/>
      <c r="BG361" s="143"/>
      <c r="BH361" s="143"/>
      <c r="BI361" s="143"/>
      <c r="BJ361" s="142"/>
      <c r="BK361" s="143"/>
      <c r="BL361" s="143"/>
      <c r="BM361" s="143"/>
      <c r="BN361" s="143"/>
      <c r="BO361" s="143"/>
      <c r="BP361" s="143"/>
      <c r="BQ361" s="142"/>
      <c r="BR361" s="143"/>
      <c r="BS361" s="143"/>
      <c r="BT361" s="142">
        <f>SUM(BU361:BW361)</f>
      </c>
      <c r="BU361" s="143"/>
      <c r="BV361" s="143"/>
      <c r="BW361" s="143"/>
      <c r="BX361" s="142">
        <f>SUM(BY361:CD361)</f>
      </c>
      <c r="BY361" s="143"/>
      <c r="BZ361" s="143"/>
      <c r="CA361" s="143"/>
      <c r="CB361" s="143"/>
      <c r="CC361" s="143"/>
      <c r="CD361" s="143"/>
      <c r="CE361" s="142"/>
      <c r="CF361" s="143"/>
      <c r="CG361" s="143"/>
      <c r="CH361" s="143"/>
      <c r="CI361" s="143"/>
      <c r="CJ361" s="143"/>
      <c r="CK361" s="142">
        <f>SUM(CL361:CN361)</f>
      </c>
      <c r="CL361" s="143"/>
      <c r="CM361" s="143"/>
      <c r="CN361" s="143"/>
      <c r="CO361" s="142">
        <f>SUM(CP361:CT361)</f>
      </c>
      <c r="CP361" s="143"/>
      <c r="CQ361" s="143"/>
      <c r="CR361" s="143"/>
      <c r="CS361" s="143"/>
      <c r="CT361" s="143"/>
      <c r="CU361" s="142"/>
      <c r="CV361" s="143"/>
      <c r="CW361" s="143"/>
      <c r="CX361" s="143"/>
      <c r="CY361" s="142"/>
      <c r="CZ361" s="143"/>
      <c r="DA361" s="143"/>
      <c r="DB361" s="143"/>
      <c r="DC361" s="143"/>
      <c r="DD361" s="143"/>
      <c r="DE361" s="143"/>
      <c r="DF361" s="143"/>
      <c r="DG361" s="142">
        <f>SUM(DH361:DH361)</f>
      </c>
      <c r="DH361" s="143"/>
      <c r="DI361" s="142"/>
      <c r="DJ361" s="143"/>
      <c r="DK361" s="142">
        <f>SUM(DL361:DQ361)</f>
      </c>
      <c r="DL361" s="143"/>
      <c r="DM361" s="143"/>
      <c r="DN361" s="143"/>
      <c r="DO361" s="143"/>
      <c r="DP361" s="143"/>
      <c r="DQ361" s="143"/>
      <c r="DR361" s="143"/>
      <c r="DS361" s="143"/>
      <c r="DT361" s="143"/>
      <c r="DU361" s="143"/>
      <c r="DV361" s="143"/>
      <c r="DW361" s="143"/>
      <c r="DX361" s="142"/>
      <c r="DY361" s="143"/>
      <c r="DZ361" s="142"/>
      <c r="EA361" s="143"/>
      <c r="EB361" s="143"/>
      <c r="EC361" s="142"/>
      <c r="ED361" s="143"/>
      <c r="EF361" s="143"/>
      <c r="EG361" s="142">
        <f>SUM(EH361:EQ361)</f>
      </c>
      <c r="EH361" s="143"/>
      <c r="EI361" s="143"/>
      <c r="EJ361" s="143"/>
      <c r="EK361" s="143"/>
      <c r="EL361" s="143"/>
      <c r="EM361" s="143"/>
      <c r="EN361" s="143"/>
      <c r="EO361" s="143"/>
      <c r="EP361" s="143"/>
      <c r="EQ361" s="143"/>
      <c r="ER361" s="142">
        <f>SUM(ES361:ET361)</f>
      </c>
      <c r="ES361" s="143"/>
      <c r="ET361" s="143"/>
      <c r="EU361" s="144"/>
      <c r="FB361" s="146"/>
      <c r="FC361" s="146" cm="1">
        <f t="array" ref="FC361">ROW()-ROW(New[#Headers])</f>
        <v>355</v>
      </c>
    </row>
    <row r="362" spans="2:159" s="139" customFormat="1" ht="10.5" x14ac:dyDescent="0.2">
      <c r="B362" s="133"/>
      <c r="C362" s="133"/>
      <c r="E362" s="133"/>
      <c r="H362" s="133"/>
      <c r="N362" s="140"/>
      <c r="O362" s="140"/>
      <c r="P362" s="141"/>
      <c r="Q362" s="142">
        <f>SUM(R362:AQ362)</f>
      </c>
      <c r="R362" s="143"/>
      <c r="S362" s="143"/>
      <c r="T362" s="143"/>
      <c r="U362" s="143"/>
      <c r="V362" s="143"/>
      <c r="W362" s="143"/>
      <c r="X362" s="143"/>
      <c r="Y362" s="143"/>
      <c r="Z362" s="143"/>
      <c r="AA362" s="143"/>
      <c r="AB362" s="143"/>
      <c r="AC362" s="143"/>
      <c r="AD362" s="143"/>
      <c r="AE362" s="143"/>
      <c r="AF362" s="143"/>
      <c r="AG362" s="143"/>
      <c r="AH362" s="143"/>
      <c r="AI362" s="143"/>
      <c r="AJ362" s="143"/>
      <c r="AK362" s="143"/>
      <c r="AL362" s="143"/>
      <c r="AM362" s="143"/>
      <c r="AN362" s="143"/>
      <c r="AO362" s="143"/>
      <c r="AP362" s="143"/>
      <c r="AQ362" s="143"/>
      <c r="AR362" s="142">
        <f>SUM(AS362:AV362)</f>
      </c>
      <c r="AS362" s="143"/>
      <c r="AT362" s="143"/>
      <c r="AU362" s="143"/>
      <c r="AV362" s="143"/>
      <c r="AW362" s="142">
        <f>SUM(AX362:BI362)</f>
      </c>
      <c r="AX362" s="143"/>
      <c r="AY362" s="143"/>
      <c r="AZ362" s="143"/>
      <c r="BA362" s="143"/>
      <c r="BB362" s="143"/>
      <c r="BC362" s="143"/>
      <c r="BD362" s="143"/>
      <c r="BE362" s="143"/>
      <c r="BF362" s="143"/>
      <c r="BG362" s="143"/>
      <c r="BH362" s="143"/>
      <c r="BI362" s="143"/>
      <c r="BJ362" s="142"/>
      <c r="BK362" s="143"/>
      <c r="BL362" s="143"/>
      <c r="BM362" s="143"/>
      <c r="BN362" s="143"/>
      <c r="BO362" s="143"/>
      <c r="BP362" s="143"/>
      <c r="BQ362" s="142"/>
      <c r="BR362" s="143"/>
      <c r="BS362" s="143"/>
      <c r="BT362" s="142">
        <f>SUM(BU362:BW362)</f>
      </c>
      <c r="BU362" s="143"/>
      <c r="BV362" s="143"/>
      <c r="BW362" s="143"/>
      <c r="BX362" s="142">
        <f>SUM(BY362:CD362)</f>
      </c>
      <c r="BY362" s="143"/>
      <c r="BZ362" s="143"/>
      <c r="CA362" s="143"/>
      <c r="CB362" s="143"/>
      <c r="CC362" s="143"/>
      <c r="CD362" s="143"/>
      <c r="CE362" s="142"/>
      <c r="CF362" s="143"/>
      <c r="CG362" s="143"/>
      <c r="CH362" s="143"/>
      <c r="CI362" s="143"/>
      <c r="CJ362" s="143"/>
      <c r="CK362" s="142">
        <f>SUM(CL362:CN362)</f>
      </c>
      <c r="CL362" s="143"/>
      <c r="CM362" s="143"/>
      <c r="CN362" s="143"/>
      <c r="CO362" s="142">
        <f>SUM(CP362:CT362)</f>
      </c>
      <c r="CP362" s="143"/>
      <c r="CQ362" s="143"/>
      <c r="CR362" s="143"/>
      <c r="CS362" s="143"/>
      <c r="CT362" s="143"/>
      <c r="CU362" s="142"/>
      <c r="CV362" s="143"/>
      <c r="CW362" s="143"/>
      <c r="CX362" s="143"/>
      <c r="CY362" s="142"/>
      <c r="CZ362" s="143"/>
      <c r="DA362" s="143"/>
      <c r="DB362" s="143"/>
      <c r="DC362" s="143"/>
      <c r="DD362" s="143"/>
      <c r="DE362" s="143"/>
      <c r="DF362" s="143"/>
      <c r="DG362" s="142">
        <f>SUM(DH362:DH362)</f>
      </c>
      <c r="DH362" s="143"/>
      <c r="DI362" s="142"/>
      <c r="DJ362" s="143"/>
      <c r="DK362" s="142">
        <f>SUM(DL362:DQ362)</f>
      </c>
      <c r="DL362" s="143"/>
      <c r="DM362" s="143"/>
      <c r="DN362" s="143"/>
      <c r="DO362" s="143"/>
      <c r="DP362" s="143"/>
      <c r="DQ362" s="143"/>
      <c r="DR362" s="143"/>
      <c r="DS362" s="143"/>
      <c r="DT362" s="143"/>
      <c r="DU362" s="143"/>
      <c r="DV362" s="143"/>
      <c r="DW362" s="143"/>
      <c r="DX362" s="142"/>
      <c r="DY362" s="143"/>
      <c r="DZ362" s="142"/>
      <c r="EA362" s="143"/>
      <c r="EB362" s="143"/>
      <c r="EC362" s="142"/>
      <c r="ED362" s="143"/>
      <c r="EF362" s="143"/>
      <c r="EG362" s="142">
        <f>SUM(EH362:EQ362)</f>
      </c>
      <c r="EH362" s="143"/>
      <c r="EI362" s="143"/>
      <c r="EJ362" s="143"/>
      <c r="EK362" s="143"/>
      <c r="EL362" s="143"/>
      <c r="EM362" s="143"/>
      <c r="EN362" s="143"/>
      <c r="EO362" s="143"/>
      <c r="EP362" s="143"/>
      <c r="EQ362" s="143"/>
      <c r="ER362" s="142">
        <f>SUM(ES362:ET362)</f>
      </c>
      <c r="ES362" s="143"/>
      <c r="ET362" s="143"/>
      <c r="EU362" s="144"/>
      <c r="FB362" s="146"/>
      <c r="FC362" s="146" cm="1">
        <f t="array" ref="FC362">ROW()-ROW(New[#Headers])</f>
        <v>356</v>
      </c>
    </row>
    <row r="363" spans="2:159" s="139" customFormat="1" ht="10.5" x14ac:dyDescent="0.2">
      <c r="B363" s="133"/>
      <c r="C363" s="133"/>
      <c r="E363" s="133"/>
      <c r="H363" s="133"/>
      <c r="N363" s="140"/>
      <c r="O363" s="140"/>
      <c r="P363" s="141"/>
      <c r="Q363" s="142">
        <f>SUM(R363:AQ363)</f>
      </c>
      <c r="R363" s="143"/>
      <c r="S363" s="143"/>
      <c r="T363" s="143"/>
      <c r="U363" s="143"/>
      <c r="V363" s="143"/>
      <c r="W363" s="143"/>
      <c r="X363" s="143"/>
      <c r="Y363" s="143"/>
      <c r="Z363" s="143"/>
      <c r="AA363" s="143"/>
      <c r="AB363" s="143"/>
      <c r="AC363" s="143"/>
      <c r="AD363" s="143"/>
      <c r="AE363" s="143"/>
      <c r="AF363" s="143"/>
      <c r="AG363" s="143"/>
      <c r="AH363" s="143"/>
      <c r="AI363" s="143"/>
      <c r="AJ363" s="143"/>
      <c r="AK363" s="143"/>
      <c r="AL363" s="143"/>
      <c r="AM363" s="143"/>
      <c r="AN363" s="143"/>
      <c r="AO363" s="143"/>
      <c r="AP363" s="143"/>
      <c r="AQ363" s="143"/>
      <c r="AR363" s="142">
        <f>SUM(AS363:AV363)</f>
      </c>
      <c r="AS363" s="143"/>
      <c r="AT363" s="143"/>
      <c r="AU363" s="143"/>
      <c r="AV363" s="143"/>
      <c r="AW363" s="142">
        <f>SUM(AX363:BI363)</f>
      </c>
      <c r="AX363" s="143"/>
      <c r="AY363" s="143"/>
      <c r="AZ363" s="143"/>
      <c r="BA363" s="143"/>
      <c r="BB363" s="143"/>
      <c r="BC363" s="143"/>
      <c r="BD363" s="143"/>
      <c r="BE363" s="143"/>
      <c r="BF363" s="143"/>
      <c r="BG363" s="143"/>
      <c r="BH363" s="143"/>
      <c r="BI363" s="143"/>
      <c r="BJ363" s="142"/>
      <c r="BK363" s="143"/>
      <c r="BL363" s="143"/>
      <c r="BM363" s="143"/>
      <c r="BN363" s="143"/>
      <c r="BO363" s="143"/>
      <c r="BP363" s="143"/>
      <c r="BQ363" s="142"/>
      <c r="BR363" s="143"/>
      <c r="BS363" s="143"/>
      <c r="BT363" s="142">
        <f>SUM(BU363:BW363)</f>
      </c>
      <c r="BU363" s="143"/>
      <c r="BV363" s="143"/>
      <c r="BW363" s="143"/>
      <c r="BX363" s="142">
        <f>SUM(BY363:CD363)</f>
      </c>
      <c r="BY363" s="143"/>
      <c r="BZ363" s="143"/>
      <c r="CA363" s="143"/>
      <c r="CB363" s="143"/>
      <c r="CC363" s="143"/>
      <c r="CD363" s="143"/>
      <c r="CE363" s="142"/>
      <c r="CF363" s="143"/>
      <c r="CG363" s="143"/>
      <c r="CH363" s="143"/>
      <c r="CI363" s="143"/>
      <c r="CJ363" s="143"/>
      <c r="CK363" s="142">
        <f>SUM(CL363:CN363)</f>
      </c>
      <c r="CL363" s="143"/>
      <c r="CM363" s="143"/>
      <c r="CN363" s="143"/>
      <c r="CO363" s="142">
        <f>SUM(CP363:CT363)</f>
      </c>
      <c r="CP363" s="143"/>
      <c r="CQ363" s="143"/>
      <c r="CR363" s="143"/>
      <c r="CS363" s="143"/>
      <c r="CT363" s="143"/>
      <c r="CU363" s="142"/>
      <c r="CV363" s="143"/>
      <c r="CW363" s="143"/>
      <c r="CX363" s="143"/>
      <c r="CY363" s="142"/>
      <c r="CZ363" s="143"/>
      <c r="DA363" s="143"/>
      <c r="DB363" s="143"/>
      <c r="DC363" s="143"/>
      <c r="DD363" s="143"/>
      <c r="DE363" s="143"/>
      <c r="DF363" s="143"/>
      <c r="DG363" s="142">
        <f>SUM(DH363:DH363)</f>
      </c>
      <c r="DH363" s="143"/>
      <c r="DI363" s="142"/>
      <c r="DJ363" s="143"/>
      <c r="DK363" s="142">
        <f>SUM(DL363:DQ363)</f>
      </c>
      <c r="DL363" s="143"/>
      <c r="DM363" s="143"/>
      <c r="DN363" s="143"/>
      <c r="DO363" s="143"/>
      <c r="DP363" s="143"/>
      <c r="DQ363" s="143"/>
      <c r="DR363" s="143"/>
      <c r="DS363" s="143"/>
      <c r="DT363" s="143"/>
      <c r="DU363" s="143"/>
      <c r="DV363" s="143"/>
      <c r="DW363" s="143"/>
      <c r="DX363" s="142"/>
      <c r="DY363" s="143"/>
      <c r="DZ363" s="142"/>
      <c r="EA363" s="143"/>
      <c r="EB363" s="143"/>
      <c r="EC363" s="142"/>
      <c r="ED363" s="143"/>
      <c r="EF363" s="143"/>
      <c r="EG363" s="142">
        <f>SUM(EH363:EQ363)</f>
      </c>
      <c r="EH363" s="143"/>
      <c r="EI363" s="143"/>
      <c r="EJ363" s="143"/>
      <c r="EK363" s="143"/>
      <c r="EL363" s="143"/>
      <c r="EM363" s="143"/>
      <c r="EN363" s="143"/>
      <c r="EO363" s="143"/>
      <c r="EP363" s="143"/>
      <c r="EQ363" s="143"/>
      <c r="ER363" s="142">
        <f>SUM(ES363:ET363)</f>
      </c>
      <c r="ES363" s="143"/>
      <c r="ET363" s="143"/>
      <c r="EU363" s="144"/>
      <c r="FB363" s="146"/>
      <c r="FC363" s="146" cm="1">
        <f t="array" ref="FC363">ROW()-ROW(New[#Headers])</f>
        <v>357</v>
      </c>
    </row>
    <row r="364" spans="2:159" s="139" customFormat="1" ht="10.5" x14ac:dyDescent="0.2">
      <c r="B364" s="133"/>
      <c r="C364" s="133"/>
      <c r="E364" s="133"/>
      <c r="H364" s="133"/>
      <c r="N364" s="140"/>
      <c r="O364" s="140"/>
      <c r="P364" s="141"/>
      <c r="Q364" s="142">
        <f>SUM(R364:AQ364)</f>
      </c>
      <c r="R364" s="143"/>
      <c r="S364" s="143"/>
      <c r="T364" s="143"/>
      <c r="U364" s="143"/>
      <c r="V364" s="143"/>
      <c r="W364" s="143"/>
      <c r="X364" s="143"/>
      <c r="Y364" s="143"/>
      <c r="Z364" s="143"/>
      <c r="AA364" s="143"/>
      <c r="AB364" s="143"/>
      <c r="AC364" s="143"/>
      <c r="AD364" s="143"/>
      <c r="AE364" s="143"/>
      <c r="AF364" s="143"/>
      <c r="AG364" s="143"/>
      <c r="AH364" s="143"/>
      <c r="AI364" s="143"/>
      <c r="AJ364" s="143"/>
      <c r="AK364" s="143"/>
      <c r="AL364" s="143"/>
      <c r="AM364" s="143"/>
      <c r="AN364" s="143"/>
      <c r="AO364" s="143"/>
      <c r="AP364" s="143"/>
      <c r="AQ364" s="143"/>
      <c r="AR364" s="142">
        <f>SUM(AS364:AV364)</f>
      </c>
      <c r="AS364" s="143"/>
      <c r="AT364" s="143"/>
      <c r="AU364" s="143"/>
      <c r="AV364" s="143"/>
      <c r="AW364" s="142">
        <f>SUM(AX364:BI364)</f>
      </c>
      <c r="AX364" s="143"/>
      <c r="AY364" s="143"/>
      <c r="AZ364" s="143"/>
      <c r="BA364" s="143"/>
      <c r="BB364" s="143"/>
      <c r="BC364" s="143"/>
      <c r="BD364" s="143"/>
      <c r="BE364" s="143"/>
      <c r="BF364" s="143"/>
      <c r="BG364" s="143"/>
      <c r="BH364" s="143"/>
      <c r="BI364" s="143"/>
      <c r="BJ364" s="142"/>
      <c r="BK364" s="143"/>
      <c r="BL364" s="143"/>
      <c r="BM364" s="143"/>
      <c r="BN364" s="143"/>
      <c r="BO364" s="143"/>
      <c r="BP364" s="143"/>
      <c r="BQ364" s="142"/>
      <c r="BR364" s="143"/>
      <c r="BS364" s="143"/>
      <c r="BT364" s="142">
        <f>SUM(BU364:BW364)</f>
      </c>
      <c r="BU364" s="143"/>
      <c r="BV364" s="143"/>
      <c r="BW364" s="143"/>
      <c r="BX364" s="142">
        <f>SUM(BY364:CD364)</f>
      </c>
      <c r="BY364" s="143"/>
      <c r="BZ364" s="143"/>
      <c r="CA364" s="143"/>
      <c r="CB364" s="143"/>
      <c r="CC364" s="143"/>
      <c r="CD364" s="143"/>
      <c r="CE364" s="142"/>
      <c r="CF364" s="143"/>
      <c r="CG364" s="143"/>
      <c r="CH364" s="143"/>
      <c r="CI364" s="143"/>
      <c r="CJ364" s="143"/>
      <c r="CK364" s="142">
        <f>SUM(CL364:CN364)</f>
      </c>
      <c r="CL364" s="143"/>
      <c r="CM364" s="143"/>
      <c r="CN364" s="143"/>
      <c r="CO364" s="142">
        <f>SUM(CP364:CT364)</f>
      </c>
      <c r="CP364" s="143"/>
      <c r="CQ364" s="143"/>
      <c r="CR364" s="143"/>
      <c r="CS364" s="143"/>
      <c r="CT364" s="143"/>
      <c r="CU364" s="142"/>
      <c r="CV364" s="143"/>
      <c r="CW364" s="143"/>
      <c r="CX364" s="143"/>
      <c r="CY364" s="142"/>
      <c r="CZ364" s="143"/>
      <c r="DA364" s="143"/>
      <c r="DB364" s="143"/>
      <c r="DC364" s="143"/>
      <c r="DD364" s="143"/>
      <c r="DE364" s="143"/>
      <c r="DF364" s="143"/>
      <c r="DG364" s="142">
        <f>SUM(DH364:DH364)</f>
      </c>
      <c r="DH364" s="143"/>
      <c r="DI364" s="142"/>
      <c r="DJ364" s="143"/>
      <c r="DK364" s="142">
        <f>SUM(DL364:DQ364)</f>
      </c>
      <c r="DL364" s="143"/>
      <c r="DM364" s="143"/>
      <c r="DN364" s="143"/>
      <c r="DO364" s="143"/>
      <c r="DP364" s="143"/>
      <c r="DQ364" s="143"/>
      <c r="DR364" s="143"/>
      <c r="DS364" s="143"/>
      <c r="DT364" s="143"/>
      <c r="DU364" s="143"/>
      <c r="DV364" s="143"/>
      <c r="DW364" s="143"/>
      <c r="DX364" s="142"/>
      <c r="DY364" s="143"/>
      <c r="DZ364" s="142"/>
      <c r="EA364" s="143"/>
      <c r="EB364" s="143"/>
      <c r="EC364" s="142"/>
      <c r="ED364" s="143"/>
      <c r="EF364" s="143"/>
      <c r="EG364" s="142">
        <f>SUM(EH364:EQ364)</f>
      </c>
      <c r="EH364" s="143"/>
      <c r="EI364" s="143"/>
      <c r="EJ364" s="143"/>
      <c r="EK364" s="143"/>
      <c r="EL364" s="143"/>
      <c r="EM364" s="143"/>
      <c r="EN364" s="143"/>
      <c r="EO364" s="143"/>
      <c r="EP364" s="143"/>
      <c r="EQ364" s="143"/>
      <c r="ER364" s="142">
        <f>SUM(ES364:ET364)</f>
      </c>
      <c r="ES364" s="143"/>
      <c r="ET364" s="143"/>
      <c r="EU364" s="144"/>
      <c r="FB364" s="146"/>
      <c r="FC364" s="146" cm="1">
        <f t="array" ref="FC364">ROW()-ROW(New[#Headers])</f>
        <v>358</v>
      </c>
    </row>
    <row r="365" spans="2:159" s="139" customFormat="1" ht="10.5" x14ac:dyDescent="0.2">
      <c r="B365" s="133"/>
      <c r="C365" s="133"/>
      <c r="E365" s="133"/>
      <c r="H365" s="133"/>
      <c r="N365" s="140"/>
      <c r="O365" s="140"/>
      <c r="P365" s="141"/>
      <c r="Q365" s="142">
        <f>SUM(R365:AQ365)</f>
      </c>
      <c r="R365" s="143"/>
      <c r="S365" s="143"/>
      <c r="T365" s="143"/>
      <c r="U365" s="143"/>
      <c r="V365" s="143"/>
      <c r="W365" s="143"/>
      <c r="X365" s="143"/>
      <c r="Y365" s="143"/>
      <c r="Z365" s="143"/>
      <c r="AA365" s="143"/>
      <c r="AB365" s="143"/>
      <c r="AC365" s="143"/>
      <c r="AD365" s="143"/>
      <c r="AE365" s="143"/>
      <c r="AF365" s="143"/>
      <c r="AG365" s="143"/>
      <c r="AH365" s="143"/>
      <c r="AI365" s="143"/>
      <c r="AJ365" s="143"/>
      <c r="AK365" s="143"/>
      <c r="AL365" s="143"/>
      <c r="AM365" s="143"/>
      <c r="AN365" s="143"/>
      <c r="AO365" s="143"/>
      <c r="AP365" s="143"/>
      <c r="AQ365" s="143"/>
      <c r="AR365" s="142">
        <f>SUM(AS365:AV365)</f>
      </c>
      <c r="AS365" s="143"/>
      <c r="AT365" s="143"/>
      <c r="AU365" s="143"/>
      <c r="AV365" s="143"/>
      <c r="AW365" s="142">
        <f>SUM(AX365:BI365)</f>
      </c>
      <c r="AX365" s="143"/>
      <c r="AY365" s="143"/>
      <c r="AZ365" s="143"/>
      <c r="BA365" s="143"/>
      <c r="BB365" s="143"/>
      <c r="BC365" s="143"/>
      <c r="BD365" s="143"/>
      <c r="BE365" s="143"/>
      <c r="BF365" s="143"/>
      <c r="BG365" s="143"/>
      <c r="BH365" s="143"/>
      <c r="BI365" s="143"/>
      <c r="BJ365" s="142"/>
      <c r="BK365" s="143"/>
      <c r="BL365" s="143"/>
      <c r="BM365" s="143"/>
      <c r="BN365" s="143"/>
      <c r="BO365" s="143"/>
      <c r="BP365" s="143"/>
      <c r="BQ365" s="142"/>
      <c r="BR365" s="143"/>
      <c r="BS365" s="143"/>
      <c r="BT365" s="142">
        <f>SUM(BU365:BW365)</f>
      </c>
      <c r="BU365" s="143"/>
      <c r="BV365" s="143"/>
      <c r="BW365" s="143"/>
      <c r="BX365" s="142">
        <f>SUM(BY365:CD365)</f>
      </c>
      <c r="BY365" s="143"/>
      <c r="BZ365" s="143"/>
      <c r="CA365" s="143"/>
      <c r="CB365" s="143"/>
      <c r="CC365" s="143"/>
      <c r="CD365" s="143"/>
      <c r="CE365" s="142"/>
      <c r="CF365" s="143"/>
      <c r="CG365" s="143"/>
      <c r="CH365" s="143"/>
      <c r="CI365" s="143"/>
      <c r="CJ365" s="143"/>
      <c r="CK365" s="142">
        <f>SUM(CL365:CN365)</f>
      </c>
      <c r="CL365" s="143"/>
      <c r="CM365" s="143"/>
      <c r="CN365" s="143"/>
      <c r="CO365" s="142">
        <f>SUM(CP365:CT365)</f>
      </c>
      <c r="CP365" s="143"/>
      <c r="CQ365" s="143"/>
      <c r="CR365" s="143"/>
      <c r="CS365" s="143"/>
      <c r="CT365" s="143"/>
      <c r="CU365" s="142"/>
      <c r="CV365" s="143"/>
      <c r="CW365" s="143"/>
      <c r="CX365" s="143"/>
      <c r="CY365" s="142"/>
      <c r="CZ365" s="143"/>
      <c r="DA365" s="143"/>
      <c r="DB365" s="143"/>
      <c r="DC365" s="143"/>
      <c r="DD365" s="143"/>
      <c r="DE365" s="143"/>
      <c r="DF365" s="143"/>
      <c r="DG365" s="142">
        <f>SUM(DH365:DH365)</f>
      </c>
      <c r="DH365" s="143"/>
      <c r="DI365" s="142"/>
      <c r="DJ365" s="143"/>
      <c r="DK365" s="142">
        <f>SUM(DL365:DQ365)</f>
      </c>
      <c r="DL365" s="143"/>
      <c r="DM365" s="143"/>
      <c r="DN365" s="143"/>
      <c r="DO365" s="143"/>
      <c r="DP365" s="143"/>
      <c r="DQ365" s="143"/>
      <c r="DR365" s="143"/>
      <c r="DS365" s="143"/>
      <c r="DT365" s="143"/>
      <c r="DU365" s="143"/>
      <c r="DV365" s="143"/>
      <c r="DW365" s="143"/>
      <c r="DX365" s="142"/>
      <c r="DY365" s="143"/>
      <c r="DZ365" s="142"/>
      <c r="EA365" s="143"/>
      <c r="EB365" s="143"/>
      <c r="EC365" s="142"/>
      <c r="ED365" s="143"/>
      <c r="EF365" s="143"/>
      <c r="EG365" s="142">
        <f>SUM(EH365:EQ365)</f>
      </c>
      <c r="EH365" s="143"/>
      <c r="EI365" s="143"/>
      <c r="EJ365" s="143"/>
      <c r="EK365" s="143"/>
      <c r="EL365" s="143"/>
      <c r="EM365" s="143"/>
      <c r="EN365" s="143"/>
      <c r="EO365" s="143"/>
      <c r="EP365" s="143"/>
      <c r="EQ365" s="143"/>
      <c r="ER365" s="142">
        <f>SUM(ES365:ET365)</f>
      </c>
      <c r="ES365" s="143"/>
      <c r="ET365" s="143"/>
      <c r="EU365" s="144"/>
      <c r="FB365" s="146"/>
      <c r="FC365" s="146" cm="1">
        <f t="array" ref="FC365">ROW()-ROW(New[#Headers])</f>
        <v>359</v>
      </c>
    </row>
    <row r="366" spans="2:159" s="139" customFormat="1" ht="10.5" x14ac:dyDescent="0.2">
      <c r="B366" s="133"/>
      <c r="C366" s="133"/>
      <c r="E366" s="133"/>
      <c r="H366" s="133"/>
      <c r="N366" s="140"/>
      <c r="O366" s="140"/>
      <c r="P366" s="141"/>
      <c r="Q366" s="142">
        <f>SUM(R366:AQ366)</f>
      </c>
      <c r="R366" s="143"/>
      <c r="S366" s="143"/>
      <c r="T366" s="143"/>
      <c r="U366" s="143"/>
      <c r="V366" s="143"/>
      <c r="W366" s="143"/>
      <c r="X366" s="143"/>
      <c r="Y366" s="143"/>
      <c r="Z366" s="143"/>
      <c r="AA366" s="143"/>
      <c r="AB366" s="143"/>
      <c r="AC366" s="143"/>
      <c r="AD366" s="143"/>
      <c r="AE366" s="143"/>
      <c r="AF366" s="143"/>
      <c r="AG366" s="143"/>
      <c r="AH366" s="143"/>
      <c r="AI366" s="143"/>
      <c r="AJ366" s="143"/>
      <c r="AK366" s="143"/>
      <c r="AL366" s="143"/>
      <c r="AM366" s="143"/>
      <c r="AN366" s="143"/>
      <c r="AO366" s="143"/>
      <c r="AP366" s="143"/>
      <c r="AQ366" s="143"/>
      <c r="AR366" s="142">
        <f>SUM(AS366:AV366)</f>
      </c>
      <c r="AS366" s="143"/>
      <c r="AT366" s="143"/>
      <c r="AU366" s="143"/>
      <c r="AV366" s="143"/>
      <c r="AW366" s="142">
        <f>SUM(AX366:BI366)</f>
      </c>
      <c r="AX366" s="143"/>
      <c r="AY366" s="143"/>
      <c r="AZ366" s="143"/>
      <c r="BA366" s="143"/>
      <c r="BB366" s="143"/>
      <c r="BC366" s="143"/>
      <c r="BD366" s="143"/>
      <c r="BE366" s="143"/>
      <c r="BF366" s="143"/>
      <c r="BG366" s="143"/>
      <c r="BH366" s="143"/>
      <c r="BI366" s="143"/>
      <c r="BJ366" s="142"/>
      <c r="BK366" s="143"/>
      <c r="BL366" s="143"/>
      <c r="BM366" s="143"/>
      <c r="BN366" s="143"/>
      <c r="BO366" s="143"/>
      <c r="BP366" s="143"/>
      <c r="BQ366" s="142"/>
      <c r="BR366" s="143"/>
      <c r="BS366" s="143"/>
      <c r="BT366" s="142">
        <f>SUM(BU366:BW366)</f>
      </c>
      <c r="BU366" s="143"/>
      <c r="BV366" s="143"/>
      <c r="BW366" s="143"/>
      <c r="BX366" s="142">
        <f>SUM(BY366:CD366)</f>
      </c>
      <c r="BY366" s="143"/>
      <c r="BZ366" s="143"/>
      <c r="CA366" s="143"/>
      <c r="CB366" s="143"/>
      <c r="CC366" s="143"/>
      <c r="CD366" s="143"/>
      <c r="CE366" s="142"/>
      <c r="CF366" s="143"/>
      <c r="CG366" s="143"/>
      <c r="CH366" s="143"/>
      <c r="CI366" s="143"/>
      <c r="CJ366" s="143"/>
      <c r="CK366" s="142">
        <f>SUM(CL366:CN366)</f>
      </c>
      <c r="CL366" s="143"/>
      <c r="CM366" s="143"/>
      <c r="CN366" s="143"/>
      <c r="CO366" s="142">
        <f>SUM(CP366:CT366)</f>
      </c>
      <c r="CP366" s="143"/>
      <c r="CQ366" s="143"/>
      <c r="CR366" s="143"/>
      <c r="CS366" s="143"/>
      <c r="CT366" s="143"/>
      <c r="CU366" s="142"/>
      <c r="CV366" s="143"/>
      <c r="CW366" s="143"/>
      <c r="CX366" s="143"/>
      <c r="CY366" s="142"/>
      <c r="CZ366" s="143"/>
      <c r="DA366" s="143"/>
      <c r="DB366" s="143"/>
      <c r="DC366" s="143"/>
      <c r="DD366" s="143"/>
      <c r="DE366" s="143"/>
      <c r="DF366" s="143"/>
      <c r="DG366" s="142">
        <f>SUM(DH366:DH366)</f>
      </c>
      <c r="DH366" s="143"/>
      <c r="DI366" s="142"/>
      <c r="DJ366" s="143"/>
      <c r="DK366" s="142">
        <f>SUM(DL366:DQ366)</f>
      </c>
      <c r="DL366" s="143"/>
      <c r="DM366" s="143"/>
      <c r="DN366" s="143"/>
      <c r="DO366" s="143"/>
      <c r="DP366" s="143"/>
      <c r="DQ366" s="143"/>
      <c r="DR366" s="143"/>
      <c r="DS366" s="143"/>
      <c r="DT366" s="143"/>
      <c r="DU366" s="143"/>
      <c r="DV366" s="143"/>
      <c r="DW366" s="143"/>
      <c r="DX366" s="142"/>
      <c r="DY366" s="143"/>
      <c r="DZ366" s="142"/>
      <c r="EA366" s="143"/>
      <c r="EB366" s="143"/>
      <c r="EC366" s="142"/>
      <c r="ED366" s="143"/>
      <c r="EF366" s="143"/>
      <c r="EG366" s="142">
        <f>SUM(EH366:EQ366)</f>
      </c>
      <c r="EH366" s="143"/>
      <c r="EI366" s="143"/>
      <c r="EJ366" s="143"/>
      <c r="EK366" s="143"/>
      <c r="EL366" s="143"/>
      <c r="EM366" s="143"/>
      <c r="EN366" s="143"/>
      <c r="EO366" s="143"/>
      <c r="EP366" s="143"/>
      <c r="EQ366" s="143"/>
      <c r="ER366" s="142">
        <f>SUM(ES366:ET366)</f>
      </c>
      <c r="ES366" s="143"/>
      <c r="ET366" s="143"/>
      <c r="EU366" s="144"/>
      <c r="FB366" s="146"/>
      <c r="FC366" s="146" cm="1">
        <f t="array" ref="FC366">ROW()-ROW(New[#Headers])</f>
        <v>360</v>
      </c>
    </row>
    <row r="367" spans="2:159" s="139" customFormat="1" ht="10.5" x14ac:dyDescent="0.2">
      <c r="B367" s="133"/>
      <c r="C367" s="133"/>
      <c r="E367" s="133"/>
      <c r="H367" s="133"/>
      <c r="N367" s="140"/>
      <c r="O367" s="140"/>
      <c r="P367" s="141"/>
      <c r="Q367" s="142">
        <f>SUM(R367:AQ367)</f>
      </c>
      <c r="R367" s="143"/>
      <c r="S367" s="143"/>
      <c r="T367" s="143"/>
      <c r="U367" s="143"/>
      <c r="V367" s="143"/>
      <c r="W367" s="143"/>
      <c r="X367" s="143"/>
      <c r="Y367" s="143"/>
      <c r="Z367" s="143"/>
      <c r="AA367" s="143"/>
      <c r="AB367" s="143"/>
      <c r="AC367" s="143"/>
      <c r="AD367" s="143"/>
      <c r="AE367" s="143"/>
      <c r="AF367" s="143"/>
      <c r="AG367" s="143"/>
      <c r="AH367" s="143"/>
      <c r="AI367" s="143"/>
      <c r="AJ367" s="143"/>
      <c r="AK367" s="143"/>
      <c r="AL367" s="143"/>
      <c r="AM367" s="143"/>
      <c r="AN367" s="143"/>
      <c r="AO367" s="143"/>
      <c r="AP367" s="143"/>
      <c r="AQ367" s="143"/>
      <c r="AR367" s="142">
        <f>SUM(AS367:AV367)</f>
      </c>
      <c r="AS367" s="143"/>
      <c r="AT367" s="143"/>
      <c r="AU367" s="143"/>
      <c r="AV367" s="143"/>
      <c r="AW367" s="142">
        <f>SUM(AX367:BI367)</f>
      </c>
      <c r="AX367" s="143"/>
      <c r="AY367" s="143"/>
      <c r="AZ367" s="143"/>
      <c r="BA367" s="143"/>
      <c r="BB367" s="143"/>
      <c r="BC367" s="143"/>
      <c r="BD367" s="143"/>
      <c r="BE367" s="143"/>
      <c r="BF367" s="143"/>
      <c r="BG367" s="143"/>
      <c r="BH367" s="143"/>
      <c r="BI367" s="143"/>
      <c r="BJ367" s="142"/>
      <c r="BK367" s="143"/>
      <c r="BL367" s="143"/>
      <c r="BM367" s="143"/>
      <c r="BN367" s="143"/>
      <c r="BO367" s="143"/>
      <c r="BP367" s="143"/>
      <c r="BQ367" s="142"/>
      <c r="BR367" s="143"/>
      <c r="BS367" s="143"/>
      <c r="BT367" s="142">
        <f>SUM(BU367:BW367)</f>
      </c>
      <c r="BU367" s="143"/>
      <c r="BV367" s="143"/>
      <c r="BW367" s="143"/>
      <c r="BX367" s="142">
        <f>SUM(BY367:CD367)</f>
      </c>
      <c r="BY367" s="143"/>
      <c r="BZ367" s="143"/>
      <c r="CA367" s="143"/>
      <c r="CB367" s="143"/>
      <c r="CC367" s="143"/>
      <c r="CD367" s="143"/>
      <c r="CE367" s="142"/>
      <c r="CF367" s="143"/>
      <c r="CG367" s="143"/>
      <c r="CH367" s="143"/>
      <c r="CI367" s="143"/>
      <c r="CJ367" s="143"/>
      <c r="CK367" s="142">
        <f>SUM(CL367:CN367)</f>
      </c>
      <c r="CL367" s="143"/>
      <c r="CM367" s="143"/>
      <c r="CN367" s="143"/>
      <c r="CO367" s="142">
        <f>SUM(CP367:CT367)</f>
      </c>
      <c r="CP367" s="143"/>
      <c r="CQ367" s="143"/>
      <c r="CR367" s="143"/>
      <c r="CS367" s="143"/>
      <c r="CT367" s="143"/>
      <c r="CU367" s="142"/>
      <c r="CV367" s="143"/>
      <c r="CW367" s="143"/>
      <c r="CX367" s="143"/>
      <c r="CY367" s="142"/>
      <c r="CZ367" s="143"/>
      <c r="DA367" s="143"/>
      <c r="DB367" s="143"/>
      <c r="DC367" s="143"/>
      <c r="DD367" s="143"/>
      <c r="DE367" s="143"/>
      <c r="DF367" s="143"/>
      <c r="DG367" s="142">
        <f>SUM(DH367:DH367)</f>
      </c>
      <c r="DH367" s="143"/>
      <c r="DI367" s="142"/>
      <c r="DJ367" s="143"/>
      <c r="DK367" s="142">
        <f>SUM(DL367:DQ367)</f>
      </c>
      <c r="DL367" s="143"/>
      <c r="DM367" s="143"/>
      <c r="DN367" s="143"/>
      <c r="DO367" s="143"/>
      <c r="DP367" s="143"/>
      <c r="DQ367" s="143"/>
      <c r="DR367" s="143"/>
      <c r="DS367" s="143"/>
      <c r="DT367" s="143"/>
      <c r="DU367" s="143"/>
      <c r="DV367" s="143"/>
      <c r="DW367" s="143"/>
      <c r="DX367" s="142"/>
      <c r="DY367" s="143"/>
      <c r="DZ367" s="142"/>
      <c r="EA367" s="143"/>
      <c r="EB367" s="143"/>
      <c r="EC367" s="142"/>
      <c r="ED367" s="143"/>
      <c r="EF367" s="143"/>
      <c r="EG367" s="142">
        <f>SUM(EH367:EQ367)</f>
      </c>
      <c r="EH367" s="143"/>
      <c r="EI367" s="143"/>
      <c r="EJ367" s="143"/>
      <c r="EK367" s="143"/>
      <c r="EL367" s="143"/>
      <c r="EM367" s="143"/>
      <c r="EN367" s="143"/>
      <c r="EO367" s="143"/>
      <c r="EP367" s="143"/>
      <c r="EQ367" s="143"/>
      <c r="ER367" s="142">
        <f>SUM(ES367:ET367)</f>
      </c>
      <c r="ES367" s="143"/>
      <c r="ET367" s="143"/>
      <c r="EU367" s="144"/>
      <c r="FB367" s="146"/>
      <c r="FC367" s="146" cm="1">
        <f t="array" ref="FC367">ROW()-ROW(New[#Headers])</f>
        <v>361</v>
      </c>
    </row>
    <row r="368" spans="2:159" s="139" customFormat="1" ht="10.5" x14ac:dyDescent="0.2">
      <c r="B368" s="133"/>
      <c r="C368" s="133"/>
      <c r="E368" s="133"/>
      <c r="H368" s="133"/>
      <c r="N368" s="140"/>
      <c r="O368" s="140"/>
      <c r="P368" s="141"/>
      <c r="Q368" s="142">
        <f>SUM(R368:AQ368)</f>
      </c>
      <c r="R368" s="143"/>
      <c r="S368" s="143"/>
      <c r="T368" s="143"/>
      <c r="U368" s="143"/>
      <c r="V368" s="143"/>
      <c r="W368" s="143"/>
      <c r="X368" s="143"/>
      <c r="Y368" s="143"/>
      <c r="Z368" s="143"/>
      <c r="AA368" s="143"/>
      <c r="AB368" s="143"/>
      <c r="AC368" s="143"/>
      <c r="AD368" s="143"/>
      <c r="AE368" s="143"/>
      <c r="AF368" s="143"/>
      <c r="AG368" s="143"/>
      <c r="AH368" s="143"/>
      <c r="AI368" s="143"/>
      <c r="AJ368" s="143"/>
      <c r="AK368" s="143"/>
      <c r="AL368" s="143"/>
      <c r="AM368" s="143"/>
      <c r="AN368" s="143"/>
      <c r="AO368" s="143"/>
      <c r="AP368" s="143"/>
      <c r="AQ368" s="143"/>
      <c r="AR368" s="142">
        <f>SUM(AS368:AV368)</f>
      </c>
      <c r="AS368" s="143"/>
      <c r="AT368" s="143"/>
      <c r="AU368" s="143"/>
      <c r="AV368" s="143"/>
      <c r="AW368" s="142">
        <f>SUM(AX368:BI368)</f>
      </c>
      <c r="AX368" s="143"/>
      <c r="AY368" s="143"/>
      <c r="AZ368" s="143"/>
      <c r="BA368" s="143"/>
      <c r="BB368" s="143"/>
      <c r="BC368" s="143"/>
      <c r="BD368" s="143"/>
      <c r="BE368" s="143"/>
      <c r="BF368" s="143"/>
      <c r="BG368" s="143"/>
      <c r="BH368" s="143"/>
      <c r="BI368" s="143"/>
      <c r="BJ368" s="142"/>
      <c r="BK368" s="143"/>
      <c r="BL368" s="143"/>
      <c r="BM368" s="143"/>
      <c r="BN368" s="143"/>
      <c r="BO368" s="143"/>
      <c r="BP368" s="143"/>
      <c r="BQ368" s="142"/>
      <c r="BR368" s="143"/>
      <c r="BS368" s="143"/>
      <c r="BT368" s="142">
        <f>SUM(BU368:BW368)</f>
      </c>
      <c r="BU368" s="143"/>
      <c r="BV368" s="143"/>
      <c r="BW368" s="143"/>
      <c r="BX368" s="142">
        <f>SUM(BY368:CD368)</f>
      </c>
      <c r="BY368" s="143"/>
      <c r="BZ368" s="143"/>
      <c r="CA368" s="143"/>
      <c r="CB368" s="143"/>
      <c r="CC368" s="143"/>
      <c r="CD368" s="143"/>
      <c r="CE368" s="142"/>
      <c r="CF368" s="143"/>
      <c r="CG368" s="143"/>
      <c r="CH368" s="143"/>
      <c r="CI368" s="143"/>
      <c r="CJ368" s="143"/>
      <c r="CK368" s="142">
        <f>SUM(CL368:CN368)</f>
      </c>
      <c r="CL368" s="143"/>
      <c r="CM368" s="143"/>
      <c r="CN368" s="143"/>
      <c r="CO368" s="142">
        <f>SUM(CP368:CT368)</f>
      </c>
      <c r="CP368" s="143"/>
      <c r="CQ368" s="143"/>
      <c r="CR368" s="143"/>
      <c r="CS368" s="143"/>
      <c r="CT368" s="143"/>
      <c r="CU368" s="142"/>
      <c r="CV368" s="143"/>
      <c r="CW368" s="143"/>
      <c r="CX368" s="143"/>
      <c r="CY368" s="142"/>
      <c r="CZ368" s="143"/>
      <c r="DA368" s="143"/>
      <c r="DB368" s="143"/>
      <c r="DC368" s="143"/>
      <c r="DD368" s="143"/>
      <c r="DE368" s="143"/>
      <c r="DF368" s="143"/>
      <c r="DG368" s="142">
        <f>SUM(DH368:DH368)</f>
      </c>
      <c r="DH368" s="143"/>
      <c r="DI368" s="142"/>
      <c r="DJ368" s="143"/>
      <c r="DK368" s="142">
        <f>SUM(DL368:DQ368)</f>
      </c>
      <c r="DL368" s="143"/>
      <c r="DM368" s="143"/>
      <c r="DN368" s="143"/>
      <c r="DO368" s="143"/>
      <c r="DP368" s="143"/>
      <c r="DQ368" s="143"/>
      <c r="DR368" s="143"/>
      <c r="DS368" s="143"/>
      <c r="DT368" s="143"/>
      <c r="DU368" s="143"/>
      <c r="DV368" s="143"/>
      <c r="DW368" s="143"/>
      <c r="DX368" s="142"/>
      <c r="DY368" s="143"/>
      <c r="DZ368" s="142"/>
      <c r="EA368" s="143"/>
      <c r="EB368" s="143"/>
      <c r="EC368" s="142"/>
      <c r="ED368" s="143"/>
      <c r="EF368" s="143"/>
      <c r="EG368" s="142">
        <f>SUM(EH368:EQ368)</f>
      </c>
      <c r="EH368" s="143"/>
      <c r="EI368" s="143"/>
      <c r="EJ368" s="143"/>
      <c r="EK368" s="143"/>
      <c r="EL368" s="143"/>
      <c r="EM368" s="143"/>
      <c r="EN368" s="143"/>
      <c r="EO368" s="143"/>
      <c r="EP368" s="143"/>
      <c r="EQ368" s="143"/>
      <c r="ER368" s="142">
        <f>SUM(ES368:ET368)</f>
      </c>
      <c r="ES368" s="143"/>
      <c r="ET368" s="143"/>
      <c r="EU368" s="144"/>
      <c r="FB368" s="146"/>
      <c r="FC368" s="146" cm="1">
        <f t="array" ref="FC368">ROW()-ROW(New[#Headers])</f>
        <v>362</v>
      </c>
    </row>
    <row r="369" spans="2:159" s="139" customFormat="1" ht="10.5" x14ac:dyDescent="0.2">
      <c r="B369" s="133"/>
      <c r="C369" s="133"/>
      <c r="E369" s="133"/>
      <c r="H369" s="133"/>
      <c r="N369" s="140"/>
      <c r="O369" s="140"/>
      <c r="P369" s="141"/>
      <c r="Q369" s="142">
        <f>SUM(R369:AQ369)</f>
      </c>
      <c r="R369" s="143"/>
      <c r="S369" s="143"/>
      <c r="T369" s="143"/>
      <c r="U369" s="143"/>
      <c r="V369" s="143"/>
      <c r="W369" s="143"/>
      <c r="X369" s="143"/>
      <c r="Y369" s="143"/>
      <c r="Z369" s="143"/>
      <c r="AA369" s="143"/>
      <c r="AB369" s="143"/>
      <c r="AC369" s="143"/>
      <c r="AD369" s="143"/>
      <c r="AE369" s="143"/>
      <c r="AF369" s="143"/>
      <c r="AG369" s="143"/>
      <c r="AH369" s="143"/>
      <c r="AI369" s="143"/>
      <c r="AJ369" s="143"/>
      <c r="AK369" s="143"/>
      <c r="AL369" s="143"/>
      <c r="AM369" s="143"/>
      <c r="AN369" s="143"/>
      <c r="AO369" s="143"/>
      <c r="AP369" s="143"/>
      <c r="AQ369" s="143"/>
      <c r="AR369" s="142">
        <f>SUM(AS369:AV369)</f>
      </c>
      <c r="AS369" s="143"/>
      <c r="AT369" s="143"/>
      <c r="AU369" s="143"/>
      <c r="AV369" s="143"/>
      <c r="AW369" s="142">
        <f>SUM(AX369:BI369)</f>
      </c>
      <c r="AX369" s="143"/>
      <c r="AY369" s="143"/>
      <c r="AZ369" s="143"/>
      <c r="BA369" s="143"/>
      <c r="BB369" s="143"/>
      <c r="BC369" s="143"/>
      <c r="BD369" s="143"/>
      <c r="BE369" s="143"/>
      <c r="BF369" s="143"/>
      <c r="BG369" s="143"/>
      <c r="BH369" s="143"/>
      <c r="BI369" s="143"/>
      <c r="BJ369" s="142"/>
      <c r="BK369" s="143"/>
      <c r="BL369" s="143"/>
      <c r="BM369" s="143"/>
      <c r="BN369" s="143"/>
      <c r="BO369" s="143"/>
      <c r="BP369" s="143"/>
      <c r="BQ369" s="142"/>
      <c r="BR369" s="143"/>
      <c r="BS369" s="143"/>
      <c r="BT369" s="142">
        <f>SUM(BU369:BW369)</f>
      </c>
      <c r="BU369" s="143"/>
      <c r="BV369" s="143"/>
      <c r="BW369" s="143"/>
      <c r="BX369" s="142">
        <f>SUM(BY369:CD369)</f>
      </c>
      <c r="BY369" s="143"/>
      <c r="BZ369" s="143"/>
      <c r="CA369" s="143"/>
      <c r="CB369" s="143"/>
      <c r="CC369" s="143"/>
      <c r="CD369" s="143"/>
      <c r="CE369" s="142"/>
      <c r="CF369" s="143"/>
      <c r="CG369" s="143"/>
      <c r="CH369" s="143"/>
      <c r="CI369" s="143"/>
      <c r="CJ369" s="143"/>
      <c r="CK369" s="142">
        <f>SUM(CL369:CN369)</f>
      </c>
      <c r="CL369" s="143"/>
      <c r="CM369" s="143"/>
      <c r="CN369" s="143"/>
      <c r="CO369" s="142">
        <f>SUM(CP369:CT369)</f>
      </c>
      <c r="CP369" s="143"/>
      <c r="CQ369" s="143"/>
      <c r="CR369" s="143"/>
      <c r="CS369" s="143"/>
      <c r="CT369" s="143"/>
      <c r="CU369" s="142"/>
      <c r="CV369" s="143"/>
      <c r="CW369" s="143"/>
      <c r="CX369" s="143"/>
      <c r="CY369" s="142"/>
      <c r="CZ369" s="143"/>
      <c r="DA369" s="143"/>
      <c r="DB369" s="143"/>
      <c r="DC369" s="143"/>
      <c r="DD369" s="143"/>
      <c r="DE369" s="143"/>
      <c r="DF369" s="143"/>
      <c r="DG369" s="142">
        <f>SUM(DH369:DH369)</f>
      </c>
      <c r="DH369" s="143"/>
      <c r="DI369" s="142"/>
      <c r="DJ369" s="143"/>
      <c r="DK369" s="142">
        <f>SUM(DL369:DQ369)</f>
      </c>
      <c r="DL369" s="143"/>
      <c r="DM369" s="143"/>
      <c r="DN369" s="143"/>
      <c r="DO369" s="143"/>
      <c r="DP369" s="143"/>
      <c r="DQ369" s="143"/>
      <c r="DR369" s="143"/>
      <c r="DS369" s="143"/>
      <c r="DT369" s="143"/>
      <c r="DU369" s="143"/>
      <c r="DV369" s="143"/>
      <c r="DW369" s="143"/>
      <c r="DX369" s="142"/>
      <c r="DY369" s="143"/>
      <c r="DZ369" s="142"/>
      <c r="EA369" s="143"/>
      <c r="EB369" s="143"/>
      <c r="EC369" s="142"/>
      <c r="ED369" s="143"/>
      <c r="EF369" s="143"/>
      <c r="EG369" s="142">
        <f>SUM(EH369:EQ369)</f>
      </c>
      <c r="EH369" s="143"/>
      <c r="EI369" s="143"/>
      <c r="EJ369" s="143"/>
      <c r="EK369" s="143"/>
      <c r="EL369" s="143"/>
      <c r="EM369" s="143"/>
      <c r="EN369" s="143"/>
      <c r="EO369" s="143"/>
      <c r="EP369" s="143"/>
      <c r="EQ369" s="143"/>
      <c r="ER369" s="142">
        <f>SUM(ES369:ET369)</f>
      </c>
      <c r="ES369" s="143"/>
      <c r="ET369" s="143"/>
      <c r="EU369" s="144"/>
      <c r="FB369" s="146"/>
      <c r="FC369" s="146" cm="1">
        <f t="array" ref="FC369">ROW()-ROW(New[#Headers])</f>
        <v>363</v>
      </c>
    </row>
    <row r="370" spans="2:159" s="139" customFormat="1" ht="10.5" x14ac:dyDescent="0.2">
      <c r="B370" s="133"/>
      <c r="C370" s="133"/>
      <c r="E370" s="133"/>
      <c r="H370" s="133"/>
      <c r="N370" s="140"/>
      <c r="O370" s="140"/>
      <c r="P370" s="141"/>
      <c r="Q370" s="142">
        <f>SUM(R370:AQ370)</f>
      </c>
      <c r="R370" s="143"/>
      <c r="S370" s="143"/>
      <c r="T370" s="143"/>
      <c r="U370" s="143"/>
      <c r="V370" s="143"/>
      <c r="W370" s="143"/>
      <c r="X370" s="143"/>
      <c r="Y370" s="143"/>
      <c r="Z370" s="143"/>
      <c r="AA370" s="143"/>
      <c r="AB370" s="143"/>
      <c r="AC370" s="143"/>
      <c r="AD370" s="143"/>
      <c r="AE370" s="143"/>
      <c r="AF370" s="143"/>
      <c r="AG370" s="143"/>
      <c r="AH370" s="143"/>
      <c r="AI370" s="143"/>
      <c r="AJ370" s="143"/>
      <c r="AK370" s="143"/>
      <c r="AL370" s="143"/>
      <c r="AM370" s="143"/>
      <c r="AN370" s="143"/>
      <c r="AO370" s="143"/>
      <c r="AP370" s="143"/>
      <c r="AQ370" s="143"/>
      <c r="AR370" s="142">
        <f>SUM(AS370:AV370)</f>
      </c>
      <c r="AS370" s="143"/>
      <c r="AT370" s="143"/>
      <c r="AU370" s="143"/>
      <c r="AV370" s="143"/>
      <c r="AW370" s="142">
        <f>SUM(AX370:BI370)</f>
      </c>
      <c r="AX370" s="143"/>
      <c r="AY370" s="143"/>
      <c r="AZ370" s="143"/>
      <c r="BA370" s="143"/>
      <c r="BB370" s="143"/>
      <c r="BC370" s="143"/>
      <c r="BD370" s="143"/>
      <c r="BE370" s="143"/>
      <c r="BF370" s="143"/>
      <c r="BG370" s="143"/>
      <c r="BH370" s="143"/>
      <c r="BI370" s="143"/>
      <c r="BJ370" s="142"/>
      <c r="BK370" s="143"/>
      <c r="BL370" s="143"/>
      <c r="BM370" s="143"/>
      <c r="BN370" s="143"/>
      <c r="BO370" s="143"/>
      <c r="BP370" s="143"/>
      <c r="BQ370" s="142"/>
      <c r="BR370" s="143"/>
      <c r="BS370" s="143"/>
      <c r="BT370" s="142">
        <f>SUM(BU370:BW370)</f>
      </c>
      <c r="BU370" s="143"/>
      <c r="BV370" s="143"/>
      <c r="BW370" s="143"/>
      <c r="BX370" s="142">
        <f>SUM(BY370:CD370)</f>
      </c>
      <c r="BY370" s="143"/>
      <c r="BZ370" s="143"/>
      <c r="CA370" s="143"/>
      <c r="CB370" s="143"/>
      <c r="CC370" s="143"/>
      <c r="CD370" s="143"/>
      <c r="CE370" s="142"/>
      <c r="CF370" s="143"/>
      <c r="CG370" s="143"/>
      <c r="CH370" s="143"/>
      <c r="CI370" s="143"/>
      <c r="CJ370" s="143"/>
      <c r="CK370" s="142">
        <f>SUM(CL370:CN370)</f>
      </c>
      <c r="CL370" s="143"/>
      <c r="CM370" s="143"/>
      <c r="CN370" s="143"/>
      <c r="CO370" s="142">
        <f>SUM(CP370:CT370)</f>
      </c>
      <c r="CP370" s="143"/>
      <c r="CQ370" s="143"/>
      <c r="CR370" s="143"/>
      <c r="CS370" s="143"/>
      <c r="CT370" s="143"/>
      <c r="CU370" s="142"/>
      <c r="CV370" s="143"/>
      <c r="CW370" s="143"/>
      <c r="CX370" s="143"/>
      <c r="CY370" s="142"/>
      <c r="CZ370" s="143"/>
      <c r="DA370" s="143"/>
      <c r="DB370" s="143"/>
      <c r="DC370" s="143"/>
      <c r="DD370" s="143"/>
      <c r="DE370" s="143"/>
      <c r="DF370" s="143"/>
      <c r="DG370" s="142">
        <f>SUM(DH370:DH370)</f>
      </c>
      <c r="DH370" s="143"/>
      <c r="DI370" s="142"/>
      <c r="DJ370" s="143"/>
      <c r="DK370" s="142">
        <f>SUM(DL370:DQ370)</f>
      </c>
      <c r="DL370" s="143"/>
      <c r="DM370" s="143"/>
      <c r="DN370" s="143"/>
      <c r="DO370" s="143"/>
      <c r="DP370" s="143"/>
      <c r="DQ370" s="143"/>
      <c r="DR370" s="143"/>
      <c r="DS370" s="143"/>
      <c r="DT370" s="143"/>
      <c r="DU370" s="143"/>
      <c r="DV370" s="143"/>
      <c r="DW370" s="143"/>
      <c r="DX370" s="142"/>
      <c r="DY370" s="143"/>
      <c r="DZ370" s="142"/>
      <c r="EA370" s="143"/>
      <c r="EB370" s="143"/>
      <c r="EC370" s="142"/>
      <c r="ED370" s="143"/>
      <c r="EF370" s="143"/>
      <c r="EG370" s="142">
        <f>SUM(EH370:EQ370)</f>
      </c>
      <c r="EH370" s="143"/>
      <c r="EI370" s="143"/>
      <c r="EJ370" s="143"/>
      <c r="EK370" s="143"/>
      <c r="EL370" s="143"/>
      <c r="EM370" s="143"/>
      <c r="EN370" s="143"/>
      <c r="EO370" s="143"/>
      <c r="EP370" s="143"/>
      <c r="EQ370" s="143"/>
      <c r="ER370" s="142">
        <f>SUM(ES370:ET370)</f>
      </c>
      <c r="ES370" s="143"/>
      <c r="ET370" s="143"/>
      <c r="EU370" s="144"/>
      <c r="FB370" s="146"/>
      <c r="FC370" s="146" cm="1">
        <f t="array" ref="FC370">ROW()-ROW(New[#Headers])</f>
        <v>364</v>
      </c>
    </row>
    <row r="371" spans="2:159" s="139" customFormat="1" ht="10.5" x14ac:dyDescent="0.2">
      <c r="B371" s="133"/>
      <c r="C371" s="133"/>
      <c r="E371" s="133"/>
      <c r="H371" s="133"/>
      <c r="N371" s="140"/>
      <c r="O371" s="140"/>
      <c r="P371" s="141"/>
      <c r="Q371" s="142">
        <f>SUM(R371:AQ371)</f>
      </c>
      <c r="R371" s="143"/>
      <c r="S371" s="143"/>
      <c r="T371" s="143"/>
      <c r="U371" s="143"/>
      <c r="V371" s="143"/>
      <c r="W371" s="143"/>
      <c r="X371" s="143"/>
      <c r="Y371" s="143"/>
      <c r="Z371" s="143"/>
      <c r="AA371" s="143"/>
      <c r="AB371" s="143"/>
      <c r="AC371" s="143"/>
      <c r="AD371" s="143"/>
      <c r="AE371" s="143"/>
      <c r="AF371" s="143"/>
      <c r="AG371" s="143"/>
      <c r="AH371" s="143"/>
      <c r="AI371" s="143"/>
      <c r="AJ371" s="143"/>
      <c r="AK371" s="143"/>
      <c r="AL371" s="143"/>
      <c r="AM371" s="143"/>
      <c r="AN371" s="143"/>
      <c r="AO371" s="143"/>
      <c r="AP371" s="143"/>
      <c r="AQ371" s="143"/>
      <c r="AR371" s="142">
        <f>SUM(AS371:AV371)</f>
      </c>
      <c r="AS371" s="143"/>
      <c r="AT371" s="143"/>
      <c r="AU371" s="143"/>
      <c r="AV371" s="143"/>
      <c r="AW371" s="142">
        <f>SUM(AX371:BI371)</f>
      </c>
      <c r="AX371" s="143"/>
      <c r="AY371" s="143"/>
      <c r="AZ371" s="143"/>
      <c r="BA371" s="143"/>
      <c r="BB371" s="143"/>
      <c r="BC371" s="143"/>
      <c r="BD371" s="143"/>
      <c r="BE371" s="143"/>
      <c r="BF371" s="143"/>
      <c r="BG371" s="143"/>
      <c r="BH371" s="143"/>
      <c r="BI371" s="143"/>
      <c r="BJ371" s="142"/>
      <c r="BK371" s="143"/>
      <c r="BL371" s="143"/>
      <c r="BM371" s="143"/>
      <c r="BN371" s="143"/>
      <c r="BO371" s="143"/>
      <c r="BP371" s="143"/>
      <c r="BQ371" s="142"/>
      <c r="BR371" s="143"/>
      <c r="BS371" s="143"/>
      <c r="BT371" s="142">
        <f>SUM(BU371:BW371)</f>
      </c>
      <c r="BU371" s="143"/>
      <c r="BV371" s="143"/>
      <c r="BW371" s="143"/>
      <c r="BX371" s="142">
        <f>SUM(BY371:CD371)</f>
      </c>
      <c r="BY371" s="143"/>
      <c r="BZ371" s="143"/>
      <c r="CA371" s="143"/>
      <c r="CB371" s="143"/>
      <c r="CC371" s="143"/>
      <c r="CD371" s="143"/>
      <c r="CE371" s="142"/>
      <c r="CF371" s="143"/>
      <c r="CG371" s="143"/>
      <c r="CH371" s="143"/>
      <c r="CI371" s="143"/>
      <c r="CJ371" s="143"/>
      <c r="CK371" s="142">
        <f>SUM(CL371:CN371)</f>
      </c>
      <c r="CL371" s="143"/>
      <c r="CM371" s="143"/>
      <c r="CN371" s="143"/>
      <c r="CO371" s="142">
        <f>SUM(CP371:CT371)</f>
      </c>
      <c r="CP371" s="143"/>
      <c r="CQ371" s="143"/>
      <c r="CR371" s="143"/>
      <c r="CS371" s="143"/>
      <c r="CT371" s="143"/>
      <c r="CU371" s="142"/>
      <c r="CV371" s="143"/>
      <c r="CW371" s="143"/>
      <c r="CX371" s="143"/>
      <c r="CY371" s="142"/>
      <c r="CZ371" s="143"/>
      <c r="DA371" s="143"/>
      <c r="DB371" s="143"/>
      <c r="DC371" s="143"/>
      <c r="DD371" s="143"/>
      <c r="DE371" s="143"/>
      <c r="DF371" s="143"/>
      <c r="DG371" s="142">
        <f>SUM(DH371:DH371)</f>
      </c>
      <c r="DH371" s="143"/>
      <c r="DI371" s="142"/>
      <c r="DJ371" s="143"/>
      <c r="DK371" s="142">
        <f>SUM(DL371:DQ371)</f>
      </c>
      <c r="DL371" s="143"/>
      <c r="DM371" s="143"/>
      <c r="DN371" s="143"/>
      <c r="DO371" s="143"/>
      <c r="DP371" s="143"/>
      <c r="DQ371" s="143"/>
      <c r="DR371" s="143"/>
      <c r="DS371" s="143"/>
      <c r="DT371" s="143"/>
      <c r="DU371" s="143"/>
      <c r="DV371" s="143"/>
      <c r="DW371" s="143"/>
      <c r="DX371" s="142"/>
      <c r="DY371" s="143"/>
      <c r="DZ371" s="142"/>
      <c r="EA371" s="143"/>
      <c r="EB371" s="143"/>
      <c r="EC371" s="142"/>
      <c r="ED371" s="143"/>
      <c r="EF371" s="143"/>
      <c r="EG371" s="142">
        <f>SUM(EH371:EQ371)</f>
      </c>
      <c r="EH371" s="143"/>
      <c r="EI371" s="143"/>
      <c r="EJ371" s="143"/>
      <c r="EK371" s="143"/>
      <c r="EL371" s="143"/>
      <c r="EM371" s="143"/>
      <c r="EN371" s="143"/>
      <c r="EO371" s="143"/>
      <c r="EP371" s="143"/>
      <c r="EQ371" s="143"/>
      <c r="ER371" s="142">
        <f>SUM(ES371:ET371)</f>
      </c>
      <c r="ES371" s="143"/>
      <c r="ET371" s="143"/>
      <c r="EU371" s="144"/>
      <c r="FB371" s="146"/>
      <c r="FC371" s="146" cm="1">
        <f t="array" ref="FC371">ROW()-ROW(New[#Headers])</f>
        <v>365</v>
      </c>
    </row>
    <row r="372" spans="2:159" s="139" customFormat="1" ht="10.5" x14ac:dyDescent="0.2">
      <c r="B372" s="133"/>
      <c r="C372" s="133"/>
      <c r="E372" s="133"/>
      <c r="H372" s="133"/>
      <c r="N372" s="140"/>
      <c r="O372" s="140"/>
      <c r="P372" s="141"/>
      <c r="Q372" s="142">
        <f>SUM(R372:AQ372)</f>
      </c>
      <c r="R372" s="143"/>
      <c r="S372" s="143"/>
      <c r="T372" s="143"/>
      <c r="U372" s="143"/>
      <c r="V372" s="143"/>
      <c r="W372" s="143"/>
      <c r="X372" s="143"/>
      <c r="Y372" s="143"/>
      <c r="Z372" s="143"/>
      <c r="AA372" s="143"/>
      <c r="AB372" s="143"/>
      <c r="AC372" s="143"/>
      <c r="AD372" s="143"/>
      <c r="AE372" s="143"/>
      <c r="AF372" s="143"/>
      <c r="AG372" s="143"/>
      <c r="AH372" s="143"/>
      <c r="AI372" s="143"/>
      <c r="AJ372" s="143"/>
      <c r="AK372" s="143"/>
      <c r="AL372" s="143"/>
      <c r="AM372" s="143"/>
      <c r="AN372" s="143"/>
      <c r="AO372" s="143"/>
      <c r="AP372" s="143"/>
      <c r="AQ372" s="143"/>
      <c r="AR372" s="142">
        <f>SUM(AS372:AV372)</f>
      </c>
      <c r="AS372" s="143"/>
      <c r="AT372" s="143"/>
      <c r="AU372" s="143"/>
      <c r="AV372" s="143"/>
      <c r="AW372" s="142">
        <f>SUM(AX372:BI372)</f>
      </c>
      <c r="AX372" s="143"/>
      <c r="AY372" s="143"/>
      <c r="AZ372" s="143"/>
      <c r="BA372" s="143"/>
      <c r="BB372" s="143"/>
      <c r="BC372" s="143"/>
      <c r="BD372" s="143"/>
      <c r="BE372" s="143"/>
      <c r="BF372" s="143"/>
      <c r="BG372" s="143"/>
      <c r="BH372" s="143"/>
      <c r="BI372" s="143"/>
      <c r="BJ372" s="142"/>
      <c r="BK372" s="143"/>
      <c r="BL372" s="143"/>
      <c r="BM372" s="143"/>
      <c r="BN372" s="143"/>
      <c r="BO372" s="143"/>
      <c r="BP372" s="143"/>
      <c r="BQ372" s="142"/>
      <c r="BR372" s="143"/>
      <c r="BS372" s="143"/>
      <c r="BT372" s="142">
        <f>SUM(BU372:BW372)</f>
      </c>
      <c r="BU372" s="143"/>
      <c r="BV372" s="143"/>
      <c r="BW372" s="143"/>
      <c r="BX372" s="142">
        <f>SUM(BY372:CD372)</f>
      </c>
      <c r="BY372" s="143"/>
      <c r="BZ372" s="143"/>
      <c r="CA372" s="143"/>
      <c r="CB372" s="143"/>
      <c r="CC372" s="143"/>
      <c r="CD372" s="143"/>
      <c r="CE372" s="142"/>
      <c r="CF372" s="143"/>
      <c r="CG372" s="143"/>
      <c r="CH372" s="143"/>
      <c r="CI372" s="143"/>
      <c r="CJ372" s="143"/>
      <c r="CK372" s="142">
        <f>SUM(CL372:CN372)</f>
      </c>
      <c r="CL372" s="143"/>
      <c r="CM372" s="143"/>
      <c r="CN372" s="143"/>
      <c r="CO372" s="142">
        <f>SUM(CP372:CT372)</f>
      </c>
      <c r="CP372" s="143"/>
      <c r="CQ372" s="143"/>
      <c r="CR372" s="143"/>
      <c r="CS372" s="143"/>
      <c r="CT372" s="143"/>
      <c r="CU372" s="142"/>
      <c r="CV372" s="143"/>
      <c r="CW372" s="143"/>
      <c r="CX372" s="143"/>
      <c r="CY372" s="142"/>
      <c r="CZ372" s="143"/>
      <c r="DA372" s="143"/>
      <c r="DB372" s="143"/>
      <c r="DC372" s="143"/>
      <c r="DD372" s="143"/>
      <c r="DE372" s="143"/>
      <c r="DF372" s="143"/>
      <c r="DG372" s="142">
        <f>SUM(DH372:DH372)</f>
      </c>
      <c r="DH372" s="143"/>
      <c r="DI372" s="142"/>
      <c r="DJ372" s="143"/>
      <c r="DK372" s="142">
        <f>SUM(DL372:DQ372)</f>
      </c>
      <c r="DL372" s="143"/>
      <c r="DM372" s="143"/>
      <c r="DN372" s="143"/>
      <c r="DO372" s="143"/>
      <c r="DP372" s="143"/>
      <c r="DQ372" s="143"/>
      <c r="DR372" s="143"/>
      <c r="DS372" s="143"/>
      <c r="DT372" s="143"/>
      <c r="DU372" s="143"/>
      <c r="DV372" s="143"/>
      <c r="DW372" s="143"/>
      <c r="DX372" s="142"/>
      <c r="DY372" s="143"/>
      <c r="DZ372" s="142"/>
      <c r="EA372" s="143"/>
      <c r="EB372" s="143"/>
      <c r="EC372" s="142"/>
      <c r="ED372" s="143"/>
      <c r="EF372" s="143"/>
      <c r="EG372" s="142">
        <f>SUM(EH372:EQ372)</f>
      </c>
      <c r="EH372" s="143"/>
      <c r="EI372" s="143"/>
      <c r="EJ372" s="143"/>
      <c r="EK372" s="143"/>
      <c r="EL372" s="143"/>
      <c r="EM372" s="143"/>
      <c r="EN372" s="143"/>
      <c r="EO372" s="143"/>
      <c r="EP372" s="143"/>
      <c r="EQ372" s="143"/>
      <c r="ER372" s="142">
        <f>SUM(ES372:ET372)</f>
      </c>
      <c r="ES372" s="143"/>
      <c r="ET372" s="143"/>
      <c r="EU372" s="144"/>
      <c r="FB372" s="146"/>
      <c r="FC372" s="146" cm="1">
        <f t="array" ref="FC372">ROW()-ROW(New[#Headers])</f>
        <v>366</v>
      </c>
    </row>
    <row r="373" spans="2:159" s="139" customFormat="1" ht="10.5" x14ac:dyDescent="0.2">
      <c r="B373" s="133"/>
      <c r="C373" s="133"/>
      <c r="E373" s="133"/>
      <c r="H373" s="133"/>
      <c r="N373" s="140"/>
      <c r="O373" s="140"/>
      <c r="P373" s="141"/>
      <c r="Q373" s="142">
        <f>SUM(R373:AQ373)</f>
      </c>
      <c r="R373" s="143"/>
      <c r="S373" s="143"/>
      <c r="T373" s="143"/>
      <c r="U373" s="143"/>
      <c r="V373" s="143"/>
      <c r="W373" s="143"/>
      <c r="X373" s="143"/>
      <c r="Y373" s="143"/>
      <c r="Z373" s="143"/>
      <c r="AA373" s="143"/>
      <c r="AB373" s="143"/>
      <c r="AC373" s="143"/>
      <c r="AD373" s="143"/>
      <c r="AE373" s="143"/>
      <c r="AF373" s="143"/>
      <c r="AG373" s="143"/>
      <c r="AH373" s="143"/>
      <c r="AI373" s="143"/>
      <c r="AJ373" s="143"/>
      <c r="AK373" s="143"/>
      <c r="AL373" s="143"/>
      <c r="AM373" s="143"/>
      <c r="AN373" s="143"/>
      <c r="AO373" s="143"/>
      <c r="AP373" s="143"/>
      <c r="AQ373" s="143"/>
      <c r="AR373" s="142">
        <f>SUM(AS373:AV373)</f>
      </c>
      <c r="AS373" s="143"/>
      <c r="AT373" s="143"/>
      <c r="AU373" s="143"/>
      <c r="AV373" s="143"/>
      <c r="AW373" s="142">
        <f>SUM(AX373:BI373)</f>
      </c>
      <c r="AX373" s="143"/>
      <c r="AY373" s="143"/>
      <c r="AZ373" s="143"/>
      <c r="BA373" s="143"/>
      <c r="BB373" s="143"/>
      <c r="BC373" s="143"/>
      <c r="BD373" s="143"/>
      <c r="BE373" s="143"/>
      <c r="BF373" s="143"/>
      <c r="BG373" s="143"/>
      <c r="BH373" s="143"/>
      <c r="BI373" s="143"/>
      <c r="BJ373" s="142"/>
      <c r="BK373" s="143"/>
      <c r="BL373" s="143"/>
      <c r="BM373" s="143"/>
      <c r="BN373" s="143"/>
      <c r="BO373" s="143"/>
      <c r="BP373" s="143"/>
      <c r="BQ373" s="142"/>
      <c r="BR373" s="143"/>
      <c r="BS373" s="143"/>
      <c r="BT373" s="142">
        <f>SUM(BU373:BW373)</f>
      </c>
      <c r="BU373" s="143"/>
      <c r="BV373" s="143"/>
      <c r="BW373" s="143"/>
      <c r="BX373" s="142">
        <f>SUM(BY373:CD373)</f>
      </c>
      <c r="BY373" s="143"/>
      <c r="BZ373" s="143"/>
      <c r="CA373" s="143"/>
      <c r="CB373" s="143"/>
      <c r="CC373" s="143"/>
      <c r="CD373" s="143"/>
      <c r="CE373" s="142"/>
      <c r="CF373" s="143"/>
      <c r="CG373" s="143"/>
      <c r="CH373" s="143"/>
      <c r="CI373" s="143"/>
      <c r="CJ373" s="143"/>
      <c r="CK373" s="142">
        <f>SUM(CL373:CN373)</f>
      </c>
      <c r="CL373" s="143"/>
      <c r="CM373" s="143"/>
      <c r="CN373" s="143"/>
      <c r="CO373" s="142">
        <f>SUM(CP373:CT373)</f>
      </c>
      <c r="CP373" s="143"/>
      <c r="CQ373" s="143"/>
      <c r="CR373" s="143"/>
      <c r="CS373" s="143"/>
      <c r="CT373" s="143"/>
      <c r="CU373" s="142"/>
      <c r="CV373" s="143"/>
      <c r="CW373" s="143"/>
      <c r="CX373" s="143"/>
      <c r="CY373" s="142"/>
      <c r="CZ373" s="143"/>
      <c r="DA373" s="143"/>
      <c r="DB373" s="143"/>
      <c r="DC373" s="143"/>
      <c r="DD373" s="143"/>
      <c r="DE373" s="143"/>
      <c r="DF373" s="143"/>
      <c r="DG373" s="142">
        <f>SUM(DH373:DH373)</f>
      </c>
      <c r="DH373" s="143"/>
      <c r="DI373" s="142"/>
      <c r="DJ373" s="143"/>
      <c r="DK373" s="142">
        <f>SUM(DL373:DQ373)</f>
      </c>
      <c r="DL373" s="143"/>
      <c r="DM373" s="143"/>
      <c r="DN373" s="143"/>
      <c r="DO373" s="143"/>
      <c r="DP373" s="143"/>
      <c r="DQ373" s="143"/>
      <c r="DR373" s="143"/>
      <c r="DS373" s="143"/>
      <c r="DT373" s="143"/>
      <c r="DU373" s="143"/>
      <c r="DV373" s="143"/>
      <c r="DW373" s="143"/>
      <c r="DX373" s="142"/>
      <c r="DY373" s="143"/>
      <c r="DZ373" s="142"/>
      <c r="EA373" s="143"/>
      <c r="EB373" s="143"/>
      <c r="EC373" s="142"/>
      <c r="ED373" s="143"/>
      <c r="EF373" s="143"/>
      <c r="EG373" s="142">
        <f>SUM(EH373:EQ373)</f>
      </c>
      <c r="EH373" s="143"/>
      <c r="EI373" s="143"/>
      <c r="EJ373" s="143"/>
      <c r="EK373" s="143"/>
      <c r="EL373" s="143"/>
      <c r="EM373" s="143"/>
      <c r="EN373" s="143"/>
      <c r="EO373" s="143"/>
      <c r="EP373" s="143"/>
      <c r="EQ373" s="143"/>
      <c r="ER373" s="142">
        <f>SUM(ES373:ET373)</f>
      </c>
      <c r="ES373" s="143"/>
      <c r="ET373" s="143"/>
      <c r="EU373" s="144"/>
      <c r="FB373" s="146"/>
      <c r="FC373" s="146" cm="1">
        <f t="array" ref="FC373">ROW()-ROW(New[#Headers])</f>
        <v>367</v>
      </c>
    </row>
    <row r="374" spans="2:159" s="139" customFormat="1" ht="10.5" x14ac:dyDescent="0.2">
      <c r="B374" s="133"/>
      <c r="C374" s="133"/>
      <c r="E374" s="133"/>
      <c r="H374" s="133"/>
      <c r="N374" s="140"/>
      <c r="O374" s="140"/>
      <c r="P374" s="141"/>
      <c r="Q374" s="142">
        <f>SUM(R374:AQ374)</f>
      </c>
      <c r="R374" s="143"/>
      <c r="S374" s="143"/>
      <c r="T374" s="143"/>
      <c r="U374" s="143"/>
      <c r="V374" s="143"/>
      <c r="W374" s="143"/>
      <c r="X374" s="143"/>
      <c r="Y374" s="143"/>
      <c r="Z374" s="143"/>
      <c r="AA374" s="143"/>
      <c r="AB374" s="143"/>
      <c r="AC374" s="143"/>
      <c r="AD374" s="143"/>
      <c r="AE374" s="143"/>
      <c r="AF374" s="143"/>
      <c r="AG374" s="143"/>
      <c r="AH374" s="143"/>
      <c r="AI374" s="143"/>
      <c r="AJ374" s="143"/>
      <c r="AK374" s="143"/>
      <c r="AL374" s="143"/>
      <c r="AM374" s="143"/>
      <c r="AN374" s="143"/>
      <c r="AO374" s="143"/>
      <c r="AP374" s="143"/>
      <c r="AQ374" s="143"/>
      <c r="AR374" s="142">
        <f>SUM(AS374:AV374)</f>
      </c>
      <c r="AS374" s="143"/>
      <c r="AT374" s="143"/>
      <c r="AU374" s="143"/>
      <c r="AV374" s="143"/>
      <c r="AW374" s="142">
        <f>SUM(AX374:BI374)</f>
      </c>
      <c r="AX374" s="143"/>
      <c r="AY374" s="143"/>
      <c r="AZ374" s="143"/>
      <c r="BA374" s="143"/>
      <c r="BB374" s="143"/>
      <c r="BC374" s="143"/>
      <c r="BD374" s="143"/>
      <c r="BE374" s="143"/>
      <c r="BF374" s="143"/>
      <c r="BG374" s="143"/>
      <c r="BH374" s="143"/>
      <c r="BI374" s="143"/>
      <c r="BJ374" s="142"/>
      <c r="BK374" s="143"/>
      <c r="BL374" s="143"/>
      <c r="BM374" s="143"/>
      <c r="BN374" s="143"/>
      <c r="BO374" s="143"/>
      <c r="BP374" s="143"/>
      <c r="BQ374" s="142"/>
      <c r="BR374" s="143"/>
      <c r="BS374" s="143"/>
      <c r="BT374" s="142">
        <f>SUM(BU374:BW374)</f>
      </c>
      <c r="BU374" s="143"/>
      <c r="BV374" s="143"/>
      <c r="BW374" s="143"/>
      <c r="BX374" s="142">
        <f>SUM(BY374:CD374)</f>
      </c>
      <c r="BY374" s="143"/>
      <c r="BZ374" s="143"/>
      <c r="CA374" s="143"/>
      <c r="CB374" s="143"/>
      <c r="CC374" s="143"/>
      <c r="CD374" s="143"/>
      <c r="CE374" s="142"/>
      <c r="CF374" s="143"/>
      <c r="CG374" s="143"/>
      <c r="CH374" s="143"/>
      <c r="CI374" s="143"/>
      <c r="CJ374" s="143"/>
      <c r="CK374" s="142">
        <f>SUM(CL374:CN374)</f>
      </c>
      <c r="CL374" s="143"/>
      <c r="CM374" s="143"/>
      <c r="CN374" s="143"/>
      <c r="CO374" s="142">
        <f>SUM(CP374:CT374)</f>
      </c>
      <c r="CP374" s="143"/>
      <c r="CQ374" s="143"/>
      <c r="CR374" s="143"/>
      <c r="CS374" s="143"/>
      <c r="CT374" s="143"/>
      <c r="CU374" s="142"/>
      <c r="CV374" s="143"/>
      <c r="CW374" s="143"/>
      <c r="CX374" s="143"/>
      <c r="CY374" s="142"/>
      <c r="CZ374" s="143"/>
      <c r="DA374" s="143"/>
      <c r="DB374" s="143"/>
      <c r="DC374" s="143"/>
      <c r="DD374" s="143"/>
      <c r="DE374" s="143"/>
      <c r="DF374" s="143"/>
      <c r="DG374" s="142">
        <f>SUM(DH374:DH374)</f>
      </c>
      <c r="DH374" s="143"/>
      <c r="DI374" s="142"/>
      <c r="DJ374" s="143"/>
      <c r="DK374" s="142">
        <f>SUM(DL374:DQ374)</f>
      </c>
      <c r="DL374" s="143"/>
      <c r="DM374" s="143"/>
      <c r="DN374" s="143"/>
      <c r="DO374" s="143"/>
      <c r="DP374" s="143"/>
      <c r="DQ374" s="143"/>
      <c r="DR374" s="143"/>
      <c r="DS374" s="143"/>
      <c r="DT374" s="143"/>
      <c r="DU374" s="143"/>
      <c r="DV374" s="143"/>
      <c r="DW374" s="143"/>
      <c r="DX374" s="142"/>
      <c r="DY374" s="143"/>
      <c r="DZ374" s="142"/>
      <c r="EA374" s="143"/>
      <c r="EB374" s="143"/>
      <c r="EC374" s="142"/>
      <c r="ED374" s="143"/>
      <c r="EF374" s="143"/>
      <c r="EG374" s="142">
        <f>SUM(EH374:EQ374)</f>
      </c>
      <c r="EH374" s="143"/>
      <c r="EI374" s="143"/>
      <c r="EJ374" s="143"/>
      <c r="EK374" s="143"/>
      <c r="EL374" s="143"/>
      <c r="EM374" s="143"/>
      <c r="EN374" s="143"/>
      <c r="EO374" s="143"/>
      <c r="EP374" s="143"/>
      <c r="EQ374" s="143"/>
      <c r="ER374" s="142">
        <f>SUM(ES374:ET374)</f>
      </c>
      <c r="ES374" s="143"/>
      <c r="ET374" s="143"/>
      <c r="EU374" s="144"/>
      <c r="FB374" s="146"/>
      <c r="FC374" s="146" cm="1">
        <f t="array" ref="FC374">ROW()-ROW(New[#Headers])</f>
        <v>368</v>
      </c>
    </row>
    <row r="375" spans="2:159" s="139" customFormat="1" ht="10.5" x14ac:dyDescent="0.2">
      <c r="B375" s="133"/>
      <c r="C375" s="133"/>
      <c r="E375" s="133"/>
      <c r="H375" s="133"/>
      <c r="N375" s="140"/>
      <c r="O375" s="140"/>
      <c r="P375" s="141"/>
      <c r="Q375" s="142">
        <f>SUM(R375:AQ375)</f>
      </c>
      <c r="R375" s="143"/>
      <c r="S375" s="143"/>
      <c r="T375" s="143"/>
      <c r="U375" s="143"/>
      <c r="V375" s="143"/>
      <c r="W375" s="143"/>
      <c r="X375" s="143"/>
      <c r="Y375" s="143"/>
      <c r="Z375" s="143"/>
      <c r="AA375" s="143"/>
      <c r="AB375" s="143"/>
      <c r="AC375" s="143"/>
      <c r="AD375" s="143"/>
      <c r="AE375" s="143"/>
      <c r="AF375" s="143"/>
      <c r="AG375" s="143"/>
      <c r="AH375" s="143"/>
      <c r="AI375" s="143"/>
      <c r="AJ375" s="143"/>
      <c r="AK375" s="143"/>
      <c r="AL375" s="143"/>
      <c r="AM375" s="143"/>
      <c r="AN375" s="143"/>
      <c r="AO375" s="143"/>
      <c r="AP375" s="143"/>
      <c r="AQ375" s="143"/>
      <c r="AR375" s="142">
        <f>SUM(AS375:AV375)</f>
      </c>
      <c r="AS375" s="143"/>
      <c r="AT375" s="143"/>
      <c r="AU375" s="143"/>
      <c r="AV375" s="143"/>
      <c r="AW375" s="142">
        <f>SUM(AX375:BI375)</f>
      </c>
      <c r="AX375" s="143"/>
      <c r="AY375" s="143"/>
      <c r="AZ375" s="143"/>
      <c r="BA375" s="143"/>
      <c r="BB375" s="143"/>
      <c r="BC375" s="143"/>
      <c r="BD375" s="143"/>
      <c r="BE375" s="143"/>
      <c r="BF375" s="143"/>
      <c r="BG375" s="143"/>
      <c r="BH375" s="143"/>
      <c r="BI375" s="143"/>
      <c r="BJ375" s="142"/>
      <c r="BK375" s="143"/>
      <c r="BL375" s="143"/>
      <c r="BM375" s="143"/>
      <c r="BN375" s="143"/>
      <c r="BO375" s="143"/>
      <c r="BP375" s="143"/>
      <c r="BQ375" s="142"/>
      <c r="BR375" s="143"/>
      <c r="BS375" s="143"/>
      <c r="BT375" s="142">
        <f>SUM(BU375:BW375)</f>
      </c>
      <c r="BU375" s="143"/>
      <c r="BV375" s="143"/>
      <c r="BW375" s="143"/>
      <c r="BX375" s="142">
        <f>SUM(BY375:CD375)</f>
      </c>
      <c r="BY375" s="143"/>
      <c r="BZ375" s="143"/>
      <c r="CA375" s="143"/>
      <c r="CB375" s="143"/>
      <c r="CC375" s="143"/>
      <c r="CD375" s="143"/>
      <c r="CE375" s="142"/>
      <c r="CF375" s="143"/>
      <c r="CG375" s="143"/>
      <c r="CH375" s="143"/>
      <c r="CI375" s="143"/>
      <c r="CJ375" s="143"/>
      <c r="CK375" s="142">
        <f>SUM(CL375:CN375)</f>
      </c>
      <c r="CL375" s="143"/>
      <c r="CM375" s="143"/>
      <c r="CN375" s="143"/>
      <c r="CO375" s="142">
        <f>SUM(CP375:CT375)</f>
      </c>
      <c r="CP375" s="143"/>
      <c r="CQ375" s="143"/>
      <c r="CR375" s="143"/>
      <c r="CS375" s="143"/>
      <c r="CT375" s="143"/>
      <c r="CU375" s="142"/>
      <c r="CV375" s="143"/>
      <c r="CW375" s="143"/>
      <c r="CX375" s="143"/>
      <c r="CY375" s="142"/>
      <c r="CZ375" s="143"/>
      <c r="DA375" s="143"/>
      <c r="DB375" s="143"/>
      <c r="DC375" s="143"/>
      <c r="DD375" s="143"/>
      <c r="DE375" s="143"/>
      <c r="DF375" s="143"/>
      <c r="DG375" s="142">
        <f>SUM(DH375:DH375)</f>
      </c>
      <c r="DH375" s="143"/>
      <c r="DI375" s="142"/>
      <c r="DJ375" s="143"/>
      <c r="DK375" s="142">
        <f>SUM(DL375:DQ375)</f>
      </c>
      <c r="DL375" s="143"/>
      <c r="DM375" s="143"/>
      <c r="DN375" s="143"/>
      <c r="DO375" s="143"/>
      <c r="DP375" s="143"/>
      <c r="DQ375" s="143"/>
      <c r="DR375" s="143"/>
      <c r="DS375" s="143"/>
      <c r="DT375" s="143"/>
      <c r="DU375" s="143"/>
      <c r="DV375" s="143"/>
      <c r="DW375" s="143"/>
      <c r="DX375" s="142"/>
      <c r="DY375" s="143"/>
      <c r="DZ375" s="142"/>
      <c r="EA375" s="143"/>
      <c r="EB375" s="143"/>
      <c r="EC375" s="142"/>
      <c r="ED375" s="143"/>
      <c r="EF375" s="143"/>
      <c r="EG375" s="142">
        <f>SUM(EH375:EQ375)</f>
      </c>
      <c r="EH375" s="143"/>
      <c r="EI375" s="143"/>
      <c r="EJ375" s="143"/>
      <c r="EK375" s="143"/>
      <c r="EL375" s="143"/>
      <c r="EM375" s="143"/>
      <c r="EN375" s="143"/>
      <c r="EO375" s="143"/>
      <c r="EP375" s="143"/>
      <c r="EQ375" s="143"/>
      <c r="ER375" s="142">
        <f>SUM(ES375:ET375)</f>
      </c>
      <c r="ES375" s="143"/>
      <c r="ET375" s="143"/>
      <c r="EU375" s="144"/>
      <c r="FB375" s="146"/>
      <c r="FC375" s="146" cm="1">
        <f t="array" ref="FC375">ROW()-ROW(New[#Headers])</f>
        <v>369</v>
      </c>
    </row>
    <row r="376" spans="2:159" s="139" customFormat="1" ht="10.5" x14ac:dyDescent="0.2">
      <c r="B376" s="133"/>
      <c r="C376" s="133"/>
      <c r="E376" s="133"/>
      <c r="H376" s="133"/>
      <c r="N376" s="140"/>
      <c r="O376" s="140"/>
      <c r="P376" s="141"/>
      <c r="Q376" s="142">
        <f>SUM(R376:AQ376)</f>
      </c>
      <c r="R376" s="143"/>
      <c r="S376" s="143"/>
      <c r="T376" s="143"/>
      <c r="U376" s="143"/>
      <c r="V376" s="143"/>
      <c r="W376" s="143"/>
      <c r="X376" s="143"/>
      <c r="Y376" s="143"/>
      <c r="Z376" s="143"/>
      <c r="AA376" s="143"/>
      <c r="AB376" s="143"/>
      <c r="AC376" s="143"/>
      <c r="AD376" s="143"/>
      <c r="AE376" s="143"/>
      <c r="AF376" s="143"/>
      <c r="AG376" s="143"/>
      <c r="AH376" s="143"/>
      <c r="AI376" s="143"/>
      <c r="AJ376" s="143"/>
      <c r="AK376" s="143"/>
      <c r="AL376" s="143"/>
      <c r="AM376" s="143"/>
      <c r="AN376" s="143"/>
      <c r="AO376" s="143"/>
      <c r="AP376" s="143"/>
      <c r="AQ376" s="143"/>
      <c r="AR376" s="142">
        <f>SUM(AS376:AV376)</f>
      </c>
      <c r="AS376" s="143"/>
      <c r="AT376" s="143"/>
      <c r="AU376" s="143"/>
      <c r="AV376" s="143"/>
      <c r="AW376" s="142">
        <f>SUM(AX376:BI376)</f>
      </c>
      <c r="AX376" s="143"/>
      <c r="AY376" s="143"/>
      <c r="AZ376" s="143"/>
      <c r="BA376" s="143"/>
      <c r="BB376" s="143"/>
      <c r="BC376" s="143"/>
      <c r="BD376" s="143"/>
      <c r="BE376" s="143"/>
      <c r="BF376" s="143"/>
      <c r="BG376" s="143"/>
      <c r="BH376" s="143"/>
      <c r="BI376" s="143"/>
      <c r="BJ376" s="142"/>
      <c r="BK376" s="143"/>
      <c r="BL376" s="143"/>
      <c r="BM376" s="143"/>
      <c r="BN376" s="143"/>
      <c r="BO376" s="143"/>
      <c r="BP376" s="143"/>
      <c r="BQ376" s="142"/>
      <c r="BR376" s="143"/>
      <c r="BS376" s="143"/>
      <c r="BT376" s="142">
        <f>SUM(BU376:BW376)</f>
      </c>
      <c r="BU376" s="143"/>
      <c r="BV376" s="143"/>
      <c r="BW376" s="143"/>
      <c r="BX376" s="142">
        <f>SUM(BY376:CD376)</f>
      </c>
      <c r="BY376" s="143"/>
      <c r="BZ376" s="143"/>
      <c r="CA376" s="143"/>
      <c r="CB376" s="143"/>
      <c r="CC376" s="143"/>
      <c r="CD376" s="143"/>
      <c r="CE376" s="142"/>
      <c r="CF376" s="143"/>
      <c r="CG376" s="143"/>
      <c r="CH376" s="143"/>
      <c r="CI376" s="143"/>
      <c r="CJ376" s="143"/>
      <c r="CK376" s="142">
        <f>SUM(CL376:CN376)</f>
      </c>
      <c r="CL376" s="143"/>
      <c r="CM376" s="143"/>
      <c r="CN376" s="143"/>
      <c r="CO376" s="142">
        <f>SUM(CP376:CT376)</f>
      </c>
      <c r="CP376" s="143"/>
      <c r="CQ376" s="143"/>
      <c r="CR376" s="143"/>
      <c r="CS376" s="143"/>
      <c r="CT376" s="143"/>
      <c r="CU376" s="142"/>
      <c r="CV376" s="143"/>
      <c r="CW376" s="143"/>
      <c r="CX376" s="143"/>
      <c r="CY376" s="142"/>
      <c r="CZ376" s="143"/>
      <c r="DA376" s="143"/>
      <c r="DB376" s="143"/>
      <c r="DC376" s="143"/>
      <c r="DD376" s="143"/>
      <c r="DE376" s="143"/>
      <c r="DF376" s="143"/>
      <c r="DG376" s="142">
        <f>SUM(DH376:DH376)</f>
      </c>
      <c r="DH376" s="143"/>
      <c r="DI376" s="142"/>
      <c r="DJ376" s="143"/>
      <c r="DK376" s="142">
        <f>SUM(DL376:DQ376)</f>
      </c>
      <c r="DL376" s="143"/>
      <c r="DM376" s="143"/>
      <c r="DN376" s="143"/>
      <c r="DO376" s="143"/>
      <c r="DP376" s="143"/>
      <c r="DQ376" s="143"/>
      <c r="DR376" s="143"/>
      <c r="DS376" s="143"/>
      <c r="DT376" s="143"/>
      <c r="DU376" s="143"/>
      <c r="DV376" s="143"/>
      <c r="DW376" s="143"/>
      <c r="DX376" s="142"/>
      <c r="DY376" s="143"/>
      <c r="DZ376" s="142"/>
      <c r="EA376" s="143"/>
      <c r="EB376" s="143"/>
      <c r="EC376" s="142"/>
      <c r="ED376" s="143"/>
      <c r="EF376" s="143"/>
      <c r="EG376" s="142">
        <f>SUM(EH376:EQ376)</f>
      </c>
      <c r="EH376" s="143"/>
      <c r="EI376" s="143"/>
      <c r="EJ376" s="143"/>
      <c r="EK376" s="143"/>
      <c r="EL376" s="143"/>
      <c r="EM376" s="143"/>
      <c r="EN376" s="143"/>
      <c r="EO376" s="143"/>
      <c r="EP376" s="143"/>
      <c r="EQ376" s="143"/>
      <c r="ER376" s="142">
        <f>SUM(ES376:ET376)</f>
      </c>
      <c r="ES376" s="143"/>
      <c r="ET376" s="143"/>
      <c r="EU376" s="144"/>
      <c r="FB376" s="146"/>
      <c r="FC376" s="146" cm="1">
        <f t="array" ref="FC376">ROW()-ROW(New[#Headers])</f>
        <v>370</v>
      </c>
    </row>
    <row r="377" spans="2:159" s="139" customFormat="1" ht="10.5" x14ac:dyDescent="0.2">
      <c r="B377" s="133"/>
      <c r="C377" s="133"/>
      <c r="E377" s="133"/>
      <c r="H377" s="133"/>
      <c r="N377" s="140"/>
      <c r="O377" s="140"/>
      <c r="P377" s="141"/>
      <c r="Q377" s="142">
        <f>SUM(R377:AQ377)</f>
      </c>
      <c r="R377" s="143"/>
      <c r="S377" s="143"/>
      <c r="T377" s="143"/>
      <c r="U377" s="143"/>
      <c r="V377" s="143"/>
      <c r="W377" s="143"/>
      <c r="X377" s="143"/>
      <c r="Y377" s="143"/>
      <c r="Z377" s="143"/>
      <c r="AA377" s="143"/>
      <c r="AB377" s="143"/>
      <c r="AC377" s="143"/>
      <c r="AD377" s="143"/>
      <c r="AE377" s="143"/>
      <c r="AF377" s="143"/>
      <c r="AG377" s="143"/>
      <c r="AH377" s="143"/>
      <c r="AI377" s="143"/>
      <c r="AJ377" s="143"/>
      <c r="AK377" s="143"/>
      <c r="AL377" s="143"/>
      <c r="AM377" s="143"/>
      <c r="AN377" s="143"/>
      <c r="AO377" s="143"/>
      <c r="AP377" s="143"/>
      <c r="AQ377" s="143"/>
      <c r="AR377" s="142">
        <f>SUM(AS377:AV377)</f>
      </c>
      <c r="AS377" s="143"/>
      <c r="AT377" s="143"/>
      <c r="AU377" s="143"/>
      <c r="AV377" s="143"/>
      <c r="AW377" s="142">
        <f>SUM(AX377:BI377)</f>
      </c>
      <c r="AX377" s="143"/>
      <c r="AY377" s="143"/>
      <c r="AZ377" s="143"/>
      <c r="BA377" s="143"/>
      <c r="BB377" s="143"/>
      <c r="BC377" s="143"/>
      <c r="BD377" s="143"/>
      <c r="BE377" s="143"/>
      <c r="BF377" s="143"/>
      <c r="BG377" s="143"/>
      <c r="BH377" s="143"/>
      <c r="BI377" s="143"/>
      <c r="BJ377" s="142"/>
      <c r="BK377" s="143"/>
      <c r="BL377" s="143"/>
      <c r="BM377" s="143"/>
      <c r="BN377" s="143"/>
      <c r="BO377" s="143"/>
      <c r="BP377" s="143"/>
      <c r="BQ377" s="142"/>
      <c r="BR377" s="143"/>
      <c r="BS377" s="143"/>
      <c r="BT377" s="142">
        <f>SUM(BU377:BW377)</f>
      </c>
      <c r="BU377" s="143"/>
      <c r="BV377" s="143"/>
      <c r="BW377" s="143"/>
      <c r="BX377" s="142">
        <f>SUM(BY377:CD377)</f>
      </c>
      <c r="BY377" s="143"/>
      <c r="BZ377" s="143"/>
      <c r="CA377" s="143"/>
      <c r="CB377" s="143"/>
      <c r="CC377" s="143"/>
      <c r="CD377" s="143"/>
      <c r="CE377" s="142"/>
      <c r="CF377" s="143"/>
      <c r="CG377" s="143"/>
      <c r="CH377" s="143"/>
      <c r="CI377" s="143"/>
      <c r="CJ377" s="143"/>
      <c r="CK377" s="142">
        <f>SUM(CL377:CN377)</f>
      </c>
      <c r="CL377" s="143"/>
      <c r="CM377" s="143"/>
      <c r="CN377" s="143"/>
      <c r="CO377" s="142">
        <f>SUM(CP377:CT377)</f>
      </c>
      <c r="CP377" s="143"/>
      <c r="CQ377" s="143"/>
      <c r="CR377" s="143"/>
      <c r="CS377" s="143"/>
      <c r="CT377" s="143"/>
      <c r="CU377" s="142"/>
      <c r="CV377" s="143"/>
      <c r="CW377" s="143"/>
      <c r="CX377" s="143"/>
      <c r="CY377" s="142"/>
      <c r="CZ377" s="143"/>
      <c r="DA377" s="143"/>
      <c r="DB377" s="143"/>
      <c r="DC377" s="143"/>
      <c r="DD377" s="143"/>
      <c r="DE377" s="143"/>
      <c r="DF377" s="143"/>
      <c r="DG377" s="142">
        <f>SUM(DH377:DH377)</f>
      </c>
      <c r="DH377" s="143"/>
      <c r="DI377" s="142"/>
      <c r="DJ377" s="143"/>
      <c r="DK377" s="142">
        <f>SUM(DL377:DQ377)</f>
      </c>
      <c r="DL377" s="143"/>
      <c r="DM377" s="143"/>
      <c r="DN377" s="143"/>
      <c r="DO377" s="143"/>
      <c r="DP377" s="143"/>
      <c r="DQ377" s="143"/>
      <c r="DR377" s="143"/>
      <c r="DS377" s="143"/>
      <c r="DT377" s="143"/>
      <c r="DU377" s="143"/>
      <c r="DV377" s="143"/>
      <c r="DW377" s="143"/>
      <c r="DX377" s="142"/>
      <c r="DY377" s="143"/>
      <c r="DZ377" s="142"/>
      <c r="EA377" s="143"/>
      <c r="EB377" s="143"/>
      <c r="EC377" s="142"/>
      <c r="ED377" s="143"/>
      <c r="EF377" s="143"/>
      <c r="EG377" s="142">
        <f>SUM(EH377:EQ377)</f>
      </c>
      <c r="EH377" s="143"/>
      <c r="EI377" s="143"/>
      <c r="EJ377" s="143"/>
      <c r="EK377" s="143"/>
      <c r="EL377" s="143"/>
      <c r="EM377" s="143"/>
      <c r="EN377" s="143"/>
      <c r="EO377" s="143"/>
      <c r="EP377" s="143"/>
      <c r="EQ377" s="143"/>
      <c r="ER377" s="142">
        <f>SUM(ES377:ET377)</f>
      </c>
      <c r="ES377" s="143"/>
      <c r="ET377" s="143"/>
      <c r="EU377" s="144"/>
      <c r="FB377" s="146"/>
      <c r="FC377" s="146" cm="1">
        <f t="array" ref="FC377">ROW()-ROW(New[#Headers])</f>
        <v>371</v>
      </c>
    </row>
    <row r="378" spans="2:159" s="139" customFormat="1" ht="10.5" x14ac:dyDescent="0.2">
      <c r="B378" s="133"/>
      <c r="C378" s="133"/>
      <c r="E378" s="133"/>
      <c r="H378" s="133"/>
      <c r="N378" s="140"/>
      <c r="O378" s="140"/>
      <c r="P378" s="141"/>
      <c r="Q378" s="142">
        <f>SUM(R378:AQ378)</f>
      </c>
      <c r="R378" s="143"/>
      <c r="S378" s="143"/>
      <c r="T378" s="143"/>
      <c r="U378" s="143"/>
      <c r="V378" s="143"/>
      <c r="W378" s="143"/>
      <c r="X378" s="143"/>
      <c r="Y378" s="143"/>
      <c r="Z378" s="143"/>
      <c r="AA378" s="143"/>
      <c r="AB378" s="143"/>
      <c r="AC378" s="143"/>
      <c r="AD378" s="143"/>
      <c r="AE378" s="143"/>
      <c r="AF378" s="143"/>
      <c r="AG378" s="143"/>
      <c r="AH378" s="143"/>
      <c r="AI378" s="143"/>
      <c r="AJ378" s="143"/>
      <c r="AK378" s="143"/>
      <c r="AL378" s="143"/>
      <c r="AM378" s="143"/>
      <c r="AN378" s="143"/>
      <c r="AO378" s="143"/>
      <c r="AP378" s="143"/>
      <c r="AQ378" s="143"/>
      <c r="AR378" s="142">
        <f>SUM(AS378:AV378)</f>
      </c>
      <c r="AS378" s="143"/>
      <c r="AT378" s="143"/>
      <c r="AU378" s="143"/>
      <c r="AV378" s="143"/>
      <c r="AW378" s="142">
        <f>SUM(AX378:BI378)</f>
      </c>
      <c r="AX378" s="143"/>
      <c r="AY378" s="143"/>
      <c r="AZ378" s="143"/>
      <c r="BA378" s="143"/>
      <c r="BB378" s="143"/>
      <c r="BC378" s="143"/>
      <c r="BD378" s="143"/>
      <c r="BE378" s="143"/>
      <c r="BF378" s="143"/>
      <c r="BG378" s="143"/>
      <c r="BH378" s="143"/>
      <c r="BI378" s="143"/>
      <c r="BJ378" s="142"/>
      <c r="BK378" s="143"/>
      <c r="BL378" s="143"/>
      <c r="BM378" s="143"/>
      <c r="BN378" s="143"/>
      <c r="BO378" s="143"/>
      <c r="BP378" s="143"/>
      <c r="BQ378" s="142"/>
      <c r="BR378" s="143"/>
      <c r="BS378" s="143"/>
      <c r="BT378" s="142">
        <f>SUM(BU378:BW378)</f>
      </c>
      <c r="BU378" s="143"/>
      <c r="BV378" s="143"/>
      <c r="BW378" s="143"/>
      <c r="BX378" s="142">
        <f>SUM(BY378:CD378)</f>
      </c>
      <c r="BY378" s="143"/>
      <c r="BZ378" s="143"/>
      <c r="CA378" s="143"/>
      <c r="CB378" s="143"/>
      <c r="CC378" s="143"/>
      <c r="CD378" s="143"/>
      <c r="CE378" s="142"/>
      <c r="CF378" s="143"/>
      <c r="CG378" s="143"/>
      <c r="CH378" s="143"/>
      <c r="CI378" s="143"/>
      <c r="CJ378" s="143"/>
      <c r="CK378" s="142">
        <f>SUM(CL378:CN378)</f>
      </c>
      <c r="CL378" s="143"/>
      <c r="CM378" s="143"/>
      <c r="CN378" s="143"/>
      <c r="CO378" s="142">
        <f>SUM(CP378:CT378)</f>
      </c>
      <c r="CP378" s="143"/>
      <c r="CQ378" s="143"/>
      <c r="CR378" s="143"/>
      <c r="CS378" s="143"/>
      <c r="CT378" s="143"/>
      <c r="CU378" s="142"/>
      <c r="CV378" s="143"/>
      <c r="CW378" s="143"/>
      <c r="CX378" s="143"/>
      <c r="CY378" s="142"/>
      <c r="CZ378" s="143"/>
      <c r="DA378" s="143"/>
      <c r="DB378" s="143"/>
      <c r="DC378" s="143"/>
      <c r="DD378" s="143"/>
      <c r="DE378" s="143"/>
      <c r="DF378" s="143"/>
      <c r="DG378" s="142">
        <f>SUM(DH378:DH378)</f>
      </c>
      <c r="DH378" s="143"/>
      <c r="DI378" s="142"/>
      <c r="DJ378" s="143"/>
      <c r="DK378" s="142">
        <f>SUM(DL378:DQ378)</f>
      </c>
      <c r="DL378" s="143"/>
      <c r="DM378" s="143"/>
      <c r="DN378" s="143"/>
      <c r="DO378" s="143"/>
      <c r="DP378" s="143"/>
      <c r="DQ378" s="143"/>
      <c r="DR378" s="143"/>
      <c r="DS378" s="143"/>
      <c r="DT378" s="143"/>
      <c r="DU378" s="143"/>
      <c r="DV378" s="143"/>
      <c r="DW378" s="143"/>
      <c r="DX378" s="142"/>
      <c r="DY378" s="143"/>
      <c r="DZ378" s="142"/>
      <c r="EA378" s="143"/>
      <c r="EB378" s="143"/>
      <c r="EC378" s="142"/>
      <c r="ED378" s="143"/>
      <c r="EF378" s="143"/>
      <c r="EG378" s="142">
        <f>SUM(EH378:EQ378)</f>
      </c>
      <c r="EH378" s="143"/>
      <c r="EI378" s="143"/>
      <c r="EJ378" s="143"/>
      <c r="EK378" s="143"/>
      <c r="EL378" s="143"/>
      <c r="EM378" s="143"/>
      <c r="EN378" s="143"/>
      <c r="EO378" s="143"/>
      <c r="EP378" s="143"/>
      <c r="EQ378" s="143"/>
      <c r="ER378" s="142">
        <f>SUM(ES378:ET378)</f>
      </c>
      <c r="ES378" s="143"/>
      <c r="ET378" s="143"/>
      <c r="EU378" s="144"/>
      <c r="FB378" s="146"/>
      <c r="FC378" s="146" cm="1">
        <f t="array" ref="FC378">ROW()-ROW(New[#Headers])</f>
        <v>372</v>
      </c>
    </row>
    <row r="379" spans="2:159" s="139" customFormat="1" ht="10.5" x14ac:dyDescent="0.2">
      <c r="B379" s="133"/>
      <c r="C379" s="133"/>
      <c r="E379" s="133"/>
      <c r="H379" s="133"/>
      <c r="N379" s="140"/>
      <c r="O379" s="140"/>
      <c r="P379" s="141"/>
      <c r="Q379" s="142">
        <f>SUM(R379:AQ379)</f>
      </c>
      <c r="R379" s="143"/>
      <c r="S379" s="143"/>
      <c r="T379" s="143"/>
      <c r="U379" s="143"/>
      <c r="V379" s="143"/>
      <c r="W379" s="143"/>
      <c r="X379" s="143"/>
      <c r="Y379" s="143"/>
      <c r="Z379" s="143"/>
      <c r="AA379" s="143"/>
      <c r="AB379" s="143"/>
      <c r="AC379" s="143"/>
      <c r="AD379" s="143"/>
      <c r="AE379" s="143"/>
      <c r="AF379" s="143"/>
      <c r="AG379" s="143"/>
      <c r="AH379" s="143"/>
      <c r="AI379" s="143"/>
      <c r="AJ379" s="143"/>
      <c r="AK379" s="143"/>
      <c r="AL379" s="143"/>
      <c r="AM379" s="143"/>
      <c r="AN379" s="143"/>
      <c r="AO379" s="143"/>
      <c r="AP379" s="143"/>
      <c r="AQ379" s="143"/>
      <c r="AR379" s="142">
        <f>SUM(AS379:AV379)</f>
      </c>
      <c r="AS379" s="143"/>
      <c r="AT379" s="143"/>
      <c r="AU379" s="143"/>
      <c r="AV379" s="143"/>
      <c r="AW379" s="142">
        <f>SUM(AX379:BI379)</f>
      </c>
      <c r="AX379" s="143"/>
      <c r="AY379" s="143"/>
      <c r="AZ379" s="143"/>
      <c r="BA379" s="143"/>
      <c r="BB379" s="143"/>
      <c r="BC379" s="143"/>
      <c r="BD379" s="143"/>
      <c r="BE379" s="143"/>
      <c r="BF379" s="143"/>
      <c r="BG379" s="143"/>
      <c r="BH379" s="143"/>
      <c r="BI379" s="143"/>
      <c r="BJ379" s="142"/>
      <c r="BK379" s="143"/>
      <c r="BL379" s="143"/>
      <c r="BM379" s="143"/>
      <c r="BN379" s="143"/>
      <c r="BO379" s="143"/>
      <c r="BP379" s="143"/>
      <c r="BQ379" s="142"/>
      <c r="BR379" s="143"/>
      <c r="BS379" s="143"/>
      <c r="BT379" s="142">
        <f>SUM(BU379:BW379)</f>
      </c>
      <c r="BU379" s="143"/>
      <c r="BV379" s="143"/>
      <c r="BW379" s="143"/>
      <c r="BX379" s="142">
        <f>SUM(BY379:CD379)</f>
      </c>
      <c r="BY379" s="143"/>
      <c r="BZ379" s="143"/>
      <c r="CA379" s="143"/>
      <c r="CB379" s="143"/>
      <c r="CC379" s="143"/>
      <c r="CD379" s="143"/>
      <c r="CE379" s="142"/>
      <c r="CF379" s="143"/>
      <c r="CG379" s="143"/>
      <c r="CH379" s="143"/>
      <c r="CI379" s="143"/>
      <c r="CJ379" s="143"/>
      <c r="CK379" s="142">
        <f>SUM(CL379:CN379)</f>
      </c>
      <c r="CL379" s="143"/>
      <c r="CM379" s="143"/>
      <c r="CN379" s="143"/>
      <c r="CO379" s="142">
        <f>SUM(CP379:CT379)</f>
      </c>
      <c r="CP379" s="143"/>
      <c r="CQ379" s="143"/>
      <c r="CR379" s="143"/>
      <c r="CS379" s="143"/>
      <c r="CT379" s="143"/>
      <c r="CU379" s="142"/>
      <c r="CV379" s="143"/>
      <c r="CW379" s="143"/>
      <c r="CX379" s="143"/>
      <c r="CY379" s="142"/>
      <c r="CZ379" s="143"/>
      <c r="DA379" s="143"/>
      <c r="DB379" s="143"/>
      <c r="DC379" s="143"/>
      <c r="DD379" s="143"/>
      <c r="DE379" s="143"/>
      <c r="DF379" s="143"/>
      <c r="DG379" s="142">
        <f>SUM(DH379:DH379)</f>
      </c>
      <c r="DH379" s="143"/>
      <c r="DI379" s="142"/>
      <c r="DJ379" s="143"/>
      <c r="DK379" s="142">
        <f>SUM(DL379:DQ379)</f>
      </c>
      <c r="DL379" s="143"/>
      <c r="DM379" s="143"/>
      <c r="DN379" s="143"/>
      <c r="DO379" s="143"/>
      <c r="DP379" s="143"/>
      <c r="DQ379" s="143"/>
      <c r="DR379" s="143"/>
      <c r="DS379" s="143"/>
      <c r="DT379" s="143"/>
      <c r="DU379" s="143"/>
      <c r="DV379" s="143"/>
      <c r="DW379" s="143"/>
      <c r="DX379" s="142"/>
      <c r="DY379" s="143"/>
      <c r="DZ379" s="142"/>
      <c r="EA379" s="143"/>
      <c r="EB379" s="143"/>
      <c r="EC379" s="142"/>
      <c r="ED379" s="143"/>
      <c r="EF379" s="143"/>
      <c r="EG379" s="142">
        <f>SUM(EH379:EQ379)</f>
      </c>
      <c r="EH379" s="143"/>
      <c r="EI379" s="143"/>
      <c r="EJ379" s="143"/>
      <c r="EK379" s="143"/>
      <c r="EL379" s="143"/>
      <c r="EM379" s="143"/>
      <c r="EN379" s="143"/>
      <c r="EO379" s="143"/>
      <c r="EP379" s="143"/>
      <c r="EQ379" s="143"/>
      <c r="ER379" s="142">
        <f>SUM(ES379:ET379)</f>
      </c>
      <c r="ES379" s="143"/>
      <c r="ET379" s="143"/>
      <c r="EU379" s="144"/>
      <c r="FB379" s="146"/>
      <c r="FC379" s="146" cm="1">
        <f t="array" ref="FC379">ROW()-ROW(New[#Headers])</f>
        <v>373</v>
      </c>
    </row>
    <row r="380" spans="2:159" s="139" customFormat="1" ht="10.5" x14ac:dyDescent="0.2">
      <c r="B380" s="133"/>
      <c r="C380" s="133"/>
      <c r="E380" s="133"/>
      <c r="H380" s="133"/>
      <c r="N380" s="140"/>
      <c r="O380" s="140"/>
      <c r="P380" s="141"/>
      <c r="Q380" s="142">
        <f>SUM(R380:AQ380)</f>
      </c>
      <c r="R380" s="143"/>
      <c r="S380" s="143"/>
      <c r="T380" s="143"/>
      <c r="U380" s="143"/>
      <c r="V380" s="143"/>
      <c r="W380" s="143"/>
      <c r="X380" s="143"/>
      <c r="Y380" s="143"/>
      <c r="Z380" s="143"/>
      <c r="AA380" s="143"/>
      <c r="AB380" s="143"/>
      <c r="AC380" s="143"/>
      <c r="AD380" s="143"/>
      <c r="AE380" s="143"/>
      <c r="AF380" s="143"/>
      <c r="AG380" s="143"/>
      <c r="AH380" s="143"/>
      <c r="AI380" s="143"/>
      <c r="AJ380" s="143"/>
      <c r="AK380" s="143"/>
      <c r="AL380" s="143"/>
      <c r="AM380" s="143"/>
      <c r="AN380" s="143"/>
      <c r="AO380" s="143"/>
      <c r="AP380" s="143"/>
      <c r="AQ380" s="143"/>
      <c r="AR380" s="142">
        <f>SUM(AS380:AV380)</f>
      </c>
      <c r="AS380" s="143"/>
      <c r="AT380" s="143"/>
      <c r="AU380" s="143"/>
      <c r="AV380" s="143"/>
      <c r="AW380" s="142">
        <f>SUM(AX380:BI380)</f>
      </c>
      <c r="AX380" s="143"/>
      <c r="AY380" s="143"/>
      <c r="AZ380" s="143"/>
      <c r="BA380" s="143"/>
      <c r="BB380" s="143"/>
      <c r="BC380" s="143"/>
      <c r="BD380" s="143"/>
      <c r="BE380" s="143"/>
      <c r="BF380" s="143"/>
      <c r="BG380" s="143"/>
      <c r="BH380" s="143"/>
      <c r="BI380" s="143"/>
      <c r="BJ380" s="142"/>
      <c r="BK380" s="143"/>
      <c r="BL380" s="143"/>
      <c r="BM380" s="143"/>
      <c r="BN380" s="143"/>
      <c r="BO380" s="143"/>
      <c r="BP380" s="143"/>
      <c r="BQ380" s="142"/>
      <c r="BR380" s="143"/>
      <c r="BS380" s="143"/>
      <c r="BT380" s="142">
        <f>SUM(BU380:BW380)</f>
      </c>
      <c r="BU380" s="143"/>
      <c r="BV380" s="143"/>
      <c r="BW380" s="143"/>
      <c r="BX380" s="142">
        <f>SUM(BY380:CD380)</f>
      </c>
      <c r="BY380" s="143"/>
      <c r="BZ380" s="143"/>
      <c r="CA380" s="143"/>
      <c r="CB380" s="143"/>
      <c r="CC380" s="143"/>
      <c r="CD380" s="143"/>
      <c r="CE380" s="142"/>
      <c r="CF380" s="143"/>
      <c r="CG380" s="143"/>
      <c r="CH380" s="143"/>
      <c r="CI380" s="143"/>
      <c r="CJ380" s="143"/>
      <c r="CK380" s="142">
        <f>SUM(CL380:CN380)</f>
      </c>
      <c r="CL380" s="143"/>
      <c r="CM380" s="143"/>
      <c r="CN380" s="143"/>
      <c r="CO380" s="142">
        <f>SUM(CP380:CT380)</f>
      </c>
      <c r="CP380" s="143"/>
      <c r="CQ380" s="143"/>
      <c r="CR380" s="143"/>
      <c r="CS380" s="143"/>
      <c r="CT380" s="143"/>
      <c r="CU380" s="142"/>
      <c r="CV380" s="143"/>
      <c r="CW380" s="143"/>
      <c r="CX380" s="143"/>
      <c r="CY380" s="142"/>
      <c r="CZ380" s="143"/>
      <c r="DA380" s="143"/>
      <c r="DB380" s="143"/>
      <c r="DC380" s="143"/>
      <c r="DD380" s="143"/>
      <c r="DE380" s="143"/>
      <c r="DF380" s="143"/>
      <c r="DG380" s="142">
        <f>SUM(DH380:DH380)</f>
      </c>
      <c r="DH380" s="143"/>
      <c r="DI380" s="142"/>
      <c r="DJ380" s="143"/>
      <c r="DK380" s="142">
        <f>SUM(DL380:DQ380)</f>
      </c>
      <c r="DL380" s="143"/>
      <c r="DM380" s="143"/>
      <c r="DN380" s="143"/>
      <c r="DO380" s="143"/>
      <c r="DP380" s="143"/>
      <c r="DQ380" s="143"/>
      <c r="DR380" s="143"/>
      <c r="DS380" s="143"/>
      <c r="DT380" s="143"/>
      <c r="DU380" s="143"/>
      <c r="DV380" s="143"/>
      <c r="DW380" s="143"/>
      <c r="DX380" s="142"/>
      <c r="DY380" s="143"/>
      <c r="DZ380" s="142"/>
      <c r="EA380" s="143"/>
      <c r="EB380" s="143"/>
      <c r="EC380" s="142"/>
      <c r="ED380" s="143"/>
      <c r="EF380" s="143"/>
      <c r="EG380" s="142">
        <f>SUM(EH380:EQ380)</f>
      </c>
      <c r="EH380" s="143"/>
      <c r="EI380" s="143"/>
      <c r="EJ380" s="143"/>
      <c r="EK380" s="143"/>
      <c r="EL380" s="143"/>
      <c r="EM380" s="143"/>
      <c r="EN380" s="143"/>
      <c r="EO380" s="143"/>
      <c r="EP380" s="143"/>
      <c r="EQ380" s="143"/>
      <c r="ER380" s="142">
        <f>SUM(ES380:ET380)</f>
      </c>
      <c r="ES380" s="143"/>
      <c r="ET380" s="143"/>
      <c r="EU380" s="144"/>
      <c r="FB380" s="146"/>
      <c r="FC380" s="146" cm="1">
        <f t="array" ref="FC380">ROW()-ROW(New[#Headers])</f>
        <v>374</v>
      </c>
    </row>
    <row r="381" spans="2:159" s="139" customFormat="1" ht="10.5" x14ac:dyDescent="0.2">
      <c r="B381" s="133"/>
      <c r="C381" s="133"/>
      <c r="E381" s="133"/>
      <c r="H381" s="133"/>
      <c r="N381" s="140"/>
      <c r="O381" s="140"/>
      <c r="P381" s="141"/>
      <c r="Q381" s="142">
        <f>SUM(R381:AQ381)</f>
      </c>
      <c r="R381" s="143"/>
      <c r="S381" s="143"/>
      <c r="T381" s="143"/>
      <c r="U381" s="143"/>
      <c r="V381" s="143"/>
      <c r="W381" s="143"/>
      <c r="X381" s="143"/>
      <c r="Y381" s="143"/>
      <c r="Z381" s="143"/>
      <c r="AA381" s="143"/>
      <c r="AB381" s="143"/>
      <c r="AC381" s="143"/>
      <c r="AD381" s="143"/>
      <c r="AE381" s="143"/>
      <c r="AF381" s="143"/>
      <c r="AG381" s="143"/>
      <c r="AH381" s="143"/>
      <c r="AI381" s="143"/>
      <c r="AJ381" s="143"/>
      <c r="AK381" s="143"/>
      <c r="AL381" s="143"/>
      <c r="AM381" s="143"/>
      <c r="AN381" s="143"/>
      <c r="AO381" s="143"/>
      <c r="AP381" s="143"/>
      <c r="AQ381" s="143"/>
      <c r="AR381" s="142">
        <f>SUM(AS381:AV381)</f>
      </c>
      <c r="AS381" s="143"/>
      <c r="AT381" s="143"/>
      <c r="AU381" s="143"/>
      <c r="AV381" s="143"/>
      <c r="AW381" s="142">
        <f>SUM(AX381:BI381)</f>
      </c>
      <c r="AX381" s="143"/>
      <c r="AY381" s="143"/>
      <c r="AZ381" s="143"/>
      <c r="BA381" s="143"/>
      <c r="BB381" s="143"/>
      <c r="BC381" s="143"/>
      <c r="BD381" s="143"/>
      <c r="BE381" s="143"/>
      <c r="BF381" s="143"/>
      <c r="BG381" s="143"/>
      <c r="BH381" s="143"/>
      <c r="BI381" s="143"/>
      <c r="BJ381" s="142"/>
      <c r="BK381" s="143"/>
      <c r="BL381" s="143"/>
      <c r="BM381" s="143"/>
      <c r="BN381" s="143"/>
      <c r="BO381" s="143"/>
      <c r="BP381" s="143"/>
      <c r="BQ381" s="142"/>
      <c r="BR381" s="143"/>
      <c r="BS381" s="143"/>
      <c r="BT381" s="142">
        <f>SUM(BU381:BW381)</f>
      </c>
      <c r="BU381" s="143"/>
      <c r="BV381" s="143"/>
      <c r="BW381" s="143"/>
      <c r="BX381" s="142">
        <f>SUM(BY381:CD381)</f>
      </c>
      <c r="BY381" s="143"/>
      <c r="BZ381" s="143"/>
      <c r="CA381" s="143"/>
      <c r="CB381" s="143"/>
      <c r="CC381" s="143"/>
      <c r="CD381" s="143"/>
      <c r="CE381" s="142"/>
      <c r="CF381" s="143"/>
      <c r="CG381" s="143"/>
      <c r="CH381" s="143"/>
      <c r="CI381" s="143"/>
      <c r="CJ381" s="143"/>
      <c r="CK381" s="142">
        <f>SUM(CL381:CN381)</f>
      </c>
      <c r="CL381" s="143"/>
      <c r="CM381" s="143"/>
      <c r="CN381" s="143"/>
      <c r="CO381" s="142">
        <f>SUM(CP381:CT381)</f>
      </c>
      <c r="CP381" s="143"/>
      <c r="CQ381" s="143"/>
      <c r="CR381" s="143"/>
      <c r="CS381" s="143"/>
      <c r="CT381" s="143"/>
      <c r="CU381" s="142"/>
      <c r="CV381" s="143"/>
      <c r="CW381" s="143"/>
      <c r="CX381" s="143"/>
      <c r="CY381" s="142"/>
      <c r="CZ381" s="143"/>
      <c r="DA381" s="143"/>
      <c r="DB381" s="143"/>
      <c r="DC381" s="143"/>
      <c r="DD381" s="143"/>
      <c r="DE381" s="143"/>
      <c r="DF381" s="143"/>
      <c r="DG381" s="142">
        <f>SUM(DH381:DH381)</f>
      </c>
      <c r="DH381" s="143"/>
      <c r="DI381" s="142"/>
      <c r="DJ381" s="143"/>
      <c r="DK381" s="142">
        <f>SUM(DL381:DQ381)</f>
      </c>
      <c r="DL381" s="143"/>
      <c r="DM381" s="143"/>
      <c r="DN381" s="143"/>
      <c r="DO381" s="143"/>
      <c r="DP381" s="143"/>
      <c r="DQ381" s="143"/>
      <c r="DR381" s="143"/>
      <c r="DS381" s="143"/>
      <c r="DT381" s="143"/>
      <c r="DU381" s="143"/>
      <c r="DV381" s="143"/>
      <c r="DW381" s="143"/>
      <c r="DX381" s="142"/>
      <c r="DY381" s="143"/>
      <c r="DZ381" s="142"/>
      <c r="EA381" s="143"/>
      <c r="EB381" s="143"/>
      <c r="EC381" s="142"/>
      <c r="ED381" s="143"/>
      <c r="EF381" s="143"/>
      <c r="EG381" s="142">
        <f>SUM(EH381:EQ381)</f>
      </c>
      <c r="EH381" s="143"/>
      <c r="EI381" s="143"/>
      <c r="EJ381" s="143"/>
      <c r="EK381" s="143"/>
      <c r="EL381" s="143"/>
      <c r="EM381" s="143"/>
      <c r="EN381" s="143"/>
      <c r="EO381" s="143"/>
      <c r="EP381" s="143"/>
      <c r="EQ381" s="143"/>
      <c r="ER381" s="142">
        <f>SUM(ES381:ET381)</f>
      </c>
      <c r="ES381" s="143"/>
      <c r="ET381" s="143"/>
      <c r="EU381" s="144"/>
      <c r="FB381" s="146"/>
      <c r="FC381" s="146" cm="1">
        <f t="array" ref="FC381">ROW()-ROW(New[#Headers])</f>
        <v>375</v>
      </c>
    </row>
    <row r="382" spans="2:159" s="139" customFormat="1" ht="10.5" x14ac:dyDescent="0.2">
      <c r="B382" s="133"/>
      <c r="C382" s="133"/>
      <c r="E382" s="133"/>
      <c r="H382" s="133"/>
      <c r="N382" s="140"/>
      <c r="O382" s="140"/>
      <c r="P382" s="141"/>
      <c r="Q382" s="142">
        <f>SUM(R382:AQ382)</f>
      </c>
      <c r="R382" s="143"/>
      <c r="S382" s="143"/>
      <c r="T382" s="143"/>
      <c r="U382" s="143"/>
      <c r="V382" s="143"/>
      <c r="W382" s="143"/>
      <c r="X382" s="143"/>
      <c r="Y382" s="143"/>
      <c r="Z382" s="143"/>
      <c r="AA382" s="143"/>
      <c r="AB382" s="143"/>
      <c r="AC382" s="143"/>
      <c r="AD382" s="143"/>
      <c r="AE382" s="143"/>
      <c r="AF382" s="143"/>
      <c r="AG382" s="143"/>
      <c r="AH382" s="143"/>
      <c r="AI382" s="143"/>
      <c r="AJ382" s="143"/>
      <c r="AK382" s="143"/>
      <c r="AL382" s="143"/>
      <c r="AM382" s="143"/>
      <c r="AN382" s="143"/>
      <c r="AO382" s="143"/>
      <c r="AP382" s="143"/>
      <c r="AQ382" s="143"/>
      <c r="AR382" s="142">
        <f>SUM(AS382:AV382)</f>
      </c>
      <c r="AS382" s="143"/>
      <c r="AT382" s="143"/>
      <c r="AU382" s="143"/>
      <c r="AV382" s="143"/>
      <c r="AW382" s="142">
        <f>SUM(AX382:BI382)</f>
      </c>
      <c r="AX382" s="143"/>
      <c r="AY382" s="143"/>
      <c r="AZ382" s="143"/>
      <c r="BA382" s="143"/>
      <c r="BB382" s="143"/>
      <c r="BC382" s="143"/>
      <c r="BD382" s="143"/>
      <c r="BE382" s="143"/>
      <c r="BF382" s="143"/>
      <c r="BG382" s="143"/>
      <c r="BH382" s="143"/>
      <c r="BI382" s="143"/>
      <c r="BJ382" s="142"/>
      <c r="BK382" s="143"/>
      <c r="BL382" s="143"/>
      <c r="BM382" s="143"/>
      <c r="BN382" s="143"/>
      <c r="BO382" s="143"/>
      <c r="BP382" s="143"/>
      <c r="BQ382" s="142"/>
      <c r="BR382" s="143"/>
      <c r="BS382" s="143"/>
      <c r="BT382" s="142">
        <f>SUM(BU382:BW382)</f>
      </c>
      <c r="BU382" s="143"/>
      <c r="BV382" s="143"/>
      <c r="BW382" s="143"/>
      <c r="BX382" s="142">
        <f>SUM(BY382:CD382)</f>
      </c>
      <c r="BY382" s="143"/>
      <c r="BZ382" s="143"/>
      <c r="CA382" s="143"/>
      <c r="CB382" s="143"/>
      <c r="CC382" s="143"/>
      <c r="CD382" s="143"/>
      <c r="CE382" s="142"/>
      <c r="CF382" s="143"/>
      <c r="CG382" s="143"/>
      <c r="CH382" s="143"/>
      <c r="CI382" s="143"/>
      <c r="CJ382" s="143"/>
      <c r="CK382" s="142">
        <f>SUM(CL382:CN382)</f>
      </c>
      <c r="CL382" s="143"/>
      <c r="CM382" s="143"/>
      <c r="CN382" s="143"/>
      <c r="CO382" s="142">
        <f>SUM(CP382:CT382)</f>
      </c>
      <c r="CP382" s="143"/>
      <c r="CQ382" s="143"/>
      <c r="CR382" s="143"/>
      <c r="CS382" s="143"/>
      <c r="CT382" s="143"/>
      <c r="CU382" s="142"/>
      <c r="CV382" s="143"/>
      <c r="CW382" s="143"/>
      <c r="CX382" s="143"/>
      <c r="CY382" s="142"/>
      <c r="CZ382" s="143"/>
      <c r="DA382" s="143"/>
      <c r="DB382" s="143"/>
      <c r="DC382" s="143"/>
      <c r="DD382" s="143"/>
      <c r="DE382" s="143"/>
      <c r="DF382" s="143"/>
      <c r="DG382" s="142">
        <f>SUM(DH382:DH382)</f>
      </c>
      <c r="DH382" s="143"/>
      <c r="DI382" s="142"/>
      <c r="DJ382" s="143"/>
      <c r="DK382" s="142">
        <f>SUM(DL382:DQ382)</f>
      </c>
      <c r="DL382" s="143"/>
      <c r="DM382" s="143"/>
      <c r="DN382" s="143"/>
      <c r="DO382" s="143"/>
      <c r="DP382" s="143"/>
      <c r="DQ382" s="143"/>
      <c r="DR382" s="143"/>
      <c r="DS382" s="143"/>
      <c r="DT382" s="143"/>
      <c r="DU382" s="143"/>
      <c r="DV382" s="143"/>
      <c r="DW382" s="143"/>
      <c r="DX382" s="142"/>
      <c r="DY382" s="143"/>
      <c r="DZ382" s="142"/>
      <c r="EA382" s="143"/>
      <c r="EB382" s="143"/>
      <c r="EC382" s="142"/>
      <c r="ED382" s="143"/>
      <c r="EF382" s="143"/>
      <c r="EG382" s="142">
        <f>SUM(EH382:EQ382)</f>
      </c>
      <c r="EH382" s="143"/>
      <c r="EI382" s="143"/>
      <c r="EJ382" s="143"/>
      <c r="EK382" s="143"/>
      <c r="EL382" s="143"/>
      <c r="EM382" s="143"/>
      <c r="EN382" s="143"/>
      <c r="EO382" s="143"/>
      <c r="EP382" s="143"/>
      <c r="EQ382" s="143"/>
      <c r="ER382" s="142">
        <f>SUM(ES382:ET382)</f>
      </c>
      <c r="ES382" s="143"/>
      <c r="ET382" s="143"/>
      <c r="EU382" s="144"/>
      <c r="FB382" s="146"/>
      <c r="FC382" s="146" cm="1">
        <f t="array" ref="FC382">ROW()-ROW(New[#Headers])</f>
        <v>376</v>
      </c>
    </row>
    <row r="383" spans="2:159" s="139" customFormat="1" ht="10.5" x14ac:dyDescent="0.2">
      <c r="B383" s="133"/>
      <c r="C383" s="133"/>
      <c r="E383" s="133"/>
      <c r="H383" s="133"/>
      <c r="N383" s="140"/>
      <c r="O383" s="140"/>
      <c r="P383" s="141"/>
      <c r="Q383" s="142">
        <f>SUM(R383:AQ383)</f>
      </c>
      <c r="R383" s="143"/>
      <c r="S383" s="143"/>
      <c r="T383" s="143"/>
      <c r="U383" s="143"/>
      <c r="V383" s="143"/>
      <c r="W383" s="143"/>
      <c r="X383" s="143"/>
      <c r="Y383" s="143"/>
      <c r="Z383" s="143"/>
      <c r="AA383" s="143"/>
      <c r="AB383" s="143"/>
      <c r="AC383" s="143"/>
      <c r="AD383" s="143"/>
      <c r="AE383" s="143"/>
      <c r="AF383" s="143"/>
      <c r="AG383" s="143"/>
      <c r="AH383" s="143"/>
      <c r="AI383" s="143"/>
      <c r="AJ383" s="143"/>
      <c r="AK383" s="143"/>
      <c r="AL383" s="143"/>
      <c r="AM383" s="143"/>
      <c r="AN383" s="143"/>
      <c r="AO383" s="143"/>
      <c r="AP383" s="143"/>
      <c r="AQ383" s="143"/>
      <c r="AR383" s="142">
        <f>SUM(AS383:AV383)</f>
      </c>
      <c r="AS383" s="143"/>
      <c r="AT383" s="143"/>
      <c r="AU383" s="143"/>
      <c r="AV383" s="143"/>
      <c r="AW383" s="142">
        <f>SUM(AX383:BI383)</f>
      </c>
      <c r="AX383" s="143"/>
      <c r="AY383" s="143"/>
      <c r="AZ383" s="143"/>
      <c r="BA383" s="143"/>
      <c r="BB383" s="143"/>
      <c r="BC383" s="143"/>
      <c r="BD383" s="143"/>
      <c r="BE383" s="143"/>
      <c r="BF383" s="143"/>
      <c r="BG383" s="143"/>
      <c r="BH383" s="143"/>
      <c r="BI383" s="143"/>
      <c r="BJ383" s="142"/>
      <c r="BK383" s="143"/>
      <c r="BL383" s="143"/>
      <c r="BM383" s="143"/>
      <c r="BN383" s="143"/>
      <c r="BO383" s="143"/>
      <c r="BP383" s="143"/>
      <c r="BQ383" s="142"/>
      <c r="BR383" s="143"/>
      <c r="BS383" s="143"/>
      <c r="BT383" s="142">
        <f>SUM(BU383:BW383)</f>
      </c>
      <c r="BU383" s="143"/>
      <c r="BV383" s="143"/>
      <c r="BW383" s="143"/>
      <c r="BX383" s="142">
        <f>SUM(BY383:CD383)</f>
      </c>
      <c r="BY383" s="143"/>
      <c r="BZ383" s="143"/>
      <c r="CA383" s="143"/>
      <c r="CB383" s="143"/>
      <c r="CC383" s="143"/>
      <c r="CD383" s="143"/>
      <c r="CE383" s="142"/>
      <c r="CF383" s="143"/>
      <c r="CG383" s="143"/>
      <c r="CH383" s="143"/>
      <c r="CI383" s="143"/>
      <c r="CJ383" s="143"/>
      <c r="CK383" s="142">
        <f>SUM(CL383:CN383)</f>
      </c>
      <c r="CL383" s="143"/>
      <c r="CM383" s="143"/>
      <c r="CN383" s="143"/>
      <c r="CO383" s="142">
        <f>SUM(CP383:CT383)</f>
      </c>
      <c r="CP383" s="143"/>
      <c r="CQ383" s="143"/>
      <c r="CR383" s="143"/>
      <c r="CS383" s="143"/>
      <c r="CT383" s="143"/>
      <c r="CU383" s="142"/>
      <c r="CV383" s="143"/>
      <c r="CW383" s="143"/>
      <c r="CX383" s="143"/>
      <c r="CY383" s="142"/>
      <c r="CZ383" s="143"/>
      <c r="DA383" s="143"/>
      <c r="DB383" s="143"/>
      <c r="DC383" s="143"/>
      <c r="DD383" s="143"/>
      <c r="DE383" s="143"/>
      <c r="DF383" s="143"/>
      <c r="DG383" s="142">
        <f>SUM(DH383:DH383)</f>
      </c>
      <c r="DH383" s="143"/>
      <c r="DI383" s="142"/>
      <c r="DJ383" s="143"/>
      <c r="DK383" s="142">
        <f>SUM(DL383:DQ383)</f>
      </c>
      <c r="DL383" s="143"/>
      <c r="DM383" s="143"/>
      <c r="DN383" s="143"/>
      <c r="DO383" s="143"/>
      <c r="DP383" s="143"/>
      <c r="DQ383" s="143"/>
      <c r="DR383" s="143"/>
      <c r="DS383" s="143"/>
      <c r="DT383" s="143"/>
      <c r="DU383" s="143"/>
      <c r="DV383" s="143"/>
      <c r="DW383" s="143"/>
      <c r="DX383" s="142"/>
      <c r="DY383" s="143"/>
      <c r="DZ383" s="142"/>
      <c r="EA383" s="143"/>
      <c r="EB383" s="143"/>
      <c r="EC383" s="142"/>
      <c r="ED383" s="143"/>
      <c r="EF383" s="143"/>
      <c r="EG383" s="142">
        <f>SUM(EH383:EQ383)</f>
      </c>
      <c r="EH383" s="143"/>
      <c r="EI383" s="143"/>
      <c r="EJ383" s="143"/>
      <c r="EK383" s="143"/>
      <c r="EL383" s="143"/>
      <c r="EM383" s="143"/>
      <c r="EN383" s="143"/>
      <c r="EO383" s="143"/>
      <c r="EP383" s="143"/>
      <c r="EQ383" s="143"/>
      <c r="ER383" s="142">
        <f>SUM(ES383:ET383)</f>
      </c>
      <c r="ES383" s="143"/>
      <c r="ET383" s="143"/>
      <c r="EU383" s="144"/>
      <c r="FB383" s="146"/>
      <c r="FC383" s="146" cm="1">
        <f t="array" ref="FC383">ROW()-ROW(New[#Headers])</f>
        <v>377</v>
      </c>
    </row>
    <row r="384" spans="2:159" s="139" customFormat="1" ht="10.5" x14ac:dyDescent="0.2">
      <c r="B384" s="133"/>
      <c r="C384" s="133"/>
      <c r="E384" s="133"/>
      <c r="H384" s="133"/>
      <c r="N384" s="140"/>
      <c r="O384" s="140"/>
      <c r="P384" s="141"/>
      <c r="Q384" s="142">
        <f>SUM(R384:AQ384)</f>
      </c>
      <c r="R384" s="143"/>
      <c r="S384" s="143"/>
      <c r="T384" s="143"/>
      <c r="U384" s="143"/>
      <c r="V384" s="143"/>
      <c r="W384" s="143"/>
      <c r="X384" s="143"/>
      <c r="Y384" s="143"/>
      <c r="Z384" s="143"/>
      <c r="AA384" s="143"/>
      <c r="AB384" s="143"/>
      <c r="AC384" s="143"/>
      <c r="AD384" s="143"/>
      <c r="AE384" s="143"/>
      <c r="AF384" s="143"/>
      <c r="AG384" s="143"/>
      <c r="AH384" s="143"/>
      <c r="AI384" s="143"/>
      <c r="AJ384" s="143"/>
      <c r="AK384" s="143"/>
      <c r="AL384" s="143"/>
      <c r="AM384" s="143"/>
      <c r="AN384" s="143"/>
      <c r="AO384" s="143"/>
      <c r="AP384" s="143"/>
      <c r="AQ384" s="143"/>
      <c r="AR384" s="142">
        <f>SUM(AS384:AV384)</f>
      </c>
      <c r="AS384" s="143"/>
      <c r="AT384" s="143"/>
      <c r="AU384" s="143"/>
      <c r="AV384" s="143"/>
      <c r="AW384" s="142">
        <f>SUM(AX384:BI384)</f>
      </c>
      <c r="AX384" s="143"/>
      <c r="AY384" s="143"/>
      <c r="AZ384" s="143"/>
      <c r="BA384" s="143"/>
      <c r="BB384" s="143"/>
      <c r="BC384" s="143"/>
      <c r="BD384" s="143"/>
      <c r="BE384" s="143"/>
      <c r="BF384" s="143"/>
      <c r="BG384" s="143"/>
      <c r="BH384" s="143"/>
      <c r="BI384" s="143"/>
      <c r="BJ384" s="142"/>
      <c r="BK384" s="143"/>
      <c r="BL384" s="143"/>
      <c r="BM384" s="143"/>
      <c r="BN384" s="143"/>
      <c r="BO384" s="143"/>
      <c r="BP384" s="143"/>
      <c r="BQ384" s="142"/>
      <c r="BR384" s="143"/>
      <c r="BS384" s="143"/>
      <c r="BT384" s="142">
        <f>SUM(BU384:BW384)</f>
      </c>
      <c r="BU384" s="143"/>
      <c r="BV384" s="143"/>
      <c r="BW384" s="143"/>
      <c r="BX384" s="142">
        <f>SUM(BY384:CD384)</f>
      </c>
      <c r="BY384" s="143"/>
      <c r="BZ384" s="143"/>
      <c r="CA384" s="143"/>
      <c r="CB384" s="143"/>
      <c r="CC384" s="143"/>
      <c r="CD384" s="143"/>
      <c r="CE384" s="142"/>
      <c r="CF384" s="143"/>
      <c r="CG384" s="143"/>
      <c r="CH384" s="143"/>
      <c r="CI384" s="143"/>
      <c r="CJ384" s="143"/>
      <c r="CK384" s="142">
        <f>SUM(CL384:CN384)</f>
      </c>
      <c r="CL384" s="143"/>
      <c r="CM384" s="143"/>
      <c r="CN384" s="143"/>
      <c r="CO384" s="142">
        <f>SUM(CP384:CT384)</f>
      </c>
      <c r="CP384" s="143"/>
      <c r="CQ384" s="143"/>
      <c r="CR384" s="143"/>
      <c r="CS384" s="143"/>
      <c r="CT384" s="143"/>
      <c r="CU384" s="142"/>
      <c r="CV384" s="143"/>
      <c r="CW384" s="143"/>
      <c r="CX384" s="143"/>
      <c r="CY384" s="142"/>
      <c r="CZ384" s="143"/>
      <c r="DA384" s="143"/>
      <c r="DB384" s="143"/>
      <c r="DC384" s="143"/>
      <c r="DD384" s="143"/>
      <c r="DE384" s="143"/>
      <c r="DF384" s="143"/>
      <c r="DG384" s="142">
        <f>SUM(DH384:DH384)</f>
      </c>
      <c r="DH384" s="143"/>
      <c r="DI384" s="142"/>
      <c r="DJ384" s="143"/>
      <c r="DK384" s="142">
        <f>SUM(DL384:DQ384)</f>
      </c>
      <c r="DL384" s="143"/>
      <c r="DM384" s="143"/>
      <c r="DN384" s="143"/>
      <c r="DO384" s="143"/>
      <c r="DP384" s="143"/>
      <c r="DQ384" s="143"/>
      <c r="DR384" s="143"/>
      <c r="DS384" s="143"/>
      <c r="DT384" s="143"/>
      <c r="DU384" s="143"/>
      <c r="DV384" s="143"/>
      <c r="DW384" s="143"/>
      <c r="DX384" s="142"/>
      <c r="DY384" s="143"/>
      <c r="DZ384" s="142"/>
      <c r="EA384" s="143"/>
      <c r="EB384" s="143"/>
      <c r="EC384" s="142"/>
      <c r="ED384" s="143"/>
      <c r="EF384" s="143"/>
      <c r="EG384" s="142">
        <f>SUM(EH384:EQ384)</f>
      </c>
      <c r="EH384" s="143"/>
      <c r="EI384" s="143"/>
      <c r="EJ384" s="143"/>
      <c r="EK384" s="143"/>
      <c r="EL384" s="143"/>
      <c r="EM384" s="143"/>
      <c r="EN384" s="143"/>
      <c r="EO384" s="143"/>
      <c r="EP384" s="143"/>
      <c r="EQ384" s="143"/>
      <c r="ER384" s="142">
        <f>SUM(ES384:ET384)</f>
      </c>
      <c r="ES384" s="143"/>
      <c r="ET384" s="143"/>
      <c r="EU384" s="144"/>
      <c r="FB384" s="146"/>
      <c r="FC384" s="146" cm="1">
        <f t="array" ref="FC384">ROW()-ROW(New[#Headers])</f>
        <v>378</v>
      </c>
    </row>
    <row r="385" spans="2:159" s="139" customFormat="1" ht="10.5" x14ac:dyDescent="0.2">
      <c r="B385" s="133"/>
      <c r="C385" s="133"/>
      <c r="E385" s="133"/>
      <c r="H385" s="133"/>
      <c r="N385" s="140"/>
      <c r="O385" s="140"/>
      <c r="P385" s="141"/>
      <c r="Q385" s="142">
        <f>SUM(R385:AQ385)</f>
      </c>
      <c r="R385" s="143"/>
      <c r="S385" s="143"/>
      <c r="T385" s="143"/>
      <c r="U385" s="143"/>
      <c r="V385" s="143"/>
      <c r="W385" s="143"/>
      <c r="X385" s="143"/>
      <c r="Y385" s="143"/>
      <c r="Z385" s="143"/>
      <c r="AA385" s="143"/>
      <c r="AB385" s="143"/>
      <c r="AC385" s="143"/>
      <c r="AD385" s="143"/>
      <c r="AE385" s="143"/>
      <c r="AF385" s="143"/>
      <c r="AG385" s="143"/>
      <c r="AH385" s="143"/>
      <c r="AI385" s="143"/>
      <c r="AJ385" s="143"/>
      <c r="AK385" s="143"/>
      <c r="AL385" s="143"/>
      <c r="AM385" s="143"/>
      <c r="AN385" s="143"/>
      <c r="AO385" s="143"/>
      <c r="AP385" s="143"/>
      <c r="AQ385" s="143"/>
      <c r="AR385" s="142">
        <f>SUM(AS385:AV385)</f>
      </c>
      <c r="AS385" s="143"/>
      <c r="AT385" s="143"/>
      <c r="AU385" s="143"/>
      <c r="AV385" s="143"/>
      <c r="AW385" s="142">
        <f>SUM(AX385:BI385)</f>
      </c>
      <c r="AX385" s="143"/>
      <c r="AY385" s="143"/>
      <c r="AZ385" s="143"/>
      <c r="BA385" s="143"/>
      <c r="BB385" s="143"/>
      <c r="BC385" s="143"/>
      <c r="BD385" s="143"/>
      <c r="BE385" s="143"/>
      <c r="BF385" s="143"/>
      <c r="BG385" s="143"/>
      <c r="BH385" s="143"/>
      <c r="BI385" s="143"/>
      <c r="BJ385" s="142"/>
      <c r="BK385" s="143"/>
      <c r="BL385" s="143"/>
      <c r="BM385" s="143"/>
      <c r="BN385" s="143"/>
      <c r="BO385" s="143"/>
      <c r="BP385" s="143"/>
      <c r="BQ385" s="142"/>
      <c r="BR385" s="143"/>
      <c r="BS385" s="143"/>
      <c r="BT385" s="142">
        <f>SUM(BU385:BW385)</f>
      </c>
      <c r="BU385" s="143"/>
      <c r="BV385" s="143"/>
      <c r="BW385" s="143"/>
      <c r="BX385" s="142">
        <f>SUM(BY385:CD385)</f>
      </c>
      <c r="BY385" s="143"/>
      <c r="BZ385" s="143"/>
      <c r="CA385" s="143"/>
      <c r="CB385" s="143"/>
      <c r="CC385" s="143"/>
      <c r="CD385" s="143"/>
      <c r="CE385" s="142"/>
      <c r="CF385" s="143"/>
      <c r="CG385" s="143"/>
      <c r="CH385" s="143"/>
      <c r="CI385" s="143"/>
      <c r="CJ385" s="143"/>
      <c r="CK385" s="142">
        <f>SUM(CL385:CN385)</f>
      </c>
      <c r="CL385" s="143"/>
      <c r="CM385" s="143"/>
      <c r="CN385" s="143"/>
      <c r="CO385" s="142">
        <f>SUM(CP385:CT385)</f>
      </c>
      <c r="CP385" s="143"/>
      <c r="CQ385" s="143"/>
      <c r="CR385" s="143"/>
      <c r="CS385" s="143"/>
      <c r="CT385" s="143"/>
      <c r="CU385" s="142"/>
      <c r="CV385" s="143"/>
      <c r="CW385" s="143"/>
      <c r="CX385" s="143"/>
      <c r="CY385" s="142"/>
      <c r="CZ385" s="143"/>
      <c r="DA385" s="143"/>
      <c r="DB385" s="143"/>
      <c r="DC385" s="143"/>
      <c r="DD385" s="143"/>
      <c r="DE385" s="143"/>
      <c r="DF385" s="143"/>
      <c r="DG385" s="142">
        <f>SUM(DH385:DH385)</f>
      </c>
      <c r="DH385" s="143"/>
      <c r="DI385" s="142"/>
      <c r="DJ385" s="143"/>
      <c r="DK385" s="142">
        <f>SUM(DL385:DQ385)</f>
      </c>
      <c r="DL385" s="143"/>
      <c r="DM385" s="143"/>
      <c r="DN385" s="143"/>
      <c r="DO385" s="143"/>
      <c r="DP385" s="143"/>
      <c r="DQ385" s="143"/>
      <c r="DR385" s="143"/>
      <c r="DS385" s="143"/>
      <c r="DT385" s="143"/>
      <c r="DU385" s="143"/>
      <c r="DV385" s="143"/>
      <c r="DW385" s="143"/>
      <c r="DX385" s="142"/>
      <c r="DY385" s="143"/>
      <c r="DZ385" s="142"/>
      <c r="EA385" s="143"/>
      <c r="EB385" s="143"/>
      <c r="EC385" s="142"/>
      <c r="ED385" s="143"/>
      <c r="EF385" s="143"/>
      <c r="EG385" s="142">
        <f>SUM(EH385:EQ385)</f>
      </c>
      <c r="EH385" s="143"/>
      <c r="EI385" s="143"/>
      <c r="EJ385" s="143"/>
      <c r="EK385" s="143"/>
      <c r="EL385" s="143"/>
      <c r="EM385" s="143"/>
      <c r="EN385" s="143"/>
      <c r="EO385" s="143"/>
      <c r="EP385" s="143"/>
      <c r="EQ385" s="143"/>
      <c r="ER385" s="142">
        <f>SUM(ES385:ET385)</f>
      </c>
      <c r="ES385" s="143"/>
      <c r="ET385" s="143"/>
      <c r="EU385" s="144"/>
      <c r="FB385" s="146"/>
      <c r="FC385" s="146" cm="1">
        <f t="array" ref="FC385">ROW()-ROW(New[#Headers])</f>
        <v>379</v>
      </c>
    </row>
    <row r="386" spans="2:159" s="139" customFormat="1" ht="10.5" x14ac:dyDescent="0.2">
      <c r="B386" s="133"/>
      <c r="C386" s="133"/>
      <c r="E386" s="133"/>
      <c r="H386" s="133"/>
      <c r="N386" s="140"/>
      <c r="O386" s="140"/>
      <c r="P386" s="141"/>
      <c r="Q386" s="142">
        <f>SUM(R386:AQ386)</f>
      </c>
      <c r="R386" s="143"/>
      <c r="S386" s="143"/>
      <c r="T386" s="143"/>
      <c r="U386" s="143"/>
      <c r="V386" s="143"/>
      <c r="W386" s="143"/>
      <c r="X386" s="143"/>
      <c r="Y386" s="143"/>
      <c r="Z386" s="143"/>
      <c r="AA386" s="143"/>
      <c r="AB386" s="143"/>
      <c r="AC386" s="143"/>
      <c r="AD386" s="143"/>
      <c r="AE386" s="143"/>
      <c r="AF386" s="143"/>
      <c r="AG386" s="143"/>
      <c r="AH386" s="143"/>
      <c r="AI386" s="143"/>
      <c r="AJ386" s="143"/>
      <c r="AK386" s="143"/>
      <c r="AL386" s="143"/>
      <c r="AM386" s="143"/>
      <c r="AN386" s="143"/>
      <c r="AO386" s="143"/>
      <c r="AP386" s="143"/>
      <c r="AQ386" s="143"/>
      <c r="AR386" s="142">
        <f>SUM(AS386:AV386)</f>
      </c>
      <c r="AS386" s="143"/>
      <c r="AT386" s="143"/>
      <c r="AU386" s="143"/>
      <c r="AV386" s="143"/>
      <c r="AW386" s="142">
        <f>SUM(AX386:BI386)</f>
      </c>
      <c r="AX386" s="143"/>
      <c r="AY386" s="143"/>
      <c r="AZ386" s="143"/>
      <c r="BA386" s="143"/>
      <c r="BB386" s="143"/>
      <c r="BC386" s="143"/>
      <c r="BD386" s="143"/>
      <c r="BE386" s="143"/>
      <c r="BF386" s="143"/>
      <c r="BG386" s="143"/>
      <c r="BH386" s="143"/>
      <c r="BI386" s="143"/>
      <c r="BJ386" s="142"/>
      <c r="BK386" s="143"/>
      <c r="BL386" s="143"/>
      <c r="BM386" s="143"/>
      <c r="BN386" s="143"/>
      <c r="BO386" s="143"/>
      <c r="BP386" s="143"/>
      <c r="BQ386" s="142"/>
      <c r="BR386" s="143"/>
      <c r="BS386" s="143"/>
      <c r="BT386" s="142">
        <f>SUM(BU386:BW386)</f>
      </c>
      <c r="BU386" s="143"/>
      <c r="BV386" s="143"/>
      <c r="BW386" s="143"/>
      <c r="BX386" s="142">
        <f>SUM(BY386:CD386)</f>
      </c>
      <c r="BY386" s="143"/>
      <c r="BZ386" s="143"/>
      <c r="CA386" s="143"/>
      <c r="CB386" s="143"/>
      <c r="CC386" s="143"/>
      <c r="CD386" s="143"/>
      <c r="CE386" s="142"/>
      <c r="CF386" s="143"/>
      <c r="CG386" s="143"/>
      <c r="CH386" s="143"/>
      <c r="CI386" s="143"/>
      <c r="CJ386" s="143"/>
      <c r="CK386" s="142">
        <f>SUM(CL386:CN386)</f>
      </c>
      <c r="CL386" s="143"/>
      <c r="CM386" s="143"/>
      <c r="CN386" s="143"/>
      <c r="CO386" s="142">
        <f>SUM(CP386:CT386)</f>
      </c>
      <c r="CP386" s="143"/>
      <c r="CQ386" s="143"/>
      <c r="CR386" s="143"/>
      <c r="CS386" s="143"/>
      <c r="CT386" s="143"/>
      <c r="CU386" s="142"/>
      <c r="CV386" s="143"/>
      <c r="CW386" s="143"/>
      <c r="CX386" s="143"/>
      <c r="CY386" s="142"/>
      <c r="CZ386" s="143"/>
      <c r="DA386" s="143"/>
      <c r="DB386" s="143"/>
      <c r="DC386" s="143"/>
      <c r="DD386" s="143"/>
      <c r="DE386" s="143"/>
      <c r="DF386" s="143"/>
      <c r="DG386" s="142">
        <f>SUM(DH386:DH386)</f>
      </c>
      <c r="DH386" s="143"/>
      <c r="DI386" s="142"/>
      <c r="DJ386" s="143"/>
      <c r="DK386" s="142">
        <f>SUM(DL386:DQ386)</f>
      </c>
      <c r="DL386" s="143"/>
      <c r="DM386" s="143"/>
      <c r="DN386" s="143"/>
      <c r="DO386" s="143"/>
      <c r="DP386" s="143"/>
      <c r="DQ386" s="143"/>
      <c r="DR386" s="143"/>
      <c r="DS386" s="143"/>
      <c r="DT386" s="143"/>
      <c r="DU386" s="143"/>
      <c r="DV386" s="143"/>
      <c r="DW386" s="143"/>
      <c r="DX386" s="142"/>
      <c r="DY386" s="143"/>
      <c r="DZ386" s="142"/>
      <c r="EA386" s="143"/>
      <c r="EB386" s="143"/>
      <c r="EC386" s="142"/>
      <c r="ED386" s="143"/>
      <c r="EF386" s="143"/>
      <c r="EG386" s="142">
        <f>SUM(EH386:EQ386)</f>
      </c>
      <c r="EH386" s="143"/>
      <c r="EI386" s="143"/>
      <c r="EJ386" s="143"/>
      <c r="EK386" s="143"/>
      <c r="EL386" s="143"/>
      <c r="EM386" s="143"/>
      <c r="EN386" s="143"/>
      <c r="EO386" s="143"/>
      <c r="EP386" s="143"/>
      <c r="EQ386" s="143"/>
      <c r="ER386" s="142">
        <f>SUM(ES386:ET386)</f>
      </c>
      <c r="ES386" s="143"/>
      <c r="ET386" s="143"/>
      <c r="EU386" s="144"/>
      <c r="FB386" s="146"/>
      <c r="FC386" s="146" cm="1">
        <f t="array" ref="FC386">ROW()-ROW(New[#Headers])</f>
        <v>380</v>
      </c>
    </row>
    <row r="387" spans="2:159" s="139" customFormat="1" ht="10.5" x14ac:dyDescent="0.2">
      <c r="B387" s="133"/>
      <c r="C387" s="133"/>
      <c r="E387" s="133"/>
      <c r="H387" s="133"/>
      <c r="N387" s="140"/>
      <c r="O387" s="140"/>
      <c r="P387" s="141"/>
      <c r="Q387" s="142">
        <f>SUM(R387:AQ387)</f>
      </c>
      <c r="R387" s="143"/>
      <c r="S387" s="143"/>
      <c r="T387" s="143"/>
      <c r="U387" s="143"/>
      <c r="V387" s="143"/>
      <c r="W387" s="143"/>
      <c r="X387" s="143"/>
      <c r="Y387" s="143"/>
      <c r="Z387" s="143"/>
      <c r="AA387" s="143"/>
      <c r="AB387" s="143"/>
      <c r="AC387" s="143"/>
      <c r="AD387" s="143"/>
      <c r="AE387" s="143"/>
      <c r="AF387" s="143"/>
      <c r="AG387" s="143"/>
      <c r="AH387" s="143"/>
      <c r="AI387" s="143"/>
      <c r="AJ387" s="143"/>
      <c r="AK387" s="143"/>
      <c r="AL387" s="143"/>
      <c r="AM387" s="143"/>
      <c r="AN387" s="143"/>
      <c r="AO387" s="143"/>
      <c r="AP387" s="143"/>
      <c r="AQ387" s="143"/>
      <c r="AR387" s="142">
        <f>SUM(AS387:AV387)</f>
      </c>
      <c r="AS387" s="143"/>
      <c r="AT387" s="143"/>
      <c r="AU387" s="143"/>
      <c r="AV387" s="143"/>
      <c r="AW387" s="142">
        <f>SUM(AX387:BI387)</f>
      </c>
      <c r="AX387" s="143"/>
      <c r="AY387" s="143"/>
      <c r="AZ387" s="143"/>
      <c r="BA387" s="143"/>
      <c r="BB387" s="143"/>
      <c r="BC387" s="143"/>
      <c r="BD387" s="143"/>
      <c r="BE387" s="143"/>
      <c r="BF387" s="143"/>
      <c r="BG387" s="143"/>
      <c r="BH387" s="143"/>
      <c r="BI387" s="143"/>
      <c r="BJ387" s="142"/>
      <c r="BK387" s="143"/>
      <c r="BL387" s="143"/>
      <c r="BM387" s="143"/>
      <c r="BN387" s="143"/>
      <c r="BO387" s="143"/>
      <c r="BP387" s="143"/>
      <c r="BQ387" s="142"/>
      <c r="BR387" s="143"/>
      <c r="BS387" s="143"/>
      <c r="BT387" s="142">
        <f>SUM(BU387:BW387)</f>
      </c>
      <c r="BU387" s="143"/>
      <c r="BV387" s="143"/>
      <c r="BW387" s="143"/>
      <c r="BX387" s="142">
        <f>SUM(BY387:CD387)</f>
      </c>
      <c r="BY387" s="143"/>
      <c r="BZ387" s="143"/>
      <c r="CA387" s="143"/>
      <c r="CB387" s="143"/>
      <c r="CC387" s="143"/>
      <c r="CD387" s="143"/>
      <c r="CE387" s="142"/>
      <c r="CF387" s="143"/>
      <c r="CG387" s="143"/>
      <c r="CH387" s="143"/>
      <c r="CI387" s="143"/>
      <c r="CJ387" s="143"/>
      <c r="CK387" s="142">
        <f>SUM(CL387:CN387)</f>
      </c>
      <c r="CL387" s="143"/>
      <c r="CM387" s="143"/>
      <c r="CN387" s="143"/>
      <c r="CO387" s="142">
        <f>SUM(CP387:CT387)</f>
      </c>
      <c r="CP387" s="143"/>
      <c r="CQ387" s="143"/>
      <c r="CR387" s="143"/>
      <c r="CS387" s="143"/>
      <c r="CT387" s="143"/>
      <c r="CU387" s="142"/>
      <c r="CV387" s="143"/>
      <c r="CW387" s="143"/>
      <c r="CX387" s="143"/>
      <c r="CY387" s="142"/>
      <c r="CZ387" s="143"/>
      <c r="DA387" s="143"/>
      <c r="DB387" s="143"/>
      <c r="DC387" s="143"/>
      <c r="DD387" s="143"/>
      <c r="DE387" s="143"/>
      <c r="DF387" s="143"/>
      <c r="DG387" s="142">
        <f>SUM(DH387:DH387)</f>
      </c>
      <c r="DH387" s="143"/>
      <c r="DI387" s="142"/>
      <c r="DJ387" s="143"/>
      <c r="DK387" s="142">
        <f>SUM(DL387:DQ387)</f>
      </c>
      <c r="DL387" s="143"/>
      <c r="DM387" s="143"/>
      <c r="DN387" s="143"/>
      <c r="DO387" s="143"/>
      <c r="DP387" s="143"/>
      <c r="DQ387" s="143"/>
      <c r="DR387" s="143"/>
      <c r="DS387" s="143"/>
      <c r="DT387" s="143"/>
      <c r="DU387" s="143"/>
      <c r="DV387" s="143"/>
      <c r="DW387" s="143"/>
      <c r="DX387" s="142"/>
      <c r="DY387" s="143"/>
      <c r="DZ387" s="142"/>
      <c r="EA387" s="143"/>
      <c r="EB387" s="143"/>
      <c r="EC387" s="142"/>
      <c r="ED387" s="143"/>
      <c r="EF387" s="143"/>
      <c r="EG387" s="142">
        <f>SUM(EH387:EQ387)</f>
      </c>
      <c r="EH387" s="143"/>
      <c r="EI387" s="143"/>
      <c r="EJ387" s="143"/>
      <c r="EK387" s="143"/>
      <c r="EL387" s="143"/>
      <c r="EM387" s="143"/>
      <c r="EN387" s="143"/>
      <c r="EO387" s="143"/>
      <c r="EP387" s="143"/>
      <c r="EQ387" s="143"/>
      <c r="ER387" s="142">
        <f>SUM(ES387:ET387)</f>
      </c>
      <c r="ES387" s="143"/>
      <c r="ET387" s="143"/>
      <c r="EU387" s="144"/>
      <c r="FB387" s="146"/>
      <c r="FC387" s="146" cm="1">
        <f t="array" ref="FC387">ROW()-ROW(New[#Headers])</f>
        <v>381</v>
      </c>
    </row>
    <row r="388" spans="2:159" s="139" customFormat="1" ht="10.5" x14ac:dyDescent="0.2">
      <c r="B388" s="133"/>
      <c r="C388" s="133"/>
      <c r="E388" s="133"/>
      <c r="H388" s="133"/>
      <c r="N388" s="140"/>
      <c r="O388" s="140"/>
      <c r="P388" s="141"/>
      <c r="Q388" s="142">
        <f>SUM(R388:AQ388)</f>
      </c>
      <c r="R388" s="143"/>
      <c r="S388" s="143"/>
      <c r="T388" s="143"/>
      <c r="U388" s="143"/>
      <c r="V388" s="143"/>
      <c r="W388" s="143"/>
      <c r="X388" s="143"/>
      <c r="Y388" s="143"/>
      <c r="Z388" s="143"/>
      <c r="AA388" s="143"/>
      <c r="AB388" s="143"/>
      <c r="AC388" s="143"/>
      <c r="AD388" s="143"/>
      <c r="AE388" s="143"/>
      <c r="AF388" s="143"/>
      <c r="AG388" s="143"/>
      <c r="AH388" s="143"/>
      <c r="AI388" s="143"/>
      <c r="AJ388" s="143"/>
      <c r="AK388" s="143"/>
      <c r="AL388" s="143"/>
      <c r="AM388" s="143"/>
      <c r="AN388" s="143"/>
      <c r="AO388" s="143"/>
      <c r="AP388" s="143"/>
      <c r="AQ388" s="143"/>
      <c r="AR388" s="142">
        <f>SUM(AS388:AV388)</f>
      </c>
      <c r="AS388" s="143"/>
      <c r="AT388" s="143"/>
      <c r="AU388" s="143"/>
      <c r="AV388" s="143"/>
      <c r="AW388" s="142">
        <f>SUM(AX388:BI388)</f>
      </c>
      <c r="AX388" s="143"/>
      <c r="AY388" s="143"/>
      <c r="AZ388" s="143"/>
      <c r="BA388" s="143"/>
      <c r="BB388" s="143"/>
      <c r="BC388" s="143"/>
      <c r="BD388" s="143"/>
      <c r="BE388" s="143"/>
      <c r="BF388" s="143"/>
      <c r="BG388" s="143"/>
      <c r="BH388" s="143"/>
      <c r="BI388" s="143"/>
      <c r="BJ388" s="142"/>
      <c r="BK388" s="143"/>
      <c r="BL388" s="143"/>
      <c r="BM388" s="143"/>
      <c r="BN388" s="143"/>
      <c r="BO388" s="143"/>
      <c r="BP388" s="143"/>
      <c r="BQ388" s="142"/>
      <c r="BR388" s="143"/>
      <c r="BS388" s="143"/>
      <c r="BT388" s="142">
        <f>SUM(BU388:BW388)</f>
      </c>
      <c r="BU388" s="143"/>
      <c r="BV388" s="143"/>
      <c r="BW388" s="143"/>
      <c r="BX388" s="142">
        <f>SUM(BY388:CD388)</f>
      </c>
      <c r="BY388" s="143"/>
      <c r="BZ388" s="143"/>
      <c r="CA388" s="143"/>
      <c r="CB388" s="143"/>
      <c r="CC388" s="143"/>
      <c r="CD388" s="143"/>
      <c r="CE388" s="142"/>
      <c r="CF388" s="143"/>
      <c r="CG388" s="143"/>
      <c r="CH388" s="143"/>
      <c r="CI388" s="143"/>
      <c r="CJ388" s="143"/>
      <c r="CK388" s="142">
        <f>SUM(CL388:CN388)</f>
      </c>
      <c r="CL388" s="143"/>
      <c r="CM388" s="143"/>
      <c r="CN388" s="143"/>
      <c r="CO388" s="142">
        <f>SUM(CP388:CT388)</f>
      </c>
      <c r="CP388" s="143"/>
      <c r="CQ388" s="143"/>
      <c r="CR388" s="143"/>
      <c r="CS388" s="143"/>
      <c r="CT388" s="143"/>
      <c r="CU388" s="142"/>
      <c r="CV388" s="143"/>
      <c r="CW388" s="143"/>
      <c r="CX388" s="143"/>
      <c r="CY388" s="142"/>
      <c r="CZ388" s="143"/>
      <c r="DA388" s="143"/>
      <c r="DB388" s="143"/>
      <c r="DC388" s="143"/>
      <c r="DD388" s="143"/>
      <c r="DE388" s="143"/>
      <c r="DF388" s="143"/>
      <c r="DG388" s="142">
        <f>SUM(DH388:DH388)</f>
      </c>
      <c r="DH388" s="143"/>
      <c r="DI388" s="142"/>
      <c r="DJ388" s="143"/>
      <c r="DK388" s="142">
        <f>SUM(DL388:DQ388)</f>
      </c>
      <c r="DL388" s="143"/>
      <c r="DM388" s="143"/>
      <c r="DN388" s="143"/>
      <c r="DO388" s="143"/>
      <c r="DP388" s="143"/>
      <c r="DQ388" s="143"/>
      <c r="DR388" s="143"/>
      <c r="DS388" s="143"/>
      <c r="DT388" s="143"/>
      <c r="DU388" s="143"/>
      <c r="DV388" s="143"/>
      <c r="DW388" s="143"/>
      <c r="DX388" s="142"/>
      <c r="DY388" s="143"/>
      <c r="DZ388" s="142"/>
      <c r="EA388" s="143"/>
      <c r="EB388" s="143"/>
      <c r="EC388" s="142"/>
      <c r="ED388" s="143"/>
      <c r="EF388" s="143"/>
      <c r="EG388" s="142">
        <f>SUM(EH388:EQ388)</f>
      </c>
      <c r="EH388" s="143"/>
      <c r="EI388" s="143"/>
      <c r="EJ388" s="143"/>
      <c r="EK388" s="143"/>
      <c r="EL388" s="143"/>
      <c r="EM388" s="143"/>
      <c r="EN388" s="143"/>
      <c r="EO388" s="143"/>
      <c r="EP388" s="143"/>
      <c r="EQ388" s="143"/>
      <c r="ER388" s="142">
        <f>SUM(ES388:ET388)</f>
      </c>
      <c r="ES388" s="143"/>
      <c r="ET388" s="143"/>
      <c r="EU388" s="144"/>
      <c r="FB388" s="146"/>
      <c r="FC388" s="146" cm="1">
        <f t="array" ref="FC388">ROW()-ROW(New[#Headers])</f>
        <v>382</v>
      </c>
    </row>
    <row r="389" spans="2:159" s="139" customFormat="1" ht="10.5" x14ac:dyDescent="0.2">
      <c r="B389" s="133"/>
      <c r="C389" s="133"/>
      <c r="E389" s="133"/>
      <c r="H389" s="133"/>
      <c r="N389" s="140"/>
      <c r="O389" s="140"/>
      <c r="P389" s="141"/>
      <c r="Q389" s="142">
        <f>SUM(R389:AQ389)</f>
      </c>
      <c r="R389" s="143"/>
      <c r="S389" s="143"/>
      <c r="T389" s="143"/>
      <c r="U389" s="143"/>
      <c r="V389" s="143"/>
      <c r="W389" s="143"/>
      <c r="X389" s="143"/>
      <c r="Y389" s="143"/>
      <c r="Z389" s="143"/>
      <c r="AA389" s="143"/>
      <c r="AB389" s="143"/>
      <c r="AC389" s="143"/>
      <c r="AD389" s="143"/>
      <c r="AE389" s="143"/>
      <c r="AF389" s="143"/>
      <c r="AG389" s="143"/>
      <c r="AH389" s="143"/>
      <c r="AI389" s="143"/>
      <c r="AJ389" s="143"/>
      <c r="AK389" s="143"/>
      <c r="AL389" s="143"/>
      <c r="AM389" s="143"/>
      <c r="AN389" s="143"/>
      <c r="AO389" s="143"/>
      <c r="AP389" s="143"/>
      <c r="AQ389" s="143"/>
      <c r="AR389" s="142">
        <f>SUM(AS389:AV389)</f>
      </c>
      <c r="AS389" s="143"/>
      <c r="AT389" s="143"/>
      <c r="AU389" s="143"/>
      <c r="AV389" s="143"/>
      <c r="AW389" s="142">
        <f>SUM(AX389:BI389)</f>
      </c>
      <c r="AX389" s="143"/>
      <c r="AY389" s="143"/>
      <c r="AZ389" s="143"/>
      <c r="BA389" s="143"/>
      <c r="BB389" s="143"/>
      <c r="BC389" s="143"/>
      <c r="BD389" s="143"/>
      <c r="BE389" s="143"/>
      <c r="BF389" s="143"/>
      <c r="BG389" s="143"/>
      <c r="BH389" s="143"/>
      <c r="BI389" s="143"/>
      <c r="BJ389" s="142"/>
      <c r="BK389" s="143"/>
      <c r="BL389" s="143"/>
      <c r="BM389" s="143"/>
      <c r="BN389" s="143"/>
      <c r="BO389" s="143"/>
      <c r="BP389" s="143"/>
      <c r="BQ389" s="142"/>
      <c r="BR389" s="143"/>
      <c r="BS389" s="143"/>
      <c r="BT389" s="142">
        <f>SUM(BU389:BW389)</f>
      </c>
      <c r="BU389" s="143"/>
      <c r="BV389" s="143"/>
      <c r="BW389" s="143"/>
      <c r="BX389" s="142">
        <f>SUM(BY389:CD389)</f>
      </c>
      <c r="BY389" s="143"/>
      <c r="BZ389" s="143"/>
      <c r="CA389" s="143"/>
      <c r="CB389" s="143"/>
      <c r="CC389" s="143"/>
      <c r="CD389" s="143"/>
      <c r="CE389" s="142"/>
      <c r="CF389" s="143"/>
      <c r="CG389" s="143"/>
      <c r="CH389" s="143"/>
      <c r="CI389" s="143"/>
      <c r="CJ389" s="143"/>
      <c r="CK389" s="142">
        <f>SUM(CL389:CN389)</f>
      </c>
      <c r="CL389" s="143"/>
      <c r="CM389" s="143"/>
      <c r="CN389" s="143"/>
      <c r="CO389" s="142">
        <f>SUM(CP389:CT389)</f>
      </c>
      <c r="CP389" s="143"/>
      <c r="CQ389" s="143"/>
      <c r="CR389" s="143"/>
      <c r="CS389" s="143"/>
      <c r="CT389" s="143"/>
      <c r="CU389" s="142"/>
      <c r="CV389" s="143"/>
      <c r="CW389" s="143"/>
      <c r="CX389" s="143"/>
      <c r="CY389" s="142"/>
      <c r="CZ389" s="143"/>
      <c r="DA389" s="143"/>
      <c r="DB389" s="143"/>
      <c r="DC389" s="143"/>
      <c r="DD389" s="143"/>
      <c r="DE389" s="143"/>
      <c r="DF389" s="143"/>
      <c r="DG389" s="142">
        <f>SUM(DH389:DH389)</f>
      </c>
      <c r="DH389" s="143"/>
      <c r="DI389" s="142"/>
      <c r="DJ389" s="143"/>
      <c r="DK389" s="142">
        <f>SUM(DL389:DQ389)</f>
      </c>
      <c r="DL389" s="143"/>
      <c r="DM389" s="143"/>
      <c r="DN389" s="143"/>
      <c r="DO389" s="143"/>
      <c r="DP389" s="143"/>
      <c r="DQ389" s="143"/>
      <c r="DR389" s="143"/>
      <c r="DS389" s="143"/>
      <c r="DT389" s="143"/>
      <c r="DU389" s="143"/>
      <c r="DV389" s="143"/>
      <c r="DW389" s="143"/>
      <c r="DX389" s="142"/>
      <c r="DY389" s="143"/>
      <c r="DZ389" s="142"/>
      <c r="EA389" s="143"/>
      <c r="EB389" s="143"/>
      <c r="EC389" s="142"/>
      <c r="ED389" s="143"/>
      <c r="EF389" s="143"/>
      <c r="EG389" s="142">
        <f>SUM(EH389:EQ389)</f>
      </c>
      <c r="EH389" s="143"/>
      <c r="EI389" s="143"/>
      <c r="EJ389" s="143"/>
      <c r="EK389" s="143"/>
      <c r="EL389" s="143"/>
      <c r="EM389" s="143"/>
      <c r="EN389" s="143"/>
      <c r="EO389" s="143"/>
      <c r="EP389" s="143"/>
      <c r="EQ389" s="143"/>
      <c r="ER389" s="142">
        <f>SUM(ES389:ET389)</f>
      </c>
      <c r="ES389" s="143"/>
      <c r="ET389" s="143"/>
      <c r="EU389" s="144"/>
      <c r="FB389" s="146"/>
      <c r="FC389" s="146" cm="1">
        <f t="array" ref="FC389">ROW()-ROW(New[#Headers])</f>
        <v>383</v>
      </c>
    </row>
    <row r="390" spans="2:159" s="139" customFormat="1" ht="10.5" x14ac:dyDescent="0.2">
      <c r="B390" s="133"/>
      <c r="C390" s="133"/>
      <c r="E390" s="133"/>
      <c r="H390" s="133"/>
      <c r="N390" s="140"/>
      <c r="O390" s="140"/>
      <c r="P390" s="141"/>
      <c r="Q390" s="142">
        <f>SUM(R390:AQ390)</f>
      </c>
      <c r="R390" s="143"/>
      <c r="S390" s="143"/>
      <c r="T390" s="143"/>
      <c r="U390" s="143"/>
      <c r="V390" s="143"/>
      <c r="W390" s="143"/>
      <c r="X390" s="143"/>
      <c r="Y390" s="143"/>
      <c r="Z390" s="143"/>
      <c r="AA390" s="143"/>
      <c r="AB390" s="143"/>
      <c r="AC390" s="143"/>
      <c r="AD390" s="143"/>
      <c r="AE390" s="143"/>
      <c r="AF390" s="143"/>
      <c r="AG390" s="143"/>
      <c r="AH390" s="143"/>
      <c r="AI390" s="143"/>
      <c r="AJ390" s="143"/>
      <c r="AK390" s="143"/>
      <c r="AL390" s="143"/>
      <c r="AM390" s="143"/>
      <c r="AN390" s="143"/>
      <c r="AO390" s="143"/>
      <c r="AP390" s="143"/>
      <c r="AQ390" s="143"/>
      <c r="AR390" s="142">
        <f>SUM(AS390:AV390)</f>
      </c>
      <c r="AS390" s="143"/>
      <c r="AT390" s="143"/>
      <c r="AU390" s="143"/>
      <c r="AV390" s="143"/>
      <c r="AW390" s="142">
        <f>SUM(AX390:BI390)</f>
      </c>
      <c r="AX390" s="143"/>
      <c r="AY390" s="143"/>
      <c r="AZ390" s="143"/>
      <c r="BA390" s="143"/>
      <c r="BB390" s="143"/>
      <c r="BC390" s="143"/>
      <c r="BD390" s="143"/>
      <c r="BE390" s="143"/>
      <c r="BF390" s="143"/>
      <c r="BG390" s="143"/>
      <c r="BH390" s="143"/>
      <c r="BI390" s="143"/>
      <c r="BJ390" s="142"/>
      <c r="BK390" s="143"/>
      <c r="BL390" s="143"/>
      <c r="BM390" s="143"/>
      <c r="BN390" s="143"/>
      <c r="BO390" s="143"/>
      <c r="BP390" s="143"/>
      <c r="BQ390" s="142"/>
      <c r="BR390" s="143"/>
      <c r="BS390" s="143"/>
      <c r="BT390" s="142">
        <f>SUM(BU390:BW390)</f>
      </c>
      <c r="BU390" s="143"/>
      <c r="BV390" s="143"/>
      <c r="BW390" s="143"/>
      <c r="BX390" s="142">
        <f>SUM(BY390:CD390)</f>
      </c>
      <c r="BY390" s="143"/>
      <c r="BZ390" s="143"/>
      <c r="CA390" s="143"/>
      <c r="CB390" s="143"/>
      <c r="CC390" s="143"/>
      <c r="CD390" s="143"/>
      <c r="CE390" s="142"/>
      <c r="CF390" s="143"/>
      <c r="CG390" s="143"/>
      <c r="CH390" s="143"/>
      <c r="CI390" s="143"/>
      <c r="CJ390" s="143"/>
      <c r="CK390" s="142">
        <f>SUM(CL390:CN390)</f>
      </c>
      <c r="CL390" s="143"/>
      <c r="CM390" s="143"/>
      <c r="CN390" s="143"/>
      <c r="CO390" s="142">
        <f>SUM(CP390:CT390)</f>
      </c>
      <c r="CP390" s="143"/>
      <c r="CQ390" s="143"/>
      <c r="CR390" s="143"/>
      <c r="CS390" s="143"/>
      <c r="CT390" s="143"/>
      <c r="CU390" s="142"/>
      <c r="CV390" s="143"/>
      <c r="CW390" s="143"/>
      <c r="CX390" s="143"/>
      <c r="CY390" s="142"/>
      <c r="CZ390" s="143"/>
      <c r="DA390" s="143"/>
      <c r="DB390" s="143"/>
      <c r="DC390" s="143"/>
      <c r="DD390" s="143"/>
      <c r="DE390" s="143"/>
      <c r="DF390" s="143"/>
      <c r="DG390" s="142">
        <f>SUM(DH390:DH390)</f>
      </c>
      <c r="DH390" s="143"/>
      <c r="DI390" s="142"/>
      <c r="DJ390" s="143"/>
      <c r="DK390" s="142">
        <f>SUM(DL390:DQ390)</f>
      </c>
      <c r="DL390" s="143"/>
      <c r="DM390" s="143"/>
      <c r="DN390" s="143"/>
      <c r="DO390" s="143"/>
      <c r="DP390" s="143"/>
      <c r="DQ390" s="143"/>
      <c r="DR390" s="143"/>
      <c r="DS390" s="143"/>
      <c r="DT390" s="143"/>
      <c r="DU390" s="143"/>
      <c r="DV390" s="143"/>
      <c r="DW390" s="143"/>
      <c r="DX390" s="142"/>
      <c r="DY390" s="143"/>
      <c r="DZ390" s="142"/>
      <c r="EA390" s="143"/>
      <c r="EB390" s="143"/>
      <c r="EC390" s="142"/>
      <c r="ED390" s="143"/>
      <c r="EF390" s="143"/>
      <c r="EG390" s="142">
        <f>SUM(EH390:EQ390)</f>
      </c>
      <c r="EH390" s="143"/>
      <c r="EI390" s="143"/>
      <c r="EJ390" s="143"/>
      <c r="EK390" s="143"/>
      <c r="EL390" s="143"/>
      <c r="EM390" s="143"/>
      <c r="EN390" s="143"/>
      <c r="EO390" s="143"/>
      <c r="EP390" s="143"/>
      <c r="EQ390" s="143"/>
      <c r="ER390" s="142">
        <f>SUM(ES390:ET390)</f>
      </c>
      <c r="ES390" s="143"/>
      <c r="ET390" s="143"/>
      <c r="EU390" s="144"/>
      <c r="FB390" s="146"/>
      <c r="FC390" s="146" cm="1">
        <f t="array" ref="FC390">ROW()-ROW(New[#Headers])</f>
        <v>384</v>
      </c>
    </row>
    <row r="391" spans="2:159" s="139" customFormat="1" ht="10.5" x14ac:dyDescent="0.2">
      <c r="B391" s="133"/>
      <c r="C391" s="133"/>
      <c r="E391" s="133"/>
      <c r="H391" s="133"/>
      <c r="N391" s="140"/>
      <c r="O391" s="140"/>
      <c r="P391" s="141"/>
      <c r="Q391" s="142">
        <f>SUM(R391:AQ391)</f>
      </c>
      <c r="R391" s="143"/>
      <c r="S391" s="143"/>
      <c r="T391" s="143"/>
      <c r="U391" s="143"/>
      <c r="V391" s="143"/>
      <c r="W391" s="143"/>
      <c r="X391" s="143"/>
      <c r="Y391" s="143"/>
      <c r="Z391" s="143"/>
      <c r="AA391" s="143"/>
      <c r="AB391" s="143"/>
      <c r="AC391" s="143"/>
      <c r="AD391" s="143"/>
      <c r="AE391" s="143"/>
      <c r="AF391" s="143"/>
      <c r="AG391" s="143"/>
      <c r="AH391" s="143"/>
      <c r="AI391" s="143"/>
      <c r="AJ391" s="143"/>
      <c r="AK391" s="143"/>
      <c r="AL391" s="143"/>
      <c r="AM391" s="143"/>
      <c r="AN391" s="143"/>
      <c r="AO391" s="143"/>
      <c r="AP391" s="143"/>
      <c r="AQ391" s="143"/>
      <c r="AR391" s="142">
        <f>SUM(AS391:AV391)</f>
      </c>
      <c r="AS391" s="143"/>
      <c r="AT391" s="143"/>
      <c r="AU391" s="143"/>
      <c r="AV391" s="143"/>
      <c r="AW391" s="142">
        <f>SUM(AX391:BI391)</f>
      </c>
      <c r="AX391" s="143"/>
      <c r="AY391" s="143"/>
      <c r="AZ391" s="143"/>
      <c r="BA391" s="143"/>
      <c r="BB391" s="143"/>
      <c r="BC391" s="143"/>
      <c r="BD391" s="143"/>
      <c r="BE391" s="143"/>
      <c r="BF391" s="143"/>
      <c r="BG391" s="143"/>
      <c r="BH391" s="143"/>
      <c r="BI391" s="143"/>
      <c r="BJ391" s="142"/>
      <c r="BK391" s="143"/>
      <c r="BL391" s="143"/>
      <c r="BM391" s="143"/>
      <c r="BN391" s="143"/>
      <c r="BO391" s="143"/>
      <c r="BP391" s="143"/>
      <c r="BQ391" s="142"/>
      <c r="BR391" s="143"/>
      <c r="BS391" s="143"/>
      <c r="BT391" s="142">
        <f>SUM(BU391:BW391)</f>
      </c>
      <c r="BU391" s="143"/>
      <c r="BV391" s="143"/>
      <c r="BW391" s="143"/>
      <c r="BX391" s="142">
        <f>SUM(BY391:CD391)</f>
      </c>
      <c r="BY391" s="143"/>
      <c r="BZ391" s="143"/>
      <c r="CA391" s="143"/>
      <c r="CB391" s="143"/>
      <c r="CC391" s="143"/>
      <c r="CD391" s="143"/>
      <c r="CE391" s="142"/>
      <c r="CF391" s="143"/>
      <c r="CG391" s="143"/>
      <c r="CH391" s="143"/>
      <c r="CI391" s="143"/>
      <c r="CJ391" s="143"/>
      <c r="CK391" s="142">
        <f>SUM(CL391:CN391)</f>
      </c>
      <c r="CL391" s="143"/>
      <c r="CM391" s="143"/>
      <c r="CN391" s="143"/>
      <c r="CO391" s="142">
        <f>SUM(CP391:CT391)</f>
      </c>
      <c r="CP391" s="143"/>
      <c r="CQ391" s="143"/>
      <c r="CR391" s="143"/>
      <c r="CS391" s="143"/>
      <c r="CT391" s="143"/>
      <c r="CU391" s="142"/>
      <c r="CV391" s="143"/>
      <c r="CW391" s="143"/>
      <c r="CX391" s="143"/>
      <c r="CY391" s="142"/>
      <c r="CZ391" s="143"/>
      <c r="DA391" s="143"/>
      <c r="DB391" s="143"/>
      <c r="DC391" s="143"/>
      <c r="DD391" s="143"/>
      <c r="DE391" s="143"/>
      <c r="DF391" s="143"/>
      <c r="DG391" s="142">
        <f>SUM(DH391:DH391)</f>
      </c>
      <c r="DH391" s="143"/>
      <c r="DI391" s="142"/>
      <c r="DJ391" s="143"/>
      <c r="DK391" s="142">
        <f>SUM(DL391:DQ391)</f>
      </c>
      <c r="DL391" s="143"/>
      <c r="DM391" s="143"/>
      <c r="DN391" s="143"/>
      <c r="DO391" s="143"/>
      <c r="DP391" s="143"/>
      <c r="DQ391" s="143"/>
      <c r="DR391" s="143"/>
      <c r="DS391" s="143"/>
      <c r="DT391" s="143"/>
      <c r="DU391" s="143"/>
      <c r="DV391" s="143"/>
      <c r="DW391" s="143"/>
      <c r="DX391" s="142"/>
      <c r="DY391" s="143"/>
      <c r="DZ391" s="142"/>
      <c r="EA391" s="143"/>
      <c r="EB391" s="143"/>
      <c r="EC391" s="142"/>
      <c r="ED391" s="143"/>
      <c r="EF391" s="143"/>
      <c r="EG391" s="142">
        <f>SUM(EH391:EQ391)</f>
      </c>
      <c r="EH391" s="143"/>
      <c r="EI391" s="143"/>
      <c r="EJ391" s="143"/>
      <c r="EK391" s="143"/>
      <c r="EL391" s="143"/>
      <c r="EM391" s="143"/>
      <c r="EN391" s="143"/>
      <c r="EO391" s="143"/>
      <c r="EP391" s="143"/>
      <c r="EQ391" s="143"/>
      <c r="ER391" s="142">
        <f>SUM(ES391:ET391)</f>
      </c>
      <c r="ES391" s="143"/>
      <c r="ET391" s="143"/>
      <c r="EU391" s="144"/>
      <c r="FB391" s="146"/>
      <c r="FC391" s="146" cm="1">
        <f t="array" ref="FC391">ROW()-ROW(New[#Headers])</f>
        <v>385</v>
      </c>
    </row>
    <row r="392" spans="2:159" s="139" customFormat="1" ht="10.5" x14ac:dyDescent="0.2">
      <c r="B392" s="133"/>
      <c r="C392" s="133"/>
      <c r="E392" s="133"/>
      <c r="H392" s="133"/>
      <c r="N392" s="140"/>
      <c r="O392" s="140"/>
      <c r="P392" s="141"/>
      <c r="Q392" s="142">
        <f>SUM(R392:AQ392)</f>
      </c>
      <c r="R392" s="143"/>
      <c r="S392" s="143"/>
      <c r="T392" s="143"/>
      <c r="U392" s="143"/>
      <c r="V392" s="143"/>
      <c r="W392" s="143"/>
      <c r="X392" s="143"/>
      <c r="Y392" s="143"/>
      <c r="Z392" s="143"/>
      <c r="AA392" s="143"/>
      <c r="AB392" s="143"/>
      <c r="AC392" s="143"/>
      <c r="AD392" s="143"/>
      <c r="AE392" s="143"/>
      <c r="AF392" s="143"/>
      <c r="AG392" s="143"/>
      <c r="AH392" s="143"/>
      <c r="AI392" s="143"/>
      <c r="AJ392" s="143"/>
      <c r="AK392" s="143"/>
      <c r="AL392" s="143"/>
      <c r="AM392" s="143"/>
      <c r="AN392" s="143"/>
      <c r="AO392" s="143"/>
      <c r="AP392" s="143"/>
      <c r="AQ392" s="143"/>
      <c r="AR392" s="142">
        <f>SUM(AS392:AV392)</f>
      </c>
      <c r="AS392" s="143"/>
      <c r="AT392" s="143"/>
      <c r="AU392" s="143"/>
      <c r="AV392" s="143"/>
      <c r="AW392" s="142">
        <f>SUM(AX392:BI392)</f>
      </c>
      <c r="AX392" s="143"/>
      <c r="AY392" s="143"/>
      <c r="AZ392" s="143"/>
      <c r="BA392" s="143"/>
      <c r="BB392" s="143"/>
      <c r="BC392" s="143"/>
      <c r="BD392" s="143"/>
      <c r="BE392" s="143"/>
      <c r="BF392" s="143"/>
      <c r="BG392" s="143"/>
      <c r="BH392" s="143"/>
      <c r="BI392" s="143"/>
      <c r="BJ392" s="142"/>
      <c r="BK392" s="143"/>
      <c r="BL392" s="143"/>
      <c r="BM392" s="143"/>
      <c r="BN392" s="143"/>
      <c r="BO392" s="143"/>
      <c r="BP392" s="143"/>
      <c r="BQ392" s="142"/>
      <c r="BR392" s="143"/>
      <c r="BS392" s="143"/>
      <c r="BT392" s="142">
        <f>SUM(BU392:BW392)</f>
      </c>
      <c r="BU392" s="143"/>
      <c r="BV392" s="143"/>
      <c r="BW392" s="143"/>
      <c r="BX392" s="142">
        <f>SUM(BY392:CD392)</f>
      </c>
      <c r="BY392" s="143"/>
      <c r="BZ392" s="143"/>
      <c r="CA392" s="143"/>
      <c r="CB392" s="143"/>
      <c r="CC392" s="143"/>
      <c r="CD392" s="143"/>
      <c r="CE392" s="142"/>
      <c r="CF392" s="143"/>
      <c r="CG392" s="143"/>
      <c r="CH392" s="143"/>
      <c r="CI392" s="143"/>
      <c r="CJ392" s="143"/>
      <c r="CK392" s="142">
        <f>SUM(CL392:CN392)</f>
      </c>
      <c r="CL392" s="143"/>
      <c r="CM392" s="143"/>
      <c r="CN392" s="143"/>
      <c r="CO392" s="142">
        <f>SUM(CP392:CT392)</f>
      </c>
      <c r="CP392" s="143"/>
      <c r="CQ392" s="143"/>
      <c r="CR392" s="143"/>
      <c r="CS392" s="143"/>
      <c r="CT392" s="143"/>
      <c r="CU392" s="142"/>
      <c r="CV392" s="143"/>
      <c r="CW392" s="143"/>
      <c r="CX392" s="143"/>
      <c r="CY392" s="142"/>
      <c r="CZ392" s="143"/>
      <c r="DA392" s="143"/>
      <c r="DB392" s="143"/>
      <c r="DC392" s="143"/>
      <c r="DD392" s="143"/>
      <c r="DE392" s="143"/>
      <c r="DF392" s="143"/>
      <c r="DG392" s="142">
        <f>SUM(DH392:DH392)</f>
      </c>
      <c r="DH392" s="143"/>
      <c r="DI392" s="142"/>
      <c r="DJ392" s="143"/>
      <c r="DK392" s="142">
        <f>SUM(DL392:DQ392)</f>
      </c>
      <c r="DL392" s="143"/>
      <c r="DM392" s="143"/>
      <c r="DN392" s="143"/>
      <c r="DO392" s="143"/>
      <c r="DP392" s="143"/>
      <c r="DQ392" s="143"/>
      <c r="DR392" s="143"/>
      <c r="DS392" s="143"/>
      <c r="DT392" s="143"/>
      <c r="DU392" s="143"/>
      <c r="DV392" s="143"/>
      <c r="DW392" s="143"/>
      <c r="DX392" s="142"/>
      <c r="DY392" s="143"/>
      <c r="DZ392" s="142"/>
      <c r="EA392" s="143"/>
      <c r="EB392" s="143"/>
      <c r="EC392" s="142"/>
      <c r="ED392" s="143"/>
      <c r="EF392" s="143"/>
      <c r="EG392" s="142">
        <f>SUM(EH392:EQ392)</f>
      </c>
      <c r="EH392" s="143"/>
      <c r="EI392" s="143"/>
      <c r="EJ392" s="143"/>
      <c r="EK392" s="143"/>
      <c r="EL392" s="143"/>
      <c r="EM392" s="143"/>
      <c r="EN392" s="143"/>
      <c r="EO392" s="143"/>
      <c r="EP392" s="143"/>
      <c r="EQ392" s="143"/>
      <c r="ER392" s="142">
        <f>SUM(ES392:ET392)</f>
      </c>
      <c r="ES392" s="143"/>
      <c r="ET392" s="143"/>
      <c r="EU392" s="144"/>
      <c r="FB392" s="146"/>
      <c r="FC392" s="146" cm="1">
        <f t="array" ref="FC392">ROW()-ROW(New[#Headers])</f>
        <v>386</v>
      </c>
    </row>
    <row r="393" spans="2:159" s="139" customFormat="1" ht="10.5" x14ac:dyDescent="0.2">
      <c r="B393" s="133"/>
      <c r="C393" s="133"/>
      <c r="E393" s="133"/>
      <c r="H393" s="133"/>
      <c r="N393" s="140"/>
      <c r="O393" s="140"/>
      <c r="P393" s="141"/>
      <c r="Q393" s="142">
        <f>SUM(R393:AQ393)</f>
      </c>
      <c r="R393" s="143"/>
      <c r="S393" s="143"/>
      <c r="T393" s="143"/>
      <c r="U393" s="143"/>
      <c r="V393" s="143"/>
      <c r="W393" s="143"/>
      <c r="X393" s="143"/>
      <c r="Y393" s="143"/>
      <c r="Z393" s="143"/>
      <c r="AA393" s="143"/>
      <c r="AB393" s="143"/>
      <c r="AC393" s="143"/>
      <c r="AD393" s="143"/>
      <c r="AE393" s="143"/>
      <c r="AF393" s="143"/>
      <c r="AG393" s="143"/>
      <c r="AH393" s="143"/>
      <c r="AI393" s="143"/>
      <c r="AJ393" s="143"/>
      <c r="AK393" s="143"/>
      <c r="AL393" s="143"/>
      <c r="AM393" s="143"/>
      <c r="AN393" s="143"/>
      <c r="AO393" s="143"/>
      <c r="AP393" s="143"/>
      <c r="AQ393" s="143"/>
      <c r="AR393" s="142">
        <f>SUM(AS393:AV393)</f>
      </c>
      <c r="AS393" s="143"/>
      <c r="AT393" s="143"/>
      <c r="AU393" s="143"/>
      <c r="AV393" s="143"/>
      <c r="AW393" s="142">
        <f>SUM(AX393:BI393)</f>
      </c>
      <c r="AX393" s="143"/>
      <c r="AY393" s="143"/>
      <c r="AZ393" s="143"/>
      <c r="BA393" s="143"/>
      <c r="BB393" s="143"/>
      <c r="BC393" s="143"/>
      <c r="BD393" s="143"/>
      <c r="BE393" s="143"/>
      <c r="BF393" s="143"/>
      <c r="BG393" s="143"/>
      <c r="BH393" s="143"/>
      <c r="BI393" s="143"/>
      <c r="BJ393" s="142"/>
      <c r="BK393" s="143"/>
      <c r="BL393" s="143"/>
      <c r="BM393" s="143"/>
      <c r="BN393" s="143"/>
      <c r="BO393" s="143"/>
      <c r="BP393" s="143"/>
      <c r="BQ393" s="142"/>
      <c r="BR393" s="143"/>
      <c r="BS393" s="143"/>
      <c r="BT393" s="142">
        <f>SUM(BU393:BW393)</f>
      </c>
      <c r="BU393" s="143"/>
      <c r="BV393" s="143"/>
      <c r="BW393" s="143"/>
      <c r="BX393" s="142">
        <f>SUM(BY393:CD393)</f>
      </c>
      <c r="BY393" s="143"/>
      <c r="BZ393" s="143"/>
      <c r="CA393" s="143"/>
      <c r="CB393" s="143"/>
      <c r="CC393" s="143"/>
      <c r="CD393" s="143"/>
      <c r="CE393" s="142"/>
      <c r="CF393" s="143"/>
      <c r="CG393" s="143"/>
      <c r="CH393" s="143"/>
      <c r="CI393" s="143"/>
      <c r="CJ393" s="143"/>
      <c r="CK393" s="142">
        <f>SUM(CL393:CN393)</f>
      </c>
      <c r="CL393" s="143"/>
      <c r="CM393" s="143"/>
      <c r="CN393" s="143"/>
      <c r="CO393" s="142">
        <f>SUM(CP393:CT393)</f>
      </c>
      <c r="CP393" s="143"/>
      <c r="CQ393" s="143"/>
      <c r="CR393" s="143"/>
      <c r="CS393" s="143"/>
      <c r="CT393" s="143"/>
      <c r="CU393" s="142"/>
      <c r="CV393" s="143"/>
      <c r="CW393" s="143"/>
      <c r="CX393" s="143"/>
      <c r="CY393" s="142"/>
      <c r="CZ393" s="143"/>
      <c r="DA393" s="143"/>
      <c r="DB393" s="143"/>
      <c r="DC393" s="143"/>
      <c r="DD393" s="143"/>
      <c r="DE393" s="143"/>
      <c r="DF393" s="143"/>
      <c r="DG393" s="142">
        <f>SUM(DH393:DH393)</f>
      </c>
      <c r="DH393" s="143"/>
      <c r="DI393" s="142"/>
      <c r="DJ393" s="143"/>
      <c r="DK393" s="142">
        <f>SUM(DL393:DQ393)</f>
      </c>
      <c r="DL393" s="143"/>
      <c r="DM393" s="143"/>
      <c r="DN393" s="143"/>
      <c r="DO393" s="143"/>
      <c r="DP393" s="143"/>
      <c r="DQ393" s="143"/>
      <c r="DR393" s="143"/>
      <c r="DS393" s="143"/>
      <c r="DT393" s="143"/>
      <c r="DU393" s="143"/>
      <c r="DV393" s="143"/>
      <c r="DW393" s="143"/>
      <c r="DX393" s="142"/>
      <c r="DY393" s="143"/>
      <c r="DZ393" s="142"/>
      <c r="EA393" s="143"/>
      <c r="EB393" s="143"/>
      <c r="EC393" s="142"/>
      <c r="ED393" s="143"/>
      <c r="EF393" s="143"/>
      <c r="EG393" s="142">
        <f>SUM(EH393:EQ393)</f>
      </c>
      <c r="EH393" s="143"/>
      <c r="EI393" s="143"/>
      <c r="EJ393" s="143"/>
      <c r="EK393" s="143"/>
      <c r="EL393" s="143"/>
      <c r="EM393" s="143"/>
      <c r="EN393" s="143"/>
      <c r="EO393" s="143"/>
      <c r="EP393" s="143"/>
      <c r="EQ393" s="143"/>
      <c r="ER393" s="142">
        <f>SUM(ES393:ET393)</f>
      </c>
      <c r="ES393" s="143"/>
      <c r="ET393" s="143"/>
      <c r="EU393" s="144"/>
      <c r="FB393" s="146"/>
      <c r="FC393" s="146" cm="1">
        <f t="array" ref="FC393">ROW()-ROW(New[#Headers])</f>
        <v>387</v>
      </c>
    </row>
    <row r="394" spans="2:159" s="139" customFormat="1" ht="10.5" x14ac:dyDescent="0.2">
      <c r="B394" s="133"/>
      <c r="C394" s="133"/>
      <c r="E394" s="133"/>
      <c r="H394" s="133"/>
      <c r="N394" s="140"/>
      <c r="O394" s="140"/>
      <c r="P394" s="141"/>
      <c r="Q394" s="142">
        <f>SUM(R394:AQ394)</f>
      </c>
      <c r="R394" s="143"/>
      <c r="S394" s="143"/>
      <c r="T394" s="143"/>
      <c r="U394" s="143"/>
      <c r="V394" s="143"/>
      <c r="W394" s="143"/>
      <c r="X394" s="143"/>
      <c r="Y394" s="143"/>
      <c r="Z394" s="143"/>
      <c r="AA394" s="143"/>
      <c r="AB394" s="143"/>
      <c r="AC394" s="143"/>
      <c r="AD394" s="143"/>
      <c r="AE394" s="143"/>
      <c r="AF394" s="143"/>
      <c r="AG394" s="143"/>
      <c r="AH394" s="143"/>
      <c r="AI394" s="143"/>
      <c r="AJ394" s="143"/>
      <c r="AK394" s="143"/>
      <c r="AL394" s="143"/>
      <c r="AM394" s="143"/>
      <c r="AN394" s="143"/>
      <c r="AO394" s="143"/>
      <c r="AP394" s="143"/>
      <c r="AQ394" s="143"/>
      <c r="AR394" s="142">
        <f>SUM(AS394:AV394)</f>
      </c>
      <c r="AS394" s="143"/>
      <c r="AT394" s="143"/>
      <c r="AU394" s="143"/>
      <c r="AV394" s="143"/>
      <c r="AW394" s="142">
        <f>SUM(AX394:BI394)</f>
      </c>
      <c r="AX394" s="143"/>
      <c r="AY394" s="143"/>
      <c r="AZ394" s="143"/>
      <c r="BA394" s="143"/>
      <c r="BB394" s="143"/>
      <c r="BC394" s="143"/>
      <c r="BD394" s="143"/>
      <c r="BE394" s="143"/>
      <c r="BF394" s="143"/>
      <c r="BG394" s="143"/>
      <c r="BH394" s="143"/>
      <c r="BI394" s="143"/>
      <c r="BJ394" s="142"/>
      <c r="BK394" s="143"/>
      <c r="BL394" s="143"/>
      <c r="BM394" s="143"/>
      <c r="BN394" s="143"/>
      <c r="BO394" s="143"/>
      <c r="BP394" s="143"/>
      <c r="BQ394" s="142"/>
      <c r="BR394" s="143"/>
      <c r="BS394" s="143"/>
      <c r="BT394" s="142">
        <f>SUM(BU394:BW394)</f>
      </c>
      <c r="BU394" s="143"/>
      <c r="BV394" s="143"/>
      <c r="BW394" s="143"/>
      <c r="BX394" s="142">
        <f>SUM(BY394:CD394)</f>
      </c>
      <c r="BY394" s="143"/>
      <c r="BZ394" s="143"/>
      <c r="CA394" s="143"/>
      <c r="CB394" s="143"/>
      <c r="CC394" s="143"/>
      <c r="CD394" s="143"/>
      <c r="CE394" s="142"/>
      <c r="CF394" s="143"/>
      <c r="CG394" s="143"/>
      <c r="CH394" s="143"/>
      <c r="CI394" s="143"/>
      <c r="CJ394" s="143"/>
      <c r="CK394" s="142">
        <f>SUM(CL394:CN394)</f>
      </c>
      <c r="CL394" s="143"/>
      <c r="CM394" s="143"/>
      <c r="CN394" s="143"/>
      <c r="CO394" s="142">
        <f>SUM(CP394:CT394)</f>
      </c>
      <c r="CP394" s="143"/>
      <c r="CQ394" s="143"/>
      <c r="CR394" s="143"/>
      <c r="CS394" s="143"/>
      <c r="CT394" s="143"/>
      <c r="CU394" s="142"/>
      <c r="CV394" s="143"/>
      <c r="CW394" s="143"/>
      <c r="CX394" s="143"/>
      <c r="CY394" s="142"/>
      <c r="CZ394" s="143"/>
      <c r="DA394" s="143"/>
      <c r="DB394" s="143"/>
      <c r="DC394" s="143"/>
      <c r="DD394" s="143"/>
      <c r="DE394" s="143"/>
      <c r="DF394" s="143"/>
      <c r="DG394" s="142">
        <f>SUM(DH394:DH394)</f>
      </c>
      <c r="DH394" s="143"/>
      <c r="DI394" s="142"/>
      <c r="DJ394" s="143"/>
      <c r="DK394" s="142">
        <f>SUM(DL394:DQ394)</f>
      </c>
      <c r="DL394" s="143"/>
      <c r="DM394" s="143"/>
      <c r="DN394" s="143"/>
      <c r="DO394" s="143"/>
      <c r="DP394" s="143"/>
      <c r="DQ394" s="143"/>
      <c r="DR394" s="143"/>
      <c r="DS394" s="143"/>
      <c r="DT394" s="143"/>
      <c r="DU394" s="143"/>
      <c r="DV394" s="143"/>
      <c r="DW394" s="143"/>
      <c r="DX394" s="142"/>
      <c r="DY394" s="143"/>
      <c r="DZ394" s="142"/>
      <c r="EA394" s="143"/>
      <c r="EB394" s="143"/>
      <c r="EC394" s="142"/>
      <c r="ED394" s="143"/>
      <c r="EF394" s="143"/>
      <c r="EG394" s="142">
        <f>SUM(EH394:EQ394)</f>
      </c>
      <c r="EH394" s="143"/>
      <c r="EI394" s="143"/>
      <c r="EJ394" s="143"/>
      <c r="EK394" s="143"/>
      <c r="EL394" s="143"/>
      <c r="EM394" s="143"/>
      <c r="EN394" s="143"/>
      <c r="EO394" s="143"/>
      <c r="EP394" s="143"/>
      <c r="EQ394" s="143"/>
      <c r="ER394" s="142">
        <f>SUM(ES394:ET394)</f>
      </c>
      <c r="ES394" s="143"/>
      <c r="ET394" s="143"/>
      <c r="EU394" s="144"/>
      <c r="FB394" s="146"/>
      <c r="FC394" s="146" cm="1">
        <f t="array" ref="FC394">ROW()-ROW(New[#Headers])</f>
        <v>388</v>
      </c>
    </row>
    <row r="395" spans="2:159" s="139" customFormat="1" ht="10.5" x14ac:dyDescent="0.2">
      <c r="B395" s="133"/>
      <c r="C395" s="133"/>
      <c r="E395" s="133"/>
      <c r="H395" s="133"/>
      <c r="N395" s="140"/>
      <c r="O395" s="140"/>
      <c r="P395" s="141"/>
      <c r="Q395" s="142">
        <f>SUM(R395:AQ395)</f>
      </c>
      <c r="R395" s="143"/>
      <c r="S395" s="143"/>
      <c r="T395" s="143"/>
      <c r="U395" s="143"/>
      <c r="V395" s="143"/>
      <c r="W395" s="143"/>
      <c r="X395" s="143"/>
      <c r="Y395" s="143"/>
      <c r="Z395" s="143"/>
      <c r="AA395" s="143"/>
      <c r="AB395" s="143"/>
      <c r="AC395" s="143"/>
      <c r="AD395" s="143"/>
      <c r="AE395" s="143"/>
      <c r="AF395" s="143"/>
      <c r="AG395" s="143"/>
      <c r="AH395" s="143"/>
      <c r="AI395" s="143"/>
      <c r="AJ395" s="143"/>
      <c r="AK395" s="143"/>
      <c r="AL395" s="143"/>
      <c r="AM395" s="143"/>
      <c r="AN395" s="143"/>
      <c r="AO395" s="143"/>
      <c r="AP395" s="143"/>
      <c r="AQ395" s="143"/>
      <c r="AR395" s="142">
        <f>SUM(AS395:AV395)</f>
      </c>
      <c r="AS395" s="143"/>
      <c r="AT395" s="143"/>
      <c r="AU395" s="143"/>
      <c r="AV395" s="143"/>
      <c r="AW395" s="142">
        <f>SUM(AX395:BI395)</f>
      </c>
      <c r="AX395" s="143"/>
      <c r="AY395" s="143"/>
      <c r="AZ395" s="143"/>
      <c r="BA395" s="143"/>
      <c r="BB395" s="143"/>
      <c r="BC395" s="143"/>
      <c r="BD395" s="143"/>
      <c r="BE395" s="143"/>
      <c r="BF395" s="143"/>
      <c r="BG395" s="143"/>
      <c r="BH395" s="143"/>
      <c r="BI395" s="143"/>
      <c r="BJ395" s="142"/>
      <c r="BK395" s="143"/>
      <c r="BL395" s="143"/>
      <c r="BM395" s="143"/>
      <c r="BN395" s="143"/>
      <c r="BO395" s="143"/>
      <c r="BP395" s="143"/>
      <c r="BQ395" s="142"/>
      <c r="BR395" s="143"/>
      <c r="BS395" s="143"/>
      <c r="BT395" s="142">
        <f>SUM(BU395:BW395)</f>
      </c>
      <c r="BU395" s="143"/>
      <c r="BV395" s="143"/>
      <c r="BW395" s="143"/>
      <c r="BX395" s="142">
        <f>SUM(BY395:CD395)</f>
      </c>
      <c r="BY395" s="143"/>
      <c r="BZ395" s="143"/>
      <c r="CA395" s="143"/>
      <c r="CB395" s="143"/>
      <c r="CC395" s="143"/>
      <c r="CD395" s="143"/>
      <c r="CE395" s="142"/>
      <c r="CF395" s="143"/>
      <c r="CG395" s="143"/>
      <c r="CH395" s="143"/>
      <c r="CI395" s="143"/>
      <c r="CJ395" s="143"/>
      <c r="CK395" s="142">
        <f>SUM(CL395:CN395)</f>
      </c>
      <c r="CL395" s="143"/>
      <c r="CM395" s="143"/>
      <c r="CN395" s="143"/>
      <c r="CO395" s="142">
        <f>SUM(CP395:CT395)</f>
      </c>
      <c r="CP395" s="143"/>
      <c r="CQ395" s="143"/>
      <c r="CR395" s="143"/>
      <c r="CS395" s="143"/>
      <c r="CT395" s="143"/>
      <c r="CU395" s="142"/>
      <c r="CV395" s="143"/>
      <c r="CW395" s="143"/>
      <c r="CX395" s="143"/>
      <c r="CY395" s="142"/>
      <c r="CZ395" s="143"/>
      <c r="DA395" s="143"/>
      <c r="DB395" s="143"/>
      <c r="DC395" s="143"/>
      <c r="DD395" s="143"/>
      <c r="DE395" s="143"/>
      <c r="DF395" s="143"/>
      <c r="DG395" s="142">
        <f>SUM(DH395:DH395)</f>
      </c>
      <c r="DH395" s="143"/>
      <c r="DI395" s="142"/>
      <c r="DJ395" s="143"/>
      <c r="DK395" s="142">
        <f>SUM(DL395:DQ395)</f>
      </c>
      <c r="DL395" s="143"/>
      <c r="DM395" s="143"/>
      <c r="DN395" s="143"/>
      <c r="DO395" s="143"/>
      <c r="DP395" s="143"/>
      <c r="DQ395" s="143"/>
      <c r="DR395" s="143"/>
      <c r="DS395" s="143"/>
      <c r="DT395" s="143"/>
      <c r="DU395" s="143"/>
      <c r="DV395" s="143"/>
      <c r="DW395" s="143"/>
      <c r="DX395" s="142"/>
      <c r="DY395" s="143"/>
      <c r="DZ395" s="142"/>
      <c r="EA395" s="143"/>
      <c r="EB395" s="143"/>
      <c r="EC395" s="142"/>
      <c r="ED395" s="143"/>
      <c r="EF395" s="143"/>
      <c r="EG395" s="142">
        <f>SUM(EH395:EQ395)</f>
      </c>
      <c r="EH395" s="143"/>
      <c r="EI395" s="143"/>
      <c r="EJ395" s="143"/>
      <c r="EK395" s="143"/>
      <c r="EL395" s="143"/>
      <c r="EM395" s="143"/>
      <c r="EN395" s="143"/>
      <c r="EO395" s="143"/>
      <c r="EP395" s="143"/>
      <c r="EQ395" s="143"/>
      <c r="ER395" s="142">
        <f>SUM(ES395:ET395)</f>
      </c>
      <c r="ES395" s="143"/>
      <c r="ET395" s="143"/>
      <c r="EU395" s="144"/>
      <c r="FB395" s="146"/>
      <c r="FC395" s="146" cm="1">
        <f t="array" ref="FC395">ROW()-ROW(New[#Headers])</f>
        <v>389</v>
      </c>
    </row>
    <row r="396" spans="2:159" s="139" customFormat="1" ht="10.5" x14ac:dyDescent="0.2">
      <c r="B396" s="133"/>
      <c r="C396" s="133"/>
      <c r="E396" s="133"/>
      <c r="H396" s="133"/>
      <c r="N396" s="140"/>
      <c r="O396" s="140"/>
      <c r="P396" s="141"/>
      <c r="Q396" s="142">
        <f>SUM(R396:AQ396)</f>
      </c>
      <c r="R396" s="143"/>
      <c r="S396" s="143"/>
      <c r="T396" s="143"/>
      <c r="U396" s="143"/>
      <c r="V396" s="143"/>
      <c r="W396" s="143"/>
      <c r="X396" s="143"/>
      <c r="Y396" s="143"/>
      <c r="Z396" s="143"/>
      <c r="AA396" s="143"/>
      <c r="AB396" s="143"/>
      <c r="AC396" s="143"/>
      <c r="AD396" s="143"/>
      <c r="AE396" s="143"/>
      <c r="AF396" s="143"/>
      <c r="AG396" s="143"/>
      <c r="AH396" s="143"/>
      <c r="AI396" s="143"/>
      <c r="AJ396" s="143"/>
      <c r="AK396" s="143"/>
      <c r="AL396" s="143"/>
      <c r="AM396" s="143"/>
      <c r="AN396" s="143"/>
      <c r="AO396" s="143"/>
      <c r="AP396" s="143"/>
      <c r="AQ396" s="143"/>
      <c r="AR396" s="142">
        <f>SUM(AS396:AV396)</f>
      </c>
      <c r="AS396" s="143"/>
      <c r="AT396" s="143"/>
      <c r="AU396" s="143"/>
      <c r="AV396" s="143"/>
      <c r="AW396" s="142">
        <f>SUM(AX396:BI396)</f>
      </c>
      <c r="AX396" s="143"/>
      <c r="AY396" s="143"/>
      <c r="AZ396" s="143"/>
      <c r="BA396" s="143"/>
      <c r="BB396" s="143"/>
      <c r="BC396" s="143"/>
      <c r="BD396" s="143"/>
      <c r="BE396" s="143"/>
      <c r="BF396" s="143"/>
      <c r="BG396" s="143"/>
      <c r="BH396" s="143"/>
      <c r="BI396" s="143"/>
      <c r="BJ396" s="142"/>
      <c r="BK396" s="143"/>
      <c r="BL396" s="143"/>
      <c r="BM396" s="143"/>
      <c r="BN396" s="143"/>
      <c r="BO396" s="143"/>
      <c r="BP396" s="143"/>
      <c r="BQ396" s="142"/>
      <c r="BR396" s="143"/>
      <c r="BS396" s="143"/>
      <c r="BT396" s="142">
        <f>SUM(BU396:BW396)</f>
      </c>
      <c r="BU396" s="143"/>
      <c r="BV396" s="143"/>
      <c r="BW396" s="143"/>
      <c r="BX396" s="142">
        <f>SUM(BY396:CD396)</f>
      </c>
      <c r="BY396" s="143"/>
      <c r="BZ396" s="143"/>
      <c r="CA396" s="143"/>
      <c r="CB396" s="143"/>
      <c r="CC396" s="143"/>
      <c r="CD396" s="143"/>
      <c r="CE396" s="142"/>
      <c r="CF396" s="143"/>
      <c r="CG396" s="143"/>
      <c r="CH396" s="143"/>
      <c r="CI396" s="143"/>
      <c r="CJ396" s="143"/>
      <c r="CK396" s="142">
        <f>SUM(CL396:CN396)</f>
      </c>
      <c r="CL396" s="143"/>
      <c r="CM396" s="143"/>
      <c r="CN396" s="143"/>
      <c r="CO396" s="142">
        <f>SUM(CP396:CT396)</f>
      </c>
      <c r="CP396" s="143"/>
      <c r="CQ396" s="143"/>
      <c r="CR396" s="143"/>
      <c r="CS396" s="143"/>
      <c r="CT396" s="143"/>
      <c r="CU396" s="142"/>
      <c r="CV396" s="143"/>
      <c r="CW396" s="143"/>
      <c r="CX396" s="143"/>
      <c r="CY396" s="142"/>
      <c r="CZ396" s="143"/>
      <c r="DA396" s="143"/>
      <c r="DB396" s="143"/>
      <c r="DC396" s="143"/>
      <c r="DD396" s="143"/>
      <c r="DE396" s="143"/>
      <c r="DF396" s="143"/>
      <c r="DG396" s="142">
        <f>SUM(DH396:DH396)</f>
      </c>
      <c r="DH396" s="143"/>
      <c r="DI396" s="142"/>
      <c r="DJ396" s="143"/>
      <c r="DK396" s="142">
        <f>SUM(DL396:DQ396)</f>
      </c>
      <c r="DL396" s="143"/>
      <c r="DM396" s="143"/>
      <c r="DN396" s="143"/>
      <c r="DO396" s="143"/>
      <c r="DP396" s="143"/>
      <c r="DQ396" s="143"/>
      <c r="DR396" s="143"/>
      <c r="DS396" s="143"/>
      <c r="DT396" s="143"/>
      <c r="DU396" s="143"/>
      <c r="DV396" s="143"/>
      <c r="DW396" s="143"/>
      <c r="DX396" s="142"/>
      <c r="DY396" s="143"/>
      <c r="DZ396" s="142"/>
      <c r="EA396" s="143"/>
      <c r="EB396" s="143"/>
      <c r="EC396" s="142"/>
      <c r="ED396" s="143"/>
      <c r="EF396" s="143"/>
      <c r="EG396" s="142">
        <f>SUM(EH396:EQ396)</f>
      </c>
      <c r="EH396" s="143"/>
      <c r="EI396" s="143"/>
      <c r="EJ396" s="143"/>
      <c r="EK396" s="143"/>
      <c r="EL396" s="143"/>
      <c r="EM396" s="143"/>
      <c r="EN396" s="143"/>
      <c r="EO396" s="143"/>
      <c r="EP396" s="143"/>
      <c r="EQ396" s="143"/>
      <c r="ER396" s="142">
        <f>SUM(ES396:ET396)</f>
      </c>
      <c r="ES396" s="143"/>
      <c r="ET396" s="143"/>
      <c r="EU396" s="144"/>
      <c r="FB396" s="146"/>
      <c r="FC396" s="146" cm="1">
        <f t="array" ref="FC396">ROW()-ROW(New[#Headers])</f>
        <v>390</v>
      </c>
    </row>
    <row r="397" spans="2:159" s="139" customFormat="1" ht="10.5" x14ac:dyDescent="0.2">
      <c r="B397" s="133"/>
      <c r="C397" s="133"/>
      <c r="E397" s="133"/>
      <c r="H397" s="133"/>
      <c r="N397" s="140"/>
      <c r="O397" s="140"/>
      <c r="P397" s="141"/>
      <c r="Q397" s="142">
        <f>SUM(R397:AQ397)</f>
      </c>
      <c r="R397" s="143"/>
      <c r="S397" s="143"/>
      <c r="T397" s="143"/>
      <c r="U397" s="143"/>
      <c r="V397" s="143"/>
      <c r="W397" s="143"/>
      <c r="X397" s="143"/>
      <c r="Y397" s="143"/>
      <c r="Z397" s="143"/>
      <c r="AA397" s="143"/>
      <c r="AB397" s="143"/>
      <c r="AC397" s="143"/>
      <c r="AD397" s="143"/>
      <c r="AE397" s="143"/>
      <c r="AF397" s="143"/>
      <c r="AG397" s="143"/>
      <c r="AH397" s="143"/>
      <c r="AI397" s="143"/>
      <c r="AJ397" s="143"/>
      <c r="AK397" s="143"/>
      <c r="AL397" s="143"/>
      <c r="AM397" s="143"/>
      <c r="AN397" s="143"/>
      <c r="AO397" s="143"/>
      <c r="AP397" s="143"/>
      <c r="AQ397" s="143"/>
      <c r="AR397" s="142">
        <f>SUM(AS397:AV397)</f>
      </c>
      <c r="AS397" s="143"/>
      <c r="AT397" s="143"/>
      <c r="AU397" s="143"/>
      <c r="AV397" s="143"/>
      <c r="AW397" s="142">
        <f>SUM(AX397:BI397)</f>
      </c>
      <c r="AX397" s="143"/>
      <c r="AY397" s="143"/>
      <c r="AZ397" s="143"/>
      <c r="BA397" s="143"/>
      <c r="BB397" s="143"/>
      <c r="BC397" s="143"/>
      <c r="BD397" s="143"/>
      <c r="BE397" s="143"/>
      <c r="BF397" s="143"/>
      <c r="BG397" s="143"/>
      <c r="BH397" s="143"/>
      <c r="BI397" s="143"/>
      <c r="BJ397" s="142"/>
      <c r="BK397" s="143"/>
      <c r="BL397" s="143"/>
      <c r="BM397" s="143"/>
      <c r="BN397" s="143"/>
      <c r="BO397" s="143"/>
      <c r="BP397" s="143"/>
      <c r="BQ397" s="142"/>
      <c r="BR397" s="143"/>
      <c r="BS397" s="143"/>
      <c r="BT397" s="142">
        <f>SUM(BU397:BW397)</f>
      </c>
      <c r="BU397" s="143"/>
      <c r="BV397" s="143"/>
      <c r="BW397" s="143"/>
      <c r="BX397" s="142">
        <f>SUM(BY397:CD397)</f>
      </c>
      <c r="BY397" s="143"/>
      <c r="BZ397" s="143"/>
      <c r="CA397" s="143"/>
      <c r="CB397" s="143"/>
      <c r="CC397" s="143"/>
      <c r="CD397" s="143"/>
      <c r="CE397" s="142"/>
      <c r="CF397" s="143"/>
      <c r="CG397" s="143"/>
      <c r="CH397" s="143"/>
      <c r="CI397" s="143"/>
      <c r="CJ397" s="143"/>
      <c r="CK397" s="142">
        <f>SUM(CL397:CN397)</f>
      </c>
      <c r="CL397" s="143"/>
      <c r="CM397" s="143"/>
      <c r="CN397" s="143"/>
      <c r="CO397" s="142">
        <f>SUM(CP397:CT397)</f>
      </c>
      <c r="CP397" s="143"/>
      <c r="CQ397" s="143"/>
      <c r="CR397" s="143"/>
      <c r="CS397" s="143"/>
      <c r="CT397" s="143"/>
      <c r="CU397" s="142"/>
      <c r="CV397" s="143"/>
      <c r="CW397" s="143"/>
      <c r="CX397" s="143"/>
      <c r="CY397" s="142"/>
      <c r="CZ397" s="143"/>
      <c r="DA397" s="143"/>
      <c r="DB397" s="143"/>
      <c r="DC397" s="143"/>
      <c r="DD397" s="143"/>
      <c r="DE397" s="143"/>
      <c r="DF397" s="143"/>
      <c r="DG397" s="142">
        <f>SUM(DH397:DH397)</f>
      </c>
      <c r="DH397" s="143"/>
      <c r="DI397" s="142"/>
      <c r="DJ397" s="143"/>
      <c r="DK397" s="142">
        <f>SUM(DL397:DQ397)</f>
      </c>
      <c r="DL397" s="143"/>
      <c r="DM397" s="143"/>
      <c r="DN397" s="143"/>
      <c r="DO397" s="143"/>
      <c r="DP397" s="143"/>
      <c r="DQ397" s="143"/>
      <c r="DR397" s="143"/>
      <c r="DS397" s="143"/>
      <c r="DT397" s="143"/>
      <c r="DU397" s="143"/>
      <c r="DV397" s="143"/>
      <c r="DW397" s="143"/>
      <c r="DX397" s="142"/>
      <c r="DY397" s="143"/>
      <c r="DZ397" s="142"/>
      <c r="EA397" s="143"/>
      <c r="EB397" s="143"/>
      <c r="EC397" s="142"/>
      <c r="ED397" s="143"/>
      <c r="EF397" s="143"/>
      <c r="EG397" s="142">
        <f>SUM(EH397:EQ397)</f>
      </c>
      <c r="EH397" s="143"/>
      <c r="EI397" s="143"/>
      <c r="EJ397" s="143"/>
      <c r="EK397" s="143"/>
      <c r="EL397" s="143"/>
      <c r="EM397" s="143"/>
      <c r="EN397" s="143"/>
      <c r="EO397" s="143"/>
      <c r="EP397" s="143"/>
      <c r="EQ397" s="143"/>
      <c r="ER397" s="142">
        <f>SUM(ES397:ET397)</f>
      </c>
      <c r="ES397" s="143"/>
      <c r="ET397" s="143"/>
      <c r="EU397" s="144"/>
      <c r="FB397" s="146"/>
      <c r="FC397" s="146" cm="1">
        <f t="array" ref="FC397">ROW()-ROW(New[#Headers])</f>
        <v>391</v>
      </c>
    </row>
    <row r="398" spans="2:159" s="139" customFormat="1" ht="10.5" x14ac:dyDescent="0.2">
      <c r="B398" s="133"/>
      <c r="C398" s="133"/>
      <c r="E398" s="133"/>
      <c r="H398" s="133"/>
      <c r="N398" s="140"/>
      <c r="O398" s="140"/>
      <c r="P398" s="141"/>
      <c r="Q398" s="142">
        <f>SUM(R398:AQ398)</f>
      </c>
      <c r="R398" s="143"/>
      <c r="S398" s="143"/>
      <c r="T398" s="143"/>
      <c r="U398" s="143"/>
      <c r="V398" s="143"/>
      <c r="W398" s="143"/>
      <c r="X398" s="143"/>
      <c r="Y398" s="143"/>
      <c r="Z398" s="143"/>
      <c r="AA398" s="143"/>
      <c r="AB398" s="143"/>
      <c r="AC398" s="143"/>
      <c r="AD398" s="143"/>
      <c r="AE398" s="143"/>
      <c r="AF398" s="143"/>
      <c r="AG398" s="143"/>
      <c r="AH398" s="143"/>
      <c r="AI398" s="143"/>
      <c r="AJ398" s="143"/>
      <c r="AK398" s="143"/>
      <c r="AL398" s="143"/>
      <c r="AM398" s="143"/>
      <c r="AN398" s="143"/>
      <c r="AO398" s="143"/>
      <c r="AP398" s="143"/>
      <c r="AQ398" s="143"/>
      <c r="AR398" s="142">
        <f>SUM(AS398:AV398)</f>
      </c>
      <c r="AS398" s="143"/>
      <c r="AT398" s="143"/>
      <c r="AU398" s="143"/>
      <c r="AV398" s="143"/>
      <c r="AW398" s="142">
        <f>SUM(AX398:BI398)</f>
      </c>
      <c r="AX398" s="143"/>
      <c r="AY398" s="143"/>
      <c r="AZ398" s="143"/>
      <c r="BA398" s="143"/>
      <c r="BB398" s="143"/>
      <c r="BC398" s="143"/>
      <c r="BD398" s="143"/>
      <c r="BE398" s="143"/>
      <c r="BF398" s="143"/>
      <c r="BG398" s="143"/>
      <c r="BH398" s="143"/>
      <c r="BI398" s="143"/>
      <c r="BJ398" s="142"/>
      <c r="BK398" s="143"/>
      <c r="BL398" s="143"/>
      <c r="BM398" s="143"/>
      <c r="BN398" s="143"/>
      <c r="BO398" s="143"/>
      <c r="BP398" s="143"/>
      <c r="BQ398" s="142"/>
      <c r="BR398" s="143"/>
      <c r="BS398" s="143"/>
      <c r="BT398" s="142">
        <f>SUM(BU398:BW398)</f>
      </c>
      <c r="BU398" s="143"/>
      <c r="BV398" s="143"/>
      <c r="BW398" s="143"/>
      <c r="BX398" s="142">
        <f>SUM(BY398:CD398)</f>
      </c>
      <c r="BY398" s="143"/>
      <c r="BZ398" s="143"/>
      <c r="CA398" s="143"/>
      <c r="CB398" s="143"/>
      <c r="CC398" s="143"/>
      <c r="CD398" s="143"/>
      <c r="CE398" s="142"/>
      <c r="CF398" s="143"/>
      <c r="CG398" s="143"/>
      <c r="CH398" s="143"/>
      <c r="CI398" s="143"/>
      <c r="CJ398" s="143"/>
      <c r="CK398" s="142">
        <f>SUM(CL398:CN398)</f>
      </c>
      <c r="CL398" s="143"/>
      <c r="CM398" s="143"/>
      <c r="CN398" s="143"/>
      <c r="CO398" s="142">
        <f>SUM(CP398:CT398)</f>
      </c>
      <c r="CP398" s="143"/>
      <c r="CQ398" s="143"/>
      <c r="CR398" s="143"/>
      <c r="CS398" s="143"/>
      <c r="CT398" s="143"/>
      <c r="CU398" s="142"/>
      <c r="CV398" s="143"/>
      <c r="CW398" s="143"/>
      <c r="CX398" s="143"/>
      <c r="CY398" s="142"/>
      <c r="CZ398" s="143"/>
      <c r="DA398" s="143"/>
      <c r="DB398" s="143"/>
      <c r="DC398" s="143"/>
      <c r="DD398" s="143"/>
      <c r="DE398" s="143"/>
      <c r="DF398" s="143"/>
      <c r="DG398" s="142">
        <f>SUM(DH398:DH398)</f>
      </c>
      <c r="DH398" s="143"/>
      <c r="DI398" s="142"/>
      <c r="DJ398" s="143"/>
      <c r="DK398" s="142">
        <f>SUM(DL398:DQ398)</f>
      </c>
      <c r="DL398" s="143"/>
      <c r="DM398" s="143"/>
      <c r="DN398" s="143"/>
      <c r="DO398" s="143"/>
      <c r="DP398" s="143"/>
      <c r="DQ398" s="143"/>
      <c r="DR398" s="143"/>
      <c r="DS398" s="143"/>
      <c r="DT398" s="143"/>
      <c r="DU398" s="143"/>
      <c r="DV398" s="143"/>
      <c r="DW398" s="143"/>
      <c r="DX398" s="142"/>
      <c r="DY398" s="143"/>
      <c r="DZ398" s="142"/>
      <c r="EA398" s="143"/>
      <c r="EB398" s="143"/>
      <c r="EC398" s="142"/>
      <c r="ED398" s="143"/>
      <c r="EF398" s="143"/>
      <c r="EG398" s="142">
        <f>SUM(EH398:EQ398)</f>
      </c>
      <c r="EH398" s="143"/>
      <c r="EI398" s="143"/>
      <c r="EJ398" s="143"/>
      <c r="EK398" s="143"/>
      <c r="EL398" s="143"/>
      <c r="EM398" s="143"/>
      <c r="EN398" s="143"/>
      <c r="EO398" s="143"/>
      <c r="EP398" s="143"/>
      <c r="EQ398" s="143"/>
      <c r="ER398" s="142">
        <f>SUM(ES398:ET398)</f>
      </c>
      <c r="ES398" s="143"/>
      <c r="ET398" s="143"/>
      <c r="EU398" s="144"/>
      <c r="FB398" s="146"/>
      <c r="FC398" s="146" cm="1">
        <f t="array" ref="FC398">ROW()-ROW(New[#Headers])</f>
        <v>392</v>
      </c>
    </row>
    <row r="399" spans="2:159" s="139" customFormat="1" ht="10.5" x14ac:dyDescent="0.2">
      <c r="B399" s="133"/>
      <c r="C399" s="133"/>
      <c r="E399" s="133"/>
      <c r="H399" s="133"/>
      <c r="N399" s="140"/>
      <c r="O399" s="140"/>
      <c r="P399" s="141"/>
      <c r="Q399" s="142">
        <f>SUM(R399:AQ399)</f>
      </c>
      <c r="R399" s="143"/>
      <c r="S399" s="143"/>
      <c r="T399" s="143"/>
      <c r="U399" s="143"/>
      <c r="V399" s="143"/>
      <c r="W399" s="143"/>
      <c r="X399" s="143"/>
      <c r="Y399" s="143"/>
      <c r="Z399" s="143"/>
      <c r="AA399" s="143"/>
      <c r="AB399" s="143"/>
      <c r="AC399" s="143"/>
      <c r="AD399" s="143"/>
      <c r="AE399" s="143"/>
      <c r="AF399" s="143"/>
      <c r="AG399" s="143"/>
      <c r="AH399" s="143"/>
      <c r="AI399" s="143"/>
      <c r="AJ399" s="143"/>
      <c r="AK399" s="143"/>
      <c r="AL399" s="143"/>
      <c r="AM399" s="143"/>
      <c r="AN399" s="143"/>
      <c r="AO399" s="143"/>
      <c r="AP399" s="143"/>
      <c r="AQ399" s="143"/>
      <c r="AR399" s="142">
        <f>SUM(AS399:AV399)</f>
      </c>
      <c r="AS399" s="143"/>
      <c r="AT399" s="143"/>
      <c r="AU399" s="143"/>
      <c r="AV399" s="143"/>
      <c r="AW399" s="142">
        <f>SUM(AX399:BI399)</f>
      </c>
      <c r="AX399" s="143"/>
      <c r="AY399" s="143"/>
      <c r="AZ399" s="143"/>
      <c r="BA399" s="143"/>
      <c r="BB399" s="143"/>
      <c r="BC399" s="143"/>
      <c r="BD399" s="143"/>
      <c r="BE399" s="143"/>
      <c r="BF399" s="143"/>
      <c r="BG399" s="143"/>
      <c r="BH399" s="143"/>
      <c r="BI399" s="143"/>
      <c r="BJ399" s="142"/>
      <c r="BK399" s="143"/>
      <c r="BL399" s="143"/>
      <c r="BM399" s="143"/>
      <c r="BN399" s="143"/>
      <c r="BO399" s="143"/>
      <c r="BP399" s="143"/>
      <c r="BQ399" s="142"/>
      <c r="BR399" s="143"/>
      <c r="BS399" s="143"/>
      <c r="BT399" s="142">
        <f>SUM(BU399:BW399)</f>
      </c>
      <c r="BU399" s="143"/>
      <c r="BV399" s="143"/>
      <c r="BW399" s="143"/>
      <c r="BX399" s="142">
        <f>SUM(BY399:CD399)</f>
      </c>
      <c r="BY399" s="143"/>
      <c r="BZ399" s="143"/>
      <c r="CA399" s="143"/>
      <c r="CB399" s="143"/>
      <c r="CC399" s="143"/>
      <c r="CD399" s="143"/>
      <c r="CE399" s="142"/>
      <c r="CF399" s="143"/>
      <c r="CG399" s="143"/>
      <c r="CH399" s="143"/>
      <c r="CI399" s="143"/>
      <c r="CJ399" s="143"/>
      <c r="CK399" s="142">
        <f>SUM(CL399:CN399)</f>
      </c>
      <c r="CL399" s="143"/>
      <c r="CM399" s="143"/>
      <c r="CN399" s="143"/>
      <c r="CO399" s="142">
        <f>SUM(CP399:CT399)</f>
      </c>
      <c r="CP399" s="143"/>
      <c r="CQ399" s="143"/>
      <c r="CR399" s="143"/>
      <c r="CS399" s="143"/>
      <c r="CT399" s="143"/>
      <c r="CU399" s="142"/>
      <c r="CV399" s="143"/>
      <c r="CW399" s="143"/>
      <c r="CX399" s="143"/>
      <c r="CY399" s="142"/>
      <c r="CZ399" s="143"/>
      <c r="DA399" s="143"/>
      <c r="DB399" s="143"/>
      <c r="DC399" s="143"/>
      <c r="DD399" s="143"/>
      <c r="DE399" s="143"/>
      <c r="DF399" s="143"/>
      <c r="DG399" s="142">
        <f>SUM(DH399:DH399)</f>
      </c>
      <c r="DH399" s="143"/>
      <c r="DI399" s="142"/>
      <c r="DJ399" s="143"/>
      <c r="DK399" s="142">
        <f>SUM(DL399:DQ399)</f>
      </c>
      <c r="DL399" s="143"/>
      <c r="DM399" s="143"/>
      <c r="DN399" s="143"/>
      <c r="DO399" s="143"/>
      <c r="DP399" s="143"/>
      <c r="DQ399" s="143"/>
      <c r="DR399" s="143"/>
      <c r="DS399" s="143"/>
      <c r="DT399" s="143"/>
      <c r="DU399" s="143"/>
      <c r="DV399" s="143"/>
      <c r="DW399" s="143"/>
      <c r="DX399" s="142"/>
      <c r="DY399" s="143"/>
      <c r="DZ399" s="142"/>
      <c r="EA399" s="143"/>
      <c r="EB399" s="143"/>
      <c r="EC399" s="142"/>
      <c r="ED399" s="143"/>
      <c r="EF399" s="143"/>
      <c r="EG399" s="142">
        <f>SUM(EH399:EQ399)</f>
      </c>
      <c r="EH399" s="143"/>
      <c r="EI399" s="143"/>
      <c r="EJ399" s="143"/>
      <c r="EK399" s="143"/>
      <c r="EL399" s="143"/>
      <c r="EM399" s="143"/>
      <c r="EN399" s="143"/>
      <c r="EO399" s="143"/>
      <c r="EP399" s="143"/>
      <c r="EQ399" s="143"/>
      <c r="ER399" s="142">
        <f>SUM(ES399:ET399)</f>
      </c>
      <c r="ES399" s="143"/>
      <c r="ET399" s="143"/>
      <c r="EU399" s="144"/>
      <c r="FB399" s="146"/>
      <c r="FC399" s="146" cm="1">
        <f t="array" ref="FC399">ROW()-ROW(New[#Headers])</f>
        <v>393</v>
      </c>
    </row>
    <row r="400" spans="2:159" s="139" customFormat="1" ht="10.5" x14ac:dyDescent="0.2">
      <c r="B400" s="133"/>
      <c r="C400" s="133"/>
      <c r="E400" s="133"/>
      <c r="H400" s="133"/>
      <c r="N400" s="140"/>
      <c r="O400" s="140"/>
      <c r="P400" s="141"/>
      <c r="Q400" s="142">
        <f>SUM(R400:AQ400)</f>
      </c>
      <c r="R400" s="143"/>
      <c r="S400" s="143"/>
      <c r="T400" s="143"/>
      <c r="U400" s="143"/>
      <c r="V400" s="143"/>
      <c r="W400" s="143"/>
      <c r="X400" s="143"/>
      <c r="Y400" s="143"/>
      <c r="Z400" s="143"/>
      <c r="AA400" s="143"/>
      <c r="AB400" s="143"/>
      <c r="AC400" s="143"/>
      <c r="AD400" s="143"/>
      <c r="AE400" s="143"/>
      <c r="AF400" s="143"/>
      <c r="AG400" s="143"/>
      <c r="AH400" s="143"/>
      <c r="AI400" s="143"/>
      <c r="AJ400" s="143"/>
      <c r="AK400" s="143"/>
      <c r="AL400" s="143"/>
      <c r="AM400" s="143"/>
      <c r="AN400" s="143"/>
      <c r="AO400" s="143"/>
      <c r="AP400" s="143"/>
      <c r="AQ400" s="143"/>
      <c r="AR400" s="142">
        <f>SUM(AS400:AV400)</f>
      </c>
      <c r="AS400" s="143"/>
      <c r="AT400" s="143"/>
      <c r="AU400" s="143"/>
      <c r="AV400" s="143"/>
      <c r="AW400" s="142">
        <f>SUM(AX400:BI400)</f>
      </c>
      <c r="AX400" s="143"/>
      <c r="AY400" s="143"/>
      <c r="AZ400" s="143"/>
      <c r="BA400" s="143"/>
      <c r="BB400" s="143"/>
      <c r="BC400" s="143"/>
      <c r="BD400" s="143"/>
      <c r="BE400" s="143"/>
      <c r="BF400" s="143"/>
      <c r="BG400" s="143"/>
      <c r="BH400" s="143"/>
      <c r="BI400" s="143"/>
      <c r="BJ400" s="142"/>
      <c r="BK400" s="143"/>
      <c r="BL400" s="143"/>
      <c r="BM400" s="143"/>
      <c r="BN400" s="143"/>
      <c r="BO400" s="143"/>
      <c r="BP400" s="143"/>
      <c r="BQ400" s="142"/>
      <c r="BR400" s="143"/>
      <c r="BS400" s="143"/>
      <c r="BT400" s="142">
        <f>SUM(BU400:BW400)</f>
      </c>
      <c r="BU400" s="143"/>
      <c r="BV400" s="143"/>
      <c r="BW400" s="143"/>
      <c r="BX400" s="142">
        <f>SUM(BY400:CD400)</f>
      </c>
      <c r="BY400" s="143"/>
      <c r="BZ400" s="143"/>
      <c r="CA400" s="143"/>
      <c r="CB400" s="143"/>
      <c r="CC400" s="143"/>
      <c r="CD400" s="143"/>
      <c r="CE400" s="142"/>
      <c r="CF400" s="143"/>
      <c r="CG400" s="143"/>
      <c r="CH400" s="143"/>
      <c r="CI400" s="143"/>
      <c r="CJ400" s="143"/>
      <c r="CK400" s="142">
        <f>SUM(CL400:CN400)</f>
      </c>
      <c r="CL400" s="143"/>
      <c r="CM400" s="143"/>
      <c r="CN400" s="143"/>
      <c r="CO400" s="142">
        <f>SUM(CP400:CT400)</f>
      </c>
      <c r="CP400" s="143"/>
      <c r="CQ400" s="143"/>
      <c r="CR400" s="143"/>
      <c r="CS400" s="143"/>
      <c r="CT400" s="143"/>
      <c r="CU400" s="142"/>
      <c r="CV400" s="143"/>
      <c r="CW400" s="143"/>
      <c r="CX400" s="143"/>
      <c r="CY400" s="142"/>
      <c r="CZ400" s="143"/>
      <c r="DA400" s="143"/>
      <c r="DB400" s="143"/>
      <c r="DC400" s="143"/>
      <c r="DD400" s="143"/>
      <c r="DE400" s="143"/>
      <c r="DF400" s="143"/>
      <c r="DG400" s="142">
        <f>SUM(DH400:DH400)</f>
      </c>
      <c r="DH400" s="143"/>
      <c r="DI400" s="142"/>
      <c r="DJ400" s="143"/>
      <c r="DK400" s="142">
        <f>SUM(DL400:DQ400)</f>
      </c>
      <c r="DL400" s="143"/>
      <c r="DM400" s="143"/>
      <c r="DN400" s="143"/>
      <c r="DO400" s="143"/>
      <c r="DP400" s="143"/>
      <c r="DQ400" s="143"/>
      <c r="DR400" s="143"/>
      <c r="DS400" s="143"/>
      <c r="DT400" s="143"/>
      <c r="DU400" s="143"/>
      <c r="DV400" s="143"/>
      <c r="DW400" s="143"/>
      <c r="DX400" s="142"/>
      <c r="DY400" s="143"/>
      <c r="DZ400" s="142"/>
      <c r="EA400" s="143"/>
      <c r="EB400" s="143"/>
      <c r="EC400" s="142"/>
      <c r="ED400" s="143"/>
      <c r="EF400" s="143"/>
      <c r="EG400" s="142">
        <f>SUM(EH400:EQ400)</f>
      </c>
      <c r="EH400" s="143"/>
      <c r="EI400" s="143"/>
      <c r="EJ400" s="143"/>
      <c r="EK400" s="143"/>
      <c r="EL400" s="143"/>
      <c r="EM400" s="143"/>
      <c r="EN400" s="143"/>
      <c r="EO400" s="143"/>
      <c r="EP400" s="143"/>
      <c r="EQ400" s="143"/>
      <c r="ER400" s="142">
        <f>SUM(ES400:ET400)</f>
      </c>
      <c r="ES400" s="143"/>
      <c r="ET400" s="143"/>
      <c r="EU400" s="144"/>
      <c r="FB400" s="146"/>
      <c r="FC400" s="146" cm="1">
        <f t="array" ref="FC400">ROW()-ROW(New[#Headers])</f>
        <v>394</v>
      </c>
    </row>
  </sheetData>
  <sheetProtection insertRows="0" selectLockedCells="1" autoFilter="0"/>
  <autoFilter ref="A6:A7" xr:uid="{5AE258AD-F7D7-41AE-AA8F-A72F1D8A471B}"/>
  <mergeCells count="2">
    <mergeCell ref="B1:C1"/>
    <mergeCell ref="B2:C2"/>
  </mergeCells>
  <phoneticPr fontId="7" type="noConversion"/>
  <dataValidations count="7">
    <dataValidation type="whole" allowBlank="1" showInputMessage="1" showErrorMessage="1" errorTitle="Calculated Column" error="Use data entry columns by expanding with [+]" sqref="EU7:EX400" xr:uid="{029C2DB8-9204-44EB-A239-0037C229F60C}">
      <formula1>-999999</formula1>
      <formula2>999999</formula2>
    </dataValidation>
    <dataValidation type="whole" allowBlank="1" showInputMessage="1" showErrorMessage="1" sqref="EZ7:FB400" xr:uid="{F1C088DA-405B-456E-94D6-803422C671DB}">
      <formula1>-99000</formula1>
      <formula2>99000</formula2>
    </dataValidation>
    <dataValidation allowBlank="1" showInputMessage="1" showErrorMessage="1" errorTitle="Calculated Column" error="Use data entry columns by expanding with [+]" sqref="EY7:EY400" xr:uid="{96721D46-C586-4732-B24D-C69B7DA7ACFE}"/>
    <dataValidation type="custom" allowBlank="1" showInputMessage="1" showErrorMessage="1" errorTitle="Calculated Column" error="Use data entry columns by expanding with [+]" sqref="DI7:DI400 AR7:AR400 EG7:EG400 EC7:EC400 DZ7:DZ400 DX7:DX400 DK7:DK400 DG7:DG400 CY7:CY400 CU7:CU400 CO7:CO400 CK7:CK400 CE7:CE400 BX7:BX400 BT7:BT400 BQ7:BQ400 BJ7:BJ400 AW7:AW400 EE7:EE400 ER7:ER400" xr:uid="{0AAD3164-7541-4F1E-9A24-D209EA0ACBEA}">
      <formula1>LEFT(_xlfn.FORMULATEXT(AR7),4)="=SUM"</formula1>
    </dataValidation>
    <dataValidation type="whole" allowBlank="1" showInputMessage="1" showErrorMessage="1" errorTitle="Whole number expected" error="Enter estimated mandays without decimal numbers" sqref="EE7:EE400" xr:uid="{ED5E9D1E-451C-420D-92B7-CA2240ED7C63}">
      <formula1>-999999</formula1>
      <formula2>999999</formula2>
    </dataValidation>
    <dataValidation type="list" allowBlank="1" showInputMessage="1" showErrorMessage="1" promptTitle="Select Your GBD" sqref="B2:C2" xr:uid="{C3A77CFE-744A-4E5F-B139-1509BD43781C}">
      <formula1>dd_GBD</formula1>
    </dataValidation>
    <dataValidation operator="greaterThan" allowBlank="1" showInputMessage="1" showErrorMessage="1" errorTitle="Not a valid entry" error="Only dates are excepted: refer to the start/end of a Month, Quarter or Semester.  Format: day-month-year (30/02/2020)" sqref="N6:O6" xr:uid="{A13025B2-66DE-4801-B483-ADEB9AD9DB08}"/>
  </dataValidations>
  <pageMargins left="0.70866141732283472" right="0.51181102362204722" top="0.94488188976377963" bottom="0.59055118110236227" header="0.31496062992125984" footer="0.27559055118110237"/>
  <pageSetup paperSize="9" orientation="landscape" r:id="rId1"/>
  <headerFooter scaleWithDoc="0">
    <oddHeader xml:space="preserve">&amp;L&amp;9 </oddHeader>
  </headerFooter>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9B464-170E-4F87-BECE-BE3436CCA0B1}">
  <sheetPr>
    <outlinePr summaryBelow="0" summaryRight="0"/>
  </sheetPr>
  <dimension ref="A1:FP500"/>
  <sheetViews>
    <sheetView tabSelected="1" zoomScale="90" zoomScaleNormal="90" zoomScalePageLayoutView="85" workbookViewId="0">
      <pane xSplit="3" ySplit="6" topLeftCell="K7" activePane="bottomRight" state="frozen"/>
      <selection activeCell="D404" sqref="D404"/>
      <selection pane="topRight" activeCell="D404" sqref="D404"/>
      <selection pane="bottomLeft" activeCell="D404" sqref="D404"/>
      <selection pane="bottomRight" activeCell="C222" sqref="C222"/>
    </sheetView>
  </sheetViews>
  <sheetFormatPr baseColWidth="10" defaultColWidth="9" defaultRowHeight="14.25" outlineLevelCol="2" x14ac:dyDescent="0.2"/>
  <cols>
    <col min="1" max="1" customWidth="true" style="7" width="3.125" collapsed="false"/>
    <col min="2" max="2" customWidth="true" style="7" width="15.0" collapsed="false"/>
    <col min="3" max="3" customWidth="true" style="7" width="36.0" collapsed="false"/>
    <col min="4" max="4" customWidth="true" style="7" width="8.0" collapsed="false"/>
    <col min="5" max="5" customWidth="true" style="7" width="14.375" outlineLevel="1" collapsed="false"/>
    <col min="6" max="6" customWidth="true" style="7" width="15.375" outlineLevel="1" collapsed="false"/>
    <col min="7" max="7" customWidth="true" style="7" width="42.625" outlineLevel="1" collapsed="false"/>
    <col min="8" max="8" customWidth="true" style="7" width="4.125" outlineLevel="1" collapsed="false"/>
    <col min="9" max="9" customWidth="true" style="7" width="13.5" outlineLevel="1" collapsed="false"/>
    <col min="10" max="10" customWidth="true" style="7" width="14.875" outlineLevel="1" collapsed="false"/>
    <col min="11" max="11" customWidth="true" style="7" width="13.75" outlineLevel="1" collapsed="false"/>
    <col min="12" max="12" customWidth="true" style="7" width="11.625" outlineLevel="1" collapsed="false"/>
    <col min="13" max="14" customWidth="true" style="7" width="10.375" outlineLevel="1" collapsed="false"/>
    <col min="15" max="15" customWidth="true" style="7" width="12.5" outlineLevel="1" collapsed="false"/>
    <col min="16" max="16" bestFit="true" customWidth="true" style="7" width="10.875" collapsed="false"/>
    <col min="17" max="18" customWidth="true" style="7" width="6.125" outlineLevel="1" collapsed="false"/>
    <col min="19" max="19" customWidth="true" style="7" width="6.625" outlineLevel="1" collapsed="false"/>
    <col min="20" max="20" customWidth="true" style="7" width="8.625" outlineLevel="1" collapsed="false"/>
    <col min="21" max="21" customWidth="true" style="7" width="7.125" outlineLevel="1" collapsed="false"/>
    <col min="22" max="22" customWidth="true" style="7" width="6.125" outlineLevel="1" collapsed="false"/>
    <col min="23" max="23" customWidth="true" style="7" width="6.375" outlineLevel="1" collapsed="false"/>
    <col min="24" max="24" customWidth="true" style="7" width="6.125" outlineLevel="1" collapsed="false"/>
    <col min="25" max="25" customWidth="true" style="7" width="10.125" outlineLevel="1" collapsed="false"/>
    <col min="26" max="26" customWidth="true" style="7" width="7.625" outlineLevel="1" collapsed="false"/>
    <col min="27" max="27" customWidth="true" style="7" width="8.625" outlineLevel="1" collapsed="false"/>
    <col min="28" max="29" customWidth="true" style="7" width="8.125" outlineLevel="1" collapsed="false"/>
    <col min="30" max="30" customWidth="true" style="7" width="8.375" outlineLevel="1" collapsed="false"/>
    <col min="31" max="31" customWidth="true" style="7" width="15.5" outlineLevel="1" collapsed="false"/>
    <col min="32" max="32" customWidth="true" style="7" width="6.125" outlineLevel="1" collapsed="false"/>
    <col min="33" max="33" customWidth="true" style="7" width="10.5" outlineLevel="1" collapsed="false"/>
    <col min="34" max="34" customWidth="true" style="7" width="7.125" outlineLevel="1" collapsed="false"/>
    <col min="35" max="35" customWidth="true" style="7" width="10.625" outlineLevel="1" collapsed="false"/>
    <col min="36" max="36" customWidth="true" style="7" width="6.125" outlineLevel="1" collapsed="false"/>
    <col min="37" max="37" customWidth="true" style="7" width="10.125" outlineLevel="1" collapsed="false"/>
    <col min="38" max="38" customWidth="true" style="7" width="8.625" outlineLevel="1" collapsed="false"/>
    <col min="39" max="39" customWidth="true" style="7" width="6.125" outlineLevel="1" collapsed="false"/>
    <col min="40" max="41" customWidth="true" style="7" width="7.125" outlineLevel="1" collapsed="false"/>
    <col min="42" max="42" customWidth="true" style="7" width="12.875" outlineLevel="1" collapsed="false"/>
    <col min="43" max="43" bestFit="true" customWidth="true" style="7" width="11.625" collapsed="true"/>
    <col min="44" max="47" customWidth="true" hidden="true" style="7" width="6.5" outlineLevel="1" collapsed="false"/>
    <col min="48" max="48" bestFit="true" customWidth="true" style="7" width="12.5" collapsed="true"/>
    <col min="49" max="60" customWidth="true" hidden="true" style="7" width="6.125" outlineLevel="1" collapsed="false"/>
    <col min="61" max="61" customWidth="true" style="7" width="18.125" collapsed="true"/>
    <col min="62" max="67" customWidth="true" hidden="true" style="7" width="6.125" outlineLevel="1" collapsed="false"/>
    <col min="68" max="68" customWidth="true" style="7" width="14.25" collapsed="true"/>
    <col min="69" max="70" customWidth="true" hidden="true" style="7" width="6.875" outlineLevel="1" collapsed="false"/>
    <col min="71" max="71" customWidth="true" style="7" width="9.875" collapsed="true"/>
    <col min="72" max="72" customWidth="true" hidden="true" style="7" width="10.875" outlineLevel="1" collapsed="false"/>
    <col min="73" max="73" customWidth="true" hidden="true" style="7" width="10.375" outlineLevel="1" collapsed="false"/>
    <col min="74" max="74" customWidth="true" hidden="true" style="7" width="11.5" outlineLevel="1" collapsed="false"/>
    <col min="75" max="75" bestFit="true" customWidth="true" style="7" width="10.875" collapsed="true"/>
    <col min="76" max="81" customWidth="true" hidden="true" style="7" width="6.625" outlineLevel="1" collapsed="false"/>
    <col min="82" max="82" customWidth="true" style="7" width="12.625" collapsed="true"/>
    <col min="83" max="86" customWidth="true" hidden="true" style="7" width="6.625" outlineLevel="1" collapsed="false"/>
    <col min="87" max="87" customWidth="true" hidden="true" style="7" width="7.0" outlineLevel="1" collapsed="false"/>
    <col min="88" max="88" customWidth="true" style="7" width="10.875" collapsed="false"/>
    <col min="89" max="91" customWidth="true" style="7" width="6.125" outlineLevel="1" collapsed="false"/>
    <col min="92" max="92" bestFit="true" customWidth="true" style="7" width="10.875" collapsed="false"/>
    <col min="93" max="97" customWidth="true" style="7" width="6.125" outlineLevel="1" collapsed="false"/>
    <col min="98" max="98" bestFit="true" customWidth="true" style="7" width="11.375" collapsed="true"/>
    <col min="99" max="100" customWidth="true" hidden="true" style="7" width="6.125" outlineLevel="1" collapsed="false"/>
    <col min="101" max="101" customWidth="true" hidden="true" style="7" width="7.0" outlineLevel="1" collapsed="false"/>
    <col min="102" max="102" bestFit="true" customWidth="true" style="7" width="10.875" collapsed="true"/>
    <col min="103" max="109" customWidth="true" hidden="true" style="7" width="6.375" outlineLevel="1" collapsed="false"/>
    <col min="110" max="110" bestFit="true" customWidth="true" style="7" width="15.625" collapsed="true"/>
    <col min="111" max="111" customWidth="true" hidden="true" style="7" width="9.125" outlineLevel="1" collapsed="false"/>
    <col min="112" max="112" customWidth="true" style="7" width="13.875" collapsed="true"/>
    <col min="113" max="113" customWidth="true" hidden="true" style="7" width="13.875" outlineLevel="1" collapsed="false"/>
    <col min="114" max="114" bestFit="true" customWidth="true" style="7" width="13.875" collapsed="true"/>
    <col min="115" max="115" customWidth="true" hidden="true" style="7" width="13.625" outlineLevel="1" collapsed="false"/>
    <col min="116" max="119" customWidth="true" hidden="true" style="7" width="5.625" outlineLevel="1" collapsed="false"/>
    <col min="120" max="120" customWidth="true" hidden="true" style="7" width="7.0" collapsed="true" outlineLevel="1"/>
    <col min="121" max="121" customWidth="true" hidden="true" style="7" width="9.125" outlineLevel="2" collapsed="false"/>
    <col min="122" max="123" customWidth="true" hidden="true" style="7" width="9.625" outlineLevel="2" collapsed="false"/>
    <col min="124" max="126" customWidth="true" hidden="true" style="7" width="9.125" outlineLevel="2" collapsed="false"/>
    <col min="127" max="127" bestFit="true" customWidth="true" style="7" width="15.0" collapsed="true"/>
    <col min="128" max="128" customWidth="true" hidden="true" style="7" width="9.125" outlineLevel="1" collapsed="false"/>
    <col min="129" max="129" bestFit="true" customWidth="true" style="7" width="13.0" collapsed="true"/>
    <col min="130" max="131" customWidth="true" hidden="true" style="7" width="9.125" outlineLevel="1" collapsed="false"/>
    <col min="132" max="132" bestFit="true" customWidth="true" style="7" width="13.0" collapsed="true"/>
    <col min="133" max="133" customWidth="true" hidden="true" style="7" width="8.875" outlineLevel="1" collapsed="false"/>
    <col min="134" max="134" customWidth="true" style="7" width="10.625" collapsed="true"/>
    <col min="135" max="135" customWidth="true" hidden="true" style="7" width="10.625" outlineLevel="2" collapsed="false"/>
    <col min="136" max="136" bestFit="true" customWidth="true" style="7" width="9.125" collapsed="true"/>
    <col min="137" max="137" customWidth="true" hidden="true" style="7" width="18.625" outlineLevel="1" collapsed="false"/>
    <col min="138" max="138" customWidth="true" hidden="true" style="7" width="11.0" outlineLevel="1" collapsed="false"/>
    <col min="139" max="139" customWidth="true" hidden="true" style="7" width="10.625" outlineLevel="1" collapsed="false"/>
    <col min="140" max="146" customWidth="true" hidden="true" style="7" width="9.0" outlineLevel="1" collapsed="false"/>
    <col min="147" max="147" bestFit="true" customWidth="true" style="7" width="8.625" collapsed="true"/>
    <col min="148" max="148" customWidth="true" hidden="true" style="7" width="6.875" outlineLevel="1" collapsed="false"/>
    <col min="149" max="149" customWidth="true" hidden="true" style="7" width="31.125" outlineLevel="1" collapsed="false"/>
    <col min="150" max="150" customWidth="true" width="14.125" collapsed="true"/>
    <col min="151" max="155" customWidth="true" hidden="true" width="6.125" outlineLevel="1" collapsed="false"/>
    <col min="156" max="156" bestFit="true" customWidth="true" width="14.125" collapsed="true"/>
    <col min="157" max="159" customWidth="true" hidden="true" width="14.125" outlineLevel="1" collapsed="false"/>
    <col min="160" max="160" customWidth="true" hidden="true" width="22.0" outlineLevel="1" collapsed="false"/>
    <col min="161" max="161" customWidth="true" style="7" width="10.625" collapsed="false"/>
    <col min="162" max="162" customWidth="true" style="7" width="28.0" collapsed="false"/>
    <col min="163" max="164" customWidth="true" style="7" width="9.0" collapsed="false"/>
    <col min="165" max="165" customWidth="true" style="7" width="14.625" collapsed="false"/>
    <col min="166" max="16384" style="7" width="9.0" collapsed="false"/>
  </cols>
  <sheetData>
    <row r="1" spans="1:172" s="83" customFormat="1" ht="22.5" x14ac:dyDescent="0.2">
      <c r="A1"/>
      <c r="B1"/>
      <c r="C1" s="78" t="s">
        <v>98</v>
      </c>
      <c r="D1" s="78" t="s">
        <v>99</v>
      </c>
      <c r="H1" s="78" t="s">
        <v>100</v>
      </c>
      <c r="M1" s="78" t="s">
        <v>101</v>
      </c>
      <c r="N1" s="78" t="s">
        <v>102</v>
      </c>
      <c r="O1" s="84"/>
      <c r="P1" s="85" t="s">
        <v>103</v>
      </c>
      <c r="Q1" s="86" t="s">
        <v>104</v>
      </c>
      <c r="R1" s="86" t="s">
        <v>105</v>
      </c>
      <c r="S1" s="86" t="s">
        <v>106</v>
      </c>
      <c r="T1" s="86" t="s">
        <v>107</v>
      </c>
      <c r="V1" s="86" t="s">
        <v>108</v>
      </c>
      <c r="X1" s="86" t="s">
        <v>109</v>
      </c>
      <c r="Y1" s="86" t="s">
        <v>110</v>
      </c>
      <c r="Z1" s="86" t="s">
        <v>111</v>
      </c>
      <c r="AC1" s="86" t="s">
        <v>112</v>
      </c>
      <c r="AE1" s="86" t="s">
        <v>113</v>
      </c>
      <c r="AF1" s="86" t="s">
        <v>114</v>
      </c>
      <c r="AG1" s="86" t="s">
        <v>115</v>
      </c>
      <c r="AH1" s="86" t="s">
        <v>116</v>
      </c>
      <c r="AI1" s="86" t="s">
        <v>117</v>
      </c>
      <c r="AJ1" s="86" t="s">
        <v>118</v>
      </c>
      <c r="AK1" s="86" t="s">
        <v>119</v>
      </c>
      <c r="AL1" s="86" t="s">
        <v>120</v>
      </c>
      <c r="AM1" s="86" t="s">
        <v>121</v>
      </c>
      <c r="AN1" s="86" t="s">
        <v>122</v>
      </c>
      <c r="AO1" s="86" t="s">
        <v>123</v>
      </c>
      <c r="AQ1" s="85" t="s">
        <v>103</v>
      </c>
      <c r="AR1" s="86" t="s">
        <v>124</v>
      </c>
      <c r="AV1" s="85" t="s">
        <v>103</v>
      </c>
      <c r="AW1" s="77" t="s">
        <v>125</v>
      </c>
      <c r="BI1" s="85" t="s">
        <v>103</v>
      </c>
      <c r="BP1" s="85" t="s">
        <v>103</v>
      </c>
      <c r="BQ1" s="85"/>
      <c r="BR1" s="85"/>
      <c r="BS1" s="85" t="s">
        <v>103</v>
      </c>
      <c r="BT1" s="86" t="s">
        <v>126</v>
      </c>
      <c r="BU1" s="85"/>
      <c r="BV1" s="85"/>
      <c r="BW1" s="85" t="s">
        <v>103</v>
      </c>
      <c r="BX1" s="77" t="s">
        <v>127</v>
      </c>
      <c r="BY1" s="77" t="s">
        <v>128</v>
      </c>
      <c r="BZ1" s="20"/>
      <c r="CA1" s="77" t="s">
        <v>129</v>
      </c>
      <c r="CB1" s="85"/>
      <c r="CC1" s="85"/>
      <c r="CD1" s="85" t="s">
        <v>103</v>
      </c>
      <c r="CE1" s="85"/>
      <c r="CF1" s="85"/>
      <c r="CG1" s="85"/>
      <c r="CH1" s="85"/>
      <c r="CJ1" s="85" t="s">
        <v>103</v>
      </c>
      <c r="CK1" s="77" t="s">
        <v>130</v>
      </c>
      <c r="CL1" s="85"/>
      <c r="CM1" s="85"/>
      <c r="CN1" s="85" t="s">
        <v>103</v>
      </c>
      <c r="CO1" s="77" t="s">
        <v>131</v>
      </c>
      <c r="CT1" s="85" t="s">
        <v>103</v>
      </c>
      <c r="CX1" s="85" t="s">
        <v>103</v>
      </c>
      <c r="DF1" s="85" t="s">
        <v>103</v>
      </c>
      <c r="DG1" s="77" t="s">
        <v>132</v>
      </c>
      <c r="DH1" s="85"/>
      <c r="DI1" s="85"/>
      <c r="DJ1" s="85" t="s">
        <v>103</v>
      </c>
      <c r="DL1" s="86" t="s">
        <v>133</v>
      </c>
      <c r="DP1" s="86" t="s">
        <v>134</v>
      </c>
      <c r="DW1" s="85" t="s">
        <v>103</v>
      </c>
      <c r="DY1" s="85" t="s">
        <v>103</v>
      </c>
      <c r="EB1" s="85" t="s">
        <v>103</v>
      </c>
      <c r="ED1" s="85" t="s">
        <v>135</v>
      </c>
      <c r="EE1" s="85"/>
      <c r="EF1" s="85" t="s">
        <v>103</v>
      </c>
      <c r="EP1" s="86" t="s">
        <v>136</v>
      </c>
      <c r="EQ1" s="85" t="s">
        <v>137</v>
      </c>
      <c r="ET1" s="85"/>
      <c r="EU1" s="85"/>
      <c r="EV1" s="85"/>
      <c r="EW1" s="85"/>
      <c r="EX1" s="85"/>
      <c r="EY1" s="85"/>
      <c r="EZ1" s="85" t="s">
        <v>135</v>
      </c>
      <c r="FA1" s="85"/>
      <c r="FB1" s="85"/>
      <c r="FC1" s="85"/>
      <c r="FE1" s="85" t="s">
        <v>135</v>
      </c>
    </row>
    <row r="2" spans="1:172" s="83" customFormat="1" x14ac:dyDescent="0.2">
      <c r="A2"/>
      <c r="B2"/>
      <c r="C2" s="61"/>
      <c r="D2" s="78"/>
      <c r="M2" s="78" t="s">
        <v>139</v>
      </c>
      <c r="N2" s="78" t="s">
        <v>139</v>
      </c>
      <c r="O2" s="84"/>
      <c r="P2" s="61" t="s">
        <v>140</v>
      </c>
      <c r="Q2" s="62">
        <f>IF(LEFT(P6,3)="fin",IFERROR(SUMPRODUCT($DL$2:$DP$2,$DL$5:$DP$5)/SUM($DL$5:$DP$5),1),IFERROR(INDEX(tRates[[k€]:[k€]],MATCH(Q6,tRates[[Key (lookup)]:[Key (lookup)]],0)),"no rate"))</f>
        <v>0.51300000000000001</v>
      </c>
      <c r="R2" s="62">
        <f>IF(LEFT(Q6,3)="fin",IFERROR(SUMPRODUCT($DL$2:$DP$2,$DL$5:$DP$5)/SUM($DL$5:$DP$5),1),IFERROR(INDEX(tRates[[k€]:[k€]],MATCH(R6,tRates[[Key (lookup)]:[Key (lookup)]],0)),"no rate"))</f>
        <v>0.51300000000000001</v>
      </c>
      <c r="S2" s="62">
        <f>IF(LEFT(R6,3)="fin",IFERROR(SUMPRODUCT($DL$2:$DP$2,$DL$5:$DP$5)/SUM($DL$5:$DP$5),1),IFERROR(INDEX(tRates[[k€]:[k€]],MATCH(S6,tRates[[Key (lookup)]:[Key (lookup)]],0)),"no rate"))</f>
        <v>0.48299999999999998</v>
      </c>
      <c r="T2" s="62">
        <f>IF(LEFT(S6,3)="fin",IFERROR(SUMPRODUCT($DL$2:$DP$2,$DL$5:$DP$5)/SUM($DL$5:$DP$5),1),IFERROR(INDEX(tRates[[k€]:[k€]],MATCH(T6,tRates[[Key (lookup)]:[Key (lookup)]],0)),"no rate"))</f>
        <v>1</v>
      </c>
      <c r="U2" s="62">
        <f>IF(LEFT(T6,3)="fin",IFERROR(SUMPRODUCT($DL$2:$DP$2,$DL$5:$DP$5)/SUM($DL$5:$DP$5),1),IFERROR(INDEX(tRates[[k€]:[k€]],MATCH(U6,tRates[[Key (lookup)]:[Key (lookup)]],0)),"no rate"))</f>
        <v>0.20599999999999999</v>
      </c>
      <c r="V2" s="62">
        <f>IF(LEFT(U6,3)="fin",IFERROR(SUMPRODUCT($DL$2:$DP$2,$DL$5:$DP$5)/SUM($DL$5:$DP$5),1),IFERROR(INDEX(tRates[[k€]:[k€]],MATCH(V6,tRates[[Key (lookup)]:[Key (lookup)]],0)),"no rate"))</f>
        <v>0.51300000000000001</v>
      </c>
      <c r="W2" s="62">
        <f>IF(LEFT(V6,3)="fin",IFERROR(SUMPRODUCT($DL$2:$DP$2,$DL$5:$DP$5)/SUM($DL$5:$DP$5),1),IFERROR(INDEX(tRates[[k€]:[k€]],MATCH(W6,tRates[[Key (lookup)]:[Key (lookup)]],0)),"no rate"))</f>
        <v>0.48699999999999999</v>
      </c>
      <c r="X2" s="62">
        <f>IF(LEFT(W6,3)="fin",IFERROR(SUMPRODUCT($DL$2:$DP$2,$DL$5:$DP$5)/SUM($DL$5:$DP$5),1),IFERROR(INDEX(tRates[[k€]:[k€]],MATCH(X6,tRates[[Key (lookup)]:[Key (lookup)]],0)),"no rate"))</f>
        <v>0.48699999999999999</v>
      </c>
      <c r="Y2" s="62">
        <f>IF(LEFT(X6,3)="fin",IFERROR(SUMPRODUCT($DL$2:$DP$2,$DL$5:$DP$5)/SUM($DL$5:$DP$5),1),IFERROR(INDEX(tRates[[k€]:[k€]],MATCH(Y6,tRates[[Key (lookup)]:[Key (lookup)]],0)),"no rate"))</f>
        <v>0.51300000000000001</v>
      </c>
      <c r="Z2" s="62">
        <f>IF(LEFT(Y6,3)="fin",IFERROR(SUMPRODUCT($DL$2:$DP$2,$DL$5:$DP$5)/SUM($DL$5:$DP$5),1),IFERROR(INDEX(tRates[[k€]:[k€]],MATCH(Z6,tRates[[Key (lookup)]:[Key (lookup)]],0)),"no rate"))</f>
        <v>0.49199999999999999</v>
      </c>
      <c r="AA2" s="62">
        <f>IF(LEFT(Z6,3)="fin",IFERROR(SUMPRODUCT($DL$2:$DP$2,$DL$5:$DP$5)/SUM($DL$5:$DP$5),1),IFERROR(INDEX(tRates[[k€]:[k€]],MATCH(AA6,tRates[[Key (lookup)]:[Key (lookup)]],0)),"no rate"))</f>
        <v>0.57399999999999995</v>
      </c>
      <c r="AB2" s="62">
        <f>IF(LEFT(AA6,3)="fin",IFERROR(SUMPRODUCT($DL$2:$DP$2,$DL$5:$DP$5)/SUM($DL$5:$DP$5),1),IFERROR(INDEX(tRates[[k€]:[k€]],MATCH(AB6,tRates[[Key (lookup)]:[Key (lookup)]],0)),"no rate"))</f>
        <v>0.51300000000000001</v>
      </c>
      <c r="AC2" s="62">
        <f>IF(LEFT(AB6,3)="fin",IFERROR(SUMPRODUCT($DL$2:$DP$2,$DL$5:$DP$5)/SUM($DL$5:$DP$5),1),IFERROR(INDEX(tRates[[k€]:[k€]],MATCH(AC6,tRates[[Key (lookup)]:[Key (lookup)]],0)),"no rate"))</f>
        <v>0.51300000000000001</v>
      </c>
      <c r="AD2" s="62">
        <f>IF(LEFT(AC6,3)="fin",IFERROR(SUMPRODUCT($DL$2:$DP$2,$DL$5:$DP$5)/SUM($DL$5:$DP$5),1),IFERROR(INDEX(tRates[[k€]:[k€]],MATCH(AD6,tRates[[Key (lookup)]:[Key (lookup)]],0)),"no rate"))</f>
        <v>0.51300000000000001</v>
      </c>
      <c r="AE2" s="62">
        <f>IF(LEFT(AD6,3)="fin",IFERROR(SUMPRODUCT($DL$2:$DP$2,$DL$5:$DP$5)/SUM($DL$5:$DP$5),1),IFERROR(INDEX(tRates[[k€]:[k€]],MATCH(AE6,tRates[[Key (lookup)]:[Key (lookup)]],0)),"no rate"))</f>
        <v>0.51300000000000001</v>
      </c>
      <c r="AF2" s="62">
        <f>IF(LEFT(AE6,3)="fin",IFERROR(SUMPRODUCT($DL$2:$DP$2,$DL$5:$DP$5)/SUM($DL$5:$DP$5),1),IFERROR(INDEX(tRates[[k€]:[k€]],MATCH(AF6,tRates[[Key (lookup)]:[Key (lookup)]],0)),"no rate"))</f>
        <v>0.51300000000000001</v>
      </c>
      <c r="AG2" s="62">
        <f>IF(LEFT(AF6,3)="fin",IFERROR(SUMPRODUCT($DL$2:$DP$2,$DL$5:$DP$5)/SUM($DL$5:$DP$5),1),IFERROR(INDEX(tRates[[k€]:[k€]],MATCH(AG6,tRates[[Key (lookup)]:[Key (lookup)]],0)),"no rate"))</f>
        <v>0.51300000000000001</v>
      </c>
      <c r="AH2" s="62">
        <f>IF(LEFT(AG6,3)="fin",IFERROR(SUMPRODUCT($DL$2:$DP$2,$DL$5:$DP$5)/SUM($DL$5:$DP$5),1),IFERROR(INDEX(tRates[[k€]:[k€]],MATCH(AH6,tRates[[Key (lookup)]:[Key (lookup)]],0)),"no rate"))</f>
        <v>0.51300000000000001</v>
      </c>
      <c r="AI2" s="62">
        <f>IF(LEFT(AH6,3)="fin",IFERROR(SUMPRODUCT($DL$2:$DP$2,$DL$5:$DP$5)/SUM($DL$5:$DP$5),1),IFERROR(INDEX(tRates[[k€]:[k€]],MATCH(AI6,tRates[[Key (lookup)]:[Key (lookup)]],0)),"no rate"))</f>
        <v>0.51300000000000001</v>
      </c>
      <c r="AJ2" s="62">
        <f>IF(LEFT(AI6,3)="fin",IFERROR(SUMPRODUCT($DL$2:$DP$2,$DL$5:$DP$5)/SUM($DL$5:$DP$5),1),IFERROR(INDEX(tRates[[k€]:[k€]],MATCH(AJ6,tRates[[Key (lookup)]:[Key (lookup)]],0)),"no rate"))</f>
        <v>0.51300000000000001</v>
      </c>
      <c r="AK2" s="62">
        <f>IF(LEFT(AJ6,3)="fin",IFERROR(SUMPRODUCT($DL$2:$DP$2,$DL$5:$DP$5)/SUM($DL$5:$DP$5),1),IFERROR(INDEX(tRates[[k€]:[k€]],MATCH(AK6,tRates[[Key (lookup)]:[Key (lookup)]],0)),"no rate"))</f>
        <v>0.51300000000000001</v>
      </c>
      <c r="AL2" s="62">
        <f>IF(LEFT(AK6,3)="fin",IFERROR(SUMPRODUCT($DL$2:$DP$2,$DL$5:$DP$5)/SUM($DL$5:$DP$5),1),IFERROR(INDEX(tRates[[k€]:[k€]],MATCH(AL6,tRates[[Key (lookup)]:[Key (lookup)]],0)),"no rate"))</f>
        <v>0.51300000000000001</v>
      </c>
      <c r="AM2" s="62">
        <f>IF(LEFT(AL6,3)="fin",IFERROR(SUMPRODUCT($DL$2:$DP$2,$DL$5:$DP$5)/SUM($DL$5:$DP$5),1),IFERROR(INDEX(tRates[[k€]:[k€]],MATCH(AM6,tRates[[Key (lookup)]:[Key (lookup)]],0)),"no rate"))</f>
        <v>0.51300000000000001</v>
      </c>
      <c r="AN2" s="62">
        <f>IF(LEFT(AM6,3)="fin",IFERROR(SUMPRODUCT($DL$2:$DP$2,$DL$5:$DP$5)/SUM($DL$5:$DP$5),1),IFERROR(INDEX(tRates[[k€]:[k€]],MATCH(AN6,tRates[[Key (lookup)]:[Key (lookup)]],0)),"no rate"))</f>
        <v>0.51300000000000001</v>
      </c>
      <c r="AO2" s="62">
        <f>IF(LEFT(AN6,3)="fin",IFERROR(SUMPRODUCT($DL$2:$DP$2,$DL$5:$DP$5)/SUM($DL$5:$DP$5),1),IFERROR(INDEX(tRates[[k€]:[k€]],MATCH(AO6,tRates[[Key (lookup)]:[Key (lookup)]],0)),"no rate"))</f>
        <v>0.49199999999999999</v>
      </c>
      <c r="AP2" s="62">
        <f>IF(LEFT(AO6,3)="fin",IFERROR(SUMPRODUCT($DL$2:$DP$2,$DL$5:$DP$5)/SUM($DL$5:$DP$5),1),IFERROR(INDEX(tRates[[k€]:[k€]],MATCH(AP6,tRates[[Key (lookup)]:[Key (lookup)]],0)),"no rate"))</f>
        <v>0.51300000000000001</v>
      </c>
      <c r="AQ2" s="62" t="str">
        <f>IF(LEFT(AP6,3)="fin",IFERROR(SUMPRODUCT($DL$2:$DP$2,$DL$5:$DP$5)/SUM($DL$5:$DP$5),1),IFERROR(INDEX(tRates[[k€]:[k€]],MATCH(AQ6,tRates[[Key (lookup)]:[Key (lookup)]],0)),"no rate"))</f>
        <v>na</v>
      </c>
      <c r="AR2" s="62">
        <f>IF(LEFT(AQ6,3)="fin",IFERROR(SUMPRODUCT($DL$2:$DP$2,$DL$5:$DP$5)/SUM($DL$5:$DP$5),1),IFERROR(INDEX(tRates[[k€]:[k€]],MATCH(AR6,tRates[[Key (lookup)]:[Key (lookup)]],0)),"no rate"))</f>
        <v>0.6</v>
      </c>
      <c r="AS2" s="62">
        <f>IF(LEFT(AR6,3)="fin",IFERROR(SUMPRODUCT($DL$2:$DP$2,$DL$5:$DP$5)/SUM($DL$5:$DP$5),1),IFERROR(INDEX(tRates[[k€]:[k€]],MATCH(AS6,tRates[[Key (lookup)]:[Key (lookup)]],0)),"no rate"))</f>
        <v>0.48699999999999999</v>
      </c>
      <c r="AT2" s="62">
        <f>IF(LEFT(AS6,3)="fin",IFERROR(SUMPRODUCT($DL$2:$DP$2,$DL$5:$DP$5)/SUM($DL$5:$DP$5),1),IFERROR(INDEX(tRates[[k€]:[k€]],MATCH(AT6,tRates[[Key (lookup)]:[Key (lookup)]],0)),"no rate"))</f>
        <v>1</v>
      </c>
      <c r="AU2" s="62">
        <f>IF(LEFT(AT6,3)="fin",IFERROR(SUMPRODUCT($DL$2:$DP$2,$DL$5:$DP$5)/SUM($DL$5:$DP$5),1),IFERROR(INDEX(tRates[[k€]:[k€]],MATCH(AU6,tRates[[Key (lookup)]:[Key (lookup)]],0)),"no rate"))</f>
        <v>0.51300000000000001</v>
      </c>
      <c r="AV2" s="62" t="str">
        <f>IF(LEFT(AU6,3)="fin",IFERROR(SUMPRODUCT($DL$2:$DP$2,$DL$5:$DP$5)/SUM($DL$5:$DP$5),1),IFERROR(INDEX(tRates[[k€]:[k€]],MATCH(AV6,tRates[[Key (lookup)]:[Key (lookup)]],0)),"no rate"))</f>
        <v>na</v>
      </c>
      <c r="AW2" s="62">
        <f>IF(LEFT(AV6,3)="fin",IFERROR(SUMPRODUCT($DL$2:$DP$2,$DL$5:$DP$5)/SUM($DL$5:$DP$5),1),IFERROR(INDEX(tRates[[k€]:[k€]],MATCH(AW6,tRates[[Key (lookup)]:[Key (lookup)]],0)),"no rate"))</f>
        <v>0.6</v>
      </c>
      <c r="AX2" s="62">
        <f>IF(LEFT(AW6,3)="fin",IFERROR(SUMPRODUCT($DL$2:$DP$2,$DL$5:$DP$5)/SUM($DL$5:$DP$5),1),IFERROR(INDEX(tRates[[k€]:[k€]],MATCH(AX6,tRates[[Key (lookup)]:[Key (lookup)]],0)),"no rate"))</f>
        <v>0.48699999999999999</v>
      </c>
      <c r="AY2" s="62">
        <f>IF(LEFT(AX6,3)="fin",IFERROR(SUMPRODUCT($DL$2:$DP$2,$DL$5:$DP$5)/SUM($DL$5:$DP$5),1),IFERROR(INDEX(tRates[[k€]:[k€]],MATCH(AY6,tRates[[Key (lookup)]:[Key (lookup)]],0)),"no rate"))</f>
        <v>0.51300000000000001</v>
      </c>
      <c r="AZ2" s="62">
        <f>IF(LEFT(AY6,3)="fin",IFERROR(SUMPRODUCT($DL$2:$DP$2,$DL$5:$DP$5)/SUM($DL$5:$DP$5),1),IFERROR(INDEX(tRates[[k€]:[k€]],MATCH(AZ6,tRates[[Key (lookup)]:[Key (lookup)]],0)),"no rate"))</f>
        <v>0.57399999999999995</v>
      </c>
      <c r="BA2" s="62">
        <f>IF(LEFT(AZ6,3)="fin",IFERROR(SUMPRODUCT($DL$2:$DP$2,$DL$5:$DP$5)/SUM($DL$5:$DP$5),1),IFERROR(INDEX(tRates[[k€]:[k€]],MATCH(BA6,tRates[[Key (lookup)]:[Key (lookup)]],0)),"no rate"))</f>
        <v>1</v>
      </c>
      <c r="BB2" s="62">
        <f>IF(LEFT(BA6,3)="fin",IFERROR(SUMPRODUCT($DL$2:$DP$2,$DL$5:$DP$5)/SUM($DL$5:$DP$5),1),IFERROR(INDEX(tRates[[k€]:[k€]],MATCH(BB6,tRates[[Key (lookup)]:[Key (lookup)]],0)),"no rate"))</f>
        <v>0.48699999999999999</v>
      </c>
      <c r="BC2" s="62">
        <f>IF(LEFT(BB6,3)="fin",IFERROR(SUMPRODUCT($DL$2:$DP$2,$DL$5:$DP$5)/SUM($DL$5:$DP$5),1),IFERROR(INDEX(tRates[[k€]:[k€]],MATCH(BC6,tRates[[Key (lookup)]:[Key (lookup)]],0)),"no rate"))</f>
        <v>0.49199999999999999</v>
      </c>
      <c r="BD2" s="62">
        <f>IF(LEFT(BC6,3)="fin",IFERROR(SUMPRODUCT($DL$2:$DP$2,$DL$5:$DP$5)/SUM($DL$5:$DP$5),1),IFERROR(INDEX(tRates[[k€]:[k€]],MATCH(BD6,tRates[[Key (lookup)]:[Key (lookup)]],0)),"no rate"))</f>
        <v>0.49199999999999999</v>
      </c>
      <c r="BE2" s="62">
        <f>IF(LEFT(BD6,3)="fin",IFERROR(SUMPRODUCT($DL$2:$DP$2,$DL$5:$DP$5)/SUM($DL$5:$DP$5),1),IFERROR(INDEX(tRates[[k€]:[k€]],MATCH(BE6,tRates[[Key (lookup)]:[Key (lookup)]],0)),"no rate"))</f>
        <v>0.30199999999999999</v>
      </c>
      <c r="BF2" s="62">
        <f>IF(LEFT(BE6,3)="fin",IFERROR(SUMPRODUCT($DL$2:$DP$2,$DL$5:$DP$5)/SUM($DL$5:$DP$5),1),IFERROR(INDEX(tRates[[k€]:[k€]],MATCH(BF6,tRates[[Key (lookup)]:[Key (lookup)]],0)),"no rate"))</f>
        <v>0.20599999999999999</v>
      </c>
      <c r="BG2" s="62">
        <f>IF(LEFT(BF6,3)="fin",IFERROR(SUMPRODUCT($DL$2:$DP$2,$DL$5:$DP$5)/SUM($DL$5:$DP$5),1),IFERROR(INDEX(tRates[[k€]:[k€]],MATCH(BG6,tRates[[Key (lookup)]:[Key (lookup)]],0)),"no rate"))</f>
        <v>0.51300000000000001</v>
      </c>
      <c r="BH2" s="62">
        <f>IF(LEFT(BG6,3)="fin",IFERROR(SUMPRODUCT($DL$2:$DP$2,$DL$5:$DP$5)/SUM($DL$5:$DP$5),1),IFERROR(INDEX(tRates[[k€]:[k€]],MATCH(BH6,tRates[[Key (lookup)]:[Key (lookup)]],0)),"no rate"))</f>
        <v>0.51300000000000001</v>
      </c>
      <c r="BI2" s="62" t="str">
        <f>IF(LEFT(BH6,3)="fin",IFERROR(SUMPRODUCT($DL$2:$DP$2,$DL$5:$DP$5)/SUM($DL$5:$DP$5),1),IFERROR(INDEX(tRates[[k€]:[k€]],MATCH(BI6,tRates[[Key (lookup)]:[Key (lookup)]],0)),"no rate"))</f>
        <v>na</v>
      </c>
      <c r="BJ2" s="62">
        <f>IF(LEFT(BI6,3)="fin",IFERROR(SUMPRODUCT($DL$2:$DP$2,$DL$5:$DP$5)/SUM($DL$5:$DP$5),1),IFERROR(INDEX(tRates[[k€]:[k€]],MATCH(BJ6,tRates[[Key (lookup)]:[Key (lookup)]],0)),"no rate"))</f>
        <v>0.6</v>
      </c>
      <c r="BK2" s="62">
        <f>IF(LEFT(BJ6,3)="fin",IFERROR(SUMPRODUCT($DL$2:$DP$2,$DL$5:$DP$5)/SUM($DL$5:$DP$5),1),IFERROR(INDEX(tRates[[k€]:[k€]],MATCH(BK6,tRates[[Key (lookup)]:[Key (lookup)]],0)),"no rate"))</f>
        <v>0.48699999999999999</v>
      </c>
      <c r="BL2" s="62">
        <f>IF(LEFT(BK6,3)="fin",IFERROR(SUMPRODUCT($DL$2:$DP$2,$DL$5:$DP$5)/SUM($DL$5:$DP$5),1),IFERROR(INDEX(tRates[[k€]:[k€]],MATCH(BL6,tRates[[Key (lookup)]:[Key (lookup)]],0)),"no rate"))</f>
        <v>0.51300000000000001</v>
      </c>
      <c r="BM2" s="62">
        <f>IF(LEFT(BL6,3)="fin",IFERROR(SUMPRODUCT($DL$2:$DP$2,$DL$5:$DP$5)/SUM($DL$5:$DP$5),1),IFERROR(INDEX(tRates[[k€]:[k€]],MATCH(BM6,tRates[[Key (lookup)]:[Key (lookup)]],0)),"no rate"))</f>
        <v>0.51300000000000001</v>
      </c>
      <c r="BN2" s="62">
        <f>IF(LEFT(BM6,3)="fin",IFERROR(SUMPRODUCT($DL$2:$DP$2,$DL$5:$DP$5)/SUM($DL$5:$DP$5),1),IFERROR(INDEX(tRates[[k€]:[k€]],MATCH(BN6,tRates[[Key (lookup)]:[Key (lookup)]],0)),"no rate"))</f>
        <v>0.51300000000000001</v>
      </c>
      <c r="BO2" s="62">
        <f>IF(LEFT(BN6,3)="fin",IFERROR(SUMPRODUCT($DL$2:$DP$2,$DL$5:$DP$5)/SUM($DL$5:$DP$5),1),IFERROR(INDEX(tRates[[k€]:[k€]],MATCH(BO6,tRates[[Key (lookup)]:[Key (lookup)]],0)),"no rate"))</f>
        <v>1</v>
      </c>
      <c r="BP2" s="62" t="str">
        <f>IF(LEFT(BO6,3)="fin",IFERROR(SUMPRODUCT($DL$2:$DP$2,$DL$5:$DP$5)/SUM($DL$5:$DP$5),1),IFERROR(INDEX(tRates[[k€]:[k€]],MATCH(BP6,tRates[[Key (lookup)]:[Key (lookup)]],0)),"no rate"))</f>
        <v>na</v>
      </c>
      <c r="BQ2" s="62">
        <f>IF(LEFT(BP6,3)="fin",IFERROR(SUMPRODUCT($DL$2:$DP$2,$DL$5:$DP$5)/SUM($DL$5:$DP$5),1),IFERROR(INDEX(tRates[[k€]:[k€]],MATCH(BQ6,tRates[[Key (lookup)]:[Key (lookup)]],0)),"no rate"))</f>
        <v>1</v>
      </c>
      <c r="BR2" s="62">
        <f>IF(LEFT(BQ6,3)="fin",IFERROR(SUMPRODUCT($DL$2:$DP$2,$DL$5:$DP$5)/SUM($DL$5:$DP$5),1),IFERROR(INDEX(tRates[[k€]:[k€]],MATCH(BR6,tRates[[Key (lookup)]:[Key (lookup)]],0)),"no rate"))</f>
        <v>0.48699999999999999</v>
      </c>
      <c r="BS2" s="62" t="str">
        <f>IF(LEFT(BR6,3)="fin",IFERROR(SUMPRODUCT($DL$2:$DP$2,$DL$5:$DP$5)/SUM($DL$5:$DP$5),1),IFERROR(INDEX(tRates[[k€]:[k€]],MATCH(BS6,tRates[[Key (lookup)]:[Key (lookup)]],0)),"no rate"))</f>
        <v>na</v>
      </c>
      <c r="BT2" s="62">
        <f>IF(LEFT(BS6,3)="fin",IFERROR(SUMPRODUCT($DL$2:$DP$2,$DL$5:$DP$5)/SUM($DL$5:$DP$5),1),IFERROR(INDEX(tRates[[k€]:[k€]],MATCH(BT6,tRates[[Key (lookup)]:[Key (lookup)]],0)),"no rate"))</f>
        <v>0.48699999999999999</v>
      </c>
      <c r="BU2" s="62">
        <f>IF(LEFT(BT6,3)="fin",IFERROR(SUMPRODUCT($DL$2:$DP$2,$DL$5:$DP$5)/SUM($DL$5:$DP$5),1),IFERROR(INDEX(tRates[[k€]:[k€]],MATCH(BU6,tRates[[Key (lookup)]:[Key (lookup)]],0)),"no rate"))</f>
        <v>0.48699999999999999</v>
      </c>
      <c r="BV2" s="62">
        <f>IF(LEFT(BU6,3)="fin",IFERROR(SUMPRODUCT($DL$2:$DP$2,$DL$5:$DP$5)/SUM($DL$5:$DP$5),1),IFERROR(INDEX(tRates[[k€]:[k€]],MATCH(BV6,tRates[[Key (lookup)]:[Key (lookup)]],0)),"no rate"))</f>
        <v>0.48699999999999999</v>
      </c>
      <c r="BW2" s="62" t="str">
        <f>IF(LEFT(BV6,3)="fin",IFERROR(SUMPRODUCT($DL$2:$DP$2,$DL$5:$DP$5)/SUM($DL$5:$DP$5),1),IFERROR(INDEX(tRates[[k€]:[k€]],MATCH(BW6,tRates[[Key (lookup)]:[Key (lookup)]],0)),"no rate"))</f>
        <v>na</v>
      </c>
      <c r="BX2" s="62">
        <f>IF(LEFT(BW6,3)="fin",IFERROR(SUMPRODUCT($DL$2:$DP$2,$DL$5:$DP$5)/SUM($DL$5:$DP$5),1),IFERROR(INDEX(tRates[[k€]:[k€]],MATCH(BX6,tRates[[Key (lookup)]:[Key (lookup)]],0)),"no rate"))</f>
        <v>0.6</v>
      </c>
      <c r="BY2" s="62">
        <f>IF(LEFT(BX6,3)="fin",IFERROR(SUMPRODUCT($DL$2:$DP$2,$DL$5:$DP$5)/SUM($DL$5:$DP$5),1),IFERROR(INDEX(tRates[[k€]:[k€]],MATCH(BY6,tRates[[Key (lookup)]:[Key (lookup)]],0)),"no rate"))</f>
        <v>0.48699999999999999</v>
      </c>
      <c r="BZ2" s="62">
        <f>IF(LEFT(BY6,3)="fin",IFERROR(SUMPRODUCT($DL$2:$DP$2,$DL$5:$DP$5)/SUM($DL$5:$DP$5),1),IFERROR(INDEX(tRates[[k€]:[k€]],MATCH(BZ6,tRates[[Key (lookup)]:[Key (lookup)]],0)),"no rate"))</f>
        <v>0.51300000000000001</v>
      </c>
      <c r="CA2" s="62">
        <f>IF(LEFT(BZ6,3)="fin",IFERROR(SUMPRODUCT($DL$2:$DP$2,$DL$5:$DP$5)/SUM($DL$5:$DP$5),1),IFERROR(INDEX(tRates[[k€]:[k€]],MATCH(CA6,tRates[[Key (lookup)]:[Key (lookup)]],0)),"no rate"))</f>
        <v>0.51300000000000001</v>
      </c>
      <c r="CB2" s="62">
        <f>IF(LEFT(CA6,3)="fin",IFERROR(SUMPRODUCT($DL$2:$DP$2,$DL$5:$DP$5)/SUM($DL$5:$DP$5),1),IFERROR(INDEX(tRates[[k€]:[k€]],MATCH(CB6,tRates[[Key (lookup)]:[Key (lookup)]],0)),"no rate"))</f>
        <v>0.49199999999999999</v>
      </c>
      <c r="CC2" s="62">
        <f>IF(LEFT(CB6,3)="fin",IFERROR(SUMPRODUCT($DL$2:$DP$2,$DL$5:$DP$5)/SUM($DL$5:$DP$5),1),IFERROR(INDEX(tRates[[k€]:[k€]],MATCH(CC6,tRates[[Key (lookup)]:[Key (lookup)]],0)),"no rate"))</f>
        <v>0.29499999999999998</v>
      </c>
      <c r="CD2" s="62" t="str">
        <f>IF(LEFT(CC6,3)="fin",IFERROR(SUMPRODUCT($DL$2:$DP$2,$DL$5:$DP$5)/SUM($DL$5:$DP$5),1),IFERROR(INDEX(tRates[[k€]:[k€]],MATCH(CD6,tRates[[Key (lookup)]:[Key (lookup)]],0)),"no rate"))</f>
        <v>na</v>
      </c>
      <c r="CE2" s="62">
        <f>IF(LEFT(CD6,3)="fin",IFERROR(SUMPRODUCT($DL$2:$DP$2,$DL$5:$DP$5)/SUM($DL$5:$DP$5),1),IFERROR(INDEX(tRates[[k€]:[k€]],MATCH(CE6,tRates[[Key (lookup)]:[Key (lookup)]],0)),"no rate"))</f>
        <v>1</v>
      </c>
      <c r="CF2" s="62">
        <f>IF(LEFT(CE6,3)="fin",IFERROR(SUMPRODUCT($DL$2:$DP$2,$DL$5:$DP$5)/SUM($DL$5:$DP$5),1),IFERROR(INDEX(tRates[[k€]:[k€]],MATCH(CF6,tRates[[Key (lookup)]:[Key (lookup)]],0)),"no rate"))</f>
        <v>0.57399999999999995</v>
      </c>
      <c r="CG2" s="62">
        <f>IF(LEFT(CF6,3)="fin",IFERROR(SUMPRODUCT($DL$2:$DP$2,$DL$5:$DP$5)/SUM($DL$5:$DP$5),1),IFERROR(INDEX(tRates[[k€]:[k€]],MATCH(CG6,tRates[[Key (lookup)]:[Key (lookup)]],0)),"no rate"))</f>
        <v>0.57399999999999995</v>
      </c>
      <c r="CH2" s="62">
        <f>IF(LEFT(CG6,3)="fin",IFERROR(SUMPRODUCT($DL$2:$DP$2,$DL$5:$DP$5)/SUM($DL$5:$DP$5),1),IFERROR(INDEX(tRates[[k€]:[k€]],MATCH(CH6,tRates[[Key (lookup)]:[Key (lookup)]],0)),"no rate"))</f>
        <v>0.30199999999999999</v>
      </c>
      <c r="CI2" s="62">
        <f>IF(LEFT(CH6,3)="fin",IFERROR(SUMPRODUCT($DL$2:$DP$2,$DL$5:$DP$5)/SUM($DL$5:$DP$5),1),IFERROR(INDEX(tRates[[k€]:[k€]],MATCH(CI6,tRates[[Key (lookup)]:[Key (lookup)]],0)),"no rate"))</f>
        <v>0.20599999999999999</v>
      </c>
      <c r="CJ2" s="62" t="str">
        <f>IF(LEFT(CI6,3)="fin",IFERROR(SUMPRODUCT($DL$2:$DP$2,$DL$5:$DP$5)/SUM($DL$5:$DP$5),1),IFERROR(INDEX(tRates[[k€]:[k€]],MATCH(CJ6,tRates[[Key (lookup)]:[Key (lookup)]],0)),"no rate"))</f>
        <v>na</v>
      </c>
      <c r="CK2" s="62">
        <f>IF(LEFT(CJ6,3)="fin",IFERROR(SUMPRODUCT($DL$2:$DP$2,$DL$5:$DP$5)/SUM($DL$5:$DP$5),1),IFERROR(INDEX(tRates[[k€]:[k€]],MATCH(CK6,tRates[[Key (lookup)]:[Key (lookup)]],0)),"no rate"))</f>
        <v>0.6</v>
      </c>
      <c r="CL2" s="62">
        <f>IF(LEFT(CK6,3)="fin",IFERROR(SUMPRODUCT($DL$2:$DP$2,$DL$5:$DP$5)/SUM($DL$5:$DP$5),1),IFERROR(INDEX(tRates[[k€]:[k€]],MATCH(CL6,tRates[[Key (lookup)]:[Key (lookup)]],0)),"no rate"))</f>
        <v>0.48699999999999999</v>
      </c>
      <c r="CM2" s="62">
        <f>IF(LEFT(CL6,3)="fin",IFERROR(SUMPRODUCT($DL$2:$DP$2,$DL$5:$DP$5)/SUM($DL$5:$DP$5),1),IFERROR(INDEX(tRates[[k€]:[k€]],MATCH(CM6,tRates[[Key (lookup)]:[Key (lookup)]],0)),"no rate"))</f>
        <v>0.51300000000000001</v>
      </c>
      <c r="CN2" s="62" t="str">
        <f>IF(LEFT(CM6,3)="fin",IFERROR(SUMPRODUCT($DL$2:$DP$2,$DL$5:$DP$5)/SUM($DL$5:$DP$5),1),IFERROR(INDEX(tRates[[k€]:[k€]],MATCH(CN6,tRates[[Key (lookup)]:[Key (lookup)]],0)),"no rate"))</f>
        <v>na</v>
      </c>
      <c r="CO2" s="62">
        <f>IF(LEFT(CN6,3)="fin",IFERROR(SUMPRODUCT($DL$2:$DP$2,$DL$5:$DP$5)/SUM($DL$5:$DP$5),1),IFERROR(INDEX(tRates[[k€]:[k€]],MATCH(CO6,tRates[[Key (lookup)]:[Key (lookup)]],0)),"no rate"))</f>
        <v>1</v>
      </c>
      <c r="CP2" s="62">
        <f>IF(LEFT(CO6,3)="fin",IFERROR(SUMPRODUCT($DL$2:$DP$2,$DL$5:$DP$5)/SUM($DL$5:$DP$5),1),IFERROR(INDEX(tRates[[k€]:[k€]],MATCH(CP6,tRates[[Key (lookup)]:[Key (lookup)]],0)),"no rate"))</f>
        <v>0.65600000000000003</v>
      </c>
      <c r="CQ2" s="62">
        <f>IF(LEFT(CP6,3)="fin",IFERROR(SUMPRODUCT($DL$2:$DP$2,$DL$5:$DP$5)/SUM($DL$5:$DP$5),1),IFERROR(INDEX(tRates[[k€]:[k€]],MATCH(CQ6,tRates[[Key (lookup)]:[Key (lookup)]],0)),"no rate"))</f>
        <v>0.57399999999999995</v>
      </c>
      <c r="CR2" s="62">
        <f>IF(LEFT(CQ6,3)="fin",IFERROR(SUMPRODUCT($DL$2:$DP$2,$DL$5:$DP$5)/SUM($DL$5:$DP$5),1),IFERROR(INDEX(tRates[[k€]:[k€]],MATCH(CR6,tRates[[Key (lookup)]:[Key (lookup)]],0)),"no rate"))</f>
        <v>0.57399999999999995</v>
      </c>
      <c r="CS2" s="62">
        <f>IF(LEFT(CR6,3)="fin",IFERROR(SUMPRODUCT($DL$2:$DP$2,$DL$5:$DP$5)/SUM($DL$5:$DP$5),1),IFERROR(INDEX(tRates[[k€]:[k€]],MATCH(CS6,tRates[[Key (lookup)]:[Key (lookup)]],0)),"no rate"))</f>
        <v>0.30199999999999999</v>
      </c>
      <c r="CT2" s="62" t="str">
        <f>IF(LEFT(CS6,3)="fin",IFERROR(SUMPRODUCT($DL$2:$DP$2,$DL$5:$DP$5)/SUM($DL$5:$DP$5),1),IFERROR(INDEX(tRates[[k€]:[k€]],MATCH(CT6,tRates[[Key (lookup)]:[Key (lookup)]],0)),"no rate"))</f>
        <v>na</v>
      </c>
      <c r="CU2" s="62">
        <f>IF(LEFT(CT6,3)="fin",IFERROR(SUMPRODUCT($DL$2:$DP$2,$DL$5:$DP$5)/SUM($DL$5:$DP$5),1),IFERROR(INDEX(tRates[[k€]:[k€]],MATCH(CU6,tRates[[Key (lookup)]:[Key (lookup)]],0)),"no rate"))</f>
        <v>0.51300000000000001</v>
      </c>
      <c r="CV2" s="62">
        <f>IF(LEFT(CU6,3)="fin",IFERROR(SUMPRODUCT($DL$2:$DP$2,$DL$5:$DP$5)/SUM($DL$5:$DP$5),1),IFERROR(INDEX(tRates[[k€]:[k€]],MATCH(CV6,tRates[[Key (lookup)]:[Key (lookup)]],0)),"no rate"))</f>
        <v>0.30199999999999999</v>
      </c>
      <c r="CW2" s="62">
        <f>IF(LEFT(CV6,3)="fin",IFERROR(SUMPRODUCT($DL$2:$DP$2,$DL$5:$DP$5)/SUM($DL$5:$DP$5),1),IFERROR(INDEX(tRates[[k€]:[k€]],MATCH(CW6,tRates[[Key (lookup)]:[Key (lookup)]],0)),"no rate"))</f>
        <v>0.20599999999999999</v>
      </c>
      <c r="CX2" s="62" t="str">
        <f>IF(LEFT(CW6,3)="fin",IFERROR(SUMPRODUCT($DL$2:$DP$2,$DL$5:$DP$5)/SUM($DL$5:$DP$5),1),IFERROR(INDEX(tRates[[k€]:[k€]],MATCH(CX6,tRates[[Key (lookup)]:[Key (lookup)]],0)),"no rate"))</f>
        <v>na</v>
      </c>
      <c r="CY2" s="62">
        <f>IF(LEFT(CX6,3)="fin",IFERROR(SUMPRODUCT($DL$2:$DP$2,$DL$5:$DP$5)/SUM($DL$5:$DP$5),1),IFERROR(INDEX(tRates[[k€]:[k€]],MATCH(CY6,tRates[[Key (lookup)]:[Key (lookup)]],0)),"no rate"))</f>
        <v>0.6</v>
      </c>
      <c r="CZ2" s="62">
        <f>IF(LEFT(CY6,3)="fin",IFERROR(SUMPRODUCT($DL$2:$DP$2,$DL$5:$DP$5)/SUM($DL$5:$DP$5),1),IFERROR(INDEX(tRates[[k€]:[k€]],MATCH(CZ6,tRates[[Key (lookup)]:[Key (lookup)]],0)),"no rate"))</f>
        <v>0.51300000000000001</v>
      </c>
      <c r="DA2" s="62">
        <f>IF(LEFT(CZ6,3)="fin",IFERROR(SUMPRODUCT($DL$2:$DP$2,$DL$5:$DP$5)/SUM($DL$5:$DP$5),1),IFERROR(INDEX(tRates[[k€]:[k€]],MATCH(DA6,tRates[[Key (lookup)]:[Key (lookup)]],0)),"no rate"))</f>
        <v>0.51300000000000001</v>
      </c>
      <c r="DB2" s="62">
        <f>IF(LEFT(DA6,3)="fin",IFERROR(SUMPRODUCT($DL$2:$DP$2,$DL$5:$DP$5)/SUM($DL$5:$DP$5),1),IFERROR(INDEX(tRates[[k€]:[k€]],MATCH(DB6,tRates[[Key (lookup)]:[Key (lookup)]],0)),"no rate"))</f>
        <v>1</v>
      </c>
      <c r="DC2" s="62">
        <f>IF(LEFT(DB6,3)="fin",IFERROR(SUMPRODUCT($DL$2:$DP$2,$DL$5:$DP$5)/SUM($DL$5:$DP$5),1),IFERROR(INDEX(tRates[[k€]:[k€]],MATCH(DC6,tRates[[Key (lookup)]:[Key (lookup)]],0)),"no rate"))</f>
        <v>0.30199999999999999</v>
      </c>
      <c r="DD2" s="62">
        <f>IF(LEFT(DC6,3)="fin",IFERROR(SUMPRODUCT($DL$2:$DP$2,$DL$5:$DP$5)/SUM($DL$5:$DP$5),1),IFERROR(INDEX(tRates[[k€]:[k€]],MATCH(DD6,tRates[[Key (lookup)]:[Key (lookup)]],0)),"no rate"))</f>
        <v>0.48699999999999999</v>
      </c>
      <c r="DE2" s="62">
        <f>IF(LEFT(DD6,3)="fin",IFERROR(SUMPRODUCT($DL$2:$DP$2,$DL$5:$DP$5)/SUM($DL$5:$DP$5),1),IFERROR(INDEX(tRates[[k€]:[k€]],MATCH(DE6,tRates[[Key (lookup)]:[Key (lookup)]],0)),"no rate"))</f>
        <v>0.49199999999999999</v>
      </c>
      <c r="DF2" s="62" t="str">
        <f>IF(LEFT(DE6,3)="fin",IFERROR(SUMPRODUCT($DL$2:$DP$2,$DL$5:$DP$5)/SUM($DL$5:$DP$5),1),IFERROR(INDEX(tRates[[k€]:[k€]],MATCH(DF6,tRates[[Key (lookup)]:[Key (lookup)]],0)),"no rate"))</f>
        <v>na</v>
      </c>
      <c r="DG2" s="62">
        <f>IF(LEFT(DF6,3)="fin",IFERROR(SUMPRODUCT($DL$2:$DP$2,$DL$5:$DP$5)/SUM($DL$5:$DP$5),1),IFERROR(INDEX(tRates[[k€]:[k€]],MATCH(DG6,tRates[[Key (lookup)]:[Key (lookup)]],0)),"no rate"))</f>
        <v>0.6</v>
      </c>
      <c r="DH2" s="62" t="str">
        <f>IF(LEFT(DG6,3)="fin",IFERROR(SUMPRODUCT($DL$2:$DP$2,$DL$5:$DP$5)/SUM($DL$5:$DP$5),1),IFERROR(INDEX(tRates[[k€]:[k€]],MATCH(DH6,tRates[[Key (lookup)]:[Key (lookup)]],0)),"no rate"))</f>
        <v>na</v>
      </c>
      <c r="DI2" s="62">
        <f>IF(LEFT(DH6,3)="fin",IFERROR(SUMPRODUCT($DL$2:$DP$2,$DL$5:$DP$5)/SUM($DL$5:$DP$5),1),IFERROR(INDEX(tRates[[k€]:[k€]],MATCH(DI6,tRates[[Key (lookup)]:[Key (lookup)]],0)),"no rate"))</f>
        <v>0.51300000000000001</v>
      </c>
      <c r="DJ2" s="62" t="str">
        <f>IF(LEFT(DI6,3)="fin",IFERROR(SUMPRODUCT($DL$2:$DP$2,$DL$5:$DP$5)/SUM($DL$5:$DP$5),1),IFERROR(INDEX(tRates[[k€]:[k€]],MATCH(DJ6,tRates[[Key (lookup)]:[Key (lookup)]],0)),"no rate"))</f>
        <v>na</v>
      </c>
      <c r="DK2" s="62">
        <f>IF(LEFT(DJ6,3)="fin",IFERROR(SUMPRODUCT($DL$2:$DP$2,$DL$5:$DP$5)/SUM($DL$5:$DP$5),1),IFERROR(INDEX(tRates[[k€]:[k€]],MATCH(DK6,tRates[[Key (lookup)]:[Key (lookup)]],0)),"no rate"))</f>
        <v>1</v>
      </c>
      <c r="DL2" s="62">
        <f>IF(LEFT(DK6,3)="fin",IFERROR(SUMPRODUCT($DL$2:$DP$2,$DL$5:$DP$5)/SUM($DL$5:$DP$5),1),IFERROR(INDEX(tRates[[k€]:[k€]],MATCH(DL6,tRates[[Key (lookup)]:[Key (lookup)]],0)),"no rate"))</f>
        <v>0.65500000000000003</v>
      </c>
      <c r="DM2" s="62">
        <f>IF(LEFT(DL6,3)="fin",IFERROR(SUMPRODUCT($DL$2:$DP$2,$DL$5:$DP$5)/SUM($DL$5:$DP$5),1),IFERROR(INDEX(tRates[[k€]:[k€]],MATCH(DM6,tRates[[Key (lookup)]:[Key (lookup)]],0)),"no rate"))</f>
        <v>0.53400000000000003</v>
      </c>
      <c r="DN2" s="62">
        <f>IF(LEFT(DM6,3)="fin",IFERROR(SUMPRODUCT($DL$2:$DP$2,$DL$5:$DP$5)/SUM($DL$5:$DP$5),1),IFERROR(INDEX(tRates[[k€]:[k€]],MATCH(DN6,tRates[[Key (lookup)]:[Key (lookup)]],0)),"no rate"))</f>
        <v>0.56299999999999994</v>
      </c>
      <c r="DO2" s="62">
        <f>IF(LEFT(DN6,3)="fin",IFERROR(SUMPRODUCT($DL$2:$DP$2,$DL$5:$DP$5)/SUM($DL$5:$DP$5),1),IFERROR(INDEX(tRates[[k€]:[k€]],MATCH(DO6,tRates[[Key (lookup)]:[Key (lookup)]],0)),"no rate"))</f>
        <v>0.60599999999999998</v>
      </c>
      <c r="DP2" s="62">
        <f>IF(LEFT(DO6,3)="fin",IFERROR(SUMPRODUCT($DL$2:$DP$2,$DL$5:$DP$5)/SUM($DL$5:$DP$5),1),IFERROR(INDEX(tRates[[k€]:[k€]],MATCH(DP6,tRates[[Key (lookup)]:[Key (lookup)]],0)),"no rate"))</f>
        <v>1.1339999999999999</v>
      </c>
      <c r="DQ2" s="62" t="str">
        <f>IF(LEFT(DP6,3)="fin",IFERROR(SUMPRODUCT($DL$2:$DP$2,$DL$5:$DP$5)/SUM($DL$5:$DP$5),1),IFERROR(INDEX(tRates[[k€]:[k€]],MATCH(DQ6,tRates[[Key (lookup)]:[Key (lookup)]],0)),"no rate"))</f>
        <v>no rate</v>
      </c>
      <c r="DR2" s="62" t="str">
        <f>IF(LEFT(DQ6,3)="fin",IFERROR(SUMPRODUCT($DL$2:$DP$2,$DL$5:$DP$5)/SUM($DL$5:$DP$5),1),IFERROR(INDEX(tRates[[k€]:[k€]],MATCH(DR6,tRates[[Key (lookup)]:[Key (lookup)]],0)),"no rate"))</f>
        <v>no rate</v>
      </c>
      <c r="DS2" s="62" t="str">
        <f>IF(LEFT(DR6,3)="fin",IFERROR(SUMPRODUCT($DL$2:$DP$2,$DL$5:$DP$5)/SUM($DL$5:$DP$5),1),IFERROR(INDEX(tRates[[k€]:[k€]],MATCH(DS6,tRates[[Key (lookup)]:[Key (lookup)]],0)),"no rate"))</f>
        <v>no rate</v>
      </c>
      <c r="DT2" s="62" t="str">
        <f>IF(LEFT(DS6,3)="fin",IFERROR(SUMPRODUCT($DL$2:$DP$2,$DL$5:$DP$5)/SUM($DL$5:$DP$5),1),IFERROR(INDEX(tRates[[k€]:[k€]],MATCH(DT6,tRates[[Key (lookup)]:[Key (lookup)]],0)),"no rate"))</f>
        <v>no rate</v>
      </c>
      <c r="DU2" s="62" t="str">
        <f>IF(LEFT(DT6,3)="fin",IFERROR(SUMPRODUCT($DL$2:$DP$2,$DL$5:$DP$5)/SUM($DL$5:$DP$5),1),IFERROR(INDEX(tRates[[k€]:[k€]],MATCH(DU6,tRates[[Key (lookup)]:[Key (lookup)]],0)),"no rate"))</f>
        <v>no rate</v>
      </c>
      <c r="DV2" s="62" t="str">
        <f>IF(LEFT(DU6,3)="fin",IFERROR(SUMPRODUCT($DL$2:$DP$2,$DL$5:$DP$5)/SUM($DL$5:$DP$5),1),IFERROR(INDEX(tRates[[k€]:[k€]],MATCH(DV6,tRates[[Key (lookup)]:[Key (lookup)]],0)),"no rate"))</f>
        <v>no rate</v>
      </c>
      <c r="DW2" s="62" t="str">
        <f>IF(LEFT(DV6,3)="fin",IFERROR(SUMPRODUCT($DL$2:$DP$2,$DL$5:$DP$5)/SUM($DL$5:$DP$5),1),IFERROR(INDEX(tRates[[k€]:[k€]],MATCH(DW6,tRates[[Key (lookup)]:[Key (lookup)]],0)),"no rate"))</f>
        <v>na</v>
      </c>
      <c r="DX2" s="62">
        <f>IF(LEFT(DW6,3)="fin",IFERROR(SUMPRODUCT($DL$2:$DP$2,$DL$5:$DP$5)/SUM($DL$5:$DP$5),1),IFERROR(INDEX(tRates[[k€]:[k€]],MATCH(DX6,tRates[[Key (lookup)]:[Key (lookup)]],0)),"no rate"))</f>
        <v>1.0249999999999999</v>
      </c>
      <c r="DY2" s="62" t="str">
        <f>IF(LEFT(DX6,3)="fin",IFERROR(SUMPRODUCT($DL$2:$DP$2,$DL$5:$DP$5)/SUM($DL$5:$DP$5),1),IFERROR(INDEX(tRates[[k€]:[k€]],MATCH(DY6,tRates[[Key (lookup)]:[Key (lookup)]],0)),"no rate"))</f>
        <v>na</v>
      </c>
      <c r="DZ2" s="62">
        <f>IF(LEFT(DY6,3)="fin",IFERROR(SUMPRODUCT($DL$2:$DP$2,$DL$5:$DP$5)/SUM($DL$5:$DP$5),1),IFERROR(INDEX(tRates[[k€]:[k€]],MATCH(DZ6,tRates[[Key (lookup)]:[Key (lookup)]],0)),"no rate"))</f>
        <v>1</v>
      </c>
      <c r="EA2" s="62">
        <f>IF(LEFT(DZ6,3)="fin",IFERROR(SUMPRODUCT($DL$2:$DP$2,$DL$5:$DP$5)/SUM($DL$5:$DP$5),1),IFERROR(INDEX(tRates[[k€]:[k€]],MATCH(EA6,tRates[[Key (lookup)]:[Key (lookup)]],0)),"no rate"))</f>
        <v>0.56899999999999995</v>
      </c>
      <c r="EB2" s="62" t="str">
        <f>IF(LEFT(EA6,3)="fin",IFERROR(SUMPRODUCT($DL$2:$DP$2,$DL$5:$DP$5)/SUM($DL$5:$DP$5),1),IFERROR(INDEX(tRates[[k€]:[k€]],MATCH(EB6,tRates[[Key (lookup)]:[Key (lookup)]],0)),"no rate"))</f>
        <v>na</v>
      </c>
      <c r="EC2" s="62">
        <f>IF(LEFT(EB6,3)="fin",IFERROR(SUMPRODUCT($DL$2:$DP$2,$DL$5:$DP$5)/SUM($DL$5:$DP$5),1),IFERROR(INDEX(tRates[[k€]:[k€]],MATCH(EC6,tRates[[Key (lookup)]:[Key (lookup)]],0)),"no rate"))</f>
        <v>0.56399999999999995</v>
      </c>
      <c r="ED2" s="62" t="str">
        <f>IF(LEFT(EC6,3)="fin",IFERROR(SUMPRODUCT($DL$2:$DP$2,$DL$5:$DP$5)/SUM($DL$5:$DP$5),1),IFERROR(INDEX(tRates[[k€]:[k€]],MATCH(ED6,tRates[[Key (lookup)]:[Key (lookup)]],0)),"no rate"))</f>
        <v>na</v>
      </c>
      <c r="EE2" s="62">
        <f>IF(LEFT(ED6,3)="fin",IFERROR(SUMPRODUCT($DL$2:$DP$2,$DL$5:$DP$5)/SUM($DL$5:$DP$5),1),IFERROR(INDEX(tRates[[k€]:[k€]],MATCH(EE6,tRates[[Key (lookup)]:[Key (lookup)]],0)),"no rate"))</f>
        <v>0.51300000000000001</v>
      </c>
      <c r="EF2" s="62" t="str">
        <f>IF(LEFT(EE6,3)="fin",IFERROR(SUMPRODUCT($DL$2:$DP$2,$DL$5:$DP$5)/SUM($DL$5:$DP$5),1),IFERROR(INDEX(tRates[[k€]:[k€]],MATCH(EF6,tRates[[Key (lookup)]:[Key (lookup)]],0)),"no rate"))</f>
        <v>na</v>
      </c>
      <c r="EG2" s="62" t="str">
        <f>IF(LEFT(EF6,3)="fin",IFERROR(SUMPRODUCT($DL$2:$DP$2,$DL$5:$DP$5)/SUM($DL$5:$DP$5),1),IFERROR(INDEX(tRates[[k€]:[k€]],MATCH(EG6,tRates[[Key (lookup)]:[Key (lookup)]],0)),"no rate"))</f>
        <v>no rate</v>
      </c>
      <c r="EH2" s="62">
        <f>IF(LEFT(EG6,3)="fin",IFERROR(SUMPRODUCT($DL$2:$DP$2,$DL$5:$DP$5)/SUM($DL$5:$DP$5),1),IFERROR(INDEX(tRates[[k€]:[k€]],MATCH(EH6,tRates[[Key (lookup)]:[Key (lookup)]],0)),"no rate"))</f>
        <v>1.0249999999999999</v>
      </c>
      <c r="EI2" s="62">
        <f>IF(LEFT(EH6,3)="fin",IFERROR(SUMPRODUCT($DL$2:$DP$2,$DL$5:$DP$5)/SUM($DL$5:$DP$5),1),IFERROR(INDEX(tRates[[k€]:[k€]],MATCH(EI6,tRates[[Key (lookup)]:[Key (lookup)]],0)),"no rate"))</f>
        <v>1.0249999999999999</v>
      </c>
      <c r="EJ2" s="62">
        <f>IF(LEFT(EI6,3)="fin",IFERROR(SUMPRODUCT($DL$2:$DP$2,$DL$5:$DP$5)/SUM($DL$5:$DP$5),1),IFERROR(INDEX(tRates[[k€]:[k€]],MATCH(EJ6,tRates[[Key (lookup)]:[Key (lookup)]],0)),"no rate"))</f>
        <v>0.71799999999999997</v>
      </c>
      <c r="EK2" s="62">
        <f>IF(LEFT(EJ6,3)="fin",IFERROR(SUMPRODUCT($DL$2:$DP$2,$DL$5:$DP$5)/SUM($DL$5:$DP$5),1),IFERROR(INDEX(tRates[[k€]:[k€]],MATCH(EK6,tRates[[Key (lookup)]:[Key (lookup)]],0)),"no rate"))</f>
        <v>0.48199999999999998</v>
      </c>
      <c r="EL2" s="62">
        <f>IF(LEFT(EK6,3)="fin",IFERROR(SUMPRODUCT($DL$2:$DP$2,$DL$5:$DP$5)/SUM($DL$5:$DP$5),1),IFERROR(INDEX(tRates[[k€]:[k€]],MATCH(EL6,tRates[[Key (lookup)]:[Key (lookup)]],0)),"no rate"))</f>
        <v>0.29499999999999998</v>
      </c>
      <c r="EM2" s="62">
        <f>IF(LEFT(EL6,3)="fin",IFERROR(SUMPRODUCT($DL$2:$DP$2,$DL$5:$DP$5)/SUM($DL$5:$DP$5),1),IFERROR(INDEX(tRates[[k€]:[k€]],MATCH(EM6,tRates[[Key (lookup)]:[Key (lookup)]],0)),"no rate"))</f>
        <v>9.4E-2</v>
      </c>
      <c r="EN2" s="62">
        <f>IF(LEFT(EM6,3)="fin",IFERROR(SUMPRODUCT($DL$2:$DP$2,$DL$5:$DP$5)/SUM($DL$5:$DP$5),1),IFERROR(INDEX(tRates[[k€]:[k€]],MATCH(EN6,tRates[[Key (lookup)]:[Key (lookup)]],0)),"no rate"))</f>
        <v>9.4E-2</v>
      </c>
      <c r="EO2" s="62">
        <f>IF(LEFT(EN6,3)="fin",IFERROR(SUMPRODUCT($DL$2:$DP$2,$DL$5:$DP$5)/SUM($DL$5:$DP$5),1),IFERROR(INDEX(tRates[[k€]:[k€]],MATCH(EO6,tRates[[Key (lookup)]:[Key (lookup)]],0)),"no rate"))</f>
        <v>0.20599999999999999</v>
      </c>
      <c r="EP2" s="62">
        <f>IF(LEFT(EO6,3)="fin",IFERROR(SUMPRODUCT($DL$2:$DP$2,$DL$5:$DP$5)/SUM($DL$5:$DP$5),1),IFERROR(INDEX(tRates[[k€]:[k€]],MATCH(EP6,tRates[[Key (lookup)]:[Key (lookup)]],0)),"no rate"))</f>
        <v>0.19500000000000001</v>
      </c>
      <c r="EQ2" s="62" t="str">
        <f>IF(LEFT(EP6,3)="fin",IFERROR(SUMPRODUCT($DL$2:$DP$2,$DL$5:$DP$5)/SUM($DL$5:$DP$5),1),IFERROR(INDEX(tRates[[k€]:[k€]],MATCH(EQ6,tRates[[Key (lookup)]:[Key (lookup)]],0)),"no rate"))</f>
        <v>no rate</v>
      </c>
      <c r="ER2" s="63"/>
      <c r="ES2" s="63"/>
      <c r="ET2" s="63"/>
      <c r="EU2" s="63"/>
      <c r="EV2" s="63"/>
      <c r="EW2" s="63"/>
      <c r="EX2" s="63"/>
      <c r="EY2" s="63"/>
      <c r="EZ2" s="63" t="s">
        <v>141</v>
      </c>
      <c r="FA2" s="63">
        <v>0.51300000000000001</v>
      </c>
      <c r="FB2" s="63">
        <v>0</v>
      </c>
      <c r="FC2" s="63">
        <v>0.51300000000000001</v>
      </c>
      <c r="FD2" s="63"/>
      <c r="FE2" s="63"/>
      <c r="FF2" s="63"/>
      <c r="FG2" s="63"/>
      <c r="FH2" s="63"/>
    </row>
    <row r="3" spans="1:172" customFormat="1" x14ac:dyDescent="0.2">
      <c r="C3" s="59" t="str" cm="1">
        <f t="array" ref="C3">"total capacity: "&amp;TEXT(SUMPRODUCT(IFERROR($P$3:$EP$3,0),(LEFT($P$6:$EP$6,1)&lt;&gt;"(")*1),"#.##")</f>
        <v>total capacity: 1706.00</v>
      </c>
      <c r="P3" s="68" cm="1">
        <f t="array" ref="P3">_xlfn.IFS(P2="no rate","",ISTEXT(P2),SUM(Q3:INDEX(Q3:$ES$3,,_xlfn.AGGREGATE(15,6,(COLUMN(Q3:$ES$3)-COLUMN()-1)/(LEFT(Q6:$ES$6,1)&lt;&gt;"("),1))),1,INDEX('Capacity'!$B$2:$ED$2,MATCH(P6,'Capacity'!$3:$3,0))*IFERROR(INDEX(tRates[[Yearly WDs]:[Yearly WDs]],MATCH(P6,tRates[[Key (lookup)]:[Key (lookup)]],0)),200))</f>
        <v>170600</v>
      </c>
      <c r="Q3" s="68" cm="1">
        <f t="array" ref="Q3">_xlfn.IFS(Q2="no rate","",ISTEXT(Q2),SUM(R3:INDEX(R3:$ES$3,,_xlfn.AGGREGATE(15,6,(COLUMN(R3:$ES$3)-COLUMN()-1)/(LEFT(R6:$ES$6,1)&lt;&gt;"("),1))),1,INDEX('Capacity'!$B$2:$ED$2,MATCH(Q6,'Capacity'!$3:$3,0))*IFERROR(INDEX(tRates[[Yearly WDs]:[Yearly WDs]],MATCH(Q6,tRates[[Key (lookup)]:[Key (lookup)]],0)),200))</f>
        <v>5600</v>
      </c>
      <c r="R3" s="68" cm="1">
        <f t="array" ref="R3">_xlfn.IFS(R2="no rate","",ISTEXT(R2),SUM(S3:INDEX(S3:$ES$3,,_xlfn.AGGREGATE(15,6,(COLUMN(S3:$ES$3)-COLUMN()-1)/(LEFT(S6:$ES$6,1)&lt;&gt;"("),1))),1,INDEX('Capacity'!$B$2:$ED$2,MATCH(R6,'Capacity'!$3:$3,0))*IFERROR(INDEX(tRates[[Yearly WDs]:[Yearly WDs]],MATCH(R6,tRates[[Key (lookup)]:[Key (lookup)]],0)),200))</f>
        <v>19200</v>
      </c>
      <c r="S3" s="68" cm="1">
        <f t="array" ref="S3">_xlfn.IFS(S2="no rate","",ISTEXT(S2),SUM(T3:INDEX(T3:$ES$3,,_xlfn.AGGREGATE(15,6,(COLUMN(T3:$ES$3)-COLUMN()-1)/(LEFT(T6:$ES$6,1)&lt;&gt;"("),1))),1,INDEX('Capacity'!$B$2:$ED$2,MATCH(S6,'Capacity'!$3:$3,0))*IFERROR(INDEX(tRates[[Yearly WDs]:[Yearly WDs]],MATCH(S6,tRates[[Key (lookup)]:[Key (lookup)]],0)),200))</f>
        <v>2800</v>
      </c>
      <c r="T3" s="68" cm="1">
        <f t="array" ref="T3">_xlfn.IFS(T2="no rate","",ISTEXT(T2),SUM(U3:INDEX(U3:$ES$3,,_xlfn.AGGREGATE(15,6,(COLUMN(U3:$ES$3)-COLUMN()-1)/(LEFT(U6:$ES$6,1)&lt;&gt;"("),1))),1,INDEX('Capacity'!$B$2:$ED$2,MATCH(T6,'Capacity'!$3:$3,0))*IFERROR(INDEX(tRates[[Yearly WDs]:[Yearly WDs]],MATCH(T6,tRates[[Key (lookup)]:[Key (lookup)]],0)),200))</f>
        <v>0</v>
      </c>
      <c r="U3" s="68" cm="1">
        <f t="array" ref="U3">_xlfn.IFS(U2="no rate","",ISTEXT(U2),SUM(V3:INDEX(V3:$ES$3,,_xlfn.AGGREGATE(15,6,(COLUMN(V3:$ES$3)-COLUMN()-1)/(LEFT(V6:$ES$6,1)&lt;&gt;"("),1))),1,INDEX('Capacity'!$B$2:$ED$2,MATCH(U6,'Capacity'!$3:$3,0))*IFERROR(INDEX(tRates[[Yearly WDs]:[Yearly WDs]],MATCH(U6,tRates[[Key (lookup)]:[Key (lookup)]],0)),200))</f>
        <v>24600</v>
      </c>
      <c r="V3" s="68" cm="1">
        <f t="array" ref="V3">_xlfn.IFS(V2="no rate","",ISTEXT(V2),SUM(W3:INDEX(W3:$ES$3,,_xlfn.AGGREGATE(15,6,(COLUMN(W3:$ES$3)-COLUMN()-1)/(LEFT(W6:$ES$6,1)&lt;&gt;"("),1))),1,INDEX('Capacity'!$B$2:$ED$2,MATCH(V6,'Capacity'!$3:$3,0))*IFERROR(INDEX(tRates[[Yearly WDs]:[Yearly WDs]],MATCH(V6,tRates[[Key (lookup)]:[Key (lookup)]],0)),200))</f>
        <v>0</v>
      </c>
      <c r="W3" s="68" cm="1">
        <f t="array" ref="W3">_xlfn.IFS(W2="no rate","",ISTEXT(W2),SUM(X3:INDEX(X3:$ES$3,,_xlfn.AGGREGATE(15,6,(COLUMN(X3:$ES$3)-COLUMN()-1)/(LEFT(X6:$ES$6,1)&lt;&gt;"("),1))),1,INDEX('Capacity'!$B$2:$ED$2,MATCH(W6,'Capacity'!$3:$3,0))*IFERROR(INDEX(tRates[[Yearly WDs]:[Yearly WDs]],MATCH(W6,tRates[[Key (lookup)]:[Key (lookup)]],0)),200))</f>
        <v>8200</v>
      </c>
      <c r="X3" s="68" cm="1">
        <f t="array" ref="X3">_xlfn.IFS(X2="no rate","",ISTEXT(X2),SUM(Y3:INDEX(Y3:$ES$3,,_xlfn.AGGREGATE(15,6,(COLUMN(Y3:$ES$3)-COLUMN()-1)/(LEFT(Y6:$ES$6,1)&lt;&gt;"("),1))),1,INDEX('Capacity'!$B$2:$ED$2,MATCH(X6,'Capacity'!$3:$3,0))*IFERROR(INDEX(tRates[[Yearly WDs]:[Yearly WDs]],MATCH(X6,tRates[[Key (lookup)]:[Key (lookup)]],0)),200))</f>
        <v>5600</v>
      </c>
      <c r="Y3" s="68" cm="1">
        <f t="array" ref="Y3">_xlfn.IFS(Y2="no rate","",ISTEXT(Y2),SUM(Z3:INDEX(Z3:$ES$3,,_xlfn.AGGREGATE(15,6,(COLUMN(Z3:$ES$3)-COLUMN()-1)/(LEFT(Z6:$ES$6,1)&lt;&gt;"("),1))),1,INDEX('Capacity'!$B$2:$ED$2,MATCH(Y6,'Capacity'!$3:$3,0))*IFERROR(INDEX(tRates[[Yearly WDs]:[Yearly WDs]],MATCH(Y6,tRates[[Key (lookup)]:[Key (lookup)]],0)),200))</f>
        <v>0</v>
      </c>
      <c r="Z3" s="68" cm="1">
        <f t="array" ref="Z3">_xlfn.IFS(Z2="no rate","",ISTEXT(Z2),SUM(AA3:INDEX(AA3:$ES$3,,_xlfn.AGGREGATE(15,6,(COLUMN(AA3:$ES$3)-COLUMN()-1)/(LEFT(AA6:$ES$6,1)&lt;&gt;"("),1))),1,INDEX('Capacity'!$B$2:$ED$2,MATCH(Z6,'Capacity'!$3:$3,0))*IFERROR(INDEX(tRates[[Yearly WDs]:[Yearly WDs]],MATCH(Z6,tRates[[Key (lookup)]:[Key (lookup)]],0)),200))</f>
        <v>0</v>
      </c>
      <c r="AA3" s="68" cm="1">
        <f t="array" ref="AA3">_xlfn.IFS(AA2="no rate","",ISTEXT(AA2),SUM(AB3:INDEX(AB3:$ES$3,,_xlfn.AGGREGATE(15,6,(COLUMN(AB3:$ES$3)-COLUMN()-1)/(LEFT(AB6:$ES$6,1)&lt;&gt;"("),1))),1,INDEX('Capacity'!$B$2:$ED$2,MATCH(AA6,'Capacity'!$3:$3,0))*IFERROR(INDEX(tRates[[Yearly WDs]:[Yearly WDs]],MATCH(AA6,tRates[[Key (lookup)]:[Key (lookup)]],0)),200))</f>
        <v>0</v>
      </c>
      <c r="AB3" s="68" cm="1">
        <f t="array" ref="AB3">_xlfn.IFS(AB2="no rate","",ISTEXT(AB2),SUM(AC3:INDEX(AC3:$ES$3,,_xlfn.AGGREGATE(15,6,(COLUMN(AC3:$ES$3)-COLUMN()-1)/(LEFT(AC6:$ES$6,1)&lt;&gt;"("),1))),1,INDEX('Capacity'!$B$2:$ED$2,MATCH(AB6,'Capacity'!$3:$3,0))*IFERROR(INDEX(tRates[[Yearly WDs]:[Yearly WDs]],MATCH(AB6,tRates[[Key (lookup)]:[Key (lookup)]],0)),200))</f>
        <v>10600</v>
      </c>
      <c r="AC3" s="68" cm="1">
        <f t="array" ref="AC3">_xlfn.IFS(AC2="no rate","",ISTEXT(AC2),SUM(AD3:INDEX(AD3:$ES$3,,_xlfn.AGGREGATE(15,6,(COLUMN(AD3:$ES$3)-COLUMN()-1)/(LEFT(AD6:$ES$6,1)&lt;&gt;"("),1))),1,INDEX('Capacity'!$B$2:$ED$2,MATCH(AC6,'Capacity'!$3:$3,0))*IFERROR(INDEX(tRates[[Yearly WDs]:[Yearly WDs]],MATCH(AC6,tRates[[Key (lookup)]:[Key (lookup)]],0)),200))</f>
        <v>0</v>
      </c>
      <c r="AD3" s="68" cm="1">
        <f t="array" ref="AD3">_xlfn.IFS(AD2="no rate","",ISTEXT(AD2),SUM(AE3:INDEX(AE3:$ES$3,,_xlfn.AGGREGATE(15,6,(COLUMN(AE3:$ES$3)-COLUMN()-1)/(LEFT(AE6:$ES$6,1)&lt;&gt;"("),1))),1,INDEX('Capacity'!$B$2:$ED$2,MATCH(AD6,'Capacity'!$3:$3,0))*IFERROR(INDEX(tRates[[Yearly WDs]:[Yearly WDs]],MATCH(AD6,tRates[[Key (lookup)]:[Key (lookup)]],0)),200))</f>
        <v>5800</v>
      </c>
      <c r="AE3" s="68" cm="1">
        <f t="array" ref="AE3">_xlfn.IFS(AE2="no rate","",ISTEXT(AE2),SUM(AF3:INDEX(AF3:$ES$3,,_xlfn.AGGREGATE(15,6,(COLUMN(AF3:$ES$3)-COLUMN()-1)/(LEFT(AF6:$ES$6,1)&lt;&gt;"("),1))),1,INDEX('Capacity'!$B$2:$ED$2,MATCH(AE6,'Capacity'!$3:$3,0))*IFERROR(INDEX(tRates[[Yearly WDs]:[Yearly WDs]],MATCH(AE6,tRates[[Key (lookup)]:[Key (lookup)]],0)),200))</f>
        <v>35400</v>
      </c>
      <c r="AF3" s="68" cm="1">
        <f t="array" ref="AF3">_xlfn.IFS(AF2="no rate","",ISTEXT(AF2),SUM(AG3:INDEX(AG3:$ES$3,,_xlfn.AGGREGATE(15,6,(COLUMN(AG3:$ES$3)-COLUMN()-1)/(LEFT(AG6:$ES$6,1)&lt;&gt;"("),1))),1,INDEX('Capacity'!$B$2:$ED$2,MATCH(AF6,'Capacity'!$3:$3,0))*IFERROR(INDEX(tRates[[Yearly WDs]:[Yearly WDs]],MATCH(AF6,tRates[[Key (lookup)]:[Key (lookup)]],0)),200))</f>
        <v>2400</v>
      </c>
      <c r="AG3" s="68" cm="1">
        <f t="array" ref="AG3">_xlfn.IFS(AG2="no rate","",ISTEXT(AG2),SUM(AH3:INDEX(AH3:$ES$3,,_xlfn.AGGREGATE(15,6,(COLUMN(AH3:$ES$3)-COLUMN()-1)/(LEFT(AH6:$ES$6,1)&lt;&gt;"("),1))),1,INDEX('Capacity'!$B$2:$ED$2,MATCH(AG6,'Capacity'!$3:$3,0))*IFERROR(INDEX(tRates[[Yearly WDs]:[Yearly WDs]],MATCH(AG6,tRates[[Key (lookup)]:[Key (lookup)]],0)),200))</f>
        <v>9400</v>
      </c>
      <c r="AH3" s="68" cm="1">
        <f t="array" ref="AH3">_xlfn.IFS(AH2="no rate","",ISTEXT(AH2),SUM(AI3:INDEX(AI3:$ES$3,,_xlfn.AGGREGATE(15,6,(COLUMN(AI3:$ES$3)-COLUMN()-1)/(LEFT(AI6:$ES$6,1)&lt;&gt;"("),1))),1,INDEX('Capacity'!$B$2:$ED$2,MATCH(AH6,'Capacity'!$3:$3,0))*IFERROR(INDEX(tRates[[Yearly WDs]:[Yearly WDs]],MATCH(AH6,tRates[[Key (lookup)]:[Key (lookup)]],0)),200))</f>
        <v>3200</v>
      </c>
      <c r="AI3" s="68" cm="1">
        <f t="array" ref="AI3">_xlfn.IFS(AI2="no rate","",ISTEXT(AI2),SUM(AJ3:INDEX(AJ3:$ES$3,,_xlfn.AGGREGATE(15,6,(COLUMN(AJ3:$ES$3)-COLUMN()-1)/(LEFT(AJ6:$ES$6,1)&lt;&gt;"("),1))),1,INDEX('Capacity'!$B$2:$ED$2,MATCH(AI6,'Capacity'!$3:$3,0))*IFERROR(INDEX(tRates[[Yearly WDs]:[Yearly WDs]],MATCH(AI6,tRates[[Key (lookup)]:[Key (lookup)]],0)),200))</f>
        <v>800</v>
      </c>
      <c r="AJ3" s="68" cm="1">
        <f t="array" ref="AJ3">_xlfn.IFS(AJ2="no rate","",ISTEXT(AJ2),SUM(AK3:INDEX(AK3:$ES$3,,_xlfn.AGGREGATE(15,6,(COLUMN(AK3:$ES$3)-COLUMN()-1)/(LEFT(AK6:$ES$6,1)&lt;&gt;"("),1))),1,INDEX('Capacity'!$B$2:$ED$2,MATCH(AJ6,'Capacity'!$3:$3,0))*IFERROR(INDEX(tRates[[Yearly WDs]:[Yearly WDs]],MATCH(AJ6,tRates[[Key (lookup)]:[Key (lookup)]],0)),200))</f>
        <v>3800</v>
      </c>
      <c r="AK3" s="68" cm="1">
        <f t="array" ref="AK3">_xlfn.IFS(AK2="no rate","",ISTEXT(AK2),SUM(AL3:INDEX(AL3:$ES$3,,_xlfn.AGGREGATE(15,6,(COLUMN(AL3:$ES$3)-COLUMN()-1)/(LEFT(AL6:$ES$6,1)&lt;&gt;"("),1))),1,INDEX('Capacity'!$B$2:$ED$2,MATCH(AK6,'Capacity'!$3:$3,0))*IFERROR(INDEX(tRates[[Yearly WDs]:[Yearly WDs]],MATCH(AK6,tRates[[Key (lookup)]:[Key (lookup)]],0)),200))</f>
        <v>4800</v>
      </c>
      <c r="AL3" s="68" cm="1">
        <f t="array" ref="AL3">_xlfn.IFS(AL2="no rate","",ISTEXT(AL2),SUM(AM3:INDEX(AM3:$ES$3,,_xlfn.AGGREGATE(15,6,(COLUMN(AM3:$ES$3)-COLUMN()-1)/(LEFT(AM6:$ES$6,1)&lt;&gt;"("),1))),1,INDEX('Capacity'!$B$2:$ED$2,MATCH(AL6,'Capacity'!$3:$3,0))*IFERROR(INDEX(tRates[[Yearly WDs]:[Yearly WDs]],MATCH(AL6,tRates[[Key (lookup)]:[Key (lookup)]],0)),200))</f>
        <v>20200</v>
      </c>
      <c r="AM3" s="68" cm="1">
        <f t="array" ref="AM3">_xlfn.IFS(AM2="no rate","",ISTEXT(AM2),SUM(AN3:INDEX(AN3:$ES$3,,_xlfn.AGGREGATE(15,6,(COLUMN(AN3:$ES$3)-COLUMN()-1)/(LEFT(AN6:$ES$6,1)&lt;&gt;"("),1))),1,INDEX('Capacity'!$B$2:$ED$2,MATCH(AM6,'Capacity'!$3:$3,0))*IFERROR(INDEX(tRates[[Yearly WDs]:[Yearly WDs]],MATCH(AM6,tRates[[Key (lookup)]:[Key (lookup)]],0)),200))</f>
        <v>8200</v>
      </c>
      <c r="AN3" s="68" cm="1">
        <f t="array" ref="AN3">_xlfn.IFS(AN2="no rate","",ISTEXT(AN2),SUM(AO3:INDEX(AO3:$ES$3,,_xlfn.AGGREGATE(15,6,(COLUMN(AO3:$ES$3)-COLUMN()-1)/(LEFT(AO6:$ES$6,1)&lt;&gt;"("),1))),1,INDEX('Capacity'!$B$2:$ED$2,MATCH(AN6,'Capacity'!$3:$3,0))*IFERROR(INDEX(tRates[[Yearly WDs]:[Yearly WDs]],MATCH(AN6,tRates[[Key (lookup)]:[Key (lookup)]],0)),200))</f>
        <v>0</v>
      </c>
      <c r="AO3" s="68" cm="1">
        <f t="array" ref="AO3">_xlfn.IFS(AO2="no rate","",ISTEXT(AO2),SUM(AP3:INDEX(AP3:$ES$3,,_xlfn.AGGREGATE(15,6,(COLUMN(AP3:$ES$3)-COLUMN()-1)/(LEFT(AP6:$ES$6,1)&lt;&gt;"("),1))),1,INDEX('Capacity'!$B$2:$ED$2,MATCH(AO6,'Capacity'!$3:$3,0))*IFERROR(INDEX(tRates[[Yearly WDs]:[Yearly WDs]],MATCH(AO6,tRates[[Key (lookup)]:[Key (lookup)]],0)),200))</f>
        <v>0</v>
      </c>
      <c r="AP3" s="68" cm="1">
        <f t="array" ref="AP3">_xlfn.IFS(AP2="no rate","",ISTEXT(AP2),SUM(AQ3:INDEX(AQ3:$ES$3,,_xlfn.AGGREGATE(15,6,(COLUMN(AQ3:$ES$3)-COLUMN()-1)/(LEFT(AQ6:$ES$6,1)&lt;&gt;"("),1))),1,INDEX('Capacity'!$B$2:$ED$2,MATCH(AP6,'Capacity'!$3:$3,0))*IFERROR(INDEX(tRates[[Yearly WDs]:[Yearly WDs]],MATCH(AP6,tRates[[Key (lookup)]:[Key (lookup)]],0)),200))</f>
        <v>0</v>
      </c>
      <c r="AQ3" s="68" cm="1">
        <f t="array" ref="AQ3">_xlfn.IFS(AQ2="no rate","",ISTEXT(AQ2),SUM(AR3:INDEX(AR3:$ES$3,,_xlfn.AGGREGATE(15,6,(COLUMN(AR3:$ES$3)-COLUMN()-1)/(LEFT(AR6:$ES$6,1)&lt;&gt;"("),1))),1,INDEX('Capacity'!$B$2:$ED$2,MATCH(AQ6,'Capacity'!$3:$3,0))*IFERROR(INDEX(tRates[[Yearly WDs]:[Yearly WDs]],MATCH(AQ6,tRates[[Key (lookup)]:[Key (lookup)]],0)),200))</f>
        <v>0</v>
      </c>
      <c r="AR3" s="68" cm="1">
        <f t="array" ref="AR3">_xlfn.IFS(AR2="no rate","",ISTEXT(AR2),SUM(AS3:INDEX(AS3:$ES$3,,_xlfn.AGGREGATE(15,6,(COLUMN(AS3:$ES$3)-COLUMN()-1)/(LEFT(AS6:$ES$6,1)&lt;&gt;"("),1))),1,INDEX('Capacity'!$B$2:$ED$2,MATCH(AR6,'Capacity'!$3:$3,0))*IFERROR(INDEX(tRates[[Yearly WDs]:[Yearly WDs]],MATCH(AR6,tRates[[Key (lookup)]:[Key (lookup)]],0)),200))</f>
        <v>0</v>
      </c>
      <c r="AS3" s="68" cm="1">
        <f t="array" ref="AS3">_xlfn.IFS(AS2="no rate","",ISTEXT(AS2),SUM(AT3:INDEX(AT3:$ES$3,,_xlfn.AGGREGATE(15,6,(COLUMN(AT3:$ES$3)-COLUMN()-1)/(LEFT(AT6:$ES$6,1)&lt;&gt;"("),1))),1,INDEX('Capacity'!$B$2:$ED$2,MATCH(AS6,'Capacity'!$3:$3,0))*IFERROR(INDEX(tRates[[Yearly WDs]:[Yearly WDs]],MATCH(AS6,tRates[[Key (lookup)]:[Key (lookup)]],0)),200))</f>
        <v>0</v>
      </c>
      <c r="AT3" s="68" cm="1">
        <f t="array" ref="AT3">_xlfn.IFS(AT2="no rate","",ISTEXT(AT2),SUM(AU3:INDEX(AU3:$ES$3,,_xlfn.AGGREGATE(15,6,(COLUMN(AU3:$ES$3)-COLUMN()-1)/(LEFT(AU6:$ES$6,1)&lt;&gt;"("),1))),1,INDEX('Capacity'!$B$2:$ED$2,MATCH(AT6,'Capacity'!$3:$3,0))*IFERROR(INDEX(tRates[[Yearly WDs]:[Yearly WDs]],MATCH(AT6,tRates[[Key (lookup)]:[Key (lookup)]],0)),200))</f>
        <v>0</v>
      </c>
      <c r="AU3" s="68" cm="1">
        <f t="array" ref="AU3">_xlfn.IFS(AU2="no rate","",ISTEXT(AU2),SUM(AV3:INDEX(AV3:$ES$3,,_xlfn.AGGREGATE(15,6,(COLUMN(AV3:$ES$3)-COLUMN()-1)/(LEFT(AV6:$ES$6,1)&lt;&gt;"("),1))),1,INDEX('Capacity'!$B$2:$ED$2,MATCH(AU6,'Capacity'!$3:$3,0))*IFERROR(INDEX(tRates[[Yearly WDs]:[Yearly WDs]],MATCH(AU6,tRates[[Key (lookup)]:[Key (lookup)]],0)),200))</f>
        <v>0</v>
      </c>
      <c r="AV3" s="68" cm="1">
        <f t="array" ref="AV3">_xlfn.IFS(AV2="no rate","",ISTEXT(AV2),SUM(AW3:INDEX(AW3:$ES$3,,_xlfn.AGGREGATE(15,6,(COLUMN(AW3:$ES$3)-COLUMN()-1)/(LEFT(AW6:$ES$6,1)&lt;&gt;"("),1))),1,INDEX('Capacity'!$B$2:$ED$2,MATCH(AV6,'Capacity'!$3:$3,0))*IFERROR(INDEX(tRates[[Yearly WDs]:[Yearly WDs]],MATCH(AV6,tRates[[Key (lookup)]:[Key (lookup)]],0)),200))</f>
        <v>0</v>
      </c>
      <c r="AW3" s="68" cm="1">
        <f t="array" ref="AW3">_xlfn.IFS(AW2="no rate","",ISTEXT(AW2),SUM(AX3:INDEX(AX3:$ES$3,,_xlfn.AGGREGATE(15,6,(COLUMN(AX3:$ES$3)-COLUMN()-1)/(LEFT(AX6:$ES$6,1)&lt;&gt;"("),1))),1,INDEX('Capacity'!$B$2:$ED$2,MATCH(AW6,'Capacity'!$3:$3,0))*IFERROR(INDEX(tRates[[Yearly WDs]:[Yearly WDs]],MATCH(AW6,tRates[[Key (lookup)]:[Key (lookup)]],0)),200))</f>
        <v>0</v>
      </c>
      <c r="AX3" s="68" cm="1">
        <f t="array" ref="AX3">_xlfn.IFS(AX2="no rate","",ISTEXT(AX2),SUM(AY3:INDEX(AY3:$ES$3,,_xlfn.AGGREGATE(15,6,(COLUMN(AY3:$ES$3)-COLUMN()-1)/(LEFT(AY6:$ES$6,1)&lt;&gt;"("),1))),1,INDEX('Capacity'!$B$2:$ED$2,MATCH(AX6,'Capacity'!$3:$3,0))*IFERROR(INDEX(tRates[[Yearly WDs]:[Yearly WDs]],MATCH(AX6,tRates[[Key (lookup)]:[Key (lookup)]],0)),200))</f>
        <v>0</v>
      </c>
      <c r="AY3" s="68" cm="1">
        <f t="array" ref="AY3">_xlfn.IFS(AY2="no rate","",ISTEXT(AY2),SUM(AZ3:INDEX(AZ3:$ES$3,,_xlfn.AGGREGATE(15,6,(COLUMN(AZ3:$ES$3)-COLUMN()-1)/(LEFT(AZ6:$ES$6,1)&lt;&gt;"("),1))),1,INDEX('Capacity'!$B$2:$ED$2,MATCH(AY6,'Capacity'!$3:$3,0))*IFERROR(INDEX(tRates[[Yearly WDs]:[Yearly WDs]],MATCH(AY6,tRates[[Key (lookup)]:[Key (lookup)]],0)),200))</f>
        <v>0</v>
      </c>
      <c r="AZ3" s="68" cm="1">
        <f t="array" ref="AZ3">_xlfn.IFS(AZ2="no rate","",ISTEXT(AZ2),SUM(BA3:INDEX(BA3:$ES$3,,_xlfn.AGGREGATE(15,6,(COLUMN(BA3:$ES$3)-COLUMN()-1)/(LEFT(BA6:$ES$6,1)&lt;&gt;"("),1))),1,INDEX('Capacity'!$B$2:$ED$2,MATCH(AZ6,'Capacity'!$3:$3,0))*IFERROR(INDEX(tRates[[Yearly WDs]:[Yearly WDs]],MATCH(AZ6,tRates[[Key (lookup)]:[Key (lookup)]],0)),200))</f>
        <v>0</v>
      </c>
      <c r="BA3" s="68" cm="1">
        <f t="array" ref="BA3">_xlfn.IFS(BA2="no rate","",ISTEXT(BA2),SUM(BB3:INDEX(BB3:$ES$3,,_xlfn.AGGREGATE(15,6,(COLUMN(BB3:$ES$3)-COLUMN()-1)/(LEFT(BB6:$ES$6,1)&lt;&gt;"("),1))),1,INDEX('Capacity'!$B$2:$ED$2,MATCH(BA6,'Capacity'!$3:$3,0))*IFERROR(INDEX(tRates[[Yearly WDs]:[Yearly WDs]],MATCH(BA6,tRates[[Key (lookup)]:[Key (lookup)]],0)),200))</f>
        <v>0</v>
      </c>
      <c r="BB3" s="68" cm="1">
        <f t="array" ref="BB3">_xlfn.IFS(BB2="no rate","",ISTEXT(BB2),SUM(BC3:INDEX(BC3:$ES$3,,_xlfn.AGGREGATE(15,6,(COLUMN(BC3:$ES$3)-COLUMN()-1)/(LEFT(BC6:$ES$6,1)&lt;&gt;"("),1))),1,INDEX('Capacity'!$B$2:$ED$2,MATCH(BB6,'Capacity'!$3:$3,0))*IFERROR(INDEX(tRates[[Yearly WDs]:[Yearly WDs]],MATCH(BB6,tRates[[Key (lookup)]:[Key (lookup)]],0)),200))</f>
        <v>0</v>
      </c>
      <c r="BC3" s="68" cm="1">
        <f t="array" ref="BC3">_xlfn.IFS(BC2="no rate","",ISTEXT(BC2),SUM(BD3:INDEX(BD3:$ES$3,,_xlfn.AGGREGATE(15,6,(COLUMN(BD3:$ES$3)-COLUMN()-1)/(LEFT(BD6:$ES$6,1)&lt;&gt;"("),1))),1,INDEX('Capacity'!$B$2:$ED$2,MATCH(BC6,'Capacity'!$3:$3,0))*IFERROR(INDEX(tRates[[Yearly WDs]:[Yearly WDs]],MATCH(BC6,tRates[[Key (lookup)]:[Key (lookup)]],0)),200))</f>
        <v>0</v>
      </c>
      <c r="BD3" s="68" cm="1">
        <f t="array" ref="BD3">_xlfn.IFS(BD2="no rate","",ISTEXT(BD2),SUM(BF3:INDEX(BF3:$ES$3,,_xlfn.AGGREGATE(15,6,(COLUMN(BF3:$ES$3)-COLUMN()-1)/(LEFT(BF6:$ES$6,1)&lt;&gt;"("),1))),1,INDEX('Capacity'!$B$2:$ED$2,MATCH(BD6,'Capacity'!$3:$3,0))*IFERROR(INDEX(tRates[[Yearly WDs]:[Yearly WDs]],MATCH(BD6,tRates[[Key (lookup)]:[Key (lookup)]],0)),200))</f>
        <v>0</v>
      </c>
      <c r="BE3" s="68" cm="1">
        <f t="array" ref="BE3">_xlfn.IFS(BE2="no rate","",ISTEXT(BE2),SUM(BG3:INDEX(BG3:$ES$3,,_xlfn.AGGREGATE(15,6,(COLUMN(BG3:$ES$3)-COLUMN()-1)/(LEFT(BG6:$ES$6,1)&lt;&gt;"("),1))),1,INDEX('Capacity'!$B$2:$ED$2,MATCH(BE6,'Capacity'!$3:$3,0))*IFERROR(INDEX(tRates[[Yearly WDs]:[Yearly WDs]],MATCH(BE6,tRates[[Key (lookup)]:[Key (lookup)]],0)),200))</f>
        <v>0</v>
      </c>
      <c r="BF3" s="68" cm="1">
        <f t="array" ref="BF3">_xlfn.IFS(BF2="no rate","",ISTEXT(BF2),SUM(BH3:INDEX(BH3:$ES$3,,_xlfn.AGGREGATE(15,6,(COLUMN(BH3:$ES$3)-COLUMN()-1)/(LEFT(BH6:$ES$6,1)&lt;&gt;"("),1))),1,INDEX('Capacity'!$B$2:$ED$2,MATCH(BF6,'Capacity'!$3:$3,0))*IFERROR(INDEX(tRates[[Yearly WDs]:[Yearly WDs]],MATCH(BF6,tRates[[Key (lookup)]:[Key (lookup)]],0)),200))</f>
        <v>0</v>
      </c>
      <c r="BG3" s="68" cm="1">
        <f t="array" ref="BG3">_xlfn.IFS(BG2="no rate","",ISTEXT(BG2),SUM(BI3:INDEX(BI3:$ES$3,,_xlfn.AGGREGATE(15,6,(COLUMN(BI3:$ES$3)-COLUMN()-1)/(LEFT(BI6:$ES$6,1)&lt;&gt;"("),1))),1,INDEX('Capacity'!$B$2:$ED$2,MATCH(BG6,'Capacity'!$3:$3,0))*IFERROR(INDEX(tRates[[Yearly WDs]:[Yearly WDs]],MATCH(BG6,tRates[[Key (lookup)]:[Key (lookup)]],0)),200))</f>
        <v>0</v>
      </c>
      <c r="BH3" s="68" cm="1">
        <f t="array" ref="BH3">_xlfn.IFS(BH2="no rate","",ISTEXT(BH2),SUM(BI3:INDEX(BI3:$ES$3,,_xlfn.AGGREGATE(15,6,(COLUMN(BI3:$ES$3)-COLUMN()-1)/(LEFT(BI6:$ES$6,1)&lt;&gt;"("),1))),1,INDEX('Capacity'!$B$2:$ED$2,MATCH(BH6,'Capacity'!$3:$3,0))*IFERROR(INDEX(tRates[[Yearly WDs]:[Yearly WDs]],MATCH(BH6,tRates[[Key (lookup)]:[Key (lookup)]],0)),200))</f>
        <v>0</v>
      </c>
      <c r="BI3" s="68" cm="1">
        <f t="array" ref="BI3">_xlfn.IFS(BI2="no rate","",ISTEXT(BI2),SUM(BJ3:INDEX(BJ3:$ES$3,,_xlfn.AGGREGATE(15,6,(COLUMN(BJ3:$ES$3)-COLUMN()-1)/(LEFT(BJ6:$ES$6,1)&lt;&gt;"("),1))),1,INDEX('Capacity'!$B$2:$ED$2,MATCH(BI6,'Capacity'!$3:$3,0))*IFERROR(INDEX(tRates[[Yearly WDs]:[Yearly WDs]],MATCH(BI6,tRates[[Key (lookup)]:[Key (lookup)]],0)),200))</f>
        <v>0</v>
      </c>
      <c r="BJ3" s="68" cm="1">
        <f t="array" ref="BJ3">_xlfn.IFS(BJ2="no rate","",ISTEXT(BJ2),SUM(BK3:INDEX(BK3:$ES$3,,_xlfn.AGGREGATE(15,6,(COLUMN(BK3:$ES$3)-COLUMN()-1)/(LEFT(BK6:$ES$6,1)&lt;&gt;"("),1))),1,INDEX('Capacity'!$B$2:$ED$2,MATCH(BJ6,'Capacity'!$3:$3,0))*IFERROR(INDEX(tRates[[Yearly WDs]:[Yearly WDs]],MATCH(BJ6,tRates[[Key (lookup)]:[Key (lookup)]],0)),200))</f>
        <v>0</v>
      </c>
      <c r="BK3" s="68" cm="1">
        <f t="array" ref="BK3">_xlfn.IFS(BK2="no rate","",ISTEXT(BK2),SUM(BO3:INDEX(BO3:$ES$3,,_xlfn.AGGREGATE(15,6,(COLUMN(BO3:$ES$3)-COLUMN()-1)/(LEFT(BO6:$ES$6,1)&lt;&gt;"("),1))),1,INDEX('Capacity'!$B$2:$ED$2,MATCH(BK6,'Capacity'!$3:$3,0))*IFERROR(INDEX(tRates[[Yearly WDs]:[Yearly WDs]],MATCH(BK6,tRates[[Key (lookup)]:[Key (lookup)]],0)),200))</f>
        <v>0</v>
      </c>
      <c r="BL3" s="68" cm="1">
        <f t="array" ref="BL3">_xlfn.IFS(BL2="no rate","",ISTEXT(BL2),SUM(BP3:INDEX(BP3:$ES$3,,_xlfn.AGGREGATE(15,6,(COLUMN(BP3:$ES$3)-COLUMN()-1)/(LEFT(BP6:$ES$6,1)&lt;&gt;"("),1))),1,INDEX('Capacity'!$B$2:$ED$2,MATCH(BL6,'Capacity'!$3:$3,0))*IFERROR(INDEX(tRates[[Yearly WDs]:[Yearly WDs]],MATCH(BL6,tRates[[Key (lookup)]:[Key (lookup)]],0)),200))</f>
        <v>0</v>
      </c>
      <c r="BM3" s="68" cm="1">
        <f t="array" ref="BM3">_xlfn.IFS(BM2="no rate","",ISTEXT(BM2),SUM(BQ3:INDEX(BQ3:$ES$3,,_xlfn.AGGREGATE(15,6,(COLUMN(BQ3:$ES$3)-COLUMN()-1)/(LEFT(BQ6:$ES$6,1)&lt;&gt;"("),1))),1,INDEX('Capacity'!$B$2:$ED$2,MATCH(BM6,'Capacity'!$3:$3,0))*IFERROR(INDEX(tRates[[Yearly WDs]:[Yearly WDs]],MATCH(BM6,tRates[[Key (lookup)]:[Key (lookup)]],0)),200))</f>
        <v>0</v>
      </c>
      <c r="BN3" s="68" cm="1">
        <f t="array" ref="BN3">_xlfn.IFS(BN2="no rate","",ISTEXT(BN2),SUM(BR3:INDEX(BR3:$ES$3,,_xlfn.AGGREGATE(15,6,(COLUMN(BR3:$ES$3)-COLUMN()-1)/(LEFT(BR6:$ES$6,1)&lt;&gt;"("),1))),1,INDEX('Capacity'!$B$2:$ED$2,MATCH(BN6,'Capacity'!$3:$3,0))*IFERROR(INDEX(tRates[[Yearly WDs]:[Yearly WDs]],MATCH(BN6,tRates[[Key (lookup)]:[Key (lookup)]],0)),200))</f>
        <v>0</v>
      </c>
      <c r="BO3" s="68" cm="1">
        <f t="array" ref="BO3">_xlfn.IFS(BO2="no rate","",ISTEXT(BO2),SUM(BS3:INDEX(BS3:$ES$3,,_xlfn.AGGREGATE(15,6,(COLUMN(BS3:$ES$3)-COLUMN()-1)/(LEFT(BS6:$ES$6,1)&lt;&gt;"("),1))),1,INDEX('Capacity'!$B$2:$ED$2,MATCH(BO6,'Capacity'!$3:$3,0))*IFERROR(INDEX(tRates[[Yearly WDs]:[Yearly WDs]],MATCH(BO6,tRates[[Key (lookup)]:[Key (lookup)]],0)),200))</f>
        <v>0</v>
      </c>
      <c r="BP3" s="68" cm="1">
        <f t="array" ref="BP3">_xlfn.IFS(BP2="no rate","",ISTEXT(BP2),SUM(BQ3:INDEX(BQ3:$ES$3,,_xlfn.AGGREGATE(15,6,(COLUMN(BQ3:$ES$3)-COLUMN()-1)/(LEFT(BQ6:$ES$6,1)&lt;&gt;"("),1))),1,INDEX('Capacity'!$B$2:$ED$2,MATCH(BP6,'Capacity'!$3:$3,0))*IFERROR(INDEX(tRates[[Yearly WDs]:[Yearly WDs]],MATCH(BP6,tRates[[Key (lookup)]:[Key (lookup)]],0)),200))</f>
        <v>0</v>
      </c>
      <c r="BQ3" s="68" cm="1">
        <f t="array" ref="BQ3">_xlfn.IFS(BQ2="no rate","",ISTEXT(BQ2),SUM(BR3:INDEX(BR3:$ES$3,,_xlfn.AGGREGATE(15,6,(COLUMN(BR3:$ES$3)-COLUMN()-1)/(LEFT(BR6:$ES$6,1)&lt;&gt;"("),1))),1,INDEX('Capacity'!$B$2:$ED$2,MATCH(BQ6,'Capacity'!$3:$3,0))*IFERROR(INDEX(tRates[[Yearly WDs]:[Yearly WDs]],MATCH(BQ6,tRates[[Key (lookup)]:[Key (lookup)]],0)),200))</f>
        <v>0</v>
      </c>
      <c r="BR3" s="68" cm="1">
        <f t="array" ref="BR3">_xlfn.IFS(BR2="no rate","",ISTEXT(BR2),SUM(BS3:INDEX(BS3:$ES$3,,_xlfn.AGGREGATE(15,6,(COLUMN(BS3:$ES$3)-COLUMN()-1)/(LEFT(BS6:$ES$6,1)&lt;&gt;"("),1))),1,INDEX('Capacity'!$B$2:$ED$2,MATCH(BR6,'Capacity'!$3:$3,0))*IFERROR(INDEX(tRates[[Yearly WDs]:[Yearly WDs]],MATCH(BR6,tRates[[Key (lookup)]:[Key (lookup)]],0)),200))</f>
        <v>0</v>
      </c>
      <c r="BS3" s="68" cm="1">
        <f t="array" ref="BS3">_xlfn.IFS(BS2="no rate","",ISTEXT(BS2),SUM(BT3:INDEX(BT3:$ES$3,,_xlfn.AGGREGATE(15,6,(COLUMN(BT3:$ES$3)-COLUMN()-1)/(LEFT(BT6:$ES$6,1)&lt;&gt;"("),1))),1,INDEX('Capacity'!$B$2:$ED$2,MATCH(BS6,'Capacity'!$3:$3,0))*IFERROR(INDEX(tRates[[Yearly WDs]:[Yearly WDs]],MATCH(BS6,tRates[[Key (lookup)]:[Key (lookup)]],0)),200))</f>
        <v>0</v>
      </c>
      <c r="BT3" s="68" cm="1">
        <f t="array" ref="BT3">_xlfn.IFS(BT2="no rate","",ISTEXT(BT2),SUM(BU3:INDEX(BU3:$ES$3,,_xlfn.AGGREGATE(15,6,(COLUMN(BU3:$ES$3)-COLUMN()-1)/(LEFT(BU6:$ES$6,1)&lt;&gt;"("),1))),1,INDEX('Capacity'!$B$2:$ED$2,MATCH(BT6,'Capacity'!$3:$3,0))*IFERROR(INDEX(tRates[[Yearly WDs]:[Yearly WDs]],MATCH(BT6,tRates[[Key (lookup)]:[Key (lookup)]],0)),200))</f>
        <v>0</v>
      </c>
      <c r="BU3" s="68" cm="1">
        <f t="array" ref="BU3">_xlfn.IFS(BU2="no rate","",ISTEXT(BU2),SUM(BV3:INDEX(BV3:$ES$3,,_xlfn.AGGREGATE(15,6,(COLUMN(BV3:$ES$3)-COLUMN()-1)/(LEFT(BV6:$ES$6,1)&lt;&gt;"("),1))),1,INDEX('Capacity'!$B$2:$ED$2,MATCH(BU6,'Capacity'!$3:$3,0))*IFERROR(INDEX(tRates[[Yearly WDs]:[Yearly WDs]],MATCH(BU6,tRates[[Key (lookup)]:[Key (lookup)]],0)),200))</f>
        <v>0</v>
      </c>
      <c r="BV3" s="68" cm="1">
        <f t="array" ref="BV3">_xlfn.IFS(BV2="no rate","",ISTEXT(BV2),SUM(BW3:INDEX(BW3:$ES$3,,_xlfn.AGGREGATE(15,6,(COLUMN(BW3:$ES$3)-COLUMN()-1)/(LEFT(BW6:$ES$6,1)&lt;&gt;"("),1))),1,INDEX('Capacity'!$B$2:$ED$2,MATCH(BV6,'Capacity'!$3:$3,0))*IFERROR(INDEX(tRates[[Yearly WDs]:[Yearly WDs]],MATCH(BV6,tRates[[Key (lookup)]:[Key (lookup)]],0)),200))</f>
        <v>0</v>
      </c>
      <c r="BW3" s="68" cm="1">
        <f t="array" ref="BW3">_xlfn.IFS(BW2="no rate","",ISTEXT(BW2),SUM(BX3:INDEX(BX3:$ES$3,,_xlfn.AGGREGATE(15,6,(COLUMN(BX3:$ES$3)-COLUMN()-1)/(LEFT(BX6:$ES$6,1)&lt;&gt;"("),1))),1,INDEX('Capacity'!$B$2:$ED$2,MATCH(BW6,'Capacity'!$3:$3,0))*IFERROR(INDEX(tRates[[Yearly WDs]:[Yearly WDs]],MATCH(BW6,tRates[[Key (lookup)]:[Key (lookup)]],0)),200))</f>
        <v>0</v>
      </c>
      <c r="BX3" s="68" cm="1">
        <f t="array" ref="BX3">_xlfn.IFS(BX2="no rate","",ISTEXT(BX2),SUM(BY3:INDEX(BY3:$ES$3,,_xlfn.AGGREGATE(15,6,(COLUMN(BY3:$ES$3)-COLUMN()-1)/(LEFT(BY6:$ES$6,1)&lt;&gt;"("),1))),1,INDEX('Capacity'!$B$2:$ED$2,MATCH(BX6,'Capacity'!$3:$3,0))*IFERROR(INDEX(tRates[[Yearly WDs]:[Yearly WDs]],MATCH(BX6,tRates[[Key (lookup)]:[Key (lookup)]],0)),200))</f>
        <v>0</v>
      </c>
      <c r="BY3" s="68" cm="1">
        <f t="array" ref="BY3">_xlfn.IFS(BY2="no rate","",ISTEXT(BY2),SUM(BZ3:INDEX(BZ3:$ES$3,,_xlfn.AGGREGATE(15,6,(COLUMN(BZ3:$ES$3)-COLUMN()-1)/(LEFT(BZ6:$ES$6,1)&lt;&gt;"("),1))),1,INDEX('Capacity'!$B$2:$ED$2,MATCH(BY6,'Capacity'!$3:$3,0))*IFERROR(INDEX(tRates[[Yearly WDs]:[Yearly WDs]],MATCH(BY6,tRates[[Key (lookup)]:[Key (lookup)]],0)),200))</f>
        <v>0</v>
      </c>
      <c r="BZ3" s="68" cm="1">
        <f t="array" ref="BZ3">_xlfn.IFS(BZ2="no rate","",ISTEXT(BZ2),SUM(CA3:INDEX(CA3:$ES$3,,_xlfn.AGGREGATE(15,6,(COLUMN(CA3:$ES$3)-COLUMN()-1)/(LEFT(CA6:$ES$6,1)&lt;&gt;"("),1))),1,INDEX('Capacity'!$B$2:$ED$2,MATCH(BZ6,'Capacity'!$3:$3,0))*IFERROR(INDEX(tRates[[Yearly WDs]:[Yearly WDs]],MATCH(BZ6,tRates[[Key (lookup)]:[Key (lookup)]],0)),200))</f>
        <v>0</v>
      </c>
      <c r="CA3" s="68" cm="1">
        <f t="array" ref="CA3">_xlfn.IFS(CA2="no rate","",ISTEXT(CA2),SUM(CB3:INDEX(CB3:$ES$3,,_xlfn.AGGREGATE(15,6,(COLUMN(CB3:$ES$3)-COLUMN()-1)/(LEFT(CB6:$ES$6,1)&lt;&gt;"("),1))),1,INDEX('Capacity'!$B$2:$ED$2,MATCH(CA6,'Capacity'!$3:$3,0))*IFERROR(INDEX(tRates[[Yearly WDs]:[Yearly WDs]],MATCH(CA6,tRates[[Key (lookup)]:[Key (lookup)]],0)),200))</f>
        <v>0</v>
      </c>
      <c r="CB3" s="68" cm="1">
        <f t="array" ref="CB3">_xlfn.IFS(CB2="no rate","",ISTEXT(CB2),SUM(CC3:INDEX(CC3:$ES$3,,_xlfn.AGGREGATE(15,6,(COLUMN(CC3:$ES$3)-COLUMN()-1)/(LEFT(CC6:$ES$6,1)&lt;&gt;"("),1))),1,INDEX('Capacity'!$B$2:$ED$2,MATCH(CB6,'Capacity'!$3:$3,0))*IFERROR(INDEX(tRates[[Yearly WDs]:[Yearly WDs]],MATCH(CB6,tRates[[Key (lookup)]:[Key (lookup)]],0)),200))</f>
        <v>0</v>
      </c>
      <c r="CC3" s="68" cm="1">
        <f t="array" ref="CC3">_xlfn.IFS(CC2="no rate","",ISTEXT(CC2),SUM(CD3:INDEX(CD3:$ES$3,,_xlfn.AGGREGATE(15,6,(COLUMN(CD3:$ES$3)-COLUMN()-1)/(LEFT(CD6:$ES$6,1)&lt;&gt;"("),1))),1,INDEX('Capacity'!$B$2:$ED$2,MATCH(CC6,'Capacity'!$3:$3,0))*IFERROR(INDEX(tRates[[Yearly WDs]:[Yearly WDs]],MATCH(CC6,tRates[[Key (lookup)]:[Key (lookup)]],0)),200))</f>
        <v>0</v>
      </c>
      <c r="CD3" s="68" cm="1">
        <f t="array" ref="CD3">_xlfn.IFS(CD2="no rate","",ISTEXT(CD2),SUM(CE3:INDEX(CE3:$ES$3,,_xlfn.AGGREGATE(15,6,(COLUMN(CE3:$ES$3)-COLUMN()-1)/(LEFT(CE6:$ES$6,1)&lt;&gt;"("),1))),1,INDEX('Capacity'!$B$2:$ED$2,MATCH(CD6,'Capacity'!$3:$3,0))*IFERROR(INDEX(tRates[[Yearly WDs]:[Yearly WDs]],MATCH(CD6,tRates[[Key (lookup)]:[Key (lookup)]],0)),200))</f>
        <v>0</v>
      </c>
      <c r="CE3" s="68" cm="1">
        <f t="array" ref="CE3">_xlfn.IFS(CE2="no rate","",ISTEXT(CE2),SUM(CF3:INDEX(CF3:$ES$3,,_xlfn.AGGREGATE(15,6,(COLUMN(CF3:$ES$3)-COLUMN()-1)/(LEFT(CF6:$ES$6,1)&lt;&gt;"("),1))),1,INDEX('Capacity'!$B$2:$ED$2,MATCH(CE6,'Capacity'!$3:$3,0))*IFERROR(INDEX(tRates[[Yearly WDs]:[Yearly WDs]],MATCH(CE6,tRates[[Key (lookup)]:[Key (lookup)]],0)),200))</f>
        <v>0</v>
      </c>
      <c r="CF3" s="68" cm="1">
        <f t="array" ref="CF3">_xlfn.IFS(CF2="no rate","",ISTEXT(CF2),SUM(CG3:INDEX(CG3:$ES$3,,_xlfn.AGGREGATE(15,6,(COLUMN(CG3:$ES$3)-COLUMN()-1)/(LEFT(CG6:$ES$6,1)&lt;&gt;"("),1))),1,INDEX('Capacity'!$B$2:$ED$2,MATCH(CF6,'Capacity'!$3:$3,0))*IFERROR(INDEX(tRates[[Yearly WDs]:[Yearly WDs]],MATCH(CF6,tRates[[Key (lookup)]:[Key (lookup)]],0)),200))</f>
        <v>0</v>
      </c>
      <c r="CG3" s="68" cm="1">
        <f t="array" ref="CG3">_xlfn.IFS(CG2="no rate","",ISTEXT(CG2),SUM(CH3:INDEX(CH3:$ES$3,,_xlfn.AGGREGATE(15,6,(COLUMN(CH3:$ES$3)-COLUMN()-1)/(LEFT(CH6:$ES$6,1)&lt;&gt;"("),1))),1,INDEX('Capacity'!$B$2:$ED$2,MATCH(CG6,'Capacity'!$3:$3,0))*IFERROR(INDEX(tRates[[Yearly WDs]:[Yearly WDs]],MATCH(CG6,tRates[[Key (lookup)]:[Key (lookup)]],0)),200))</f>
        <v>0</v>
      </c>
      <c r="CH3" s="68" cm="1">
        <f t="array" ref="CH3">_xlfn.IFS(CH2="no rate","",ISTEXT(CH2),SUM(CI3:INDEX(CI3:$ES$3,,_xlfn.AGGREGATE(15,6,(COLUMN(CI3:$ES$3)-COLUMN()-1)/(LEFT(CI6:$ES$6,1)&lt;&gt;"("),1))),1,INDEX('Capacity'!$B$2:$ED$2,MATCH(CH6,'Capacity'!$3:$3,0))*IFERROR(INDEX(tRates[[Yearly WDs]:[Yearly WDs]],MATCH(CH6,tRates[[Key (lookup)]:[Key (lookup)]],0)),200))</f>
        <v>0</v>
      </c>
      <c r="CI3" s="68" cm="1">
        <f t="array" ref="CI3">_xlfn.IFS(CI2="no rate","",ISTEXT(CI2),SUM(CJ3:INDEX(CJ3:$ES$3,,_xlfn.AGGREGATE(15,6,(COLUMN(CJ3:$ES$3)-COLUMN()-1)/(LEFT(CJ6:$ES$6,1)&lt;&gt;"("),1))),1,INDEX('Capacity'!$B$2:$ED$2,MATCH(CI6,'Capacity'!$3:$3,0))*IFERROR(INDEX(tRates[[Yearly WDs]:[Yearly WDs]],MATCH(CI6,tRates[[Key (lookup)]:[Key (lookup)]],0)),200))</f>
        <v>0</v>
      </c>
      <c r="CJ3" s="68" cm="1">
        <f t="array" ref="CJ3">_xlfn.IFS(CJ2="no rate","",ISTEXT(CJ2),SUM(CK3:INDEX(CK3:$ES$3,,_xlfn.AGGREGATE(15,6,(COLUMN(CK3:$ES$3)-COLUMN()-1)/(LEFT(CK6:$ES$6,1)&lt;&gt;"("),1))),1,INDEX('Capacity'!$B$2:$ED$2,MATCH(CJ6,'Capacity'!$3:$3,0))*IFERROR(INDEX(tRates[[Yearly WDs]:[Yearly WDs]],MATCH(CJ6,tRates[[Key (lookup)]:[Key (lookup)]],0)),200))</f>
        <v>0</v>
      </c>
      <c r="CK3" s="68" cm="1">
        <f t="array" ref="CK3">_xlfn.IFS(CK2="no rate","",ISTEXT(CK2),SUM(CL3:INDEX(CL3:$ES$3,,_xlfn.AGGREGATE(15,6,(COLUMN(CL3:$ES$3)-COLUMN()-1)/(LEFT(CL6:$ES$6,1)&lt;&gt;"("),1))),1,INDEX('Capacity'!$B$2:$ED$2,MATCH(CK6,'Capacity'!$3:$3,0))*IFERROR(INDEX(tRates[[Yearly WDs]:[Yearly WDs]],MATCH(CK6,tRates[[Key (lookup)]:[Key (lookup)]],0)),200))</f>
        <v>0</v>
      </c>
      <c r="CL3" s="68" cm="1">
        <f t="array" ref="CL3">_xlfn.IFS(CL2="no rate","",ISTEXT(CL2),SUM(CM3:INDEX(CM3:$ES$3,,_xlfn.AGGREGATE(15,6,(COLUMN(CM3:$ES$3)-COLUMN()-1)/(LEFT(CM6:$ES$6,1)&lt;&gt;"("),1))),1,INDEX('Capacity'!$B$2:$ED$2,MATCH(CL6,'Capacity'!$3:$3,0))*IFERROR(INDEX(tRates[[Yearly WDs]:[Yearly WDs]],MATCH(CL6,tRates[[Key (lookup)]:[Key (lookup)]],0)),200))</f>
        <v>0</v>
      </c>
      <c r="CM3" s="68" cm="1">
        <f t="array" ref="CM3">_xlfn.IFS(CM2="no rate","",ISTEXT(CM2),SUM(CN3:INDEX(CN3:$ES$3,,_xlfn.AGGREGATE(15,6,(COLUMN(CN3:$ES$3)-COLUMN()-1)/(LEFT(CN6:$ES$6,1)&lt;&gt;"("),1))),1,INDEX('Capacity'!$B$2:$ED$2,MATCH(CM6,'Capacity'!$3:$3,0))*IFERROR(INDEX(tRates[[Yearly WDs]:[Yearly WDs]],MATCH(CM6,tRates[[Key (lookup)]:[Key (lookup)]],0)),200))</f>
        <v>0</v>
      </c>
      <c r="CN3" s="68" cm="1">
        <f t="array" ref="CN3">_xlfn.IFS(CN2="no rate","",ISTEXT(CN2),SUM(CO3:INDEX(CO3:$ES$3,,_xlfn.AGGREGATE(15,6,(COLUMN(CO3:$ES$3)-COLUMN()-1)/(LEFT(CO6:$ES$6,1)&lt;&gt;"("),1))),1,INDEX('Capacity'!$B$2:$ED$2,MATCH(CN6,'Capacity'!$3:$3,0))*IFERROR(INDEX(tRates[[Yearly WDs]:[Yearly WDs]],MATCH(CN6,tRates[[Key (lookup)]:[Key (lookup)]],0)),200))</f>
        <v>0</v>
      </c>
      <c r="CO3" s="68" cm="1">
        <f t="array" ref="CO3">_xlfn.IFS(CO2="no rate","",ISTEXT(CO2),SUM(CP3:INDEX(CP3:$ES$3,,_xlfn.AGGREGATE(15,6,(COLUMN(CP3:$ES$3)-COLUMN()-1)/(LEFT(CP6:$ES$6,1)&lt;&gt;"("),1))),1,INDEX('Capacity'!$B$2:$ED$2,MATCH(CO6,'Capacity'!$3:$3,0))*IFERROR(INDEX(tRates[[Yearly WDs]:[Yearly WDs]],MATCH(CO6,tRates[[Key (lookup)]:[Key (lookup)]],0)),200))</f>
        <v>0</v>
      </c>
      <c r="CP3" s="68" cm="1">
        <f t="array" ref="CP3">_xlfn.IFS(CP2="no rate","",ISTEXT(CP2),SUM(CQ3:INDEX(CQ3:$ES$3,,_xlfn.AGGREGATE(15,6,(COLUMN(CQ3:$ES$3)-COLUMN()-1)/(LEFT(CQ6:$ES$6,1)&lt;&gt;"("),1))),1,INDEX('Capacity'!$B$2:$ED$2,MATCH(CP6,'Capacity'!$3:$3,0))*IFERROR(INDEX(tRates[[Yearly WDs]:[Yearly WDs]],MATCH(CP6,tRates[[Key (lookup)]:[Key (lookup)]],0)),200))</f>
        <v>0</v>
      </c>
      <c r="CQ3" s="68" cm="1">
        <f t="array" ref="CQ3">_xlfn.IFS(CQ2="no rate","",ISTEXT(CQ2),SUM(CR3:INDEX(CR3:$ES$3,,_xlfn.AGGREGATE(15,6,(COLUMN(CR3:$ES$3)-COLUMN()-1)/(LEFT(CR6:$ES$6,1)&lt;&gt;"("),1))),1,INDEX('Capacity'!$B$2:$ED$2,MATCH(CQ6,'Capacity'!$3:$3,0))*IFERROR(INDEX(tRates[[Yearly WDs]:[Yearly WDs]],MATCH(CQ6,tRates[[Key (lookup)]:[Key (lookup)]],0)),200))</f>
        <v>0</v>
      </c>
      <c r="CR3" s="68" cm="1">
        <f t="array" ref="CR3">_xlfn.IFS(CR2="no rate","",ISTEXT(CR2),SUM(CS3:INDEX(CS3:$ES$3,,_xlfn.AGGREGATE(15,6,(COLUMN(CS3:$ES$3)-COLUMN()-1)/(LEFT(CS6:$ES$6,1)&lt;&gt;"("),1))),1,INDEX('Capacity'!$B$2:$ED$2,MATCH(CR6,'Capacity'!$3:$3,0))*IFERROR(INDEX(tRates[[Yearly WDs]:[Yearly WDs]],MATCH(CR6,tRates[[Key (lookup)]:[Key (lookup)]],0)),200))</f>
        <v>0</v>
      </c>
      <c r="CS3" s="68" cm="1">
        <f t="array" ref="CS3">_xlfn.IFS(CS2="no rate","",ISTEXT(CS2),SUM(CT3:INDEX(CT3:$ES$3,,_xlfn.AGGREGATE(15,6,(COLUMN(CT3:$ES$3)-COLUMN()-1)/(LEFT(CT6:$ES$6,1)&lt;&gt;"("),1))),1,INDEX('Capacity'!$B$2:$ED$2,MATCH(CS6,'Capacity'!$3:$3,0))*IFERROR(INDEX(tRates[[Yearly WDs]:[Yearly WDs]],MATCH(CS6,tRates[[Key (lookup)]:[Key (lookup)]],0)),200))</f>
        <v>0</v>
      </c>
      <c r="CT3" s="68" cm="1">
        <f t="array" ref="CT3">_xlfn.IFS(CT2="no rate","",ISTEXT(CT2),SUM(CU3:INDEX(CU3:$ES$3,,_xlfn.AGGREGATE(15,6,(COLUMN(CU3:$ES$3)-COLUMN()-1)/(LEFT(CU6:$ES$6,1)&lt;&gt;"("),1))),1,INDEX('Capacity'!$B$2:$ED$2,MATCH(CT6,'Capacity'!$3:$3,0))*IFERROR(INDEX(tRates[[Yearly WDs]:[Yearly WDs]],MATCH(CT6,tRates[[Key (lookup)]:[Key (lookup)]],0)),200))</f>
        <v>0</v>
      </c>
      <c r="CU3" s="68" cm="1">
        <f t="array" ref="CU3">_xlfn.IFS(CU2="no rate","",ISTEXT(CU2),SUM(CV3:INDEX(CV3:$ES$3,,_xlfn.AGGREGATE(15,6,(COLUMN(CV3:$ES$3)-COLUMN()-1)/(LEFT(CV6:$ES$6,1)&lt;&gt;"("),1))),1,INDEX('Capacity'!$B$2:$ED$2,MATCH(CU6,'Capacity'!$3:$3,0))*IFERROR(INDEX(tRates[[Yearly WDs]:[Yearly WDs]],MATCH(CU6,tRates[[Key (lookup)]:[Key (lookup)]],0)),200))</f>
        <v>0</v>
      </c>
      <c r="CV3" s="68" cm="1">
        <f t="array" ref="CV3">_xlfn.IFS(CV2="no rate","",ISTEXT(CV2),SUM(CW3:INDEX(CW3:$ES$3,,_xlfn.AGGREGATE(15,6,(COLUMN(CW3:$ES$3)-COLUMN()-1)/(LEFT(CW6:$ES$6,1)&lt;&gt;"("),1))),1,INDEX('Capacity'!$B$2:$ED$2,MATCH(CV6,'Capacity'!$3:$3,0))*IFERROR(INDEX(tRates[[Yearly WDs]:[Yearly WDs]],MATCH(CV6,tRates[[Key (lookup)]:[Key (lookup)]],0)),200))</f>
        <v>0</v>
      </c>
      <c r="CW3" s="68" cm="1">
        <f t="array" ref="CW3">_xlfn.IFS(CW2="no rate","",ISTEXT(CW2),SUM(CX3:INDEX(CX3:$ES$3,,_xlfn.AGGREGATE(15,6,(COLUMN(CX3:$ES$3)-COLUMN()-1)/(LEFT(CX6:$ES$6,1)&lt;&gt;"("),1))),1,INDEX('Capacity'!$B$2:$ED$2,MATCH(CW6,'Capacity'!$3:$3,0))*IFERROR(INDEX(tRates[[Yearly WDs]:[Yearly WDs]],MATCH(CW6,tRates[[Key (lookup)]:[Key (lookup)]],0)),200))</f>
        <v>0</v>
      </c>
      <c r="CX3" s="68" cm="1">
        <f t="array" ref="CX3">_xlfn.IFS(CX2="no rate","",ISTEXT(CX2),SUM(CY3:INDEX(CY3:$ES$3,,_xlfn.AGGREGATE(15,6,(COLUMN(CY3:$ES$3)-COLUMN()-1)/(LEFT(CY6:$ES$6,1)&lt;&gt;"("),1))),1,INDEX('Capacity'!$B$2:$ED$2,MATCH(CX6,'Capacity'!$3:$3,0))*IFERROR(INDEX(tRates[[Yearly WDs]:[Yearly WDs]],MATCH(CX6,tRates[[Key (lookup)]:[Key (lookup)]],0)),200))</f>
        <v>0</v>
      </c>
      <c r="CY3" s="68" cm="1">
        <f t="array" ref="CY3">_xlfn.IFS(CY2="no rate","",ISTEXT(CY2),SUM(CZ3:INDEX(CZ3:$ES$3,,_xlfn.AGGREGATE(15,6,(COLUMN(CZ3:$ES$3)-COLUMN()-1)/(LEFT(CZ6:$ES$6,1)&lt;&gt;"("),1))),1,INDEX('Capacity'!$B$2:$ED$2,MATCH(CY6,'Capacity'!$3:$3,0))*IFERROR(INDEX(tRates[[Yearly WDs]:[Yearly WDs]],MATCH(CY6,tRates[[Key (lookup)]:[Key (lookup)]],0)),200))</f>
        <v>0</v>
      </c>
      <c r="CZ3" s="68" cm="1">
        <f t="array" ref="CZ3">_xlfn.IFS(CZ2="no rate","",ISTEXT(CZ2),SUM(DA3:INDEX(DA3:$ES$3,,_xlfn.AGGREGATE(15,6,(COLUMN(DA3:$ES$3)-COLUMN()-1)/(LEFT(DA6:$ES$6,1)&lt;&gt;"("),1))),1,INDEX('Capacity'!$B$2:$ED$2,MATCH(CZ6,'Capacity'!$3:$3,0))*IFERROR(INDEX(tRates[[Yearly WDs]:[Yearly WDs]],MATCH(CZ6,tRates[[Key (lookup)]:[Key (lookup)]],0)),200))</f>
        <v>0</v>
      </c>
      <c r="DA3" s="68" cm="1">
        <f t="array" ref="DA3">_xlfn.IFS(DA2="no rate","",ISTEXT(DA2),SUM(DB3:INDEX(DB3:$ES$3,,_xlfn.AGGREGATE(15,6,(COLUMN(DB3:$ES$3)-COLUMN()-1)/(LEFT(DB6:$ES$6,1)&lt;&gt;"("),1))),1,INDEX('Capacity'!$B$2:$ED$2,MATCH(DA6,'Capacity'!$3:$3,0))*IFERROR(INDEX(tRates[[Yearly WDs]:[Yearly WDs]],MATCH(DA6,tRates[[Key (lookup)]:[Key (lookup)]],0)),200))</f>
        <v>0</v>
      </c>
      <c r="DB3" s="68" cm="1">
        <f t="array" ref="DB3">_xlfn.IFS(DB2="no rate","",ISTEXT(DB2),SUM(DC3:INDEX(DC3:$ES$3,,_xlfn.AGGREGATE(15,6,(COLUMN(DC3:$ES$3)-COLUMN()-1)/(LEFT(DC6:$ES$6,1)&lt;&gt;"("),1))),1,INDEX('Capacity'!$B$2:$ED$2,MATCH(DB6,'Capacity'!$3:$3,0))*IFERROR(INDEX(tRates[[Yearly WDs]:[Yearly WDs]],MATCH(DB6,tRates[[Key (lookup)]:[Key (lookup)]],0)),200))</f>
        <v>0</v>
      </c>
      <c r="DC3" s="68" cm="1">
        <f t="array" ref="DC3">_xlfn.IFS(DC2="no rate","",ISTEXT(DC2),SUM(DD3:INDEX(DD3:$ES$3,,_xlfn.AGGREGATE(15,6,(COLUMN(DD3:$ES$3)-COLUMN()-1)/(LEFT(DD6:$ES$6,1)&lt;&gt;"("),1))),1,INDEX('Capacity'!$B$2:$ED$2,MATCH(DC6,'Capacity'!$3:$3,0))*IFERROR(INDEX(tRates[[Yearly WDs]:[Yearly WDs]],MATCH(DC6,tRates[[Key (lookup)]:[Key (lookup)]],0)),200))</f>
        <v>0</v>
      </c>
      <c r="DD3" s="68" cm="1">
        <f t="array" ref="DD3">_xlfn.IFS(DD2="no rate","",ISTEXT(DD2),SUM(DE3:INDEX(DE3:$ES$3,,_xlfn.AGGREGATE(15,6,(COLUMN(DE3:$ES$3)-COLUMN()-1)/(LEFT(DE6:$ES$6,1)&lt;&gt;"("),1))),1,INDEX('Capacity'!$B$2:$ED$2,MATCH(DD6,'Capacity'!$3:$3,0))*IFERROR(INDEX(tRates[[Yearly WDs]:[Yearly WDs]],MATCH(DD6,tRates[[Key (lookup)]:[Key (lookup)]],0)),200))</f>
        <v>0</v>
      </c>
      <c r="DE3" s="68" cm="1">
        <f t="array" ref="DE3">_xlfn.IFS(DE2="no rate","",ISTEXT(DE2),SUM(DF3:INDEX(DF3:$ES$3,,_xlfn.AGGREGATE(15,6,(COLUMN(DF3:$ES$3)-COLUMN()-1)/(LEFT(DF6:$ES$6,1)&lt;&gt;"("),1))),1,INDEX('Capacity'!$B$2:$ED$2,MATCH(DE6,'Capacity'!$3:$3,0))*IFERROR(INDEX(tRates[[Yearly WDs]:[Yearly WDs]],MATCH(DE6,tRates[[Key (lookup)]:[Key (lookup)]],0)),200))</f>
        <v>0</v>
      </c>
      <c r="DF3" s="68" cm="1">
        <f t="array" ref="DF3">_xlfn.IFS(DF2="no rate","",ISTEXT(DF2),SUM(DG3:INDEX(DG3:$ES$3,,_xlfn.AGGREGATE(15,6,(COLUMN(DG3:$ES$3)-COLUMN()-1)/(LEFT(DG6:$ES$6,1)&lt;&gt;"("),1))),1,INDEX('Capacity'!$B$2:$ED$2,MATCH(DF6,'Capacity'!$3:$3,0))*IFERROR(INDEX(tRates[[Yearly WDs]:[Yearly WDs]],MATCH(DF6,tRates[[Key (lookup)]:[Key (lookup)]],0)),200))</f>
        <v>0</v>
      </c>
      <c r="DG3" s="68" cm="1">
        <f t="array" ref="DG3">_xlfn.IFS(DG2="no rate","",ISTEXT(DG2),SUM(DH3:INDEX(DH3:$ES$3,,_xlfn.AGGREGATE(15,6,(COLUMN(DH3:$ES$3)-COLUMN()-1)/(LEFT(DH6:$ES$6,1)&lt;&gt;"("),1))),1,INDEX('Capacity'!$B$2:$ED$2,MATCH(DG6,'Capacity'!$3:$3,0))*IFERROR(INDEX(tRates[[Yearly WDs]:[Yearly WDs]],MATCH(DG6,tRates[[Key (lookup)]:[Key (lookup)]],0)),200))</f>
        <v>0</v>
      </c>
      <c r="DH3" s="68" cm="1">
        <f t="array" ref="DH3">_xlfn.IFS(DH2="no rate","",ISTEXT(DH2),SUM(DI3:INDEX(DI3:$ES$3,,_xlfn.AGGREGATE(15,6,(COLUMN(DI3:$ES$3)-COLUMN()-1)/(LEFT(DI6:$ES$6,1)&lt;&gt;"("),1))),1,INDEX('Capacity'!$B$2:$ED$2,MATCH(DH6,'Capacity'!$3:$3,0))*IFERROR(INDEX(tRates[[Yearly WDs]:[Yearly WDs]],MATCH(DH6,tRates[[Key (lookup)]:[Key (lookup)]],0)),200))</f>
        <v>0</v>
      </c>
      <c r="DI3" s="68" cm="1">
        <f t="array" ref="DI3">_xlfn.IFS(DI2="no rate","",ISTEXT(DI2),SUM(DJ3:INDEX(DJ3:$ES$3,,_xlfn.AGGREGATE(15,6,(COLUMN(DJ3:$ES$3)-COLUMN()-1)/(LEFT(DJ6:$ES$6,1)&lt;&gt;"("),1))),1,INDEX('Capacity'!$B$2:$ED$2,MATCH(DI6,'Capacity'!$3:$3,0))*IFERROR(INDEX(tRates[[Yearly WDs]:[Yearly WDs]],MATCH(DI6,tRates[[Key (lookup)]:[Key (lookup)]],0)),200))</f>
        <v>0</v>
      </c>
      <c r="DJ3" s="68" cm="1">
        <f t="array" ref="DJ3">_xlfn.IFS(DJ2="no rate","",ISTEXT(DJ2),SUM(DK3:INDEX(DK3:$ES$3,,_xlfn.AGGREGATE(15,6,(COLUMN(DK3:$ES$3)-COLUMN()-1)/(LEFT(DK6:$ES$6,1)&lt;&gt;"("),1))),1,INDEX('Capacity'!$B$2:$ED$2,MATCH(DJ6,'Capacity'!$3:$3,0))*IFERROR(INDEX(tRates[[Yearly WDs]:[Yearly WDs]],MATCH(DJ6,tRates[[Key (lookup)]:[Key (lookup)]],0)),200))</f>
        <v>0</v>
      </c>
      <c r="DK3" s="68" cm="1">
        <f t="array" ref="DK3">_xlfn.IFS(DK2="no rate","",ISTEXT(DK2),SUM(DL3:INDEX(DL3:$ES$3,,_xlfn.AGGREGATE(15,6,(COLUMN(DL3:$ES$3)-COLUMN()-1)/(LEFT(DL6:$ES$6,1)&lt;&gt;"("),1))),1,INDEX('Capacity'!$B$2:$ED$2,MATCH(DK6,'Capacity'!$3:$3,0))*IFERROR(INDEX(tRates[[Yearly WDs]:[Yearly WDs]],MATCH(DK6,tRates[[Key (lookup)]:[Key (lookup)]],0)),200))</f>
        <v>0</v>
      </c>
      <c r="DL3" s="68" cm="1">
        <f t="array" ref="DL3">_xlfn.IFS(DL2="no rate","",ISTEXT(DL2),SUM(DM3:INDEX(DM3:$ES$3,,_xlfn.AGGREGATE(15,6,(COLUMN(DM3:$ES$3)-COLUMN()-1)/(LEFT(DM6:$ES$6,1)&lt;&gt;"("),1))),1,INDEX('Capacity'!$B$2:$ED$2,MATCH(DL6,'Capacity'!$3:$3,0))*IFERROR(INDEX(tRates[[Yearly WDs]:[Yearly WDs]],MATCH(DL6,tRates[[Key (lookup)]:[Key (lookup)]],0)),200))</f>
        <v>0</v>
      </c>
      <c r="DM3" s="68" cm="1">
        <f t="array" ref="DM3">_xlfn.IFS(DM2="no rate","",ISTEXT(DM2),SUM(DN3:INDEX(DN3:$ES$3,,_xlfn.AGGREGATE(15,6,(COLUMN(DN3:$ES$3)-COLUMN()-1)/(LEFT(DN6:$ES$6,1)&lt;&gt;"("),1))),1,INDEX('Capacity'!$B$2:$ED$2,MATCH(DM6,'Capacity'!$3:$3,0))*IFERROR(INDEX(tRates[[Yearly WDs]:[Yearly WDs]],MATCH(DM6,tRates[[Key (lookup)]:[Key (lookup)]],0)),200))</f>
        <v>0</v>
      </c>
      <c r="DN3" s="68" cm="1">
        <f t="array" ref="DN3">_xlfn.IFS(DN2="no rate","",ISTEXT(DN2),SUM(DO3:INDEX(DO3:$ES$3,,_xlfn.AGGREGATE(15,6,(COLUMN(DO3:$ES$3)-COLUMN()-1)/(LEFT(DO6:$ES$6,1)&lt;&gt;"("),1))),1,INDEX('Capacity'!$B$2:$ED$2,MATCH(DN6,'Capacity'!$3:$3,0))*IFERROR(INDEX(tRates[[Yearly WDs]:[Yearly WDs]],MATCH(DN6,tRates[[Key (lookup)]:[Key (lookup)]],0)),200))</f>
        <v>0</v>
      </c>
      <c r="DO3" s="68" cm="1">
        <f t="array" ref="DO3">_xlfn.IFS(DO2="no rate","",ISTEXT(DO2),SUM(DP3:INDEX(DP3:$ES$3,,_xlfn.AGGREGATE(15,6,(COLUMN(DP3:$ES$3)-COLUMN()-1)/(LEFT(DP6:$ES$6,1)&lt;&gt;"("),1))),1,INDEX('Capacity'!$B$2:$ED$2,MATCH(DO6,'Capacity'!$3:$3,0))*IFERROR(INDEX(tRates[[Yearly WDs]:[Yearly WDs]],MATCH(DO6,tRates[[Key (lookup)]:[Key (lookup)]],0)),200))</f>
        <v>0</v>
      </c>
      <c r="DP3" s="68" cm="1">
        <f t="array" ref="DP3">_xlfn.IFS(DP2="no rate","",ISTEXT(DP2),SUM(DQ3:INDEX(DQ3:$ES$3,,_xlfn.AGGREGATE(15,6,(COLUMN(DQ3:$ES$3)-COLUMN()-1)/(LEFT(DQ6:$ES$6,1)&lt;&gt;"("),1))),1,INDEX('Capacity'!$B$2:$ED$2,MATCH(DP6,'Capacity'!$3:$3,0))*IFERROR(INDEX(tRates[[Yearly WDs]:[Yearly WDs]],MATCH(DP6,tRates[[Key (lookup)]:[Key (lookup)]],0)),200))</f>
        <v>0</v>
      </c>
      <c r="DQ3" s="68" t="str" cm="1">
        <f t="array" ref="DQ3">_xlfn.IFS(DQ2="no rate","",ISTEXT(DQ2),SUM(DR3:INDEX(DR3:$ES$3,,_xlfn.AGGREGATE(15,6,(COLUMN(DR3:$ES$3)-COLUMN()-1)/(LEFT(DR6:$ES$6,1)&lt;&gt;"("),1))),1,INDEX('Capacity'!$B$2:$ED$2,MATCH(DQ6,'Capacity'!$3:$3,0))*IFERROR(INDEX(tRates[[Yearly WDs]:[Yearly WDs]],MATCH(DQ6,tRates[[Key (lookup)]:[Key (lookup)]],0)),200))</f>
        <v/>
      </c>
      <c r="DR3" s="68" t="str" cm="1">
        <f t="array" ref="DR3">_xlfn.IFS(DR2="no rate","",ISTEXT(DR2),SUM(DS3:INDEX(DS3:$ES$3,,_xlfn.AGGREGATE(15,6,(COLUMN(DS3:$ES$3)-COLUMN()-1)/(LEFT(DS6:$ES$6,1)&lt;&gt;"("),1))),1,INDEX('Capacity'!$B$2:$ED$2,MATCH(DR6,'Capacity'!$3:$3,0))*IFERROR(INDEX(tRates[[Yearly WDs]:[Yearly WDs]],MATCH(DR6,tRates[[Key (lookup)]:[Key (lookup)]],0)),200))</f>
        <v/>
      </c>
      <c r="DS3" s="68" t="str" cm="1">
        <f t="array" ref="DS3">_xlfn.IFS(DS2="no rate","",ISTEXT(DS2),SUM(DT3:INDEX(DT3:$ES$3,,_xlfn.AGGREGATE(15,6,(COLUMN(DT3:$ES$3)-COLUMN()-1)/(LEFT(DT6:$ES$6,1)&lt;&gt;"("),1))),1,INDEX('Capacity'!$B$2:$ED$2,MATCH(DS6,'Capacity'!$3:$3,0))*IFERROR(INDEX(tRates[[Yearly WDs]:[Yearly WDs]],MATCH(DS6,tRates[[Key (lookup)]:[Key (lookup)]],0)),200))</f>
        <v/>
      </c>
      <c r="DT3" s="68" t="str" cm="1">
        <f t="array" ref="DT3">_xlfn.IFS(DT2="no rate","",ISTEXT(DT2),SUM(DU3:INDEX(DU3:$ES$3,,_xlfn.AGGREGATE(15,6,(COLUMN(DU3:$ES$3)-COLUMN()-1)/(LEFT(DU6:$ES$6,1)&lt;&gt;"("),1))),1,INDEX('Capacity'!$B$2:$ED$2,MATCH(DT6,'Capacity'!$3:$3,0))*IFERROR(INDEX(tRates[[Yearly WDs]:[Yearly WDs]],MATCH(DT6,tRates[[Key (lookup)]:[Key (lookup)]],0)),200))</f>
        <v/>
      </c>
      <c r="DU3" s="68" t="str" cm="1">
        <f t="array" ref="DU3">_xlfn.IFS(DU2="no rate","",ISTEXT(DU2),SUM(DV3:INDEX(DV3:$ES$3,,_xlfn.AGGREGATE(15,6,(COLUMN(DV3:$ES$3)-COLUMN()-1)/(LEFT(DV6:$ES$6,1)&lt;&gt;"("),1))),1,INDEX('Capacity'!$B$2:$ED$2,MATCH(DU6,'Capacity'!$3:$3,0))*IFERROR(INDEX(tRates[[Yearly WDs]:[Yearly WDs]],MATCH(DU6,tRates[[Key (lookup)]:[Key (lookup)]],0)),200))</f>
        <v/>
      </c>
      <c r="DV3" s="68" t="str" cm="1">
        <f t="array" ref="DV3">_xlfn.IFS(DV2="no rate","",ISTEXT(DV2),SUM(DW3:INDEX(DW3:$ES$3,,_xlfn.AGGREGATE(15,6,(COLUMN(DW3:$ES$3)-COLUMN()-1)/(LEFT(DW6:$ES$6,1)&lt;&gt;"("),1))),1,INDEX('Capacity'!$B$2:$ED$2,MATCH(DV6,'Capacity'!$3:$3,0))*IFERROR(INDEX(tRates[[Yearly WDs]:[Yearly WDs]],MATCH(DV6,tRates[[Key (lookup)]:[Key (lookup)]],0)),200))</f>
        <v/>
      </c>
      <c r="DW3" s="68" cm="1">
        <f t="array" ref="DW3">_xlfn.IFS(DW2="no rate","",ISTEXT(DW2),SUM(DX3:INDEX(DX3:$ES$3,,_xlfn.AGGREGATE(15,6,(COLUMN(DX3:$ES$3)-COLUMN()-1)/(LEFT(DX6:$ES$6,1)&lt;&gt;"("),1))),1,INDEX('Capacity'!$B$2:$ED$2,MATCH(DW6,'Capacity'!$3:$3,0))*IFERROR(INDEX(tRates[[Yearly WDs]:[Yearly WDs]],MATCH(DW6,tRates[[Key (lookup)]:[Key (lookup)]],0)),200))</f>
        <v>0</v>
      </c>
      <c r="DX3" s="68" cm="1">
        <f t="array" ref="DX3">_xlfn.IFS(DX2="no rate","",ISTEXT(DX2),SUM(DY3:INDEX(DY3:$ES$3,,_xlfn.AGGREGATE(15,6,(COLUMN(DY3:$ES$3)-COLUMN()-1)/(LEFT(DY6:$ES$6,1)&lt;&gt;"("),1))),1,INDEX('Capacity'!$B$2:$ED$2,MATCH(DX6,'Capacity'!$3:$3,0))*IFERROR(INDEX(tRates[[Yearly WDs]:[Yearly WDs]],MATCH(DX6,tRates[[Key (lookup)]:[Key (lookup)]],0)),200))</f>
        <v>0</v>
      </c>
      <c r="DY3" s="68" cm="1">
        <f t="array" ref="DY3">_xlfn.IFS(DY2="no rate","",ISTEXT(DY2),SUM(EA3:INDEX(EA3:$ES$3,,_xlfn.AGGREGATE(15,6,(COLUMN(EA3:$ES$3)-COLUMN()-1)/(LEFT(EA6:$ES$6,1)&lt;&gt;"("),1))),1,INDEX('Capacity'!$B$2:$ED$2,MATCH(DY6,'Capacity'!$3:$3,0))*IFERROR(INDEX(tRates[[Yearly WDs]:[Yearly WDs]],MATCH(DY6,tRates[[Key (lookup)]:[Key (lookup)]],0)),200))</f>
        <v>0</v>
      </c>
      <c r="DZ3" s="68" cm="1">
        <f t="array" ref="DZ3">_xlfn.IFS(DZ2="no rate","",ISTEXT(DZ2),SUM(EB3:INDEX(EB3:$ES$3,,_xlfn.AGGREGATE(15,6,(COLUMN(EB3:$ES$3)-COLUMN()-1)/(LEFT(EB6:$ES$6,1)&lt;&gt;"("),1))),1,INDEX('Capacity'!$B$2:$ED$2,MATCH(DZ6,'Capacity'!$3:$3,0))*IFERROR(INDEX(tRates[[Yearly WDs]:[Yearly WDs]],MATCH(DZ6,tRates[[Key (lookup)]:[Key (lookup)]],0)),200))</f>
        <v>0</v>
      </c>
      <c r="EA3" s="68" cm="1">
        <f t="array" ref="EA3">_xlfn.IFS(EA2="no rate","",ISTEXT(EA2),SUM(EC3:INDEX(EC3:$ES$3,,_xlfn.AGGREGATE(15,6,(COLUMN(EC3:$ES$3)-COLUMN()-1)/(LEFT(EC6:$ES$6,1)&lt;&gt;"("),1))),1,INDEX('Capacity'!$B$2:$ED$2,MATCH(EA6,'Capacity'!$3:$3,0))*IFERROR(INDEX(tRates[[Yearly WDs]:[Yearly WDs]],MATCH(EA6,tRates[[Key (lookup)]:[Key (lookup)]],0)),200))</f>
        <v>0</v>
      </c>
      <c r="EB3" s="68" cm="1">
        <f t="array" ref="EB3">_xlfn.IFS(EB2="no rate","",ISTEXT(EB2),SUM(EC3:INDEX(EC3:$ES$3,,_xlfn.AGGREGATE(15,6,(COLUMN(EC3:$ES$3)-COLUMN()-1)/(LEFT(EC6:$ES$6,1)&lt;&gt;"("),1))),1,INDEX('Capacity'!$B$2:$ED$2,MATCH(EB6,'Capacity'!$3:$3,0))*IFERROR(INDEX(tRates[[Yearly WDs]:[Yearly WDs]],MATCH(EB6,tRates[[Key (lookup)]:[Key (lookup)]],0)),200))</f>
        <v>0</v>
      </c>
      <c r="EC3" s="68" cm="1">
        <f t="array" ref="EC3">_xlfn.IFS(EC2="no rate","",ISTEXT(EC2),SUM(ED3:INDEX(ED3:$ES$3,,_xlfn.AGGREGATE(15,6,(COLUMN(ED3:$ES$3)-COLUMN()-1)/(LEFT(ED6:$ES$6,1)&lt;&gt;"("),1))),1,INDEX('Capacity'!$B$2:$ED$2,MATCH(EC6,'Capacity'!$3:$3,0))*IFERROR(INDEX(tRates[[Yearly WDs]:[Yearly WDs]],MATCH(EC6,tRates[[Key (lookup)]:[Key (lookup)]],0)),200))</f>
        <v>0</v>
      </c>
      <c r="ED3" s="68" cm="1">
        <f t="array" ref="ED3">_xlfn.IFS(ED2="no rate","",ISTEXT(ED2),SUM(EE3:INDEX(EE3:$ES$3,,_xlfn.AGGREGATE(15,6,(COLUMN(EE3:$ES$3)-COLUMN()-1)/(LEFT(EE6:$ES$6,1)&lt;&gt;"("),1))),1,INDEX('Capacity'!$B$2:$ED$2,MATCH(ED6,'Capacity'!$3:$3,0))*IFERROR(INDEX(tRates[[Yearly WDs]:[Yearly WDs]],MATCH(ED6,tRates[[Key (lookup)]:[Key (lookup)]],0)),200))</f>
        <v>0</v>
      </c>
      <c r="EE3" s="68" cm="1">
        <f t="array" ref="EE3">_xlfn.IFS(EE2="no rate","",ISTEXT(EE2),SUM(EF3:INDEX(EF3:$ES$3,,_xlfn.AGGREGATE(15,6,(COLUMN(EF3:$ES$3)-COLUMN()-1)/(LEFT(EF6:$ES$6,1)&lt;&gt;"("),1))),1,INDEX('Capacity'!$B$2:$ED$2,MATCH(EE6,'Capacity'!$3:$3,0))*IFERROR(INDEX(tRates[[Yearly WDs]:[Yearly WDs]],MATCH(EE6,tRates[[Key (lookup)]:[Key (lookup)]],0)),200))</f>
        <v>0</v>
      </c>
      <c r="EF3" s="68" t="e" cm="1">
        <f t="array" ref="EF3">_xlfn.IFS(EF2="no rate","",ISTEXT(EF2),SUM(EG3:INDEX(EG3:$ES$3,,_xlfn.AGGREGATE(15,6,(COLUMN(EG3:$ES$3)-COLUMN()-1)/(LEFT(EG6:$ES$6,1)&lt;&gt;"("),1))),1,INDEX('Capacity'!$B$2:$ED$2,MATCH(EF6,'Capacity'!$3:$3,0))*IFERROR(INDEX(tRates[[Yearly WDs]:[Yearly WDs]],MATCH(EF6,tRates[[Key (lookup)]:[Key (lookup)]],0)),200))</f>
        <v>#REF!</v>
      </c>
      <c r="EG3" s="68" t="str" cm="1">
        <f t="array" ref="EG3">_xlfn.IFS(EG2="no rate","",ISTEXT(EG2),SUM(EH3:INDEX(EH3:$ES$3,,_xlfn.AGGREGATE(15,6,(COLUMN(EH3:$ES$3)-COLUMN()-1)/(LEFT(EH6:$ES$6,1)&lt;&gt;"("),1))),1,INDEX('Capacity'!$B$2:$ED$2,MATCH(EG6,'Capacity'!$3:$3,0))*IFERROR(INDEX(tRates[[Yearly WDs]:[Yearly WDs]],MATCH(EG6,tRates[[Key (lookup)]:[Key (lookup)]],0)),200))</f>
        <v/>
      </c>
      <c r="EH3" s="68" cm="1">
        <f t="array" ref="EH3">_xlfn.IFS(EH2="no rate","",ISTEXT(EH2),SUM(EI3:INDEX(EI3:$ES$3,,_xlfn.AGGREGATE(15,6,(COLUMN(EI3:$ES$3)-COLUMN()-1)/(LEFT(EI6:$ES$6,1)&lt;&gt;"("),1))),1,INDEX('Capacity'!$B$2:$ED$2,MATCH(EH6,'Capacity'!$3:$3,0))*IFERROR(INDEX(tRates[[Yearly WDs]:[Yearly WDs]],MATCH(EH6,tRates[[Key (lookup)]:[Key (lookup)]],0)),200))</f>
        <v>0</v>
      </c>
      <c r="EI3" s="68" cm="1">
        <f t="array" ref="EI3">_xlfn.IFS(EI2="no rate","",ISTEXT(EI2),SUM(EJ3:INDEX(EJ3:$ES$3,,_xlfn.AGGREGATE(15,6,(COLUMN(EJ3:$ES$3)-COLUMN()-1)/(LEFT(EJ6:$ES$6,1)&lt;&gt;"("),1))),1,INDEX('Capacity'!$B$2:$ED$2,MATCH(EI6,'Capacity'!$3:$3,0))*IFERROR(INDEX(tRates[[Yearly WDs]:[Yearly WDs]],MATCH(EI6,tRates[[Key (lookup)]:[Key (lookup)]],0)),200))</f>
        <v>0</v>
      </c>
      <c r="EJ3" s="68" cm="1">
        <f t="array" ref="EJ3">_xlfn.IFS(EJ2="no rate","",ISTEXT(EJ2),SUM(EK3:INDEX(EK3:$ES$3,,_xlfn.AGGREGATE(15,6,(COLUMN(EK3:$ES$3)-COLUMN()-1)/(LEFT(EK6:$ES$6,1)&lt;&gt;"("),1))),1,INDEX('Capacity'!$B$2:$ED$2,MATCH(EJ6,'Capacity'!$3:$3,0))*IFERROR(INDEX(tRates[[Yearly WDs]:[Yearly WDs]],MATCH(EJ6,tRates[[Key (lookup)]:[Key (lookup)]],0)),200))</f>
        <v>0</v>
      </c>
      <c r="EK3" s="68" cm="1">
        <f t="array" ref="EK3">_xlfn.IFS(EK2="no rate","",ISTEXT(EK2),SUM(EL3:INDEX(EL3:$ES$3,,_xlfn.AGGREGATE(15,6,(COLUMN(EL3:$ES$3)-COLUMN()-1)/(LEFT(EL6:$ES$6,1)&lt;&gt;"("),1))),1,INDEX('Capacity'!$B$2:$ED$2,MATCH(EK6,'Capacity'!$3:$3,0))*IFERROR(INDEX(tRates[[Yearly WDs]:[Yearly WDs]],MATCH(EK6,tRates[[Key (lookup)]:[Key (lookup)]],0)),200))</f>
        <v>0</v>
      </c>
      <c r="EL3" s="68" cm="1">
        <f t="array" ref="EL3">_xlfn.IFS(EL2="no rate","",ISTEXT(EL2),SUM(EM3:INDEX(EM3:$ES$3,,_xlfn.AGGREGATE(15,6,(COLUMN(EM3:$ES$3)-COLUMN()-1)/(LEFT(EM6:$ES$6,1)&lt;&gt;"("),1))),1,INDEX('Capacity'!$B$2:$ED$2,MATCH(EL6,'Capacity'!$3:$3,0))*IFERROR(INDEX(tRates[[Yearly WDs]:[Yearly WDs]],MATCH(EL6,tRates[[Key (lookup)]:[Key (lookup)]],0)),200))</f>
        <v>0</v>
      </c>
      <c r="EM3" s="68" cm="1">
        <f t="array" ref="EM3">_xlfn.IFS(EM2="no rate","",ISTEXT(EM2),SUM(EN3:INDEX(EN3:$ES$3,,_xlfn.AGGREGATE(15,6,(COLUMN(EN3:$ES$3)-COLUMN()-1)/(LEFT(EN6:$ES$6,1)&lt;&gt;"("),1))),1,INDEX('Capacity'!$B$2:$ED$2,MATCH(EM6,'Capacity'!$3:$3,0))*IFERROR(INDEX(tRates[[Yearly WDs]:[Yearly WDs]],MATCH(EM6,tRates[[Key (lookup)]:[Key (lookup)]],0)),200))</f>
        <v>0</v>
      </c>
      <c r="EN3" s="68" cm="1">
        <f t="array" ref="EN3">_xlfn.IFS(EN2="no rate","",ISTEXT(EN2),SUM(EO3:INDEX(EO3:$ES$3,,_xlfn.AGGREGATE(15,6,(COLUMN(EO3:$ES$3)-COLUMN()-1)/(LEFT(EO6:$ES$6,1)&lt;&gt;"("),1))),1,INDEX('Capacity'!$B$2:$ED$2,MATCH(EN6,'Capacity'!$3:$3,0))*IFERROR(INDEX(tRates[[Yearly WDs]:[Yearly WDs]],MATCH(EN6,tRates[[Key (lookup)]:[Key (lookup)]],0)),200))</f>
        <v>0</v>
      </c>
      <c r="EO3" s="68" cm="1">
        <f t="array" ref="EO3">_xlfn.IFS(EO2="no rate","",ISTEXT(EO2),SUM(EP3:INDEX(EP3:$ES$3,,_xlfn.AGGREGATE(15,6,(COLUMN(EP3:$ES$3)-COLUMN()-1)/(LEFT(EP6:$ES$6,1)&lt;&gt;"("),1))),1,INDEX('Capacity'!$B$2:$ED$2,MATCH(EO6,'Capacity'!$3:$3,0))*IFERROR(INDEX(tRates[[Yearly WDs]:[Yearly WDs]],MATCH(EO6,tRates[[Key (lookup)]:[Key (lookup)]],0)),200))</f>
        <v>0</v>
      </c>
      <c r="EP3" s="68" t="e" cm="1">
        <f t="array" ref="EP3">_xlfn.IFS(EP2="no rate","",ISTEXT(EP2),SUM(EQ3:INDEX(EQ3:$ES$3,,_xlfn.AGGREGATE(15,6,(COLUMN(EQ3:$ES$3)-COLUMN()-1)/(LEFT(EQ6:$ES$6,1)&lt;&gt;"("),1))),1,INDEX('Capacity'!$B$2:$ED$2,MATCH(EP6,'Capacity'!$3:$3,0))*IFERROR(INDEX(tRates[[Yearly WDs]:[Yearly WDs]],MATCH(EP6,tRates[[Key (lookup)]:[Key (lookup)]],0)),200))</f>
        <v>#REF!</v>
      </c>
      <c r="EQ3" s="68" t="str" cm="1">
        <f t="array" ref="EQ3">_xlfn.IFS(EQ2="no rate","",ISTEXT(EQ2),SUM(ER3:INDEX(ER3:$ES$3,,_xlfn.AGGREGATE(15,6,(COLUMN(ER3:$ES$3)-COLUMN()-1)/(LEFT(ER6:$ES$6,1)&lt;&gt;"("),1))),1,INDEX('Capacity'!$B$2:$ED$2,MATCH(EQ6,'Capacity'!$3:$3,0))*IFERROR(INDEX(tRates[[Yearly WDs]:[Yearly WDs]],MATCH(EQ6,tRates[[Key (lookup)]:[Key (lookup)]],0)),200))</f>
        <v/>
      </c>
      <c r="ER3" s="68"/>
      <c r="ES3" s="68"/>
      <c r="ET3" s="64"/>
      <c r="EU3" s="64"/>
      <c r="EV3" s="64"/>
      <c r="EW3" s="64"/>
      <c r="EX3" s="64"/>
      <c r="EY3" s="64"/>
      <c r="EZ3" s="64"/>
      <c r="FA3" s="64"/>
      <c r="FB3" s="64"/>
      <c r="FC3" s="64"/>
      <c r="FD3" s="64"/>
      <c r="FE3" s="64"/>
      <c r="FF3" s="64"/>
      <c r="FG3" s="64"/>
      <c r="FH3" s="64"/>
    </row>
    <row r="4" spans="1:172" customFormat="1" x14ac:dyDescent="0.2">
      <c r="C4" s="60" t="str" cm="1">
        <f t="array" ref="C4">"total kEUR: "&amp;TEXT(SUMPRODUCT($P$4:$EQ$4,(LEFT($P$6:$EQ$6,1)&lt;&gt;"(")*1),"#.## k€")</f>
        <v>total kEUR: .k€</v>
      </c>
      <c r="P4" s="58" cm="1">
        <f t="array" ref="P4">_xlfn.IFS(RIGHT(P6,4)="KEUR",P5,P2="no rate","",ISTEXT(P2),SUM(Q4:INDEX(Q4:$ES$4,,_xlfn.AGGREGATE(15,6,(COLUMN(Q4:$ES$4)-COLUMN()-1)/(LEFT(Q6:$ES$6,1)&lt;&gt;"("),1))),1,P2*P5)</f>
        <v>0</v>
      </c>
      <c r="Q4" s="5064" t="n">
        <v>430.44</v>
      </c>
      <c r="R4" s="5066" t="n">
        <v>637.5</v>
      </c>
      <c r="S4" s="5068" t="n">
        <v>7674.24</v>
      </c>
      <c r="T4" s="5070" t="n">
        <v>570.0</v>
      </c>
      <c r="U4" s="58" cm="1">
        <f t="array" ref="U4">_xlfn.IFS(RIGHT(U6,4)="KEUR",U5,U2="no rate","",ISTEXT(U2),SUM(V4:INDEX(V4:$ES$4,,_xlfn.AGGREGATE(15,6,(COLUMN(V4:$ES$4)-COLUMN()-1)/(LEFT(V6:$ES$6,1)&lt;&gt;"("),1))),1,U2*U5)</f>
        <v>0</v>
      </c>
      <c r="V4" s="5072" t="n">
        <v>7856.55</v>
      </c>
      <c r="W4" s="58" cm="1">
        <f t="array" ref="W4">_xlfn.IFS(RIGHT(W6,4)="KEUR",W5,W2="no rate","",ISTEXT(W2),SUM(X4:INDEX(X4:$ES$4,,_xlfn.AGGREGATE(15,6,(COLUMN(X4:$ES$4)-COLUMN()-1)/(LEFT(X6:$ES$6,1)&lt;&gt;"("),1))),1,W2*W5)</f>
        <v>0</v>
      </c>
      <c r="X4" s="5076" t="n">
        <v>3089.94</v>
      </c>
      <c r="Y4" s="5074" t="n">
        <v>3094.17</v>
      </c>
      <c r="Z4" s="58" cm="1">
        <f t="array" ref="Z4">_xlfn.IFS(RIGHT(Z6,4)="KEUR",Z5,Z2="no rate","",ISTEXT(Z2),SUM(AA4:INDEX(AA4:$ES$4,,_xlfn.AGGREGATE(15,6,(COLUMN(AA4:$ES$4)-COLUMN()-1)/(LEFT(AA6:$ES$6,1)&lt;&gt;"("),1))),1,Z2*Z5)</f>
        <v>0</v>
      </c>
      <c r="AA4" s="58" cm="1">
        <f t="array" ref="AA4">_xlfn.IFS(RIGHT(AA6,4)="KEUR",AA5,AA2="no rate","",ISTEXT(AA2),SUM(AB4:INDEX(AB4:$ES$4,,_xlfn.AGGREGATE(15,6,(COLUMN(AB4:$ES$4)-COLUMN()-1)/(LEFT(AB6:$ES$6,1)&lt;&gt;"("),1))),1,AA2*AA5)</f>
        <v>0</v>
      </c>
      <c r="AB4" s="58" cm="1">
        <f t="array" ref="AB4">_xlfn.IFS(RIGHT(AB6,4)="KEUR",AB5,AB2="no rate","",ISTEXT(AB2),SUM(AC4:INDEX(AC4:$ES$4,,_xlfn.AGGREGATE(15,6,(COLUMN(AC4:$ES$4)-COLUMN()-1)/(LEFT(AC6:$ES$6,1)&lt;&gt;"("),1))),1,AB2*AB5)</f>
        <v>0</v>
      </c>
      <c r="AC4" s="58" cm="1">
        <f t="array" ref="AC4">_xlfn.IFS(RIGHT(AC6,4)="KEUR",AC5,AC2="no rate","",ISTEXT(AC2),SUM(AD4:INDEX(AD4:$ES$4,,_xlfn.AGGREGATE(15,6,(COLUMN(AD4:$ES$4)-COLUMN()-1)/(LEFT(AD6:$ES$6,1)&lt;&gt;"("),1))),1,AC2*AC5)</f>
        <v>0</v>
      </c>
      <c r="AD4" s="58" cm="1">
        <f t="array" ref="AD4">_xlfn.IFS(RIGHT(AD6,4)="KEUR",AD5,AD2="no rate","",ISTEXT(AD2),SUM(AE4:INDEX(AE4:$ES$4,,_xlfn.AGGREGATE(15,6,(COLUMN(AE4:$ES$4)-COLUMN()-1)/(LEFT(AE6:$ES$6,1)&lt;&gt;"("),1))),1,AD2*AD5)</f>
        <v>0</v>
      </c>
      <c r="AE4" s="58" cm="1">
        <f t="array" ref="AE4">_xlfn.IFS(RIGHT(AE6,4)="KEUR",AE5,AE2="no rate","",ISTEXT(AE2),SUM(AF4:INDEX(AF4:$ES$4,,_xlfn.AGGREGATE(15,6,(COLUMN(AF4:$ES$4)-COLUMN()-1)/(LEFT(AF6:$ES$6,1)&lt;&gt;"("),1))),1,AE2*AE5)</f>
        <v>0</v>
      </c>
      <c r="AF4" s="5078" t="n">
        <v>6896.22</v>
      </c>
      <c r="AG4" s="5080" t="n">
        <v>408.0</v>
      </c>
      <c r="AH4" s="5082" t="n">
        <v>3786.75</v>
      </c>
      <c r="AI4" s="5084" t="n">
        <v>668.1</v>
      </c>
      <c r="AJ4" s="58" cm="1">
        <f t="array" ref="AJ4">_xlfn.IFS(RIGHT(AJ6,4)="KEUR",AJ5,AJ2="no rate","",ISTEXT(AJ2),SUM(AK4:INDEX(AK4:$ES$4,,_xlfn.AGGREGATE(15,6,(COLUMN(AK4:$ES$4)-COLUMN()-1)/(LEFT(AK6:$ES$6,1)&lt;&gt;"("),1))),1,AJ2*AJ5)</f>
        <v>0</v>
      </c>
      <c r="AK4" s="58" cm="1">
        <f t="array" ref="AK4">_xlfn.IFS(RIGHT(AK6,4)="KEUR",AK5,AK2="no rate","",ISTEXT(AK2),SUM(AL4:INDEX(AL4:$ES$4,,_xlfn.AGGREGATE(15,6,(COLUMN(AL4:$ES$4)-COLUMN()-1)/(LEFT(AL6:$ES$6,1)&lt;&gt;"("),1))),1,AK2*AK5)</f>
        <v>0</v>
      </c>
      <c r="AL4" s="58" cm="1">
        <f t="array" ref="AL4">_xlfn.IFS(RIGHT(AL6,4)="KEUR",AL5,AL2="no rate","",ISTEXT(AL2),SUM(AM4:INDEX(AM4:$ES$4,,_xlfn.AGGREGATE(15,6,(COLUMN(AM4:$ES$4)-COLUMN()-1)/(LEFT(AM6:$ES$6,1)&lt;&gt;"("),1))),1,AL2*AL5)</f>
        <v>0</v>
      </c>
      <c r="AM4" s="5086" t="n">
        <v>5273.400000000001</v>
      </c>
      <c r="AN4" s="5088" t="n">
        <v>1101.6</v>
      </c>
      <c r="AO4" s="58" cm="1">
        <f t="array" ref="AO4">_xlfn.IFS(RIGHT(AO6,4)="KEUR",AO5,AO2="no rate","",ISTEXT(AO2),SUM(AP4:INDEX(AP4:$ES$4,,_xlfn.AGGREGATE(15,6,(COLUMN(AP4:$ES$4)-COLUMN()-1)/(LEFT(AP6:$ES$6,1)&lt;&gt;"("),1))),1,AO2*AO5)</f>
        <v>0</v>
      </c>
      <c r="AP4" s="58" cm="1">
        <f t="array" ref="AP4">_xlfn.IFS(RIGHT(AP6,4)="KEUR",AP5,AP2="no rate","",ISTEXT(AP2),SUM(AQ4:INDEX(AQ4:$ES$4,,_xlfn.AGGREGATE(15,6,(COLUMN(AQ4:$ES$4)-COLUMN()-1)/(LEFT(AQ6:$ES$6,1)&lt;&gt;"("),1))),1,AP2*AP5)</f>
        <v>0</v>
      </c>
      <c r="AQ4" s="58" cm="1">
        <f t="array" ref="AQ4">_xlfn.IFS(RIGHT(AQ6,4)="KEUR",AQ5,AQ2="no rate","",ISTEXT(AQ2),SUM(AR4:INDEX(AR4:$ES$4,,_xlfn.AGGREGATE(15,6,(COLUMN(AR4:$ES$4)-COLUMN()-1)/(LEFT(AR6:$ES$6,1)&lt;&gt;"("),1))),1,AQ2*AQ5)</f>
        <v>0</v>
      </c>
      <c r="AR4" s="58" cm="1">
        <f t="array" ref="AR4">_xlfn.IFS(RIGHT(AR6,4)="KEUR",AR5,AR2="no rate","",ISTEXT(AR2),SUM(AS4:INDEX(AS4:$ES$4,,_xlfn.AGGREGATE(15,6,(COLUMN(AS4:$ES$4)-COLUMN()-1)/(LEFT(AS6:$ES$6,1)&lt;&gt;"("),1))),1,AR2*AR5)</f>
        <v>0</v>
      </c>
      <c r="AS4" s="58" cm="1">
        <f t="array" ref="AS4">_xlfn.IFS(RIGHT(AS6,4)="KEUR",AS5,AS2="no rate","",ISTEXT(AS2),SUM(AT4:INDEX(AT4:$ES$4,,_xlfn.AGGREGATE(15,6,(COLUMN(AT4:$ES$4)-COLUMN()-1)/(LEFT(AT6:$ES$6,1)&lt;&gt;"("),1))),1,AS2*AS5)</f>
        <v>0</v>
      </c>
      <c r="AT4" s="58" cm="1">
        <f t="array" ref="AT4">_xlfn.IFS(RIGHT(AT6,4)="KEUR",AT5,AT2="no rate","",ISTEXT(AT2),SUM(AU4:INDEX(AU4:$ES$4,,_xlfn.AGGREGATE(15,6,(COLUMN(AU4:$ES$4)-COLUMN()-1)/(LEFT(AU6:$ES$6,1)&lt;&gt;"("),1))),1,AT2*AT5)</f>
        <v>0</v>
      </c>
      <c r="AU4" s="58" cm="1">
        <f t="array" ref="AU4">_xlfn.IFS(RIGHT(AU6,4)="KEUR",AU5,AU2="no rate","",ISTEXT(AU2),SUM(AV4:INDEX(AV4:$ES$4,,_xlfn.AGGREGATE(15,6,(COLUMN(AV4:$ES$4)-COLUMN()-1)/(LEFT(AV6:$ES$6,1)&lt;&gt;"("),1))),1,AU2*AU5)</f>
        <v>0</v>
      </c>
      <c r="AV4" s="58" cm="1">
        <f t="array" ref="AV4">_xlfn.IFS(RIGHT(AV6,4)="KEUR",AV5,AV2="no rate","",ISTEXT(AV2),SUM(AW4:INDEX(AW4:$ES$4,,_xlfn.AGGREGATE(15,6,(COLUMN(AW4:$ES$4)-COLUMN()-1)/(LEFT(AW6:$ES$6,1)&lt;&gt;"("),1))),1,AV2*AV5)</f>
        <v>0</v>
      </c>
      <c r="AW4" s="58" cm="1">
        <f t="array" ref="AW4">_xlfn.IFS(RIGHT(AW6,4)="KEUR",AW5,AW2="no rate","",ISTEXT(AW2),SUM(AX4:INDEX(AX4:$ES$4,,_xlfn.AGGREGATE(15,6,(COLUMN(AX4:$ES$4)-COLUMN()-1)/(LEFT(AX6:$ES$6,1)&lt;&gt;"("),1))),1,AW2*AW5)</f>
        <v>0</v>
      </c>
      <c r="AX4" s="58" cm="1">
        <f t="array" ref="AX4">_xlfn.IFS(RIGHT(AX6,4)="KEUR",AX5,AX2="no rate","",ISTEXT(AX2),SUM(AY4:INDEX(AY4:$ES$4,,_xlfn.AGGREGATE(15,6,(COLUMN(AY4:$ES$4)-COLUMN()-1)/(LEFT(AY6:$ES$6,1)&lt;&gt;"("),1))),1,AX2*AX5)</f>
        <v>0</v>
      </c>
      <c r="AY4" s="58" cm="1">
        <f t="array" ref="AY4">_xlfn.IFS(RIGHT(AY6,4)="KEUR",AY5,AY2="no rate","",ISTEXT(AY2),SUM(AZ4:INDEX(AZ4:$ES$4,,_xlfn.AGGREGATE(15,6,(COLUMN(AZ4:$ES$4)-COLUMN()-1)/(LEFT(AZ6:$ES$6,1)&lt;&gt;"("),1))),1,AY2*AY5)</f>
        <v>0</v>
      </c>
      <c r="AZ4" s="58" cm="1">
        <f t="array" ref="AZ4">_xlfn.IFS(RIGHT(AZ6,4)="KEUR",AZ5,AZ2="no rate","",ISTEXT(AZ2),SUM(BA4:INDEX(BA4:$ES$4,,_xlfn.AGGREGATE(15,6,(COLUMN(BA4:$ES$4)-COLUMN()-1)/(LEFT(BA6:$ES$6,1)&lt;&gt;"("),1))),1,AZ2*AZ5)</f>
        <v>0</v>
      </c>
      <c r="BA4" s="58" cm="1">
        <f t="array" ref="BA4">_xlfn.IFS(RIGHT(BA6,4)="KEUR",BA5,BA2="no rate","",ISTEXT(BA2),SUM(BB4:INDEX(BB4:$ES$4,,_xlfn.AGGREGATE(15,6,(COLUMN(BB4:$ES$4)-COLUMN()-1)/(LEFT(BB6:$ES$6,1)&lt;&gt;"("),1))),1,BA2*BA5)</f>
        <v>0</v>
      </c>
      <c r="BB4" s="58" cm="1">
        <f t="array" ref="BB4">_xlfn.IFS(RIGHT(BB6,4)="KEUR",BB5,BB2="no rate","",ISTEXT(BB2),SUM(BC4:INDEX(BC4:$ES$4,,_xlfn.AGGREGATE(15,6,(COLUMN(BC4:$ES$4)-COLUMN()-1)/(LEFT(BC6:$ES$6,1)&lt;&gt;"("),1))),1,BB2*BB5)</f>
        <v>0</v>
      </c>
      <c r="BC4" s="58" cm="1">
        <f t="array" ref="BC4">_xlfn.IFS(RIGHT(BC6,4)="KEUR",BC5,BC2="no rate","",ISTEXT(BC2),SUM(BD4:INDEX(BD4:$ES$4,,_xlfn.AGGREGATE(15,6,(COLUMN(BD4:$ES$4)-COLUMN()-1)/(LEFT(BD6:$ES$6,1)&lt;&gt;"("),1))),1,BC2*BC5)</f>
        <v>0</v>
      </c>
      <c r="BD4" s="58" cm="1">
        <f t="array" ref="BD4">_xlfn.IFS(RIGHT(BD6,4)="KEUR",BD5,BD2="no rate","",ISTEXT(BD2),SUM(BF4:INDEX(BF4:$ES$4,,_xlfn.AGGREGATE(15,6,(COLUMN(BF4:$ES$4)-COLUMN()-1)/(LEFT(BF6:$ES$6,1)&lt;&gt;"("),1))),1,BD2*BD5)</f>
        <v>0</v>
      </c>
      <c r="BE4" s="58" cm="1">
        <f t="array" ref="BE4">_xlfn.IFS(RIGHT(BE6,4)="KEUR",BE5,BE2="no rate","",ISTEXT(BE2),SUM(BG4:INDEX(BG4:$ES$4,,_xlfn.AGGREGATE(15,6,(COLUMN(BG4:$ES$4)-COLUMN()-1)/(LEFT(BG6:$ES$6,1)&lt;&gt;"("),1))),1,BE2*BE5)</f>
        <v>0</v>
      </c>
      <c r="BF4" s="58" cm="1">
        <f t="array" ref="BF4">_xlfn.IFS(RIGHT(BF6,4)="KEUR",BF5,BF2="no rate","",ISTEXT(BF2),SUM(BH4:INDEX(BH4:$ES$4,,_xlfn.AGGREGATE(15,6,(COLUMN(BH4:$ES$4)-COLUMN()-1)/(LEFT(BH6:$ES$6,1)&lt;&gt;"("),1))),1,BF2*BF5)</f>
        <v>0</v>
      </c>
      <c r="BG4" s="58" cm="1">
        <f t="array" ref="BG4">_xlfn.IFS(RIGHT(BG6,4)="KEUR",BG5,BG2="no rate","",ISTEXT(BG2),SUM(BI4:INDEX(BI4:$ES$4,,_xlfn.AGGREGATE(15,6,(COLUMN(BI4:$ES$4)-COLUMN()-1)/(LEFT(BI6:$ES$6,1)&lt;&gt;"("),1))),1,BG2*BG5)</f>
        <v>0</v>
      </c>
      <c r="BH4" s="58" cm="1">
        <f t="array" ref="BH4">_xlfn.IFS(RIGHT(BH6,4)="KEUR",BH5,BH2="no rate","",ISTEXT(BH2),SUM(BI4:INDEX(BI4:$ES$4,,_xlfn.AGGREGATE(15,6,(COLUMN(BI4:$ES$4)-COLUMN()-1)/(LEFT(BI6:$ES$6,1)&lt;&gt;"("),1))),1,BH2*BH5)</f>
        <v>0</v>
      </c>
      <c r="BI4" s="58" cm="1">
        <f t="array" ref="BI4">_xlfn.IFS(RIGHT(BI6,4)="KEUR",BI5,BI2="no rate","",ISTEXT(BI2),SUM(BJ4:INDEX(BJ4:$ES$4,,_xlfn.AGGREGATE(15,6,(COLUMN(BJ4:$ES$4)-COLUMN()-1)/(LEFT(BJ6:$ES$6,1)&lt;&gt;"("),1))),1,BI2*BI5)</f>
        <v>0</v>
      </c>
      <c r="BJ4" s="58" cm="1">
        <f t="array" ref="BJ4">_xlfn.IFS(RIGHT(BJ6,4)="KEUR",BJ5,BJ2="no rate","",ISTEXT(BJ2),SUM(BK4:INDEX(BK4:$ES$4,,_xlfn.AGGREGATE(15,6,(COLUMN(BK4:$ES$4)-COLUMN()-1)/(LEFT(BK6:$ES$6,1)&lt;&gt;"("),1))),1,BJ2*BJ5)</f>
        <v>0</v>
      </c>
      <c r="BK4" s="58" cm="1">
        <f t="array" ref="BK4">_xlfn.IFS(RIGHT(BK6,4)="KEUR",BK5,BK2="no rate","",ISTEXT(BK2),SUM(BO4:INDEX(BO4:$ES$4,,_xlfn.AGGREGATE(15,6,(COLUMN(BO4:$ES$4)-COLUMN()-1)/(LEFT(BO6:$ES$6,1)&lt;&gt;"("),1))),1,BK2*BK5)</f>
        <v>0</v>
      </c>
      <c r="BL4" s="58" cm="1">
        <f t="array" ref="BL4">_xlfn.IFS(RIGHT(BL6,4)="KEUR",BL5,BL2="no rate","",ISTEXT(BL2),SUM(BP4:INDEX(BP4:$ES$4,,_xlfn.AGGREGATE(15,6,(COLUMN(BP4:$ES$4)-COLUMN()-1)/(LEFT(BP6:$ES$6,1)&lt;&gt;"("),1))),1,BL2*BL5)</f>
        <v>0</v>
      </c>
      <c r="BM4" s="58" cm="1">
        <f t="array" ref="BM4">_xlfn.IFS(RIGHT(BM6,4)="KEUR",BM5,BM2="no rate","",ISTEXT(BM2),SUM(BQ4:INDEX(BQ4:$ES$4,,_xlfn.AGGREGATE(15,6,(COLUMN(BQ4:$ES$4)-COLUMN()-1)/(LEFT(BQ6:$ES$6,1)&lt;&gt;"("),1))),1,BM2*BM5)</f>
        <v>0</v>
      </c>
      <c r="BN4" s="58" cm="1">
        <f t="array" ref="BN4">_xlfn.IFS(RIGHT(BN6,4)="KEUR",BN5,BN2="no rate","",ISTEXT(BN2),SUM(BR4:INDEX(BR4:$ES$4,,_xlfn.AGGREGATE(15,6,(COLUMN(BR4:$ES$4)-COLUMN()-1)/(LEFT(BR6:$ES$6,1)&lt;&gt;"("),1))),1,BN2*BN5)</f>
        <v>0</v>
      </c>
      <c r="BO4" s="58" cm="1">
        <f t="array" ref="BO4">_xlfn.IFS(RIGHT(BO6,4)="KEUR",BO5,BO2="no rate","",ISTEXT(BO2),SUM(BS4:INDEX(BS4:$ES$4,,_xlfn.AGGREGATE(15,6,(COLUMN(BS4:$ES$4)-COLUMN()-1)/(LEFT(BS6:$ES$6,1)&lt;&gt;"("),1))),1,BO2*BO5)</f>
        <v>0</v>
      </c>
      <c r="BP4" s="58" cm="1">
        <f t="array" ref="BP4">_xlfn.IFS(RIGHT(BP6,4)="KEUR",BP5,BP2="no rate","",ISTEXT(BP2),SUM(BQ4:INDEX(BQ4:$ES$4,,_xlfn.AGGREGATE(15,6,(COLUMN(BQ4:$ES$4)-COLUMN()-1)/(LEFT(BQ6:$ES$6,1)&lt;&gt;"("),1))),1,BP2*BP5)</f>
        <v>0</v>
      </c>
      <c r="BQ4" s="58" cm="1">
        <f t="array" ref="BQ4">_xlfn.IFS(RIGHT(BQ6,4)="KEUR",BQ5,BQ2="no rate","",ISTEXT(BQ2),SUM(BR4:INDEX(BR4:$ES$4,,_xlfn.AGGREGATE(15,6,(COLUMN(BR4:$ES$4)-COLUMN()-1)/(LEFT(BR6:$ES$6,1)&lt;&gt;"("),1))),1,BQ2*BQ5)</f>
        <v>0</v>
      </c>
      <c r="BR4" s="58" cm="1">
        <f t="array" ref="BR4">_xlfn.IFS(RIGHT(BR6,4)="KEUR",BR5,BR2="no rate","",ISTEXT(BR2),SUM(BS4:INDEX(BS4:$ES$4,,_xlfn.AGGREGATE(15,6,(COLUMN(BS4:$ES$4)-COLUMN()-1)/(LEFT(BS6:$ES$6,1)&lt;&gt;"("),1))),1,BR2*BR5)</f>
        <v>0</v>
      </c>
      <c r="BS4" s="58" cm="1">
        <f t="array" ref="BS4">_xlfn.IFS(RIGHT(BS6,4)="KEUR",BS5,BS2="no rate","",ISTEXT(BS2),SUM(BT4:INDEX(BT4:$ES$4,,_xlfn.AGGREGATE(15,6,(COLUMN(BT4:$ES$4)-COLUMN()-1)/(LEFT(BT6:$ES$6,1)&lt;&gt;"("),1))),1,BS2*BS5)</f>
        <v>0</v>
      </c>
      <c r="BT4" s="58" cm="1">
        <f t="array" ref="BT4">_xlfn.IFS(RIGHT(BT6,4)="KEUR",BT5,BT2="no rate","",ISTEXT(BT2),SUM(BU4:INDEX(BU4:$ES$4,,_xlfn.AGGREGATE(15,6,(COLUMN(BU4:$ES$4)-COLUMN()-1)/(LEFT(BU6:$ES$6,1)&lt;&gt;"("),1))),1,BT2*BT5)</f>
        <v>0</v>
      </c>
      <c r="BU4" s="58" cm="1">
        <f t="array" ref="BU4">_xlfn.IFS(RIGHT(BU6,4)="KEUR",BU5,BU2="no rate","",ISTEXT(BU2),SUM(BV4:INDEX(BV4:$ES$4,,_xlfn.AGGREGATE(15,6,(COLUMN(BV4:$ES$4)-COLUMN()-1)/(LEFT(BV6:$ES$6,1)&lt;&gt;"("),1))),1,BU2*BU5)</f>
        <v>0</v>
      </c>
      <c r="BV4" s="5090" t="n">
        <v>992.25</v>
      </c>
      <c r="BW4" s="58" cm="1">
        <f t="array" ref="BW4">_xlfn.IFS(RIGHT(BW6,4)="KEUR",BW5,BW2="no rate","",ISTEXT(BW2),SUM(BX4:INDEX(BX4:$ES$4,,_xlfn.AGGREGATE(15,6,(COLUMN(BX4:$ES$4)-COLUMN()-1)/(LEFT(BX6:$ES$6,1)&lt;&gt;"("),1))),1,BW2*BW5)</f>
        <v>0</v>
      </c>
      <c r="BX4" s="5092" t="n">
        <v>14.399999999999999</v>
      </c>
      <c r="BY4" s="5094" t="n">
        <v>68.6</v>
      </c>
      <c r="BZ4" s="58" cm="1">
        <f t="array" ref="BZ4">_xlfn.IFS(RIGHT(BZ6,4)="KEUR",BZ5,BZ2="no rate","",ISTEXT(BZ2),SUM(CA4:INDEX(CA4:$ES$4,,_xlfn.AGGREGATE(15,6,(COLUMN(CA4:$ES$4)-COLUMN()-1)/(LEFT(CA6:$ES$6,1)&lt;&gt;"("),1))),1,BZ2*BZ5)</f>
        <v>0</v>
      </c>
      <c r="CA4" s="5096" t="n">
        <v>15.3</v>
      </c>
      <c r="CB4" s="58" cm="1">
        <f t="array" ref="CB4">_xlfn.IFS(RIGHT(CB6,4)="KEUR",CB5,CB2="no rate","",ISTEXT(CB2),SUM(CC4:INDEX(CC4:$ES$4,,_xlfn.AGGREGATE(15,6,(COLUMN(CC4:$ES$4)-COLUMN()-1)/(LEFT(CC6:$ES$6,1)&lt;&gt;"("),1))),1,CB2*CB5)</f>
        <v>0</v>
      </c>
      <c r="CC4" s="58" cm="1">
        <f t="array" ref="CC4">_xlfn.IFS(RIGHT(CC6,4)="KEUR",CC5,CC2="no rate","",ISTEXT(CC2),SUM(CD4:INDEX(CD4:$ES$4,,_xlfn.AGGREGATE(15,6,(COLUMN(CD4:$ES$4)-COLUMN()-1)/(LEFT(CD6:$ES$6,1)&lt;&gt;"("),1))),1,CC2*CC5)</f>
        <v>0</v>
      </c>
      <c r="CD4" s="58" cm="1">
        <f t="array" ref="CD4">_xlfn.IFS(RIGHT(CD6,4)="KEUR",CD5,CD2="no rate","",ISTEXT(CD2),SUM(CE4:INDEX(CE4:$ES$4,,_xlfn.AGGREGATE(15,6,(COLUMN(CE4:$ES$4)-COLUMN()-1)/(LEFT(CE6:$ES$6,1)&lt;&gt;"("),1))),1,CD2*CD5)</f>
        <v>0</v>
      </c>
      <c r="CE4" s="58" cm="1">
        <f t="array" ref="CE4">_xlfn.IFS(RIGHT(CE6,4)="KEUR",CE5,CE2="no rate","",ISTEXT(CE2),SUM(CF4:INDEX(CF4:$ES$4,,_xlfn.AGGREGATE(15,6,(COLUMN(CF4:$ES$4)-COLUMN()-1)/(LEFT(CF6:$ES$6,1)&lt;&gt;"("),1))),1,CE2*CE5)</f>
        <v>0</v>
      </c>
      <c r="CF4" s="58" cm="1">
        <f t="array" ref="CF4">_xlfn.IFS(RIGHT(CF6,4)="KEUR",CF5,CF2="no rate","",ISTEXT(CF2),SUM(CG4:INDEX(CG4:$ES$4,,_xlfn.AGGREGATE(15,6,(COLUMN(CG4:$ES$4)-COLUMN()-1)/(LEFT(CG6:$ES$6,1)&lt;&gt;"("),1))),1,CF2*CF5)</f>
        <v>0</v>
      </c>
      <c r="CG4" s="58" cm="1">
        <f t="array" ref="CG4">_xlfn.IFS(RIGHT(CG6,4)="KEUR",CG5,CG2="no rate","",ISTEXT(CG2),SUM(CH4:INDEX(CH4:$ES$4,,_xlfn.AGGREGATE(15,6,(COLUMN(CH4:$ES$4)-COLUMN()-1)/(LEFT(CH6:$ES$6,1)&lt;&gt;"("),1))),1,CG2*CG5)</f>
        <v>0</v>
      </c>
      <c r="CH4" s="58" cm="1">
        <f t="array" ref="CH4">_xlfn.IFS(RIGHT(CH6,4)="KEUR",CH5,CH2="no rate","",ISTEXT(CH2),SUM(CI4:INDEX(CI4:$ES$4,,_xlfn.AGGREGATE(15,6,(COLUMN(CI4:$ES$4)-COLUMN()-1)/(LEFT(CI6:$ES$6,1)&lt;&gt;"("),1))),1,CH2*CH5)</f>
        <v>0</v>
      </c>
      <c r="CI4" s="58" cm="1">
        <f t="array" ref="CI4">_xlfn.IFS(RIGHT(CI6,4)="KEUR",CI5,CI2="no rate","",ISTEXT(CI2),SUM(CJ4:INDEX(CJ4:$ES$4,,_xlfn.AGGREGATE(15,6,(COLUMN(CJ4:$ES$4)-COLUMN()-1)/(LEFT(CJ6:$ES$6,1)&lt;&gt;"("),1))),1,CI2*CI5)</f>
        <v>0</v>
      </c>
      <c r="CJ4" s="58" cm="1">
        <f t="array" ref="CJ4">_xlfn.IFS(RIGHT(CJ6,4)="KEUR",CJ5,CJ2="no rate","",ISTEXT(CJ2),SUM(CK4:INDEX(CK4:$ES$4,,_xlfn.AGGREGATE(15,6,(COLUMN(CK4:$ES$4)-COLUMN()-1)/(LEFT(CK6:$ES$6,1)&lt;&gt;"("),1))),1,CJ2*CJ5)</f>
        <v>0</v>
      </c>
      <c r="CK4" s="58" cm="1">
        <f t="array" ref="CK4">_xlfn.IFS(RIGHT(CK6,4)="KEUR",CK5,CK2="no rate","",ISTEXT(CK2),SUM(CL4:INDEX(CL4:$ES$4,,_xlfn.AGGREGATE(15,6,(COLUMN(CL4:$ES$4)-COLUMN()-1)/(LEFT(CL6:$ES$6,1)&lt;&gt;"("),1))),1,CK2*CK5)</f>
        <v>0</v>
      </c>
      <c r="CL4" s="58" cm="1">
        <f t="array" ref="CL4">_xlfn.IFS(RIGHT(CL6,4)="KEUR",CL5,CL2="no rate","",ISTEXT(CL2),SUM(CM4:INDEX(CM4:$ES$4,,_xlfn.AGGREGATE(15,6,(COLUMN(CM4:$ES$4)-COLUMN()-1)/(LEFT(CM6:$ES$6,1)&lt;&gt;"("),1))),1,CL2*CL5)</f>
        <v>0</v>
      </c>
      <c r="CM4" s="58" cm="1">
        <f t="array" ref="CM4">_xlfn.IFS(RIGHT(CM6,4)="KEUR",CM5,CM2="no rate","",ISTEXT(CM2),SUM(CN4:INDEX(CN4:$ES$4,,_xlfn.AGGREGATE(15,6,(COLUMN(CN4:$ES$4)-COLUMN()-1)/(LEFT(CN6:$ES$6,1)&lt;&gt;"("),1))),1,CM2*CM5)</f>
        <v>0</v>
      </c>
      <c r="CN4" s="58" cm="1">
        <f t="array" ref="CN4">_xlfn.IFS(RIGHT(CN6,4)="KEUR",CN5,CN2="no rate","",ISTEXT(CN2),SUM(CO4:INDEX(CO4:$ES$4,,_xlfn.AGGREGATE(15,6,(COLUMN(CO4:$ES$4)-COLUMN()-1)/(LEFT(CO6:$ES$6,1)&lt;&gt;"("),1))),1,CN2*CN5)</f>
        <v>0</v>
      </c>
      <c r="CO4" s="58" cm="1">
        <f t="array" ref="CO4">_xlfn.IFS(RIGHT(CO6,4)="KEUR",CO5,CO2="no rate","",ISTEXT(CO2),SUM(CP4:INDEX(CP4:$ES$4,,_xlfn.AGGREGATE(15,6,(COLUMN(CP4:$ES$4)-COLUMN()-1)/(LEFT(CP6:$ES$6,1)&lt;&gt;"("),1))),1,CO2*CO5)</f>
        <v>0</v>
      </c>
      <c r="CP4" s="58" cm="1">
        <f t="array" ref="CP4">_xlfn.IFS(RIGHT(CP6,4)="KEUR",CP5,CP2="no rate","",ISTEXT(CP2),SUM(CQ4:INDEX(CQ4:$ES$4,,_xlfn.AGGREGATE(15,6,(COLUMN(CQ4:$ES$4)-COLUMN()-1)/(LEFT(CQ6:$ES$6,1)&lt;&gt;"("),1))),1,CP2*CP5)</f>
        <v>0</v>
      </c>
      <c r="CQ4" s="58" cm="1">
        <f t="array" ref="CQ4">_xlfn.IFS(RIGHT(CQ6,4)="KEUR",CQ5,CQ2="no rate","",ISTEXT(CQ2),SUM(CR4:INDEX(CR4:$ES$4,,_xlfn.AGGREGATE(15,6,(COLUMN(CR4:$ES$4)-COLUMN()-1)/(LEFT(CR6:$ES$6,1)&lt;&gt;"("),1))),1,CQ2*CQ5)</f>
        <v>0</v>
      </c>
      <c r="CR4" s="58" cm="1">
        <f t="array" ref="CR4">_xlfn.IFS(RIGHT(CR6,4)="KEUR",CR5,CR2="no rate","",ISTEXT(CR2),SUM(CS4:INDEX(CS4:$ES$4,,_xlfn.AGGREGATE(15,6,(COLUMN(CS4:$ES$4)-COLUMN()-1)/(LEFT(CS6:$ES$6,1)&lt;&gt;"("),1))),1,CR2*CR5)</f>
        <v>0</v>
      </c>
      <c r="CS4" s="58" cm="1">
        <f t="array" ref="CS4">_xlfn.IFS(RIGHT(CS6,4)="KEUR",CS5,CS2="no rate","",ISTEXT(CS2),SUM(CT4:INDEX(CT4:$ES$4,,_xlfn.AGGREGATE(15,6,(COLUMN(CT4:$ES$4)-COLUMN()-1)/(LEFT(CT6:$ES$6,1)&lt;&gt;"("),1))),1,CS2*CS5)</f>
        <v>0</v>
      </c>
      <c r="CT4" s="58" cm="1">
        <f t="array" ref="CT4">_xlfn.IFS(RIGHT(CT6,4)="KEUR",CT5,CT2="no rate","",ISTEXT(CT2),SUM(CU4:INDEX(CU4:$ES$4,,_xlfn.AGGREGATE(15,6,(COLUMN(CU4:$ES$4)-COLUMN()-1)/(LEFT(CU6:$ES$6,1)&lt;&gt;"("),1))),1,CT2*CT5)</f>
        <v>0</v>
      </c>
      <c r="CU4" s="58" cm="1">
        <f t="array" ref="CU4">_xlfn.IFS(RIGHT(CU6,4)="KEUR",CU5,CU2="no rate","",ISTEXT(CU2),SUM(CV4:INDEX(CV4:$ES$4,,_xlfn.AGGREGATE(15,6,(COLUMN(CV4:$ES$4)-COLUMN()-1)/(LEFT(CV6:$ES$6,1)&lt;&gt;"("),1))),1,CU2*CU5)</f>
        <v>0</v>
      </c>
      <c r="CV4" s="58" cm="1">
        <f t="array" ref="CV4">_xlfn.IFS(RIGHT(CV6,4)="KEUR",CV5,CV2="no rate","",ISTEXT(CV2),SUM(CW4:INDEX(CW4:$ES$4,,_xlfn.AGGREGATE(15,6,(COLUMN(CW4:$ES$4)-COLUMN()-1)/(LEFT(CW6:$ES$6,1)&lt;&gt;"("),1))),1,CV2*CV5)</f>
        <v>0</v>
      </c>
      <c r="CW4" s="58" cm="1">
        <f t="array" ref="CW4">_xlfn.IFS(RIGHT(CW6,4)="KEUR",CW5,CW2="no rate","",ISTEXT(CW2),SUM(CX4:INDEX(CX4:$ES$4,,_xlfn.AGGREGATE(15,6,(COLUMN(CX4:$ES$4)-COLUMN()-1)/(LEFT(CX6:$ES$6,1)&lt;&gt;"("),1))),1,CW2*CW5)</f>
        <v>0</v>
      </c>
      <c r="CX4" s="58" cm="1">
        <f t="array" ref="CX4">_xlfn.IFS(RIGHT(CX6,4)="KEUR",CX5,CX2="no rate","",ISTEXT(CX2),SUM(CY4:INDEX(CY4:$ES$4,,_xlfn.AGGREGATE(15,6,(COLUMN(CY4:$ES$4)-COLUMN()-1)/(LEFT(CY6:$ES$6,1)&lt;&gt;"("),1))),1,CX2*CX5)</f>
        <v>0</v>
      </c>
      <c r="CY4" s="58" cm="1">
        <f t="array" ref="CY4">_xlfn.IFS(RIGHT(CY6,4)="KEUR",CY5,CY2="no rate","",ISTEXT(CY2),SUM(CZ4:INDEX(CZ4:$ES$4,,_xlfn.AGGREGATE(15,6,(COLUMN(CZ4:$ES$4)-COLUMN()-1)/(LEFT(CZ6:$ES$6,1)&lt;&gt;"("),1))),1,CY2*CY5)</f>
        <v>0</v>
      </c>
      <c r="CZ4" s="58" cm="1">
        <f t="array" ref="CZ4">_xlfn.IFS(RIGHT(CZ6,4)="KEUR",CZ5,CZ2="no rate","",ISTEXT(CZ2),SUM(DA4:INDEX(DA4:$ES$4,,_xlfn.AGGREGATE(15,6,(COLUMN(DA4:$ES$4)-COLUMN()-1)/(LEFT(DA6:$ES$6,1)&lt;&gt;"("),1))),1,CZ2*CZ5)</f>
        <v>0</v>
      </c>
      <c r="DA4" s="58" cm="1">
        <f t="array" ref="DA4">_xlfn.IFS(RIGHT(DA6,4)="KEUR",DA5,DA2="no rate","",ISTEXT(DA2),SUM(DB4:INDEX(DB4:$ES$4,,_xlfn.AGGREGATE(15,6,(COLUMN(DB4:$ES$4)-COLUMN()-1)/(LEFT(DB6:$ES$6,1)&lt;&gt;"("),1))),1,DA2*DA5)</f>
        <v>0</v>
      </c>
      <c r="DB4" s="58" cm="1">
        <f t="array" ref="DB4">_xlfn.IFS(RIGHT(DB6,4)="KEUR",DB5,DB2="no rate","",ISTEXT(DB2),SUM(DC4:INDEX(DC4:$ES$4,,_xlfn.AGGREGATE(15,6,(COLUMN(DC4:$ES$4)-COLUMN()-1)/(LEFT(DC6:$ES$6,1)&lt;&gt;"("),1))),1,DB2*DB5)</f>
        <v>0</v>
      </c>
      <c r="DC4" s="58" cm="1">
        <f t="array" ref="DC4">_xlfn.IFS(RIGHT(DC6,4)="KEUR",DC5,DC2="no rate","",ISTEXT(DC2),SUM(DD4:INDEX(DD4:$ES$4,,_xlfn.AGGREGATE(15,6,(COLUMN(DD4:$ES$4)-COLUMN()-1)/(LEFT(DD6:$ES$6,1)&lt;&gt;"("),1))),1,DC2*DC5)</f>
        <v>0</v>
      </c>
      <c r="DD4" s="58" cm="1">
        <f t="array" ref="DD4">_xlfn.IFS(RIGHT(DD6,4)="KEUR",DD5,DD2="no rate","",ISTEXT(DD2),SUM(DE4:INDEX(DE4:$ES$4,,_xlfn.AGGREGATE(15,6,(COLUMN(DE4:$ES$4)-COLUMN()-1)/(LEFT(DE6:$ES$6,1)&lt;&gt;"("),1))),1,DD2*DD5)</f>
        <v>0</v>
      </c>
      <c r="DE4" s="58" cm="1">
        <f t="array" ref="DE4">_xlfn.IFS(RIGHT(DE6,4)="KEUR",DE5,DE2="no rate","",ISTEXT(DE2),SUM(DF4:INDEX(DF4:$ES$4,,_xlfn.AGGREGATE(15,6,(COLUMN(DF4:$ES$4)-COLUMN()-1)/(LEFT(DF6:$ES$6,1)&lt;&gt;"("),1))),1,DE2*DE5)</f>
        <v>0</v>
      </c>
      <c r="DF4" s="58" cm="1">
        <f t="array" ref="DF4">_xlfn.IFS(RIGHT(DF6,4)="KEUR",DF5,DF2="no rate","",ISTEXT(DF2),SUM(DG4:INDEX(DG4:$ES$4,,_xlfn.AGGREGATE(15,6,(COLUMN(DG4:$ES$4)-COLUMN()-1)/(LEFT(DG6:$ES$6,1)&lt;&gt;"("),1))),1,DF2*DF5)</f>
        <v>0</v>
      </c>
      <c r="DG4" s="5098" t="n">
        <v>1452.0</v>
      </c>
      <c r="DH4" s="58" cm="1">
        <f t="array" ref="DH4">_xlfn.IFS(RIGHT(DH6,4)="KEUR",DH5,DH2="no rate","",ISTEXT(DH2),SUM(DI4:INDEX(DI4:$ES$4,,_xlfn.AGGREGATE(15,6,(COLUMN(DI4:$ES$4)-COLUMN()-1)/(LEFT(DI6:$ES$6,1)&lt;&gt;"("),1))),1,DH2*DH5)</f>
        <v>0</v>
      </c>
      <c r="DI4" s="58" cm="1">
        <f t="array" ref="DI4">_xlfn.IFS(RIGHT(DI6,4)="KEUR",DI5,DI2="no rate","",ISTEXT(DI2),SUM(DJ4:INDEX(DJ4:$ES$4,,_xlfn.AGGREGATE(15,6,(COLUMN(DJ4:$ES$4)-COLUMN()-1)/(LEFT(DJ6:$ES$6,1)&lt;&gt;"("),1))),1,DI2*DI5)</f>
        <v>0</v>
      </c>
      <c r="DJ4" s="58" cm="1">
        <f t="array" ref="DJ4">_xlfn.IFS(RIGHT(DJ6,4)="KEUR",DJ5,DJ2="no rate","",ISTEXT(DJ2),SUM(DK4:INDEX(DK4:$ES$4,,_xlfn.AGGREGATE(15,6,(COLUMN(DK4:$ES$4)-COLUMN()-1)/(LEFT(DK6:$ES$6,1)&lt;&gt;"("),1))),1,DJ2*DJ5)</f>
        <v>0</v>
      </c>
      <c r="DK4" s="58" cm="1">
        <f t="array" ref="DK4">_xlfn.IFS(RIGHT(DK6,4)="KEUR",DK5,DK2="no rate","",ISTEXT(DK2),SUM(DL4:INDEX(DL4:$ES$4,,_xlfn.AGGREGATE(15,6,(COLUMN(DL4:$ES$4)-COLUMN()-1)/(LEFT(DL6:$ES$6,1)&lt;&gt;"("),1))),1,DK2*DK5)</f>
        <v>0</v>
      </c>
      <c r="DL4" s="5100" t="n">
        <v>112.2</v>
      </c>
      <c r="DM4" s="58" cm="1">
        <f t="array" ref="DM4">_xlfn.IFS(RIGHT(DM6,4)="KEUR",DM5,DM2="no rate","",ISTEXT(DM2),SUM(DN4:INDEX(DN4:$ES$4,,_xlfn.AGGREGATE(15,6,(COLUMN(DN4:$ES$4)-COLUMN()-1)/(LEFT(DN6:$ES$6,1)&lt;&gt;"("),1))),1,DM2*DM5)</f>
        <v>0</v>
      </c>
      <c r="DN4" s="58" cm="1">
        <f t="array" ref="DN4">_xlfn.IFS(RIGHT(DN6,4)="KEUR",DN5,DN2="no rate","",ISTEXT(DN2),SUM(DO4:INDEX(DO4:$ES$4,,_xlfn.AGGREGATE(15,6,(COLUMN(DO4:$ES$4)-COLUMN()-1)/(LEFT(DO6:$ES$6,1)&lt;&gt;"("),1))),1,DN2*DN5)</f>
        <v>0</v>
      </c>
      <c r="DO4" s="58" cm="1">
        <f t="array" ref="DO4">_xlfn.IFS(RIGHT(DO6,4)="KEUR",DO5,DO2="no rate","",ISTEXT(DO2),SUM(DP4:INDEX(DP4:$ES$4,,_xlfn.AGGREGATE(15,6,(COLUMN(DP4:$ES$4)-COLUMN()-1)/(LEFT(DP6:$ES$6,1)&lt;&gt;"("),1))),1,DO2*DO5)</f>
        <v>0</v>
      </c>
      <c r="DP4" s="5102" t="n">
        <v>677.9999999999999</v>
      </c>
      <c r="DQ4" s="58" t="str" cm="1">
        <f t="array" ref="DQ4">_xlfn.IFS(RIGHT(DQ6,4)="KEUR",DQ5,DQ2="no rate","",ISTEXT(DQ2),SUM(DR4:INDEX(DR4:$ES$4,,_xlfn.AGGREGATE(15,6,(COLUMN(DR4:$ES$4)-COLUMN()-1)/(LEFT(DR6:$ES$6,1)&lt;&gt;"("),1))),1,DQ2*DQ5)</f>
        <v/>
      </c>
      <c r="DR4" s="58" t="str" cm="1">
        <f t="array" ref="DR4">_xlfn.IFS(RIGHT(DR6,4)="KEUR",DR5,DR2="no rate","",ISTEXT(DR2),SUM(DS4:INDEX(DS4:$ES$4,,_xlfn.AGGREGATE(15,6,(COLUMN(DS4:$ES$4)-COLUMN()-1)/(LEFT(DS6:$ES$6,1)&lt;&gt;"("),1))),1,DR2*DR5)</f>
        <v/>
      </c>
      <c r="DS4" s="58" t="str" cm="1">
        <f t="array" ref="DS4">_xlfn.IFS(RIGHT(DS6,4)="KEUR",DS5,DS2="no rate","",ISTEXT(DS2),SUM(DT4:INDEX(DT4:$ES$4,,_xlfn.AGGREGATE(15,6,(COLUMN(DT4:$ES$4)-COLUMN()-1)/(LEFT(DT6:$ES$6,1)&lt;&gt;"("),1))),1,DS2*DS5)</f>
        <v/>
      </c>
      <c r="DT4" s="58" t="str" cm="1">
        <f t="array" ref="DT4">_xlfn.IFS(RIGHT(DT6,4)="KEUR",DT5,DT2="no rate","",ISTEXT(DT2),SUM(DU4:INDEX(DU4:$ES$4,,_xlfn.AGGREGATE(15,6,(COLUMN(DU4:$ES$4)-COLUMN()-1)/(LEFT(DU6:$ES$6,1)&lt;&gt;"("),1))),1,DT2*DT5)</f>
        <v/>
      </c>
      <c r="DU4" s="58" t="str" cm="1">
        <f t="array" ref="DU4">_xlfn.IFS(RIGHT(DU6,4)="KEUR",DU5,DU2="no rate","",ISTEXT(DU2),SUM(DV4:INDEX(DV4:$ES$4,,_xlfn.AGGREGATE(15,6,(COLUMN(DV4:$ES$4)-COLUMN()-1)/(LEFT(DV6:$ES$6,1)&lt;&gt;"("),1))),1,DU2*DU5)</f>
        <v/>
      </c>
      <c r="DV4" s="58" t="str" cm="1">
        <f t="array" ref="DV4">_xlfn.IFS(RIGHT(DV6,4)="KEUR",DV5,DV2="no rate","",ISTEXT(DV2),SUM(DW4:INDEX(DW4:$ES$4,,_xlfn.AGGREGATE(15,6,(COLUMN(DW4:$ES$4)-COLUMN()-1)/(LEFT(DW6:$ES$6,1)&lt;&gt;"("),1))),1,DV2*DV5)</f>
        <v/>
      </c>
      <c r="DW4" s="58" cm="1">
        <f t="array" ref="DW4">_xlfn.IFS(RIGHT(DW6,4)="KEUR",DW5,DW2="no rate","",ISTEXT(DW2),SUM(DX4:INDEX(DX4:$ES$4,,_xlfn.AGGREGATE(15,6,(COLUMN(DX4:$ES$4)-COLUMN()-1)/(LEFT(DX6:$ES$6,1)&lt;&gt;"("),1))),1,DW2*DW5)</f>
        <v>0</v>
      </c>
      <c r="DX4" s="58" cm="1">
        <f t="array" ref="DX4">_xlfn.IFS(RIGHT(DX6,4)="KEUR",DX5,DX2="no rate","",ISTEXT(DX2),SUM(DY4:INDEX(DY4:$ES$4,,_xlfn.AGGREGATE(15,6,(COLUMN(DY4:$ES$4)-COLUMN()-1)/(LEFT(DY6:$ES$6,1)&lt;&gt;"("),1))),1,DX2*DX5)</f>
        <v>0</v>
      </c>
      <c r="DY4" s="58" cm="1">
        <f t="array" ref="DY4">_xlfn.IFS(RIGHT(DY6,4)="KEUR",DY5,DY2="no rate","",ISTEXT(DY2),SUM(EA4:INDEX(EA4:$ES$4,,_xlfn.AGGREGATE(15,6,(COLUMN(EA4:$ES$4)-COLUMN()-1)/(LEFT(EA6:$ES$6,1)&lt;&gt;"("),1))),1,DY2*DY5)</f>
        <v>0</v>
      </c>
      <c r="DZ4" s="58" cm="1">
        <f t="array" ref="DZ4">_xlfn.IFS(RIGHT(DZ6,4)="KEUR",DZ5,DZ2="no rate","",ISTEXT(DZ2),SUM(EB4:INDEX(EB4:$ES$4,,_xlfn.AGGREGATE(15,6,(COLUMN(EB4:$ES$4)-COLUMN()-1)/(LEFT(EB6:$ES$6,1)&lt;&gt;"("),1))),1,DZ2*DZ5)</f>
        <v>0</v>
      </c>
      <c r="EA4" s="58" cm="1">
        <f t="array" ref="EA4">_xlfn.IFS(RIGHT(EA6,4)="KEUR",EA5,EA2="no rate","",ISTEXT(EA2),SUM(EC4:INDEX(EC4:$ES$4,,_xlfn.AGGREGATE(15,6,(COLUMN(EC4:$ES$4)-COLUMN()-1)/(LEFT(EC6:$ES$6,1)&lt;&gt;"("),1))),1,EA2*EA5)</f>
        <v>0</v>
      </c>
      <c r="EB4" s="58" cm="1">
        <f t="array" ref="EB4">_xlfn.IFS(RIGHT(EB6,4)="KEUR",EB5,EB2="no rate","",ISTEXT(EB2),SUM(EC4:INDEX(EC4:$ES$4,,_xlfn.AGGREGATE(15,6,(COLUMN(EC4:$ES$4)-COLUMN()-1)/(LEFT(EC6:$ES$6,1)&lt;&gt;"("),1))),1,EB2*EB5)</f>
        <v>0</v>
      </c>
      <c r="EC4" s="58" cm="1">
        <f t="array" ref="EC4">_xlfn.IFS(RIGHT(EC6,4)="KEUR",EC5,EC2="no rate","",ISTEXT(EC2),SUM(ED4:INDEX(ED4:$ES$4,,_xlfn.AGGREGATE(15,6,(COLUMN(ED4:$ES$4)-COLUMN()-1)/(LEFT(ED6:$ES$6,1)&lt;&gt;"("),1))),1,EC2*EC5)</f>
        <v>0</v>
      </c>
      <c r="ED4" s="58" cm="1">
        <f t="array" ref="ED4">_xlfn.IFS(RIGHT(ED6,4)="KEUR",ED5,ED2="no rate","",ISTEXT(ED2),SUM(EE4:INDEX(EE4:$ES$4,,_xlfn.AGGREGATE(15,6,(COLUMN(EE4:$ES$4)-COLUMN()-1)/(LEFT(EE6:$ES$6,1)&lt;&gt;"("),1))),1,ED2*ED5)</f>
        <v>0</v>
      </c>
      <c r="EE4" s="58" cm="1">
        <f t="array" ref="EE4">_xlfn.IFS(RIGHT(EE6,4)="KEUR",EE5,EE2="no rate","",ISTEXT(EE2),SUM(EF4:INDEX(EF4:$ES$4,,_xlfn.AGGREGATE(15,6,(COLUMN(EF4:$ES$4)-COLUMN()-1)/(LEFT(EF6:$ES$6,1)&lt;&gt;"("),1))),1,EE2*EE5)</f>
        <v>0</v>
      </c>
      <c r="EF4" s="58" cm="1">
        <f t="array" ref="EF4">_xlfn.IFS(RIGHT(EF6,4)="KEUR",EF5,EF2="no rate","",ISTEXT(EF2),SUM(EG4:INDEX(EG4:$ES$4,,_xlfn.AGGREGATE(15,6,(COLUMN(EG4:$ES$4)-COLUMN()-1)/(LEFT(EG6:$ES$6,1)&lt;&gt;"("),1))),1,EF2*EF5)</f>
        <v>0</v>
      </c>
      <c r="EG4" s="58" t="str" cm="1">
        <f t="array" ref="EG4">_xlfn.IFS(RIGHT(EG6,4)="KEUR",EG5,EG2="no rate","",ISTEXT(EG2),SUM(EH4:INDEX(EH4:$ES$4,,_xlfn.AGGREGATE(15,6,(COLUMN(EH4:$ES$4)-COLUMN()-1)/(LEFT(EH6:$ES$6,1)&lt;&gt;"("),1))),1,EG2*EG5)</f>
        <v/>
      </c>
      <c r="EH4" s="58" cm="1">
        <f t="array" ref="EH4">_xlfn.IFS(RIGHT(EH6,4)="KEUR",EH5,EH2="no rate","",ISTEXT(EH2),SUM(EI4:INDEX(EI4:$ES$4,,_xlfn.AGGREGATE(15,6,(COLUMN(EI4:$ES$4)-COLUMN()-1)/(LEFT(EI6:$ES$6,1)&lt;&gt;"("),1))),1,EH2*EH5)</f>
        <v>0</v>
      </c>
      <c r="EI4" s="58" cm="1">
        <f t="array" ref="EI4">_xlfn.IFS(RIGHT(EI6,4)="KEUR",EI5,EI2="no rate","",ISTEXT(EI2),SUM(EJ4:INDEX(EJ4:$ES$4,,_xlfn.AGGREGATE(15,6,(COLUMN(EJ4:$ES$4)-COLUMN()-1)/(LEFT(EJ6:$ES$6,1)&lt;&gt;"("),1))),1,EI2*EI5)</f>
        <v>0</v>
      </c>
      <c r="EJ4" s="58" cm="1">
        <f t="array" ref="EJ4">_xlfn.IFS(RIGHT(EJ6,4)="KEUR",EJ5,EJ2="no rate","",ISTEXT(EJ2),SUM(EK4:INDEX(EK4:$ES$4,,_xlfn.AGGREGATE(15,6,(COLUMN(EK4:$ES$4)-COLUMN()-1)/(LEFT(EK6:$ES$6,1)&lt;&gt;"("),1))),1,EJ2*EJ5)</f>
        <v>0</v>
      </c>
      <c r="EK4" s="58" cm="1">
        <f t="array" ref="EK4">_xlfn.IFS(RIGHT(EK6,4)="KEUR",EK5,EK2="no rate","",ISTEXT(EK2),SUM(EL4:INDEX(EL4:$ES$4,,_xlfn.AGGREGATE(15,6,(COLUMN(EL4:$ES$4)-COLUMN()-1)/(LEFT(EL6:$ES$6,1)&lt;&gt;"("),1))),1,EK2*EK5)</f>
        <v>0</v>
      </c>
      <c r="EL4" s="58" cm="1">
        <f t="array" ref="EL4">_xlfn.IFS(RIGHT(EL6,4)="KEUR",EL5,EL2="no rate","",ISTEXT(EL2),SUM(EM4:INDEX(EM4:$ES$4,,_xlfn.AGGREGATE(15,6,(COLUMN(EM4:$ES$4)-COLUMN()-1)/(LEFT(EM6:$ES$6,1)&lt;&gt;"("),1))),1,EL2*EL5)</f>
        <v>0</v>
      </c>
      <c r="EM4" s="58" cm="1">
        <f t="array" ref="EM4">_xlfn.IFS(RIGHT(EM6,4)="KEUR",EM5,EM2="no rate","",ISTEXT(EM2),SUM(EN4:INDEX(EN4:$ES$4,,_xlfn.AGGREGATE(15,6,(COLUMN(EN4:$ES$4)-COLUMN()-1)/(LEFT(EN6:$ES$6,1)&lt;&gt;"("),1))),1,EM2*EM5)</f>
        <v>0</v>
      </c>
      <c r="EN4" s="58" cm="1">
        <f t="array" ref="EN4">_xlfn.IFS(RIGHT(EN6,4)="KEUR",EN5,EN2="no rate","",ISTEXT(EN2),SUM(EO4:INDEX(EO4:$ES$4,,_xlfn.AGGREGATE(15,6,(COLUMN(EO4:$ES$4)-COLUMN()-1)/(LEFT(EO6:$ES$6,1)&lt;&gt;"("),1))),1,EN2*EN5)</f>
        <v>0</v>
      </c>
      <c r="EO4" s="58" cm="1">
        <f t="array" ref="EO4">_xlfn.IFS(RIGHT(EO6,4)="KEUR",EO5,EO2="no rate","",ISTEXT(EO2),SUM(EP4:INDEX(EP4:$ES$4,,_xlfn.AGGREGATE(15,6,(COLUMN(EP4:$ES$4)-COLUMN()-1)/(LEFT(EP6:$ES$6,1)&lt;&gt;"("),1))),1,EO2*EO5)</f>
        <v>0</v>
      </c>
      <c r="EP4" s="5104" t="n">
        <v>310.0</v>
      </c>
      <c r="EQ4" s="58" cm="1">
        <f t="array" ref="EQ4">_xlfn.IFS(RIGHT(EQ6,4)="KEUR",EQ5,EQ2="no rate","",ISTEXT(EQ2),SUM(ER4:INDEX(ER4:$ES$4,,_xlfn.AGGREGATE(15,6,(COLUMN(ER4:$ES$4)-COLUMN()-1)/(LEFT(ER6:$ES$6,1)&lt;&gt;"("),1))),1,EQ2*EQ5)</f>
        <v>0</v>
      </c>
      <c r="ER4" s="58"/>
      <c r="ES4" s="58"/>
      <c r="ET4" s="57"/>
      <c r="EU4" s="57"/>
      <c r="EV4" s="57"/>
      <c r="EW4" s="57"/>
      <c r="EX4" s="57"/>
      <c r="EY4" s="57"/>
      <c r="EZ4" s="57">
        <f>SUM(FA4:FC4)</f>
        <v>0</v>
      </c>
      <c r="FA4" s="57">
        <f>FA5*FA2</f>
        <v>0</v>
      </c>
      <c r="FB4" s="57">
        <f t="shared" ref="FB4:FC4" si="0">FB5*FB2</f>
        <v>0</v>
      </c>
      <c r="FC4" s="57">
        <f t="shared" si="0"/>
        <v>0</v>
      </c>
      <c r="FD4" s="57"/>
      <c r="FE4" s="57"/>
      <c r="FF4" s="57"/>
      <c r="FG4" s="57"/>
      <c r="FH4" s="57"/>
    </row>
    <row r="5" spans="1:172" customFormat="1" x14ac:dyDescent="0.2">
      <c r="C5" s="59" t="str" cm="1">
        <f t="array" ref="C5">"total mds: "&amp;TEXT(SUMPRODUCT($P$5:$EP$5,(LEFT($P$6:$EP$6,1)&lt;&gt;"(")*1),"#.##")</f>
        <v>total mds: .</v>
      </c>
      <c r="P5" s="68">
        <f>_xlfn.AGGREGATE(9,3,Ongoing[Acceptance
Internal
All entities])/IF(RIGHT(P6,4)="(K€)",P2,1)</f>
        <v>0</v>
      </c>
      <c r="Q5" s="5063" t="n">
        <v>844.0</v>
      </c>
      <c r="R5" s="5065" t="n">
        <v>1250.0</v>
      </c>
      <c r="S5" s="5067" t="n">
        <v>15988.0</v>
      </c>
      <c r="T5" s="5069" t="n">
        <v>570.0</v>
      </c>
      <c r="U5" s="68">
        <f>_xlfn.AGGREGATE(9,3,Ongoing[(ACC)
CZE
GoPay])/IF(RIGHT(U6,4)="(K€)",U2,1)</f>
        <v>0</v>
      </c>
      <c r="V5" s="5071" t="n">
        <v>15405.0</v>
      </c>
      <c r="W5" s="68">
        <f>_xlfn.AGGREGATE(9,3,Ongoing[(ACC)
FRA
SACC])/IF(RIGHT(W6,4)="(K€)",W2,1)</f>
        <v>0</v>
      </c>
      <c r="X5" s="5075" t="n">
        <v>6306.0</v>
      </c>
      <c r="Y5" s="5073" t="n">
        <v>6067.0</v>
      </c>
      <c r="Z5" s="68">
        <f>_xlfn.AGGREGATE(9,3,Ongoing[(ACC)
GER
Payone])/IF(RIGHT(Z6,4)="(K€)",Z2,1)</f>
        <v>0</v>
      </c>
      <c r="AA5" s="68">
        <f>_xlfn.AGGREGATE(9,3,Ongoing[(ACC)
AUT
Payunity])/IF(RIGHT(AA6,4)="(K€)",AA2,1)</f>
        <v>0</v>
      </c>
      <c r="AB5" s="68">
        <f>_xlfn.AGGREGATE(9,3,Ongoing[(ACC)
GRC
Cardlink])/IF(RIGHT(AB6,4)="(K€)",AB2,1)</f>
        <v>0</v>
      </c>
      <c r="AC5" s="68">
        <f>_xlfn.AGGREGATE(9,3,Ongoing[(ACC)
IND
India TP])/IF(RIGHT(AC6,4)="(K€)",AC2,1)</f>
        <v>0</v>
      </c>
      <c r="AD5" s="68">
        <f>_xlfn.AGGREGATE(9,3,Ongoing[(ACC)
ITA
Axxepta])/IF(RIGHT(AD6,4)="(K€)",AD2,1)</f>
        <v>0</v>
      </c>
      <c r="AE5" s="68">
        <f>_xlfn.AGGREGATE(9,3,Ongoing[(ACC)
NAR
Beanstream / Roam])/IF(RIGHT(AE6,4)="(K€)",AE2,1)</f>
        <v>0</v>
      </c>
      <c r="AF5" s="5077" t="n">
        <v>13522.0</v>
      </c>
      <c r="AG5" s="5079" t="n">
        <v>800.0</v>
      </c>
      <c r="AH5" s="5081" t="n">
        <v>7425.0</v>
      </c>
      <c r="AI5" s="5083" t="n">
        <v>1310.0</v>
      </c>
      <c r="AJ5" s="68">
        <f>_xlfn.AGGREGATE(9,3,Ongoing[(ACC)
SWE
BOL])/IF(RIGHT(AJ6,4)="(K€)",AJ2,1)</f>
        <v>0</v>
      </c>
      <c r="AK5" s="68">
        <f>_xlfn.AGGREGATE(9,3,Ongoing[(ACC)
SWE
Back-Office])/IF(RIGHT(AK6,4)="(K€)",AK2,1)</f>
        <v>0</v>
      </c>
      <c r="AL5" s="68">
        <f>_xlfn.AGGREGATE(9,3,Ongoing[(ACC)
SWE
Devcode])/IF(RIGHT(AL6,4)="(K€)",AL2,1)</f>
        <v>0</v>
      </c>
      <c r="AM5" s="5085" t="n">
        <v>10340.0</v>
      </c>
      <c r="AN5" s="5087" t="n">
        <v>2160.0</v>
      </c>
      <c r="AO5" s="68">
        <f>_xlfn.AGGREGATE(9,3,Ongoing[(ACC)
GER
cCredit])/IF(RIGHT(AO6,4)="(K€)",AO2,1)</f>
        <v>0</v>
      </c>
      <c r="AP5" s="68">
        <f>_xlfn.AGGREGATE(9,3,Ongoing[(ACC)
ALL
 Shared services])/IF(RIGHT(AP6,4)="(K€)",AP2,1)</f>
        <v>0</v>
      </c>
      <c r="AQ5" s="68">
        <f>_xlfn.AGGREGATE(9,3,Ongoing[Com Acquiring
Internal
all entities])/IF(RIGHT(AQ6,4)="(K€)",AQ2,1)</f>
        <v>0</v>
      </c>
      <c r="AR5" s="68">
        <f>_xlfn.AGGREGATE(9,3,Ongoing[(CAQ)
BEL
WL])/IF(RIGHT(AR6,4)="(K€)",AR2,1)</f>
        <v>0</v>
      </c>
      <c r="AS5" s="68">
        <f>_xlfn.AGGREGATE(9,3,Ongoing[(CAQ)
FRA
WL])/IF(RIGHT(AS6,4)="(K€)",AS2,1)</f>
        <v>0</v>
      </c>
      <c r="AT5" s="68">
        <f>_xlfn.AGGREGATE(9,3,Ongoing[(CAQ)
CHE
SPS])/IF(RIGHT(AT6,4)="(K€)",AT2,1)</f>
        <v>0</v>
      </c>
      <c r="AU5" s="68">
        <f>_xlfn.AGGREGATE(9,3,Ongoing[(CAQ)
ALL
BB])/IF(RIGHT(AU6,4)="(K€)",AU2,1)</f>
        <v>0</v>
      </c>
      <c r="AV5" s="68">
        <f>_xlfn.AGGREGATE(9,3,Ongoing[Digital Services
Internal
all entities])/IF(RIGHT(AV6,4)="(K€)",AV2,1)</f>
        <v>0</v>
      </c>
      <c r="AW5" s="68">
        <f>_xlfn.AGGREGATE(9,3,Ongoing[(DIG)
BEL
WL])/IF(RIGHT(AW6,4)="(K€)",AW2,1)</f>
        <v>0</v>
      </c>
      <c r="AX5" s="68">
        <f>_xlfn.AGGREGATE(9,3,Ongoing[(DIG)
FRA
WL])/IF(RIGHT(AX6,4)="(K€)",AX2,1)</f>
        <v>0</v>
      </c>
      <c r="AY5" s="68">
        <f>_xlfn.AGGREGATE(9,3,Ongoing[(DIG)
NLD
WL])/IF(RIGHT(AY6,4)="(K€)",AY2,1)</f>
        <v>0</v>
      </c>
      <c r="AZ5" s="68">
        <f>_xlfn.AGGREGATE(9,3,Ongoing[(DIG)
AUT
SPS])/IF(RIGHT(AZ6,4)="(K€)",AZ2,1)</f>
        <v>0</v>
      </c>
      <c r="BA5" s="68">
        <f>_xlfn.AGGREGATE(9,3,Ongoing[(DIG)
CHE
SPS])/IF(RIGHT(BA6,4)="(K€)",BA2,1)</f>
        <v>0</v>
      </c>
      <c r="BB5" s="68">
        <f>_xlfn.AGGREGATE(9,3,Ongoing[(DIG)
FRA
ING])/IF(RIGHT(BB6,4)="(K€)",BB2,1)</f>
        <v>0</v>
      </c>
      <c r="BC5" s="68">
        <f>_xlfn.AGGREGATE(9,3,Ongoing[(DIG)
GER
WL])/IF(RIGHT(BC6,4)="(K€)",BC2,1)</f>
        <v>0</v>
      </c>
      <c r="BD5" s="68">
        <f>_xlfn.AGGREGATE(9,3,Ongoing[(DIG)
GER
SPS])/IF(RIGHT(BD6,4)="(K€)",BD2,1)</f>
        <v>0</v>
      </c>
      <c r="BE5" s="68">
        <f>_xlfn.AGGREGATE(9,3,Ongoing[(DIG)
POL
SPS])/IF(RIGHT(BE6,4)="(K€)",BE2,1)</f>
        <v>0</v>
      </c>
      <c r="BF5" s="68">
        <f>_xlfn.AGGREGATE(9,3,Ongoing[(DIG)
CZE
Cataps])/IF(RIGHT(BF6,4)="(K€)",BF2,1)</f>
        <v>0</v>
      </c>
      <c r="BG5" s="68">
        <f>_xlfn.AGGREGATE(9,3,Ongoing[(DIG)
AUS
WL])/IF(RIGHT(BG6,4)="(K€)",BG2,1)</f>
        <v>0</v>
      </c>
      <c r="BH5" s="68">
        <f>_xlfn.AGGREGATE(9,3,Ongoing[(DIG)
NLD
ING])/IF(RIGHT(BH6,4)="(K€)",BH2,1)</f>
        <v>0</v>
      </c>
      <c r="BI5" s="68">
        <f>_xlfn.AGGREGATE(9,3,Ongoing[E2E Architects &amp; Programs
Internal
all entities])/IF(RIGHT(BI6,4)="(K€)",BI2,1)</f>
        <v>0</v>
      </c>
      <c r="BJ5" s="68">
        <f>_xlfn.AGGREGATE(9,3,Ongoing[(E2E)
BEL
WL])/IF(RIGHT(BJ6,4)="(K€)",BJ2,1)</f>
        <v>0</v>
      </c>
      <c r="BK5" s="68">
        <f>_xlfn.AGGREGATE(9,3,Ongoing[(E2E)
FRA
WL])/IF(RIGHT(BK6,4)="(K€)",BK2,1)</f>
        <v>0</v>
      </c>
      <c r="BL5" s="68">
        <f>_xlfn.AGGREGATE(9,3,Ongoing[(E2E)
NLD
WL])/IF(RIGHT(BL6,4)="(K€)",BL2,1)</f>
        <v>0</v>
      </c>
      <c r="BM5" s="68">
        <f>_xlfn.AGGREGATE(9,3,Ongoing[(E2E)
SPA
WL])/IF(RIGHT(BM6,4)="(K€)",BM2,1)</f>
        <v>0</v>
      </c>
      <c r="BN5" s="68">
        <f>_xlfn.AGGREGATE(9,3,Ongoing[(E2E)
XXX
WL])/IF(RIGHT(BN6,4)="(K€)",BN2,1)</f>
        <v>0</v>
      </c>
      <c r="BO5" s="68">
        <f>_xlfn.AGGREGATE(9,3,Ongoing[(E2E)
CHE
SPS])/IF(RIGHT(BO6,4)="(K€)",BO2,1)</f>
        <v>0</v>
      </c>
      <c r="BP5" s="68">
        <f>_xlfn.AGGREGATE(9,3,Ongoing[Chief Merchant Officer
Internal
all entities])/IF(RIGHT(BP6,4)="(K€)",BP2,1)</f>
        <v>0</v>
      </c>
      <c r="BQ5" s="68">
        <f>_xlfn.AGGREGATE(9,3,Ongoing[(CMO)
CHE
SPS])/IF(RIGHT(BQ6,4)="(K€)",BQ2,1)</f>
        <v>0</v>
      </c>
      <c r="BR5" s="68">
        <f>_xlfn.AGGREGATE(9,3,Ongoing[(CMO)
FRA
WL])/IF(RIGHT(BR6,4)="(K€)",BR2,1)</f>
        <v>0</v>
      </c>
      <c r="BS5" s="68">
        <f>_xlfn.AGGREGATE(9,3,Ongoing[COO SACC
Internal
all entities])/IF(RIGHT(BS6,4)="(K€)",BS2,1)</f>
        <v>0</v>
      </c>
      <c r="BT5" s="68">
        <f>_xlfn.AGGREGATE(9,3,Ongoing[(SAC)
FRA
ex Terminals])/IF(RIGHT(BT6,4)="(K€)",BT2,1)</f>
        <v>0</v>
      </c>
      <c r="BU5" s="68">
        <f>_xlfn.AGGREGATE(9,3,Ongoing[(SAC)
FRA
ex Omni Ch.])/IF(RIGHT(BU6,4)="(K€)",BU2,1)</f>
        <v>0</v>
      </c>
      <c r="BV5" s="5089" t="n">
        <v>2025.0</v>
      </c>
      <c r="BW5" s="68">
        <f>_xlfn.AGGREGATE(9,3,Ongoing[COO PTM
Internal
WL entities])/IF(RIGHT(BW6,4)="(K€)",BW2,1)</f>
        <v>0</v>
      </c>
      <c r="BX5" s="5091" t="n">
        <v>24.0</v>
      </c>
      <c r="BY5" s="5093" t="n">
        <v>140.0</v>
      </c>
      <c r="BZ5" s="68">
        <f>_xlfn.AGGREGATE(9,3,Ongoing[(PTM)
NLD
WL])/IF(RIGHT(BZ6,4)="(K€)",BZ2,1)</f>
        <v>0</v>
      </c>
      <c r="CA5" s="5095" t="n">
        <v>30.0</v>
      </c>
      <c r="CB5" s="68">
        <f>_xlfn.AGGREGATE(9,3,Ongoing[(PTM)
GER
WL])/IF(RIGHT(CB6,4)="(K€)",CB2,1)</f>
        <v>0</v>
      </c>
      <c r="CC5" s="68">
        <f>_xlfn.AGGREGATE(9,3,Ongoing[(PTM)
BRA
WL])/IF(RIGHT(CC6,4)="(K€)",CC2,1)</f>
        <v>0</v>
      </c>
      <c r="CD5" s="68">
        <f>_xlfn.AGGREGATE(9,3,Ongoing[COO PTM
Internal
SPS/Other entities])/IF(RIGHT(CD6,4)="(K€)",CD2,1)</f>
        <v>0</v>
      </c>
      <c r="CE5" s="68">
        <f>_xlfn.AGGREGATE(9,3,Ongoing[(PTM)
CHE
SPS])/IF(RIGHT(CE6,4)="(K€)",CE2,1)</f>
        <v>0</v>
      </c>
      <c r="CF5" s="68">
        <f>_xlfn.AGGREGATE(9,3,Ongoing[(PTM)
AUT
SPS])/IF(RIGHT(CF6,4)="(K€)",CF2,1)</f>
        <v>0</v>
      </c>
      <c r="CG5" s="68">
        <f>_xlfn.AGGREGATE(9,3,Ongoing[(PTM)
GER
SPS])/IF(RIGHT(CG6,4)="(K€)",CG2,1)</f>
        <v>0</v>
      </c>
      <c r="CH5" s="68">
        <f>_xlfn.AGGREGATE(9,3,Ongoing[(PTM)
POL
SPS])/IF(RIGHT(CH6,4)="(K€)",CH2,1)</f>
        <v>0</v>
      </c>
      <c r="CI5" s="68">
        <f>_xlfn.AGGREGATE(9,3,Ongoing[(PTM)
CZE
Cataps])/IF(RIGHT(CI6,4)="(K€)",CI2,1)</f>
        <v>0</v>
      </c>
      <c r="CJ5" s="68">
        <f>_xlfn.AGGREGATE(9,3,Ongoing[COO CS
Internal
WL entities])/IF(RIGHT(CJ6,4)="(K€)",CJ2,1)</f>
        <v>0</v>
      </c>
      <c r="CK5" s="68">
        <f>_xlfn.AGGREGATE(9,3,Ongoing[(CCS)
BEL
WL])/IF(RIGHT(CK6,4)="(K€)",CK2,1)</f>
        <v>0</v>
      </c>
      <c r="CL5" s="68">
        <f>_xlfn.AGGREGATE(9,3,Ongoing[(CCS)
FRA
WL])/IF(RIGHT(CL6,4)="(K€)",CL2,1)</f>
        <v>0</v>
      </c>
      <c r="CM5" s="68">
        <f>_xlfn.AGGREGATE(9,3,Ongoing[(CCS)
NLD
WL])/IF(RIGHT(CM6,4)="(K€)",CM2,1)</f>
        <v>0</v>
      </c>
      <c r="CN5" s="68">
        <f>_xlfn.AGGREGATE(9,3,Ongoing[COO CS
Internal
SPS entities])/IF(RIGHT(CN6,4)="(K€)",CN2,1)</f>
        <v>0</v>
      </c>
      <c r="CO5" s="68">
        <f>_xlfn.AGGREGATE(9,3,Ongoing[(CCS)
CHE
SPS])/IF(RIGHT(CO6,4)="(K€)",CO2,1)</f>
        <v>0</v>
      </c>
      <c r="CP5" s="68">
        <f>_xlfn.AGGREGATE(9,3,Ongoing[(CCS)
LUX
SPS])/IF(RIGHT(CP6,4)="(K€)",CP2,1)</f>
        <v>0</v>
      </c>
      <c r="CQ5" s="68">
        <f>_xlfn.AGGREGATE(9,3,Ongoing[(CCS)
AUT
SPS])/IF(RIGHT(CQ6,4)="(K€)",CQ2,1)</f>
        <v>0</v>
      </c>
      <c r="CR5" s="68">
        <f>_xlfn.AGGREGATE(9,3,Ongoing[(CCS)
GER
SPS])/IF(RIGHT(CR6,4)="(K€)",CR2,1)</f>
        <v>0</v>
      </c>
      <c r="CS5" s="68">
        <f>_xlfn.AGGREGATE(9,3,Ongoing[(CCS)
POL
SPS])/IF(RIGHT(CS6,4)="(K€)",CS2,1)</f>
        <v>0</v>
      </c>
      <c r="CT5" s="68">
        <f>_xlfn.AGGREGATE(9,3,Ongoing[COO CS
Internal
Other entities])/IF(RIGHT(CT6,4)="(K€)",CT2,1)</f>
        <v>0</v>
      </c>
      <c r="CU5" s="68">
        <f>_xlfn.AGGREGATE(9,3,Ongoing[(CCS)
NLD
PSQ])/IF(RIGHT(CU6,4)="(K€)",CU2,1)</f>
        <v>0</v>
      </c>
      <c r="CV5" s="68">
        <f>_xlfn.AGGREGATE(9,3,Ongoing[(CCS)
POL
PSQ])/IF(RIGHT(CV6,4)="(K€)",CV2,1)</f>
        <v>0</v>
      </c>
      <c r="CW5" s="68">
        <f>_xlfn.AGGREGATE(9,3,Ongoing[(CCS)
CZE
Cataps])/IF(RIGHT(CW6,4)="(K€)",CW2,1)</f>
        <v>0</v>
      </c>
      <c r="CX5" s="68">
        <f>_xlfn.AGGREGATE(9,3,Ongoing[COO BSA
Internal
all entities])/IF(RIGHT(CX6,4)="(K€)",CX2,1)</f>
        <v>0</v>
      </c>
      <c r="CY5" s="68">
        <f>_xlfn.AGGREGATE(9,3,Ongoing[(BSA)
BEL
WL])/IF(RIGHT(CY6,4)="(K€)",CY2,1)</f>
        <v>0</v>
      </c>
      <c r="CZ5" s="68">
        <f>_xlfn.AGGREGATE(9,3,Ongoing[(BSA)
AUS
WL])/IF(RIGHT(CZ6,4)="(K€)",CZ2,1)</f>
        <v>0</v>
      </c>
      <c r="DA5" s="68">
        <f>_xlfn.AGGREGATE(9,3,Ongoing[(BSA)
NLD
WL])/IF(RIGHT(DA6,4)="(K€)",DA2,1)</f>
        <v>0</v>
      </c>
      <c r="DB5" s="68">
        <f>_xlfn.AGGREGATE(9,3,Ongoing[(BSA)
CHE
SPS])/IF(RIGHT(DB6,4)="(K€)",DB2,1)</f>
        <v>0</v>
      </c>
      <c r="DC5" s="68">
        <f>_xlfn.AGGREGATE(9,3,Ongoing[(BSA)
POL])/IF(RIGHT(DC6,4)="(K€)",DC2,1)</f>
        <v>0</v>
      </c>
      <c r="DD5" s="68">
        <f>_xlfn.AGGREGATE(9,3,Ongoing[(BSA)
FRA])/IF(RIGHT(DD6,4)="(K€)",DD2,1)</f>
        <v>0</v>
      </c>
      <c r="DE5" s="68">
        <f>_xlfn.AGGREGATE(9,3,Ongoing[(BSA)
GER])/IF(RIGHT(DE6,4)="(K€)",DE2,1)</f>
        <v>0</v>
      </c>
      <c r="DF5" s="68">
        <f>_xlfn.AGGREGATE(9,3,Ongoing[Chief Market Officer
Internal
all entities])/IF(RIGHT(DF6,4)="(K€)",DF2,1)</f>
        <v>0</v>
      </c>
      <c r="DG5" s="5097" t="n">
        <v>2420.0</v>
      </c>
      <c r="DH5" s="68">
        <f>_xlfn.AGGREGATE(9,3,Ongoing[GTM FI
Internal
all entities])/IF(RIGHT(DH6,4)="(K€)",DH2,1)</f>
        <v>0</v>
      </c>
      <c r="DI5" s="68">
        <f>_xlfn.AGGREGATE(9,3,Ongoing[(GTM)
All
any entity])/IF(RIGHT(DI6,4)="(K€)",DI2,1)</f>
        <v>0</v>
      </c>
      <c r="DJ5" s="68">
        <f>_xlfn.AGGREGATE(9,3,Ongoing[Financial Services
Outsourced
all entities])/IF(RIGHT(DJ6,4)="(K€)",DJ2,1)</f>
        <v>0</v>
      </c>
      <c r="DK5" s="68">
        <f>_xlfn.AGGREGATE(9,3,Ongoing[(FIS)
All
any entity])/IF(RIGHT(DK6,4)="(K€)",DK2,1)</f>
        <v>0</v>
      </c>
      <c r="DL5" s="5099" t="n">
        <v>170.0</v>
      </c>
      <c r="DM5" s="68">
        <f>_xlfn.AGGREGATE(9,3,Ongoing[(FIS)
FRA
eWL])/IF(RIGHT(DM6,4)="(K€)",DM2,1)</f>
        <v>0</v>
      </c>
      <c r="DN5" s="68">
        <f>_xlfn.AGGREGATE(9,3,Ongoing[(FIS)
NLD
eWL])/IF(RIGHT(DN6,4)="(K€)",DN2,1)</f>
        <v>0</v>
      </c>
      <c r="DO5" s="68">
        <f>_xlfn.AGGREGATE(9,3,Ongoing[(FIS)
GER
eWL])/IF(RIGHT(DO6,4)="(K€)",DO2,1)</f>
        <v>0</v>
      </c>
      <c r="DP5" s="5101" t="n">
        <v>600.0</v>
      </c>
      <c r="DQ5" s="68">
        <f>_xlfn.AGGREGATE(9,3,Ongoing[(FIS)
SPS Split (26%) BEL])/IF(RIGHT(DQ6,4)="(K€)",DQ2,1)</f>
        <v>0</v>
      </c>
      <c r="DR5" s="68">
        <f>_xlfn.AGGREGATE(9,3,Ongoing[(FIS)
SPS % Split
FO])/IF(RIGHT(DR6,4)="(K€)",DR2,1)</f>
        <v>0</v>
      </c>
      <c r="DS5" s="68">
        <f>_xlfn.AGGREGATE(9,3,Ongoing[(FIS)
SPS % Split
BO])/IF(RIGHT(DS6,4)="(K€)",DS2,1)</f>
        <v>0</v>
      </c>
      <c r="DT5" s="68">
        <f>_xlfn.AGGREGATE(9,3,Ongoing[(FIS)
SPS Split
FO (calc)])/IF(RIGHT(DT6,4)="(K€)",DT2,1)</f>
        <v>0</v>
      </c>
      <c r="DU5" s="68">
        <f>_xlfn.AGGREGATE(9,3,Ongoing[(FIS)
SPS Split
BO (calc)])/IF(RIGHT(DU6,4)="(K€)",DU2,1)</f>
        <v>0</v>
      </c>
      <c r="DV5" s="68">
        <f>_xlfn.AGGREGATE(9,3,Ongoing[(FIS)
SPS Split
DaMa (calc)])/IF(RIGHT(DV6,4)="(K€)",DV2,1)</f>
        <v>0</v>
      </c>
      <c r="DW5" s="68">
        <f>_xlfn.AGGREGATE(9,3,Ongoing[Production Services
Outsourced
all entities])/IF(RIGHT(DW6,4)="(K€)",DW2,1)</f>
        <v>0</v>
      </c>
      <c r="DX5" s="68">
        <f>_xlfn.AGGREGATE(9,3,Ongoing[(PRD)
ALL
any entity])/IF(RIGHT(DX6,4)="(K€)",DX2,1)</f>
        <v>0</v>
      </c>
      <c r="DY5" s="68">
        <f>_xlfn.AGGREGATE(9,3,Ongoing[TSS
Outsourced 
all entities])/IF(RIGHT(DY6,4)="(K€)",DY2,1)</f>
        <v>0</v>
      </c>
      <c r="DZ5" s="68">
        <f>_xlfn.AGGREGATE(9,3,Ongoing[(TSS)
CHE
SPS])/IF(RIGHT(DZ6,4)="(K€)",DZ2,1)</f>
        <v>0</v>
      </c>
      <c r="EA5" s="68">
        <f>_xlfn.AGGREGATE(9,3,Ongoing[(TSS)
ALL
any entity])/IF(RIGHT(EA6,4)="(K€)",EA2,1)</f>
        <v>0</v>
      </c>
      <c r="EB5" s="68">
        <f>_xlfn.AGGREGATE(9,3,Ongoing[MTS
Outsourced
all entities])/IF(RIGHT(EB6,4)="(K€)",EB2,1)</f>
        <v>0</v>
      </c>
      <c r="EC5" s="68">
        <f>_xlfn.AGGREGATE(9,3,Ongoing[(MTS)
ALL
any entity])/IF(RIGHT(EC6,4)="(K€)",EC2,1)</f>
        <v>0</v>
      </c>
      <c r="ED5" s="68">
        <f>_xlfn.AGGREGATE(9,3,Ongoing[Payone
Outsourced
all entities])/IF(RIGHT(ED6,4)="(K€)",ED2,1)</f>
        <v>0</v>
      </c>
      <c r="EE5" s="68">
        <f>_xlfn.AGGREGATE(9,3,Ongoing[(Payone)
ALL
any entity])/IF(RIGHT(EE6,4)="(K€)",EE2,1)</f>
        <v>0</v>
      </c>
      <c r="EF5" s="68">
        <f>_xlfn.AGGREGATE(9,3,Ongoing[Cash Out
OPEX
Suppliers])/IF(RIGHT(EF6,4)="(K€)",EF2,1)</f>
        <v>0</v>
      </c>
      <c r="EG5" s="68">
        <f>_xlfn.AGGREGATE(9,3,Ongoing[(OPX) 
Supplier Name(s)])/IF(RIGHT(EG6,4)="(K€)",EG2,1)</f>
        <v>0</v>
      </c>
      <c r="EH5" s="68">
        <f>_xlfn.AGGREGATE(9,3,Ongoing[(OPX)
All SubCo
Fix price (K€)])/IF(RIGHT(EH6,4)="(K€)",EH2,1)</f>
        <v>0</v>
      </c>
      <c r="EI5" s="68">
        <f>_xlfn.AGGREGATE(9,3,Ongoing[(OPX)
All Subco
T&amp;M 1000])/IF(RIGHT(EI6,4)="(K€)",EI2,1)</f>
        <v>0</v>
      </c>
      <c r="EJ5" s="68">
        <f>_xlfn.AGGREGATE(9,3,Ongoing[(OPX)
All Subco
T&amp;M 700])/IF(RIGHT(EJ6,4)="(K€)",EJ2,1)</f>
        <v>0</v>
      </c>
      <c r="EK5" s="68">
        <f>_xlfn.AGGREGATE(9,3,Ongoing[(OPX)
All Subco
T&amp;M 470])/IF(RIGHT(EK6,4)="(K€)",EK2,1)</f>
        <v>0</v>
      </c>
      <c r="EL5" s="68">
        <f>_xlfn.AGGREGATE(9,3,Ongoing[(OPX)
MAR
Morocco])/IF(RIGHT(EL6,4)="(K€)",EL2,1)</f>
        <v>0</v>
      </c>
      <c r="EM5" s="68">
        <f>_xlfn.AGGREGATE(9,3,Ongoing[(OPX)
IND
Cybage])/IF(RIGHT(EM6,4)="(K€)",EM2,1)</f>
        <v>0</v>
      </c>
      <c r="EN5" s="68">
        <f>_xlfn.AGGREGATE(9,3,Ongoing[(OPX)
IND
India])/IF(RIGHT(EN6,4)="(K€)",EN2,1)</f>
        <v>0</v>
      </c>
      <c r="EO5" s="68">
        <f>_xlfn.AGGREGATE(9,3,Ongoing[(OPX)
BUL
Bulgaria])/IF(RIGHT(EO6,4)="(K€)",EO2,1)</f>
        <v>0</v>
      </c>
      <c r="EP5" s="5103" t="n">
        <v>1550.0</v>
      </c>
      <c r="EQ5" s="68">
        <f>_xlfn.AGGREGATE(9,3,Ongoing[Cash Out
CAPEX
KEUR])/IF(RIGHT(EQ6,4)="(K€)",EQ2,1)</f>
        <v>0</v>
      </c>
      <c r="ER5" s="87">
        <f>_xlfn.AGGREGATE(9,3,Ongoing[(CPX) 
CAPEX
kEUR])/IF(RIGHT(ER6,4)="(K€)",ER2,1)</f>
        <v>0</v>
      </c>
      <c r="ES5" s="87"/>
      <c r="ET5" s="87"/>
      <c r="EU5" s="87"/>
      <c r="EV5" s="87"/>
      <c r="EW5" s="87"/>
      <c r="EX5" s="87"/>
      <c r="EY5" s="87"/>
      <c r="EZ5" s="87">
        <f>_xlfn.AGGREGATE(9,3,Ongoing[Non MS/Not listed Entities])/IF(RIGHT(EZ6,4)="(K€)",EZ2,1)</f>
        <v>0</v>
      </c>
      <c r="FA5" s="87">
        <f>_xlfn.AGGREGATE(9,3,Ongoing[(NMS)
ALL
Direct])/IF(RIGHT(FA6,4)="(K€)",FA2,1)</f>
        <v>0</v>
      </c>
      <c r="FB5" s="87">
        <f>_xlfn.AGGREGATE(9,3,Ongoing[(NMS)
ALL
Indirect])/IF(RIGHT(FB6,4)="(K€)",FB2,1)</f>
        <v>0</v>
      </c>
      <c r="FC5" s="87">
        <f>_xlfn.AGGREGATE(9,3,Ongoing[(NMS)
Non listed entities])/IF(RIGHT(FC6,4)="(K€)",FC2,1)</f>
        <v>0</v>
      </c>
      <c r="FD5" s="87"/>
      <c r="FE5" s="87">
        <f>_xlfn.AGGREGATE(9,3,Ongoing[Costs for Move to Cloud (2022) ])/IF(RIGHT(FE6,4)="(K€)",FE2,1)</f>
        <v>0</v>
      </c>
      <c r="FF5" s="87"/>
      <c r="FG5" s="87">
        <f>_xlfn.AGGREGATE(9,3,Ongoing[TOTAL 2022 in mandays])/IF(RIGHT(FG6,4)="(K€)",FG2,1)</f>
        <v>0</v>
      </c>
      <c r="FH5" s="87"/>
    </row>
    <row r="6" spans="1:172" ht="48" x14ac:dyDescent="0.2">
      <c r="B6" s="11" t="s">
        <v>142</v>
      </c>
      <c r="C6" s="11" t="s">
        <v>144</v>
      </c>
      <c r="D6" s="11" t="s">
        <v>6</v>
      </c>
      <c r="E6" s="11" t="s">
        <v>145</v>
      </c>
      <c r="F6" s="11" t="s">
        <v>146</v>
      </c>
      <c r="G6" s="11" t="s">
        <v>147</v>
      </c>
      <c r="H6" s="11" t="s">
        <v>38</v>
      </c>
      <c r="I6" s="11" t="s">
        <v>63</v>
      </c>
      <c r="J6" s="11" t="s">
        <v>148</v>
      </c>
      <c r="K6" s="11" t="s">
        <v>149</v>
      </c>
      <c r="L6" s="11" t="s">
        <v>150</v>
      </c>
      <c r="M6" s="11" t="s">
        <v>151</v>
      </c>
      <c r="N6" s="11" t="s">
        <v>152</v>
      </c>
      <c r="O6" s="11" t="s">
        <v>153</v>
      </c>
      <c r="P6" s="88" t="s">
        <v>154</v>
      </c>
      <c r="Q6" s="89" t="s">
        <v>155</v>
      </c>
      <c r="R6" s="89" t="s">
        <v>156</v>
      </c>
      <c r="S6" s="89" t="s">
        <v>157</v>
      </c>
      <c r="T6" s="89" t="s">
        <v>158</v>
      </c>
      <c r="U6" s="89" t="s">
        <v>159</v>
      </c>
      <c r="V6" s="89" t="s">
        <v>160</v>
      </c>
      <c r="W6" s="89" t="s">
        <v>161</v>
      </c>
      <c r="X6" s="89" t="s">
        <v>162</v>
      </c>
      <c r="Y6" s="89" t="s">
        <v>163</v>
      </c>
      <c r="Z6" s="89" t="s">
        <v>164</v>
      </c>
      <c r="AA6" s="89" t="s">
        <v>165</v>
      </c>
      <c r="AB6" s="89" t="s">
        <v>166</v>
      </c>
      <c r="AC6" s="89" t="s">
        <v>167</v>
      </c>
      <c r="AD6" s="89" t="s">
        <v>168</v>
      </c>
      <c r="AE6" s="89" t="s">
        <v>169</v>
      </c>
      <c r="AF6" s="89" t="s">
        <v>170</v>
      </c>
      <c r="AG6" s="89" t="s">
        <v>171</v>
      </c>
      <c r="AH6" s="89" t="s">
        <v>172</v>
      </c>
      <c r="AI6" s="89" t="s">
        <v>173</v>
      </c>
      <c r="AJ6" s="89" t="s">
        <v>174</v>
      </c>
      <c r="AK6" s="89" t="s">
        <v>175</v>
      </c>
      <c r="AL6" s="89" t="s">
        <v>176</v>
      </c>
      <c r="AM6" s="89" t="s">
        <v>177</v>
      </c>
      <c r="AN6" s="89" t="s">
        <v>178</v>
      </c>
      <c r="AO6" s="89" t="s">
        <v>179</v>
      </c>
      <c r="AP6" s="89" t="s">
        <v>180</v>
      </c>
      <c r="AQ6" s="90" t="s">
        <v>181</v>
      </c>
      <c r="AR6" s="89" t="s">
        <v>182</v>
      </c>
      <c r="AS6" s="89" t="s">
        <v>183</v>
      </c>
      <c r="AT6" s="89" t="s">
        <v>184</v>
      </c>
      <c r="AU6" s="89" t="s">
        <v>185</v>
      </c>
      <c r="AV6" s="90" t="s">
        <v>186</v>
      </c>
      <c r="AW6" s="89" t="s">
        <v>187</v>
      </c>
      <c r="AX6" s="89" t="s">
        <v>188</v>
      </c>
      <c r="AY6" s="89" t="s">
        <v>189</v>
      </c>
      <c r="AZ6" s="89" t="s">
        <v>190</v>
      </c>
      <c r="BA6" s="89" t="s">
        <v>191</v>
      </c>
      <c r="BB6" s="89" t="s">
        <v>192</v>
      </c>
      <c r="BC6" s="89" t="s">
        <v>193</v>
      </c>
      <c r="BD6" s="89" t="s">
        <v>194</v>
      </c>
      <c r="BE6" s="89" t="s">
        <v>195</v>
      </c>
      <c r="BF6" s="89" t="s">
        <v>196</v>
      </c>
      <c r="BG6" s="89" t="s">
        <v>197</v>
      </c>
      <c r="BH6" s="89" t="s">
        <v>198</v>
      </c>
      <c r="BI6" s="90" t="s">
        <v>199</v>
      </c>
      <c r="BJ6" s="14" t="s">
        <v>200</v>
      </c>
      <c r="BK6" s="14" t="s">
        <v>201</v>
      </c>
      <c r="BL6" s="14" t="s">
        <v>202</v>
      </c>
      <c r="BM6" s="14" t="s">
        <v>203</v>
      </c>
      <c r="BN6" s="14" t="s">
        <v>204</v>
      </c>
      <c r="BO6" s="14" t="s">
        <v>205</v>
      </c>
      <c r="BP6" s="88" t="s">
        <v>206</v>
      </c>
      <c r="BQ6" s="89" t="s">
        <v>207</v>
      </c>
      <c r="BR6" s="89" t="s">
        <v>208</v>
      </c>
      <c r="BS6" s="88" t="s">
        <v>209</v>
      </c>
      <c r="BT6" s="89" t="s">
        <v>210</v>
      </c>
      <c r="BU6" s="89" t="s">
        <v>211</v>
      </c>
      <c r="BV6" s="89" t="s">
        <v>212</v>
      </c>
      <c r="BW6" s="13" t="s">
        <v>213</v>
      </c>
      <c r="BX6" s="89" t="s">
        <v>214</v>
      </c>
      <c r="BY6" s="89" t="s">
        <v>215</v>
      </c>
      <c r="BZ6" s="89" t="s">
        <v>216</v>
      </c>
      <c r="CA6" s="89" t="s">
        <v>217</v>
      </c>
      <c r="CB6" s="89" t="s">
        <v>218</v>
      </c>
      <c r="CC6" s="89" t="s">
        <v>219</v>
      </c>
      <c r="CD6" s="13" t="s">
        <v>220</v>
      </c>
      <c r="CE6" s="89" t="s">
        <v>221</v>
      </c>
      <c r="CF6" s="89" t="s">
        <v>222</v>
      </c>
      <c r="CG6" s="89" t="s">
        <v>223</v>
      </c>
      <c r="CH6" s="89" t="s">
        <v>224</v>
      </c>
      <c r="CI6" s="89" t="s">
        <v>225</v>
      </c>
      <c r="CJ6" s="13" t="s">
        <v>226</v>
      </c>
      <c r="CK6" s="89" t="s">
        <v>227</v>
      </c>
      <c r="CL6" s="89" t="s">
        <v>228</v>
      </c>
      <c r="CM6" s="89" t="s">
        <v>229</v>
      </c>
      <c r="CN6" s="13" t="s">
        <v>230</v>
      </c>
      <c r="CO6" s="89" t="s">
        <v>231</v>
      </c>
      <c r="CP6" s="89" t="s">
        <v>232</v>
      </c>
      <c r="CQ6" s="89" t="s">
        <v>233</v>
      </c>
      <c r="CR6" s="89" t="s">
        <v>234</v>
      </c>
      <c r="CS6" s="89" t="s">
        <v>235</v>
      </c>
      <c r="CT6" s="13" t="s">
        <v>236</v>
      </c>
      <c r="CU6" s="89" t="s">
        <v>237</v>
      </c>
      <c r="CV6" s="89" t="s">
        <v>238</v>
      </c>
      <c r="CW6" s="89" t="s">
        <v>239</v>
      </c>
      <c r="CX6" s="13" t="s">
        <v>240</v>
      </c>
      <c r="CY6" s="89" t="s">
        <v>241</v>
      </c>
      <c r="CZ6" s="89" t="s">
        <v>242</v>
      </c>
      <c r="DA6" s="89" t="s">
        <v>243</v>
      </c>
      <c r="DB6" s="89" t="s">
        <v>244</v>
      </c>
      <c r="DC6" s="14" t="s">
        <v>245</v>
      </c>
      <c r="DD6" s="14" t="s">
        <v>246</v>
      </c>
      <c r="DE6" s="89" t="s">
        <v>247</v>
      </c>
      <c r="DF6" s="13" t="s">
        <v>248</v>
      </c>
      <c r="DG6" s="89" t="s">
        <v>249</v>
      </c>
      <c r="DH6" s="88" t="s">
        <v>250</v>
      </c>
      <c r="DI6" s="89" t="s">
        <v>251</v>
      </c>
      <c r="DJ6" s="91" t="s">
        <v>252</v>
      </c>
      <c r="DK6" s="92" t="s">
        <v>253</v>
      </c>
      <c r="DL6" s="92" t="s">
        <v>254</v>
      </c>
      <c r="DM6" s="92" t="s">
        <v>255</v>
      </c>
      <c r="DN6" s="92" t="s">
        <v>256</v>
      </c>
      <c r="DO6" s="92" t="s">
        <v>257</v>
      </c>
      <c r="DP6" s="92" t="s">
        <v>258</v>
      </c>
      <c r="DQ6" s="93" t="s">
        <v>259</v>
      </c>
      <c r="DR6" s="93" t="s">
        <v>260</v>
      </c>
      <c r="DS6" s="93" t="s">
        <v>261</v>
      </c>
      <c r="DT6" s="93" t="s">
        <v>262</v>
      </c>
      <c r="DU6" s="93" t="s">
        <v>263</v>
      </c>
      <c r="DV6" s="93" t="s">
        <v>264</v>
      </c>
      <c r="DW6" s="91" t="s">
        <v>265</v>
      </c>
      <c r="DX6" s="92" t="s">
        <v>266</v>
      </c>
      <c r="DY6" s="91" t="s">
        <v>267</v>
      </c>
      <c r="DZ6" s="92" t="s">
        <v>268</v>
      </c>
      <c r="EA6" s="92" t="s">
        <v>269</v>
      </c>
      <c r="EB6" s="91" t="s">
        <v>270</v>
      </c>
      <c r="EC6" s="92" t="s">
        <v>271</v>
      </c>
      <c r="ED6" s="91" t="s">
        <v>272</v>
      </c>
      <c r="EE6" s="92" t="s">
        <v>273</v>
      </c>
      <c r="EF6" s="94" t="s">
        <v>274</v>
      </c>
      <c r="EG6" s="95" t="s">
        <v>275</v>
      </c>
      <c r="EH6" s="95" t="s">
        <v>276</v>
      </c>
      <c r="EI6" s="95" t="s">
        <v>277</v>
      </c>
      <c r="EJ6" s="95" t="s">
        <v>278</v>
      </c>
      <c r="EK6" s="95" t="s">
        <v>279</v>
      </c>
      <c r="EL6" s="95" t="s">
        <v>280</v>
      </c>
      <c r="EM6" s="95" t="s">
        <v>281</v>
      </c>
      <c r="EN6" s="95" t="s">
        <v>282</v>
      </c>
      <c r="EO6" s="95" t="s">
        <v>283</v>
      </c>
      <c r="EP6" s="95" t="s">
        <v>284</v>
      </c>
      <c r="EQ6" s="23" t="s">
        <v>285</v>
      </c>
      <c r="ER6" s="24" t="s">
        <v>286</v>
      </c>
      <c r="ES6" s="96" t="s">
        <v>287</v>
      </c>
      <c r="ET6" s="97" t="s">
        <v>716</v>
      </c>
      <c r="EU6" s="98" t="s">
        <v>717</v>
      </c>
      <c r="EV6" s="98" t="s">
        <v>718</v>
      </c>
      <c r="EW6" s="98" t="s">
        <v>719</v>
      </c>
      <c r="EX6" s="98" t="s">
        <v>720</v>
      </c>
      <c r="EY6" s="98" t="s">
        <v>721</v>
      </c>
      <c r="EZ6" s="99" t="s">
        <v>288</v>
      </c>
      <c r="FA6" s="100" t="s">
        <v>289</v>
      </c>
      <c r="FB6" s="100" t="s">
        <v>290</v>
      </c>
      <c r="FC6" s="100" t="s">
        <v>291</v>
      </c>
      <c r="FD6" s="100" t="s">
        <v>292</v>
      </c>
      <c r="FE6" s="99" t="s">
        <v>293</v>
      </c>
      <c r="FF6" s="32" t="s">
        <v>294</v>
      </c>
      <c r="FG6" s="101" t="s">
        <v>295</v>
      </c>
      <c r="FH6" s="101" t="s">
        <v>3865</v>
      </c>
      <c r="FI6" s="9" t="s">
        <v>722</v>
      </c>
      <c r="FJ6" s="9" t="s">
        <v>723</v>
      </c>
      <c r="FK6" s="9" t="s">
        <v>724</v>
      </c>
      <c r="FL6" s="9" t="s">
        <v>725</v>
      </c>
      <c r="FM6" s="9" t="s">
        <v>726</v>
      </c>
      <c r="FN6" s="9" t="s">
        <v>727</v>
      </c>
      <c r="FO6" s="9" t="s">
        <v>728</v>
      </c>
      <c r="FP6" s="9" t="s">
        <v>729</v>
      </c>
    </row>
    <row r="7" spans="1:172" s="115" customFormat="1" ht="11.25" x14ac:dyDescent="0.15">
      <c r="B7" s="214" t="s">
        <v>1350</v>
      </c>
      <c r="C7" s="215" t="s">
        <v>1351</v>
      </c>
      <c r="D7" s="216" t="s">
        <v>889</v>
      </c>
      <c r="E7" s="217" t="s">
        <v>1641</v>
      </c>
      <c r="F7" s="218" t="s">
        <v>1597</v>
      </c>
      <c r="G7" s="219" t="s">
        <v>46</v>
      </c>
      <c r="H7" s="220" t="s">
        <v>43</v>
      </c>
      <c r="I7" s="221" t="s">
        <v>68</v>
      </c>
      <c r="J7" s="222" t="s">
        <v>771</v>
      </c>
      <c r="K7" s="223" t="s">
        <v>1242</v>
      </c>
      <c r="L7" s="224" t="s">
        <v>305</v>
      </c>
      <c r="M7" s="225" t="s">
        <v>3873</v>
      </c>
      <c r="N7" s="226" t="s">
        <v>3871</v>
      </c>
      <c r="O7" s="148"/>
      <c r="P7" s="161">
        <f>SUM(Q7:AP7)</f>
      </c>
      <c r="Q7" s="161"/>
      <c r="R7" s="161"/>
      <c r="S7" s="161"/>
      <c r="T7" s="161"/>
      <c r="U7" s="161"/>
      <c r="V7" s="161"/>
      <c r="W7" s="161"/>
      <c r="X7" s="161"/>
      <c r="Y7" s="161"/>
      <c r="Z7" s="161"/>
      <c r="AA7" s="161"/>
      <c r="AB7" s="161"/>
      <c r="AC7" s="161"/>
      <c r="AD7" s="161"/>
      <c r="AE7" s="161"/>
      <c r="AF7" s="161"/>
      <c r="AG7" s="161"/>
      <c r="AH7" s="161"/>
      <c r="AI7" s="161"/>
      <c r="AJ7" s="161"/>
      <c r="AK7" s="161"/>
      <c r="AL7" s="161"/>
      <c r="AM7" s="161"/>
      <c r="AN7" s="227" t="n">
        <v>569.0</v>
      </c>
      <c r="AO7" s="161"/>
      <c r="AP7" s="161"/>
      <c r="AQ7" s="161">
        <f>SUM(AR7:AU7)</f>
      </c>
      <c r="AR7" s="161"/>
      <c r="AS7" s="161"/>
      <c r="AT7" s="161"/>
      <c r="AU7" s="161"/>
      <c r="AV7" s="161">
        <f>SUM(AW7:BH7)</f>
      </c>
      <c r="AW7" s="161"/>
      <c r="AX7" s="161"/>
      <c r="AY7" s="161"/>
      <c r="AZ7" s="161"/>
      <c r="BA7" s="161"/>
      <c r="BB7" s="161"/>
      <c r="BC7" s="161"/>
      <c r="BD7" s="161"/>
      <c r="BE7" s="161"/>
      <c r="BF7" s="161"/>
      <c r="BG7" s="161"/>
      <c r="BH7" s="161"/>
      <c r="BI7" s="161"/>
      <c r="BJ7" s="161"/>
      <c r="BK7" s="161"/>
      <c r="BL7" s="161"/>
      <c r="BM7" s="161"/>
      <c r="BN7" s="161"/>
      <c r="BO7" s="161"/>
      <c r="BP7" s="161"/>
      <c r="BQ7" s="161"/>
      <c r="BR7" s="161"/>
      <c r="BS7" s="161">
        <f>SUM(BT7:BV7)</f>
      </c>
      <c r="BT7" s="161"/>
      <c r="BU7" s="161"/>
      <c r="BV7" s="161"/>
      <c r="BW7" s="161">
        <f>SUM(BX7:CC7)</f>
      </c>
      <c r="BX7" s="161"/>
      <c r="BY7" s="161"/>
      <c r="BZ7" s="161"/>
      <c r="CA7" s="161"/>
      <c r="CB7" s="161"/>
      <c r="CC7" s="161"/>
      <c r="CD7" s="161"/>
      <c r="CE7" s="161"/>
      <c r="CF7" s="161"/>
      <c r="CG7" s="161"/>
      <c r="CH7" s="161"/>
      <c r="CI7" s="161"/>
      <c r="CJ7" s="161">
        <f>SUM(CK7:CM7)</f>
      </c>
      <c r="CK7" s="161"/>
      <c r="CL7" s="161"/>
      <c r="CM7" s="161"/>
      <c r="CN7" s="161">
        <f>SUM(CO7:CS7)</f>
      </c>
      <c r="CO7" s="161"/>
      <c r="CP7" s="161"/>
      <c r="CQ7" s="161"/>
      <c r="CR7" s="161"/>
      <c r="CS7" s="161"/>
      <c r="CT7" s="161"/>
      <c r="CU7" s="161"/>
      <c r="CV7" s="161"/>
      <c r="CW7" s="161"/>
      <c r="CX7" s="161"/>
      <c r="CY7" s="161"/>
      <c r="CZ7" s="161"/>
      <c r="DA7" s="161"/>
      <c r="DB7" s="161"/>
      <c r="DC7" s="161"/>
      <c r="DD7" s="161"/>
      <c r="DE7" s="161"/>
      <c r="DF7" s="161">
        <f>SUM(DG7:DG7)</f>
      </c>
      <c r="DG7" s="161"/>
      <c r="DH7" s="161"/>
      <c r="DI7" s="162"/>
      <c r="DJ7" s="161">
        <f>SUM(DK7:DP7)</f>
      </c>
      <c r="DK7" s="161"/>
      <c r="DL7" s="161"/>
      <c r="DM7" s="161"/>
      <c r="DN7" s="161"/>
      <c r="DO7" s="161"/>
      <c r="DP7" s="161"/>
      <c r="DQ7" s="161"/>
      <c r="DR7" s="161"/>
      <c r="DS7" s="161"/>
      <c r="DT7" s="161"/>
      <c r="DU7" s="161"/>
      <c r="DV7" s="161"/>
      <c r="DW7" s="161"/>
      <c r="DX7" s="161"/>
      <c r="DY7" s="161"/>
      <c r="DZ7" s="161"/>
      <c r="EA7" s="161"/>
      <c r="EB7" s="161"/>
      <c r="EC7" s="161"/>
      <c r="ED7" s="161"/>
      <c r="EE7" s="161"/>
      <c r="EF7" s="161">
        <f>SUM(EG7:EP7)</f>
      </c>
      <c r="EG7" s="161"/>
      <c r="EH7" s="161"/>
      <c r="EI7" s="161"/>
      <c r="EJ7" s="161"/>
      <c r="EK7" s="161"/>
      <c r="EL7" s="161"/>
      <c r="EM7" s="161"/>
      <c r="EN7" s="161"/>
      <c r="EO7" s="161"/>
      <c r="EP7" s="161"/>
      <c r="EQ7" s="161">
        <f>SUM(ER7:ES7)</f>
      </c>
      <c r="ER7" s="161"/>
      <c r="ES7" s="161"/>
      <c r="ET7" s="161"/>
      <c r="EU7" s="161"/>
      <c r="EV7" s="161"/>
      <c r="EW7" s="161"/>
      <c r="EX7" s="161"/>
      <c r="EY7" s="161"/>
      <c r="EZ7" s="161"/>
      <c r="FA7" s="161"/>
      <c r="FB7" s="161"/>
      <c r="FC7" s="161"/>
      <c r="FD7" s="161"/>
      <c r="FE7" s="161"/>
      <c r="FF7" s="161"/>
      <c r="FG7" s="161"/>
      <c r="FH7" s="163" cm="1">
        <f t="array" ref="FH7">ROW()-ROW(Ongoing[#Headers])</f>
        <v>1</v>
      </c>
      <c r="FI7" s="164" t="e">
        <v>#N/A</v>
      </c>
      <c r="FJ7" s="164" t="e">
        <v>#N/A</v>
      </c>
      <c r="FK7" s="164" t="e">
        <v>#N/A</v>
      </c>
      <c r="FL7" s="164" t="e">
        <v>#N/A</v>
      </c>
      <c r="FM7" s="164" t="e">
        <v>#N/A</v>
      </c>
      <c r="FN7" s="164" t="e">
        <v>#N/A</v>
      </c>
      <c r="FO7" s="164" t="e">
        <v>#N/A</v>
      </c>
      <c r="FP7" s="164" t="e">
        <v>#N/A</v>
      </c>
    </row>
    <row r="8" spans="1:172" s="115" customFormat="1" ht="11.25" x14ac:dyDescent="0.2">
      <c r="B8" s="228" t="s">
        <v>1039</v>
      </c>
      <c r="C8" s="229" t="s">
        <v>1040</v>
      </c>
      <c r="D8" s="230" t="s">
        <v>35</v>
      </c>
      <c r="E8" s="231" t="s">
        <v>766</v>
      </c>
      <c r="F8" s="232" t="s">
        <v>1597</v>
      </c>
      <c r="G8" s="233" t="s">
        <v>1736</v>
      </c>
      <c r="H8" s="234" t="s">
        <v>41</v>
      </c>
      <c r="I8" s="235" t="s">
        <v>68</v>
      </c>
      <c r="J8" s="236" t="s">
        <v>771</v>
      </c>
      <c r="K8" s="237" t="s">
        <v>767</v>
      </c>
      <c r="L8" s="238" t="s">
        <v>305</v>
      </c>
      <c r="M8" s="239" t="s">
        <v>3873</v>
      </c>
      <c r="N8" s="240" t="s">
        <v>3871</v>
      </c>
      <c r="O8" s="148"/>
      <c r="P8" s="161">
        <f>SUM(Q8:AP8)</f>
      </c>
      <c r="Q8" s="161"/>
      <c r="R8" s="161"/>
      <c r="S8" s="161"/>
      <c r="T8" s="161"/>
      <c r="U8" s="161"/>
      <c r="V8" s="161"/>
      <c r="W8" s="161"/>
      <c r="X8" s="161"/>
      <c r="Y8" s="161"/>
      <c r="Z8" s="161"/>
      <c r="AA8" s="161"/>
      <c r="AB8" s="161"/>
      <c r="AC8" s="161"/>
      <c r="AD8" s="161"/>
      <c r="AE8" s="161"/>
      <c r="AF8" s="241" t="n">
        <v>625.0</v>
      </c>
      <c r="AG8" s="161"/>
      <c r="AH8" s="161"/>
      <c r="AI8" s="161"/>
      <c r="AJ8" s="161"/>
      <c r="AK8" s="161"/>
      <c r="AL8" s="161"/>
      <c r="AM8" s="161"/>
      <c r="AN8" s="161"/>
      <c r="AO8" s="161"/>
      <c r="AP8" s="161"/>
      <c r="AQ8" s="161">
        <f>SUM(AR8:AU8)</f>
      </c>
      <c r="AR8" s="161"/>
      <c r="AS8" s="161"/>
      <c r="AT8" s="161"/>
      <c r="AU8" s="161"/>
      <c r="AV8" s="161">
        <f>SUM(AW8:BH8)</f>
      </c>
      <c r="AW8" s="161"/>
      <c r="AX8" s="161"/>
      <c r="AY8" s="161"/>
      <c r="AZ8" s="161"/>
      <c r="BA8" s="161"/>
      <c r="BB8" s="161"/>
      <c r="BC8" s="161"/>
      <c r="BD8" s="161"/>
      <c r="BE8" s="161"/>
      <c r="BF8" s="161"/>
      <c r="BG8" s="161"/>
      <c r="BH8" s="161"/>
      <c r="BI8" s="161"/>
      <c r="BJ8" s="161"/>
      <c r="BK8" s="161"/>
      <c r="BL8" s="161"/>
      <c r="BM8" s="161"/>
      <c r="BN8" s="161"/>
      <c r="BO8" s="161"/>
      <c r="BP8" s="161"/>
      <c r="BQ8" s="161"/>
      <c r="BR8" s="161"/>
      <c r="BS8" s="161">
        <f>SUM(BT8:BV8)</f>
      </c>
      <c r="BT8" s="161"/>
      <c r="BU8" s="161"/>
      <c r="BV8" s="161"/>
      <c r="BW8" s="161">
        <f>SUM(BX8:CC8)</f>
      </c>
      <c r="BX8" s="161"/>
      <c r="BY8" s="161"/>
      <c r="BZ8" s="161"/>
      <c r="CA8" s="161"/>
      <c r="CB8" s="161"/>
      <c r="CC8" s="161"/>
      <c r="CD8" s="161"/>
      <c r="CE8" s="161"/>
      <c r="CF8" s="161"/>
      <c r="CG8" s="161"/>
      <c r="CH8" s="161"/>
      <c r="CI8" s="161"/>
      <c r="CJ8" s="161">
        <f>SUM(CK8:CM8)</f>
      </c>
      <c r="CK8" s="161"/>
      <c r="CL8" s="161"/>
      <c r="CM8" s="161"/>
      <c r="CN8" s="161">
        <f>SUM(CO8:CS8)</f>
      </c>
      <c r="CO8" s="161"/>
      <c r="CP8" s="161"/>
      <c r="CQ8" s="161"/>
      <c r="CR8" s="161"/>
      <c r="CS8" s="161"/>
      <c r="CT8" s="161"/>
      <c r="CU8" s="161"/>
      <c r="CV8" s="161"/>
      <c r="CW8" s="161"/>
      <c r="CX8" s="161"/>
      <c r="CY8" s="161"/>
      <c r="CZ8" s="161"/>
      <c r="DA8" s="161"/>
      <c r="DB8" s="161"/>
      <c r="DC8" s="161"/>
      <c r="DD8" s="161"/>
      <c r="DE8" s="161"/>
      <c r="DF8" s="161">
        <f>SUM(DG8:DG8)</f>
      </c>
      <c r="DG8" s="161"/>
      <c r="DH8" s="161"/>
      <c r="DI8" s="161"/>
      <c r="DJ8" s="161">
        <f>SUM(DK8:DP8)</f>
      </c>
      <c r="DK8" s="161"/>
      <c r="DL8" s="161"/>
      <c r="DM8" s="161"/>
      <c r="DN8" s="161"/>
      <c r="DO8" s="161"/>
      <c r="DP8" s="161"/>
      <c r="DQ8" s="161"/>
      <c r="DR8" s="161"/>
      <c r="DS8" s="161"/>
      <c r="DT8" s="161"/>
      <c r="DU8" s="161"/>
      <c r="DV8" s="161"/>
      <c r="DW8" s="161"/>
      <c r="DX8" s="161"/>
      <c r="DY8" s="161"/>
      <c r="DZ8" s="161"/>
      <c r="EA8" s="161"/>
      <c r="EB8" s="161"/>
      <c r="EC8" s="161"/>
      <c r="ED8" s="161"/>
      <c r="EE8" s="161"/>
      <c r="EF8" s="161">
        <f>SUM(EG8:EP8)</f>
      </c>
      <c r="EG8" s="161"/>
      <c r="EH8" s="161"/>
      <c r="EI8" s="161"/>
      <c r="EJ8" s="161"/>
      <c r="EK8" s="161"/>
      <c r="EL8" s="161"/>
      <c r="EM8" s="161"/>
      <c r="EN8" s="161"/>
      <c r="EO8" s="161"/>
      <c r="EP8" s="161"/>
      <c r="EQ8" s="161">
        <f>SUM(ER8:ES8)</f>
      </c>
      <c r="ER8" s="161"/>
      <c r="ES8" s="161"/>
      <c r="ET8" s="161"/>
      <c r="EU8" s="161"/>
      <c r="EV8" s="161"/>
      <c r="EW8" s="161"/>
      <c r="EX8" s="161"/>
      <c r="EY8" s="161"/>
      <c r="EZ8" s="161"/>
      <c r="FA8" s="161"/>
      <c r="FB8" s="161"/>
      <c r="FC8" s="161"/>
      <c r="FD8" s="161"/>
      <c r="FE8" s="161"/>
      <c r="FF8" s="161"/>
      <c r="FG8" s="161"/>
      <c r="FH8" s="163" cm="1">
        <f t="array" ref="FH8">ROW()-ROW(Ongoing[#Headers])</f>
        <v>2</v>
      </c>
      <c r="FI8" s="164" t="e">
        <v>#N/A</v>
      </c>
      <c r="FJ8" s="164" t="s">
        <v>737</v>
      </c>
      <c r="FK8" s="164" t="e">
        <v>#N/A</v>
      </c>
      <c r="FL8" s="164" t="e">
        <v>#N/A</v>
      </c>
      <c r="FM8" s="164" t="e">
        <v>#N/A</v>
      </c>
      <c r="FN8" s="164" t="e">
        <v>#N/A</v>
      </c>
      <c r="FO8" s="164" t="e">
        <v>#N/A</v>
      </c>
      <c r="FP8" s="164" t="e">
        <v>#N/A</v>
      </c>
    </row>
    <row r="9" spans="1:172" s="115" customFormat="1" ht="11.25" x14ac:dyDescent="0.2">
      <c r="B9" s="271" t="s">
        <v>777</v>
      </c>
      <c r="C9" s="272" t="s">
        <v>778</v>
      </c>
      <c r="D9" s="273" t="s">
        <v>13</v>
      </c>
      <c r="E9" s="274" t="s">
        <v>810</v>
      </c>
      <c r="F9" s="275" t="s">
        <v>1597</v>
      </c>
      <c r="G9" s="276" t="s">
        <v>49</v>
      </c>
      <c r="H9" s="277" t="s">
        <v>43</v>
      </c>
      <c r="I9" s="278" t="s">
        <v>71</v>
      </c>
      <c r="J9" s="279" t="s">
        <v>791</v>
      </c>
      <c r="K9" s="280" t="s">
        <v>779</v>
      </c>
      <c r="L9" s="281" t="s">
        <v>305</v>
      </c>
      <c r="M9" s="282" t="s">
        <v>3873</v>
      </c>
      <c r="N9" s="283" t="s">
        <v>3871</v>
      </c>
      <c r="O9" s="148"/>
      <c r="P9" s="161">
        <f>SUM(Q9:AP9)</f>
      </c>
      <c r="Q9" s="161"/>
      <c r="R9" s="161"/>
      <c r="S9" s="161"/>
      <c r="T9" s="161"/>
      <c r="U9" s="161"/>
      <c r="V9" s="161"/>
      <c r="W9" s="161"/>
      <c r="X9" s="161"/>
      <c r="Y9" s="161"/>
      <c r="Z9" s="161"/>
      <c r="AA9" s="161"/>
      <c r="AB9" s="161"/>
      <c r="AC9" s="161"/>
      <c r="AD9" s="161"/>
      <c r="AE9" s="161"/>
      <c r="AF9" s="161"/>
      <c r="AG9" s="161"/>
      <c r="AH9" s="284" t="n">
        <v>200.0</v>
      </c>
      <c r="AI9" s="161"/>
      <c r="AJ9" s="161"/>
      <c r="AK9" s="161"/>
      <c r="AL9" s="161"/>
      <c r="AM9" s="161"/>
      <c r="AN9" s="161"/>
      <c r="AO9" s="161"/>
      <c r="AP9" s="161"/>
      <c r="AQ9" s="161">
        <f>SUM(AR9:AU9)</f>
      </c>
      <c r="AR9" s="161"/>
      <c r="AS9" s="161"/>
      <c r="AT9" s="161"/>
      <c r="AU9" s="161"/>
      <c r="AV9" s="161">
        <f>SUM(AW9:BH9)</f>
      </c>
      <c r="AW9" s="161"/>
      <c r="AX9" s="161"/>
      <c r="AY9" s="161"/>
      <c r="AZ9" s="161"/>
      <c r="BA9" s="161"/>
      <c r="BB9" s="161"/>
      <c r="BC9" s="161"/>
      <c r="BD9" s="161"/>
      <c r="BE9" s="161"/>
      <c r="BF9" s="161"/>
      <c r="BG9" s="161"/>
      <c r="BH9" s="161"/>
      <c r="BI9" s="161"/>
      <c r="BJ9" s="161"/>
      <c r="BK9" s="161"/>
      <c r="BL9" s="161"/>
      <c r="BM9" s="161"/>
      <c r="BN9" s="161"/>
      <c r="BO9" s="161"/>
      <c r="BP9" s="161"/>
      <c r="BQ9" s="161"/>
      <c r="BR9" s="161"/>
      <c r="BS9" s="161">
        <f>SUM(BT9:BV9)</f>
      </c>
      <c r="BT9" s="161"/>
      <c r="BU9" s="161"/>
      <c r="BV9" s="161"/>
      <c r="BW9" s="161">
        <f>SUM(BX9:CC9)</f>
      </c>
      <c r="BX9" s="161"/>
      <c r="BY9" s="161"/>
      <c r="BZ9" s="161"/>
      <c r="CA9" s="161"/>
      <c r="CB9" s="161"/>
      <c r="CC9" s="161"/>
      <c r="CD9" s="161"/>
      <c r="CE9" s="161"/>
      <c r="CF9" s="161"/>
      <c r="CG9" s="161"/>
      <c r="CH9" s="161"/>
      <c r="CI9" s="161"/>
      <c r="CJ9" s="161">
        <f>SUM(CK9:CM9)</f>
      </c>
      <c r="CK9" s="161"/>
      <c r="CL9" s="161"/>
      <c r="CM9" s="161"/>
      <c r="CN9" s="161">
        <f>SUM(CO9:CS9)</f>
      </c>
      <c r="CO9" s="161"/>
      <c r="CP9" s="161"/>
      <c r="CQ9" s="161"/>
      <c r="CR9" s="161"/>
      <c r="CS9" s="161"/>
      <c r="CT9" s="161"/>
      <c r="CU9" s="161"/>
      <c r="CV9" s="161"/>
      <c r="CW9" s="161"/>
      <c r="CX9" s="161"/>
      <c r="CY9" s="161"/>
      <c r="CZ9" s="161"/>
      <c r="DA9" s="161"/>
      <c r="DB9" s="161"/>
      <c r="DC9" s="161"/>
      <c r="DD9" s="161"/>
      <c r="DE9" s="161"/>
      <c r="DF9" s="161">
        <f>SUM(DG9:DG9)</f>
      </c>
      <c r="DG9" s="161"/>
      <c r="DH9" s="161"/>
      <c r="DI9" s="161"/>
      <c r="DJ9" s="161">
        <f>SUM(DK9:DP9)</f>
      </c>
      <c r="DK9" s="161"/>
      <c r="DL9" s="161"/>
      <c r="DM9" s="161"/>
      <c r="DN9" s="161"/>
      <c r="DO9" s="161"/>
      <c r="DP9" s="161"/>
      <c r="DQ9" s="161"/>
      <c r="DR9" s="161"/>
      <c r="DS9" s="161"/>
      <c r="DT9" s="161"/>
      <c r="DU9" s="161"/>
      <c r="DV9" s="161"/>
      <c r="DW9" s="161"/>
      <c r="DX9" s="161"/>
      <c r="DY9" s="161"/>
      <c r="DZ9" s="161"/>
      <c r="EA9" s="161"/>
      <c r="EB9" s="161"/>
      <c r="EC9" s="161"/>
      <c r="ED9" s="161"/>
      <c r="EE9" s="161"/>
      <c r="EF9" s="161">
        <f>SUM(EG9:EP9)</f>
      </c>
      <c r="EG9" s="161"/>
      <c r="EH9" s="161"/>
      <c r="EI9" s="161"/>
      <c r="EJ9" s="161"/>
      <c r="EK9" s="161"/>
      <c r="EL9" s="161"/>
      <c r="EM9" s="161"/>
      <c r="EN9" s="161"/>
      <c r="EO9" s="161"/>
      <c r="EP9" s="161"/>
      <c r="EQ9" s="161">
        <f>SUM(ER9:ES9)</f>
      </c>
      <c r="ER9" s="161"/>
      <c r="ES9" s="161"/>
      <c r="ET9" s="161"/>
      <c r="EU9" s="161"/>
      <c r="EV9" s="161"/>
      <c r="EW9" s="161"/>
      <c r="EX9" s="161"/>
      <c r="EY9" s="161"/>
      <c r="EZ9" s="161"/>
      <c r="FA9" s="161"/>
      <c r="FB9" s="161"/>
      <c r="FC9" s="161"/>
      <c r="FD9" s="161"/>
      <c r="FE9" s="161"/>
      <c r="FF9" s="161"/>
      <c r="FG9" s="161"/>
      <c r="FH9" s="163" cm="1">
        <f t="array" ref="FH9">ROW()-ROW(Ongoing[#Headers])</f>
        <v>3</v>
      </c>
      <c r="FI9" s="164" t="e">
        <v>#N/A</v>
      </c>
      <c r="FJ9" s="164" t="e">
        <v>#N/A</v>
      </c>
      <c r="FK9" s="164" t="e">
        <v>#N/A</v>
      </c>
      <c r="FL9" s="164" t="e">
        <v>#N/A</v>
      </c>
      <c r="FM9" s="164" t="e">
        <v>#N/A</v>
      </c>
      <c r="FN9" s="164" t="e">
        <v>#N/A</v>
      </c>
      <c r="FO9" s="164" t="e">
        <v>#N/A</v>
      </c>
      <c r="FP9" s="164" t="e">
        <v>#N/A</v>
      </c>
    </row>
    <row r="10" spans="1:172" s="115" customFormat="1" ht="11.25" x14ac:dyDescent="0.2">
      <c r="B10" s="342" t="s">
        <v>883</v>
      </c>
      <c r="C10" s="343" t="s">
        <v>884</v>
      </c>
      <c r="D10" s="344" t="s">
        <v>13</v>
      </c>
      <c r="E10" s="345" t="s">
        <v>810</v>
      </c>
      <c r="F10" s="346" t="s">
        <v>305</v>
      </c>
      <c r="G10" s="347" t="s">
        <v>46</v>
      </c>
      <c r="H10" s="348" t="s">
        <v>41</v>
      </c>
      <c r="I10" s="349" t="s">
        <v>71</v>
      </c>
      <c r="J10" s="350" t="s">
        <v>820</v>
      </c>
      <c r="K10" s="351" t="s">
        <v>779</v>
      </c>
      <c r="L10" s="352" t="s">
        <v>305</v>
      </c>
      <c r="M10" s="353" t="s">
        <v>3873</v>
      </c>
      <c r="N10" s="354" t="s">
        <v>3871</v>
      </c>
      <c r="O10" s="148"/>
      <c r="P10" s="161">
        <f>SUM(Q10:AP10)</f>
      </c>
      <c r="Q10" s="161"/>
      <c r="R10" s="161"/>
      <c r="S10" s="161"/>
      <c r="T10" s="161"/>
      <c r="U10" s="161"/>
      <c r="V10" s="355" t="n">
        <v>820.0</v>
      </c>
      <c r="W10" s="161"/>
      <c r="X10" s="161"/>
      <c r="Y10" s="161"/>
      <c r="Z10" s="161"/>
      <c r="AA10" s="161"/>
      <c r="AB10" s="161"/>
      <c r="AC10" s="161"/>
      <c r="AD10" s="161"/>
      <c r="AE10" s="161"/>
      <c r="AF10" s="161"/>
      <c r="AG10" s="161"/>
      <c r="AH10" s="161"/>
      <c r="AI10" s="161"/>
      <c r="AJ10" s="161"/>
      <c r="AK10" s="161"/>
      <c r="AL10" s="161"/>
      <c r="AM10" s="161"/>
      <c r="AN10" s="161"/>
      <c r="AO10" s="161"/>
      <c r="AP10" s="161"/>
      <c r="AQ10" s="161">
        <f>SUM(AR10:AU10)</f>
      </c>
      <c r="AR10" s="161"/>
      <c r="AS10" s="161"/>
      <c r="AT10" s="161"/>
      <c r="AU10" s="161"/>
      <c r="AV10" s="161">
        <f>SUM(AW10:BH10)</f>
      </c>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f>SUM(BT10:BV10)</f>
      </c>
      <c r="BT10" s="161"/>
      <c r="BU10" s="161"/>
      <c r="BV10" s="161"/>
      <c r="BW10" s="161">
        <f>SUM(BX10:CC10)</f>
      </c>
      <c r="BX10" s="161"/>
      <c r="BY10" s="161"/>
      <c r="BZ10" s="161"/>
      <c r="CA10" s="161"/>
      <c r="CB10" s="161"/>
      <c r="CC10" s="161"/>
      <c r="CD10" s="161"/>
      <c r="CE10" s="161"/>
      <c r="CF10" s="161"/>
      <c r="CG10" s="161"/>
      <c r="CH10" s="161"/>
      <c r="CI10" s="161"/>
      <c r="CJ10" s="161">
        <f>SUM(CK10:CM10)</f>
      </c>
      <c r="CK10" s="161"/>
      <c r="CL10" s="161"/>
      <c r="CM10" s="161"/>
      <c r="CN10" s="161">
        <f>SUM(CO10:CS10)</f>
      </c>
      <c r="CO10" s="161"/>
      <c r="CP10" s="161"/>
      <c r="CQ10" s="161"/>
      <c r="CR10" s="161"/>
      <c r="CS10" s="161"/>
      <c r="CT10" s="161"/>
      <c r="CU10" s="161"/>
      <c r="CV10" s="161"/>
      <c r="CW10" s="161"/>
      <c r="CX10" s="161"/>
      <c r="CY10" s="161"/>
      <c r="CZ10" s="161"/>
      <c r="DA10" s="161"/>
      <c r="DB10" s="161"/>
      <c r="DC10" s="161"/>
      <c r="DD10" s="161"/>
      <c r="DE10" s="161"/>
      <c r="DF10" s="161">
        <f>SUM(DG10:DG10)</f>
      </c>
      <c r="DG10" s="161"/>
      <c r="DH10" s="161"/>
      <c r="DI10" s="161"/>
      <c r="DJ10" s="161">
        <f>SUM(DK10:DP10)</f>
      </c>
      <c r="DK10" s="161"/>
      <c r="DL10" s="161"/>
      <c r="DM10" s="161"/>
      <c r="DN10" s="161"/>
      <c r="DO10" s="161"/>
      <c r="DP10" s="161"/>
      <c r="DQ10" s="161"/>
      <c r="DR10" s="161"/>
      <c r="DS10" s="161"/>
      <c r="DT10" s="161"/>
      <c r="DU10" s="161"/>
      <c r="DV10" s="161"/>
      <c r="DW10" s="161"/>
      <c r="DX10" s="161"/>
      <c r="DY10" s="161"/>
      <c r="DZ10" s="161"/>
      <c r="EA10" s="161"/>
      <c r="EB10" s="161"/>
      <c r="EC10" s="161"/>
      <c r="ED10" s="161"/>
      <c r="EE10" s="161"/>
      <c r="EF10" s="161">
        <f>SUM(EG10:EP10)</f>
      </c>
      <c r="EG10" s="161"/>
      <c r="EH10" s="161"/>
      <c r="EI10" s="161"/>
      <c r="EJ10" s="161"/>
      <c r="EK10" s="161"/>
      <c r="EL10" s="161"/>
      <c r="EM10" s="161"/>
      <c r="EN10" s="161"/>
      <c r="EO10" s="161"/>
      <c r="EP10" s="161"/>
      <c r="EQ10" s="161">
        <f>SUM(ER10:ES10)</f>
      </c>
      <c r="ER10" s="161"/>
      <c r="ES10" s="161"/>
      <c r="ET10" s="161"/>
      <c r="EU10" s="161"/>
      <c r="EV10" s="161"/>
      <c r="EW10" s="161"/>
      <c r="EX10" s="161"/>
      <c r="EY10" s="161"/>
      <c r="EZ10" s="161"/>
      <c r="FA10" s="161"/>
      <c r="FB10" s="161"/>
      <c r="FC10" s="161"/>
      <c r="FD10" s="161"/>
      <c r="FE10" s="161"/>
      <c r="FF10" s="161"/>
      <c r="FG10" s="161"/>
      <c r="FH10" s="163" cm="1">
        <f t="array" ref="FH10">ROW()-ROW(Ongoing[#Headers])</f>
        <v>4</v>
      </c>
      <c r="FI10" s="164" t="e">
        <v>#N/A</v>
      </c>
      <c r="FJ10" s="164" t="e">
        <v>#N/A</v>
      </c>
      <c r="FK10" s="164" t="e">
        <v>#N/A</v>
      </c>
      <c r="FL10" s="164" t="e">
        <v>#N/A</v>
      </c>
      <c r="FM10" s="164" t="e">
        <v>#N/A</v>
      </c>
      <c r="FN10" s="164" t="e">
        <v>#N/A</v>
      </c>
      <c r="FO10" s="164" t="e">
        <v>#N/A</v>
      </c>
      <c r="FP10" s="164" t="e">
        <v>#N/A</v>
      </c>
    </row>
    <row r="11" spans="1:172" s="115" customFormat="1" ht="11.25" x14ac:dyDescent="0.2">
      <c r="B11" s="387" t="s">
        <v>1011</v>
      </c>
      <c r="C11" s="388" t="s">
        <v>1012</v>
      </c>
      <c r="D11" s="389" t="s">
        <v>13</v>
      </c>
      <c r="E11" s="390" t="s">
        <v>766</v>
      </c>
      <c r="F11" s="391" t="s">
        <v>1597</v>
      </c>
      <c r="G11" s="392" t="s">
        <v>46</v>
      </c>
      <c r="H11" s="393" t="s">
        <v>41</v>
      </c>
      <c r="I11" s="394" t="s">
        <v>68</v>
      </c>
      <c r="J11" s="395" t="s">
        <v>774</v>
      </c>
      <c r="K11" s="396" t="s">
        <v>767</v>
      </c>
      <c r="L11" s="397" t="s">
        <v>305</v>
      </c>
      <c r="M11" s="398" t="s">
        <v>3873</v>
      </c>
      <c r="N11" s="399" t="s">
        <v>3878</v>
      </c>
      <c r="O11" s="148"/>
      <c r="P11" s="161">
        <f>SUM(Q11:AP11)</f>
      </c>
      <c r="Q11" s="161"/>
      <c r="R11" s="161"/>
      <c r="S11" s="161"/>
      <c r="T11" s="161"/>
      <c r="U11" s="161"/>
      <c r="V11" s="161"/>
      <c r="W11" s="161"/>
      <c r="X11" s="161"/>
      <c r="Y11" s="161"/>
      <c r="Z11" s="161"/>
      <c r="AA11" s="161"/>
      <c r="AB11" s="161"/>
      <c r="AC11" s="161"/>
      <c r="AD11" s="161"/>
      <c r="AE11" s="161"/>
      <c r="AF11" s="400" t="n">
        <v>100.0</v>
      </c>
      <c r="AG11" s="161"/>
      <c r="AH11" s="161"/>
      <c r="AI11" s="161"/>
      <c r="AJ11" s="161"/>
      <c r="AK11" s="161"/>
      <c r="AL11" s="161"/>
      <c r="AM11" s="161"/>
      <c r="AN11" s="161"/>
      <c r="AO11" s="161"/>
      <c r="AP11" s="161"/>
      <c r="AQ11" s="161">
        <f>SUM(AR11:AU11)</f>
      </c>
      <c r="AR11" s="161"/>
      <c r="AS11" s="161"/>
      <c r="AT11" s="161"/>
      <c r="AU11" s="161"/>
      <c r="AV11" s="161">
        <f>SUM(AW11:BH11)</f>
      </c>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f>SUM(BT11:BV11)</f>
      </c>
      <c r="BT11" s="161"/>
      <c r="BU11" s="161"/>
      <c r="BV11" s="161"/>
      <c r="BW11" s="161">
        <f>SUM(BX11:CC11)</f>
      </c>
      <c r="BX11" s="161"/>
      <c r="BY11" s="161"/>
      <c r="BZ11" s="161"/>
      <c r="CA11" s="161"/>
      <c r="CB11" s="161"/>
      <c r="CC11" s="161"/>
      <c r="CD11" s="161"/>
      <c r="CE11" s="161"/>
      <c r="CF11" s="161"/>
      <c r="CG11" s="161"/>
      <c r="CH11" s="161"/>
      <c r="CI11" s="161"/>
      <c r="CJ11" s="161">
        <f>SUM(CK11:CM11)</f>
      </c>
      <c r="CK11" s="161"/>
      <c r="CL11" s="161"/>
      <c r="CM11" s="161"/>
      <c r="CN11" s="161">
        <f>SUM(CO11:CS11)</f>
      </c>
      <c r="CO11" s="161"/>
      <c r="CP11" s="161"/>
      <c r="CQ11" s="161"/>
      <c r="CR11" s="161"/>
      <c r="CS11" s="161"/>
      <c r="CT11" s="161"/>
      <c r="CU11" s="161"/>
      <c r="CV11" s="161"/>
      <c r="CW11" s="161"/>
      <c r="CX11" s="161"/>
      <c r="CY11" s="161"/>
      <c r="CZ11" s="161"/>
      <c r="DA11" s="161"/>
      <c r="DB11" s="161"/>
      <c r="DC11" s="161"/>
      <c r="DD11" s="161"/>
      <c r="DE11" s="161"/>
      <c r="DF11" s="161">
        <f>SUM(DG11:DG11)</f>
      </c>
      <c r="DG11" s="161"/>
      <c r="DH11" s="161"/>
      <c r="DI11" s="161"/>
      <c r="DJ11" s="161">
        <f>SUM(DK11:DP11)</f>
      </c>
      <c r="DK11" s="161"/>
      <c r="DL11" s="161"/>
      <c r="DM11" s="161"/>
      <c r="DN11" s="161"/>
      <c r="DO11" s="161"/>
      <c r="DP11" s="161"/>
      <c r="DQ11" s="161"/>
      <c r="DR11" s="161"/>
      <c r="DS11" s="161"/>
      <c r="DT11" s="161"/>
      <c r="DU11" s="161"/>
      <c r="DV11" s="161"/>
      <c r="DW11" s="161"/>
      <c r="DX11" s="161"/>
      <c r="DY11" s="161"/>
      <c r="DZ11" s="161"/>
      <c r="EA11" s="161"/>
      <c r="EB11" s="161"/>
      <c r="EC11" s="161"/>
      <c r="ED11" s="161"/>
      <c r="EE11" s="161"/>
      <c r="EF11" s="161">
        <f>SUM(EG11:EP11)</f>
      </c>
      <c r="EG11" s="161"/>
      <c r="EH11" s="161"/>
      <c r="EI11" s="161"/>
      <c r="EJ11" s="161"/>
      <c r="EK11" s="161"/>
      <c r="EL11" s="161"/>
      <c r="EM11" s="161"/>
      <c r="EN11" s="161"/>
      <c r="EO11" s="161"/>
      <c r="EP11" s="161"/>
      <c r="EQ11" s="161">
        <f>SUM(ER11:ES11)</f>
      </c>
      <c r="ER11" s="161"/>
      <c r="ES11" s="161"/>
      <c r="ET11" s="161"/>
      <c r="EU11" s="161"/>
      <c r="EV11" s="161"/>
      <c r="EW11" s="161"/>
      <c r="EX11" s="161"/>
      <c r="EY11" s="161"/>
      <c r="EZ11" s="161"/>
      <c r="FA11" s="161"/>
      <c r="FB11" s="161"/>
      <c r="FC11" s="161"/>
      <c r="FD11" s="161"/>
      <c r="FE11" s="161"/>
      <c r="FF11" s="161"/>
      <c r="FG11" s="161"/>
      <c r="FH11" s="163" cm="1">
        <f t="array" ref="FH11">ROW()-ROW(Ongoing[#Headers])</f>
        <v>5</v>
      </c>
      <c r="FI11" s="164" t="e">
        <v>#N/A</v>
      </c>
      <c r="FJ11" s="164" t="e">
        <v>#N/A</v>
      </c>
      <c r="FK11" s="164" t="e">
        <v>#N/A</v>
      </c>
      <c r="FL11" s="164" t="e">
        <v>#N/A</v>
      </c>
      <c r="FM11" s="164" t="e">
        <v>#N/A</v>
      </c>
      <c r="FN11" s="164" t="e">
        <v>#N/A</v>
      </c>
      <c r="FO11" s="164" t="e">
        <v>#N/A</v>
      </c>
      <c r="FP11" s="164" t="e">
        <v>#N/A</v>
      </c>
    </row>
    <row r="12" spans="1:172" s="115" customFormat="1" ht="11.25" x14ac:dyDescent="0.2">
      <c r="B12" s="449" t="s">
        <v>797</v>
      </c>
      <c r="C12" s="450" t="s">
        <v>798</v>
      </c>
      <c r="D12" s="451" t="s">
        <v>23</v>
      </c>
      <c r="E12" s="452" t="s">
        <v>750</v>
      </c>
      <c r="F12" s="453" t="s">
        <v>1597</v>
      </c>
      <c r="G12" s="454" t="s">
        <v>51</v>
      </c>
      <c r="H12" s="455" t="s">
        <v>41</v>
      </c>
      <c r="I12" s="456" t="s">
        <v>64</v>
      </c>
      <c r="J12" s="457" t="s">
        <v>758</v>
      </c>
      <c r="K12" s="458" t="s">
        <v>751</v>
      </c>
      <c r="L12" s="459" t="s">
        <v>752</v>
      </c>
      <c r="M12" s="460" t="s">
        <v>3879</v>
      </c>
      <c r="N12" s="461" t="s">
        <v>3871</v>
      </c>
      <c r="O12" s="148"/>
      <c r="P12" s="161">
        <f>SUM(Q12:AP12)</f>
      </c>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f>SUM(AR12:AU12)</f>
      </c>
      <c r="AR12" s="161"/>
      <c r="AS12" s="161"/>
      <c r="AT12" s="161"/>
      <c r="AU12" s="161"/>
      <c r="AV12" s="161">
        <f>SUM(AW12:BH12)</f>
      </c>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f>SUM(BT12:BV12)</f>
      </c>
      <c r="BT12" s="161"/>
      <c r="BU12" s="161"/>
      <c r="BV12" s="161"/>
      <c r="BW12" s="161">
        <f>SUM(BX12:CC12)</f>
      </c>
      <c r="BX12" s="161"/>
      <c r="BY12" s="161"/>
      <c r="BZ12" s="161"/>
      <c r="CA12" s="161"/>
      <c r="CB12" s="161"/>
      <c r="CC12" s="161"/>
      <c r="CD12" s="161"/>
      <c r="CE12" s="161"/>
      <c r="CF12" s="161"/>
      <c r="CG12" s="161"/>
      <c r="CH12" s="161"/>
      <c r="CI12" s="161"/>
      <c r="CJ12" s="161">
        <f>SUM(CK12:CM12)</f>
      </c>
      <c r="CK12" s="161"/>
      <c r="CL12" s="161"/>
      <c r="CM12" s="161"/>
      <c r="CN12" s="161">
        <f>SUM(CO12:CS12)</f>
      </c>
      <c r="CO12" s="161"/>
      <c r="CP12" s="161"/>
      <c r="CQ12" s="161"/>
      <c r="CR12" s="161"/>
      <c r="CS12" s="161"/>
      <c r="CT12" s="161"/>
      <c r="CU12" s="161"/>
      <c r="CV12" s="161"/>
      <c r="CW12" s="161"/>
      <c r="CX12" s="161"/>
      <c r="CY12" s="161"/>
      <c r="CZ12" s="161"/>
      <c r="DA12" s="161"/>
      <c r="DB12" s="161"/>
      <c r="DC12" s="161"/>
      <c r="DD12" s="161"/>
      <c r="DE12" s="161"/>
      <c r="DF12" s="161">
        <f>SUM(DG12:DG12)</f>
      </c>
      <c r="DG12" s="161"/>
      <c r="DH12" s="161"/>
      <c r="DI12" s="161"/>
      <c r="DJ12" s="161">
        <f>SUM(DK12:DP12)</f>
      </c>
      <c r="DK12" s="161"/>
      <c r="DL12" s="161"/>
      <c r="DM12" s="161"/>
      <c r="DN12" s="161"/>
      <c r="DO12" s="161"/>
      <c r="DP12" s="161"/>
      <c r="DQ12" s="161"/>
      <c r="DR12" s="161"/>
      <c r="DS12" s="161"/>
      <c r="DT12" s="161"/>
      <c r="DU12" s="161"/>
      <c r="DV12" s="161"/>
      <c r="DW12" s="161"/>
      <c r="DX12" s="161"/>
      <c r="DY12" s="161"/>
      <c r="DZ12" s="161"/>
      <c r="EA12" s="161"/>
      <c r="EB12" s="161"/>
      <c r="EC12" s="161"/>
      <c r="ED12" s="161"/>
      <c r="EE12" s="161"/>
      <c r="EF12" s="161">
        <f>SUM(EG12:EP12)</f>
      </c>
      <c r="EG12" s="161"/>
      <c r="EH12" s="161"/>
      <c r="EI12" s="161"/>
      <c r="EJ12" s="161"/>
      <c r="EK12" s="161"/>
      <c r="EL12" s="161"/>
      <c r="EM12" s="161"/>
      <c r="EN12" s="161"/>
      <c r="EO12" s="161"/>
      <c r="EP12" s="161"/>
      <c r="EQ12" s="161">
        <f>SUM(ER12:ES12)</f>
      </c>
      <c r="ER12" s="161"/>
      <c r="ES12" s="161"/>
      <c r="ET12" s="161"/>
      <c r="EU12" s="161"/>
      <c r="EV12" s="161"/>
      <c r="EW12" s="161"/>
      <c r="EX12" s="161"/>
      <c r="EY12" s="161"/>
      <c r="EZ12" s="161"/>
      <c r="FA12" s="161"/>
      <c r="FB12" s="161"/>
      <c r="FC12" s="161"/>
      <c r="FD12" s="161"/>
      <c r="FE12" s="161"/>
      <c r="FF12" s="161"/>
      <c r="FG12" s="161"/>
      <c r="FH12" s="163" cm="1">
        <f t="array" ref="FH12">ROW()-ROW(Ongoing[#Headers])</f>
        <v>6</v>
      </c>
      <c r="FI12" s="164" t="e">
        <v>#N/A</v>
      </c>
      <c r="FJ12" s="164" t="e">
        <v>#N/A</v>
      </c>
      <c r="FK12" s="164" t="e">
        <v>#N/A</v>
      </c>
      <c r="FL12" s="164" t="e">
        <v>#N/A</v>
      </c>
      <c r="FM12" s="164" t="e">
        <v>#N/A</v>
      </c>
      <c r="FN12" s="164" t="e">
        <v>#N/A</v>
      </c>
      <c r="FO12" s="164" t="e">
        <v>#N/A</v>
      </c>
      <c r="FP12" s="164" t="e">
        <v>#N/A</v>
      </c>
    </row>
    <row r="13" spans="1:172" s="115" customFormat="1" ht="11.25" x14ac:dyDescent="0.2">
      <c r="B13" s="462" t="s">
        <v>760</v>
      </c>
      <c r="C13" s="463" t="s">
        <v>761</v>
      </c>
      <c r="D13" s="464" t="s">
        <v>13</v>
      </c>
      <c r="E13" s="465" t="s">
        <v>750</v>
      </c>
      <c r="F13" s="466" t="s">
        <v>1597</v>
      </c>
      <c r="G13" s="467" t="s">
        <v>46</v>
      </c>
      <c r="H13" s="468" t="s">
        <v>41</v>
      </c>
      <c r="I13" s="469" t="s">
        <v>64</v>
      </c>
      <c r="J13" s="470" t="s">
        <v>3880</v>
      </c>
      <c r="K13" s="471" t="s">
        <v>751</v>
      </c>
      <c r="L13" s="472" t="s">
        <v>752</v>
      </c>
      <c r="M13" s="473" t="s">
        <v>305</v>
      </c>
      <c r="N13" s="474" t="s">
        <v>305</v>
      </c>
      <c r="O13" s="148"/>
      <c r="P13" s="161">
        <f>SUM(Q13:AP13)</f>
      </c>
      <c r="Q13" s="161"/>
      <c r="R13" s="161"/>
      <c r="S13" s="161"/>
      <c r="T13" s="161"/>
      <c r="U13" s="161"/>
      <c r="V13" s="161"/>
      <c r="W13" s="161"/>
      <c r="X13" s="161"/>
      <c r="Y13" s="161"/>
      <c r="Z13" s="161"/>
      <c r="AA13" s="161"/>
      <c r="AB13" s="161"/>
      <c r="AC13" s="161"/>
      <c r="AD13" s="161"/>
      <c r="AE13" s="161"/>
      <c r="AF13" s="161"/>
      <c r="AG13" s="161"/>
      <c r="AH13" s="161"/>
      <c r="AI13" s="161"/>
      <c r="AJ13" s="161"/>
      <c r="AK13" s="161"/>
      <c r="AL13" s="161"/>
      <c r="AM13" s="161"/>
      <c r="AN13" s="161"/>
      <c r="AO13" s="161"/>
      <c r="AP13" s="161"/>
      <c r="AQ13" s="161">
        <f>SUM(AR13:AU13)</f>
      </c>
      <c r="AR13" s="161"/>
      <c r="AS13" s="161"/>
      <c r="AT13" s="161"/>
      <c r="AU13" s="161"/>
      <c r="AV13" s="161">
        <f>SUM(AW13:BH13)</f>
      </c>
      <c r="AW13" s="161"/>
      <c r="AX13" s="161"/>
      <c r="AY13" s="161"/>
      <c r="AZ13" s="161"/>
      <c r="BA13" s="161"/>
      <c r="BB13" s="161"/>
      <c r="BC13" s="161"/>
      <c r="BD13" s="161"/>
      <c r="BE13" s="161"/>
      <c r="BF13" s="161"/>
      <c r="BG13" s="161"/>
      <c r="BH13" s="161"/>
      <c r="BI13" s="161"/>
      <c r="BJ13" s="161"/>
      <c r="BK13" s="161"/>
      <c r="BL13" s="161"/>
      <c r="BM13" s="161"/>
      <c r="BN13" s="161"/>
      <c r="BO13" s="161"/>
      <c r="BP13" s="161"/>
      <c r="BQ13" s="161"/>
      <c r="BR13" s="161"/>
      <c r="BS13" s="161">
        <f>SUM(BT13:BV13)</f>
      </c>
      <c r="BT13" s="161"/>
      <c r="BU13" s="161"/>
      <c r="BV13" s="161"/>
      <c r="BW13" s="161">
        <f>SUM(BX13:CC13)</f>
      </c>
      <c r="BX13" s="161"/>
      <c r="BY13" s="161"/>
      <c r="BZ13" s="161"/>
      <c r="CA13" s="161"/>
      <c r="CB13" s="161"/>
      <c r="CC13" s="161"/>
      <c r="CD13" s="161"/>
      <c r="CE13" s="161"/>
      <c r="CF13" s="161"/>
      <c r="CG13" s="161"/>
      <c r="CH13" s="161"/>
      <c r="CI13" s="161"/>
      <c r="CJ13" s="161">
        <f>SUM(CK13:CM13)</f>
      </c>
      <c r="CK13" s="161"/>
      <c r="CL13" s="161"/>
      <c r="CM13" s="161"/>
      <c r="CN13" s="161">
        <f>SUM(CO13:CS13)</f>
      </c>
      <c r="CO13" s="161"/>
      <c r="CP13" s="161"/>
      <c r="CQ13" s="161"/>
      <c r="CR13" s="161"/>
      <c r="CS13" s="161"/>
      <c r="CT13" s="161"/>
      <c r="CU13" s="161"/>
      <c r="CV13" s="161"/>
      <c r="CW13" s="161"/>
      <c r="CX13" s="161"/>
      <c r="CY13" s="161"/>
      <c r="CZ13" s="161"/>
      <c r="DA13" s="161"/>
      <c r="DB13" s="161"/>
      <c r="DC13" s="161"/>
      <c r="DD13" s="161"/>
      <c r="DE13" s="161"/>
      <c r="DF13" s="161">
        <f>SUM(DG13:DG13)</f>
      </c>
      <c r="DG13" s="161"/>
      <c r="DH13" s="161"/>
      <c r="DI13" s="161"/>
      <c r="DJ13" s="161">
        <f>SUM(DK13:DP13)</f>
      </c>
      <c r="DK13" s="161"/>
      <c r="DL13" s="161"/>
      <c r="DM13" s="161"/>
      <c r="DN13" s="161"/>
      <c r="DO13" s="161"/>
      <c r="DP13" s="161"/>
      <c r="DQ13" s="161"/>
      <c r="DR13" s="161"/>
      <c r="DS13" s="161"/>
      <c r="DT13" s="161"/>
      <c r="DU13" s="161"/>
      <c r="DV13" s="161"/>
      <c r="DW13" s="161"/>
      <c r="DX13" s="161"/>
      <c r="DY13" s="161"/>
      <c r="DZ13" s="161"/>
      <c r="EA13" s="161"/>
      <c r="EB13" s="161"/>
      <c r="EC13" s="161"/>
      <c r="ED13" s="161"/>
      <c r="EE13" s="161"/>
      <c r="EF13" s="161">
        <f>SUM(EG13:EP13)</f>
      </c>
      <c r="EG13" s="161"/>
      <c r="EH13" s="161"/>
      <c r="EI13" s="161"/>
      <c r="EJ13" s="161"/>
      <c r="EK13" s="161"/>
      <c r="EL13" s="161"/>
      <c r="EM13" s="161"/>
      <c r="EN13" s="161"/>
      <c r="EO13" s="161"/>
      <c r="EP13" s="161"/>
      <c r="EQ13" s="161">
        <f>SUM(ER13:ES13)</f>
      </c>
      <c r="ER13" s="161"/>
      <c r="ES13" s="161"/>
      <c r="ET13" s="161"/>
      <c r="EU13" s="161"/>
      <c r="EV13" s="161"/>
      <c r="EW13" s="161"/>
      <c r="EX13" s="161"/>
      <c r="EY13" s="161"/>
      <c r="EZ13" s="161"/>
      <c r="FA13" s="161"/>
      <c r="FB13" s="161"/>
      <c r="FC13" s="161"/>
      <c r="FD13" s="161"/>
      <c r="FE13" s="161"/>
      <c r="FF13" s="161"/>
      <c r="FG13" s="161"/>
      <c r="FH13" s="163" cm="1">
        <f t="array" ref="FH13">ROW()-ROW(Ongoing[#Headers])</f>
        <v>7</v>
      </c>
      <c r="FI13" s="164" t="e">
        <v>#N/A</v>
      </c>
      <c r="FJ13" s="164" t="e">
        <v>#N/A</v>
      </c>
      <c r="FK13" s="164" t="e">
        <v>#N/A</v>
      </c>
      <c r="FL13" s="164" t="e">
        <v>#N/A</v>
      </c>
      <c r="FM13" s="164" t="e">
        <v>#N/A</v>
      </c>
      <c r="FN13" s="164" t="e">
        <v>#N/A</v>
      </c>
      <c r="FO13" s="164" t="e">
        <v>#N/A</v>
      </c>
      <c r="FP13" s="164" t="e">
        <v>#N/A</v>
      </c>
    </row>
    <row r="14" spans="1:172" s="115" customFormat="1" ht="11.25" x14ac:dyDescent="0.2">
      <c r="B14" s="475" t="s">
        <v>821</v>
      </c>
      <c r="C14" s="476" t="s">
        <v>822</v>
      </c>
      <c r="D14" s="477" t="s">
        <v>13</v>
      </c>
      <c r="E14" s="478" t="s">
        <v>750</v>
      </c>
      <c r="F14" s="479" t="s">
        <v>1597</v>
      </c>
      <c r="G14" s="480" t="s">
        <v>46</v>
      </c>
      <c r="H14" s="481" t="s">
        <v>41</v>
      </c>
      <c r="I14" s="482" t="s">
        <v>64</v>
      </c>
      <c r="J14" s="483" t="s">
        <v>758</v>
      </c>
      <c r="K14" s="484" t="s">
        <v>751</v>
      </c>
      <c r="L14" s="485" t="s">
        <v>752</v>
      </c>
      <c r="M14" s="486" t="s">
        <v>3879</v>
      </c>
      <c r="N14" s="487" t="s">
        <v>3871</v>
      </c>
      <c r="O14" s="148"/>
      <c r="P14" s="161">
        <f>SUM(Q14:AP14)</f>
      </c>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f>SUM(AR14:AU14)</f>
      </c>
      <c r="AR14" s="161"/>
      <c r="AS14" s="161"/>
      <c r="AT14" s="161"/>
      <c r="AU14" s="161"/>
      <c r="AV14" s="161">
        <f>SUM(AW14:BH14)</f>
      </c>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f>SUM(BT14:BV14)</f>
      </c>
      <c r="BT14" s="161"/>
      <c r="BU14" s="161"/>
      <c r="BV14" s="161"/>
      <c r="BW14" s="161">
        <f>SUM(BX14:CC14)</f>
      </c>
      <c r="BX14" s="161"/>
      <c r="BY14" s="161"/>
      <c r="BZ14" s="161"/>
      <c r="CA14" s="161"/>
      <c r="CB14" s="161"/>
      <c r="CC14" s="161"/>
      <c r="CD14" s="161"/>
      <c r="CE14" s="161"/>
      <c r="CF14" s="161"/>
      <c r="CG14" s="161"/>
      <c r="CH14" s="161"/>
      <c r="CI14" s="161"/>
      <c r="CJ14" s="161">
        <f>SUM(CK14:CM14)</f>
      </c>
      <c r="CK14" s="161"/>
      <c r="CL14" s="161"/>
      <c r="CM14" s="161"/>
      <c r="CN14" s="161">
        <f>SUM(CO14:CS14)</f>
      </c>
      <c r="CO14" s="161"/>
      <c r="CP14" s="161"/>
      <c r="CQ14" s="161"/>
      <c r="CR14" s="161"/>
      <c r="CS14" s="161"/>
      <c r="CT14" s="161"/>
      <c r="CU14" s="161"/>
      <c r="CV14" s="161"/>
      <c r="CW14" s="161"/>
      <c r="CX14" s="161"/>
      <c r="CY14" s="161"/>
      <c r="CZ14" s="161"/>
      <c r="DA14" s="161"/>
      <c r="DB14" s="161"/>
      <c r="DC14" s="161"/>
      <c r="DD14" s="161"/>
      <c r="DE14" s="161"/>
      <c r="DF14" s="161">
        <f>SUM(DG14:DG14)</f>
      </c>
      <c r="DG14" s="161"/>
      <c r="DH14" s="161"/>
      <c r="DI14" s="161"/>
      <c r="DJ14" s="161">
        <f>SUM(DK14:DP14)</f>
      </c>
      <c r="DK14" s="161"/>
      <c r="DL14" s="161"/>
      <c r="DM14" s="161"/>
      <c r="DN14" s="161"/>
      <c r="DO14" s="161"/>
      <c r="DP14" s="161"/>
      <c r="DQ14" s="161"/>
      <c r="DR14" s="161"/>
      <c r="DS14" s="161"/>
      <c r="DT14" s="161"/>
      <c r="DU14" s="161"/>
      <c r="DV14" s="161"/>
      <c r="DW14" s="161"/>
      <c r="DX14" s="161"/>
      <c r="DY14" s="161"/>
      <c r="DZ14" s="161"/>
      <c r="EA14" s="161"/>
      <c r="EB14" s="161"/>
      <c r="EC14" s="161"/>
      <c r="ED14" s="161"/>
      <c r="EE14" s="161"/>
      <c r="EF14" s="161">
        <f>SUM(EG14:EP14)</f>
      </c>
      <c r="EG14" s="161"/>
      <c r="EH14" s="161"/>
      <c r="EI14" s="161"/>
      <c r="EJ14" s="161"/>
      <c r="EK14" s="161"/>
      <c r="EL14" s="161"/>
      <c r="EM14" s="161"/>
      <c r="EN14" s="161"/>
      <c r="EO14" s="161"/>
      <c r="EP14" s="161"/>
      <c r="EQ14" s="161">
        <f>SUM(ER14:ES14)</f>
      </c>
      <c r="ER14" s="161"/>
      <c r="ES14" s="161"/>
      <c r="ET14" s="161"/>
      <c r="EU14" s="161"/>
      <c r="EV14" s="161"/>
      <c r="EW14" s="161"/>
      <c r="EX14" s="161"/>
      <c r="EY14" s="161"/>
      <c r="EZ14" s="161"/>
      <c r="FA14" s="161"/>
      <c r="FB14" s="161"/>
      <c r="FC14" s="161"/>
      <c r="FD14" s="161"/>
      <c r="FE14" s="161"/>
      <c r="FF14" s="161"/>
      <c r="FG14" s="161"/>
      <c r="FH14" s="163" cm="1">
        <f t="array" ref="FH14">ROW()-ROW(Ongoing[#Headers])</f>
        <v>8</v>
      </c>
      <c r="FI14" s="164" t="s">
        <v>754</v>
      </c>
      <c r="FJ14" s="164" t="s">
        <v>755</v>
      </c>
      <c r="FK14" s="164">
        <v>0</v>
      </c>
      <c r="FL14" s="164" t="s">
        <v>756</v>
      </c>
      <c r="FM14" s="164">
        <v>0</v>
      </c>
      <c r="FN14" s="164" t="s">
        <v>757</v>
      </c>
      <c r="FO14" s="164" t="s">
        <v>758</v>
      </c>
      <c r="FP14" s="164" t="s">
        <v>759</v>
      </c>
    </row>
    <row r="15" spans="1:172" s="115" customFormat="1" ht="11.25" x14ac:dyDescent="0.2">
      <c r="B15" s="546" t="s">
        <v>3832</v>
      </c>
      <c r="C15" s="547" t="s">
        <v>3833</v>
      </c>
      <c r="D15" s="548" t="s">
        <v>20</v>
      </c>
      <c r="E15" s="549" t="s">
        <v>750</v>
      </c>
      <c r="F15" s="550" t="s">
        <v>1597</v>
      </c>
      <c r="G15" s="551" t="s">
        <v>46</v>
      </c>
      <c r="H15" s="552" t="s">
        <v>305</v>
      </c>
      <c r="I15" s="553" t="s">
        <v>64</v>
      </c>
      <c r="J15" s="554" t="s">
        <v>758</v>
      </c>
      <c r="K15" s="555" t="s">
        <v>767</v>
      </c>
      <c r="L15" s="556" t="s">
        <v>1392</v>
      </c>
      <c r="M15" s="557" t="s">
        <v>3873</v>
      </c>
      <c r="N15" s="558" t="s">
        <v>3871</v>
      </c>
      <c r="O15" s="148"/>
      <c r="P15" s="161">
        <f>SUM(Q15:AP15)</f>
      </c>
      <c r="Q15" s="161"/>
      <c r="R15" s="161"/>
      <c r="S15" s="559" t="n">
        <v>10.0</v>
      </c>
      <c r="T15" s="161"/>
      <c r="U15" s="161"/>
      <c r="V15" s="161"/>
      <c r="W15" s="161"/>
      <c r="X15" s="161"/>
      <c r="Y15" s="161"/>
      <c r="Z15" s="161"/>
      <c r="AA15" s="161"/>
      <c r="AB15" s="161"/>
      <c r="AC15" s="161"/>
      <c r="AD15" s="161"/>
      <c r="AE15" s="161"/>
      <c r="AF15" s="161"/>
      <c r="AG15" s="161"/>
      <c r="AH15" s="161"/>
      <c r="AI15" s="560" t="n">
        <v>110.0</v>
      </c>
      <c r="AJ15" s="161"/>
      <c r="AK15" s="161"/>
      <c r="AL15" s="161"/>
      <c r="AM15" s="161"/>
      <c r="AN15" s="161"/>
      <c r="AO15" s="161"/>
      <c r="AP15" s="161"/>
      <c r="AQ15" s="161">
        <f>SUM(AR15:AU15)</f>
      </c>
      <c r="AR15" s="161"/>
      <c r="AS15" s="161"/>
      <c r="AT15" s="161"/>
      <c r="AU15" s="161"/>
      <c r="AV15" s="161">
        <f>SUM(AW15:BH15)</f>
      </c>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f>SUM(BT15:BV15)</f>
      </c>
      <c r="BT15" s="161"/>
      <c r="BU15" s="161"/>
      <c r="BV15" s="161"/>
      <c r="BW15" s="161">
        <f>SUM(BX15:CC15)</f>
      </c>
      <c r="BX15" s="161"/>
      <c r="BY15" s="161"/>
      <c r="BZ15" s="161"/>
      <c r="CA15" s="161"/>
      <c r="CB15" s="161"/>
      <c r="CC15" s="161"/>
      <c r="CD15" s="161"/>
      <c r="CE15" s="161"/>
      <c r="CF15" s="161"/>
      <c r="CG15" s="161"/>
      <c r="CH15" s="161"/>
      <c r="CI15" s="161"/>
      <c r="CJ15" s="161">
        <f>SUM(CK15:CM15)</f>
      </c>
      <c r="CK15" s="161"/>
      <c r="CL15" s="161"/>
      <c r="CM15" s="161"/>
      <c r="CN15" s="161">
        <f>SUM(CO15:CS15)</f>
      </c>
      <c r="CO15" s="161"/>
      <c r="CP15" s="161"/>
      <c r="CQ15" s="161"/>
      <c r="CR15" s="161"/>
      <c r="CS15" s="161"/>
      <c r="CT15" s="161"/>
      <c r="CU15" s="161"/>
      <c r="CV15" s="161"/>
      <c r="CW15" s="161"/>
      <c r="CX15" s="161"/>
      <c r="CY15" s="161"/>
      <c r="CZ15" s="161"/>
      <c r="DA15" s="161"/>
      <c r="DB15" s="161"/>
      <c r="DC15" s="161"/>
      <c r="DD15" s="161"/>
      <c r="DE15" s="161"/>
      <c r="DF15" s="161">
        <f>SUM(DG15:DG15)</f>
      </c>
      <c r="DG15" s="161"/>
      <c r="DH15" s="161"/>
      <c r="DI15" s="161"/>
      <c r="DJ15" s="161">
        <f>SUM(DK15:DP15)</f>
      </c>
      <c r="DK15" s="161"/>
      <c r="DL15" s="161"/>
      <c r="DM15" s="161"/>
      <c r="DN15" s="161"/>
      <c r="DO15" s="161"/>
      <c r="DP15" s="161"/>
      <c r="DQ15" s="161"/>
      <c r="DR15" s="161"/>
      <c r="DS15" s="161"/>
      <c r="DT15" s="161"/>
      <c r="DU15" s="161"/>
      <c r="DV15" s="161"/>
      <c r="DW15" s="161"/>
      <c r="DX15" s="161"/>
      <c r="DY15" s="161"/>
      <c r="DZ15" s="161"/>
      <c r="EA15" s="161"/>
      <c r="EB15" s="161"/>
      <c r="EC15" s="161"/>
      <c r="ED15" s="161"/>
      <c r="EE15" s="161"/>
      <c r="EF15" s="161">
        <f>SUM(EG15:EP15)</f>
      </c>
      <c r="EG15" s="161"/>
      <c r="EH15" s="161"/>
      <c r="EI15" s="161"/>
      <c r="EJ15" s="161"/>
      <c r="EK15" s="161"/>
      <c r="EL15" s="161"/>
      <c r="EM15" s="161"/>
      <c r="EN15" s="161"/>
      <c r="EO15" s="161"/>
      <c r="EP15" s="161"/>
      <c r="EQ15" s="161">
        <f>SUM(ER15:ES15)</f>
      </c>
      <c r="ER15" s="161"/>
      <c r="ES15" s="161"/>
      <c r="ET15" s="161"/>
      <c r="EU15" s="161"/>
      <c r="EV15" s="161"/>
      <c r="EW15" s="161"/>
      <c r="EX15" s="161"/>
      <c r="EY15" s="161"/>
      <c r="EZ15" s="161"/>
      <c r="FA15" s="161"/>
      <c r="FB15" s="161"/>
      <c r="FC15" s="161"/>
      <c r="FD15" s="161"/>
      <c r="FE15" s="161"/>
      <c r="FF15" s="161"/>
      <c r="FG15" s="161"/>
      <c r="FH15" s="163" cm="1">
        <f t="array" ref="FH15">ROW()-ROW(Ongoing[#Headers])</f>
        <v>9</v>
      </c>
      <c r="FI15" s="164" t="s">
        <v>754</v>
      </c>
      <c r="FJ15" s="164" t="s">
        <v>755</v>
      </c>
      <c r="FK15" s="164">
        <v>0</v>
      </c>
      <c r="FL15" s="164" t="s">
        <v>756</v>
      </c>
      <c r="FM15" s="164">
        <v>0</v>
      </c>
      <c r="FN15" s="164" t="s">
        <v>757</v>
      </c>
      <c r="FO15" s="164" t="s">
        <v>758</v>
      </c>
      <c r="FP15" s="164" t="s">
        <v>759</v>
      </c>
    </row>
    <row r="16" spans="1:172" s="115" customFormat="1" ht="11.25" x14ac:dyDescent="0.2">
      <c r="B16" s="561" t="s">
        <v>885</v>
      </c>
      <c r="C16" s="562" t="s">
        <v>886</v>
      </c>
      <c r="D16" s="563" t="s">
        <v>13</v>
      </c>
      <c r="E16" s="564" t="s">
        <v>766</v>
      </c>
      <c r="F16" s="565" t="s">
        <v>1597</v>
      </c>
      <c r="G16" s="566" t="s">
        <v>46</v>
      </c>
      <c r="H16" s="567" t="s">
        <v>41</v>
      </c>
      <c r="I16" s="568" t="s">
        <v>68</v>
      </c>
      <c r="J16" s="569" t="s">
        <v>873</v>
      </c>
      <c r="K16" s="570" t="s">
        <v>767</v>
      </c>
      <c r="L16" s="571" t="s">
        <v>305</v>
      </c>
      <c r="M16" s="572" t="s">
        <v>3873</v>
      </c>
      <c r="N16" s="573" t="s">
        <v>3871</v>
      </c>
      <c r="O16" s="148"/>
      <c r="P16" s="161">
        <f>SUM(Q16:AP16)</f>
      </c>
      <c r="Q16" s="161"/>
      <c r="R16" s="161"/>
      <c r="S16" s="161"/>
      <c r="T16" s="161"/>
      <c r="U16" s="161"/>
      <c r="V16" s="161"/>
      <c r="W16" s="161"/>
      <c r="X16" s="161"/>
      <c r="Y16" s="161"/>
      <c r="Z16" s="161"/>
      <c r="AA16" s="161"/>
      <c r="AB16" s="161"/>
      <c r="AC16" s="161"/>
      <c r="AD16" s="161"/>
      <c r="AE16" s="161"/>
      <c r="AF16" s="574" t="n">
        <v>300.0</v>
      </c>
      <c r="AG16" s="161"/>
      <c r="AH16" s="161"/>
      <c r="AI16" s="161"/>
      <c r="AJ16" s="161"/>
      <c r="AK16" s="161"/>
      <c r="AL16" s="161"/>
      <c r="AM16" s="161"/>
      <c r="AN16" s="161"/>
      <c r="AO16" s="161"/>
      <c r="AP16" s="161"/>
      <c r="AQ16" s="161">
        <f>SUM(AR16:AU16)</f>
      </c>
      <c r="AR16" s="161"/>
      <c r="AS16" s="161"/>
      <c r="AT16" s="161"/>
      <c r="AU16" s="161"/>
      <c r="AV16" s="161">
        <f>SUM(AW16:BH16)</f>
      </c>
      <c r="AW16" s="161"/>
      <c r="AX16" s="161"/>
      <c r="AY16" s="161"/>
      <c r="AZ16" s="161"/>
      <c r="BA16" s="161"/>
      <c r="BB16" s="161"/>
      <c r="BC16" s="161"/>
      <c r="BD16" s="161"/>
      <c r="BE16" s="161"/>
      <c r="BF16" s="161"/>
      <c r="BG16" s="161"/>
      <c r="BH16" s="161"/>
      <c r="BI16" s="161"/>
      <c r="BJ16" s="161"/>
      <c r="BK16" s="161"/>
      <c r="BL16" s="161"/>
      <c r="BM16" s="161"/>
      <c r="BN16" s="161"/>
      <c r="BO16" s="161"/>
      <c r="BP16" s="161"/>
      <c r="BQ16" s="161"/>
      <c r="BR16" s="161"/>
      <c r="BS16" s="161">
        <f>SUM(BT16:BV16)</f>
      </c>
      <c r="BT16" s="161"/>
      <c r="BU16" s="161"/>
      <c r="BV16" s="161"/>
      <c r="BW16" s="161">
        <f>SUM(BX16:CC16)</f>
      </c>
      <c r="BX16" s="161"/>
      <c r="BY16" s="161"/>
      <c r="BZ16" s="161"/>
      <c r="CA16" s="161"/>
      <c r="CB16" s="161"/>
      <c r="CC16" s="161"/>
      <c r="CD16" s="161"/>
      <c r="CE16" s="161"/>
      <c r="CF16" s="161"/>
      <c r="CG16" s="161"/>
      <c r="CH16" s="161"/>
      <c r="CI16" s="161"/>
      <c r="CJ16" s="161">
        <f>SUM(CK16:CM16)</f>
      </c>
      <c r="CK16" s="161"/>
      <c r="CL16" s="161"/>
      <c r="CM16" s="161"/>
      <c r="CN16" s="161">
        <f>SUM(CO16:CS16)</f>
      </c>
      <c r="CO16" s="161"/>
      <c r="CP16" s="161"/>
      <c r="CQ16" s="161"/>
      <c r="CR16" s="161"/>
      <c r="CS16" s="161"/>
      <c r="CT16" s="161"/>
      <c r="CU16" s="161"/>
      <c r="CV16" s="161"/>
      <c r="CW16" s="161"/>
      <c r="CX16" s="161"/>
      <c r="CY16" s="161"/>
      <c r="CZ16" s="161"/>
      <c r="DA16" s="161"/>
      <c r="DB16" s="161"/>
      <c r="DC16" s="161"/>
      <c r="DD16" s="161"/>
      <c r="DE16" s="161"/>
      <c r="DF16" s="161">
        <f>SUM(DG16:DG16)</f>
      </c>
      <c r="DG16" s="161"/>
      <c r="DH16" s="161"/>
      <c r="DI16" s="161"/>
      <c r="DJ16" s="161">
        <f>SUM(DK16:DP16)</f>
      </c>
      <c r="DK16" s="161"/>
      <c r="DL16" s="161"/>
      <c r="DM16" s="161"/>
      <c r="DN16" s="161"/>
      <c r="DO16" s="161"/>
      <c r="DP16" s="161"/>
      <c r="DQ16" s="161"/>
      <c r="DR16" s="161"/>
      <c r="DS16" s="161"/>
      <c r="DT16" s="161"/>
      <c r="DU16" s="161"/>
      <c r="DV16" s="161"/>
      <c r="DW16" s="161"/>
      <c r="DX16" s="161"/>
      <c r="DY16" s="161"/>
      <c r="DZ16" s="161"/>
      <c r="EA16" s="161"/>
      <c r="EB16" s="161"/>
      <c r="EC16" s="161"/>
      <c r="ED16" s="161"/>
      <c r="EE16" s="161"/>
      <c r="EF16" s="161">
        <f>SUM(EG16:EP16)</f>
      </c>
      <c r="EG16" s="161"/>
      <c r="EH16" s="161"/>
      <c r="EI16" s="161"/>
      <c r="EJ16" s="161"/>
      <c r="EK16" s="161"/>
      <c r="EL16" s="161"/>
      <c r="EM16" s="161"/>
      <c r="EN16" s="161"/>
      <c r="EO16" s="161"/>
      <c r="EP16" s="161"/>
      <c r="EQ16" s="161">
        <f>SUM(ER16:ES16)</f>
      </c>
      <c r="ER16" s="161"/>
      <c r="ES16" s="161"/>
      <c r="ET16" s="161"/>
      <c r="EU16" s="161"/>
      <c r="EV16" s="161"/>
      <c r="EW16" s="161"/>
      <c r="EX16" s="161"/>
      <c r="EY16" s="161"/>
      <c r="EZ16" s="161"/>
      <c r="FA16" s="161"/>
      <c r="FB16" s="161"/>
      <c r="FC16" s="161"/>
      <c r="FD16" s="161"/>
      <c r="FE16" s="161"/>
      <c r="FF16" s="161"/>
      <c r="FG16" s="161"/>
      <c r="FH16" s="163" cm="1">
        <f t="array" ref="FH16">ROW()-ROW(Ongoing[#Headers])</f>
        <v>10</v>
      </c>
      <c r="FI16" s="164"/>
      <c r="FJ16" s="164"/>
      <c r="FK16" s="164"/>
      <c r="FL16" s="164"/>
      <c r="FM16" s="164"/>
      <c r="FN16" s="164"/>
      <c r="FO16" s="164"/>
      <c r="FP16" s="164"/>
    </row>
    <row r="17" spans="2:172" s="115" customFormat="1" ht="11.25" x14ac:dyDescent="0.2">
      <c r="B17" s="575" t="s">
        <v>1145</v>
      </c>
      <c r="C17" s="576" t="s">
        <v>1146</v>
      </c>
      <c r="D17" s="577" t="s">
        <v>13</v>
      </c>
      <c r="E17" s="578" t="s">
        <v>750</v>
      </c>
      <c r="F17" s="579" t="s">
        <v>1597</v>
      </c>
      <c r="G17" s="580" t="s">
        <v>46</v>
      </c>
      <c r="H17" s="581" t="s">
        <v>41</v>
      </c>
      <c r="I17" s="582" t="s">
        <v>64</v>
      </c>
      <c r="J17" s="583" t="s">
        <v>1679</v>
      </c>
      <c r="K17" s="584" t="s">
        <v>751</v>
      </c>
      <c r="L17" s="585" t="s">
        <v>305</v>
      </c>
      <c r="M17" s="586" t="s">
        <v>3873</v>
      </c>
      <c r="N17" s="587" t="s">
        <v>3871</v>
      </c>
      <c r="O17" s="148"/>
      <c r="P17" s="161">
        <f>SUM(Q17:AP17)</f>
      </c>
      <c r="Q17" s="161"/>
      <c r="R17" s="161"/>
      <c r="S17" s="161"/>
      <c r="T17" s="161"/>
      <c r="U17" s="161"/>
      <c r="V17" s="161"/>
      <c r="W17" s="161"/>
      <c r="X17" s="161"/>
      <c r="Y17" s="161"/>
      <c r="Z17" s="161"/>
      <c r="AA17" s="161"/>
      <c r="AB17" s="161"/>
      <c r="AC17" s="161"/>
      <c r="AD17" s="161"/>
      <c r="AE17" s="161"/>
      <c r="AF17" s="161"/>
      <c r="AG17" s="161"/>
      <c r="AH17" s="161"/>
      <c r="AI17" s="161"/>
      <c r="AJ17" s="161"/>
      <c r="AK17" s="161"/>
      <c r="AL17" s="161"/>
      <c r="AM17" s="588" t="n">
        <v>800.0</v>
      </c>
      <c r="AN17" s="161"/>
      <c r="AO17" s="161"/>
      <c r="AP17" s="161"/>
      <c r="AQ17" s="161">
        <f>SUM(AR17:AU17)</f>
      </c>
      <c r="AR17" s="161"/>
      <c r="AS17" s="161"/>
      <c r="AT17" s="161"/>
      <c r="AU17" s="161"/>
      <c r="AV17" s="161">
        <f>SUM(AW17:BH17)</f>
      </c>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f>SUM(BT17:BV17)</f>
      </c>
      <c r="BT17" s="161"/>
      <c r="BU17" s="161"/>
      <c r="BV17" s="161"/>
      <c r="BW17" s="161">
        <f>SUM(BX17:CC17)</f>
      </c>
      <c r="BX17" s="161"/>
      <c r="BY17" s="161"/>
      <c r="BZ17" s="161"/>
      <c r="CA17" s="161"/>
      <c r="CB17" s="161"/>
      <c r="CC17" s="161"/>
      <c r="CD17" s="161"/>
      <c r="CE17" s="161"/>
      <c r="CF17" s="161"/>
      <c r="CG17" s="161"/>
      <c r="CH17" s="161"/>
      <c r="CI17" s="161"/>
      <c r="CJ17" s="161">
        <f>SUM(CK17:CM17)</f>
      </c>
      <c r="CK17" s="161"/>
      <c r="CL17" s="161"/>
      <c r="CM17" s="161"/>
      <c r="CN17" s="161">
        <f>SUM(CO17:CS17)</f>
      </c>
      <c r="CO17" s="161"/>
      <c r="CP17" s="161"/>
      <c r="CQ17" s="161"/>
      <c r="CR17" s="161"/>
      <c r="CS17" s="161"/>
      <c r="CT17" s="161"/>
      <c r="CU17" s="161"/>
      <c r="CV17" s="161"/>
      <c r="CW17" s="161"/>
      <c r="CX17" s="161"/>
      <c r="CY17" s="161"/>
      <c r="CZ17" s="161"/>
      <c r="DA17" s="161"/>
      <c r="DB17" s="161"/>
      <c r="DC17" s="161"/>
      <c r="DD17" s="161"/>
      <c r="DE17" s="161"/>
      <c r="DF17" s="161">
        <f>SUM(DG17:DG17)</f>
      </c>
      <c r="DG17" s="161"/>
      <c r="DH17" s="161"/>
      <c r="DI17" s="161"/>
      <c r="DJ17" s="161">
        <f>SUM(DK17:DP17)</f>
      </c>
      <c r="DK17" s="161"/>
      <c r="DL17" s="161"/>
      <c r="DM17" s="161"/>
      <c r="DN17" s="161"/>
      <c r="DO17" s="161"/>
      <c r="DP17" s="161"/>
      <c r="DQ17" s="161"/>
      <c r="DR17" s="161"/>
      <c r="DS17" s="161"/>
      <c r="DT17" s="161"/>
      <c r="DU17" s="161"/>
      <c r="DV17" s="161"/>
      <c r="DW17" s="161"/>
      <c r="DX17" s="161"/>
      <c r="DY17" s="161"/>
      <c r="DZ17" s="161"/>
      <c r="EA17" s="161"/>
      <c r="EB17" s="161"/>
      <c r="EC17" s="161"/>
      <c r="ED17" s="161"/>
      <c r="EE17" s="161"/>
      <c r="EF17" s="161">
        <f>SUM(EG17:EP17)</f>
      </c>
      <c r="EG17" s="161"/>
      <c r="EH17" s="161"/>
      <c r="EI17" s="161"/>
      <c r="EJ17" s="161"/>
      <c r="EK17" s="161"/>
      <c r="EL17" s="161"/>
      <c r="EM17" s="161"/>
      <c r="EN17" s="161"/>
      <c r="EO17" s="161"/>
      <c r="EP17" s="161"/>
      <c r="EQ17" s="161">
        <f>SUM(ER17:ES17)</f>
      </c>
      <c r="ER17" s="161"/>
      <c r="ES17" s="161"/>
      <c r="ET17" s="161"/>
      <c r="EU17" s="161"/>
      <c r="EV17" s="161"/>
      <c r="EW17" s="161"/>
      <c r="EX17" s="161"/>
      <c r="EY17" s="161"/>
      <c r="EZ17" s="161"/>
      <c r="FA17" s="161"/>
      <c r="FB17" s="161"/>
      <c r="FC17" s="161"/>
      <c r="FD17" s="161"/>
      <c r="FE17" s="161"/>
      <c r="FF17" s="161"/>
      <c r="FG17" s="161"/>
      <c r="FH17" s="163" cm="1">
        <f t="array" ref="FH17">ROW()-ROW(Ongoing[#Headers])</f>
        <v>11</v>
      </c>
      <c r="FI17" s="164" t="s">
        <v>768</v>
      </c>
      <c r="FJ17" s="164" t="s">
        <v>755</v>
      </c>
      <c r="FK17" s="164">
        <v>0</v>
      </c>
      <c r="FL17" s="164" t="s">
        <v>769</v>
      </c>
      <c r="FM17" s="164">
        <v>0</v>
      </c>
      <c r="FN17" s="164" t="s">
        <v>770</v>
      </c>
      <c r="FO17" s="164" t="s">
        <v>771</v>
      </c>
      <c r="FP17" s="164" t="s">
        <v>759</v>
      </c>
    </row>
    <row r="18" spans="2:172" s="115" customFormat="1" ht="11.25" x14ac:dyDescent="0.2">
      <c r="B18" s="603" t="s">
        <v>1437</v>
      </c>
      <c r="C18" s="604" t="s">
        <v>1438</v>
      </c>
      <c r="D18" s="605" t="s">
        <v>35</v>
      </c>
      <c r="E18" s="606" t="s">
        <v>766</v>
      </c>
      <c r="F18" s="607" t="s">
        <v>345</v>
      </c>
      <c r="G18" s="608" t="s">
        <v>46</v>
      </c>
      <c r="H18" s="609" t="s">
        <v>305</v>
      </c>
      <c r="I18" s="610" t="s">
        <v>68</v>
      </c>
      <c r="J18" s="611" t="s">
        <v>1672</v>
      </c>
      <c r="K18" s="612" t="s">
        <v>305</v>
      </c>
      <c r="L18" s="613" t="s">
        <v>305</v>
      </c>
      <c r="M18" s="614" t="s">
        <v>3873</v>
      </c>
      <c r="N18" s="615" t="s">
        <v>3871</v>
      </c>
      <c r="O18" s="148"/>
      <c r="P18" s="161">
        <f>SUM(Q18:AP18)</f>
      </c>
      <c r="Q18" s="161"/>
      <c r="R18" s="161"/>
      <c r="S18" s="161"/>
      <c r="T18" s="161"/>
      <c r="U18" s="161"/>
      <c r="V18" s="161"/>
      <c r="W18" s="161"/>
      <c r="X18" s="161"/>
      <c r="Y18" s="161"/>
      <c r="Z18" s="161"/>
      <c r="AA18" s="161"/>
      <c r="AB18" s="161"/>
      <c r="AC18" s="161"/>
      <c r="AD18" s="161"/>
      <c r="AE18" s="161"/>
      <c r="AF18" s="616" t="n">
        <v>240.0</v>
      </c>
      <c r="AG18" s="161"/>
      <c r="AH18" s="161"/>
      <c r="AI18" s="161"/>
      <c r="AJ18" s="161"/>
      <c r="AK18" s="161"/>
      <c r="AL18" s="161"/>
      <c r="AM18" s="161"/>
      <c r="AN18" s="161"/>
      <c r="AO18" s="161"/>
      <c r="AP18" s="161"/>
      <c r="AQ18" s="161">
        <f>SUM(AR18:AU18)</f>
      </c>
      <c r="AR18" s="161"/>
      <c r="AS18" s="161"/>
      <c r="AT18" s="161"/>
      <c r="AU18" s="161"/>
      <c r="AV18" s="161">
        <f>SUM(AW18:BH18)</f>
      </c>
      <c r="AW18" s="161"/>
      <c r="AX18" s="161"/>
      <c r="AY18" s="161"/>
      <c r="AZ18" s="161"/>
      <c r="BA18" s="161"/>
      <c r="BB18" s="161"/>
      <c r="BC18" s="161"/>
      <c r="BD18" s="161"/>
      <c r="BE18" s="161"/>
      <c r="BF18" s="161"/>
      <c r="BG18" s="161"/>
      <c r="BH18" s="161"/>
      <c r="BI18" s="161"/>
      <c r="BJ18" s="161"/>
      <c r="BK18" s="161"/>
      <c r="BL18" s="161"/>
      <c r="BM18" s="161"/>
      <c r="BN18" s="161"/>
      <c r="BO18" s="161"/>
      <c r="BP18" s="161"/>
      <c r="BQ18" s="161"/>
      <c r="BR18" s="161"/>
      <c r="BS18" s="161">
        <f>SUM(BT18:BV18)</f>
      </c>
      <c r="BT18" s="161"/>
      <c r="BU18" s="161"/>
      <c r="BV18" s="161"/>
      <c r="BW18" s="161">
        <f>SUM(BX18:CC18)</f>
      </c>
      <c r="BX18" s="161"/>
      <c r="BY18" s="161"/>
      <c r="BZ18" s="161"/>
      <c r="CA18" s="161"/>
      <c r="CB18" s="161"/>
      <c r="CC18" s="161"/>
      <c r="CD18" s="161"/>
      <c r="CE18" s="161"/>
      <c r="CF18" s="161"/>
      <c r="CG18" s="161"/>
      <c r="CH18" s="161"/>
      <c r="CI18" s="161"/>
      <c r="CJ18" s="161">
        <f>SUM(CK18:CM18)</f>
      </c>
      <c r="CK18" s="161"/>
      <c r="CL18" s="161"/>
      <c r="CM18" s="161"/>
      <c r="CN18" s="161">
        <f>SUM(CO18:CS18)</f>
      </c>
      <c r="CO18" s="161"/>
      <c r="CP18" s="161"/>
      <c r="CQ18" s="161"/>
      <c r="CR18" s="161"/>
      <c r="CS18" s="161"/>
      <c r="CT18" s="161"/>
      <c r="CU18" s="161"/>
      <c r="CV18" s="161"/>
      <c r="CW18" s="161"/>
      <c r="CX18" s="161"/>
      <c r="CY18" s="161"/>
      <c r="CZ18" s="161"/>
      <c r="DA18" s="161"/>
      <c r="DB18" s="161"/>
      <c r="DC18" s="161"/>
      <c r="DD18" s="161"/>
      <c r="DE18" s="161"/>
      <c r="DF18" s="161">
        <f>SUM(DG18:DG18)</f>
      </c>
      <c r="DG18" s="161"/>
      <c r="DH18" s="161"/>
      <c r="DI18" s="161"/>
      <c r="DJ18" s="161">
        <f>SUM(DK18:DP18)</f>
      </c>
      <c r="DK18" s="161"/>
      <c r="DL18" s="161"/>
      <c r="DM18" s="161"/>
      <c r="DN18" s="161"/>
      <c r="DO18" s="161"/>
      <c r="DP18" s="161"/>
      <c r="DQ18" s="161"/>
      <c r="DR18" s="161"/>
      <c r="DS18" s="161"/>
      <c r="DT18" s="161"/>
      <c r="DU18" s="161"/>
      <c r="DV18" s="161"/>
      <c r="DW18" s="161"/>
      <c r="DX18" s="161"/>
      <c r="DY18" s="161"/>
      <c r="DZ18" s="161"/>
      <c r="EA18" s="161"/>
      <c r="EB18" s="161"/>
      <c r="EC18" s="161"/>
      <c r="ED18" s="161"/>
      <c r="EE18" s="161"/>
      <c r="EF18" s="161">
        <f>SUM(EG18:EP18)</f>
      </c>
      <c r="EG18" s="161"/>
      <c r="EH18" s="161"/>
      <c r="EI18" s="161"/>
      <c r="EJ18" s="161"/>
      <c r="EK18" s="161"/>
      <c r="EL18" s="161"/>
      <c r="EM18" s="161"/>
      <c r="EN18" s="161"/>
      <c r="EO18" s="161"/>
      <c r="EP18" s="161"/>
      <c r="EQ18" s="161">
        <f>SUM(ER18:ES18)</f>
      </c>
      <c r="ER18" s="161"/>
      <c r="ES18" s="161"/>
      <c r="ET18" s="161"/>
      <c r="EU18" s="161"/>
      <c r="EV18" s="161"/>
      <c r="EW18" s="161"/>
      <c r="EX18" s="161"/>
      <c r="EY18" s="161"/>
      <c r="EZ18" s="161"/>
      <c r="FA18" s="161"/>
      <c r="FB18" s="161"/>
      <c r="FC18" s="161"/>
      <c r="FD18" s="161"/>
      <c r="FE18" s="161"/>
      <c r="FF18" s="161"/>
      <c r="FG18" s="161"/>
      <c r="FH18" s="163" cm="1">
        <f t="array" ref="FH18">ROW()-ROW(Ongoing[#Headers])</f>
        <v>12</v>
      </c>
      <c r="FI18" s="164" t="s">
        <v>768</v>
      </c>
      <c r="FJ18" s="164" t="s">
        <v>755</v>
      </c>
      <c r="FK18" s="164">
        <v>0</v>
      </c>
      <c r="FL18" s="164" t="s">
        <v>769</v>
      </c>
      <c r="FM18" s="164">
        <v>0</v>
      </c>
      <c r="FN18" s="164" t="s">
        <v>770</v>
      </c>
      <c r="FO18" s="164" t="s">
        <v>774</v>
      </c>
      <c r="FP18" s="164" t="s">
        <v>759</v>
      </c>
    </row>
    <row r="19" spans="2:172" s="115" customFormat="1" ht="11.25" x14ac:dyDescent="0.2">
      <c r="B19" s="632" t="s">
        <v>1037</v>
      </c>
      <c r="C19" s="633" t="s">
        <v>1038</v>
      </c>
      <c r="D19" s="634" t="s">
        <v>13</v>
      </c>
      <c r="E19" s="635" t="s">
        <v>766</v>
      </c>
      <c r="F19" s="636" t="s">
        <v>1597</v>
      </c>
      <c r="G19" s="637" t="s">
        <v>46</v>
      </c>
      <c r="H19" s="638" t="s">
        <v>41</v>
      </c>
      <c r="I19" s="639" t="s">
        <v>68</v>
      </c>
      <c r="J19" s="640" t="s">
        <v>771</v>
      </c>
      <c r="K19" s="641" t="s">
        <v>767</v>
      </c>
      <c r="L19" s="642" t="s">
        <v>305</v>
      </c>
      <c r="M19" s="643" t="s">
        <v>3873</v>
      </c>
      <c r="N19" s="644" t="s">
        <v>3871</v>
      </c>
      <c r="O19" s="148"/>
      <c r="P19" s="161">
        <f>SUM(Q19:AP19)</f>
      </c>
      <c r="Q19" s="161"/>
      <c r="R19" s="161"/>
      <c r="S19" s="161"/>
      <c r="T19" s="161"/>
      <c r="U19" s="161"/>
      <c r="V19" s="161"/>
      <c r="W19" s="161"/>
      <c r="X19" s="161"/>
      <c r="Y19" s="161"/>
      <c r="Z19" s="161"/>
      <c r="AA19" s="161"/>
      <c r="AB19" s="161"/>
      <c r="AC19" s="161"/>
      <c r="AD19" s="161"/>
      <c r="AE19" s="161"/>
      <c r="AF19" s="645" t="n">
        <v>390.0</v>
      </c>
      <c r="AG19" s="161"/>
      <c r="AH19" s="161"/>
      <c r="AI19" s="161"/>
      <c r="AJ19" s="161"/>
      <c r="AK19" s="161"/>
      <c r="AL19" s="161"/>
      <c r="AM19" s="161"/>
      <c r="AN19" s="161"/>
      <c r="AO19" s="161"/>
      <c r="AP19" s="161"/>
      <c r="AQ19" s="161">
        <f>SUM(AR19:AU19)</f>
      </c>
      <c r="AR19" s="161"/>
      <c r="AS19" s="161"/>
      <c r="AT19" s="161"/>
      <c r="AU19" s="161"/>
      <c r="AV19" s="161">
        <f>SUM(AW19:BH19)</f>
      </c>
      <c r="AW19" s="161"/>
      <c r="AX19" s="161"/>
      <c r="AY19" s="161"/>
      <c r="AZ19" s="161"/>
      <c r="BA19" s="161"/>
      <c r="BB19" s="161"/>
      <c r="BC19" s="161"/>
      <c r="BD19" s="161"/>
      <c r="BE19" s="161"/>
      <c r="BF19" s="161"/>
      <c r="BG19" s="161"/>
      <c r="BH19" s="161"/>
      <c r="BI19" s="161"/>
      <c r="BJ19" s="161"/>
      <c r="BK19" s="161"/>
      <c r="BL19" s="161"/>
      <c r="BM19" s="161"/>
      <c r="BN19" s="161"/>
      <c r="BO19" s="161"/>
      <c r="BP19" s="161"/>
      <c r="BQ19" s="161"/>
      <c r="BR19" s="161"/>
      <c r="BS19" s="161">
        <f>SUM(BT19:BV19)</f>
      </c>
      <c r="BT19" s="161"/>
      <c r="BU19" s="161"/>
      <c r="BV19" s="161"/>
      <c r="BW19" s="161">
        <f>SUM(BX19:CC19)</f>
      </c>
      <c r="BX19" s="161"/>
      <c r="BY19" s="161"/>
      <c r="BZ19" s="161"/>
      <c r="CA19" s="161"/>
      <c r="CB19" s="161"/>
      <c r="CC19" s="161"/>
      <c r="CD19" s="161"/>
      <c r="CE19" s="161"/>
      <c r="CF19" s="161"/>
      <c r="CG19" s="161"/>
      <c r="CH19" s="161"/>
      <c r="CI19" s="161"/>
      <c r="CJ19" s="161">
        <f>SUM(CK19:CM19)</f>
      </c>
      <c r="CK19" s="161"/>
      <c r="CL19" s="161"/>
      <c r="CM19" s="161"/>
      <c r="CN19" s="161">
        <f>SUM(CO19:CS19)</f>
      </c>
      <c r="CO19" s="161"/>
      <c r="CP19" s="161"/>
      <c r="CQ19" s="161"/>
      <c r="CR19" s="161"/>
      <c r="CS19" s="161"/>
      <c r="CT19" s="161"/>
      <c r="CU19" s="161"/>
      <c r="CV19" s="161"/>
      <c r="CW19" s="161"/>
      <c r="CX19" s="161"/>
      <c r="CY19" s="161"/>
      <c r="CZ19" s="161"/>
      <c r="DA19" s="161"/>
      <c r="DB19" s="161"/>
      <c r="DC19" s="161"/>
      <c r="DD19" s="161"/>
      <c r="DE19" s="161"/>
      <c r="DF19" s="161">
        <f>SUM(DG19:DG19)</f>
      </c>
      <c r="DG19" s="646" t="n">
        <v>10.0</v>
      </c>
      <c r="DH19" s="161"/>
      <c r="DI19" s="161"/>
      <c r="DJ19" s="161">
        <f>SUM(DK19:DP19)</f>
      </c>
      <c r="DK19" s="161"/>
      <c r="DL19" s="161"/>
      <c r="DM19" s="161"/>
      <c r="DN19" s="161"/>
      <c r="DO19" s="161"/>
      <c r="DP19" s="161"/>
      <c r="DQ19" s="161"/>
      <c r="DR19" s="161"/>
      <c r="DS19" s="161"/>
      <c r="DT19" s="161"/>
      <c r="DU19" s="161"/>
      <c r="DV19" s="161"/>
      <c r="DW19" s="161"/>
      <c r="DX19" s="161"/>
      <c r="DY19" s="161"/>
      <c r="DZ19" s="161"/>
      <c r="EA19" s="161"/>
      <c r="EB19" s="161"/>
      <c r="EC19" s="161"/>
      <c r="ED19" s="161"/>
      <c r="EE19" s="161"/>
      <c r="EF19" s="161">
        <f>SUM(EG19:EP19)</f>
      </c>
      <c r="EG19" s="161"/>
      <c r="EH19" s="161"/>
      <c r="EI19" s="161"/>
      <c r="EJ19" s="161"/>
      <c r="EK19" s="161"/>
      <c r="EL19" s="161"/>
      <c r="EM19" s="161"/>
      <c r="EN19" s="161"/>
      <c r="EO19" s="161"/>
      <c r="EP19" s="161"/>
      <c r="EQ19" s="161">
        <f>SUM(ER19:ES19)</f>
      </c>
      <c r="ER19" s="161"/>
      <c r="ES19" s="161"/>
      <c r="ET19" s="161"/>
      <c r="EU19" s="161"/>
      <c r="EV19" s="161"/>
      <c r="EW19" s="161"/>
      <c r="EX19" s="161"/>
      <c r="EY19" s="161"/>
      <c r="EZ19" s="161"/>
      <c r="FA19" s="161"/>
      <c r="FB19" s="161"/>
      <c r="FC19" s="161"/>
      <c r="FD19" s="161"/>
      <c r="FE19" s="161"/>
      <c r="FF19" s="161"/>
      <c r="FG19" s="161"/>
      <c r="FH19" s="163" cm="1">
        <f t="array" ref="FH19">ROW()-ROW(Ongoing[#Headers])</f>
        <v>13</v>
      </c>
      <c r="FI19" s="164" t="s">
        <v>768</v>
      </c>
      <c r="FJ19" s="164" t="s">
        <v>755</v>
      </c>
      <c r="FK19" s="164">
        <v>0</v>
      </c>
      <c r="FL19" s="164" t="s">
        <v>769</v>
      </c>
      <c r="FM19" s="164">
        <v>0</v>
      </c>
      <c r="FN19" s="164">
        <v>0</v>
      </c>
      <c r="FO19" s="164">
        <v>0</v>
      </c>
      <c r="FP19" s="164">
        <v>0</v>
      </c>
    </row>
    <row r="20" spans="2:172" s="115" customFormat="1" ht="11.25" x14ac:dyDescent="0.2">
      <c r="B20" s="647" t="s">
        <v>1235</v>
      </c>
      <c r="C20" s="648" t="s">
        <v>2069</v>
      </c>
      <c r="D20" s="649" t="s">
        <v>305</v>
      </c>
      <c r="E20" s="650" t="s">
        <v>305</v>
      </c>
      <c r="F20" s="651" t="s">
        <v>305</v>
      </c>
      <c r="G20" s="652" t="s">
        <v>305</v>
      </c>
      <c r="H20" s="653" t="s">
        <v>305</v>
      </c>
      <c r="I20" s="654" t="s">
        <v>305</v>
      </c>
      <c r="J20" s="655" t="s">
        <v>2070</v>
      </c>
      <c r="K20" s="656" t="s">
        <v>305</v>
      </c>
      <c r="L20" s="657" t="s">
        <v>305</v>
      </c>
      <c r="M20" s="658" t="s">
        <v>3867</v>
      </c>
      <c r="N20" s="659" t="s">
        <v>3868</v>
      </c>
      <c r="O20" s="148"/>
      <c r="P20" s="161">
        <f>SUM(Q20:AP20)</f>
      </c>
      <c r="Q20" s="161"/>
      <c r="R20" s="161"/>
      <c r="S20" s="161"/>
      <c r="T20" s="161"/>
      <c r="U20" s="161"/>
      <c r="V20" s="161"/>
      <c r="W20" s="161"/>
      <c r="X20" s="161"/>
      <c r="Y20" s="161"/>
      <c r="Z20" s="161"/>
      <c r="AA20" s="161"/>
      <c r="AB20" s="161"/>
      <c r="AC20" s="161"/>
      <c r="AD20" s="161"/>
      <c r="AE20" s="161"/>
      <c r="AF20" s="161"/>
      <c r="AG20" s="161"/>
      <c r="AH20" s="161"/>
      <c r="AI20" s="161"/>
      <c r="AJ20" s="161"/>
      <c r="AK20" s="161"/>
      <c r="AL20" s="161"/>
      <c r="AM20" s="161"/>
      <c r="AN20" s="161"/>
      <c r="AO20" s="161"/>
      <c r="AP20" s="161"/>
      <c r="AQ20" s="161">
        <f>SUM(AR20:AU20)</f>
      </c>
      <c r="AR20" s="161"/>
      <c r="AS20" s="161"/>
      <c r="AT20" s="161"/>
      <c r="AU20" s="161"/>
      <c r="AV20" s="161">
        <f>SUM(AW20:BH20)</f>
      </c>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f>SUM(BT20:BV20)</f>
      </c>
      <c r="BT20" s="161"/>
      <c r="BU20" s="161"/>
      <c r="BV20" s="161"/>
      <c r="BW20" s="161">
        <f>SUM(BX20:CC20)</f>
      </c>
      <c r="BX20" s="161"/>
      <c r="BY20" s="161"/>
      <c r="BZ20" s="161"/>
      <c r="CA20" s="161"/>
      <c r="CB20" s="161"/>
      <c r="CC20" s="161"/>
      <c r="CD20" s="161"/>
      <c r="CE20" s="161"/>
      <c r="CF20" s="161"/>
      <c r="CG20" s="161"/>
      <c r="CH20" s="161"/>
      <c r="CI20" s="161"/>
      <c r="CJ20" s="161">
        <f>SUM(CK20:CM20)</f>
      </c>
      <c r="CK20" s="161"/>
      <c r="CL20" s="161"/>
      <c r="CM20" s="161"/>
      <c r="CN20" s="161">
        <f>SUM(CO20:CS20)</f>
      </c>
      <c r="CO20" s="161"/>
      <c r="CP20" s="161"/>
      <c r="CQ20" s="161"/>
      <c r="CR20" s="161"/>
      <c r="CS20" s="161"/>
      <c r="CT20" s="161"/>
      <c r="CU20" s="161"/>
      <c r="CV20" s="161"/>
      <c r="CW20" s="161"/>
      <c r="CX20" s="161"/>
      <c r="CY20" s="161"/>
      <c r="CZ20" s="161"/>
      <c r="DA20" s="161"/>
      <c r="DB20" s="161"/>
      <c r="DC20" s="161"/>
      <c r="DD20" s="161"/>
      <c r="DE20" s="161"/>
      <c r="DF20" s="161">
        <f>SUM(DG20:DG20)</f>
      </c>
      <c r="DG20" s="161"/>
      <c r="DH20" s="161"/>
      <c r="DI20" s="161"/>
      <c r="DJ20" s="161">
        <f>SUM(DK20:DP20)</f>
      </c>
      <c r="DK20" s="161"/>
      <c r="DL20" s="161"/>
      <c r="DM20" s="161"/>
      <c r="DN20" s="161"/>
      <c r="DO20" s="161"/>
      <c r="DP20" s="161"/>
      <c r="DQ20" s="161"/>
      <c r="DR20" s="161"/>
      <c r="DS20" s="161"/>
      <c r="DT20" s="161"/>
      <c r="DU20" s="161"/>
      <c r="DV20" s="161"/>
      <c r="DW20" s="161"/>
      <c r="DX20" s="161"/>
      <c r="DY20" s="161"/>
      <c r="DZ20" s="161"/>
      <c r="EA20" s="161"/>
      <c r="EB20" s="161"/>
      <c r="EC20" s="161"/>
      <c r="ED20" s="161"/>
      <c r="EE20" s="161"/>
      <c r="EF20" s="161">
        <f>SUM(EG20:EP20)</f>
      </c>
      <c r="EG20" s="161"/>
      <c r="EH20" s="161"/>
      <c r="EI20" s="161"/>
      <c r="EJ20" s="161"/>
      <c r="EK20" s="161"/>
      <c r="EL20" s="161"/>
      <c r="EM20" s="161"/>
      <c r="EN20" s="161"/>
      <c r="EO20" s="161"/>
      <c r="EP20" s="161"/>
      <c r="EQ20" s="161">
        <f>SUM(ER20:ES20)</f>
      </c>
      <c r="ER20" s="161"/>
      <c r="ES20" s="161"/>
      <c r="ET20" s="161"/>
      <c r="EU20" s="161"/>
      <c r="EV20" s="161"/>
      <c r="EW20" s="161"/>
      <c r="EX20" s="161"/>
      <c r="EY20" s="161"/>
      <c r="EZ20" s="161"/>
      <c r="FA20" s="161"/>
      <c r="FB20" s="161"/>
      <c r="FC20" s="161"/>
      <c r="FD20" s="161"/>
      <c r="FE20" s="161"/>
      <c r="FF20" s="161"/>
      <c r="FG20" s="161"/>
      <c r="FH20" s="163" cm="1">
        <f t="array" ref="FH20">ROW()-ROW(Ongoing[#Headers])</f>
        <v>14</v>
      </c>
      <c r="FI20" s="164" t="s">
        <v>780</v>
      </c>
      <c r="FJ20" s="164" t="s">
        <v>755</v>
      </c>
      <c r="FK20" s="164">
        <v>0</v>
      </c>
      <c r="FL20" s="164" t="s">
        <v>781</v>
      </c>
      <c r="FM20" s="164">
        <v>0</v>
      </c>
      <c r="FN20" s="164" t="s">
        <v>782</v>
      </c>
      <c r="FO20" s="164" t="s">
        <v>783</v>
      </c>
      <c r="FP20" s="164" t="s">
        <v>759</v>
      </c>
    </row>
    <row r="21" spans="2:172" s="115" customFormat="1" ht="11.25" x14ac:dyDescent="0.2">
      <c r="B21" s="701" t="s">
        <v>1461</v>
      </c>
      <c r="C21" s="702" t="s">
        <v>1462</v>
      </c>
      <c r="D21" s="703" t="s">
        <v>13</v>
      </c>
      <c r="E21" s="704" t="s">
        <v>750</v>
      </c>
      <c r="F21" s="705" t="s">
        <v>345</v>
      </c>
      <c r="G21" s="706" t="s">
        <v>46</v>
      </c>
      <c r="H21" s="707" t="s">
        <v>305</v>
      </c>
      <c r="I21" s="708" t="s">
        <v>68</v>
      </c>
      <c r="J21" s="709" t="s">
        <v>1622</v>
      </c>
      <c r="K21" s="710" t="s">
        <v>767</v>
      </c>
      <c r="L21" s="711" t="s">
        <v>1392</v>
      </c>
      <c r="M21" s="712" t="s">
        <v>3870</v>
      </c>
      <c r="N21" s="713" t="s">
        <v>3874</v>
      </c>
      <c r="O21" s="148"/>
      <c r="P21" s="161">
        <f>SUM(Q21:AP21)</f>
      </c>
      <c r="Q21" s="161"/>
      <c r="R21" s="161"/>
      <c r="S21" s="161"/>
      <c r="T21" s="161"/>
      <c r="U21" s="161"/>
      <c r="V21" s="161"/>
      <c r="W21" s="161"/>
      <c r="X21" s="161"/>
      <c r="Y21" s="161"/>
      <c r="Z21" s="161"/>
      <c r="AA21" s="161"/>
      <c r="AB21" s="161"/>
      <c r="AC21" s="161"/>
      <c r="AD21" s="161"/>
      <c r="AE21" s="161"/>
      <c r="AF21" s="161"/>
      <c r="AG21" s="161"/>
      <c r="AH21" s="161"/>
      <c r="AI21" s="161"/>
      <c r="AJ21" s="161"/>
      <c r="AK21" s="161"/>
      <c r="AL21" s="161"/>
      <c r="AM21" s="161"/>
      <c r="AN21" s="161"/>
      <c r="AO21" s="161"/>
      <c r="AP21" s="161"/>
      <c r="AQ21" s="161">
        <f>SUM(AR21:AU21)</f>
      </c>
      <c r="AR21" s="161"/>
      <c r="AS21" s="161"/>
      <c r="AT21" s="161"/>
      <c r="AU21" s="161"/>
      <c r="AV21" s="161">
        <f>SUM(AW21:BH21)</f>
      </c>
      <c r="AW21" s="161"/>
      <c r="AX21" s="161"/>
      <c r="AY21" s="161"/>
      <c r="AZ21" s="161"/>
      <c r="BA21" s="161"/>
      <c r="BB21" s="161"/>
      <c r="BC21" s="161"/>
      <c r="BD21" s="161"/>
      <c r="BE21" s="161"/>
      <c r="BF21" s="161"/>
      <c r="BG21" s="161"/>
      <c r="BH21" s="161"/>
      <c r="BI21" s="161"/>
      <c r="BJ21" s="161"/>
      <c r="BK21" s="161"/>
      <c r="BL21" s="161"/>
      <c r="BM21" s="161"/>
      <c r="BN21" s="161"/>
      <c r="BO21" s="161"/>
      <c r="BP21" s="161"/>
      <c r="BQ21" s="161"/>
      <c r="BR21" s="161"/>
      <c r="BS21" s="161">
        <f>SUM(BT21:BV21)</f>
      </c>
      <c r="BT21" s="161"/>
      <c r="BU21" s="161"/>
      <c r="BV21" s="161"/>
      <c r="BW21" s="161">
        <f>SUM(BX21:CC21)</f>
      </c>
      <c r="BX21" s="161"/>
      <c r="BY21" s="161"/>
      <c r="BZ21" s="161"/>
      <c r="CA21" s="161"/>
      <c r="CB21" s="161"/>
      <c r="CC21" s="161"/>
      <c r="CD21" s="161"/>
      <c r="CE21" s="161"/>
      <c r="CF21" s="161"/>
      <c r="CG21" s="161"/>
      <c r="CH21" s="161"/>
      <c r="CI21" s="161"/>
      <c r="CJ21" s="161">
        <f>SUM(CK21:CM21)</f>
      </c>
      <c r="CK21" s="161"/>
      <c r="CL21" s="161"/>
      <c r="CM21" s="161"/>
      <c r="CN21" s="161">
        <f>SUM(CO21:CS21)</f>
      </c>
      <c r="CO21" s="161"/>
      <c r="CP21" s="161"/>
      <c r="CQ21" s="161"/>
      <c r="CR21" s="161"/>
      <c r="CS21" s="161"/>
      <c r="CT21" s="161"/>
      <c r="CU21" s="161"/>
      <c r="CV21" s="161"/>
      <c r="CW21" s="161"/>
      <c r="CX21" s="161"/>
      <c r="CY21" s="161"/>
      <c r="CZ21" s="161"/>
      <c r="DA21" s="161"/>
      <c r="DB21" s="161"/>
      <c r="DC21" s="161"/>
      <c r="DD21" s="161"/>
      <c r="DE21" s="161"/>
      <c r="DF21" s="161">
        <f>SUM(DG21:DG21)</f>
      </c>
      <c r="DG21" s="161"/>
      <c r="DH21" s="161"/>
      <c r="DI21" s="161"/>
      <c r="DJ21" s="161">
        <f>SUM(DK21:DP21)</f>
      </c>
      <c r="DK21" s="161"/>
      <c r="DL21" s="161"/>
      <c r="DM21" s="161"/>
      <c r="DN21" s="161"/>
      <c r="DO21" s="161"/>
      <c r="DP21" s="714" t="n">
        <v>200.0</v>
      </c>
      <c r="DQ21" s="161"/>
      <c r="DR21" s="161"/>
      <c r="DS21" s="161"/>
      <c r="DT21" s="161"/>
      <c r="DU21" s="161"/>
      <c r="DV21" s="161"/>
      <c r="DW21" s="161"/>
      <c r="DX21" s="161"/>
      <c r="DY21" s="161"/>
      <c r="DZ21" s="161"/>
      <c r="EA21" s="161"/>
      <c r="EB21" s="161"/>
      <c r="EC21" s="161"/>
      <c r="ED21" s="161"/>
      <c r="EE21" s="161"/>
      <c r="EF21" s="161">
        <f>SUM(EG21:EP21)</f>
      </c>
      <c r="EG21" s="161"/>
      <c r="EH21" s="161"/>
      <c r="EI21" s="161"/>
      <c r="EJ21" s="161"/>
      <c r="EK21" s="161"/>
      <c r="EL21" s="161"/>
      <c r="EM21" s="161"/>
      <c r="EN21" s="161"/>
      <c r="EO21" s="161"/>
      <c r="EP21" s="161"/>
      <c r="EQ21" s="161">
        <f>SUM(ER21:ES21)</f>
      </c>
      <c r="ER21" s="161"/>
      <c r="ES21" s="161"/>
      <c r="ET21" s="161"/>
      <c r="EU21" s="161"/>
      <c r="EV21" s="161"/>
      <c r="EW21" s="161"/>
      <c r="EX21" s="161"/>
      <c r="EY21" s="161"/>
      <c r="EZ21" s="161"/>
      <c r="FA21" s="161"/>
      <c r="FB21" s="161"/>
      <c r="FC21" s="161"/>
      <c r="FD21" s="161"/>
      <c r="FE21" s="161"/>
      <c r="FF21" s="161"/>
      <c r="FG21" s="161"/>
      <c r="FH21" s="163" cm="1">
        <f t="array" ref="FH21">ROW()-ROW(Ongoing[#Headers])</f>
        <v>15</v>
      </c>
      <c r="FI21" s="164" t="e">
        <v>#N/A</v>
      </c>
      <c r="FJ21" s="164" t="s">
        <v>788</v>
      </c>
      <c r="FK21" s="164">
        <v>0</v>
      </c>
      <c r="FL21" s="164" t="s">
        <v>789</v>
      </c>
      <c r="FM21" s="164" t="s">
        <v>790</v>
      </c>
      <c r="FN21" s="164" t="s">
        <v>782</v>
      </c>
      <c r="FO21" s="164" t="s">
        <v>791</v>
      </c>
      <c r="FP21" s="164" t="s">
        <v>792</v>
      </c>
    </row>
    <row r="22" spans="2:172" s="115" customFormat="1" ht="11.25" x14ac:dyDescent="0.2">
      <c r="B22" s="715" t="s">
        <v>1151</v>
      </c>
      <c r="C22" s="716" t="s">
        <v>1152</v>
      </c>
      <c r="D22" s="717" t="s">
        <v>23</v>
      </c>
      <c r="E22" s="718" t="s">
        <v>750</v>
      </c>
      <c r="F22" s="719" t="s">
        <v>1597</v>
      </c>
      <c r="G22" s="720" t="s">
        <v>51</v>
      </c>
      <c r="H22" s="721" t="s">
        <v>43</v>
      </c>
      <c r="I22" s="722" t="s">
        <v>64</v>
      </c>
      <c r="J22" s="723" t="s">
        <v>1232</v>
      </c>
      <c r="K22" s="724" t="s">
        <v>751</v>
      </c>
      <c r="L22" s="725" t="s">
        <v>305</v>
      </c>
      <c r="M22" s="726" t="s">
        <v>3873</v>
      </c>
      <c r="N22" s="727" t="s">
        <v>3876</v>
      </c>
      <c r="O22" s="148"/>
      <c r="P22" s="161">
        <f>SUM(Q22:AP22)</f>
      </c>
      <c r="Q22" s="161"/>
      <c r="R22" s="161"/>
      <c r="S22" s="728" t="n">
        <v>80.0</v>
      </c>
      <c r="T22" s="161"/>
      <c r="U22" s="161"/>
      <c r="V22" s="161"/>
      <c r="W22" s="161"/>
      <c r="X22" s="161"/>
      <c r="Y22" s="161"/>
      <c r="Z22" s="161"/>
      <c r="AA22" s="161"/>
      <c r="AB22" s="161"/>
      <c r="AC22" s="161"/>
      <c r="AD22" s="161"/>
      <c r="AE22" s="161"/>
      <c r="AF22" s="161"/>
      <c r="AG22" s="161"/>
      <c r="AH22" s="161"/>
      <c r="AI22" s="161"/>
      <c r="AJ22" s="161"/>
      <c r="AK22" s="161"/>
      <c r="AL22" s="161"/>
      <c r="AM22" s="161"/>
      <c r="AN22" s="161"/>
      <c r="AO22" s="161"/>
      <c r="AP22" s="161"/>
      <c r="AQ22" s="161">
        <f>SUM(AR22:AU22)</f>
      </c>
      <c r="AR22" s="161"/>
      <c r="AS22" s="161"/>
      <c r="AT22" s="161"/>
      <c r="AU22" s="161"/>
      <c r="AV22" s="161">
        <f>SUM(AW22:BH22)</f>
      </c>
      <c r="AW22" s="161"/>
      <c r="AX22" s="161"/>
      <c r="AY22" s="161"/>
      <c r="AZ22" s="161"/>
      <c r="BA22" s="161"/>
      <c r="BB22" s="161"/>
      <c r="BC22" s="161"/>
      <c r="BD22" s="161"/>
      <c r="BE22" s="161"/>
      <c r="BF22" s="161"/>
      <c r="BG22" s="161"/>
      <c r="BH22" s="161"/>
      <c r="BI22" s="161"/>
      <c r="BJ22" s="161"/>
      <c r="BK22" s="161"/>
      <c r="BL22" s="161"/>
      <c r="BM22" s="161"/>
      <c r="BN22" s="161"/>
      <c r="BO22" s="161"/>
      <c r="BP22" s="161"/>
      <c r="BQ22" s="161"/>
      <c r="BR22" s="161"/>
      <c r="BS22" s="161">
        <f>SUM(BT22:BV22)</f>
      </c>
      <c r="BT22" s="161"/>
      <c r="BU22" s="161"/>
      <c r="BV22" s="161"/>
      <c r="BW22" s="161">
        <f>SUM(BX22:CC22)</f>
      </c>
      <c r="BX22" s="161"/>
      <c r="BY22" s="161"/>
      <c r="BZ22" s="161"/>
      <c r="CA22" s="161"/>
      <c r="CB22" s="161"/>
      <c r="CC22" s="161"/>
      <c r="CD22" s="161"/>
      <c r="CE22" s="161"/>
      <c r="CF22" s="161"/>
      <c r="CG22" s="161"/>
      <c r="CH22" s="161"/>
      <c r="CI22" s="161"/>
      <c r="CJ22" s="161">
        <f>SUM(CK22:CM22)</f>
      </c>
      <c r="CK22" s="161"/>
      <c r="CL22" s="161"/>
      <c r="CM22" s="161"/>
      <c r="CN22" s="161">
        <f>SUM(CO22:CS22)</f>
      </c>
      <c r="CO22" s="161"/>
      <c r="CP22" s="161"/>
      <c r="CQ22" s="161"/>
      <c r="CR22" s="161"/>
      <c r="CS22" s="161"/>
      <c r="CT22" s="161"/>
      <c r="CU22" s="161"/>
      <c r="CV22" s="161"/>
      <c r="CW22" s="161"/>
      <c r="CX22" s="161"/>
      <c r="CY22" s="161"/>
      <c r="CZ22" s="161"/>
      <c r="DA22" s="161"/>
      <c r="DB22" s="161"/>
      <c r="DC22" s="161"/>
      <c r="DD22" s="161"/>
      <c r="DE22" s="161"/>
      <c r="DF22" s="161">
        <f>SUM(DG22:DG22)</f>
      </c>
      <c r="DG22" s="161"/>
      <c r="DH22" s="161"/>
      <c r="DI22" s="161"/>
      <c r="DJ22" s="161">
        <f>SUM(DK22:DP22)</f>
      </c>
      <c r="DK22" s="161"/>
      <c r="DL22" s="161"/>
      <c r="DM22" s="161"/>
      <c r="DN22" s="161"/>
      <c r="DO22" s="161"/>
      <c r="DP22" s="161"/>
      <c r="DQ22" s="161"/>
      <c r="DR22" s="161"/>
      <c r="DS22" s="161"/>
      <c r="DT22" s="161"/>
      <c r="DU22" s="161"/>
      <c r="DV22" s="161"/>
      <c r="DW22" s="161"/>
      <c r="DX22" s="161"/>
      <c r="DY22" s="161"/>
      <c r="DZ22" s="161"/>
      <c r="EA22" s="161"/>
      <c r="EB22" s="161"/>
      <c r="EC22" s="161"/>
      <c r="ED22" s="161"/>
      <c r="EE22" s="161"/>
      <c r="EF22" s="161">
        <f>SUM(EG22:EP22)</f>
      </c>
      <c r="EG22" s="161"/>
      <c r="EH22" s="161"/>
      <c r="EI22" s="161"/>
      <c r="EJ22" s="161"/>
      <c r="EK22" s="161"/>
      <c r="EL22" s="161"/>
      <c r="EM22" s="161"/>
      <c r="EN22" s="161"/>
      <c r="EO22" s="161"/>
      <c r="EP22" s="161"/>
      <c r="EQ22" s="161">
        <f>SUM(ER22:ES22)</f>
      </c>
      <c r="ER22" s="161"/>
      <c r="ES22" s="161"/>
      <c r="ET22" s="161"/>
      <c r="EU22" s="161"/>
      <c r="EV22" s="161"/>
      <c r="EW22" s="161"/>
      <c r="EX22" s="161"/>
      <c r="EY22" s="161"/>
      <c r="EZ22" s="161"/>
      <c r="FA22" s="161"/>
      <c r="FB22" s="161"/>
      <c r="FC22" s="161"/>
      <c r="FD22" s="161"/>
      <c r="FE22" s="161"/>
      <c r="FF22" s="161"/>
      <c r="FG22" s="161"/>
      <c r="FH22" s="163" cm="1">
        <f t="array" ref="FH22">ROW()-ROW(Ongoing[#Headers])</f>
        <v>16</v>
      </c>
      <c r="FI22" s="164" t="s">
        <v>754</v>
      </c>
      <c r="FJ22" s="164" t="s">
        <v>755</v>
      </c>
      <c r="FK22" s="164">
        <v>0</v>
      </c>
      <c r="FL22" s="164" t="s">
        <v>756</v>
      </c>
      <c r="FM22" s="164">
        <v>0</v>
      </c>
      <c r="FN22" s="164" t="s">
        <v>757</v>
      </c>
      <c r="FO22" s="164" t="s">
        <v>758</v>
      </c>
      <c r="FP22" s="164" t="s">
        <v>759</v>
      </c>
    </row>
    <row r="23" spans="2:172" s="115" customFormat="1" ht="11.25" x14ac:dyDescent="0.2">
      <c r="B23" s="786" t="s">
        <v>853</v>
      </c>
      <c r="C23" s="787" t="s">
        <v>854</v>
      </c>
      <c r="D23" s="788" t="s">
        <v>20</v>
      </c>
      <c r="E23" s="789" t="s">
        <v>810</v>
      </c>
      <c r="F23" s="790" t="s">
        <v>1597</v>
      </c>
      <c r="G23" s="791" t="s">
        <v>61</v>
      </c>
      <c r="H23" s="792" t="s">
        <v>786</v>
      </c>
      <c r="I23" s="793" t="s">
        <v>71</v>
      </c>
      <c r="J23" s="794" t="s">
        <v>811</v>
      </c>
      <c r="K23" s="795" t="s">
        <v>779</v>
      </c>
      <c r="L23" s="796" t="s">
        <v>305</v>
      </c>
      <c r="M23" s="797" t="s">
        <v>3873</v>
      </c>
      <c r="N23" s="798" t="s">
        <v>3871</v>
      </c>
      <c r="O23" s="148"/>
      <c r="P23" s="161">
        <f>SUM(Q23:AP23)</f>
      </c>
      <c r="Q23" s="161"/>
      <c r="R23" s="161"/>
      <c r="S23" s="161"/>
      <c r="T23" s="161"/>
      <c r="U23" s="161"/>
      <c r="V23" s="799" t="n">
        <v>2000.0</v>
      </c>
      <c r="W23" s="161"/>
      <c r="X23" s="161"/>
      <c r="Y23" s="161"/>
      <c r="Z23" s="161"/>
      <c r="AA23" s="161"/>
      <c r="AB23" s="161"/>
      <c r="AC23" s="161"/>
      <c r="AD23" s="161"/>
      <c r="AE23" s="161"/>
      <c r="AF23" s="161"/>
      <c r="AG23" s="161"/>
      <c r="AH23" s="161"/>
      <c r="AI23" s="161"/>
      <c r="AJ23" s="161"/>
      <c r="AK23" s="161"/>
      <c r="AL23" s="161"/>
      <c r="AM23" s="161"/>
      <c r="AN23" s="161"/>
      <c r="AO23" s="161"/>
      <c r="AP23" s="161"/>
      <c r="AQ23" s="161">
        <f>SUM(AR23:AU23)</f>
      </c>
      <c r="AR23" s="161"/>
      <c r="AS23" s="161"/>
      <c r="AT23" s="161"/>
      <c r="AU23" s="161"/>
      <c r="AV23" s="161">
        <f>SUM(AW23:BH23)</f>
      </c>
      <c r="AW23" s="161"/>
      <c r="AX23" s="161"/>
      <c r="AY23" s="161"/>
      <c r="AZ23" s="161"/>
      <c r="BA23" s="161"/>
      <c r="BB23" s="161"/>
      <c r="BC23" s="161"/>
      <c r="BD23" s="161"/>
      <c r="BE23" s="161"/>
      <c r="BF23" s="161"/>
      <c r="BG23" s="161"/>
      <c r="BH23" s="161"/>
      <c r="BI23" s="161"/>
      <c r="BJ23" s="161"/>
      <c r="BK23" s="161"/>
      <c r="BL23" s="161"/>
      <c r="BM23" s="161"/>
      <c r="BN23" s="161"/>
      <c r="BO23" s="161"/>
      <c r="BP23" s="161"/>
      <c r="BQ23" s="161"/>
      <c r="BR23" s="161"/>
      <c r="BS23" s="161">
        <f>SUM(BT23:BV23)</f>
      </c>
      <c r="BT23" s="161"/>
      <c r="BU23" s="161"/>
      <c r="BV23" s="161"/>
      <c r="BW23" s="161">
        <f>SUM(BX23:CC23)</f>
      </c>
      <c r="BX23" s="161"/>
      <c r="BY23" s="161"/>
      <c r="BZ23" s="161"/>
      <c r="CA23" s="161"/>
      <c r="CB23" s="161"/>
      <c r="CC23" s="161"/>
      <c r="CD23" s="161"/>
      <c r="CE23" s="161"/>
      <c r="CF23" s="161"/>
      <c r="CG23" s="161"/>
      <c r="CH23" s="161"/>
      <c r="CI23" s="161"/>
      <c r="CJ23" s="161">
        <f>SUM(CK23:CM23)</f>
      </c>
      <c r="CK23" s="161"/>
      <c r="CL23" s="161"/>
      <c r="CM23" s="161"/>
      <c r="CN23" s="161">
        <f>SUM(CO23:CS23)</f>
      </c>
      <c r="CO23" s="161"/>
      <c r="CP23" s="161"/>
      <c r="CQ23" s="161"/>
      <c r="CR23" s="161"/>
      <c r="CS23" s="161"/>
      <c r="CT23" s="161"/>
      <c r="CU23" s="161"/>
      <c r="CV23" s="161"/>
      <c r="CW23" s="161"/>
      <c r="CX23" s="161"/>
      <c r="CY23" s="161"/>
      <c r="CZ23" s="161"/>
      <c r="DA23" s="161"/>
      <c r="DB23" s="161"/>
      <c r="DC23" s="161"/>
      <c r="DD23" s="161"/>
      <c r="DE23" s="161"/>
      <c r="DF23" s="161">
        <f>SUM(DG23:DG23)</f>
      </c>
      <c r="DG23" s="161"/>
      <c r="DH23" s="161"/>
      <c r="DI23" s="161"/>
      <c r="DJ23" s="161">
        <f>SUM(DK23:DP23)</f>
      </c>
      <c r="DK23" s="161"/>
      <c r="DL23" s="161"/>
      <c r="DM23" s="161"/>
      <c r="DN23" s="161"/>
      <c r="DO23" s="161"/>
      <c r="DP23" s="161"/>
      <c r="DQ23" s="161"/>
      <c r="DR23" s="161"/>
      <c r="DS23" s="161"/>
      <c r="DT23" s="161"/>
      <c r="DU23" s="161"/>
      <c r="DV23" s="161"/>
      <c r="DW23" s="161"/>
      <c r="DX23" s="161"/>
      <c r="DY23" s="161"/>
      <c r="DZ23" s="161"/>
      <c r="EA23" s="161"/>
      <c r="EB23" s="161"/>
      <c r="EC23" s="161"/>
      <c r="ED23" s="161"/>
      <c r="EE23" s="161"/>
      <c r="EF23" s="161">
        <f>SUM(EG23:EP23)</f>
      </c>
      <c r="EG23" s="161"/>
      <c r="EH23" s="161"/>
      <c r="EI23" s="161"/>
      <c r="EJ23" s="161"/>
      <c r="EK23" s="161"/>
      <c r="EL23" s="161"/>
      <c r="EM23" s="161"/>
      <c r="EN23" s="161"/>
      <c r="EO23" s="161"/>
      <c r="EP23" s="161"/>
      <c r="EQ23" s="161">
        <f>SUM(ER23:ES23)</f>
      </c>
      <c r="ER23" s="161"/>
      <c r="ES23" s="161"/>
      <c r="ET23" s="161"/>
      <c r="EU23" s="161"/>
      <c r="EV23" s="161"/>
      <c r="EW23" s="161"/>
      <c r="EX23" s="161"/>
      <c r="EY23" s="161"/>
      <c r="EZ23" s="161"/>
      <c r="FA23" s="161"/>
      <c r="FB23" s="161"/>
      <c r="FC23" s="161"/>
      <c r="FD23" s="161"/>
      <c r="FE23" s="161"/>
      <c r="FF23" s="161"/>
      <c r="FG23" s="161"/>
      <c r="FH23" s="163" cm="1">
        <f t="array" ref="FH23">ROW()-ROW(Ongoing[#Headers])</f>
        <v>17</v>
      </c>
      <c r="FI23" s="164" t="s">
        <v>780</v>
      </c>
      <c r="FJ23" s="164" t="s">
        <v>755</v>
      </c>
      <c r="FK23" s="164">
        <v>0</v>
      </c>
      <c r="FL23" s="164" t="s">
        <v>781</v>
      </c>
      <c r="FM23" s="164" t="s">
        <v>790</v>
      </c>
      <c r="FN23" s="164" t="s">
        <v>782</v>
      </c>
      <c r="FO23" s="164" t="s">
        <v>783</v>
      </c>
      <c r="FP23" s="164" t="s">
        <v>759</v>
      </c>
    </row>
    <row r="24" spans="2:172" s="115" customFormat="1" ht="11.25" x14ac:dyDescent="0.2">
      <c r="B24" s="904" t="s">
        <v>1200</v>
      </c>
      <c r="C24" s="905" t="s">
        <v>1201</v>
      </c>
      <c r="D24" s="906" t="s">
        <v>13</v>
      </c>
      <c r="E24" s="907" t="s">
        <v>750</v>
      </c>
      <c r="F24" s="908" t="s">
        <v>1597</v>
      </c>
      <c r="G24" s="909" t="s">
        <v>46</v>
      </c>
      <c r="H24" s="910" t="s">
        <v>41</v>
      </c>
      <c r="I24" s="911" t="s">
        <v>64</v>
      </c>
      <c r="J24" s="912" t="s">
        <v>1617</v>
      </c>
      <c r="K24" s="913" t="s">
        <v>751</v>
      </c>
      <c r="L24" s="914" t="s">
        <v>305</v>
      </c>
      <c r="M24" s="915" t="s">
        <v>3873</v>
      </c>
      <c r="N24" s="916" t="s">
        <v>3878</v>
      </c>
      <c r="O24" s="148"/>
      <c r="P24" s="161">
        <f>SUM(Q24:AP24)</f>
      </c>
      <c r="Q24" s="161"/>
      <c r="R24" s="161"/>
      <c r="S24" s="917" t="n">
        <v>330.0</v>
      </c>
      <c r="T24" s="161"/>
      <c r="U24" s="161"/>
      <c r="V24" s="161"/>
      <c r="W24" s="161"/>
      <c r="X24" s="161"/>
      <c r="Y24" s="161"/>
      <c r="Z24" s="161"/>
      <c r="AA24" s="161"/>
      <c r="AB24" s="161"/>
      <c r="AC24" s="161"/>
      <c r="AD24" s="161"/>
      <c r="AE24" s="161"/>
      <c r="AF24" s="161"/>
      <c r="AG24" s="161"/>
      <c r="AH24" s="161"/>
      <c r="AI24" s="161"/>
      <c r="AJ24" s="161"/>
      <c r="AK24" s="161"/>
      <c r="AL24" s="161"/>
      <c r="AM24" s="161"/>
      <c r="AN24" s="161"/>
      <c r="AO24" s="161"/>
      <c r="AP24" s="161"/>
      <c r="AQ24" s="161">
        <f>SUM(AR24:AU24)</f>
      </c>
      <c r="AR24" s="161"/>
      <c r="AS24" s="161"/>
      <c r="AT24" s="161"/>
      <c r="AU24" s="161"/>
      <c r="AV24" s="161">
        <f>SUM(AW24:BH24)</f>
      </c>
      <c r="AW24" s="161"/>
      <c r="AX24" s="161"/>
      <c r="AY24" s="161"/>
      <c r="AZ24" s="161"/>
      <c r="BA24" s="161"/>
      <c r="BB24" s="161"/>
      <c r="BC24" s="161"/>
      <c r="BD24" s="161"/>
      <c r="BE24" s="161"/>
      <c r="BF24" s="161"/>
      <c r="BG24" s="161"/>
      <c r="BH24" s="161"/>
      <c r="BI24" s="161"/>
      <c r="BJ24" s="161"/>
      <c r="BK24" s="161"/>
      <c r="BL24" s="161"/>
      <c r="BM24" s="161"/>
      <c r="BN24" s="161"/>
      <c r="BO24" s="161"/>
      <c r="BP24" s="161"/>
      <c r="BQ24" s="161"/>
      <c r="BR24" s="161"/>
      <c r="BS24" s="161">
        <f>SUM(BT24:BV24)</f>
      </c>
      <c r="BT24" s="161"/>
      <c r="BU24" s="161"/>
      <c r="BV24" s="161"/>
      <c r="BW24" s="161">
        <f>SUM(BX24:CC24)</f>
      </c>
      <c r="BX24" s="161"/>
      <c r="BY24" s="161"/>
      <c r="BZ24" s="161"/>
      <c r="CA24" s="161"/>
      <c r="CB24" s="161"/>
      <c r="CC24" s="161"/>
      <c r="CD24" s="161"/>
      <c r="CE24" s="161"/>
      <c r="CF24" s="161"/>
      <c r="CG24" s="161"/>
      <c r="CH24" s="161"/>
      <c r="CI24" s="161"/>
      <c r="CJ24" s="161">
        <f>SUM(CK24:CM24)</f>
      </c>
      <c r="CK24" s="161"/>
      <c r="CL24" s="161"/>
      <c r="CM24" s="161"/>
      <c r="CN24" s="161">
        <f>SUM(CO24:CS24)</f>
      </c>
      <c r="CO24" s="161"/>
      <c r="CP24" s="161"/>
      <c r="CQ24" s="161"/>
      <c r="CR24" s="161"/>
      <c r="CS24" s="161"/>
      <c r="CT24" s="161"/>
      <c r="CU24" s="161"/>
      <c r="CV24" s="161"/>
      <c r="CW24" s="161"/>
      <c r="CX24" s="161"/>
      <c r="CY24" s="161"/>
      <c r="CZ24" s="161"/>
      <c r="DA24" s="161"/>
      <c r="DB24" s="161"/>
      <c r="DC24" s="161"/>
      <c r="DD24" s="161"/>
      <c r="DE24" s="161"/>
      <c r="DF24" s="161">
        <f>SUM(DG24:DG24)</f>
      </c>
      <c r="DG24" s="161"/>
      <c r="DH24" s="161"/>
      <c r="DI24" s="161"/>
      <c r="DJ24" s="161">
        <f>SUM(DK24:DP24)</f>
      </c>
      <c r="DK24" s="161"/>
      <c r="DL24" s="161"/>
      <c r="DM24" s="161"/>
      <c r="DN24" s="161"/>
      <c r="DO24" s="161"/>
      <c r="DP24" s="161"/>
      <c r="DQ24" s="161"/>
      <c r="DR24" s="161"/>
      <c r="DS24" s="161"/>
      <c r="DT24" s="161"/>
      <c r="DU24" s="161"/>
      <c r="DV24" s="161"/>
      <c r="DW24" s="161"/>
      <c r="DX24" s="161"/>
      <c r="DY24" s="161"/>
      <c r="DZ24" s="161"/>
      <c r="EA24" s="161"/>
      <c r="EB24" s="161"/>
      <c r="EC24" s="161"/>
      <c r="ED24" s="161"/>
      <c r="EE24" s="161"/>
      <c r="EF24" s="161">
        <f>SUM(EG24:EP24)</f>
      </c>
      <c r="EG24" s="161"/>
      <c r="EH24" s="161"/>
      <c r="EI24" s="161"/>
      <c r="EJ24" s="161"/>
      <c r="EK24" s="161"/>
      <c r="EL24" s="161"/>
      <c r="EM24" s="161"/>
      <c r="EN24" s="161"/>
      <c r="EO24" s="161"/>
      <c r="EP24" s="161"/>
      <c r="EQ24" s="161">
        <f>SUM(ER24:ES24)</f>
      </c>
      <c r="ER24" s="161"/>
      <c r="ES24" s="161"/>
      <c r="ET24" s="161"/>
      <c r="EU24" s="161"/>
      <c r="EV24" s="161"/>
      <c r="EW24" s="161"/>
      <c r="EX24" s="161"/>
      <c r="EY24" s="161"/>
      <c r="EZ24" s="161"/>
      <c r="FA24" s="161"/>
      <c r="FB24" s="161"/>
      <c r="FC24" s="161"/>
      <c r="FD24" s="161"/>
      <c r="FE24" s="161"/>
      <c r="FF24" s="161"/>
      <c r="FG24" s="161"/>
      <c r="FH24" s="163" cm="1">
        <f t="array" ref="FH24">ROW()-ROW(Ongoing[#Headers])</f>
        <v>18</v>
      </c>
      <c r="FI24" s="164" t="s">
        <v>754</v>
      </c>
      <c r="FJ24" s="164" t="s">
        <v>755</v>
      </c>
      <c r="FK24" s="164">
        <v>0</v>
      </c>
      <c r="FL24" s="164" t="s">
        <v>756</v>
      </c>
      <c r="FM24" s="164">
        <v>0</v>
      </c>
      <c r="FN24" s="164" t="s">
        <v>757</v>
      </c>
      <c r="FO24" s="164" t="s">
        <v>758</v>
      </c>
      <c r="FP24" s="164" t="s">
        <v>759</v>
      </c>
    </row>
    <row r="25" spans="2:172" s="115" customFormat="1" ht="11.25" x14ac:dyDescent="0.2">
      <c r="B25" s="947" t="s">
        <v>1439</v>
      </c>
      <c r="C25" s="948" t="s">
        <v>1440</v>
      </c>
      <c r="D25" s="949" t="s">
        <v>13</v>
      </c>
      <c r="E25" s="950" t="s">
        <v>766</v>
      </c>
      <c r="F25" s="951" t="s">
        <v>345</v>
      </c>
      <c r="G25" s="952" t="s">
        <v>46</v>
      </c>
      <c r="H25" s="953" t="s">
        <v>41</v>
      </c>
      <c r="I25" s="954" t="s">
        <v>68</v>
      </c>
      <c r="J25" s="955" t="s">
        <v>1672</v>
      </c>
      <c r="K25" s="956" t="s">
        <v>767</v>
      </c>
      <c r="L25" s="957" t="s">
        <v>1392</v>
      </c>
      <c r="M25" s="958" t="s">
        <v>3873</v>
      </c>
      <c r="N25" s="959" t="s">
        <v>3871</v>
      </c>
      <c r="O25" s="148"/>
      <c r="P25" s="161">
        <f>SUM(Q25:AP25)</f>
      </c>
      <c r="Q25" s="161"/>
      <c r="R25" s="161"/>
      <c r="S25" s="161"/>
      <c r="T25" s="161"/>
      <c r="U25" s="161"/>
      <c r="V25" s="161"/>
      <c r="W25" s="161"/>
      <c r="X25" s="161"/>
      <c r="Y25" s="161"/>
      <c r="Z25" s="161"/>
      <c r="AA25" s="161"/>
      <c r="AB25" s="161"/>
      <c r="AC25" s="161"/>
      <c r="AD25" s="161"/>
      <c r="AE25" s="161"/>
      <c r="AF25" s="960" t="n">
        <v>900.0</v>
      </c>
      <c r="AG25" s="161"/>
      <c r="AH25" s="161"/>
      <c r="AI25" s="161"/>
      <c r="AJ25" s="161"/>
      <c r="AK25" s="161"/>
      <c r="AL25" s="161"/>
      <c r="AM25" s="161"/>
      <c r="AN25" s="161"/>
      <c r="AO25" s="161"/>
      <c r="AP25" s="161"/>
      <c r="AQ25" s="161">
        <f>SUM(AR25:AU25)</f>
      </c>
      <c r="AR25" s="161"/>
      <c r="AS25" s="161"/>
      <c r="AT25" s="161"/>
      <c r="AU25" s="161"/>
      <c r="AV25" s="161">
        <f>SUM(AW25:BH25)</f>
      </c>
      <c r="AW25" s="161"/>
      <c r="AX25" s="161"/>
      <c r="AY25" s="161"/>
      <c r="AZ25" s="161"/>
      <c r="BA25" s="161"/>
      <c r="BB25" s="161"/>
      <c r="BC25" s="161"/>
      <c r="BD25" s="161"/>
      <c r="BE25" s="161"/>
      <c r="BF25" s="161"/>
      <c r="BG25" s="161"/>
      <c r="BH25" s="161"/>
      <c r="BI25" s="161"/>
      <c r="BJ25" s="161"/>
      <c r="BK25" s="161"/>
      <c r="BL25" s="161"/>
      <c r="BM25" s="161"/>
      <c r="BN25" s="161"/>
      <c r="BO25" s="161"/>
      <c r="BP25" s="161"/>
      <c r="BQ25" s="161"/>
      <c r="BR25" s="161"/>
      <c r="BS25" s="161">
        <f>SUM(BT25:BV25)</f>
      </c>
      <c r="BT25" s="161"/>
      <c r="BU25" s="161"/>
      <c r="BV25" s="161"/>
      <c r="BW25" s="161">
        <f>SUM(BX25:CC25)</f>
      </c>
      <c r="BX25" s="161"/>
      <c r="BY25" s="161"/>
      <c r="BZ25" s="161"/>
      <c r="CA25" s="161"/>
      <c r="CB25" s="161"/>
      <c r="CC25" s="161"/>
      <c r="CD25" s="161"/>
      <c r="CE25" s="161"/>
      <c r="CF25" s="161"/>
      <c r="CG25" s="161"/>
      <c r="CH25" s="161"/>
      <c r="CI25" s="161"/>
      <c r="CJ25" s="161">
        <f>SUM(CK25:CM25)</f>
      </c>
      <c r="CK25" s="161"/>
      <c r="CL25" s="161"/>
      <c r="CM25" s="161"/>
      <c r="CN25" s="161">
        <f>SUM(CO25:CS25)</f>
      </c>
      <c r="CO25" s="161"/>
      <c r="CP25" s="161"/>
      <c r="CQ25" s="161"/>
      <c r="CR25" s="161"/>
      <c r="CS25" s="161"/>
      <c r="CT25" s="161"/>
      <c r="CU25" s="161"/>
      <c r="CV25" s="161"/>
      <c r="CW25" s="161"/>
      <c r="CX25" s="161"/>
      <c r="CY25" s="161"/>
      <c r="CZ25" s="161"/>
      <c r="DA25" s="161"/>
      <c r="DB25" s="161"/>
      <c r="DC25" s="161"/>
      <c r="DD25" s="161"/>
      <c r="DE25" s="161"/>
      <c r="DF25" s="161">
        <f>SUM(DG25:DG25)</f>
      </c>
      <c r="DG25" s="161"/>
      <c r="DH25" s="161"/>
      <c r="DI25" s="161"/>
      <c r="DJ25" s="161">
        <f>SUM(DK25:DP25)</f>
      </c>
      <c r="DK25" s="161"/>
      <c r="DL25" s="161"/>
      <c r="DM25" s="161"/>
      <c r="DN25" s="161"/>
      <c r="DO25" s="161"/>
      <c r="DP25" s="161"/>
      <c r="DQ25" s="161"/>
      <c r="DR25" s="161"/>
      <c r="DS25" s="161"/>
      <c r="DT25" s="161"/>
      <c r="DU25" s="161"/>
      <c r="DV25" s="161"/>
      <c r="DW25" s="161"/>
      <c r="DX25" s="161"/>
      <c r="DY25" s="161"/>
      <c r="DZ25" s="161"/>
      <c r="EA25" s="161"/>
      <c r="EB25" s="161"/>
      <c r="EC25" s="161"/>
      <c r="ED25" s="161"/>
      <c r="EE25" s="161"/>
      <c r="EF25" s="161">
        <f>SUM(EG25:EP25)</f>
      </c>
      <c r="EG25" s="161"/>
      <c r="EH25" s="161"/>
      <c r="EI25" s="161"/>
      <c r="EJ25" s="161"/>
      <c r="EK25" s="161"/>
      <c r="EL25" s="161"/>
      <c r="EM25" s="161"/>
      <c r="EN25" s="161"/>
      <c r="EO25" s="161"/>
      <c r="EP25" s="161"/>
      <c r="EQ25" s="161">
        <f>SUM(ER25:ES25)</f>
      </c>
      <c r="ER25" s="161"/>
      <c r="ES25" s="161"/>
      <c r="ET25" s="161"/>
      <c r="EU25" s="161"/>
      <c r="EV25" s="161"/>
      <c r="EW25" s="161"/>
      <c r="EX25" s="161"/>
      <c r="EY25" s="161"/>
      <c r="EZ25" s="161"/>
      <c r="FA25" s="161"/>
      <c r="FB25" s="161"/>
      <c r="FC25" s="161"/>
      <c r="FD25" s="161"/>
      <c r="FE25" s="161"/>
      <c r="FF25" s="161"/>
      <c r="FG25" s="161"/>
      <c r="FH25" s="163" cm="1">
        <f t="array" ref="FH25">ROW()-ROW(Ongoing[#Headers])</f>
        <v>19</v>
      </c>
      <c r="FI25" s="164" t="s">
        <v>768</v>
      </c>
      <c r="FJ25" s="164" t="s">
        <v>755</v>
      </c>
      <c r="FK25" s="164">
        <v>0</v>
      </c>
      <c r="FL25" s="164" t="s">
        <v>769</v>
      </c>
      <c r="FM25" s="164">
        <v>0</v>
      </c>
      <c r="FN25" s="164" t="s">
        <v>770</v>
      </c>
      <c r="FO25" s="164" t="s">
        <v>801</v>
      </c>
      <c r="FP25" s="164" t="s">
        <v>759</v>
      </c>
    </row>
    <row r="26" spans="2:172" s="115" customFormat="1" ht="11.25" x14ac:dyDescent="0.2">
      <c r="B26" s="975" t="s">
        <v>1321</v>
      </c>
      <c r="C26" s="976" t="s">
        <v>1322</v>
      </c>
      <c r="D26" s="977" t="s">
        <v>13</v>
      </c>
      <c r="E26" s="978" t="s">
        <v>1262</v>
      </c>
      <c r="F26" s="979" t="s">
        <v>1597</v>
      </c>
      <c r="G26" s="980" t="s">
        <v>46</v>
      </c>
      <c r="H26" s="981" t="s">
        <v>41</v>
      </c>
      <c r="I26" s="982" t="s">
        <v>64</v>
      </c>
      <c r="J26" s="983" t="s">
        <v>1617</v>
      </c>
      <c r="K26" s="984" t="s">
        <v>751</v>
      </c>
      <c r="L26" s="985" t="s">
        <v>305</v>
      </c>
      <c r="M26" s="986" t="s">
        <v>3867</v>
      </c>
      <c r="N26" s="987" t="s">
        <v>3871</v>
      </c>
      <c r="O26" s="148"/>
      <c r="P26" s="161">
        <f>SUM(Q26:AP26)</f>
      </c>
      <c r="Q26" s="161"/>
      <c r="R26" s="161"/>
      <c r="S26" s="161"/>
      <c r="T26" s="988" t="n">
        <v>150.0</v>
      </c>
      <c r="U26" s="161"/>
      <c r="V26" s="161"/>
      <c r="W26" s="161"/>
      <c r="X26" s="161"/>
      <c r="Y26" s="161"/>
      <c r="Z26" s="161"/>
      <c r="AA26" s="161"/>
      <c r="AB26" s="161"/>
      <c r="AC26" s="161"/>
      <c r="AD26" s="161"/>
      <c r="AE26" s="161"/>
      <c r="AF26" s="161"/>
      <c r="AG26" s="161"/>
      <c r="AH26" s="161"/>
      <c r="AI26" s="161"/>
      <c r="AJ26" s="161"/>
      <c r="AK26" s="161"/>
      <c r="AL26" s="161"/>
      <c r="AM26" s="161"/>
      <c r="AN26" s="161"/>
      <c r="AO26" s="161"/>
      <c r="AP26" s="161"/>
      <c r="AQ26" s="161">
        <f>SUM(AR26:AU26)</f>
      </c>
      <c r="AR26" s="161"/>
      <c r="AS26" s="161"/>
      <c r="AT26" s="161"/>
      <c r="AU26" s="161"/>
      <c r="AV26" s="161">
        <f>SUM(AW26:BH26)</f>
      </c>
      <c r="AW26" s="161"/>
      <c r="AX26" s="161"/>
      <c r="AY26" s="161"/>
      <c r="AZ26" s="161"/>
      <c r="BA26" s="161"/>
      <c r="BB26" s="161"/>
      <c r="BC26" s="161"/>
      <c r="BD26" s="161"/>
      <c r="BE26" s="161"/>
      <c r="BF26" s="161"/>
      <c r="BG26" s="161"/>
      <c r="BH26" s="161"/>
      <c r="BI26" s="161"/>
      <c r="BJ26" s="161"/>
      <c r="BK26" s="161"/>
      <c r="BL26" s="161"/>
      <c r="BM26" s="161"/>
      <c r="BN26" s="161"/>
      <c r="BO26" s="161"/>
      <c r="BP26" s="161"/>
      <c r="BQ26" s="161"/>
      <c r="BR26" s="161"/>
      <c r="BS26" s="161">
        <f>SUM(BT26:BV26)</f>
      </c>
      <c r="BT26" s="161"/>
      <c r="BU26" s="161"/>
      <c r="BV26" s="161"/>
      <c r="BW26" s="161">
        <f>SUM(BX26:CC26)</f>
      </c>
      <c r="BX26" s="161"/>
      <c r="BY26" s="161"/>
      <c r="BZ26" s="161"/>
      <c r="CA26" s="161"/>
      <c r="CB26" s="161"/>
      <c r="CC26" s="161"/>
      <c r="CD26" s="161"/>
      <c r="CE26" s="161"/>
      <c r="CF26" s="161"/>
      <c r="CG26" s="161"/>
      <c r="CH26" s="161"/>
      <c r="CI26" s="161"/>
      <c r="CJ26" s="161">
        <f>SUM(CK26:CM26)</f>
      </c>
      <c r="CK26" s="161"/>
      <c r="CL26" s="161"/>
      <c r="CM26" s="161"/>
      <c r="CN26" s="161">
        <f>SUM(CO26:CS26)</f>
      </c>
      <c r="CO26" s="161"/>
      <c r="CP26" s="161"/>
      <c r="CQ26" s="161"/>
      <c r="CR26" s="161"/>
      <c r="CS26" s="161"/>
      <c r="CT26" s="161"/>
      <c r="CU26" s="161"/>
      <c r="CV26" s="161"/>
      <c r="CW26" s="161"/>
      <c r="CX26" s="161"/>
      <c r="CY26" s="161"/>
      <c r="CZ26" s="161"/>
      <c r="DA26" s="161"/>
      <c r="DB26" s="161"/>
      <c r="DC26" s="161"/>
      <c r="DD26" s="161"/>
      <c r="DE26" s="161"/>
      <c r="DF26" s="161">
        <f>SUM(DG26:DG26)</f>
      </c>
      <c r="DG26" s="161"/>
      <c r="DH26" s="161"/>
      <c r="DI26" s="161"/>
      <c r="DJ26" s="161">
        <f>SUM(DK26:DP26)</f>
      </c>
      <c r="DK26" s="161"/>
      <c r="DL26" s="161"/>
      <c r="DM26" s="161"/>
      <c r="DN26" s="161"/>
      <c r="DO26" s="161"/>
      <c r="DP26" s="161"/>
      <c r="DQ26" s="161"/>
      <c r="DR26" s="161"/>
      <c r="DS26" s="161"/>
      <c r="DT26" s="161"/>
      <c r="DU26" s="161"/>
      <c r="DV26" s="161"/>
      <c r="DW26" s="161"/>
      <c r="DX26" s="161"/>
      <c r="DY26" s="161"/>
      <c r="DZ26" s="161"/>
      <c r="EA26" s="161"/>
      <c r="EB26" s="161"/>
      <c r="EC26" s="161"/>
      <c r="ED26" s="161"/>
      <c r="EE26" s="161"/>
      <c r="EF26" s="161">
        <f>SUM(EG26:EP26)</f>
      </c>
      <c r="EG26" s="161"/>
      <c r="EH26" s="161"/>
      <c r="EI26" s="161"/>
      <c r="EJ26" s="161"/>
      <c r="EK26" s="161"/>
      <c r="EL26" s="161"/>
      <c r="EM26" s="161"/>
      <c r="EN26" s="161"/>
      <c r="EO26" s="161"/>
      <c r="EP26" s="161"/>
      <c r="EQ26" s="161">
        <f>SUM(ER26:ES26)</f>
      </c>
      <c r="ER26" s="161"/>
      <c r="ES26" s="161"/>
      <c r="ET26" s="161"/>
      <c r="EU26" s="161"/>
      <c r="EV26" s="161"/>
      <c r="EW26" s="161"/>
      <c r="EX26" s="161"/>
      <c r="EY26" s="161"/>
      <c r="EZ26" s="161"/>
      <c r="FA26" s="161"/>
      <c r="FB26" s="161"/>
      <c r="FC26" s="161"/>
      <c r="FD26" s="161"/>
      <c r="FE26" s="161"/>
      <c r="FF26" s="161"/>
      <c r="FG26" s="161"/>
      <c r="FH26" s="163" cm="1">
        <f t="array" ref="FH26">ROW()-ROW(Ongoing[#Headers])</f>
        <v>20</v>
      </c>
      <c r="FI26" s="164" t="s">
        <v>768</v>
      </c>
      <c r="FJ26" s="164" t="s">
        <v>755</v>
      </c>
      <c r="FK26" s="164">
        <v>0</v>
      </c>
      <c r="FL26" s="164" t="s">
        <v>769</v>
      </c>
      <c r="FM26" s="164">
        <v>0</v>
      </c>
      <c r="FN26" s="164">
        <v>0</v>
      </c>
      <c r="FO26" s="164">
        <v>0</v>
      </c>
      <c r="FP26" s="164">
        <v>0</v>
      </c>
    </row>
    <row r="27" spans="2:172" s="115" customFormat="1" ht="11.25" x14ac:dyDescent="0.2">
      <c r="B27" s="992" t="s">
        <v>1458</v>
      </c>
      <c r="C27" s="993" t="s">
        <v>2095</v>
      </c>
      <c r="D27" s="994" t="s">
        <v>13</v>
      </c>
      <c r="E27" s="995" t="s">
        <v>810</v>
      </c>
      <c r="F27" s="996" t="s">
        <v>345</v>
      </c>
      <c r="G27" s="997" t="s">
        <v>46</v>
      </c>
      <c r="H27" s="998" t="s">
        <v>305</v>
      </c>
      <c r="I27" s="999" t="s">
        <v>71</v>
      </c>
      <c r="J27" s="1000" t="s">
        <v>1622</v>
      </c>
      <c r="K27" s="1001" t="s">
        <v>779</v>
      </c>
      <c r="L27" s="1002" t="s">
        <v>1416</v>
      </c>
      <c r="M27" s="1003" t="s">
        <v>3873</v>
      </c>
      <c r="N27" s="1004" t="s">
        <v>3876</v>
      </c>
      <c r="O27" s="148"/>
      <c r="P27" s="161">
        <f>SUM(Q27:AP27)</f>
      </c>
      <c r="Q27" s="161"/>
      <c r="R27" s="161"/>
      <c r="S27" s="161"/>
      <c r="T27" s="161"/>
      <c r="U27" s="161"/>
      <c r="V27" s="161"/>
      <c r="W27" s="161"/>
      <c r="X27" s="161"/>
      <c r="Y27" s="161"/>
      <c r="Z27" s="161"/>
      <c r="AA27" s="161"/>
      <c r="AB27" s="161"/>
      <c r="AC27" s="161"/>
      <c r="AD27" s="161"/>
      <c r="AE27" s="161"/>
      <c r="AF27" s="161"/>
      <c r="AG27" s="161"/>
      <c r="AH27" s="161"/>
      <c r="AI27" s="161"/>
      <c r="AJ27" s="161"/>
      <c r="AK27" s="161"/>
      <c r="AL27" s="161"/>
      <c r="AM27" s="1005" t="n">
        <v>60.0</v>
      </c>
      <c r="AN27" s="161"/>
      <c r="AO27" s="161"/>
      <c r="AP27" s="161"/>
      <c r="AQ27" s="161">
        <f>SUM(AR27:AU27)</f>
      </c>
      <c r="AR27" s="161"/>
      <c r="AS27" s="161"/>
      <c r="AT27" s="161"/>
      <c r="AU27" s="161"/>
      <c r="AV27" s="161">
        <f>SUM(AW27:BH27)</f>
      </c>
      <c r="AW27" s="161"/>
      <c r="AX27" s="161"/>
      <c r="AY27" s="161"/>
      <c r="AZ27" s="161"/>
      <c r="BA27" s="161"/>
      <c r="BB27" s="161"/>
      <c r="BC27" s="161"/>
      <c r="BD27" s="161"/>
      <c r="BE27" s="161"/>
      <c r="BF27" s="161"/>
      <c r="BG27" s="161"/>
      <c r="BH27" s="161"/>
      <c r="BI27" s="161"/>
      <c r="BJ27" s="161"/>
      <c r="BK27" s="161"/>
      <c r="BL27" s="161"/>
      <c r="BM27" s="161"/>
      <c r="BN27" s="161"/>
      <c r="BO27" s="161"/>
      <c r="BP27" s="161"/>
      <c r="BQ27" s="161"/>
      <c r="BR27" s="161"/>
      <c r="BS27" s="161">
        <f>SUM(BT27:BV27)</f>
      </c>
      <c r="BT27" s="161"/>
      <c r="BU27" s="161"/>
      <c r="BV27" s="161"/>
      <c r="BW27" s="161">
        <f>SUM(BX27:CC27)</f>
      </c>
      <c r="BX27" s="161"/>
      <c r="BY27" s="161"/>
      <c r="BZ27" s="161"/>
      <c r="CA27" s="161"/>
      <c r="CB27" s="161"/>
      <c r="CC27" s="161"/>
      <c r="CD27" s="161"/>
      <c r="CE27" s="161"/>
      <c r="CF27" s="161"/>
      <c r="CG27" s="161"/>
      <c r="CH27" s="161"/>
      <c r="CI27" s="161"/>
      <c r="CJ27" s="161">
        <f>SUM(CK27:CM27)</f>
      </c>
      <c r="CK27" s="161"/>
      <c r="CL27" s="161"/>
      <c r="CM27" s="161"/>
      <c r="CN27" s="161">
        <f>SUM(CO27:CS27)</f>
      </c>
      <c r="CO27" s="161"/>
      <c r="CP27" s="161"/>
      <c r="CQ27" s="161"/>
      <c r="CR27" s="161"/>
      <c r="CS27" s="161"/>
      <c r="CT27" s="161"/>
      <c r="CU27" s="161"/>
      <c r="CV27" s="161"/>
      <c r="CW27" s="161"/>
      <c r="CX27" s="161"/>
      <c r="CY27" s="161"/>
      <c r="CZ27" s="161"/>
      <c r="DA27" s="161"/>
      <c r="DB27" s="161"/>
      <c r="DC27" s="161"/>
      <c r="DD27" s="161"/>
      <c r="DE27" s="161"/>
      <c r="DF27" s="161">
        <f>SUM(DG27:DG27)</f>
      </c>
      <c r="DG27" s="161"/>
      <c r="DH27" s="161"/>
      <c r="DI27" s="161"/>
      <c r="DJ27" s="161">
        <f>SUM(DK27:DP27)</f>
      </c>
      <c r="DK27" s="161"/>
      <c r="DL27" s="161"/>
      <c r="DM27" s="161"/>
      <c r="DN27" s="161"/>
      <c r="DO27" s="161"/>
      <c r="DP27" s="161"/>
      <c r="DQ27" s="161"/>
      <c r="DR27" s="161"/>
      <c r="DS27" s="161"/>
      <c r="DT27" s="161"/>
      <c r="DU27" s="161"/>
      <c r="DV27" s="161"/>
      <c r="DW27" s="161"/>
      <c r="DX27" s="161"/>
      <c r="DY27" s="161"/>
      <c r="DZ27" s="161"/>
      <c r="EA27" s="161"/>
      <c r="EB27" s="161"/>
      <c r="EC27" s="161"/>
      <c r="ED27" s="161"/>
      <c r="EE27" s="161"/>
      <c r="EF27" s="161">
        <f>SUM(EG27:EP27)</f>
      </c>
      <c r="EG27" s="161"/>
      <c r="EH27" s="161"/>
      <c r="EI27" s="161"/>
      <c r="EJ27" s="161"/>
      <c r="EK27" s="161"/>
      <c r="EL27" s="161"/>
      <c r="EM27" s="161"/>
      <c r="EN27" s="161"/>
      <c r="EO27" s="161"/>
      <c r="EP27" s="161"/>
      <c r="EQ27" s="161">
        <f>SUM(ER27:ES27)</f>
      </c>
      <c r="ER27" s="161"/>
      <c r="ES27" s="161"/>
      <c r="ET27" s="161"/>
      <c r="EU27" s="161"/>
      <c r="EV27" s="161"/>
      <c r="EW27" s="161"/>
      <c r="EX27" s="161"/>
      <c r="EY27" s="161"/>
      <c r="EZ27" s="161"/>
      <c r="FA27" s="161"/>
      <c r="FB27" s="161"/>
      <c r="FC27" s="161"/>
      <c r="FD27" s="161"/>
      <c r="FE27" s="161"/>
      <c r="FF27" s="161"/>
      <c r="FG27" s="161"/>
      <c r="FH27" s="163" cm="1">
        <f t="array" ref="FH27">ROW()-ROW(Ongoing[#Headers])</f>
        <v>21</v>
      </c>
      <c r="FI27" s="164" t="s">
        <v>768</v>
      </c>
      <c r="FJ27" s="164" t="s">
        <v>755</v>
      </c>
      <c r="FK27" s="164">
        <v>0</v>
      </c>
      <c r="FL27" s="164" t="s">
        <v>769</v>
      </c>
      <c r="FM27" s="164">
        <v>0</v>
      </c>
      <c r="FN27" s="164" t="s">
        <v>770</v>
      </c>
      <c r="FO27" s="164" t="s">
        <v>771</v>
      </c>
      <c r="FP27" s="164" t="s">
        <v>759</v>
      </c>
    </row>
    <row r="28" spans="2:172" s="115" customFormat="1" ht="11.25" x14ac:dyDescent="0.2">
      <c r="B28" s="1034" t="s">
        <v>1443</v>
      </c>
      <c r="C28" s="1035" t="s">
        <v>1444</v>
      </c>
      <c r="D28" s="1036" t="s">
        <v>13</v>
      </c>
      <c r="E28" s="1037" t="s">
        <v>1671</v>
      </c>
      <c r="F28" s="1038" t="s">
        <v>345</v>
      </c>
      <c r="G28" s="1039" t="s">
        <v>46</v>
      </c>
      <c r="H28" s="1040" t="s">
        <v>41</v>
      </c>
      <c r="I28" s="1041" t="s">
        <v>68</v>
      </c>
      <c r="J28" s="1042" t="s">
        <v>1672</v>
      </c>
      <c r="K28" s="1043" t="s">
        <v>767</v>
      </c>
      <c r="L28" s="1044" t="s">
        <v>1392</v>
      </c>
      <c r="M28" s="1045" t="s">
        <v>3873</v>
      </c>
      <c r="N28" s="1046" t="s">
        <v>3874</v>
      </c>
      <c r="O28" s="148"/>
      <c r="P28" s="161">
        <f>SUM(Q28:AP28)</f>
      </c>
      <c r="Q28" s="161"/>
      <c r="R28" s="161"/>
      <c r="S28" s="161"/>
      <c r="T28" s="161"/>
      <c r="U28" s="161"/>
      <c r="V28" s="161"/>
      <c r="W28" s="161"/>
      <c r="X28" s="161"/>
      <c r="Y28" s="161"/>
      <c r="Z28" s="161"/>
      <c r="AA28" s="161"/>
      <c r="AB28" s="161"/>
      <c r="AC28" s="161"/>
      <c r="AD28" s="161"/>
      <c r="AE28" s="161"/>
      <c r="AF28" s="161"/>
      <c r="AG28" s="161"/>
      <c r="AH28" s="161"/>
      <c r="AI28" s="161"/>
      <c r="AJ28" s="161"/>
      <c r="AK28" s="161"/>
      <c r="AL28" s="161"/>
      <c r="AM28" s="1047" t="n">
        <v>600.0</v>
      </c>
      <c r="AN28" s="161"/>
      <c r="AO28" s="161"/>
      <c r="AP28" s="161"/>
      <c r="AQ28" s="161">
        <f>SUM(AR28:AU28)</f>
      </c>
      <c r="AR28" s="161"/>
      <c r="AS28" s="161"/>
      <c r="AT28" s="161"/>
      <c r="AU28" s="161"/>
      <c r="AV28" s="161">
        <f>SUM(AW28:BH28)</f>
      </c>
      <c r="AW28" s="161"/>
      <c r="AX28" s="161"/>
      <c r="AY28" s="161"/>
      <c r="AZ28" s="161"/>
      <c r="BA28" s="161"/>
      <c r="BB28" s="161"/>
      <c r="BC28" s="161"/>
      <c r="BD28" s="161"/>
      <c r="BE28" s="161"/>
      <c r="BF28" s="161"/>
      <c r="BG28" s="161"/>
      <c r="BH28" s="161"/>
      <c r="BI28" s="161"/>
      <c r="BJ28" s="161"/>
      <c r="BK28" s="161"/>
      <c r="BL28" s="161"/>
      <c r="BM28" s="161"/>
      <c r="BN28" s="161"/>
      <c r="BO28" s="161"/>
      <c r="BP28" s="161"/>
      <c r="BQ28" s="161"/>
      <c r="BR28" s="161"/>
      <c r="BS28" s="161">
        <f>SUM(BT28:BV28)</f>
      </c>
      <c r="BT28" s="161"/>
      <c r="BU28" s="161"/>
      <c r="BV28" s="161"/>
      <c r="BW28" s="161">
        <f>SUM(BX28:CC28)</f>
      </c>
      <c r="BX28" s="161"/>
      <c r="BY28" s="161"/>
      <c r="BZ28" s="161"/>
      <c r="CA28" s="161"/>
      <c r="CB28" s="161"/>
      <c r="CC28" s="161"/>
      <c r="CD28" s="161"/>
      <c r="CE28" s="161"/>
      <c r="CF28" s="161"/>
      <c r="CG28" s="161"/>
      <c r="CH28" s="161"/>
      <c r="CI28" s="161"/>
      <c r="CJ28" s="161">
        <f>SUM(CK28:CM28)</f>
      </c>
      <c r="CK28" s="161"/>
      <c r="CL28" s="161"/>
      <c r="CM28" s="161"/>
      <c r="CN28" s="161">
        <f>SUM(CO28:CS28)</f>
      </c>
      <c r="CO28" s="161"/>
      <c r="CP28" s="161"/>
      <c r="CQ28" s="161"/>
      <c r="CR28" s="161"/>
      <c r="CS28" s="161"/>
      <c r="CT28" s="161"/>
      <c r="CU28" s="161"/>
      <c r="CV28" s="161"/>
      <c r="CW28" s="161"/>
      <c r="CX28" s="161"/>
      <c r="CY28" s="161"/>
      <c r="CZ28" s="161"/>
      <c r="DA28" s="161"/>
      <c r="DB28" s="161"/>
      <c r="DC28" s="161"/>
      <c r="DD28" s="161"/>
      <c r="DE28" s="161"/>
      <c r="DF28" s="161">
        <f>SUM(DG28:DG28)</f>
      </c>
      <c r="DG28" s="161"/>
      <c r="DH28" s="161"/>
      <c r="DI28" s="161"/>
      <c r="DJ28" s="161">
        <f>SUM(DK28:DP28)</f>
      </c>
      <c r="DK28" s="161"/>
      <c r="DL28" s="161"/>
      <c r="DM28" s="161"/>
      <c r="DN28" s="161"/>
      <c r="DO28" s="161"/>
      <c r="DP28" s="161"/>
      <c r="DQ28" s="161"/>
      <c r="DR28" s="161"/>
      <c r="DS28" s="161"/>
      <c r="DT28" s="161"/>
      <c r="DU28" s="161"/>
      <c r="DV28" s="161"/>
      <c r="DW28" s="161"/>
      <c r="DX28" s="161"/>
      <c r="DY28" s="161"/>
      <c r="DZ28" s="161"/>
      <c r="EA28" s="161"/>
      <c r="EB28" s="161"/>
      <c r="EC28" s="161"/>
      <c r="ED28" s="161"/>
      <c r="EE28" s="161"/>
      <c r="EF28" s="161">
        <f>SUM(EG28:EP28)</f>
      </c>
      <c r="EG28" s="161"/>
      <c r="EH28" s="161"/>
      <c r="EI28" s="161"/>
      <c r="EJ28" s="161"/>
      <c r="EK28" s="161"/>
      <c r="EL28" s="161"/>
      <c r="EM28" s="161"/>
      <c r="EN28" s="161"/>
      <c r="EO28" s="161"/>
      <c r="EP28" s="161"/>
      <c r="EQ28" s="161">
        <f>SUM(ER28:ES28)</f>
      </c>
      <c r="ER28" s="161"/>
      <c r="ES28" s="161"/>
      <c r="ET28" s="161"/>
      <c r="EU28" s="161"/>
      <c r="EV28" s="161"/>
      <c r="EW28" s="161"/>
      <c r="EX28" s="161"/>
      <c r="EY28" s="161"/>
      <c r="EZ28" s="161"/>
      <c r="FA28" s="161"/>
      <c r="FB28" s="161"/>
      <c r="FC28" s="161"/>
      <c r="FD28" s="161"/>
      <c r="FE28" s="161"/>
      <c r="FF28" s="161"/>
      <c r="FG28" s="161"/>
      <c r="FH28" s="163" cm="1">
        <f t="array" ref="FH28">ROW()-ROW(Ongoing[#Headers])</f>
        <v>22</v>
      </c>
      <c r="FI28" s="164" t="s">
        <v>768</v>
      </c>
      <c r="FJ28" s="164" t="s">
        <v>755</v>
      </c>
      <c r="FK28" s="164">
        <v>0</v>
      </c>
      <c r="FL28" s="164" t="s">
        <v>769</v>
      </c>
      <c r="FM28" s="164">
        <v>0</v>
      </c>
      <c r="FN28" s="164">
        <v>0</v>
      </c>
      <c r="FO28" s="164">
        <v>0</v>
      </c>
      <c r="FP28" s="164">
        <v>0</v>
      </c>
    </row>
    <row r="29" spans="2:172" s="115" customFormat="1" ht="11.25" x14ac:dyDescent="0.2">
      <c r="B29" s="1048" t="s">
        <v>1153</v>
      </c>
      <c r="C29" s="1049" t="s">
        <v>1154</v>
      </c>
      <c r="D29" s="1050" t="s">
        <v>35</v>
      </c>
      <c r="E29" s="1051" t="s">
        <v>750</v>
      </c>
      <c r="F29" s="1052" t="s">
        <v>1597</v>
      </c>
      <c r="G29" s="1053" t="s">
        <v>49</v>
      </c>
      <c r="H29" s="1054" t="s">
        <v>43</v>
      </c>
      <c r="I29" s="1055" t="s">
        <v>64</v>
      </c>
      <c r="J29" s="1056" t="s">
        <v>1617</v>
      </c>
      <c r="K29" s="1057" t="s">
        <v>751</v>
      </c>
      <c r="L29" s="1058" t="s">
        <v>305</v>
      </c>
      <c r="M29" s="1059" t="s">
        <v>3873</v>
      </c>
      <c r="N29" s="1060" t="s">
        <v>3871</v>
      </c>
      <c r="O29" s="148"/>
      <c r="P29" s="161">
        <f>SUM(Q29:AP29)</f>
      </c>
      <c r="Q29" s="161"/>
      <c r="R29" s="161"/>
      <c r="S29" s="1061" t="n">
        <v>870.0</v>
      </c>
      <c r="T29" s="161"/>
      <c r="U29" s="161"/>
      <c r="V29" s="161"/>
      <c r="W29" s="161"/>
      <c r="X29" s="161"/>
      <c r="Y29" s="161"/>
      <c r="Z29" s="161"/>
      <c r="AA29" s="161"/>
      <c r="AB29" s="161"/>
      <c r="AC29" s="161"/>
      <c r="AD29" s="161"/>
      <c r="AE29" s="161"/>
      <c r="AF29" s="161"/>
      <c r="AG29" s="161"/>
      <c r="AH29" s="161"/>
      <c r="AI29" s="161"/>
      <c r="AJ29" s="161"/>
      <c r="AK29" s="161"/>
      <c r="AL29" s="161"/>
      <c r="AM29" s="161"/>
      <c r="AN29" s="161"/>
      <c r="AO29" s="161"/>
      <c r="AP29" s="161"/>
      <c r="AQ29" s="161">
        <f>SUM(AR29:AU29)</f>
      </c>
      <c r="AR29" s="161"/>
      <c r="AS29" s="161"/>
      <c r="AT29" s="161"/>
      <c r="AU29" s="161"/>
      <c r="AV29" s="161">
        <f>SUM(AW29:BH29)</f>
      </c>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f>SUM(BT29:BV29)</f>
      </c>
      <c r="BT29" s="161"/>
      <c r="BU29" s="161"/>
      <c r="BV29" s="161"/>
      <c r="BW29" s="161">
        <f>SUM(BX29:CC29)</f>
      </c>
      <c r="BX29" s="161"/>
      <c r="BY29" s="161"/>
      <c r="BZ29" s="161"/>
      <c r="CA29" s="161"/>
      <c r="CB29" s="161"/>
      <c r="CC29" s="161"/>
      <c r="CD29" s="161"/>
      <c r="CE29" s="161"/>
      <c r="CF29" s="161"/>
      <c r="CG29" s="161"/>
      <c r="CH29" s="161"/>
      <c r="CI29" s="161"/>
      <c r="CJ29" s="161">
        <f>SUM(CK29:CM29)</f>
      </c>
      <c r="CK29" s="161"/>
      <c r="CL29" s="161"/>
      <c r="CM29" s="161"/>
      <c r="CN29" s="161">
        <f>SUM(CO29:CS29)</f>
      </c>
      <c r="CO29" s="161"/>
      <c r="CP29" s="161"/>
      <c r="CQ29" s="161"/>
      <c r="CR29" s="161"/>
      <c r="CS29" s="161"/>
      <c r="CT29" s="161"/>
      <c r="CU29" s="161"/>
      <c r="CV29" s="161"/>
      <c r="CW29" s="161"/>
      <c r="CX29" s="161"/>
      <c r="CY29" s="161"/>
      <c r="CZ29" s="161"/>
      <c r="DA29" s="161"/>
      <c r="DB29" s="161"/>
      <c r="DC29" s="161"/>
      <c r="DD29" s="161"/>
      <c r="DE29" s="161"/>
      <c r="DF29" s="161">
        <f>SUM(DG29:DG29)</f>
      </c>
      <c r="DG29" s="161"/>
      <c r="DH29" s="161"/>
      <c r="DI29" s="161"/>
      <c r="DJ29" s="161">
        <f>SUM(DK29:DP29)</f>
      </c>
      <c r="DK29" s="161"/>
      <c r="DL29" s="161"/>
      <c r="DM29" s="161"/>
      <c r="DN29" s="161"/>
      <c r="DO29" s="161"/>
      <c r="DP29" s="161"/>
      <c r="DQ29" s="161"/>
      <c r="DR29" s="161"/>
      <c r="DS29" s="161"/>
      <c r="DT29" s="161"/>
      <c r="DU29" s="161"/>
      <c r="DV29" s="161"/>
      <c r="DW29" s="161"/>
      <c r="DX29" s="161"/>
      <c r="DY29" s="161"/>
      <c r="DZ29" s="161"/>
      <c r="EA29" s="161"/>
      <c r="EB29" s="161"/>
      <c r="EC29" s="161"/>
      <c r="ED29" s="161"/>
      <c r="EE29" s="161"/>
      <c r="EF29" s="161">
        <f>SUM(EG29:EP29)</f>
      </c>
      <c r="EG29" s="161"/>
      <c r="EH29" s="161"/>
      <c r="EI29" s="161"/>
      <c r="EJ29" s="161"/>
      <c r="EK29" s="161"/>
      <c r="EL29" s="161"/>
      <c r="EM29" s="161"/>
      <c r="EN29" s="161"/>
      <c r="EO29" s="161"/>
      <c r="EP29" s="161"/>
      <c r="EQ29" s="161">
        <f>SUM(ER29:ES29)</f>
      </c>
      <c r="ER29" s="161"/>
      <c r="ES29" s="161"/>
      <c r="ET29" s="161"/>
      <c r="EU29" s="161"/>
      <c r="EV29" s="161"/>
      <c r="EW29" s="161"/>
      <c r="EX29" s="161"/>
      <c r="EY29" s="161"/>
      <c r="EZ29" s="161"/>
      <c r="FA29" s="161"/>
      <c r="FB29" s="161"/>
      <c r="FC29" s="161"/>
      <c r="FD29" s="161"/>
      <c r="FE29" s="161"/>
      <c r="FF29" s="161"/>
      <c r="FG29" s="161"/>
      <c r="FH29" s="163" cm="1">
        <f t="array" ref="FH29">ROW()-ROW(Ongoing[#Headers])</f>
        <v>23</v>
      </c>
      <c r="FI29" s="164"/>
      <c r="FJ29" s="164" t="s">
        <v>755</v>
      </c>
      <c r="FK29" s="164">
        <v>0</v>
      </c>
      <c r="FL29" s="164" t="s">
        <v>781</v>
      </c>
      <c r="FM29" s="164" t="s">
        <v>790</v>
      </c>
      <c r="FN29" s="164" t="s">
        <v>782</v>
      </c>
      <c r="FO29" s="164" t="s">
        <v>811</v>
      </c>
      <c r="FP29" s="164" t="s">
        <v>759</v>
      </c>
    </row>
    <row r="30" spans="2:172" s="115" customFormat="1" ht="11.25" x14ac:dyDescent="0.2">
      <c r="B30" s="1076" t="s">
        <v>1471</v>
      </c>
      <c r="C30" s="1077" t="s">
        <v>1472</v>
      </c>
      <c r="D30" s="1078" t="s">
        <v>13</v>
      </c>
      <c r="E30" s="1079" t="s">
        <v>1473</v>
      </c>
      <c r="F30" s="1080" t="s">
        <v>345</v>
      </c>
      <c r="G30" s="1081" t="s">
        <v>51</v>
      </c>
      <c r="H30" s="1082" t="s">
        <v>305</v>
      </c>
      <c r="I30" s="1083" t="s">
        <v>64</v>
      </c>
      <c r="J30" s="1084" t="s">
        <v>1679</v>
      </c>
      <c r="K30" s="1085" t="s">
        <v>779</v>
      </c>
      <c r="L30" s="1086" t="s">
        <v>1392</v>
      </c>
      <c r="M30" s="1087" t="s">
        <v>3873</v>
      </c>
      <c r="N30" s="1088" t="s">
        <v>3878</v>
      </c>
      <c r="O30" s="148"/>
      <c r="P30" s="161">
        <f>SUM(Q30:AP30)</f>
      </c>
      <c r="Q30" s="161"/>
      <c r="R30" s="161"/>
      <c r="S30" s="1089" t="n">
        <v>320.0</v>
      </c>
      <c r="T30" s="161"/>
      <c r="U30" s="161"/>
      <c r="V30" s="161"/>
      <c r="W30" s="161"/>
      <c r="X30" s="161"/>
      <c r="Y30" s="161"/>
      <c r="Z30" s="161"/>
      <c r="AA30" s="161"/>
      <c r="AB30" s="161"/>
      <c r="AC30" s="161"/>
      <c r="AD30" s="161"/>
      <c r="AE30" s="161"/>
      <c r="AF30" s="1090" t="n">
        <v>100.0</v>
      </c>
      <c r="AG30" s="161"/>
      <c r="AH30" s="161"/>
      <c r="AI30" s="161"/>
      <c r="AJ30" s="161"/>
      <c r="AK30" s="161"/>
      <c r="AL30" s="161"/>
      <c r="AM30" s="161"/>
      <c r="AN30" s="161"/>
      <c r="AO30" s="161"/>
      <c r="AP30" s="161"/>
      <c r="AQ30" s="161">
        <f>SUM(AR30:AU30)</f>
      </c>
      <c r="AR30" s="161"/>
      <c r="AS30" s="161"/>
      <c r="AT30" s="161"/>
      <c r="AU30" s="161"/>
      <c r="AV30" s="161">
        <f>SUM(AW30:BH30)</f>
      </c>
      <c r="AW30" s="161"/>
      <c r="AX30" s="161"/>
      <c r="AY30" s="161"/>
      <c r="AZ30" s="161"/>
      <c r="BA30" s="161"/>
      <c r="BB30" s="161"/>
      <c r="BC30" s="161"/>
      <c r="BD30" s="161"/>
      <c r="BE30" s="161"/>
      <c r="BF30" s="161"/>
      <c r="BG30" s="161"/>
      <c r="BH30" s="161"/>
      <c r="BI30" s="161"/>
      <c r="BJ30" s="161"/>
      <c r="BK30" s="161"/>
      <c r="BL30" s="161"/>
      <c r="BM30" s="161"/>
      <c r="BN30" s="161"/>
      <c r="BO30" s="161"/>
      <c r="BP30" s="161"/>
      <c r="BQ30" s="161"/>
      <c r="BR30" s="161"/>
      <c r="BS30" s="161">
        <f>SUM(BT30:BV30)</f>
      </c>
      <c r="BT30" s="161"/>
      <c r="BU30" s="161"/>
      <c r="BV30" s="161"/>
      <c r="BW30" s="161">
        <f>SUM(BX30:CC30)</f>
      </c>
      <c r="BX30" s="161"/>
      <c r="BY30" s="161"/>
      <c r="BZ30" s="161"/>
      <c r="CA30" s="161"/>
      <c r="CB30" s="161"/>
      <c r="CC30" s="161"/>
      <c r="CD30" s="161"/>
      <c r="CE30" s="161"/>
      <c r="CF30" s="161"/>
      <c r="CG30" s="161"/>
      <c r="CH30" s="161"/>
      <c r="CI30" s="161"/>
      <c r="CJ30" s="161">
        <f>SUM(CK30:CM30)</f>
      </c>
      <c r="CK30" s="161"/>
      <c r="CL30" s="161"/>
      <c r="CM30" s="161"/>
      <c r="CN30" s="161">
        <f>SUM(CO30:CS30)</f>
      </c>
      <c r="CO30" s="161"/>
      <c r="CP30" s="161"/>
      <c r="CQ30" s="161"/>
      <c r="CR30" s="161"/>
      <c r="CS30" s="161"/>
      <c r="CT30" s="161"/>
      <c r="CU30" s="161"/>
      <c r="CV30" s="161"/>
      <c r="CW30" s="161"/>
      <c r="CX30" s="161"/>
      <c r="CY30" s="161"/>
      <c r="CZ30" s="161"/>
      <c r="DA30" s="161"/>
      <c r="DB30" s="161"/>
      <c r="DC30" s="161"/>
      <c r="DD30" s="161"/>
      <c r="DE30" s="161"/>
      <c r="DF30" s="161">
        <f>SUM(DG30:DG30)</f>
      </c>
      <c r="DG30" s="161"/>
      <c r="DH30" s="161"/>
      <c r="DI30" s="161"/>
      <c r="DJ30" s="161">
        <f>SUM(DK30:DP30)</f>
      </c>
      <c r="DK30" s="161"/>
      <c r="DL30" s="161"/>
      <c r="DM30" s="161"/>
      <c r="DN30" s="161"/>
      <c r="DO30" s="161"/>
      <c r="DP30" s="161"/>
      <c r="DQ30" s="161"/>
      <c r="DR30" s="161"/>
      <c r="DS30" s="161"/>
      <c r="DT30" s="161"/>
      <c r="DU30" s="161"/>
      <c r="DV30" s="161"/>
      <c r="DW30" s="161"/>
      <c r="DX30" s="161"/>
      <c r="DY30" s="161"/>
      <c r="DZ30" s="161"/>
      <c r="EA30" s="161"/>
      <c r="EB30" s="161"/>
      <c r="EC30" s="161"/>
      <c r="ED30" s="161"/>
      <c r="EE30" s="161"/>
      <c r="EF30" s="161">
        <f>SUM(EG30:EP30)</f>
      </c>
      <c r="EG30" s="161"/>
      <c r="EH30" s="161"/>
      <c r="EI30" s="161"/>
      <c r="EJ30" s="161"/>
      <c r="EK30" s="161"/>
      <c r="EL30" s="161"/>
      <c r="EM30" s="161"/>
      <c r="EN30" s="161"/>
      <c r="EO30" s="161"/>
      <c r="EP30" s="161"/>
      <c r="EQ30" s="161">
        <f>SUM(ER30:ES30)</f>
      </c>
      <c r="ER30" s="161"/>
      <c r="ES30" s="161"/>
      <c r="ET30" s="161"/>
      <c r="EU30" s="161"/>
      <c r="EV30" s="161"/>
      <c r="EW30" s="161"/>
      <c r="EX30" s="161"/>
      <c r="EY30" s="161"/>
      <c r="EZ30" s="161"/>
      <c r="FA30" s="161"/>
      <c r="FB30" s="161"/>
      <c r="FC30" s="161"/>
      <c r="FD30" s="161"/>
      <c r="FE30" s="161"/>
      <c r="FF30" s="161"/>
      <c r="FG30" s="161"/>
      <c r="FH30" s="163" cm="1">
        <f t="array" ref="FH30">ROW()-ROW(Ongoing[#Headers])</f>
        <v>24</v>
      </c>
      <c r="FI30" s="164" t="s">
        <v>780</v>
      </c>
      <c r="FJ30" s="164" t="s">
        <v>755</v>
      </c>
      <c r="FK30" s="164">
        <v>0</v>
      </c>
      <c r="FL30" s="164" t="s">
        <v>781</v>
      </c>
      <c r="FM30" s="164" t="s">
        <v>790</v>
      </c>
      <c r="FN30" s="164" t="s">
        <v>782</v>
      </c>
      <c r="FO30" s="164" t="s">
        <v>814</v>
      </c>
      <c r="FP30" s="164" t="s">
        <v>759</v>
      </c>
    </row>
    <row r="31" spans="2:172" s="115" customFormat="1" ht="11.25" x14ac:dyDescent="0.2">
      <c r="B31" s="1134" t="s">
        <v>1165</v>
      </c>
      <c r="C31" s="1135" t="s">
        <v>1166</v>
      </c>
      <c r="D31" s="1136" t="s">
        <v>20</v>
      </c>
      <c r="E31" s="1137" t="s">
        <v>898</v>
      </c>
      <c r="F31" s="1138" t="s">
        <v>1597</v>
      </c>
      <c r="G31" s="1139" t="s">
        <v>305</v>
      </c>
      <c r="H31" s="1140" t="s">
        <v>43</v>
      </c>
      <c r="I31" s="1141" t="s">
        <v>71</v>
      </c>
      <c r="J31" s="1142" t="s">
        <v>791</v>
      </c>
      <c r="K31" s="1143" t="s">
        <v>787</v>
      </c>
      <c r="L31" s="1144" t="s">
        <v>305</v>
      </c>
      <c r="M31" s="1145" t="s">
        <v>3873</v>
      </c>
      <c r="N31" s="1146" t="s">
        <v>3871</v>
      </c>
      <c r="O31" s="148"/>
      <c r="P31" s="161">
        <f>SUM(Q31:AP31)</f>
      </c>
      <c r="Q31" s="161"/>
      <c r="R31" s="161"/>
      <c r="S31" s="161"/>
      <c r="T31" s="161"/>
      <c r="U31" s="161"/>
      <c r="V31" s="161"/>
      <c r="W31" s="161"/>
      <c r="X31" s="161"/>
      <c r="Y31" s="161"/>
      <c r="Z31" s="161"/>
      <c r="AA31" s="161"/>
      <c r="AB31" s="161"/>
      <c r="AC31" s="161"/>
      <c r="AD31" s="161"/>
      <c r="AE31" s="161"/>
      <c r="AF31" s="161"/>
      <c r="AG31" s="161"/>
      <c r="AH31" s="1147" t="n">
        <v>353.0</v>
      </c>
      <c r="AI31" s="161"/>
      <c r="AJ31" s="161"/>
      <c r="AK31" s="161"/>
      <c r="AL31" s="161"/>
      <c r="AM31" s="161"/>
      <c r="AN31" s="161"/>
      <c r="AO31" s="161"/>
      <c r="AP31" s="161"/>
      <c r="AQ31" s="161">
        <f>SUM(AR31:AU31)</f>
      </c>
      <c r="AR31" s="161"/>
      <c r="AS31" s="161"/>
      <c r="AT31" s="161"/>
      <c r="AU31" s="161"/>
      <c r="AV31" s="161">
        <f>SUM(AW31:BH31)</f>
      </c>
      <c r="AW31" s="161"/>
      <c r="AX31" s="161"/>
      <c r="AY31" s="161"/>
      <c r="AZ31" s="161"/>
      <c r="BA31" s="161"/>
      <c r="BB31" s="161"/>
      <c r="BC31" s="161"/>
      <c r="BD31" s="161"/>
      <c r="BE31" s="161"/>
      <c r="BF31" s="161"/>
      <c r="BG31" s="161"/>
      <c r="BH31" s="161"/>
      <c r="BI31" s="161"/>
      <c r="BJ31" s="161"/>
      <c r="BK31" s="161"/>
      <c r="BL31" s="161"/>
      <c r="BM31" s="161"/>
      <c r="BN31" s="161"/>
      <c r="BO31" s="161"/>
      <c r="BP31" s="161"/>
      <c r="BQ31" s="161"/>
      <c r="BR31" s="161"/>
      <c r="BS31" s="161">
        <f>SUM(BT31:BV31)</f>
      </c>
      <c r="BT31" s="161"/>
      <c r="BU31" s="161"/>
      <c r="BV31" s="161"/>
      <c r="BW31" s="161">
        <f>SUM(BX31:CC31)</f>
      </c>
      <c r="BX31" s="161"/>
      <c r="BY31" s="161"/>
      <c r="BZ31" s="161"/>
      <c r="CA31" s="161"/>
      <c r="CB31" s="161"/>
      <c r="CC31" s="161"/>
      <c r="CD31" s="161"/>
      <c r="CE31" s="161"/>
      <c r="CF31" s="161"/>
      <c r="CG31" s="161"/>
      <c r="CH31" s="161"/>
      <c r="CI31" s="161"/>
      <c r="CJ31" s="161">
        <f>SUM(CK31:CM31)</f>
      </c>
      <c r="CK31" s="161"/>
      <c r="CL31" s="161"/>
      <c r="CM31" s="161"/>
      <c r="CN31" s="161">
        <f>SUM(CO31:CS31)</f>
      </c>
      <c r="CO31" s="161"/>
      <c r="CP31" s="161"/>
      <c r="CQ31" s="161"/>
      <c r="CR31" s="161"/>
      <c r="CS31" s="161"/>
      <c r="CT31" s="161"/>
      <c r="CU31" s="161"/>
      <c r="CV31" s="161"/>
      <c r="CW31" s="161"/>
      <c r="CX31" s="161"/>
      <c r="CY31" s="161"/>
      <c r="CZ31" s="161"/>
      <c r="DA31" s="161"/>
      <c r="DB31" s="161"/>
      <c r="DC31" s="161"/>
      <c r="DD31" s="161"/>
      <c r="DE31" s="161"/>
      <c r="DF31" s="161">
        <f>SUM(DG31:DG31)</f>
      </c>
      <c r="DG31" s="161"/>
      <c r="DH31" s="161"/>
      <c r="DI31" s="161"/>
      <c r="DJ31" s="161">
        <f>SUM(DK31:DP31)</f>
      </c>
      <c r="DK31" s="161"/>
      <c r="DL31" s="161"/>
      <c r="DM31" s="161"/>
      <c r="DN31" s="161"/>
      <c r="DO31" s="161"/>
      <c r="DP31" s="161"/>
      <c r="DQ31" s="161"/>
      <c r="DR31" s="161"/>
      <c r="DS31" s="161"/>
      <c r="DT31" s="161"/>
      <c r="DU31" s="161"/>
      <c r="DV31" s="161"/>
      <c r="DW31" s="161"/>
      <c r="DX31" s="161"/>
      <c r="DY31" s="161"/>
      <c r="DZ31" s="161"/>
      <c r="EA31" s="161"/>
      <c r="EB31" s="161"/>
      <c r="EC31" s="161"/>
      <c r="ED31" s="161"/>
      <c r="EE31" s="161"/>
      <c r="EF31" s="161">
        <f>SUM(EG31:EP31)</f>
      </c>
      <c r="EG31" s="161"/>
      <c r="EH31" s="161"/>
      <c r="EI31" s="161"/>
      <c r="EJ31" s="161"/>
      <c r="EK31" s="161"/>
      <c r="EL31" s="161"/>
      <c r="EM31" s="161"/>
      <c r="EN31" s="161"/>
      <c r="EO31" s="161"/>
      <c r="EP31" s="161"/>
      <c r="EQ31" s="161">
        <f>SUM(ER31:ES31)</f>
      </c>
      <c r="ER31" s="161"/>
      <c r="ES31" s="161"/>
      <c r="ET31" s="161"/>
      <c r="EU31" s="161"/>
      <c r="EV31" s="161"/>
      <c r="EW31" s="161"/>
      <c r="EX31" s="161"/>
      <c r="EY31" s="161"/>
      <c r="EZ31" s="161"/>
      <c r="FA31" s="161"/>
      <c r="FB31" s="161"/>
      <c r="FC31" s="161"/>
      <c r="FD31" s="161"/>
      <c r="FE31" s="161"/>
      <c r="FF31" s="161"/>
      <c r="FG31" s="161"/>
      <c r="FH31" s="163" cm="1">
        <f t="array" ref="FH31">ROW()-ROW(Ongoing[#Headers])</f>
        <v>25</v>
      </c>
      <c r="FI31" s="164"/>
      <c r="FJ31" s="164" t="s">
        <v>755</v>
      </c>
      <c r="FK31" s="164">
        <v>0</v>
      </c>
      <c r="FL31" s="164" t="s">
        <v>781</v>
      </c>
      <c r="FM31" s="164" t="s">
        <v>790</v>
      </c>
      <c r="FN31" s="164" t="s">
        <v>782</v>
      </c>
      <c r="FO31" s="164" t="s">
        <v>811</v>
      </c>
      <c r="FP31" s="164" t="s">
        <v>817</v>
      </c>
    </row>
    <row r="32" spans="2:172" s="115" customFormat="1" ht="11.25" x14ac:dyDescent="0.2">
      <c r="B32" s="1178" t="s">
        <v>1167</v>
      </c>
      <c r="C32" s="1179" t="s">
        <v>1168</v>
      </c>
      <c r="D32" s="1180" t="s">
        <v>20</v>
      </c>
      <c r="E32" s="1181" t="s">
        <v>898</v>
      </c>
      <c r="F32" s="1182" t="s">
        <v>1597</v>
      </c>
      <c r="G32" s="1183" t="s">
        <v>305</v>
      </c>
      <c r="H32" s="1184" t="s">
        <v>43</v>
      </c>
      <c r="I32" s="1185" t="s">
        <v>71</v>
      </c>
      <c r="J32" s="1186" t="s">
        <v>791</v>
      </c>
      <c r="K32" s="1187" t="s">
        <v>787</v>
      </c>
      <c r="L32" s="1188" t="s">
        <v>305</v>
      </c>
      <c r="M32" s="1189" t="s">
        <v>3873</v>
      </c>
      <c r="N32" s="1190" t="s">
        <v>3871</v>
      </c>
      <c r="O32" s="148"/>
      <c r="P32" s="161">
        <f>SUM(Q32:AP32)</f>
      </c>
      <c r="Q32" s="161"/>
      <c r="R32" s="161"/>
      <c r="S32" s="161"/>
      <c r="T32" s="161"/>
      <c r="U32" s="161"/>
      <c r="V32" s="161"/>
      <c r="W32" s="161"/>
      <c r="X32" s="161"/>
      <c r="Y32" s="161"/>
      <c r="Z32" s="161"/>
      <c r="AA32" s="161"/>
      <c r="AB32" s="161"/>
      <c r="AC32" s="161"/>
      <c r="AD32" s="161"/>
      <c r="AE32" s="161"/>
      <c r="AF32" s="161"/>
      <c r="AG32" s="161"/>
      <c r="AH32" s="1191" t="n">
        <v>928.0</v>
      </c>
      <c r="AI32" s="161"/>
      <c r="AJ32" s="161"/>
      <c r="AK32" s="161"/>
      <c r="AL32" s="161"/>
      <c r="AM32" s="161"/>
      <c r="AN32" s="161"/>
      <c r="AO32" s="161"/>
      <c r="AP32" s="161"/>
      <c r="AQ32" s="161">
        <f>SUM(AR32:AU32)</f>
      </c>
      <c r="AR32" s="161"/>
      <c r="AS32" s="161"/>
      <c r="AT32" s="161"/>
      <c r="AU32" s="161"/>
      <c r="AV32" s="161">
        <f>SUM(AW32:BH32)</f>
      </c>
      <c r="AW32" s="161"/>
      <c r="AX32" s="161"/>
      <c r="AY32" s="161"/>
      <c r="AZ32" s="161"/>
      <c r="BA32" s="161"/>
      <c r="BB32" s="161"/>
      <c r="BC32" s="161"/>
      <c r="BD32" s="161"/>
      <c r="BE32" s="161"/>
      <c r="BF32" s="161"/>
      <c r="BG32" s="161"/>
      <c r="BH32" s="161"/>
      <c r="BI32" s="161"/>
      <c r="BJ32" s="161"/>
      <c r="BK32" s="161"/>
      <c r="BL32" s="161"/>
      <c r="BM32" s="161"/>
      <c r="BN32" s="161"/>
      <c r="BO32" s="161"/>
      <c r="BP32" s="161"/>
      <c r="BQ32" s="161"/>
      <c r="BR32" s="161"/>
      <c r="BS32" s="161">
        <f>SUM(BT32:BV32)</f>
      </c>
      <c r="BT32" s="161"/>
      <c r="BU32" s="161"/>
      <c r="BV32" s="161"/>
      <c r="BW32" s="161">
        <f>SUM(BX32:CC32)</f>
      </c>
      <c r="BX32" s="161"/>
      <c r="BY32" s="161"/>
      <c r="BZ32" s="161"/>
      <c r="CA32" s="161"/>
      <c r="CB32" s="161"/>
      <c r="CC32" s="161"/>
      <c r="CD32" s="161"/>
      <c r="CE32" s="161"/>
      <c r="CF32" s="161"/>
      <c r="CG32" s="161"/>
      <c r="CH32" s="161"/>
      <c r="CI32" s="161"/>
      <c r="CJ32" s="161">
        <f>SUM(CK32:CM32)</f>
      </c>
      <c r="CK32" s="161"/>
      <c r="CL32" s="161"/>
      <c r="CM32" s="161"/>
      <c r="CN32" s="161">
        <f>SUM(CO32:CS32)</f>
      </c>
      <c r="CO32" s="161"/>
      <c r="CP32" s="161"/>
      <c r="CQ32" s="161"/>
      <c r="CR32" s="161"/>
      <c r="CS32" s="161"/>
      <c r="CT32" s="161"/>
      <c r="CU32" s="161"/>
      <c r="CV32" s="161"/>
      <c r="CW32" s="161"/>
      <c r="CX32" s="161"/>
      <c r="CY32" s="161"/>
      <c r="CZ32" s="161"/>
      <c r="DA32" s="161"/>
      <c r="DB32" s="161"/>
      <c r="DC32" s="161"/>
      <c r="DD32" s="161"/>
      <c r="DE32" s="161"/>
      <c r="DF32" s="161">
        <f>SUM(DG32:DG32)</f>
      </c>
      <c r="DG32" s="161"/>
      <c r="DH32" s="161"/>
      <c r="DI32" s="161"/>
      <c r="DJ32" s="161">
        <f>SUM(DK32:DP32)</f>
      </c>
      <c r="DK32" s="161"/>
      <c r="DL32" s="161"/>
      <c r="DM32" s="161"/>
      <c r="DN32" s="161"/>
      <c r="DO32" s="161"/>
      <c r="DP32" s="161"/>
      <c r="DQ32" s="161"/>
      <c r="DR32" s="161"/>
      <c r="DS32" s="161"/>
      <c r="DT32" s="161"/>
      <c r="DU32" s="161"/>
      <c r="DV32" s="161"/>
      <c r="DW32" s="161"/>
      <c r="DX32" s="161"/>
      <c r="DY32" s="161"/>
      <c r="DZ32" s="161"/>
      <c r="EA32" s="161"/>
      <c r="EB32" s="161"/>
      <c r="EC32" s="161"/>
      <c r="ED32" s="161"/>
      <c r="EE32" s="161"/>
      <c r="EF32" s="161">
        <f>SUM(EG32:EP32)</f>
      </c>
      <c r="EG32" s="161"/>
      <c r="EH32" s="161"/>
      <c r="EI32" s="161"/>
      <c r="EJ32" s="161"/>
      <c r="EK32" s="161"/>
      <c r="EL32" s="161"/>
      <c r="EM32" s="161"/>
      <c r="EN32" s="161"/>
      <c r="EO32" s="161"/>
      <c r="EP32" s="161"/>
      <c r="EQ32" s="161">
        <f>SUM(ER32:ES32)</f>
      </c>
      <c r="ER32" s="161"/>
      <c r="ES32" s="161"/>
      <c r="ET32" s="161"/>
      <c r="EU32" s="161"/>
      <c r="EV32" s="161"/>
      <c r="EW32" s="161"/>
      <c r="EX32" s="161"/>
      <c r="EY32" s="161"/>
      <c r="EZ32" s="161"/>
      <c r="FA32" s="161"/>
      <c r="FB32" s="161"/>
      <c r="FC32" s="161"/>
      <c r="FD32" s="161"/>
      <c r="FE32" s="161"/>
      <c r="FF32" s="161"/>
      <c r="FG32" s="161"/>
      <c r="FH32" s="163" cm="1">
        <f t="array" ref="FH32">ROW()-ROW(Ongoing[#Headers])</f>
        <v>26</v>
      </c>
      <c r="FI32" s="164"/>
      <c r="FJ32" s="164" t="s">
        <v>755</v>
      </c>
      <c r="FK32" s="164">
        <v>0</v>
      </c>
      <c r="FL32" s="164" t="s">
        <v>781</v>
      </c>
      <c r="FM32" s="164">
        <v>0</v>
      </c>
      <c r="FN32" s="164" t="s">
        <v>782</v>
      </c>
      <c r="FO32" s="164" t="s">
        <v>820</v>
      </c>
      <c r="FP32" s="164" t="s">
        <v>817</v>
      </c>
    </row>
    <row r="33" spans="2:172" s="115" customFormat="1" ht="11.25" x14ac:dyDescent="0.2">
      <c r="B33" s="1206" t="s">
        <v>1102</v>
      </c>
      <c r="C33" s="1207" t="s">
        <v>1103</v>
      </c>
      <c r="D33" s="1208" t="s">
        <v>35</v>
      </c>
      <c r="E33" s="1209" t="s">
        <v>766</v>
      </c>
      <c r="F33" s="1210" t="s">
        <v>1597</v>
      </c>
      <c r="G33" s="1211" t="s">
        <v>1736</v>
      </c>
      <c r="H33" s="1212" t="s">
        <v>41</v>
      </c>
      <c r="I33" s="1213" t="s">
        <v>68</v>
      </c>
      <c r="J33" s="1214" t="s">
        <v>771</v>
      </c>
      <c r="K33" s="1215" t="s">
        <v>767</v>
      </c>
      <c r="L33" s="1216" t="s">
        <v>305</v>
      </c>
      <c r="M33" s="1217" t="s">
        <v>3873</v>
      </c>
      <c r="N33" s="1218" t="s">
        <v>3871</v>
      </c>
      <c r="O33" s="148"/>
      <c r="P33" s="161">
        <f>SUM(Q33:AP33)</f>
      </c>
      <c r="Q33" s="161"/>
      <c r="R33" s="161"/>
      <c r="S33" s="161"/>
      <c r="T33" s="161"/>
      <c r="U33" s="161"/>
      <c r="V33" s="161"/>
      <c r="W33" s="161"/>
      <c r="X33" s="161"/>
      <c r="Y33" s="161"/>
      <c r="Z33" s="161"/>
      <c r="AA33" s="161"/>
      <c r="AB33" s="161"/>
      <c r="AC33" s="161"/>
      <c r="AD33" s="161"/>
      <c r="AE33" s="161"/>
      <c r="AF33" s="1219" t="n">
        <v>660.0</v>
      </c>
      <c r="AG33" s="161"/>
      <c r="AH33" s="161"/>
      <c r="AI33" s="161"/>
      <c r="AJ33" s="161"/>
      <c r="AK33" s="161"/>
      <c r="AL33" s="161"/>
      <c r="AM33" s="161"/>
      <c r="AN33" s="161"/>
      <c r="AO33" s="161"/>
      <c r="AP33" s="161"/>
      <c r="AQ33" s="161">
        <f>SUM(AR33:AU33)</f>
      </c>
      <c r="AR33" s="161"/>
      <c r="AS33" s="161"/>
      <c r="AT33" s="161"/>
      <c r="AU33" s="161"/>
      <c r="AV33" s="161">
        <f>SUM(AW33:BH33)</f>
      </c>
      <c r="AW33" s="161"/>
      <c r="AX33" s="161"/>
      <c r="AY33" s="161"/>
      <c r="AZ33" s="161"/>
      <c r="BA33" s="161"/>
      <c r="BB33" s="161"/>
      <c r="BC33" s="161"/>
      <c r="BD33" s="161"/>
      <c r="BE33" s="161"/>
      <c r="BF33" s="161"/>
      <c r="BG33" s="161"/>
      <c r="BH33" s="161"/>
      <c r="BI33" s="161"/>
      <c r="BJ33" s="161"/>
      <c r="BK33" s="161"/>
      <c r="BL33" s="161"/>
      <c r="BM33" s="161"/>
      <c r="BN33" s="161"/>
      <c r="BO33" s="161"/>
      <c r="BP33" s="161"/>
      <c r="BQ33" s="161"/>
      <c r="BR33" s="161"/>
      <c r="BS33" s="161">
        <f>SUM(BT33:BV33)</f>
      </c>
      <c r="BT33" s="161"/>
      <c r="BU33" s="161"/>
      <c r="BV33" s="161"/>
      <c r="BW33" s="161">
        <f>SUM(BX33:CC33)</f>
      </c>
      <c r="BX33" s="161"/>
      <c r="BY33" s="161"/>
      <c r="BZ33" s="161"/>
      <c r="CA33" s="161"/>
      <c r="CB33" s="161"/>
      <c r="CC33" s="161"/>
      <c r="CD33" s="161"/>
      <c r="CE33" s="161"/>
      <c r="CF33" s="161"/>
      <c r="CG33" s="161"/>
      <c r="CH33" s="161"/>
      <c r="CI33" s="161"/>
      <c r="CJ33" s="161">
        <f>SUM(CK33:CM33)</f>
      </c>
      <c r="CK33" s="161"/>
      <c r="CL33" s="161"/>
      <c r="CM33" s="161"/>
      <c r="CN33" s="161">
        <f>SUM(CO33:CS33)</f>
      </c>
      <c r="CO33" s="161"/>
      <c r="CP33" s="161"/>
      <c r="CQ33" s="161"/>
      <c r="CR33" s="161"/>
      <c r="CS33" s="161"/>
      <c r="CT33" s="161"/>
      <c r="CU33" s="161"/>
      <c r="CV33" s="161"/>
      <c r="CW33" s="161"/>
      <c r="CX33" s="161"/>
      <c r="CY33" s="161"/>
      <c r="CZ33" s="161"/>
      <c r="DA33" s="161"/>
      <c r="DB33" s="161"/>
      <c r="DC33" s="161"/>
      <c r="DD33" s="161"/>
      <c r="DE33" s="161"/>
      <c r="DF33" s="161">
        <f>SUM(DG33:DG33)</f>
      </c>
      <c r="DG33" s="161"/>
      <c r="DH33" s="161"/>
      <c r="DI33" s="161"/>
      <c r="DJ33" s="161">
        <f>SUM(DK33:DP33)</f>
      </c>
      <c r="DK33" s="161"/>
      <c r="DL33" s="161"/>
      <c r="DM33" s="161"/>
      <c r="DN33" s="161"/>
      <c r="DO33" s="161"/>
      <c r="DP33" s="161"/>
      <c r="DQ33" s="161"/>
      <c r="DR33" s="161"/>
      <c r="DS33" s="161"/>
      <c r="DT33" s="161"/>
      <c r="DU33" s="161"/>
      <c r="DV33" s="161"/>
      <c r="DW33" s="161"/>
      <c r="DX33" s="161"/>
      <c r="DY33" s="161"/>
      <c r="DZ33" s="161"/>
      <c r="EA33" s="161"/>
      <c r="EB33" s="161"/>
      <c r="EC33" s="161"/>
      <c r="ED33" s="161"/>
      <c r="EE33" s="161"/>
      <c r="EF33" s="161">
        <f>SUM(EG33:EP33)</f>
      </c>
      <c r="EG33" s="161"/>
      <c r="EH33" s="161"/>
      <c r="EI33" s="161"/>
      <c r="EJ33" s="161"/>
      <c r="EK33" s="161"/>
      <c r="EL33" s="161"/>
      <c r="EM33" s="161"/>
      <c r="EN33" s="161"/>
      <c r="EO33" s="161"/>
      <c r="EP33" s="161"/>
      <c r="EQ33" s="161">
        <f>SUM(ER33:ES33)</f>
      </c>
      <c r="ER33" s="161"/>
      <c r="ES33" s="161"/>
      <c r="ET33" s="161"/>
      <c r="EU33" s="161"/>
      <c r="EV33" s="161"/>
      <c r="EW33" s="161"/>
      <c r="EX33" s="161"/>
      <c r="EY33" s="161"/>
      <c r="EZ33" s="161"/>
      <c r="FA33" s="161"/>
      <c r="FB33" s="161"/>
      <c r="FC33" s="161"/>
      <c r="FD33" s="161"/>
      <c r="FE33" s="161"/>
      <c r="FF33" s="161"/>
      <c r="FG33" s="161"/>
      <c r="FH33" s="163" cm="1">
        <f t="array" ref="FH33">ROW()-ROW(Ongoing[#Headers])</f>
        <v>27</v>
      </c>
      <c r="FI33" s="164" t="s">
        <v>754</v>
      </c>
      <c r="FJ33" s="164" t="s">
        <v>755</v>
      </c>
      <c r="FK33" s="164">
        <v>0</v>
      </c>
      <c r="FL33" s="164" t="s">
        <v>756</v>
      </c>
      <c r="FM33" s="164">
        <v>0</v>
      </c>
      <c r="FN33" s="164" t="s">
        <v>757</v>
      </c>
      <c r="FO33" s="164" t="s">
        <v>758</v>
      </c>
      <c r="FP33" s="164" t="s">
        <v>759</v>
      </c>
    </row>
    <row r="34" spans="2:172" s="115" customFormat="1" ht="11.25" x14ac:dyDescent="0.2">
      <c r="B34" s="1220" t="s">
        <v>1323</v>
      </c>
      <c r="C34" s="1221" t="s">
        <v>1324</v>
      </c>
      <c r="D34" s="1222" t="s">
        <v>13</v>
      </c>
      <c r="E34" s="1223" t="s">
        <v>1262</v>
      </c>
      <c r="F34" s="1224" t="s">
        <v>1597</v>
      </c>
      <c r="G34" s="1225" t="s">
        <v>53</v>
      </c>
      <c r="H34" s="1226" t="s">
        <v>786</v>
      </c>
      <c r="I34" s="1227" t="s">
        <v>64</v>
      </c>
      <c r="J34" s="1228" t="s">
        <v>1617</v>
      </c>
      <c r="K34" s="1229" t="s">
        <v>305</v>
      </c>
      <c r="L34" s="1230" t="s">
        <v>305</v>
      </c>
      <c r="M34" s="1231" t="s">
        <v>3870</v>
      </c>
      <c r="N34" s="1232" t="s">
        <v>3878</v>
      </c>
      <c r="O34" s="148"/>
      <c r="P34" s="161">
        <f>SUM(Q34:AP34)</f>
      </c>
      <c r="Q34" s="161"/>
      <c r="R34" s="161"/>
      <c r="S34" s="161"/>
      <c r="T34" s="1233" t="n">
        <v>50.0</v>
      </c>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f>SUM(AR34:AU34)</f>
      </c>
      <c r="AR34" s="161"/>
      <c r="AS34" s="161"/>
      <c r="AT34" s="161"/>
      <c r="AU34" s="161"/>
      <c r="AV34" s="161">
        <f>SUM(AW34:BH34)</f>
      </c>
      <c r="AW34" s="161"/>
      <c r="AX34" s="161"/>
      <c r="AY34" s="161"/>
      <c r="AZ34" s="161"/>
      <c r="BA34" s="161"/>
      <c r="BB34" s="161"/>
      <c r="BC34" s="161"/>
      <c r="BD34" s="161"/>
      <c r="BE34" s="161"/>
      <c r="BF34" s="161"/>
      <c r="BG34" s="161"/>
      <c r="BH34" s="161"/>
      <c r="BI34" s="161"/>
      <c r="BJ34" s="161"/>
      <c r="BK34" s="161"/>
      <c r="BL34" s="161"/>
      <c r="BM34" s="161"/>
      <c r="BN34" s="161"/>
      <c r="BO34" s="161"/>
      <c r="BP34" s="161"/>
      <c r="BQ34" s="161"/>
      <c r="BR34" s="161"/>
      <c r="BS34" s="161">
        <f>SUM(BT34:BV34)</f>
      </c>
      <c r="BT34" s="161"/>
      <c r="BU34" s="161"/>
      <c r="BV34" s="161"/>
      <c r="BW34" s="161">
        <f>SUM(BX34:CC34)</f>
      </c>
      <c r="BX34" s="161"/>
      <c r="BY34" s="161"/>
      <c r="BZ34" s="161"/>
      <c r="CA34" s="161"/>
      <c r="CB34" s="161"/>
      <c r="CC34" s="161"/>
      <c r="CD34" s="161"/>
      <c r="CE34" s="161"/>
      <c r="CF34" s="161"/>
      <c r="CG34" s="161"/>
      <c r="CH34" s="161"/>
      <c r="CI34" s="161"/>
      <c r="CJ34" s="161">
        <f>SUM(CK34:CM34)</f>
      </c>
      <c r="CK34" s="161"/>
      <c r="CL34" s="161"/>
      <c r="CM34" s="161"/>
      <c r="CN34" s="161">
        <f>SUM(CO34:CS34)</f>
      </c>
      <c r="CO34" s="161"/>
      <c r="CP34" s="161"/>
      <c r="CQ34" s="161"/>
      <c r="CR34" s="161"/>
      <c r="CS34" s="161"/>
      <c r="CT34" s="161"/>
      <c r="CU34" s="161"/>
      <c r="CV34" s="161"/>
      <c r="CW34" s="161"/>
      <c r="CX34" s="161"/>
      <c r="CY34" s="161"/>
      <c r="CZ34" s="161"/>
      <c r="DA34" s="161"/>
      <c r="DB34" s="161"/>
      <c r="DC34" s="161"/>
      <c r="DD34" s="161"/>
      <c r="DE34" s="161"/>
      <c r="DF34" s="161">
        <f>SUM(DG34:DG34)</f>
      </c>
      <c r="DG34" s="161"/>
      <c r="DH34" s="161"/>
      <c r="DI34" s="161"/>
      <c r="DJ34" s="161">
        <f>SUM(DK34:DP34)</f>
      </c>
      <c r="DK34" s="161"/>
      <c r="DL34" s="161"/>
      <c r="DM34" s="161"/>
      <c r="DN34" s="161"/>
      <c r="DO34" s="161"/>
      <c r="DP34" s="161"/>
      <c r="DQ34" s="161"/>
      <c r="DR34" s="161"/>
      <c r="DS34" s="161"/>
      <c r="DT34" s="161"/>
      <c r="DU34" s="161"/>
      <c r="DV34" s="161"/>
      <c r="DW34" s="161"/>
      <c r="DX34" s="161"/>
      <c r="DY34" s="161"/>
      <c r="DZ34" s="161"/>
      <c r="EA34" s="161"/>
      <c r="EB34" s="161"/>
      <c r="EC34" s="161"/>
      <c r="ED34" s="161"/>
      <c r="EE34" s="161"/>
      <c r="EF34" s="161">
        <f>SUM(EG34:EP34)</f>
      </c>
      <c r="EG34" s="161"/>
      <c r="EH34" s="161"/>
      <c r="EI34" s="161"/>
      <c r="EJ34" s="161"/>
      <c r="EK34" s="161"/>
      <c r="EL34" s="161"/>
      <c r="EM34" s="161"/>
      <c r="EN34" s="161"/>
      <c r="EO34" s="161"/>
      <c r="EP34" s="161"/>
      <c r="EQ34" s="161">
        <f>SUM(ER34:ES34)</f>
      </c>
      <c r="ER34" s="161"/>
      <c r="ES34" s="161"/>
      <c r="ET34" s="161"/>
      <c r="EU34" s="161"/>
      <c r="EV34" s="161"/>
      <c r="EW34" s="161"/>
      <c r="EX34" s="161"/>
      <c r="EY34" s="161"/>
      <c r="EZ34" s="161"/>
      <c r="FA34" s="161"/>
      <c r="FB34" s="161"/>
      <c r="FC34" s="161"/>
      <c r="FD34" s="161"/>
      <c r="FE34" s="161"/>
      <c r="FF34" s="161"/>
      <c r="FG34" s="161"/>
      <c r="FH34" s="163" cm="1">
        <f t="array" ref="FH34">ROW()-ROW(Ongoing[#Headers])</f>
        <v>28</v>
      </c>
      <c r="FI34" s="164" t="s">
        <v>825</v>
      </c>
      <c r="FJ34" s="164" t="s">
        <v>755</v>
      </c>
      <c r="FK34" s="164">
        <v>0</v>
      </c>
      <c r="FL34" s="164" t="s">
        <v>756</v>
      </c>
      <c r="FM34" s="164" t="s">
        <v>790</v>
      </c>
      <c r="FN34" s="164" t="s">
        <v>757</v>
      </c>
      <c r="FO34" s="164" t="s">
        <v>758</v>
      </c>
      <c r="FP34" s="164" t="s">
        <v>759</v>
      </c>
    </row>
    <row r="35" spans="2:172" s="115" customFormat="1" ht="11.25" x14ac:dyDescent="0.2">
      <c r="B35" s="1248" t="s">
        <v>1131</v>
      </c>
      <c r="C35" s="1249" t="s">
        <v>1132</v>
      </c>
      <c r="D35" s="1250" t="s">
        <v>13</v>
      </c>
      <c r="E35" s="1251" t="s">
        <v>750</v>
      </c>
      <c r="F35" s="1252" t="s">
        <v>1597</v>
      </c>
      <c r="G35" s="1253" t="s">
        <v>46</v>
      </c>
      <c r="H35" s="1254" t="s">
        <v>22</v>
      </c>
      <c r="I35" s="1255" t="s">
        <v>64</v>
      </c>
      <c r="J35" s="1256" t="s">
        <v>1232</v>
      </c>
      <c r="K35" s="1257" t="s">
        <v>751</v>
      </c>
      <c r="L35" s="1258" t="s">
        <v>305</v>
      </c>
      <c r="M35" s="1259" t="s">
        <v>3873</v>
      </c>
      <c r="N35" s="1260" t="s">
        <v>3876</v>
      </c>
      <c r="O35" s="148"/>
      <c r="P35" s="161">
        <f>SUM(Q35:AP35)</f>
      </c>
      <c r="Q35" s="161"/>
      <c r="R35" s="161"/>
      <c r="S35" s="1261" t="n">
        <v>90.0</v>
      </c>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f>SUM(AR35:AU35)</f>
      </c>
      <c r="AR35" s="161"/>
      <c r="AS35" s="161"/>
      <c r="AT35" s="161"/>
      <c r="AU35" s="161"/>
      <c r="AV35" s="161">
        <f>SUM(AW35:BH35)</f>
      </c>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f>SUM(BT35:BV35)</f>
      </c>
      <c r="BT35" s="161"/>
      <c r="BU35" s="161"/>
      <c r="BV35" s="161"/>
      <c r="BW35" s="161">
        <f>SUM(BX35:CC35)</f>
      </c>
      <c r="BX35" s="161"/>
      <c r="BY35" s="161"/>
      <c r="BZ35" s="161"/>
      <c r="CA35" s="161"/>
      <c r="CB35" s="161"/>
      <c r="CC35" s="161"/>
      <c r="CD35" s="161"/>
      <c r="CE35" s="161"/>
      <c r="CF35" s="161"/>
      <c r="CG35" s="161"/>
      <c r="CH35" s="161"/>
      <c r="CI35" s="161"/>
      <c r="CJ35" s="161">
        <f>SUM(CK35:CM35)</f>
      </c>
      <c r="CK35" s="161"/>
      <c r="CL35" s="161"/>
      <c r="CM35" s="161"/>
      <c r="CN35" s="161">
        <f>SUM(CO35:CS35)</f>
      </c>
      <c r="CO35" s="161"/>
      <c r="CP35" s="161"/>
      <c r="CQ35" s="161"/>
      <c r="CR35" s="161"/>
      <c r="CS35" s="161"/>
      <c r="CT35" s="161"/>
      <c r="CU35" s="161"/>
      <c r="CV35" s="161"/>
      <c r="CW35" s="161"/>
      <c r="CX35" s="161"/>
      <c r="CY35" s="161"/>
      <c r="CZ35" s="161"/>
      <c r="DA35" s="161"/>
      <c r="DB35" s="161"/>
      <c r="DC35" s="161"/>
      <c r="DD35" s="161"/>
      <c r="DE35" s="161"/>
      <c r="DF35" s="161">
        <f>SUM(DG35:DG35)</f>
      </c>
      <c r="DG35" s="161"/>
      <c r="DH35" s="161"/>
      <c r="DI35" s="161"/>
      <c r="DJ35" s="161">
        <f>SUM(DK35:DP35)</f>
      </c>
      <c r="DK35" s="161"/>
      <c r="DL35" s="161"/>
      <c r="DM35" s="161"/>
      <c r="DN35" s="161"/>
      <c r="DO35" s="161"/>
      <c r="DP35" s="161"/>
      <c r="DQ35" s="161"/>
      <c r="DR35" s="161"/>
      <c r="DS35" s="161"/>
      <c r="DT35" s="161"/>
      <c r="DU35" s="161"/>
      <c r="DV35" s="161"/>
      <c r="DW35" s="161"/>
      <c r="DX35" s="161"/>
      <c r="DY35" s="161"/>
      <c r="DZ35" s="161"/>
      <c r="EA35" s="161"/>
      <c r="EB35" s="161"/>
      <c r="EC35" s="161"/>
      <c r="ED35" s="161"/>
      <c r="EE35" s="161"/>
      <c r="EF35" s="161">
        <f>SUM(EG35:EP35)</f>
      </c>
      <c r="EG35" s="161"/>
      <c r="EH35" s="161"/>
      <c r="EI35" s="161"/>
      <c r="EJ35" s="161"/>
      <c r="EK35" s="161"/>
      <c r="EL35" s="161"/>
      <c r="EM35" s="161"/>
      <c r="EN35" s="161"/>
      <c r="EO35" s="161"/>
      <c r="EP35" s="161"/>
      <c r="EQ35" s="161">
        <f>SUM(ER35:ES35)</f>
      </c>
      <c r="ER35" s="161"/>
      <c r="ES35" s="161"/>
      <c r="ET35" s="161"/>
      <c r="EU35" s="161"/>
      <c r="EV35" s="161"/>
      <c r="EW35" s="161"/>
      <c r="EX35" s="161"/>
      <c r="EY35" s="161"/>
      <c r="EZ35" s="161"/>
      <c r="FA35" s="161"/>
      <c r="FB35" s="161"/>
      <c r="FC35" s="161"/>
      <c r="FD35" s="161"/>
      <c r="FE35" s="161"/>
      <c r="FF35" s="161"/>
      <c r="FG35" s="161"/>
      <c r="FH35" s="163" cm="1">
        <f t="array" ref="FH35">ROW()-ROW(Ongoing[#Headers])</f>
        <v>29</v>
      </c>
      <c r="FI35" s="164" t="s">
        <v>768</v>
      </c>
      <c r="FJ35" s="164" t="s">
        <v>755</v>
      </c>
      <c r="FK35" s="164">
        <v>0</v>
      </c>
      <c r="FL35" s="164" t="s">
        <v>769</v>
      </c>
      <c r="FM35" s="164">
        <v>0</v>
      </c>
      <c r="FN35" s="164">
        <v>0</v>
      </c>
      <c r="FO35" s="164">
        <v>0</v>
      </c>
      <c r="FP35" s="164">
        <v>0</v>
      </c>
    </row>
    <row r="36" spans="2:172" s="115" customFormat="1" ht="11.25" x14ac:dyDescent="0.2">
      <c r="B36" s="1381" t="s">
        <v>1384</v>
      </c>
      <c r="C36" s="1382" t="s">
        <v>1385</v>
      </c>
      <c r="D36" s="1383" t="s">
        <v>23</v>
      </c>
      <c r="E36" s="1384" t="s">
        <v>1796</v>
      </c>
      <c r="F36" s="1385" t="s">
        <v>1597</v>
      </c>
      <c r="G36" s="1386" t="s">
        <v>51</v>
      </c>
      <c r="H36" s="1387" t="s">
        <v>43</v>
      </c>
      <c r="I36" s="1388" t="s">
        <v>64</v>
      </c>
      <c r="J36" s="1389" t="s">
        <v>1232</v>
      </c>
      <c r="K36" s="1390" t="s">
        <v>787</v>
      </c>
      <c r="L36" s="1391" t="s">
        <v>305</v>
      </c>
      <c r="M36" s="1392" t="s">
        <v>3873</v>
      </c>
      <c r="N36" s="1393" t="s">
        <v>3871</v>
      </c>
      <c r="O36" s="148"/>
      <c r="P36" s="161">
        <f>SUM(Q36:AP36)</f>
      </c>
      <c r="Q36" s="161"/>
      <c r="R36" s="161"/>
      <c r="S36" s="161"/>
      <c r="T36" s="161"/>
      <c r="U36" s="161"/>
      <c r="V36" s="161"/>
      <c r="W36" s="161"/>
      <c r="X36" s="1394" t="n">
        <v>1600.0</v>
      </c>
      <c r="Y36" s="161"/>
      <c r="Z36" s="161"/>
      <c r="AA36" s="161"/>
      <c r="AB36" s="161"/>
      <c r="AC36" s="161"/>
      <c r="AD36" s="161"/>
      <c r="AE36" s="161"/>
      <c r="AF36" s="161"/>
      <c r="AG36" s="161"/>
      <c r="AH36" s="161"/>
      <c r="AI36" s="161"/>
      <c r="AJ36" s="161"/>
      <c r="AK36" s="161"/>
      <c r="AL36" s="161"/>
      <c r="AM36" s="161"/>
      <c r="AN36" s="161"/>
      <c r="AO36" s="161"/>
      <c r="AP36" s="161"/>
      <c r="AQ36" s="161">
        <f>SUM(AR36:AU36)</f>
      </c>
      <c r="AR36" s="161"/>
      <c r="AS36" s="161"/>
      <c r="AT36" s="161"/>
      <c r="AU36" s="161"/>
      <c r="AV36" s="161">
        <f>SUM(AW36:BH36)</f>
      </c>
      <c r="AW36" s="161"/>
      <c r="AX36" s="161"/>
      <c r="AY36" s="161"/>
      <c r="AZ36" s="161"/>
      <c r="BA36" s="161"/>
      <c r="BB36" s="161"/>
      <c r="BC36" s="161"/>
      <c r="BD36" s="161"/>
      <c r="BE36" s="161"/>
      <c r="BF36" s="161"/>
      <c r="BG36" s="161"/>
      <c r="BH36" s="161"/>
      <c r="BI36" s="161"/>
      <c r="BJ36" s="161"/>
      <c r="BK36" s="161"/>
      <c r="BL36" s="161"/>
      <c r="BM36" s="161"/>
      <c r="BN36" s="161"/>
      <c r="BO36" s="161"/>
      <c r="BP36" s="161"/>
      <c r="BQ36" s="161"/>
      <c r="BR36" s="161"/>
      <c r="BS36" s="161">
        <f>SUM(BT36:BV36)</f>
      </c>
      <c r="BT36" s="161"/>
      <c r="BU36" s="161"/>
      <c r="BV36" s="161"/>
      <c r="BW36" s="161">
        <f>SUM(BX36:CC36)</f>
      </c>
      <c r="BX36" s="161"/>
      <c r="BY36" s="161"/>
      <c r="BZ36" s="161"/>
      <c r="CA36" s="161"/>
      <c r="CB36" s="161"/>
      <c r="CC36" s="161"/>
      <c r="CD36" s="161"/>
      <c r="CE36" s="161"/>
      <c r="CF36" s="161"/>
      <c r="CG36" s="161"/>
      <c r="CH36" s="161"/>
      <c r="CI36" s="161"/>
      <c r="CJ36" s="161">
        <f>SUM(CK36:CM36)</f>
      </c>
      <c r="CK36" s="161"/>
      <c r="CL36" s="161"/>
      <c r="CM36" s="161"/>
      <c r="CN36" s="161">
        <f>SUM(CO36:CS36)</f>
      </c>
      <c r="CO36" s="161"/>
      <c r="CP36" s="161"/>
      <c r="CQ36" s="161"/>
      <c r="CR36" s="161"/>
      <c r="CS36" s="161"/>
      <c r="CT36" s="161"/>
      <c r="CU36" s="161"/>
      <c r="CV36" s="161"/>
      <c r="CW36" s="161"/>
      <c r="CX36" s="161"/>
      <c r="CY36" s="161"/>
      <c r="CZ36" s="161"/>
      <c r="DA36" s="161"/>
      <c r="DB36" s="161"/>
      <c r="DC36" s="161"/>
      <c r="DD36" s="161"/>
      <c r="DE36" s="161"/>
      <c r="DF36" s="161">
        <f>SUM(DG36:DG36)</f>
      </c>
      <c r="DG36" s="161"/>
      <c r="DH36" s="161"/>
      <c r="DI36" s="161"/>
      <c r="DJ36" s="161">
        <f>SUM(DK36:DP36)</f>
      </c>
      <c r="DK36" s="161"/>
      <c r="DL36" s="161"/>
      <c r="DM36" s="161"/>
      <c r="DN36" s="161"/>
      <c r="DO36" s="161"/>
      <c r="DP36" s="161"/>
      <c r="DQ36" s="161"/>
      <c r="DR36" s="161"/>
      <c r="DS36" s="161"/>
      <c r="DT36" s="161"/>
      <c r="DU36" s="161"/>
      <c r="DV36" s="161"/>
      <c r="DW36" s="161"/>
      <c r="DX36" s="161"/>
      <c r="DY36" s="161"/>
      <c r="DZ36" s="161"/>
      <c r="EA36" s="161"/>
      <c r="EB36" s="161"/>
      <c r="EC36" s="161"/>
      <c r="ED36" s="161"/>
      <c r="EE36" s="161"/>
      <c r="EF36" s="161">
        <f>SUM(EG36:EP36)</f>
      </c>
      <c r="EG36" s="161"/>
      <c r="EH36" s="161"/>
      <c r="EI36" s="161"/>
      <c r="EJ36" s="161"/>
      <c r="EK36" s="161"/>
      <c r="EL36" s="161"/>
      <c r="EM36" s="161"/>
      <c r="EN36" s="161"/>
      <c r="EO36" s="161"/>
      <c r="EP36" s="161"/>
      <c r="EQ36" s="161">
        <f>SUM(ER36:ES36)</f>
      </c>
      <c r="ER36" s="161"/>
      <c r="ES36" s="161"/>
      <c r="ET36" s="161"/>
      <c r="EU36" s="161"/>
      <c r="EV36" s="161"/>
      <c r="EW36" s="161"/>
      <c r="EX36" s="161"/>
      <c r="EY36" s="161"/>
      <c r="EZ36" s="161"/>
      <c r="FA36" s="161"/>
      <c r="FB36" s="161"/>
      <c r="FC36" s="161"/>
      <c r="FD36" s="161"/>
      <c r="FE36" s="161"/>
      <c r="FF36" s="161"/>
      <c r="FG36" s="161"/>
      <c r="FH36" s="163" cm="1">
        <f t="array" ref="FH36">ROW()-ROW(Ongoing[#Headers])</f>
        <v>30</v>
      </c>
      <c r="FI36" s="164" t="s">
        <v>768</v>
      </c>
      <c r="FJ36" s="164" t="s">
        <v>755</v>
      </c>
      <c r="FK36" s="164">
        <v>0</v>
      </c>
      <c r="FL36" s="164" t="s">
        <v>769</v>
      </c>
      <c r="FM36" s="164">
        <v>0</v>
      </c>
      <c r="FN36" s="164">
        <v>0</v>
      </c>
      <c r="FO36" s="164">
        <v>0</v>
      </c>
      <c r="FP36" s="164">
        <v>0</v>
      </c>
    </row>
    <row r="37" spans="2:172" s="115" customFormat="1" ht="11.25" x14ac:dyDescent="0.2">
      <c r="B37" s="1408" t="s">
        <v>1431</v>
      </c>
      <c r="C37" s="1409" t="s">
        <v>1432</v>
      </c>
      <c r="D37" s="1410" t="s">
        <v>13</v>
      </c>
      <c r="E37" s="1411" t="s">
        <v>766</v>
      </c>
      <c r="F37" s="1412" t="s">
        <v>345</v>
      </c>
      <c r="G37" s="1413" t="s">
        <v>46</v>
      </c>
      <c r="H37" s="1414" t="s">
        <v>305</v>
      </c>
      <c r="I37" s="1415" t="s">
        <v>68</v>
      </c>
      <c r="J37" s="1416" t="s">
        <v>1672</v>
      </c>
      <c r="K37" s="1417" t="s">
        <v>305</v>
      </c>
      <c r="L37" s="1418" t="s">
        <v>305</v>
      </c>
      <c r="M37" s="1419" t="s">
        <v>3873</v>
      </c>
      <c r="N37" s="1420" t="s">
        <v>3874</v>
      </c>
      <c r="O37" s="148"/>
      <c r="P37" s="161">
        <f>SUM(Q37:AP37)</f>
      </c>
      <c r="Q37" s="161"/>
      <c r="R37" s="161"/>
      <c r="S37" s="161"/>
      <c r="T37" s="161"/>
      <c r="U37" s="161"/>
      <c r="V37" s="161"/>
      <c r="W37" s="161"/>
      <c r="X37" s="161"/>
      <c r="Y37" s="161"/>
      <c r="Z37" s="161"/>
      <c r="AA37" s="161"/>
      <c r="AB37" s="161"/>
      <c r="AC37" s="161"/>
      <c r="AD37" s="161"/>
      <c r="AE37" s="161"/>
      <c r="AF37" s="1421" t="n">
        <v>840.0</v>
      </c>
      <c r="AG37" s="161"/>
      <c r="AH37" s="161"/>
      <c r="AI37" s="161"/>
      <c r="AJ37" s="161"/>
      <c r="AK37" s="161"/>
      <c r="AL37" s="161"/>
      <c r="AM37" s="161"/>
      <c r="AN37" s="161"/>
      <c r="AO37" s="161"/>
      <c r="AP37" s="161"/>
      <c r="AQ37" s="161">
        <f>SUM(AR37:AU37)</f>
      </c>
      <c r="AR37" s="161"/>
      <c r="AS37" s="161"/>
      <c r="AT37" s="161"/>
      <c r="AU37" s="161"/>
      <c r="AV37" s="161">
        <f>SUM(AW37:BH37)</f>
      </c>
      <c r="AW37" s="161"/>
      <c r="AX37" s="161"/>
      <c r="AY37" s="161"/>
      <c r="AZ37" s="161"/>
      <c r="BA37" s="161"/>
      <c r="BB37" s="161"/>
      <c r="BC37" s="161"/>
      <c r="BD37" s="161"/>
      <c r="BE37" s="161"/>
      <c r="BF37" s="161"/>
      <c r="BG37" s="161"/>
      <c r="BH37" s="161"/>
      <c r="BI37" s="161"/>
      <c r="BJ37" s="161"/>
      <c r="BK37" s="161"/>
      <c r="BL37" s="161"/>
      <c r="BM37" s="161"/>
      <c r="BN37" s="161"/>
      <c r="BO37" s="161"/>
      <c r="BP37" s="161"/>
      <c r="BQ37" s="161"/>
      <c r="BR37" s="161"/>
      <c r="BS37" s="161">
        <f>SUM(BT37:BV37)</f>
      </c>
      <c r="BT37" s="161"/>
      <c r="BU37" s="161"/>
      <c r="BV37" s="161"/>
      <c r="BW37" s="161">
        <f>SUM(BX37:CC37)</f>
      </c>
      <c r="BX37" s="161"/>
      <c r="BY37" s="161"/>
      <c r="BZ37" s="161"/>
      <c r="CA37" s="161"/>
      <c r="CB37" s="161"/>
      <c r="CC37" s="161"/>
      <c r="CD37" s="161"/>
      <c r="CE37" s="161"/>
      <c r="CF37" s="161"/>
      <c r="CG37" s="161"/>
      <c r="CH37" s="161"/>
      <c r="CI37" s="161"/>
      <c r="CJ37" s="161">
        <f>SUM(CK37:CM37)</f>
      </c>
      <c r="CK37" s="161"/>
      <c r="CL37" s="161"/>
      <c r="CM37" s="161"/>
      <c r="CN37" s="161">
        <f>SUM(CO37:CS37)</f>
      </c>
      <c r="CO37" s="161"/>
      <c r="CP37" s="161"/>
      <c r="CQ37" s="161"/>
      <c r="CR37" s="161"/>
      <c r="CS37" s="161"/>
      <c r="CT37" s="161"/>
      <c r="CU37" s="161"/>
      <c r="CV37" s="161"/>
      <c r="CW37" s="161"/>
      <c r="CX37" s="161"/>
      <c r="CY37" s="161"/>
      <c r="CZ37" s="161"/>
      <c r="DA37" s="161"/>
      <c r="DB37" s="161"/>
      <c r="DC37" s="161"/>
      <c r="DD37" s="161"/>
      <c r="DE37" s="161"/>
      <c r="DF37" s="161">
        <f>SUM(DG37:DG37)</f>
      </c>
      <c r="DG37" s="161"/>
      <c r="DH37" s="161"/>
      <c r="DI37" s="161"/>
      <c r="DJ37" s="161">
        <f>SUM(DK37:DP37)</f>
      </c>
      <c r="DK37" s="161"/>
      <c r="DL37" s="161"/>
      <c r="DM37" s="161"/>
      <c r="DN37" s="161"/>
      <c r="DO37" s="161"/>
      <c r="DP37" s="161"/>
      <c r="DQ37" s="161"/>
      <c r="DR37" s="161"/>
      <c r="DS37" s="161"/>
      <c r="DT37" s="161"/>
      <c r="DU37" s="161"/>
      <c r="DV37" s="161"/>
      <c r="DW37" s="161"/>
      <c r="DX37" s="161"/>
      <c r="DY37" s="161"/>
      <c r="DZ37" s="161"/>
      <c r="EA37" s="161"/>
      <c r="EB37" s="161"/>
      <c r="EC37" s="161"/>
      <c r="ED37" s="161"/>
      <c r="EE37" s="161"/>
      <c r="EF37" s="161">
        <f>SUM(EG37:EP37)</f>
      </c>
      <c r="EG37" s="161"/>
      <c r="EH37" s="161"/>
      <c r="EI37" s="161"/>
      <c r="EJ37" s="161"/>
      <c r="EK37" s="161"/>
      <c r="EL37" s="161"/>
      <c r="EM37" s="161"/>
      <c r="EN37" s="161"/>
      <c r="EO37" s="161"/>
      <c r="EP37" s="161"/>
      <c r="EQ37" s="161">
        <f>SUM(ER37:ES37)</f>
      </c>
      <c r="ER37" s="161"/>
      <c r="ES37" s="161"/>
      <c r="ET37" s="161"/>
      <c r="EU37" s="161"/>
      <c r="EV37" s="161"/>
      <c r="EW37" s="161"/>
      <c r="EX37" s="161"/>
      <c r="EY37" s="161"/>
      <c r="EZ37" s="161"/>
      <c r="FA37" s="161"/>
      <c r="FB37" s="161"/>
      <c r="FC37" s="161"/>
      <c r="FD37" s="161"/>
      <c r="FE37" s="161"/>
      <c r="FF37" s="161"/>
      <c r="FG37" s="161"/>
      <c r="FH37" s="163" cm="1">
        <f t="array" ref="FH37">ROW()-ROW(Ongoing[#Headers])</f>
        <v>31</v>
      </c>
      <c r="FI37" s="164" t="s">
        <v>768</v>
      </c>
      <c r="FJ37" s="164" t="s">
        <v>755</v>
      </c>
      <c r="FK37" s="164">
        <v>0</v>
      </c>
      <c r="FL37" s="164" t="s">
        <v>769</v>
      </c>
      <c r="FM37" s="164">
        <v>0</v>
      </c>
      <c r="FN37" s="164">
        <v>0</v>
      </c>
      <c r="FO37" s="164">
        <v>0</v>
      </c>
      <c r="FP37" s="164">
        <v>0</v>
      </c>
    </row>
    <row r="38" spans="2:172" s="115" customFormat="1" ht="11.25" x14ac:dyDescent="0.2">
      <c r="B38" s="1453" t="s">
        <v>1033</v>
      </c>
      <c r="C38" s="1454" t="s">
        <v>1034</v>
      </c>
      <c r="D38" s="1455" t="s">
        <v>13</v>
      </c>
      <c r="E38" s="1456" t="s">
        <v>766</v>
      </c>
      <c r="F38" s="1457" t="s">
        <v>1597</v>
      </c>
      <c r="G38" s="1458" t="s">
        <v>51</v>
      </c>
      <c r="H38" s="1459" t="s">
        <v>305</v>
      </c>
      <c r="I38" s="1460" t="s">
        <v>68</v>
      </c>
      <c r="J38" s="1461" t="s">
        <v>771</v>
      </c>
      <c r="K38" s="1462" t="s">
        <v>767</v>
      </c>
      <c r="L38" s="1463" t="s">
        <v>305</v>
      </c>
      <c r="M38" s="1464" t="s">
        <v>3873</v>
      </c>
      <c r="N38" s="1465" t="s">
        <v>3874</v>
      </c>
      <c r="O38" s="148"/>
      <c r="P38" s="161">
        <f>SUM(Q38:AP38)</f>
      </c>
      <c r="Q38" s="161"/>
      <c r="R38" s="161"/>
      <c r="S38" s="161"/>
      <c r="T38" s="161"/>
      <c r="U38" s="161"/>
      <c r="V38" s="161"/>
      <c r="W38" s="161"/>
      <c r="X38" s="161"/>
      <c r="Y38" s="161"/>
      <c r="Z38" s="161"/>
      <c r="AA38" s="161"/>
      <c r="AB38" s="161"/>
      <c r="AC38" s="161"/>
      <c r="AD38" s="161"/>
      <c r="AE38" s="161"/>
      <c r="AF38" s="1466" t="n">
        <v>500.0</v>
      </c>
      <c r="AG38" s="161"/>
      <c r="AH38" s="161"/>
      <c r="AI38" s="161"/>
      <c r="AJ38" s="161"/>
      <c r="AK38" s="161"/>
      <c r="AL38" s="161"/>
      <c r="AM38" s="161"/>
      <c r="AN38" s="161"/>
      <c r="AO38" s="161"/>
      <c r="AP38" s="161"/>
      <c r="AQ38" s="161">
        <f>SUM(AR38:AU38)</f>
      </c>
      <c r="AR38" s="161"/>
      <c r="AS38" s="161"/>
      <c r="AT38" s="161"/>
      <c r="AU38" s="161"/>
      <c r="AV38" s="161">
        <f>SUM(AW38:BH38)</f>
      </c>
      <c r="AW38" s="161"/>
      <c r="AX38" s="161"/>
      <c r="AY38" s="161"/>
      <c r="AZ38" s="161"/>
      <c r="BA38" s="161"/>
      <c r="BB38" s="161"/>
      <c r="BC38" s="161"/>
      <c r="BD38" s="161"/>
      <c r="BE38" s="161"/>
      <c r="BF38" s="161"/>
      <c r="BG38" s="161"/>
      <c r="BH38" s="161"/>
      <c r="BI38" s="161"/>
      <c r="BJ38" s="161"/>
      <c r="BK38" s="161"/>
      <c r="BL38" s="161"/>
      <c r="BM38" s="161"/>
      <c r="BN38" s="161"/>
      <c r="BO38" s="161"/>
      <c r="BP38" s="161"/>
      <c r="BQ38" s="161"/>
      <c r="BR38" s="161"/>
      <c r="BS38" s="161">
        <f>SUM(BT38:BV38)</f>
      </c>
      <c r="BT38" s="161"/>
      <c r="BU38" s="161"/>
      <c r="BV38" s="161"/>
      <c r="BW38" s="161">
        <f>SUM(BX38:CC38)</f>
      </c>
      <c r="BX38" s="161"/>
      <c r="BY38" s="161"/>
      <c r="BZ38" s="161"/>
      <c r="CA38" s="161"/>
      <c r="CB38" s="161"/>
      <c r="CC38" s="161"/>
      <c r="CD38" s="161"/>
      <c r="CE38" s="161"/>
      <c r="CF38" s="161"/>
      <c r="CG38" s="161"/>
      <c r="CH38" s="161"/>
      <c r="CI38" s="161"/>
      <c r="CJ38" s="161">
        <f>SUM(CK38:CM38)</f>
      </c>
      <c r="CK38" s="161"/>
      <c r="CL38" s="161"/>
      <c r="CM38" s="161"/>
      <c r="CN38" s="161">
        <f>SUM(CO38:CS38)</f>
      </c>
      <c r="CO38" s="161"/>
      <c r="CP38" s="161"/>
      <c r="CQ38" s="161"/>
      <c r="CR38" s="161"/>
      <c r="CS38" s="161"/>
      <c r="CT38" s="161"/>
      <c r="CU38" s="161"/>
      <c r="CV38" s="161"/>
      <c r="CW38" s="161"/>
      <c r="CX38" s="161"/>
      <c r="CY38" s="161"/>
      <c r="CZ38" s="161"/>
      <c r="DA38" s="161"/>
      <c r="DB38" s="161"/>
      <c r="DC38" s="161"/>
      <c r="DD38" s="161"/>
      <c r="DE38" s="161"/>
      <c r="DF38" s="161">
        <f>SUM(DG38:DG38)</f>
      </c>
      <c r="DG38" s="161"/>
      <c r="DH38" s="161"/>
      <c r="DI38" s="161"/>
      <c r="DJ38" s="161">
        <f>SUM(DK38:DP38)</f>
      </c>
      <c r="DK38" s="161"/>
      <c r="DL38" s="161"/>
      <c r="DM38" s="161"/>
      <c r="DN38" s="161"/>
      <c r="DO38" s="161"/>
      <c r="DP38" s="161"/>
      <c r="DQ38" s="161"/>
      <c r="DR38" s="161"/>
      <c r="DS38" s="161"/>
      <c r="DT38" s="161"/>
      <c r="DU38" s="161"/>
      <c r="DV38" s="161"/>
      <c r="DW38" s="161"/>
      <c r="DX38" s="161"/>
      <c r="DY38" s="161"/>
      <c r="DZ38" s="161"/>
      <c r="EA38" s="161"/>
      <c r="EB38" s="161"/>
      <c r="EC38" s="161"/>
      <c r="ED38" s="161"/>
      <c r="EE38" s="161"/>
      <c r="EF38" s="161">
        <f>SUM(EG38:EP38)</f>
      </c>
      <c r="EG38" s="161"/>
      <c r="EH38" s="161"/>
      <c r="EI38" s="161"/>
      <c r="EJ38" s="161"/>
      <c r="EK38" s="161"/>
      <c r="EL38" s="161"/>
      <c r="EM38" s="161"/>
      <c r="EN38" s="161"/>
      <c r="EO38" s="161"/>
      <c r="EP38" s="161"/>
      <c r="EQ38" s="161">
        <f>SUM(ER38:ES38)</f>
      </c>
      <c r="ER38" s="161"/>
      <c r="ES38" s="161"/>
      <c r="ET38" s="161"/>
      <c r="EU38" s="161"/>
      <c r="EV38" s="161"/>
      <c r="EW38" s="161"/>
      <c r="EX38" s="161"/>
      <c r="EY38" s="161"/>
      <c r="EZ38" s="161"/>
      <c r="FA38" s="161"/>
      <c r="FB38" s="161"/>
      <c r="FC38" s="161"/>
      <c r="FD38" s="161"/>
      <c r="FE38" s="161"/>
      <c r="FF38" s="161"/>
      <c r="FG38" s="161"/>
      <c r="FH38" s="163" cm="1">
        <f t="array" ref="FH38">ROW()-ROW(Ongoing[#Headers])</f>
        <v>32</v>
      </c>
      <c r="FI38" s="164" t="s">
        <v>768</v>
      </c>
      <c r="FJ38" s="164" t="s">
        <v>755</v>
      </c>
      <c r="FK38" s="164">
        <v>0</v>
      </c>
      <c r="FL38" s="164" t="s">
        <v>769</v>
      </c>
      <c r="FM38" s="164">
        <v>0</v>
      </c>
      <c r="FN38" s="164">
        <v>0</v>
      </c>
      <c r="FO38" s="164">
        <v>0</v>
      </c>
      <c r="FP38" s="164">
        <v>0</v>
      </c>
    </row>
    <row r="39" spans="2:172" s="115" customFormat="1" ht="11.25" x14ac:dyDescent="0.2">
      <c r="B39" s="1485" t="s">
        <v>1086</v>
      </c>
      <c r="C39" s="1486" t="s">
        <v>1087</v>
      </c>
      <c r="D39" s="1487" t="s">
        <v>13</v>
      </c>
      <c r="E39" s="1488" t="s">
        <v>766</v>
      </c>
      <c r="F39" s="1489" t="s">
        <v>1597</v>
      </c>
      <c r="G39" s="1490" t="s">
        <v>46</v>
      </c>
      <c r="H39" s="1491" t="s">
        <v>41</v>
      </c>
      <c r="I39" s="1492" t="s">
        <v>68</v>
      </c>
      <c r="J39" s="1493" t="s">
        <v>873</v>
      </c>
      <c r="K39" s="1494" t="s">
        <v>767</v>
      </c>
      <c r="L39" s="1495" t="s">
        <v>305</v>
      </c>
      <c r="M39" s="1496" t="s">
        <v>3873</v>
      </c>
      <c r="N39" s="1497" t="s">
        <v>3871</v>
      </c>
      <c r="O39" s="148"/>
      <c r="P39" s="161">
        <f>SUM(Q39:AP39)</f>
      </c>
      <c r="Q39" s="161"/>
      <c r="R39" s="161"/>
      <c r="S39" s="161"/>
      <c r="T39" s="161"/>
      <c r="U39" s="161"/>
      <c r="V39" s="161"/>
      <c r="W39" s="161"/>
      <c r="X39" s="161"/>
      <c r="Y39" s="161"/>
      <c r="Z39" s="161"/>
      <c r="AA39" s="161"/>
      <c r="AB39" s="161"/>
      <c r="AC39" s="161"/>
      <c r="AD39" s="161"/>
      <c r="AE39" s="161"/>
      <c r="AF39" s="1498" t="n">
        <v>760.0</v>
      </c>
      <c r="AG39" s="161"/>
      <c r="AH39" s="161"/>
      <c r="AI39" s="161"/>
      <c r="AJ39" s="161"/>
      <c r="AK39" s="161"/>
      <c r="AL39" s="161"/>
      <c r="AM39" s="161"/>
      <c r="AN39" s="161"/>
      <c r="AO39" s="161"/>
      <c r="AP39" s="161"/>
      <c r="AQ39" s="161">
        <f>SUM(AR39:AU39)</f>
      </c>
      <c r="AR39" s="161"/>
      <c r="AS39" s="161"/>
      <c r="AT39" s="161"/>
      <c r="AU39" s="161"/>
      <c r="AV39" s="161">
        <f>SUM(AW39:BH39)</f>
      </c>
      <c r="AW39" s="161"/>
      <c r="AX39" s="161"/>
      <c r="AY39" s="161"/>
      <c r="AZ39" s="161"/>
      <c r="BA39" s="161"/>
      <c r="BB39" s="161"/>
      <c r="BC39" s="161"/>
      <c r="BD39" s="161"/>
      <c r="BE39" s="161"/>
      <c r="BF39" s="161"/>
      <c r="BG39" s="161"/>
      <c r="BH39" s="161"/>
      <c r="BI39" s="161"/>
      <c r="BJ39" s="161"/>
      <c r="BK39" s="161"/>
      <c r="BL39" s="161"/>
      <c r="BM39" s="161"/>
      <c r="BN39" s="161"/>
      <c r="BO39" s="161"/>
      <c r="BP39" s="161"/>
      <c r="BQ39" s="161"/>
      <c r="BR39" s="161"/>
      <c r="BS39" s="161">
        <f>SUM(BT39:BV39)</f>
      </c>
      <c r="BT39" s="161"/>
      <c r="BU39" s="161"/>
      <c r="BV39" s="161"/>
      <c r="BW39" s="161">
        <f>SUM(BX39:CC39)</f>
      </c>
      <c r="BX39" s="161"/>
      <c r="BY39" s="161"/>
      <c r="BZ39" s="161"/>
      <c r="CA39" s="161"/>
      <c r="CB39" s="161"/>
      <c r="CC39" s="161"/>
      <c r="CD39" s="161"/>
      <c r="CE39" s="161"/>
      <c r="CF39" s="161"/>
      <c r="CG39" s="161"/>
      <c r="CH39" s="161"/>
      <c r="CI39" s="161"/>
      <c r="CJ39" s="161">
        <f>SUM(CK39:CM39)</f>
      </c>
      <c r="CK39" s="161"/>
      <c r="CL39" s="161"/>
      <c r="CM39" s="161"/>
      <c r="CN39" s="161">
        <f>SUM(CO39:CS39)</f>
      </c>
      <c r="CO39" s="161"/>
      <c r="CP39" s="161"/>
      <c r="CQ39" s="161"/>
      <c r="CR39" s="161"/>
      <c r="CS39" s="161"/>
      <c r="CT39" s="161"/>
      <c r="CU39" s="161"/>
      <c r="CV39" s="161"/>
      <c r="CW39" s="161"/>
      <c r="CX39" s="161"/>
      <c r="CY39" s="161"/>
      <c r="CZ39" s="161"/>
      <c r="DA39" s="161"/>
      <c r="DB39" s="161"/>
      <c r="DC39" s="161"/>
      <c r="DD39" s="161"/>
      <c r="DE39" s="161"/>
      <c r="DF39" s="161">
        <f>SUM(DG39:DG39)</f>
      </c>
      <c r="DG39" s="161"/>
      <c r="DH39" s="161"/>
      <c r="DI39" s="161"/>
      <c r="DJ39" s="161">
        <f>SUM(DK39:DP39)</f>
      </c>
      <c r="DK39" s="161"/>
      <c r="DL39" s="161"/>
      <c r="DM39" s="161"/>
      <c r="DN39" s="161"/>
      <c r="DO39" s="161"/>
      <c r="DP39" s="161"/>
      <c r="DQ39" s="161"/>
      <c r="DR39" s="161"/>
      <c r="DS39" s="161"/>
      <c r="DT39" s="161"/>
      <c r="DU39" s="161"/>
      <c r="DV39" s="161"/>
      <c r="DW39" s="161"/>
      <c r="DX39" s="161"/>
      <c r="DY39" s="161"/>
      <c r="DZ39" s="161"/>
      <c r="EA39" s="161"/>
      <c r="EB39" s="161"/>
      <c r="EC39" s="161"/>
      <c r="ED39" s="161"/>
      <c r="EE39" s="161"/>
      <c r="EF39" s="161">
        <f>SUM(EG39:EP39)</f>
      </c>
      <c r="EG39" s="161"/>
      <c r="EH39" s="161"/>
      <c r="EI39" s="161"/>
      <c r="EJ39" s="161"/>
      <c r="EK39" s="161"/>
      <c r="EL39" s="161"/>
      <c r="EM39" s="161"/>
      <c r="EN39" s="161"/>
      <c r="EO39" s="161"/>
      <c r="EP39" s="161"/>
      <c r="EQ39" s="161">
        <f>SUM(ER39:ES39)</f>
      </c>
      <c r="ER39" s="161"/>
      <c r="ES39" s="161"/>
      <c r="ET39" s="161"/>
      <c r="EU39" s="161"/>
      <c r="EV39" s="161"/>
      <c r="EW39" s="161"/>
      <c r="EX39" s="161"/>
      <c r="EY39" s="161"/>
      <c r="EZ39" s="161"/>
      <c r="FA39" s="161"/>
      <c r="FB39" s="161"/>
      <c r="FC39" s="161"/>
      <c r="FD39" s="161"/>
      <c r="FE39" s="161"/>
      <c r="FF39" s="161"/>
      <c r="FG39" s="161"/>
      <c r="FH39" s="163" cm="1">
        <f t="array" ref="FH39">ROW()-ROW(Ongoing[#Headers])</f>
        <v>33</v>
      </c>
      <c r="FI39" s="164" t="s">
        <v>768</v>
      </c>
      <c r="FJ39" s="164" t="s">
        <v>755</v>
      </c>
      <c r="FK39" s="164">
        <v>0</v>
      </c>
      <c r="FL39" s="164" t="s">
        <v>769</v>
      </c>
      <c r="FM39" s="164">
        <v>0</v>
      </c>
      <c r="FN39" s="164">
        <v>0</v>
      </c>
      <c r="FO39" s="164">
        <v>0</v>
      </c>
      <c r="FP39" s="164">
        <v>0</v>
      </c>
    </row>
    <row r="40" spans="2:172" s="115" customFormat="1" ht="11.25" x14ac:dyDescent="0.2">
      <c r="B40" s="1531" t="s">
        <v>1007</v>
      </c>
      <c r="C40" s="1532" t="s">
        <v>2044</v>
      </c>
      <c r="D40" s="1533" t="s">
        <v>35</v>
      </c>
      <c r="E40" s="1534" t="s">
        <v>810</v>
      </c>
      <c r="F40" s="1535" t="s">
        <v>1736</v>
      </c>
      <c r="G40" s="1536" t="s">
        <v>49</v>
      </c>
      <c r="H40" s="1537" t="s">
        <v>43</v>
      </c>
      <c r="I40" s="1538" t="s">
        <v>71</v>
      </c>
      <c r="J40" s="1539" t="s">
        <v>1624</v>
      </c>
      <c r="K40" s="1540" t="s">
        <v>779</v>
      </c>
      <c r="L40" s="1541" t="s">
        <v>305</v>
      </c>
      <c r="M40" s="1542" t="s">
        <v>3873</v>
      </c>
      <c r="N40" s="1543" t="s">
        <v>3871</v>
      </c>
      <c r="O40" s="148"/>
      <c r="P40" s="161">
        <f>SUM(Q40:AP40)</f>
      </c>
      <c r="Q40" s="161"/>
      <c r="R40" s="161"/>
      <c r="S40" s="161"/>
      <c r="T40" s="161"/>
      <c r="U40" s="161"/>
      <c r="V40" s="1544" t="n">
        <v>100.0</v>
      </c>
      <c r="W40" s="161"/>
      <c r="X40" s="161"/>
      <c r="Y40" s="161"/>
      <c r="Z40" s="161"/>
      <c r="AA40" s="161"/>
      <c r="AB40" s="161"/>
      <c r="AC40" s="161"/>
      <c r="AD40" s="161"/>
      <c r="AE40" s="161"/>
      <c r="AF40" s="161"/>
      <c r="AG40" s="161"/>
      <c r="AH40" s="161"/>
      <c r="AI40" s="161"/>
      <c r="AJ40" s="161"/>
      <c r="AK40" s="161"/>
      <c r="AL40" s="161"/>
      <c r="AM40" s="161"/>
      <c r="AN40" s="161"/>
      <c r="AO40" s="161"/>
      <c r="AP40" s="161"/>
      <c r="AQ40" s="161">
        <f>SUM(AR40:AU40)</f>
      </c>
      <c r="AR40" s="161"/>
      <c r="AS40" s="161"/>
      <c r="AT40" s="161"/>
      <c r="AU40" s="161"/>
      <c r="AV40" s="161">
        <f>SUM(AW40:BH40)</f>
      </c>
      <c r="AW40" s="161"/>
      <c r="AX40" s="161"/>
      <c r="AY40" s="161"/>
      <c r="AZ40" s="161"/>
      <c r="BA40" s="161"/>
      <c r="BB40" s="161"/>
      <c r="BC40" s="161"/>
      <c r="BD40" s="161"/>
      <c r="BE40" s="161"/>
      <c r="BF40" s="161"/>
      <c r="BG40" s="161"/>
      <c r="BH40" s="161"/>
      <c r="BI40" s="161"/>
      <c r="BJ40" s="161"/>
      <c r="BK40" s="161"/>
      <c r="BL40" s="161"/>
      <c r="BM40" s="161"/>
      <c r="BN40" s="161"/>
      <c r="BO40" s="161"/>
      <c r="BP40" s="161"/>
      <c r="BQ40" s="161"/>
      <c r="BR40" s="161"/>
      <c r="BS40" s="161">
        <f>SUM(BT40:BV40)</f>
      </c>
      <c r="BT40" s="161"/>
      <c r="BU40" s="161"/>
      <c r="BV40" s="161"/>
      <c r="BW40" s="161">
        <f>SUM(BX40:CC40)</f>
      </c>
      <c r="BX40" s="161"/>
      <c r="BY40" s="161"/>
      <c r="BZ40" s="161"/>
      <c r="CA40" s="161"/>
      <c r="CB40" s="161"/>
      <c r="CC40" s="161"/>
      <c r="CD40" s="161"/>
      <c r="CE40" s="161"/>
      <c r="CF40" s="161"/>
      <c r="CG40" s="161"/>
      <c r="CH40" s="161"/>
      <c r="CI40" s="161"/>
      <c r="CJ40" s="161">
        <f>SUM(CK40:CM40)</f>
      </c>
      <c r="CK40" s="161"/>
      <c r="CL40" s="161"/>
      <c r="CM40" s="161"/>
      <c r="CN40" s="161">
        <f>SUM(CO40:CS40)</f>
      </c>
      <c r="CO40" s="161"/>
      <c r="CP40" s="161"/>
      <c r="CQ40" s="161"/>
      <c r="CR40" s="161"/>
      <c r="CS40" s="161"/>
      <c r="CT40" s="161"/>
      <c r="CU40" s="161"/>
      <c r="CV40" s="161"/>
      <c r="CW40" s="161"/>
      <c r="CX40" s="161"/>
      <c r="CY40" s="161"/>
      <c r="CZ40" s="161"/>
      <c r="DA40" s="161"/>
      <c r="DB40" s="161"/>
      <c r="DC40" s="161"/>
      <c r="DD40" s="161"/>
      <c r="DE40" s="161"/>
      <c r="DF40" s="161">
        <f>SUM(DG40:DG40)</f>
      </c>
      <c r="DG40" s="161"/>
      <c r="DH40" s="161"/>
      <c r="DI40" s="161"/>
      <c r="DJ40" s="161">
        <f>SUM(DK40:DP40)</f>
      </c>
      <c r="DK40" s="161"/>
      <c r="DL40" s="161"/>
      <c r="DM40" s="161"/>
      <c r="DN40" s="161"/>
      <c r="DO40" s="161"/>
      <c r="DP40" s="161"/>
      <c r="DQ40" s="161"/>
      <c r="DR40" s="161"/>
      <c r="DS40" s="161"/>
      <c r="DT40" s="161"/>
      <c r="DU40" s="161"/>
      <c r="DV40" s="161"/>
      <c r="DW40" s="161"/>
      <c r="DX40" s="161"/>
      <c r="DY40" s="161"/>
      <c r="DZ40" s="161"/>
      <c r="EA40" s="161"/>
      <c r="EB40" s="161"/>
      <c r="EC40" s="161"/>
      <c r="ED40" s="161"/>
      <c r="EE40" s="161"/>
      <c r="EF40" s="161">
        <f>SUM(EG40:EP40)</f>
      </c>
      <c r="EG40" s="161"/>
      <c r="EH40" s="161"/>
      <c r="EI40" s="161"/>
      <c r="EJ40" s="161"/>
      <c r="EK40" s="161"/>
      <c r="EL40" s="161"/>
      <c r="EM40" s="161"/>
      <c r="EN40" s="161"/>
      <c r="EO40" s="161"/>
      <c r="EP40" s="161"/>
      <c r="EQ40" s="161">
        <f>SUM(ER40:ES40)</f>
      </c>
      <c r="ER40" s="161"/>
      <c r="ES40" s="161"/>
      <c r="ET40" s="161"/>
      <c r="EU40" s="161"/>
      <c r="EV40" s="161"/>
      <c r="EW40" s="161"/>
      <c r="EX40" s="161"/>
      <c r="EY40" s="161"/>
      <c r="EZ40" s="161"/>
      <c r="FA40" s="161"/>
      <c r="FB40" s="161"/>
      <c r="FC40" s="161"/>
      <c r="FD40" s="161"/>
      <c r="FE40" s="161"/>
      <c r="FF40" s="161"/>
      <c r="FG40" s="161"/>
      <c r="FH40" s="163" cm="1">
        <f t="array" ref="FH40">ROW()-ROW(Ongoing[#Headers])</f>
        <v>34</v>
      </c>
      <c r="FI40" s="164" t="s">
        <v>838</v>
      </c>
      <c r="FJ40" s="164" t="s">
        <v>755</v>
      </c>
      <c r="FK40" s="164">
        <v>0</v>
      </c>
      <c r="FL40" s="164" t="s">
        <v>769</v>
      </c>
      <c r="FM40" s="164">
        <v>0</v>
      </c>
      <c r="FN40" s="164" t="s">
        <v>757</v>
      </c>
      <c r="FO40" s="164" t="s">
        <v>839</v>
      </c>
      <c r="FP40" s="164" t="s">
        <v>759</v>
      </c>
    </row>
    <row r="41" spans="2:172" s="115" customFormat="1" ht="11.25" x14ac:dyDescent="0.2">
      <c r="B41" s="1586" t="s">
        <v>1119</v>
      </c>
      <c r="C41" s="1587" t="s">
        <v>1120</v>
      </c>
      <c r="D41" s="1588" t="s">
        <v>35</v>
      </c>
      <c r="E41" s="1589" t="s">
        <v>1116</v>
      </c>
      <c r="F41" s="1590" t="s">
        <v>1597</v>
      </c>
      <c r="G41" s="1591" t="s">
        <v>53</v>
      </c>
      <c r="H41" s="1592" t="s">
        <v>41</v>
      </c>
      <c r="I41" s="1593" t="s">
        <v>68</v>
      </c>
      <c r="J41" s="1594" t="s">
        <v>1571</v>
      </c>
      <c r="K41" s="1595" t="s">
        <v>787</v>
      </c>
      <c r="L41" s="1596" t="s">
        <v>305</v>
      </c>
      <c r="M41" s="1597" t="s">
        <v>3873</v>
      </c>
      <c r="N41" s="1598" t="s">
        <v>3871</v>
      </c>
      <c r="O41" s="148"/>
      <c r="P41" s="161">
        <f>SUM(Q41:AP41)</f>
      </c>
      <c r="Q41" s="1599" t="n">
        <v>528.0</v>
      </c>
      <c r="R41" s="161"/>
      <c r="S41" s="161"/>
      <c r="T41" s="161"/>
      <c r="U41" s="161"/>
      <c r="V41" s="161"/>
      <c r="W41" s="161"/>
      <c r="X41" s="161"/>
      <c r="Y41" s="161"/>
      <c r="Z41" s="161"/>
      <c r="AA41" s="161"/>
      <c r="AB41" s="161"/>
      <c r="AC41" s="161"/>
      <c r="AD41" s="161"/>
      <c r="AE41" s="161"/>
      <c r="AF41" s="161"/>
      <c r="AG41" s="161"/>
      <c r="AH41" s="161"/>
      <c r="AI41" s="161"/>
      <c r="AJ41" s="161"/>
      <c r="AK41" s="161"/>
      <c r="AL41" s="161"/>
      <c r="AM41" s="161"/>
      <c r="AN41" s="161"/>
      <c r="AO41" s="161"/>
      <c r="AP41" s="161"/>
      <c r="AQ41" s="161">
        <f>SUM(AR41:AU41)</f>
      </c>
      <c r="AR41" s="161"/>
      <c r="AS41" s="161"/>
      <c r="AT41" s="161"/>
      <c r="AU41" s="161"/>
      <c r="AV41" s="161">
        <f>SUM(AW41:BH41)</f>
      </c>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f>SUM(BT41:BV41)</f>
      </c>
      <c r="BT41" s="161"/>
      <c r="BU41" s="161"/>
      <c r="BV41" s="161"/>
      <c r="BW41" s="161">
        <f>SUM(BX41:CC41)</f>
      </c>
      <c r="BX41" s="161"/>
      <c r="BY41" s="161"/>
      <c r="BZ41" s="161"/>
      <c r="CA41" s="161"/>
      <c r="CB41" s="161"/>
      <c r="CC41" s="161"/>
      <c r="CD41" s="161"/>
      <c r="CE41" s="161"/>
      <c r="CF41" s="161"/>
      <c r="CG41" s="161"/>
      <c r="CH41" s="161"/>
      <c r="CI41" s="161"/>
      <c r="CJ41" s="161">
        <f>SUM(CK41:CM41)</f>
      </c>
      <c r="CK41" s="161"/>
      <c r="CL41" s="161"/>
      <c r="CM41" s="161"/>
      <c r="CN41" s="161">
        <f>SUM(CO41:CS41)</f>
      </c>
      <c r="CO41" s="161"/>
      <c r="CP41" s="161"/>
      <c r="CQ41" s="161"/>
      <c r="CR41" s="161"/>
      <c r="CS41" s="161"/>
      <c r="CT41" s="161"/>
      <c r="CU41" s="161"/>
      <c r="CV41" s="161"/>
      <c r="CW41" s="161"/>
      <c r="CX41" s="161"/>
      <c r="CY41" s="161"/>
      <c r="CZ41" s="161"/>
      <c r="DA41" s="161"/>
      <c r="DB41" s="161"/>
      <c r="DC41" s="161"/>
      <c r="DD41" s="161"/>
      <c r="DE41" s="161"/>
      <c r="DF41" s="161">
        <f>SUM(DG41:DG41)</f>
      </c>
      <c r="DG41" s="161"/>
      <c r="DH41" s="161"/>
      <c r="DI41" s="161"/>
      <c r="DJ41" s="161">
        <f>SUM(DK41:DP41)</f>
      </c>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f>SUM(EG41:EP41)</f>
      </c>
      <c r="EG41" s="161"/>
      <c r="EH41" s="161"/>
      <c r="EI41" s="161"/>
      <c r="EJ41" s="161"/>
      <c r="EK41" s="161"/>
      <c r="EL41" s="161"/>
      <c r="EM41" s="161"/>
      <c r="EN41" s="161"/>
      <c r="EO41" s="161"/>
      <c r="EP41" s="161"/>
      <c r="EQ41" s="161">
        <f>SUM(ER41:ES41)</f>
      </c>
      <c r="ER41" s="161"/>
      <c r="ES41" s="161"/>
      <c r="ET41" s="161"/>
      <c r="EU41" s="161"/>
      <c r="EV41" s="161"/>
      <c r="EW41" s="161"/>
      <c r="EX41" s="161"/>
      <c r="EY41" s="161"/>
      <c r="EZ41" s="161"/>
      <c r="FA41" s="161"/>
      <c r="FB41" s="161"/>
      <c r="FC41" s="161"/>
      <c r="FD41" s="161"/>
      <c r="FE41" s="161"/>
      <c r="FF41" s="161"/>
      <c r="FG41" s="161"/>
      <c r="FH41" s="163" cm="1">
        <f t="array" ref="FH41">ROW()-ROW(Ongoing[#Headers])</f>
        <v>35</v>
      </c>
      <c r="FI41" s="164" t="s">
        <v>768</v>
      </c>
      <c r="FJ41" s="164" t="s">
        <v>755</v>
      </c>
      <c r="FK41" s="164">
        <v>0</v>
      </c>
      <c r="FL41" s="164" t="s">
        <v>769</v>
      </c>
      <c r="FM41" s="164">
        <v>0</v>
      </c>
      <c r="FN41" s="164">
        <v>0</v>
      </c>
      <c r="FO41" s="164">
        <v>0</v>
      </c>
      <c r="FP41" s="164">
        <v>0</v>
      </c>
    </row>
    <row r="42" spans="2:172" s="115" customFormat="1" ht="11.25" x14ac:dyDescent="0.2">
      <c r="B42" s="1617" t="s">
        <v>3812</v>
      </c>
      <c r="C42" s="1618" t="s">
        <v>3813</v>
      </c>
      <c r="D42" s="1619" t="s">
        <v>13</v>
      </c>
      <c r="E42" s="1620" t="s">
        <v>1230</v>
      </c>
      <c r="F42" s="1621" t="s">
        <v>345</v>
      </c>
      <c r="G42" s="1622" t="s">
        <v>46</v>
      </c>
      <c r="H42" s="1623" t="s">
        <v>41</v>
      </c>
      <c r="I42" s="1624" t="s">
        <v>64</v>
      </c>
      <c r="J42" s="1625" t="s">
        <v>1232</v>
      </c>
      <c r="K42" s="1626" t="s">
        <v>1285</v>
      </c>
      <c r="L42" s="1627" t="s">
        <v>1615</v>
      </c>
      <c r="M42" s="1628" t="s">
        <v>3873</v>
      </c>
      <c r="N42" s="1629" t="s">
        <v>3871</v>
      </c>
      <c r="O42" s="148"/>
      <c r="P42" s="161">
        <f>SUM(Q42:AP42)</f>
      </c>
      <c r="Q42" s="161"/>
      <c r="R42" s="161"/>
      <c r="S42" s="1630" t="n">
        <v>400.0</v>
      </c>
      <c r="T42" s="161"/>
      <c r="U42" s="161"/>
      <c r="V42" s="161"/>
      <c r="W42" s="161"/>
      <c r="X42" s="1631" t="n">
        <v>1000.0</v>
      </c>
      <c r="Y42" s="161"/>
      <c r="Z42" s="161"/>
      <c r="AA42" s="161"/>
      <c r="AB42" s="161"/>
      <c r="AC42" s="161"/>
      <c r="AD42" s="161"/>
      <c r="AE42" s="161"/>
      <c r="AF42" s="161"/>
      <c r="AG42" s="161"/>
      <c r="AH42" s="161"/>
      <c r="AI42" s="161"/>
      <c r="AJ42" s="161"/>
      <c r="AK42" s="161"/>
      <c r="AL42" s="161"/>
      <c r="AM42" s="1632" t="n">
        <v>600.0</v>
      </c>
      <c r="AN42" s="161"/>
      <c r="AO42" s="161"/>
      <c r="AP42" s="161"/>
      <c r="AQ42" s="161">
        <f>SUM(AR42:AU42)</f>
      </c>
      <c r="AR42" s="161"/>
      <c r="AS42" s="161"/>
      <c r="AT42" s="161"/>
      <c r="AU42" s="161"/>
      <c r="AV42" s="161">
        <f>SUM(AW42:BH42)</f>
      </c>
      <c r="AW42" s="161"/>
      <c r="AX42" s="161"/>
      <c r="AY42" s="161"/>
      <c r="AZ42" s="161"/>
      <c r="BA42" s="161"/>
      <c r="BB42" s="161"/>
      <c r="BC42" s="161"/>
      <c r="BD42" s="161"/>
      <c r="BE42" s="161"/>
      <c r="BF42" s="161"/>
      <c r="BG42" s="161"/>
      <c r="BH42" s="161"/>
      <c r="BI42" s="161"/>
      <c r="BJ42" s="161"/>
      <c r="BK42" s="161"/>
      <c r="BL42" s="161"/>
      <c r="BM42" s="161"/>
      <c r="BN42" s="161"/>
      <c r="BO42" s="161"/>
      <c r="BP42" s="161"/>
      <c r="BQ42" s="161"/>
      <c r="BR42" s="161"/>
      <c r="BS42" s="161">
        <f>SUM(BT42:BV42)</f>
      </c>
      <c r="BT42" s="161"/>
      <c r="BU42" s="161"/>
      <c r="BV42" s="161"/>
      <c r="BW42" s="161">
        <f>SUM(BX42:CC42)</f>
      </c>
      <c r="BX42" s="161"/>
      <c r="BY42" s="161"/>
      <c r="BZ42" s="161"/>
      <c r="CA42" s="161"/>
      <c r="CB42" s="161"/>
      <c r="CC42" s="161"/>
      <c r="CD42" s="161"/>
      <c r="CE42" s="161"/>
      <c r="CF42" s="161"/>
      <c r="CG42" s="161"/>
      <c r="CH42" s="161"/>
      <c r="CI42" s="161"/>
      <c r="CJ42" s="161">
        <f>SUM(CK42:CM42)</f>
      </c>
      <c r="CK42" s="161"/>
      <c r="CL42" s="161"/>
      <c r="CM42" s="161"/>
      <c r="CN42" s="161">
        <f>SUM(CO42:CS42)</f>
      </c>
      <c r="CO42" s="161"/>
      <c r="CP42" s="161"/>
      <c r="CQ42" s="161"/>
      <c r="CR42" s="161"/>
      <c r="CS42" s="161"/>
      <c r="CT42" s="161"/>
      <c r="CU42" s="161"/>
      <c r="CV42" s="161"/>
      <c r="CW42" s="161"/>
      <c r="CX42" s="161"/>
      <c r="CY42" s="161"/>
      <c r="CZ42" s="161"/>
      <c r="DA42" s="161"/>
      <c r="DB42" s="161"/>
      <c r="DC42" s="161"/>
      <c r="DD42" s="161"/>
      <c r="DE42" s="161"/>
      <c r="DF42" s="161">
        <f>SUM(DG42:DG42)</f>
      </c>
      <c r="DG42" s="1633" t="n">
        <v>50.0</v>
      </c>
      <c r="DH42" s="161"/>
      <c r="DI42" s="161"/>
      <c r="DJ42" s="161">
        <f>SUM(DK42:DP42)</f>
      </c>
      <c r="DK42" s="161"/>
      <c r="DL42" s="161"/>
      <c r="DM42" s="161"/>
      <c r="DN42" s="161"/>
      <c r="DO42" s="161"/>
      <c r="DP42" s="161"/>
      <c r="DQ42" s="161"/>
      <c r="DR42" s="161"/>
      <c r="DS42" s="161"/>
      <c r="DT42" s="161"/>
      <c r="DU42" s="161"/>
      <c r="DV42" s="161"/>
      <c r="DW42" s="161"/>
      <c r="DX42" s="161"/>
      <c r="DY42" s="161"/>
      <c r="DZ42" s="161"/>
      <c r="EA42" s="161"/>
      <c r="EB42" s="161"/>
      <c r="EC42" s="161"/>
      <c r="ED42" s="161"/>
      <c r="EE42" s="161"/>
      <c r="EF42" s="161">
        <f>SUM(EG42:EP42)</f>
      </c>
      <c r="EG42" s="161"/>
      <c r="EH42" s="161"/>
      <c r="EI42" s="161"/>
      <c r="EJ42" s="161"/>
      <c r="EK42" s="161"/>
      <c r="EL42" s="161"/>
      <c r="EM42" s="161"/>
      <c r="EN42" s="161"/>
      <c r="EO42" s="161"/>
      <c r="EP42" s="161"/>
      <c r="EQ42" s="161">
        <f>SUM(ER42:ES42)</f>
      </c>
      <c r="ER42" s="161"/>
      <c r="ES42" s="161"/>
      <c r="ET42" s="161"/>
      <c r="EU42" s="161"/>
      <c r="EV42" s="161"/>
      <c r="EW42" s="161"/>
      <c r="EX42" s="161"/>
      <c r="EY42" s="161"/>
      <c r="EZ42" s="161"/>
      <c r="FA42" s="161"/>
      <c r="FB42" s="161"/>
      <c r="FC42" s="161"/>
      <c r="FD42" s="161"/>
      <c r="FE42" s="161"/>
      <c r="FF42" s="161"/>
      <c r="FG42" s="161"/>
      <c r="FH42" s="163" cm="1">
        <f t="array" ref="FH42">ROW()-ROW(Ongoing[#Headers])</f>
        <v>36</v>
      </c>
      <c r="FI42" s="164" t="s">
        <v>838</v>
      </c>
      <c r="FJ42" s="164" t="s">
        <v>755</v>
      </c>
      <c r="FK42" s="164">
        <v>0</v>
      </c>
      <c r="FL42" s="164" t="s">
        <v>769</v>
      </c>
      <c r="FM42" s="164">
        <v>0</v>
      </c>
      <c r="FN42" s="164" t="s">
        <v>757</v>
      </c>
      <c r="FO42" s="164" t="s">
        <v>839</v>
      </c>
      <c r="FP42" s="164" t="s">
        <v>759</v>
      </c>
    </row>
    <row r="43" spans="2:172" s="115" customFormat="1" ht="11.25" x14ac:dyDescent="0.2">
      <c r="B43" s="1677" t="s">
        <v>922</v>
      </c>
      <c r="C43" s="1678" t="s">
        <v>923</v>
      </c>
      <c r="D43" s="1679" t="s">
        <v>13</v>
      </c>
      <c r="E43" s="1680" t="s">
        <v>750</v>
      </c>
      <c r="F43" s="1681" t="s">
        <v>1597</v>
      </c>
      <c r="G43" s="1682" t="s">
        <v>49</v>
      </c>
      <c r="H43" s="1683" t="s">
        <v>41</v>
      </c>
      <c r="I43" s="1684" t="s">
        <v>64</v>
      </c>
      <c r="J43" s="1685" t="s">
        <v>1609</v>
      </c>
      <c r="K43" s="1686" t="s">
        <v>751</v>
      </c>
      <c r="L43" s="1687" t="s">
        <v>305</v>
      </c>
      <c r="M43" s="1688" t="s">
        <v>3873</v>
      </c>
      <c r="N43" s="1689" t="s">
        <v>3874</v>
      </c>
      <c r="O43" s="148"/>
      <c r="P43" s="161">
        <f>SUM(Q43:AP43)</f>
      </c>
      <c r="Q43" s="161"/>
      <c r="R43" s="161"/>
      <c r="S43" s="1690" t="n">
        <v>140.0</v>
      </c>
      <c r="T43" s="161"/>
      <c r="U43" s="161"/>
      <c r="V43" s="161"/>
      <c r="W43" s="161"/>
      <c r="X43" s="161"/>
      <c r="Y43" s="161"/>
      <c r="Z43" s="161"/>
      <c r="AA43" s="161"/>
      <c r="AB43" s="161"/>
      <c r="AC43" s="161"/>
      <c r="AD43" s="161"/>
      <c r="AE43" s="161"/>
      <c r="AF43" s="161"/>
      <c r="AG43" s="161"/>
      <c r="AH43" s="161"/>
      <c r="AI43" s="161"/>
      <c r="AJ43" s="161"/>
      <c r="AK43" s="161"/>
      <c r="AL43" s="161"/>
      <c r="AM43" s="1691" t="n">
        <v>20.0</v>
      </c>
      <c r="AN43" s="161"/>
      <c r="AO43" s="161"/>
      <c r="AP43" s="161"/>
      <c r="AQ43" s="161">
        <f>SUM(AR43:AU43)</f>
      </c>
      <c r="AR43" s="161"/>
      <c r="AS43" s="161"/>
      <c r="AT43" s="161"/>
      <c r="AU43" s="161"/>
      <c r="AV43" s="161">
        <f>SUM(AW43:BH43)</f>
      </c>
      <c r="AW43" s="161"/>
      <c r="AX43" s="161"/>
      <c r="AY43" s="161"/>
      <c r="AZ43" s="161"/>
      <c r="BA43" s="161"/>
      <c r="BB43" s="161"/>
      <c r="BC43" s="161"/>
      <c r="BD43" s="161"/>
      <c r="BE43" s="161"/>
      <c r="BF43" s="161"/>
      <c r="BG43" s="161"/>
      <c r="BH43" s="161"/>
      <c r="BI43" s="161"/>
      <c r="BJ43" s="161"/>
      <c r="BK43" s="161"/>
      <c r="BL43" s="161"/>
      <c r="BM43" s="161"/>
      <c r="BN43" s="161"/>
      <c r="BO43" s="161"/>
      <c r="BP43" s="161"/>
      <c r="BQ43" s="161"/>
      <c r="BR43" s="161"/>
      <c r="BS43" s="161">
        <f>SUM(BT43:BV43)</f>
      </c>
      <c r="BT43" s="161"/>
      <c r="BU43" s="161"/>
      <c r="BV43" s="161"/>
      <c r="BW43" s="161">
        <f>SUM(BX43:CC43)</f>
      </c>
      <c r="BX43" s="161"/>
      <c r="BY43" s="161"/>
      <c r="BZ43" s="161"/>
      <c r="CA43" s="161"/>
      <c r="CB43" s="161"/>
      <c r="CC43" s="161"/>
      <c r="CD43" s="161"/>
      <c r="CE43" s="161"/>
      <c r="CF43" s="161"/>
      <c r="CG43" s="161"/>
      <c r="CH43" s="161"/>
      <c r="CI43" s="161"/>
      <c r="CJ43" s="161">
        <f>SUM(CK43:CM43)</f>
      </c>
      <c r="CK43" s="161"/>
      <c r="CL43" s="161"/>
      <c r="CM43" s="161"/>
      <c r="CN43" s="161">
        <f>SUM(CO43:CS43)</f>
      </c>
      <c r="CO43" s="161"/>
      <c r="CP43" s="161"/>
      <c r="CQ43" s="161"/>
      <c r="CR43" s="161"/>
      <c r="CS43" s="161"/>
      <c r="CT43" s="161"/>
      <c r="CU43" s="161"/>
      <c r="CV43" s="161"/>
      <c r="CW43" s="161"/>
      <c r="CX43" s="161"/>
      <c r="CY43" s="161"/>
      <c r="CZ43" s="161"/>
      <c r="DA43" s="161"/>
      <c r="DB43" s="161"/>
      <c r="DC43" s="161"/>
      <c r="DD43" s="161"/>
      <c r="DE43" s="161"/>
      <c r="DF43" s="161">
        <f>SUM(DG43:DG43)</f>
      </c>
      <c r="DG43" s="161"/>
      <c r="DH43" s="161"/>
      <c r="DI43" s="161"/>
      <c r="DJ43" s="161">
        <f>SUM(DK43:DP43)</f>
      </c>
      <c r="DK43" s="161"/>
      <c r="DL43" s="161"/>
      <c r="DM43" s="161"/>
      <c r="DN43" s="161"/>
      <c r="DO43" s="161"/>
      <c r="DP43" s="161"/>
      <c r="DQ43" s="161"/>
      <c r="DR43" s="161"/>
      <c r="DS43" s="161"/>
      <c r="DT43" s="161"/>
      <c r="DU43" s="161"/>
      <c r="DV43" s="161"/>
      <c r="DW43" s="161"/>
      <c r="DX43" s="161"/>
      <c r="DY43" s="161"/>
      <c r="DZ43" s="161"/>
      <c r="EA43" s="161"/>
      <c r="EB43" s="161"/>
      <c r="EC43" s="161"/>
      <c r="ED43" s="161"/>
      <c r="EE43" s="161"/>
      <c r="EF43" s="161">
        <f>SUM(EG43:EP43)</f>
      </c>
      <c r="EG43" s="161"/>
      <c r="EH43" s="161"/>
      <c r="EI43" s="161"/>
      <c r="EJ43" s="161"/>
      <c r="EK43" s="161"/>
      <c r="EL43" s="161"/>
      <c r="EM43" s="161"/>
      <c r="EN43" s="161"/>
      <c r="EO43" s="161"/>
      <c r="EP43" s="161"/>
      <c r="EQ43" s="161">
        <f>SUM(ER43:ES43)</f>
      </c>
      <c r="ER43" s="161"/>
      <c r="ES43" s="161"/>
      <c r="ET43" s="161"/>
      <c r="EU43" s="161"/>
      <c r="EV43" s="161"/>
      <c r="EW43" s="161"/>
      <c r="EX43" s="161"/>
      <c r="EY43" s="161"/>
      <c r="EZ43" s="161"/>
      <c r="FA43" s="161"/>
      <c r="FB43" s="161"/>
      <c r="FC43" s="161"/>
      <c r="FD43" s="161"/>
      <c r="FE43" s="161"/>
      <c r="FF43" s="161"/>
      <c r="FG43" s="161"/>
      <c r="FH43" s="163" cm="1">
        <f t="array" ref="FH43">ROW()-ROW(Ongoing[#Headers])</f>
        <v>37</v>
      </c>
      <c r="FI43" s="164" t="e">
        <v>#N/A</v>
      </c>
      <c r="FJ43" s="164" t="s">
        <v>788</v>
      </c>
      <c r="FK43" s="164" t="e">
        <v>#N/A</v>
      </c>
      <c r="FL43" s="164" t="e">
        <v>#N/A</v>
      </c>
      <c r="FM43" s="164" t="e">
        <v>#N/A</v>
      </c>
      <c r="FN43" s="164" t="e">
        <v>#N/A</v>
      </c>
      <c r="FO43" s="164" t="e">
        <v>#N/A</v>
      </c>
      <c r="FP43" s="164" t="e">
        <v>#N/A</v>
      </c>
    </row>
    <row r="44" spans="2:172" s="115" customFormat="1" ht="11.25" x14ac:dyDescent="0.2">
      <c r="B44" s="1706" t="s">
        <v>912</v>
      </c>
      <c r="C44" s="1707" t="s">
        <v>913</v>
      </c>
      <c r="D44" s="1708" t="s">
        <v>13</v>
      </c>
      <c r="E44" s="1709" t="s">
        <v>898</v>
      </c>
      <c r="F44" s="1710" t="s">
        <v>1597</v>
      </c>
      <c r="G44" s="1711" t="s">
        <v>46</v>
      </c>
      <c r="H44" s="1712" t="s">
        <v>41</v>
      </c>
      <c r="I44" s="1713" t="s">
        <v>71</v>
      </c>
      <c r="J44" s="1714" t="s">
        <v>791</v>
      </c>
      <c r="K44" s="1715" t="s">
        <v>779</v>
      </c>
      <c r="L44" s="1716" t="s">
        <v>305</v>
      </c>
      <c r="M44" s="1717" t="s">
        <v>3873</v>
      </c>
      <c r="N44" s="1718" t="s">
        <v>3871</v>
      </c>
      <c r="O44" s="148"/>
      <c r="P44" s="161">
        <f>SUM(Q44:AP44)</f>
      </c>
      <c r="Q44" s="161"/>
      <c r="R44" s="161"/>
      <c r="S44" s="161"/>
      <c r="T44" s="161"/>
      <c r="U44" s="161"/>
      <c r="V44" s="161"/>
      <c r="W44" s="161"/>
      <c r="X44" s="161"/>
      <c r="Y44" s="161"/>
      <c r="Z44" s="161"/>
      <c r="AA44" s="161"/>
      <c r="AB44" s="161"/>
      <c r="AC44" s="161"/>
      <c r="AD44" s="161"/>
      <c r="AE44" s="161"/>
      <c r="AF44" s="161"/>
      <c r="AG44" s="161"/>
      <c r="AH44" s="1719" t="n">
        <v>160.0</v>
      </c>
      <c r="AI44" s="161"/>
      <c r="AJ44" s="161"/>
      <c r="AK44" s="161"/>
      <c r="AL44" s="161"/>
      <c r="AM44" s="161"/>
      <c r="AN44" s="161"/>
      <c r="AO44" s="161"/>
      <c r="AP44" s="161"/>
      <c r="AQ44" s="161">
        <f>SUM(AR44:AU44)</f>
      </c>
      <c r="AR44" s="161"/>
      <c r="AS44" s="161"/>
      <c r="AT44" s="161"/>
      <c r="AU44" s="161"/>
      <c r="AV44" s="161">
        <f>SUM(AW44:BH44)</f>
      </c>
      <c r="AW44" s="161"/>
      <c r="AX44" s="161"/>
      <c r="AY44" s="161"/>
      <c r="AZ44" s="161"/>
      <c r="BA44" s="161"/>
      <c r="BB44" s="161"/>
      <c r="BC44" s="161"/>
      <c r="BD44" s="161"/>
      <c r="BE44" s="161"/>
      <c r="BF44" s="161"/>
      <c r="BG44" s="161"/>
      <c r="BH44" s="161"/>
      <c r="BI44" s="161"/>
      <c r="BJ44" s="161"/>
      <c r="BK44" s="161"/>
      <c r="BL44" s="161"/>
      <c r="BM44" s="161"/>
      <c r="BN44" s="161"/>
      <c r="BO44" s="161"/>
      <c r="BP44" s="161"/>
      <c r="BQ44" s="161"/>
      <c r="BR44" s="161"/>
      <c r="BS44" s="161">
        <f>SUM(BT44:BV44)</f>
      </c>
      <c r="BT44" s="161"/>
      <c r="BU44" s="161"/>
      <c r="BV44" s="161"/>
      <c r="BW44" s="161">
        <f>SUM(BX44:CC44)</f>
      </c>
      <c r="BX44" s="161"/>
      <c r="BY44" s="161"/>
      <c r="BZ44" s="161"/>
      <c r="CA44" s="161"/>
      <c r="CB44" s="161"/>
      <c r="CC44" s="161"/>
      <c r="CD44" s="161"/>
      <c r="CE44" s="161"/>
      <c r="CF44" s="161"/>
      <c r="CG44" s="161"/>
      <c r="CH44" s="161"/>
      <c r="CI44" s="161"/>
      <c r="CJ44" s="161">
        <f>SUM(CK44:CM44)</f>
      </c>
      <c r="CK44" s="161"/>
      <c r="CL44" s="161"/>
      <c r="CM44" s="161"/>
      <c r="CN44" s="161">
        <f>SUM(CO44:CS44)</f>
      </c>
      <c r="CO44" s="161"/>
      <c r="CP44" s="161"/>
      <c r="CQ44" s="161"/>
      <c r="CR44" s="161"/>
      <c r="CS44" s="161"/>
      <c r="CT44" s="161"/>
      <c r="CU44" s="161"/>
      <c r="CV44" s="161"/>
      <c r="CW44" s="161"/>
      <c r="CX44" s="161"/>
      <c r="CY44" s="161"/>
      <c r="CZ44" s="161"/>
      <c r="DA44" s="161"/>
      <c r="DB44" s="161"/>
      <c r="DC44" s="161"/>
      <c r="DD44" s="161"/>
      <c r="DE44" s="161"/>
      <c r="DF44" s="161">
        <f>SUM(DG44:DG44)</f>
      </c>
      <c r="DG44" s="161"/>
      <c r="DH44" s="161"/>
      <c r="DI44" s="161"/>
      <c r="DJ44" s="161">
        <f>SUM(DK44:DP44)</f>
      </c>
      <c r="DK44" s="161"/>
      <c r="DL44" s="161"/>
      <c r="DM44" s="161"/>
      <c r="DN44" s="161"/>
      <c r="DO44" s="161"/>
      <c r="DP44" s="161"/>
      <c r="DQ44" s="161"/>
      <c r="DR44" s="161"/>
      <c r="DS44" s="161"/>
      <c r="DT44" s="161"/>
      <c r="DU44" s="161"/>
      <c r="DV44" s="161"/>
      <c r="DW44" s="161"/>
      <c r="DX44" s="161"/>
      <c r="DY44" s="161"/>
      <c r="DZ44" s="161"/>
      <c r="EA44" s="161"/>
      <c r="EB44" s="161"/>
      <c r="EC44" s="161"/>
      <c r="ED44" s="161"/>
      <c r="EE44" s="161"/>
      <c r="EF44" s="161">
        <f>SUM(EG44:EP44)</f>
      </c>
      <c r="EG44" s="161"/>
      <c r="EH44" s="161"/>
      <c r="EI44" s="161"/>
      <c r="EJ44" s="161"/>
      <c r="EK44" s="161"/>
      <c r="EL44" s="161"/>
      <c r="EM44" s="161"/>
      <c r="EN44" s="161"/>
      <c r="EO44" s="161"/>
      <c r="EP44" s="161"/>
      <c r="EQ44" s="161">
        <f>SUM(ER44:ES44)</f>
      </c>
      <c r="ER44" s="161"/>
      <c r="ES44" s="161"/>
      <c r="ET44" s="161"/>
      <c r="EU44" s="161"/>
      <c r="EV44" s="161"/>
      <c r="EW44" s="161"/>
      <c r="EX44" s="161"/>
      <c r="EY44" s="161"/>
      <c r="EZ44" s="161"/>
      <c r="FA44" s="161"/>
      <c r="FB44" s="161"/>
      <c r="FC44" s="161"/>
      <c r="FD44" s="161"/>
      <c r="FE44" s="161"/>
      <c r="FF44" s="161"/>
      <c r="FG44" s="161"/>
      <c r="FH44" s="163" cm="1">
        <f t="array" ref="FH44">ROW()-ROW(Ongoing[#Headers])</f>
        <v>38</v>
      </c>
      <c r="FI44" s="164" t="e">
        <v>#N/A</v>
      </c>
      <c r="FJ44" s="164" t="s">
        <v>788</v>
      </c>
      <c r="FK44" s="164" t="e">
        <v>#N/A</v>
      </c>
      <c r="FL44" s="164" t="e">
        <v>#N/A</v>
      </c>
      <c r="FM44" s="164" t="e">
        <v>#N/A</v>
      </c>
      <c r="FN44" s="164" t="e">
        <v>#N/A</v>
      </c>
      <c r="FO44" s="164" t="e">
        <v>#N/A</v>
      </c>
      <c r="FP44" s="164" t="e">
        <v>#N/A</v>
      </c>
    </row>
    <row r="45" spans="2:172" s="115" customFormat="1" ht="11.25" x14ac:dyDescent="0.2">
      <c r="B45" s="1747" t="s">
        <v>1096</v>
      </c>
      <c r="C45" s="1748" t="s">
        <v>1097</v>
      </c>
      <c r="D45" s="1749" t="s">
        <v>889</v>
      </c>
      <c r="E45" s="1750" t="s">
        <v>766</v>
      </c>
      <c r="F45" s="1751" t="s">
        <v>1597</v>
      </c>
      <c r="G45" s="1752" t="s">
        <v>46</v>
      </c>
      <c r="H45" s="1753" t="s">
        <v>41</v>
      </c>
      <c r="I45" s="1754" t="s">
        <v>68</v>
      </c>
      <c r="J45" s="1755" t="s">
        <v>771</v>
      </c>
      <c r="K45" s="1756" t="s">
        <v>767</v>
      </c>
      <c r="L45" s="1757" t="s">
        <v>305</v>
      </c>
      <c r="M45" s="1758" t="s">
        <v>3873</v>
      </c>
      <c r="N45" s="1759" t="s">
        <v>3871</v>
      </c>
      <c r="O45" s="148"/>
      <c r="P45" s="161">
        <f>SUM(Q45:AP45)</f>
      </c>
      <c r="Q45" s="161"/>
      <c r="R45" s="161"/>
      <c r="S45" s="161"/>
      <c r="T45" s="161"/>
      <c r="U45" s="161"/>
      <c r="V45" s="161"/>
      <c r="W45" s="161"/>
      <c r="X45" s="161"/>
      <c r="Y45" s="161"/>
      <c r="Z45" s="161"/>
      <c r="AA45" s="161"/>
      <c r="AB45" s="161"/>
      <c r="AC45" s="161"/>
      <c r="AD45" s="161"/>
      <c r="AE45" s="161"/>
      <c r="AF45" s="1760" t="n">
        <v>240.0</v>
      </c>
      <c r="AG45" s="161"/>
      <c r="AH45" s="161"/>
      <c r="AI45" s="161"/>
      <c r="AJ45" s="161"/>
      <c r="AK45" s="161"/>
      <c r="AL45" s="161"/>
      <c r="AM45" s="161"/>
      <c r="AN45" s="161"/>
      <c r="AO45" s="161"/>
      <c r="AP45" s="161"/>
      <c r="AQ45" s="161">
        <f>SUM(AR45:AU45)</f>
      </c>
      <c r="AR45" s="161"/>
      <c r="AS45" s="161"/>
      <c r="AT45" s="161"/>
      <c r="AU45" s="161"/>
      <c r="AV45" s="161">
        <f>SUM(AW45:BH45)</f>
      </c>
      <c r="AW45" s="161"/>
      <c r="AX45" s="161"/>
      <c r="AY45" s="161"/>
      <c r="AZ45" s="161"/>
      <c r="BA45" s="161"/>
      <c r="BB45" s="161"/>
      <c r="BC45" s="161"/>
      <c r="BD45" s="161"/>
      <c r="BE45" s="161"/>
      <c r="BF45" s="161"/>
      <c r="BG45" s="161"/>
      <c r="BH45" s="161"/>
      <c r="BI45" s="161"/>
      <c r="BJ45" s="161"/>
      <c r="BK45" s="161"/>
      <c r="BL45" s="161"/>
      <c r="BM45" s="161"/>
      <c r="BN45" s="161"/>
      <c r="BO45" s="161"/>
      <c r="BP45" s="161"/>
      <c r="BQ45" s="161"/>
      <c r="BR45" s="161"/>
      <c r="BS45" s="161">
        <f>SUM(BT45:BV45)</f>
      </c>
      <c r="BT45" s="161"/>
      <c r="BU45" s="161"/>
      <c r="BV45" s="161"/>
      <c r="BW45" s="161">
        <f>SUM(BX45:CC45)</f>
      </c>
      <c r="BX45" s="161"/>
      <c r="BY45" s="161"/>
      <c r="BZ45" s="161"/>
      <c r="CA45" s="161"/>
      <c r="CB45" s="161"/>
      <c r="CC45" s="161"/>
      <c r="CD45" s="161"/>
      <c r="CE45" s="161"/>
      <c r="CF45" s="161"/>
      <c r="CG45" s="161"/>
      <c r="CH45" s="161"/>
      <c r="CI45" s="161"/>
      <c r="CJ45" s="161">
        <f>SUM(CK45:CM45)</f>
      </c>
      <c r="CK45" s="161"/>
      <c r="CL45" s="161"/>
      <c r="CM45" s="161"/>
      <c r="CN45" s="161">
        <f>SUM(CO45:CS45)</f>
      </c>
      <c r="CO45" s="161"/>
      <c r="CP45" s="161"/>
      <c r="CQ45" s="161"/>
      <c r="CR45" s="161"/>
      <c r="CS45" s="161"/>
      <c r="CT45" s="161"/>
      <c r="CU45" s="161"/>
      <c r="CV45" s="161"/>
      <c r="CW45" s="161"/>
      <c r="CX45" s="161"/>
      <c r="CY45" s="161"/>
      <c r="CZ45" s="161"/>
      <c r="DA45" s="161"/>
      <c r="DB45" s="161"/>
      <c r="DC45" s="161"/>
      <c r="DD45" s="161"/>
      <c r="DE45" s="161"/>
      <c r="DF45" s="161">
        <f>SUM(DG45:DG45)</f>
      </c>
      <c r="DG45" s="1761" t="n">
        <v>384.0</v>
      </c>
      <c r="DH45" s="161"/>
      <c r="DI45" s="161"/>
      <c r="DJ45" s="161">
        <f>SUM(DK45:DP45)</f>
      </c>
      <c r="DK45" s="161"/>
      <c r="DL45" s="161"/>
      <c r="DM45" s="161"/>
      <c r="DN45" s="161"/>
      <c r="DO45" s="161"/>
      <c r="DP45" s="161"/>
      <c r="DQ45" s="161"/>
      <c r="DR45" s="161"/>
      <c r="DS45" s="161"/>
      <c r="DT45" s="161"/>
      <c r="DU45" s="161"/>
      <c r="DV45" s="161"/>
      <c r="DW45" s="161"/>
      <c r="DX45" s="161"/>
      <c r="DY45" s="161"/>
      <c r="DZ45" s="161"/>
      <c r="EA45" s="161"/>
      <c r="EB45" s="161"/>
      <c r="EC45" s="161"/>
      <c r="ED45" s="161"/>
      <c r="EE45" s="161"/>
      <c r="EF45" s="161">
        <f>SUM(EG45:EP45)</f>
      </c>
      <c r="EG45" s="161"/>
      <c r="EH45" s="161"/>
      <c r="EI45" s="161"/>
      <c r="EJ45" s="161"/>
      <c r="EK45" s="161"/>
      <c r="EL45" s="161"/>
      <c r="EM45" s="161"/>
      <c r="EN45" s="161"/>
      <c r="EO45" s="161"/>
      <c r="EP45" s="161"/>
      <c r="EQ45" s="161">
        <f>SUM(ER45:ES45)</f>
      </c>
      <c r="ER45" s="161"/>
      <c r="ES45" s="161"/>
      <c r="ET45" s="161"/>
      <c r="EU45" s="161"/>
      <c r="EV45" s="161"/>
      <c r="EW45" s="161"/>
      <c r="EX45" s="161"/>
      <c r="EY45" s="161"/>
      <c r="EZ45" s="161"/>
      <c r="FA45" s="161"/>
      <c r="FB45" s="161"/>
      <c r="FC45" s="161"/>
      <c r="FD45" s="161"/>
      <c r="FE45" s="161"/>
      <c r="FF45" s="161"/>
      <c r="FG45" s="161"/>
      <c r="FH45" s="163" cm="1">
        <f t="array" ref="FH45">ROW()-ROW(Ongoing[#Headers])</f>
        <v>39</v>
      </c>
      <c r="FI45" s="164"/>
      <c r="FJ45" s="164" t="s">
        <v>755</v>
      </c>
      <c r="FK45" s="164">
        <v>0</v>
      </c>
      <c r="FL45" s="164" t="s">
        <v>781</v>
      </c>
      <c r="FM45" s="164" t="s">
        <v>790</v>
      </c>
      <c r="FN45" s="164" t="s">
        <v>782</v>
      </c>
      <c r="FO45" s="164" t="s">
        <v>811</v>
      </c>
      <c r="FP45" s="164" t="s">
        <v>850</v>
      </c>
    </row>
    <row r="46" spans="2:172" s="115" customFormat="1" ht="11.25" x14ac:dyDescent="0.2">
      <c r="B46" s="1806" t="s">
        <v>1173</v>
      </c>
      <c r="C46" s="1807" t="s">
        <v>1174</v>
      </c>
      <c r="D46" s="1808" t="s">
        <v>20</v>
      </c>
      <c r="E46" s="1809" t="s">
        <v>810</v>
      </c>
      <c r="F46" s="1810" t="s">
        <v>1597</v>
      </c>
      <c r="G46" s="1811" t="s">
        <v>305</v>
      </c>
      <c r="H46" s="1812" t="s">
        <v>786</v>
      </c>
      <c r="I46" s="1813" t="s">
        <v>71</v>
      </c>
      <c r="J46" s="1814" t="s">
        <v>811</v>
      </c>
      <c r="K46" s="1815" t="s">
        <v>787</v>
      </c>
      <c r="L46" s="1816" t="s">
        <v>305</v>
      </c>
      <c r="M46" s="1817" t="s">
        <v>3875</v>
      </c>
      <c r="N46" s="1818" t="s">
        <v>3874</v>
      </c>
      <c r="O46" s="148"/>
      <c r="P46" s="161">
        <f>SUM(Q46:AP46)</f>
      </c>
      <c r="Q46" s="161"/>
      <c r="R46" s="161"/>
      <c r="S46" s="161"/>
      <c r="T46" s="161"/>
      <c r="U46" s="161"/>
      <c r="V46" s="1819" t="n">
        <v>50.0</v>
      </c>
      <c r="W46" s="161"/>
      <c r="X46" s="161"/>
      <c r="Y46" s="161"/>
      <c r="Z46" s="161"/>
      <c r="AA46" s="161"/>
      <c r="AB46" s="161"/>
      <c r="AC46" s="161"/>
      <c r="AD46" s="161"/>
      <c r="AE46" s="161"/>
      <c r="AF46" s="161"/>
      <c r="AG46" s="161"/>
      <c r="AH46" s="161"/>
      <c r="AI46" s="161"/>
      <c r="AJ46" s="161"/>
      <c r="AK46" s="161"/>
      <c r="AL46" s="161"/>
      <c r="AM46" s="161"/>
      <c r="AN46" s="161"/>
      <c r="AO46" s="161"/>
      <c r="AP46" s="161"/>
      <c r="AQ46" s="161">
        <f>SUM(AR46:AU46)</f>
      </c>
      <c r="AR46" s="161"/>
      <c r="AS46" s="161"/>
      <c r="AT46" s="161"/>
      <c r="AU46" s="161"/>
      <c r="AV46" s="161">
        <f>SUM(AW46:BH46)</f>
      </c>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f>SUM(BT46:BV46)</f>
      </c>
      <c r="BT46" s="161"/>
      <c r="BU46" s="161"/>
      <c r="BV46" s="161"/>
      <c r="BW46" s="161">
        <f>SUM(BX46:CC46)</f>
      </c>
      <c r="BX46" s="161"/>
      <c r="BY46" s="161"/>
      <c r="BZ46" s="161"/>
      <c r="CA46" s="161"/>
      <c r="CB46" s="161"/>
      <c r="CC46" s="161"/>
      <c r="CD46" s="161"/>
      <c r="CE46" s="161"/>
      <c r="CF46" s="161"/>
      <c r="CG46" s="161"/>
      <c r="CH46" s="161"/>
      <c r="CI46" s="161"/>
      <c r="CJ46" s="161">
        <f>SUM(CK46:CM46)</f>
      </c>
      <c r="CK46" s="161"/>
      <c r="CL46" s="161"/>
      <c r="CM46" s="161"/>
      <c r="CN46" s="161">
        <f>SUM(CO46:CS46)</f>
      </c>
      <c r="CO46" s="161"/>
      <c r="CP46" s="161"/>
      <c r="CQ46" s="161"/>
      <c r="CR46" s="161"/>
      <c r="CS46" s="161"/>
      <c r="CT46" s="161"/>
      <c r="CU46" s="161"/>
      <c r="CV46" s="161"/>
      <c r="CW46" s="161"/>
      <c r="CX46" s="161"/>
      <c r="CY46" s="161"/>
      <c r="CZ46" s="161"/>
      <c r="DA46" s="161"/>
      <c r="DB46" s="161"/>
      <c r="DC46" s="161"/>
      <c r="DD46" s="161"/>
      <c r="DE46" s="161"/>
      <c r="DF46" s="161">
        <f>SUM(DG46:DG46)</f>
      </c>
      <c r="DG46" s="161"/>
      <c r="DH46" s="161"/>
      <c r="DI46" s="161"/>
      <c r="DJ46" s="161">
        <f>SUM(DK46:DP46)</f>
      </c>
      <c r="DK46" s="161"/>
      <c r="DL46" s="161"/>
      <c r="DM46" s="161"/>
      <c r="DN46" s="161"/>
      <c r="DO46" s="161"/>
      <c r="DP46" s="161"/>
      <c r="DQ46" s="161"/>
      <c r="DR46" s="161"/>
      <c r="DS46" s="161"/>
      <c r="DT46" s="161"/>
      <c r="DU46" s="161"/>
      <c r="DV46" s="161"/>
      <c r="DW46" s="161"/>
      <c r="DX46" s="161"/>
      <c r="DY46" s="161"/>
      <c r="DZ46" s="161"/>
      <c r="EA46" s="161"/>
      <c r="EB46" s="161"/>
      <c r="EC46" s="161"/>
      <c r="ED46" s="161"/>
      <c r="EE46" s="161"/>
      <c r="EF46" s="161">
        <f>SUM(EG46:EP46)</f>
      </c>
      <c r="EG46" s="161"/>
      <c r="EH46" s="161"/>
      <c r="EI46" s="161"/>
      <c r="EJ46" s="161"/>
      <c r="EK46" s="161"/>
      <c r="EL46" s="161"/>
      <c r="EM46" s="161"/>
      <c r="EN46" s="161"/>
      <c r="EO46" s="161"/>
      <c r="EP46" s="161"/>
      <c r="EQ46" s="161">
        <f>SUM(ER46:ES46)</f>
      </c>
      <c r="ER46" s="161"/>
      <c r="ES46" s="161"/>
      <c r="ET46" s="161"/>
      <c r="EU46" s="161"/>
      <c r="EV46" s="161"/>
      <c r="EW46" s="161"/>
      <c r="EX46" s="161"/>
      <c r="EY46" s="161"/>
      <c r="EZ46" s="161"/>
      <c r="FA46" s="161"/>
      <c r="FB46" s="161"/>
      <c r="FC46" s="161"/>
      <c r="FD46" s="161"/>
      <c r="FE46" s="161"/>
      <c r="FF46" s="161"/>
      <c r="FG46" s="161"/>
      <c r="FH46" s="163" cm="1">
        <f t="array" ref="FH46">ROW()-ROW(Ongoing[#Headers])</f>
        <v>40</v>
      </c>
      <c r="FI46" s="164"/>
      <c r="FJ46" s="164" t="s">
        <v>755</v>
      </c>
      <c r="FK46" s="164">
        <v>0</v>
      </c>
      <c r="FL46" s="164" t="s">
        <v>781</v>
      </c>
      <c r="FM46" s="164" t="s">
        <v>790</v>
      </c>
      <c r="FN46" s="164" t="s">
        <v>782</v>
      </c>
      <c r="FO46" s="164" t="s">
        <v>811</v>
      </c>
      <c r="FP46" s="164" t="s">
        <v>759</v>
      </c>
    </row>
    <row r="47" spans="2:172" s="115" customFormat="1" ht="11.25" x14ac:dyDescent="0.2">
      <c r="B47" s="1847" t="s">
        <v>1311</v>
      </c>
      <c r="C47" s="1848" t="s">
        <v>1312</v>
      </c>
      <c r="D47" s="1849" t="s">
        <v>305</v>
      </c>
      <c r="E47" s="1850" t="s">
        <v>305</v>
      </c>
      <c r="F47" s="1851" t="s">
        <v>305</v>
      </c>
      <c r="G47" s="1852" t="s">
        <v>305</v>
      </c>
      <c r="H47" s="1853" t="s">
        <v>305</v>
      </c>
      <c r="I47" s="1854" t="s">
        <v>305</v>
      </c>
      <c r="J47" s="1855" t="s">
        <v>2077</v>
      </c>
      <c r="K47" s="1856" t="s">
        <v>305</v>
      </c>
      <c r="L47" s="1857" t="s">
        <v>305</v>
      </c>
      <c r="M47" s="1858" t="s">
        <v>3867</v>
      </c>
      <c r="N47" s="1859" t="s">
        <v>3868</v>
      </c>
      <c r="O47" s="148"/>
      <c r="P47" s="161">
        <f>SUM(Q47:AP47)</f>
      </c>
      <c r="Q47" s="161"/>
      <c r="R47" s="161"/>
      <c r="S47" s="161"/>
      <c r="T47" s="161"/>
      <c r="U47" s="161"/>
      <c r="V47" s="161"/>
      <c r="W47" s="161"/>
      <c r="X47" s="161"/>
      <c r="Y47" s="161"/>
      <c r="Z47" s="161"/>
      <c r="AA47" s="161"/>
      <c r="AB47" s="161"/>
      <c r="AC47" s="161"/>
      <c r="AD47" s="161"/>
      <c r="AE47" s="161"/>
      <c r="AF47" s="161"/>
      <c r="AG47" s="161"/>
      <c r="AH47" s="161"/>
      <c r="AI47" s="161"/>
      <c r="AJ47" s="161"/>
      <c r="AK47" s="161"/>
      <c r="AL47" s="161"/>
      <c r="AM47" s="161"/>
      <c r="AN47" s="161"/>
      <c r="AO47" s="161"/>
      <c r="AP47" s="161"/>
      <c r="AQ47" s="161">
        <f>SUM(AR47:AU47)</f>
      </c>
      <c r="AR47" s="161"/>
      <c r="AS47" s="161"/>
      <c r="AT47" s="161"/>
      <c r="AU47" s="161"/>
      <c r="AV47" s="161">
        <f>SUM(AW47:BH47)</f>
      </c>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f>SUM(BT47:BV47)</f>
      </c>
      <c r="BT47" s="161"/>
      <c r="BU47" s="161"/>
      <c r="BV47" s="161"/>
      <c r="BW47" s="161">
        <f>SUM(BX47:CC47)</f>
      </c>
      <c r="BX47" s="161"/>
      <c r="BY47" s="161"/>
      <c r="BZ47" s="161"/>
      <c r="CA47" s="161"/>
      <c r="CB47" s="161"/>
      <c r="CC47" s="161"/>
      <c r="CD47" s="161"/>
      <c r="CE47" s="161"/>
      <c r="CF47" s="161"/>
      <c r="CG47" s="161"/>
      <c r="CH47" s="161"/>
      <c r="CI47" s="161"/>
      <c r="CJ47" s="161">
        <f>SUM(CK47:CM47)</f>
      </c>
      <c r="CK47" s="161"/>
      <c r="CL47" s="161"/>
      <c r="CM47" s="161"/>
      <c r="CN47" s="161">
        <f>SUM(CO47:CS47)</f>
      </c>
      <c r="CO47" s="161"/>
      <c r="CP47" s="161"/>
      <c r="CQ47" s="161"/>
      <c r="CR47" s="161"/>
      <c r="CS47" s="161"/>
      <c r="CT47" s="161"/>
      <c r="CU47" s="161"/>
      <c r="CV47" s="161"/>
      <c r="CW47" s="161"/>
      <c r="CX47" s="161"/>
      <c r="CY47" s="161"/>
      <c r="CZ47" s="161"/>
      <c r="DA47" s="161"/>
      <c r="DB47" s="161"/>
      <c r="DC47" s="161"/>
      <c r="DD47" s="161"/>
      <c r="DE47" s="161"/>
      <c r="DF47" s="161">
        <f>SUM(DG47:DG47)</f>
      </c>
      <c r="DG47" s="161"/>
      <c r="DH47" s="161"/>
      <c r="DI47" s="161"/>
      <c r="DJ47" s="161">
        <f>SUM(DK47:DP47)</f>
      </c>
      <c r="DK47" s="161"/>
      <c r="DL47" s="161"/>
      <c r="DM47" s="161"/>
      <c r="DN47" s="161"/>
      <c r="DO47" s="161"/>
      <c r="DP47" s="161"/>
      <c r="DQ47" s="161"/>
      <c r="DR47" s="161"/>
      <c r="DS47" s="161"/>
      <c r="DT47" s="161"/>
      <c r="DU47" s="161"/>
      <c r="DV47" s="161"/>
      <c r="DW47" s="161"/>
      <c r="DX47" s="161"/>
      <c r="DY47" s="161"/>
      <c r="DZ47" s="161"/>
      <c r="EA47" s="161"/>
      <c r="EB47" s="161"/>
      <c r="EC47" s="161"/>
      <c r="ED47" s="161"/>
      <c r="EE47" s="161"/>
      <c r="EF47" s="161">
        <f>SUM(EG47:EP47)</f>
      </c>
      <c r="EG47" s="161"/>
      <c r="EH47" s="161"/>
      <c r="EI47" s="161"/>
      <c r="EJ47" s="161"/>
      <c r="EK47" s="161"/>
      <c r="EL47" s="161"/>
      <c r="EM47" s="161"/>
      <c r="EN47" s="161"/>
      <c r="EO47" s="161"/>
      <c r="EP47" s="161"/>
      <c r="EQ47" s="161">
        <f>SUM(ER47:ES47)</f>
      </c>
      <c r="ER47" s="161"/>
      <c r="ES47" s="161"/>
      <c r="ET47" s="161"/>
      <c r="EU47" s="161"/>
      <c r="EV47" s="161"/>
      <c r="EW47" s="161"/>
      <c r="EX47" s="161"/>
      <c r="EY47" s="161"/>
      <c r="EZ47" s="161"/>
      <c r="FA47" s="161"/>
      <c r="FB47" s="161"/>
      <c r="FC47" s="161"/>
      <c r="FD47" s="161"/>
      <c r="FE47" s="161"/>
      <c r="FF47" s="161"/>
      <c r="FG47" s="161"/>
      <c r="FH47" s="163" cm="1">
        <f t="array" ref="FH47">ROW()-ROW(Ongoing[#Headers])</f>
        <v>41</v>
      </c>
      <c r="FI47" s="164" t="e">
        <v>#N/A</v>
      </c>
      <c r="FJ47" s="164" t="s">
        <v>788</v>
      </c>
      <c r="FK47" s="164">
        <v>0</v>
      </c>
      <c r="FL47" s="164" t="s">
        <v>781</v>
      </c>
      <c r="FM47" s="164" t="s">
        <v>790</v>
      </c>
      <c r="FN47" s="164" t="s">
        <v>782</v>
      </c>
      <c r="FO47" s="164" t="s">
        <v>811</v>
      </c>
      <c r="FP47" s="164" t="s">
        <v>759</v>
      </c>
    </row>
    <row r="48" spans="2:172" s="115" customFormat="1" ht="11.25" x14ac:dyDescent="0.2">
      <c r="B48" s="1874" t="s">
        <v>896</v>
      </c>
      <c r="C48" s="1875" t="s">
        <v>897</v>
      </c>
      <c r="D48" s="1876" t="s">
        <v>23</v>
      </c>
      <c r="E48" s="1877" t="s">
        <v>898</v>
      </c>
      <c r="F48" s="1878" t="s">
        <v>1597</v>
      </c>
      <c r="G48" s="1879" t="s">
        <v>51</v>
      </c>
      <c r="H48" s="1880" t="s">
        <v>786</v>
      </c>
      <c r="I48" s="1881" t="s">
        <v>71</v>
      </c>
      <c r="J48" s="1882" t="s">
        <v>1609</v>
      </c>
      <c r="K48" s="1883" t="s">
        <v>787</v>
      </c>
      <c r="L48" s="1884" t="s">
        <v>1615</v>
      </c>
      <c r="M48" s="1885" t="s">
        <v>3873</v>
      </c>
      <c r="N48" s="1886" t="s">
        <v>3871</v>
      </c>
      <c r="O48" s="148"/>
      <c r="P48" s="161">
        <f>SUM(Q48:AP48)</f>
      </c>
      <c r="Q48" s="161"/>
      <c r="R48" s="161"/>
      <c r="S48" s="161"/>
      <c r="T48" s="161"/>
      <c r="U48" s="161"/>
      <c r="V48" s="161"/>
      <c r="W48" s="161"/>
      <c r="X48" s="161"/>
      <c r="Y48" s="161"/>
      <c r="Z48" s="161"/>
      <c r="AA48" s="161"/>
      <c r="AB48" s="161"/>
      <c r="AC48" s="161"/>
      <c r="AD48" s="161"/>
      <c r="AE48" s="161"/>
      <c r="AF48" s="161"/>
      <c r="AG48" s="1887" t="n">
        <v>250.0</v>
      </c>
      <c r="AH48" s="1888" t="n">
        <v>55.0</v>
      </c>
      <c r="AI48" s="161"/>
      <c r="AJ48" s="161"/>
      <c r="AK48" s="161"/>
      <c r="AL48" s="161"/>
      <c r="AM48" s="161"/>
      <c r="AN48" s="161"/>
      <c r="AO48" s="161"/>
      <c r="AP48" s="161"/>
      <c r="AQ48" s="161">
        <f>SUM(AR48:AU48)</f>
      </c>
      <c r="AR48" s="161"/>
      <c r="AS48" s="161"/>
      <c r="AT48" s="161"/>
      <c r="AU48" s="161"/>
      <c r="AV48" s="161">
        <f>SUM(AW48:BH48)</f>
      </c>
      <c r="AW48" s="161"/>
      <c r="AX48" s="161"/>
      <c r="AY48" s="161"/>
      <c r="AZ48" s="161"/>
      <c r="BA48" s="161"/>
      <c r="BB48" s="161"/>
      <c r="BC48" s="161"/>
      <c r="BD48" s="161"/>
      <c r="BE48" s="161"/>
      <c r="BF48" s="161"/>
      <c r="BG48" s="161"/>
      <c r="BH48" s="161"/>
      <c r="BI48" s="161"/>
      <c r="BJ48" s="161"/>
      <c r="BK48" s="161"/>
      <c r="BL48" s="161"/>
      <c r="BM48" s="161"/>
      <c r="BN48" s="161"/>
      <c r="BO48" s="161"/>
      <c r="BP48" s="161"/>
      <c r="BQ48" s="161"/>
      <c r="BR48" s="161"/>
      <c r="BS48" s="161">
        <f>SUM(BT48:BV48)</f>
      </c>
      <c r="BT48" s="161"/>
      <c r="BU48" s="161"/>
      <c r="BV48" s="161"/>
      <c r="BW48" s="161">
        <f>SUM(BX48:CC48)</f>
      </c>
      <c r="BX48" s="161"/>
      <c r="BY48" s="161"/>
      <c r="BZ48" s="161"/>
      <c r="CA48" s="161"/>
      <c r="CB48" s="161"/>
      <c r="CC48" s="161"/>
      <c r="CD48" s="161"/>
      <c r="CE48" s="161"/>
      <c r="CF48" s="161"/>
      <c r="CG48" s="161"/>
      <c r="CH48" s="161"/>
      <c r="CI48" s="161"/>
      <c r="CJ48" s="161">
        <f>SUM(CK48:CM48)</f>
      </c>
      <c r="CK48" s="161"/>
      <c r="CL48" s="161"/>
      <c r="CM48" s="161"/>
      <c r="CN48" s="161">
        <f>SUM(CO48:CS48)</f>
      </c>
      <c r="CO48" s="161"/>
      <c r="CP48" s="161"/>
      <c r="CQ48" s="161"/>
      <c r="CR48" s="161"/>
      <c r="CS48" s="161"/>
      <c r="CT48" s="161"/>
      <c r="CU48" s="161"/>
      <c r="CV48" s="161"/>
      <c r="CW48" s="161"/>
      <c r="CX48" s="161"/>
      <c r="CY48" s="161"/>
      <c r="CZ48" s="161"/>
      <c r="DA48" s="161"/>
      <c r="DB48" s="161"/>
      <c r="DC48" s="161"/>
      <c r="DD48" s="161"/>
      <c r="DE48" s="161"/>
      <c r="DF48" s="161">
        <f>SUM(DG48:DG48)</f>
      </c>
      <c r="DG48" s="161"/>
      <c r="DH48" s="161"/>
      <c r="DI48" s="161"/>
      <c r="DJ48" s="161">
        <f>SUM(DK48:DP48)</f>
      </c>
      <c r="DK48" s="161"/>
      <c r="DL48" s="161"/>
      <c r="DM48" s="161"/>
      <c r="DN48" s="161"/>
      <c r="DO48" s="161"/>
      <c r="DP48" s="161"/>
      <c r="DQ48" s="161"/>
      <c r="DR48" s="161"/>
      <c r="DS48" s="161"/>
      <c r="DT48" s="161"/>
      <c r="DU48" s="161"/>
      <c r="DV48" s="161"/>
      <c r="DW48" s="161"/>
      <c r="DX48" s="161"/>
      <c r="DY48" s="161"/>
      <c r="DZ48" s="161"/>
      <c r="EA48" s="161"/>
      <c r="EB48" s="161"/>
      <c r="EC48" s="161"/>
      <c r="ED48" s="161"/>
      <c r="EE48" s="161"/>
      <c r="EF48" s="161">
        <f>SUM(EG48:EP48)</f>
      </c>
      <c r="EG48" s="161"/>
      <c r="EH48" s="161"/>
      <c r="EI48" s="161"/>
      <c r="EJ48" s="161"/>
      <c r="EK48" s="161"/>
      <c r="EL48" s="161"/>
      <c r="EM48" s="161"/>
      <c r="EN48" s="161"/>
      <c r="EO48" s="161"/>
      <c r="EP48" s="161"/>
      <c r="EQ48" s="161">
        <f>SUM(ER48:ES48)</f>
      </c>
      <c r="ER48" s="161"/>
      <c r="ES48" s="161"/>
      <c r="ET48" s="161"/>
      <c r="EU48" s="161"/>
      <c r="EV48" s="161"/>
      <c r="EW48" s="161"/>
      <c r="EX48" s="161"/>
      <c r="EY48" s="161"/>
      <c r="EZ48" s="161"/>
      <c r="FA48" s="161"/>
      <c r="FB48" s="161"/>
      <c r="FC48" s="161"/>
      <c r="FD48" s="161"/>
      <c r="FE48" s="161"/>
      <c r="FF48" s="161"/>
      <c r="FG48" s="161"/>
      <c r="FH48" s="163" cm="1">
        <f t="array" ref="FH48">ROW()-ROW(Ongoing[#Headers])</f>
        <v>42</v>
      </c>
      <c r="FI48" s="164" t="e">
        <v>#N/A</v>
      </c>
      <c r="FJ48" s="164" t="s">
        <v>788</v>
      </c>
      <c r="FK48" s="164">
        <v>0</v>
      </c>
      <c r="FL48" s="164" t="s">
        <v>789</v>
      </c>
      <c r="FM48" s="164" t="s">
        <v>790</v>
      </c>
      <c r="FN48" s="164" t="s">
        <v>782</v>
      </c>
      <c r="FO48" s="164" t="s">
        <v>791</v>
      </c>
      <c r="FP48" s="164" t="s">
        <v>792</v>
      </c>
    </row>
    <row r="49" spans="2:172" s="115" customFormat="1" ht="11.25" x14ac:dyDescent="0.2">
      <c r="B49" s="1977" t="s">
        <v>982</v>
      </c>
      <c r="C49" s="1978" t="s">
        <v>983</v>
      </c>
      <c r="D49" s="1979" t="s">
        <v>23</v>
      </c>
      <c r="E49" s="1980" t="s">
        <v>984</v>
      </c>
      <c r="F49" s="1981" t="s">
        <v>1597</v>
      </c>
      <c r="G49" s="1982" t="s">
        <v>46</v>
      </c>
      <c r="H49" s="1983" t="s">
        <v>41</v>
      </c>
      <c r="I49" s="1984" t="s">
        <v>64</v>
      </c>
      <c r="J49" s="1985" t="s">
        <v>985</v>
      </c>
      <c r="K49" s="1986" t="s">
        <v>934</v>
      </c>
      <c r="L49" s="1987" t="s">
        <v>305</v>
      </c>
      <c r="M49" s="1988" t="s">
        <v>3873</v>
      </c>
      <c r="N49" s="1989" t="s">
        <v>3871</v>
      </c>
      <c r="O49" s="148"/>
      <c r="P49" s="161">
        <f>SUM(Q49:AP49)</f>
      </c>
      <c r="Q49" s="161"/>
      <c r="R49" s="1990" t="n">
        <v>1250.0</v>
      </c>
      <c r="S49" s="161"/>
      <c r="T49" s="161"/>
      <c r="U49" s="161"/>
      <c r="V49" s="161"/>
      <c r="W49" s="161"/>
      <c r="X49" s="161"/>
      <c r="Y49" s="161"/>
      <c r="Z49" s="161"/>
      <c r="AA49" s="161"/>
      <c r="AB49" s="161"/>
      <c r="AC49" s="161"/>
      <c r="AD49" s="161"/>
      <c r="AE49" s="161"/>
      <c r="AF49" s="161"/>
      <c r="AG49" s="161"/>
      <c r="AH49" s="161"/>
      <c r="AI49" s="161"/>
      <c r="AJ49" s="161"/>
      <c r="AK49" s="161"/>
      <c r="AL49" s="161"/>
      <c r="AM49" s="161"/>
      <c r="AN49" s="161"/>
      <c r="AO49" s="161"/>
      <c r="AP49" s="161"/>
      <c r="AQ49" s="161">
        <f>SUM(AR49:AU49)</f>
      </c>
      <c r="AR49" s="161"/>
      <c r="AS49" s="161"/>
      <c r="AT49" s="161"/>
      <c r="AU49" s="161"/>
      <c r="AV49" s="161">
        <f>SUM(AW49:BH49)</f>
      </c>
      <c r="AW49" s="161"/>
      <c r="AX49" s="161"/>
      <c r="AY49" s="161"/>
      <c r="AZ49" s="161"/>
      <c r="BA49" s="161"/>
      <c r="BB49" s="161"/>
      <c r="BC49" s="161"/>
      <c r="BD49" s="161"/>
      <c r="BE49" s="161"/>
      <c r="BF49" s="161"/>
      <c r="BG49" s="161"/>
      <c r="BH49" s="161"/>
      <c r="BI49" s="161"/>
      <c r="BJ49" s="161"/>
      <c r="BK49" s="161"/>
      <c r="BL49" s="161"/>
      <c r="BM49" s="161"/>
      <c r="BN49" s="161"/>
      <c r="BO49" s="161"/>
      <c r="BP49" s="161"/>
      <c r="BQ49" s="161"/>
      <c r="BR49" s="161"/>
      <c r="BS49" s="161">
        <f>SUM(BT49:BV49)</f>
      </c>
      <c r="BT49" s="161"/>
      <c r="BU49" s="161"/>
      <c r="BV49" s="161"/>
      <c r="BW49" s="161">
        <f>SUM(BX49:CC49)</f>
      </c>
      <c r="BX49" s="161"/>
      <c r="BY49" s="161"/>
      <c r="BZ49" s="161"/>
      <c r="CA49" s="161"/>
      <c r="CB49" s="161"/>
      <c r="CC49" s="161"/>
      <c r="CD49" s="161"/>
      <c r="CE49" s="161"/>
      <c r="CF49" s="161"/>
      <c r="CG49" s="161"/>
      <c r="CH49" s="161"/>
      <c r="CI49" s="161"/>
      <c r="CJ49" s="161">
        <f>SUM(CK49:CM49)</f>
      </c>
      <c r="CK49" s="161"/>
      <c r="CL49" s="161"/>
      <c r="CM49" s="161"/>
      <c r="CN49" s="161">
        <f>SUM(CO49:CS49)</f>
      </c>
      <c r="CO49" s="161"/>
      <c r="CP49" s="161"/>
      <c r="CQ49" s="161"/>
      <c r="CR49" s="161"/>
      <c r="CS49" s="161"/>
      <c r="CT49" s="161"/>
      <c r="CU49" s="161"/>
      <c r="CV49" s="161"/>
      <c r="CW49" s="161"/>
      <c r="CX49" s="161"/>
      <c r="CY49" s="161"/>
      <c r="CZ49" s="161"/>
      <c r="DA49" s="161"/>
      <c r="DB49" s="161"/>
      <c r="DC49" s="161"/>
      <c r="DD49" s="161"/>
      <c r="DE49" s="161"/>
      <c r="DF49" s="161">
        <f>SUM(DG49:DG49)</f>
      </c>
      <c r="DG49" s="161"/>
      <c r="DH49" s="161"/>
      <c r="DI49" s="161"/>
      <c r="DJ49" s="161">
        <f>SUM(DK49:DP49)</f>
      </c>
      <c r="DK49" s="161"/>
      <c r="DL49" s="161"/>
      <c r="DM49" s="161"/>
      <c r="DN49" s="161"/>
      <c r="DO49" s="161"/>
      <c r="DP49" s="161"/>
      <c r="DQ49" s="161"/>
      <c r="DR49" s="161"/>
      <c r="DS49" s="161"/>
      <c r="DT49" s="161"/>
      <c r="DU49" s="161"/>
      <c r="DV49" s="161"/>
      <c r="DW49" s="161"/>
      <c r="DX49" s="161"/>
      <c r="DY49" s="161"/>
      <c r="DZ49" s="161"/>
      <c r="EA49" s="161"/>
      <c r="EB49" s="161"/>
      <c r="EC49" s="161"/>
      <c r="ED49" s="161"/>
      <c r="EE49" s="161"/>
      <c r="EF49" s="161">
        <f>SUM(EG49:EP49)</f>
      </c>
      <c r="EG49" s="161"/>
      <c r="EH49" s="161"/>
      <c r="EI49" s="161"/>
      <c r="EJ49" s="161"/>
      <c r="EK49" s="161"/>
      <c r="EL49" s="161"/>
      <c r="EM49" s="161"/>
      <c r="EN49" s="161"/>
      <c r="EO49" s="161"/>
      <c r="EP49" s="161"/>
      <c r="EQ49" s="161">
        <f>SUM(ER49:ES49)</f>
      </c>
      <c r="ER49" s="161"/>
      <c r="ES49" s="161"/>
      <c r="ET49" s="161"/>
      <c r="EU49" s="161"/>
      <c r="EV49" s="161"/>
      <c r="EW49" s="161"/>
      <c r="EX49" s="161"/>
      <c r="EY49" s="161"/>
      <c r="EZ49" s="161"/>
      <c r="FA49" s="161"/>
      <c r="FB49" s="161"/>
      <c r="FC49" s="161"/>
      <c r="FD49" s="161"/>
      <c r="FE49" s="161"/>
      <c r="FF49" s="161"/>
      <c r="FG49" s="161"/>
      <c r="FH49" s="163" cm="1">
        <f t="array" ref="FH49">ROW()-ROW(Ongoing[#Headers])</f>
        <v>43</v>
      </c>
      <c r="FI49" s="164" t="e">
        <v>#N/A</v>
      </c>
      <c r="FJ49" s="164" t="s">
        <v>788</v>
      </c>
      <c r="FK49" s="164">
        <v>0</v>
      </c>
      <c r="FL49" s="164" t="s">
        <v>789</v>
      </c>
      <c r="FM49" s="164" t="s">
        <v>790</v>
      </c>
      <c r="FN49" s="164" t="s">
        <v>782</v>
      </c>
      <c r="FO49" s="164" t="s">
        <v>811</v>
      </c>
      <c r="FP49" s="164" t="s">
        <v>792</v>
      </c>
    </row>
    <row r="50" spans="2:172" s="115" customFormat="1" ht="11.25" x14ac:dyDescent="0.2">
      <c r="B50" s="2020" t="s">
        <v>1179</v>
      </c>
      <c r="C50" s="2021" t="s">
        <v>1180</v>
      </c>
      <c r="D50" s="2022" t="s">
        <v>20</v>
      </c>
      <c r="E50" s="2023" t="s">
        <v>810</v>
      </c>
      <c r="F50" s="2024" t="s">
        <v>1597</v>
      </c>
      <c r="G50" s="2025" t="s">
        <v>305</v>
      </c>
      <c r="H50" s="2026" t="s">
        <v>786</v>
      </c>
      <c r="I50" s="2027" t="s">
        <v>71</v>
      </c>
      <c r="J50" s="2028" t="s">
        <v>811</v>
      </c>
      <c r="K50" s="2029" t="s">
        <v>779</v>
      </c>
      <c r="L50" s="2030" t="s">
        <v>305</v>
      </c>
      <c r="M50" s="2031" t="s">
        <v>3873</v>
      </c>
      <c r="N50" s="2032" t="s">
        <v>3871</v>
      </c>
      <c r="O50" s="148"/>
      <c r="P50" s="161">
        <f>SUM(Q50:AP50)</f>
      </c>
      <c r="Q50" s="161"/>
      <c r="R50" s="161"/>
      <c r="S50" s="161"/>
      <c r="T50" s="161"/>
      <c r="U50" s="161"/>
      <c r="V50" s="2033" t="n">
        <v>490.0</v>
      </c>
      <c r="W50" s="161"/>
      <c r="X50" s="161"/>
      <c r="Y50" s="161"/>
      <c r="Z50" s="161"/>
      <c r="AA50" s="161"/>
      <c r="AB50" s="161"/>
      <c r="AC50" s="161"/>
      <c r="AD50" s="161"/>
      <c r="AE50" s="161"/>
      <c r="AF50" s="161"/>
      <c r="AG50" s="161"/>
      <c r="AH50" s="161"/>
      <c r="AI50" s="161"/>
      <c r="AJ50" s="161"/>
      <c r="AK50" s="161"/>
      <c r="AL50" s="161"/>
      <c r="AM50" s="161"/>
      <c r="AN50" s="161"/>
      <c r="AO50" s="161"/>
      <c r="AP50" s="161"/>
      <c r="AQ50" s="161">
        <f>SUM(AR50:AU50)</f>
      </c>
      <c r="AR50" s="161"/>
      <c r="AS50" s="161"/>
      <c r="AT50" s="161"/>
      <c r="AU50" s="161"/>
      <c r="AV50" s="161">
        <f>SUM(AW50:BH50)</f>
      </c>
      <c r="AW50" s="161"/>
      <c r="AX50" s="161"/>
      <c r="AY50" s="161"/>
      <c r="AZ50" s="161"/>
      <c r="BA50" s="161"/>
      <c r="BB50" s="161"/>
      <c r="BC50" s="161"/>
      <c r="BD50" s="161"/>
      <c r="BE50" s="161"/>
      <c r="BF50" s="161"/>
      <c r="BG50" s="161"/>
      <c r="BH50" s="161"/>
      <c r="BI50" s="161"/>
      <c r="BJ50" s="161"/>
      <c r="BK50" s="161"/>
      <c r="BL50" s="161"/>
      <c r="BM50" s="161"/>
      <c r="BN50" s="161"/>
      <c r="BO50" s="161"/>
      <c r="BP50" s="161"/>
      <c r="BQ50" s="161"/>
      <c r="BR50" s="161"/>
      <c r="BS50" s="161">
        <f>SUM(BT50:BV50)</f>
      </c>
      <c r="BT50" s="161"/>
      <c r="BU50" s="161"/>
      <c r="BV50" s="161"/>
      <c r="BW50" s="161">
        <f>SUM(BX50:CC50)</f>
      </c>
      <c r="BX50" s="161"/>
      <c r="BY50" s="161"/>
      <c r="BZ50" s="161"/>
      <c r="CA50" s="161"/>
      <c r="CB50" s="161"/>
      <c r="CC50" s="161"/>
      <c r="CD50" s="161"/>
      <c r="CE50" s="161"/>
      <c r="CF50" s="161"/>
      <c r="CG50" s="161"/>
      <c r="CH50" s="161"/>
      <c r="CI50" s="161"/>
      <c r="CJ50" s="161">
        <f>SUM(CK50:CM50)</f>
      </c>
      <c r="CK50" s="161"/>
      <c r="CL50" s="161"/>
      <c r="CM50" s="161"/>
      <c r="CN50" s="161">
        <f>SUM(CO50:CS50)</f>
      </c>
      <c r="CO50" s="161"/>
      <c r="CP50" s="161"/>
      <c r="CQ50" s="161"/>
      <c r="CR50" s="161"/>
      <c r="CS50" s="161"/>
      <c r="CT50" s="161"/>
      <c r="CU50" s="161"/>
      <c r="CV50" s="161"/>
      <c r="CW50" s="161"/>
      <c r="CX50" s="161"/>
      <c r="CY50" s="161"/>
      <c r="CZ50" s="161"/>
      <c r="DA50" s="161"/>
      <c r="DB50" s="161"/>
      <c r="DC50" s="161"/>
      <c r="DD50" s="161"/>
      <c r="DE50" s="161"/>
      <c r="DF50" s="161">
        <f>SUM(DG50:DG50)</f>
      </c>
      <c r="DG50" s="161"/>
      <c r="DH50" s="161"/>
      <c r="DI50" s="161"/>
      <c r="DJ50" s="161">
        <f>SUM(DK50:DP50)</f>
      </c>
      <c r="DK50" s="161"/>
      <c r="DL50" s="161"/>
      <c r="DM50" s="161"/>
      <c r="DN50" s="161"/>
      <c r="DO50" s="161"/>
      <c r="DP50" s="161"/>
      <c r="DQ50" s="161"/>
      <c r="DR50" s="161"/>
      <c r="DS50" s="161"/>
      <c r="DT50" s="161"/>
      <c r="DU50" s="161"/>
      <c r="DV50" s="161"/>
      <c r="DW50" s="161"/>
      <c r="DX50" s="161"/>
      <c r="DY50" s="161"/>
      <c r="DZ50" s="161"/>
      <c r="EA50" s="161"/>
      <c r="EB50" s="161"/>
      <c r="EC50" s="161"/>
      <c r="ED50" s="161"/>
      <c r="EE50" s="161"/>
      <c r="EF50" s="161">
        <f>SUM(EG50:EP50)</f>
      </c>
      <c r="EG50" s="161"/>
      <c r="EH50" s="161"/>
      <c r="EI50" s="161"/>
      <c r="EJ50" s="161"/>
      <c r="EK50" s="161"/>
      <c r="EL50" s="161"/>
      <c r="EM50" s="161"/>
      <c r="EN50" s="161"/>
      <c r="EO50" s="161"/>
      <c r="EP50" s="161"/>
      <c r="EQ50" s="161">
        <f>SUM(ER50:ES50)</f>
      </c>
      <c r="ER50" s="161"/>
      <c r="ES50" s="161"/>
      <c r="ET50" s="161"/>
      <c r="EU50" s="161"/>
      <c r="EV50" s="161"/>
      <c r="EW50" s="161"/>
      <c r="EX50" s="161"/>
      <c r="EY50" s="161"/>
      <c r="EZ50" s="161"/>
      <c r="FA50" s="161"/>
      <c r="FB50" s="161"/>
      <c r="FC50" s="161"/>
      <c r="FD50" s="161"/>
      <c r="FE50" s="161"/>
      <c r="FF50" s="161"/>
      <c r="FG50" s="161"/>
      <c r="FH50" s="163" cm="1">
        <f t="array" ref="FH50">ROW()-ROW(Ongoing[#Headers])</f>
        <v>44</v>
      </c>
      <c r="FI50" s="164" t="e">
        <v>#N/A</v>
      </c>
      <c r="FJ50" s="164" t="s">
        <v>788</v>
      </c>
      <c r="FK50" s="164">
        <v>0</v>
      </c>
      <c r="FL50" s="164" t="s">
        <v>789</v>
      </c>
      <c r="FM50" s="164" t="s">
        <v>790</v>
      </c>
      <c r="FN50" s="164" t="s">
        <v>782</v>
      </c>
      <c r="FO50" s="164" t="s">
        <v>811</v>
      </c>
      <c r="FP50" s="164" t="s">
        <v>792</v>
      </c>
    </row>
    <row r="51" spans="2:172" s="115" customFormat="1" ht="11.25" x14ac:dyDescent="0.2">
      <c r="B51" s="2065" t="s">
        <v>876</v>
      </c>
      <c r="C51" s="2066" t="s">
        <v>2017</v>
      </c>
      <c r="D51" s="2067" t="s">
        <v>20</v>
      </c>
      <c r="E51" s="2068" t="s">
        <v>766</v>
      </c>
      <c r="F51" s="2069" t="s">
        <v>1597</v>
      </c>
      <c r="G51" s="2070" t="s">
        <v>305</v>
      </c>
      <c r="H51" s="2071" t="s">
        <v>786</v>
      </c>
      <c r="I51" s="2072" t="s">
        <v>68</v>
      </c>
      <c r="J51" s="2073" t="s">
        <v>771</v>
      </c>
      <c r="K51" s="2074" t="s">
        <v>767</v>
      </c>
      <c r="L51" s="2075" t="s">
        <v>305</v>
      </c>
      <c r="M51" s="2076" t="s">
        <v>3873</v>
      </c>
      <c r="N51" s="2077" t="s">
        <v>3876</v>
      </c>
      <c r="O51" s="148"/>
      <c r="P51" s="161">
        <f>SUM(Q51:AP51)</f>
      </c>
      <c r="Q51" s="161"/>
      <c r="R51" s="161"/>
      <c r="S51" s="161"/>
      <c r="T51" s="161"/>
      <c r="U51" s="161"/>
      <c r="V51" s="161"/>
      <c r="W51" s="161"/>
      <c r="X51" s="161"/>
      <c r="Y51" s="161"/>
      <c r="Z51" s="161"/>
      <c r="AA51" s="161"/>
      <c r="AB51" s="161"/>
      <c r="AC51" s="161"/>
      <c r="AD51" s="161"/>
      <c r="AE51" s="161"/>
      <c r="AF51" s="2078" t="n">
        <v>240.0</v>
      </c>
      <c r="AG51" s="161"/>
      <c r="AH51" s="161"/>
      <c r="AI51" s="161"/>
      <c r="AJ51" s="161"/>
      <c r="AK51" s="161"/>
      <c r="AL51" s="161"/>
      <c r="AM51" s="161"/>
      <c r="AN51" s="161"/>
      <c r="AO51" s="161"/>
      <c r="AP51" s="161"/>
      <c r="AQ51" s="161">
        <f>SUM(AR51:AU51)</f>
      </c>
      <c r="AR51" s="161"/>
      <c r="AS51" s="161"/>
      <c r="AT51" s="161"/>
      <c r="AU51" s="161"/>
      <c r="AV51" s="161">
        <f>SUM(AW51:BH51)</f>
      </c>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f>SUM(BT51:BV51)</f>
      </c>
      <c r="BT51" s="161"/>
      <c r="BU51" s="161"/>
      <c r="BV51" s="161"/>
      <c r="BW51" s="161">
        <f>SUM(BX51:CC51)</f>
      </c>
      <c r="BX51" s="161"/>
      <c r="BY51" s="161"/>
      <c r="BZ51" s="161"/>
      <c r="CA51" s="161"/>
      <c r="CB51" s="161"/>
      <c r="CC51" s="161"/>
      <c r="CD51" s="161"/>
      <c r="CE51" s="161"/>
      <c r="CF51" s="161"/>
      <c r="CG51" s="161"/>
      <c r="CH51" s="161"/>
      <c r="CI51" s="161"/>
      <c r="CJ51" s="161">
        <f>SUM(CK51:CM51)</f>
      </c>
      <c r="CK51" s="161"/>
      <c r="CL51" s="161"/>
      <c r="CM51" s="161"/>
      <c r="CN51" s="161">
        <f>SUM(CO51:CS51)</f>
      </c>
      <c r="CO51" s="161"/>
      <c r="CP51" s="161"/>
      <c r="CQ51" s="161"/>
      <c r="CR51" s="161"/>
      <c r="CS51" s="161"/>
      <c r="CT51" s="161"/>
      <c r="CU51" s="161"/>
      <c r="CV51" s="161"/>
      <c r="CW51" s="161"/>
      <c r="CX51" s="161"/>
      <c r="CY51" s="161"/>
      <c r="CZ51" s="161"/>
      <c r="DA51" s="161"/>
      <c r="DB51" s="161"/>
      <c r="DC51" s="161"/>
      <c r="DD51" s="161"/>
      <c r="DE51" s="161"/>
      <c r="DF51" s="161">
        <f>SUM(DG51:DG51)</f>
      </c>
      <c r="DG51" s="161"/>
      <c r="DH51" s="161"/>
      <c r="DI51" s="161"/>
      <c r="DJ51" s="161">
        <f>SUM(DK51:DP51)</f>
      </c>
      <c r="DK51" s="161"/>
      <c r="DL51" s="161"/>
      <c r="DM51" s="161"/>
      <c r="DN51" s="161"/>
      <c r="DO51" s="161"/>
      <c r="DP51" s="161"/>
      <c r="DQ51" s="161"/>
      <c r="DR51" s="161"/>
      <c r="DS51" s="161"/>
      <c r="DT51" s="161"/>
      <c r="DU51" s="161"/>
      <c r="DV51" s="161"/>
      <c r="DW51" s="161"/>
      <c r="DX51" s="161"/>
      <c r="DY51" s="161"/>
      <c r="DZ51" s="161"/>
      <c r="EA51" s="161"/>
      <c r="EB51" s="161"/>
      <c r="EC51" s="161"/>
      <c r="ED51" s="161"/>
      <c r="EE51" s="161"/>
      <c r="EF51" s="161">
        <f>SUM(EG51:EP51)</f>
      </c>
      <c r="EG51" s="161"/>
      <c r="EH51" s="161"/>
      <c r="EI51" s="161"/>
      <c r="EJ51" s="161"/>
      <c r="EK51" s="161"/>
      <c r="EL51" s="161"/>
      <c r="EM51" s="161"/>
      <c r="EN51" s="161"/>
      <c r="EO51" s="161"/>
      <c r="EP51" s="161"/>
      <c r="EQ51" s="161">
        <f>SUM(ER51:ES51)</f>
      </c>
      <c r="ER51" s="161"/>
      <c r="ES51" s="161"/>
      <c r="ET51" s="161"/>
      <c r="EU51" s="161"/>
      <c r="EV51" s="161"/>
      <c r="EW51" s="161"/>
      <c r="EX51" s="161"/>
      <c r="EY51" s="161"/>
      <c r="EZ51" s="161"/>
      <c r="FA51" s="161"/>
      <c r="FB51" s="161"/>
      <c r="FC51" s="161"/>
      <c r="FD51" s="161"/>
      <c r="FE51" s="161"/>
      <c r="FF51" s="161"/>
      <c r="FG51" s="161"/>
      <c r="FH51" s="163" cm="1">
        <f t="array" ref="FH51">ROW()-ROW(Ongoing[#Headers])</f>
        <v>45</v>
      </c>
      <c r="FI51" s="164" t="e">
        <v>#N/A</v>
      </c>
      <c r="FJ51" s="164" t="s">
        <v>788</v>
      </c>
      <c r="FK51" s="164">
        <v>0</v>
      </c>
      <c r="FL51" s="164" t="s">
        <v>789</v>
      </c>
      <c r="FM51" s="164" t="s">
        <v>790</v>
      </c>
      <c r="FN51" s="164" t="s">
        <v>782</v>
      </c>
      <c r="FO51" s="164" t="s">
        <v>811</v>
      </c>
      <c r="FP51" s="164" t="s">
        <v>792</v>
      </c>
    </row>
    <row r="52" spans="2:172" s="115" customFormat="1" ht="11.25" x14ac:dyDescent="0.2">
      <c r="B52" s="2123" t="s">
        <v>748</v>
      </c>
      <c r="C52" s="2124" t="s">
        <v>749</v>
      </c>
      <c r="D52" s="2125" t="s">
        <v>35</v>
      </c>
      <c r="E52" s="2126" t="s">
        <v>750</v>
      </c>
      <c r="F52" s="2127" t="s">
        <v>1597</v>
      </c>
      <c r="G52" s="2128" t="s">
        <v>49</v>
      </c>
      <c r="H52" s="2129" t="s">
        <v>43</v>
      </c>
      <c r="I52" s="2130" t="s">
        <v>64</v>
      </c>
      <c r="J52" s="2131" t="s">
        <v>2001</v>
      </c>
      <c r="K52" s="2132" t="s">
        <v>751</v>
      </c>
      <c r="L52" s="2133" t="s">
        <v>305</v>
      </c>
      <c r="M52" s="2134" t="s">
        <v>3873</v>
      </c>
      <c r="N52" s="2135" t="s">
        <v>3871</v>
      </c>
      <c r="O52" s="148"/>
      <c r="P52" s="161">
        <f>SUM(Q52:AP52)</f>
      </c>
      <c r="Q52" s="161"/>
      <c r="R52" s="161"/>
      <c r="S52" s="2136" t="n">
        <v>4040.0</v>
      </c>
      <c r="T52" s="161"/>
      <c r="U52" s="161"/>
      <c r="V52" s="161"/>
      <c r="W52" s="161"/>
      <c r="X52" s="161"/>
      <c r="Y52" s="161"/>
      <c r="Z52" s="161"/>
      <c r="AA52" s="161"/>
      <c r="AB52" s="161"/>
      <c r="AC52" s="161"/>
      <c r="AD52" s="161"/>
      <c r="AE52" s="161"/>
      <c r="AF52" s="161"/>
      <c r="AG52" s="161"/>
      <c r="AH52" s="161"/>
      <c r="AI52" s="161"/>
      <c r="AJ52" s="161"/>
      <c r="AK52" s="161"/>
      <c r="AL52" s="161"/>
      <c r="AM52" s="2137" t="n">
        <v>150.0</v>
      </c>
      <c r="AN52" s="161"/>
      <c r="AO52" s="161"/>
      <c r="AP52" s="161"/>
      <c r="AQ52" s="161">
        <f>SUM(AR52:AU52)</f>
      </c>
      <c r="AR52" s="161"/>
      <c r="AS52" s="161"/>
      <c r="AT52" s="161"/>
      <c r="AU52" s="161"/>
      <c r="AV52" s="161">
        <f>SUM(AW52:BH52)</f>
      </c>
      <c r="AW52" s="161"/>
      <c r="AX52" s="161"/>
      <c r="AY52" s="161"/>
      <c r="AZ52" s="161"/>
      <c r="BA52" s="161"/>
      <c r="BB52" s="161"/>
      <c r="BC52" s="161"/>
      <c r="BD52" s="161"/>
      <c r="BE52" s="161"/>
      <c r="BF52" s="161"/>
      <c r="BG52" s="161"/>
      <c r="BH52" s="161"/>
      <c r="BI52" s="161"/>
      <c r="BJ52" s="161"/>
      <c r="BK52" s="161"/>
      <c r="BL52" s="161"/>
      <c r="BM52" s="161"/>
      <c r="BN52" s="161"/>
      <c r="BO52" s="161"/>
      <c r="BP52" s="161"/>
      <c r="BQ52" s="161"/>
      <c r="BR52" s="161"/>
      <c r="BS52" s="161">
        <f>SUM(BT52:BV52)</f>
      </c>
      <c r="BT52" s="161"/>
      <c r="BU52" s="161"/>
      <c r="BV52" s="161"/>
      <c r="BW52" s="161">
        <f>SUM(BX52:CC52)</f>
      </c>
      <c r="BX52" s="161"/>
      <c r="BY52" s="2138" t="n">
        <v>100.0</v>
      </c>
      <c r="BZ52" s="161"/>
      <c r="CA52" s="161"/>
      <c r="CB52" s="161"/>
      <c r="CC52" s="161"/>
      <c r="CD52" s="161"/>
      <c r="CE52" s="161"/>
      <c r="CF52" s="161"/>
      <c r="CG52" s="161"/>
      <c r="CH52" s="161"/>
      <c r="CI52" s="161"/>
      <c r="CJ52" s="161">
        <f>SUM(CK52:CM52)</f>
      </c>
      <c r="CK52" s="161"/>
      <c r="CL52" s="161"/>
      <c r="CM52" s="161"/>
      <c r="CN52" s="161">
        <f>SUM(CO52:CS52)</f>
      </c>
      <c r="CO52" s="161"/>
      <c r="CP52" s="161"/>
      <c r="CQ52" s="161"/>
      <c r="CR52" s="161"/>
      <c r="CS52" s="161"/>
      <c r="CT52" s="161"/>
      <c r="CU52" s="161"/>
      <c r="CV52" s="161"/>
      <c r="CW52" s="161"/>
      <c r="CX52" s="161"/>
      <c r="CY52" s="161"/>
      <c r="CZ52" s="161"/>
      <c r="DA52" s="161"/>
      <c r="DB52" s="161"/>
      <c r="DC52" s="161"/>
      <c r="DD52" s="161"/>
      <c r="DE52" s="161"/>
      <c r="DF52" s="161">
        <f>SUM(DG52:DG52)</f>
      </c>
      <c r="DG52" s="161"/>
      <c r="DH52" s="161"/>
      <c r="DI52" s="161"/>
      <c r="DJ52" s="161">
        <f>SUM(DK52:DP52)</f>
      </c>
      <c r="DK52" s="161"/>
      <c r="DL52" s="161"/>
      <c r="DM52" s="161"/>
      <c r="DN52" s="161"/>
      <c r="DO52" s="161"/>
      <c r="DP52" s="161"/>
      <c r="DQ52" s="161"/>
      <c r="DR52" s="161"/>
      <c r="DS52" s="161"/>
      <c r="DT52" s="161"/>
      <c r="DU52" s="161"/>
      <c r="DV52" s="161"/>
      <c r="DW52" s="161"/>
      <c r="DX52" s="161"/>
      <c r="DY52" s="161"/>
      <c r="DZ52" s="161"/>
      <c r="EA52" s="161"/>
      <c r="EB52" s="161"/>
      <c r="EC52" s="161"/>
      <c r="ED52" s="161"/>
      <c r="EE52" s="161"/>
      <c r="EF52" s="161">
        <f>SUM(EG52:EP52)</f>
      </c>
      <c r="EG52" s="161"/>
      <c r="EH52" s="161"/>
      <c r="EI52" s="161"/>
      <c r="EJ52" s="161"/>
      <c r="EK52" s="161"/>
      <c r="EL52" s="161"/>
      <c r="EM52" s="161"/>
      <c r="EN52" s="161"/>
      <c r="EO52" s="161"/>
      <c r="EP52" s="161"/>
      <c r="EQ52" s="161">
        <f>SUM(ER52:ES52)</f>
      </c>
      <c r="ER52" s="161"/>
      <c r="ES52" s="161"/>
      <c r="ET52" s="161"/>
      <c r="EU52" s="161"/>
      <c r="EV52" s="161"/>
      <c r="EW52" s="161"/>
      <c r="EX52" s="161"/>
      <c r="EY52" s="161"/>
      <c r="EZ52" s="161"/>
      <c r="FA52" s="161"/>
      <c r="FB52" s="161"/>
      <c r="FC52" s="161"/>
      <c r="FD52" s="161"/>
      <c r="FE52" s="161"/>
      <c r="FF52" s="161"/>
      <c r="FG52" s="161"/>
      <c r="FH52" s="163" cm="1">
        <f t="array" ref="FH52">ROW()-ROW(Ongoing[#Headers])</f>
        <v>46</v>
      </c>
      <c r="FI52" s="164" t="e">
        <v>#N/A</v>
      </c>
      <c r="FJ52" s="164" t="s">
        <v>788</v>
      </c>
      <c r="FK52" s="164">
        <v>0</v>
      </c>
      <c r="FL52" s="164" t="s">
        <v>789</v>
      </c>
      <c r="FM52" s="164" t="s">
        <v>790</v>
      </c>
      <c r="FN52" s="164" t="s">
        <v>782</v>
      </c>
      <c r="FO52" s="164" t="s">
        <v>811</v>
      </c>
      <c r="FP52" s="164" t="s">
        <v>792</v>
      </c>
    </row>
    <row r="53" spans="2:172" s="115" customFormat="1" ht="11.25" x14ac:dyDescent="0.2">
      <c r="B53" s="2153" t="s">
        <v>818</v>
      </c>
      <c r="C53" s="2154" t="s">
        <v>819</v>
      </c>
      <c r="D53" s="2155" t="s">
        <v>23</v>
      </c>
      <c r="E53" s="2156" t="s">
        <v>810</v>
      </c>
      <c r="F53" s="2157" t="s">
        <v>305</v>
      </c>
      <c r="G53" s="2158" t="s">
        <v>51</v>
      </c>
      <c r="H53" s="2159" t="s">
        <v>43</v>
      </c>
      <c r="I53" s="2160" t="s">
        <v>71</v>
      </c>
      <c r="J53" s="2161" t="s">
        <v>820</v>
      </c>
      <c r="K53" s="2162" t="s">
        <v>779</v>
      </c>
      <c r="L53" s="2163" t="s">
        <v>305</v>
      </c>
      <c r="M53" s="2164" t="s">
        <v>3873</v>
      </c>
      <c r="N53" s="2165" t="s">
        <v>3871</v>
      </c>
      <c r="O53" s="148"/>
      <c r="P53" s="161">
        <f>SUM(Q53:AP53)</f>
      </c>
      <c r="Q53" s="161"/>
      <c r="R53" s="161"/>
      <c r="S53" s="161"/>
      <c r="T53" s="161"/>
      <c r="U53" s="161"/>
      <c r="V53" s="2166" t="n">
        <v>920.0</v>
      </c>
      <c r="W53" s="161"/>
      <c r="X53" s="161"/>
      <c r="Y53" s="161"/>
      <c r="Z53" s="161"/>
      <c r="AA53" s="161"/>
      <c r="AB53" s="161"/>
      <c r="AC53" s="161"/>
      <c r="AD53" s="161"/>
      <c r="AE53" s="161"/>
      <c r="AF53" s="161"/>
      <c r="AG53" s="161"/>
      <c r="AH53" s="161"/>
      <c r="AI53" s="161"/>
      <c r="AJ53" s="161"/>
      <c r="AK53" s="161"/>
      <c r="AL53" s="161"/>
      <c r="AM53" s="161"/>
      <c r="AN53" s="161"/>
      <c r="AO53" s="161"/>
      <c r="AP53" s="161"/>
      <c r="AQ53" s="161">
        <f>SUM(AR53:AU53)</f>
      </c>
      <c r="AR53" s="161"/>
      <c r="AS53" s="161"/>
      <c r="AT53" s="161"/>
      <c r="AU53" s="161"/>
      <c r="AV53" s="161">
        <f>SUM(AW53:BH53)</f>
      </c>
      <c r="AW53" s="161"/>
      <c r="AX53" s="161"/>
      <c r="AY53" s="161"/>
      <c r="AZ53" s="161"/>
      <c r="BA53" s="161"/>
      <c r="BB53" s="161"/>
      <c r="BC53" s="161"/>
      <c r="BD53" s="161"/>
      <c r="BE53" s="161"/>
      <c r="BF53" s="161"/>
      <c r="BG53" s="161"/>
      <c r="BH53" s="161"/>
      <c r="BI53" s="161"/>
      <c r="BJ53" s="161"/>
      <c r="BK53" s="161"/>
      <c r="BL53" s="161"/>
      <c r="BM53" s="161"/>
      <c r="BN53" s="161"/>
      <c r="BO53" s="161"/>
      <c r="BP53" s="161"/>
      <c r="BQ53" s="161"/>
      <c r="BR53" s="161"/>
      <c r="BS53" s="161">
        <f>SUM(BT53:BV53)</f>
      </c>
      <c r="BT53" s="161"/>
      <c r="BU53" s="161"/>
      <c r="BV53" s="161"/>
      <c r="BW53" s="161">
        <f>SUM(BX53:CC53)</f>
      </c>
      <c r="BX53" s="161"/>
      <c r="BY53" s="161"/>
      <c r="BZ53" s="161"/>
      <c r="CA53" s="161"/>
      <c r="CB53" s="161"/>
      <c r="CC53" s="161"/>
      <c r="CD53" s="161"/>
      <c r="CE53" s="161"/>
      <c r="CF53" s="161"/>
      <c r="CG53" s="161"/>
      <c r="CH53" s="161"/>
      <c r="CI53" s="161"/>
      <c r="CJ53" s="161">
        <f>SUM(CK53:CM53)</f>
      </c>
      <c r="CK53" s="161"/>
      <c r="CL53" s="161"/>
      <c r="CM53" s="161"/>
      <c r="CN53" s="161">
        <f>SUM(CO53:CS53)</f>
      </c>
      <c r="CO53" s="161"/>
      <c r="CP53" s="161"/>
      <c r="CQ53" s="161"/>
      <c r="CR53" s="161"/>
      <c r="CS53" s="161"/>
      <c r="CT53" s="161"/>
      <c r="CU53" s="161"/>
      <c r="CV53" s="161"/>
      <c r="CW53" s="161"/>
      <c r="CX53" s="161"/>
      <c r="CY53" s="161"/>
      <c r="CZ53" s="161"/>
      <c r="DA53" s="161"/>
      <c r="DB53" s="161"/>
      <c r="DC53" s="161"/>
      <c r="DD53" s="161"/>
      <c r="DE53" s="161"/>
      <c r="DF53" s="161">
        <f>SUM(DG53:DG53)</f>
      </c>
      <c r="DG53" s="161"/>
      <c r="DH53" s="161"/>
      <c r="DI53" s="161"/>
      <c r="DJ53" s="161">
        <f>SUM(DK53:DP53)</f>
      </c>
      <c r="DK53" s="161"/>
      <c r="DL53" s="161"/>
      <c r="DM53" s="161"/>
      <c r="DN53" s="161"/>
      <c r="DO53" s="161"/>
      <c r="DP53" s="161"/>
      <c r="DQ53" s="161"/>
      <c r="DR53" s="161"/>
      <c r="DS53" s="161"/>
      <c r="DT53" s="161"/>
      <c r="DU53" s="161"/>
      <c r="DV53" s="161"/>
      <c r="DW53" s="161"/>
      <c r="DX53" s="161"/>
      <c r="DY53" s="161"/>
      <c r="DZ53" s="161"/>
      <c r="EA53" s="161"/>
      <c r="EB53" s="161"/>
      <c r="EC53" s="161"/>
      <c r="ED53" s="161"/>
      <c r="EE53" s="161"/>
      <c r="EF53" s="161">
        <f>SUM(EG53:EP53)</f>
      </c>
      <c r="EG53" s="161"/>
      <c r="EH53" s="161"/>
      <c r="EI53" s="161"/>
      <c r="EJ53" s="161"/>
      <c r="EK53" s="161"/>
      <c r="EL53" s="161"/>
      <c r="EM53" s="161"/>
      <c r="EN53" s="161"/>
      <c r="EO53" s="161"/>
      <c r="EP53" s="161"/>
      <c r="EQ53" s="161">
        <f>SUM(ER53:ES53)</f>
      </c>
      <c r="ER53" s="161"/>
      <c r="ES53" s="161"/>
      <c r="ET53" s="161"/>
      <c r="EU53" s="161"/>
      <c r="EV53" s="161"/>
      <c r="EW53" s="161"/>
      <c r="EX53" s="161"/>
      <c r="EY53" s="161"/>
      <c r="EZ53" s="161"/>
      <c r="FA53" s="161"/>
      <c r="FB53" s="161"/>
      <c r="FC53" s="161"/>
      <c r="FD53" s="161"/>
      <c r="FE53" s="161"/>
      <c r="FF53" s="161"/>
      <c r="FG53" s="161"/>
      <c r="FH53" s="163" cm="1">
        <f t="array" ref="FH53">ROW()-ROW(Ongoing[#Headers])</f>
        <v>47</v>
      </c>
      <c r="FI53" s="164" t="s">
        <v>768</v>
      </c>
      <c r="FJ53" s="164" t="s">
        <v>755</v>
      </c>
      <c r="FK53" s="164">
        <v>0</v>
      </c>
      <c r="FL53" s="164" t="s">
        <v>769</v>
      </c>
      <c r="FM53" s="164">
        <v>0</v>
      </c>
      <c r="FN53" s="164" t="s">
        <v>770</v>
      </c>
      <c r="FO53" s="164" t="s">
        <v>771</v>
      </c>
      <c r="FP53" s="164" t="s">
        <v>759</v>
      </c>
    </row>
    <row r="54" spans="2:172" s="115" customFormat="1" ht="11.25" x14ac:dyDescent="0.2">
      <c r="B54" s="2167" t="s">
        <v>1404</v>
      </c>
      <c r="C54" s="2168" t="s">
        <v>3827</v>
      </c>
      <c r="D54" s="2169" t="s">
        <v>305</v>
      </c>
      <c r="E54" s="2170" t="s">
        <v>750</v>
      </c>
      <c r="F54" s="2171" t="s">
        <v>345</v>
      </c>
      <c r="G54" s="2172" t="s">
        <v>46</v>
      </c>
      <c r="H54" s="2173" t="s">
        <v>305</v>
      </c>
      <c r="I54" s="2174" t="s">
        <v>64</v>
      </c>
      <c r="J54" s="2175" t="s">
        <v>2086</v>
      </c>
      <c r="K54" s="2176" t="s">
        <v>305</v>
      </c>
      <c r="L54" s="2177" t="s">
        <v>1615</v>
      </c>
      <c r="M54" s="2178" t="s">
        <v>3873</v>
      </c>
      <c r="N54" s="2179" t="s">
        <v>3871</v>
      </c>
      <c r="O54" s="148"/>
      <c r="P54" s="161">
        <f>SUM(Q54:AP54)</f>
      </c>
      <c r="Q54" s="161"/>
      <c r="R54" s="161"/>
      <c r="S54" s="2180" t="n">
        <v>7563.0</v>
      </c>
      <c r="T54" s="161"/>
      <c r="U54" s="161"/>
      <c r="V54" s="161"/>
      <c r="W54" s="161"/>
      <c r="X54" s="161"/>
      <c r="Y54" s="161"/>
      <c r="Z54" s="161"/>
      <c r="AA54" s="161"/>
      <c r="AB54" s="161"/>
      <c r="AC54" s="161"/>
      <c r="AD54" s="161"/>
      <c r="AE54" s="161"/>
      <c r="AF54" s="161"/>
      <c r="AG54" s="161"/>
      <c r="AH54" s="161"/>
      <c r="AI54" s="161"/>
      <c r="AJ54" s="161"/>
      <c r="AK54" s="161"/>
      <c r="AL54" s="161"/>
      <c r="AM54" s="2181" t="n">
        <v>1870.0</v>
      </c>
      <c r="AN54" s="161"/>
      <c r="AO54" s="161"/>
      <c r="AP54" s="161"/>
      <c r="AQ54" s="161">
        <f>SUM(AR54:AU54)</f>
      </c>
      <c r="AR54" s="161"/>
      <c r="AS54" s="161"/>
      <c r="AT54" s="161"/>
      <c r="AU54" s="161"/>
      <c r="AV54" s="161">
        <f>SUM(AW54:BH54)</f>
      </c>
      <c r="AW54" s="161"/>
      <c r="AX54" s="161"/>
      <c r="AY54" s="161"/>
      <c r="AZ54" s="161"/>
      <c r="BA54" s="161"/>
      <c r="BB54" s="161"/>
      <c r="BC54" s="161"/>
      <c r="BD54" s="161"/>
      <c r="BE54" s="161"/>
      <c r="BF54" s="161"/>
      <c r="BG54" s="161"/>
      <c r="BH54" s="161"/>
      <c r="BI54" s="161"/>
      <c r="BJ54" s="161"/>
      <c r="BK54" s="161"/>
      <c r="BL54" s="161"/>
      <c r="BM54" s="161"/>
      <c r="BN54" s="161"/>
      <c r="BO54" s="161"/>
      <c r="BP54" s="161"/>
      <c r="BQ54" s="161"/>
      <c r="BR54" s="161"/>
      <c r="BS54" s="161">
        <f>SUM(BT54:BV54)</f>
      </c>
      <c r="BT54" s="161"/>
      <c r="BU54" s="161"/>
      <c r="BV54" s="161"/>
      <c r="BW54" s="161">
        <f>SUM(BX54:CC54)</f>
      </c>
      <c r="BX54" s="161"/>
      <c r="BY54" s="161"/>
      <c r="BZ54" s="161"/>
      <c r="CA54" s="161"/>
      <c r="CB54" s="161"/>
      <c r="CC54" s="161"/>
      <c r="CD54" s="161"/>
      <c r="CE54" s="161"/>
      <c r="CF54" s="161"/>
      <c r="CG54" s="161"/>
      <c r="CH54" s="161"/>
      <c r="CI54" s="161"/>
      <c r="CJ54" s="161">
        <f>SUM(CK54:CM54)</f>
      </c>
      <c r="CK54" s="161"/>
      <c r="CL54" s="161"/>
      <c r="CM54" s="161"/>
      <c r="CN54" s="161">
        <f>SUM(CO54:CS54)</f>
      </c>
      <c r="CO54" s="161"/>
      <c r="CP54" s="161"/>
      <c r="CQ54" s="161"/>
      <c r="CR54" s="161"/>
      <c r="CS54" s="161"/>
      <c r="CT54" s="161"/>
      <c r="CU54" s="161"/>
      <c r="CV54" s="161"/>
      <c r="CW54" s="161"/>
      <c r="CX54" s="161"/>
      <c r="CY54" s="161"/>
      <c r="CZ54" s="161"/>
      <c r="DA54" s="161"/>
      <c r="DB54" s="161"/>
      <c r="DC54" s="161"/>
      <c r="DD54" s="161"/>
      <c r="DE54" s="161"/>
      <c r="DF54" s="161">
        <f>SUM(DG54:DG54)</f>
      </c>
      <c r="DG54" s="161"/>
      <c r="DH54" s="161"/>
      <c r="DI54" s="161"/>
      <c r="DJ54" s="161">
        <f>SUM(DK54:DP54)</f>
      </c>
      <c r="DK54" s="161"/>
      <c r="DL54" s="161"/>
      <c r="DM54" s="161"/>
      <c r="DN54" s="161"/>
      <c r="DO54" s="161"/>
      <c r="DP54" s="2182" t="n">
        <v>300.0</v>
      </c>
      <c r="DQ54" s="161"/>
      <c r="DR54" s="161"/>
      <c r="DS54" s="161"/>
      <c r="DT54" s="161"/>
      <c r="DU54" s="161"/>
      <c r="DV54" s="161"/>
      <c r="DW54" s="161"/>
      <c r="DX54" s="161"/>
      <c r="DY54" s="161"/>
      <c r="DZ54" s="161"/>
      <c r="EA54" s="161"/>
      <c r="EB54" s="161"/>
      <c r="EC54" s="161"/>
      <c r="ED54" s="161"/>
      <c r="EE54" s="161"/>
      <c r="EF54" s="161">
        <f>SUM(EG54:EP54)</f>
      </c>
      <c r="EG54" s="161"/>
      <c r="EH54" s="161"/>
      <c r="EI54" s="161"/>
      <c r="EJ54" s="161"/>
      <c r="EK54" s="161"/>
      <c r="EL54" s="161"/>
      <c r="EM54" s="161"/>
      <c r="EN54" s="161"/>
      <c r="EO54" s="161"/>
      <c r="EP54" s="161"/>
      <c r="EQ54" s="161">
        <f>SUM(ER54:ES54)</f>
      </c>
      <c r="ER54" s="161"/>
      <c r="ES54" s="161"/>
      <c r="ET54" s="161"/>
      <c r="EU54" s="161"/>
      <c r="EV54" s="161"/>
      <c r="EW54" s="161"/>
      <c r="EX54" s="161"/>
      <c r="EY54" s="161"/>
      <c r="EZ54" s="161"/>
      <c r="FA54" s="161"/>
      <c r="FB54" s="161"/>
      <c r="FC54" s="161"/>
      <c r="FD54" s="161"/>
      <c r="FE54" s="161"/>
      <c r="FF54" s="161"/>
      <c r="FG54" s="161"/>
      <c r="FH54" s="163" cm="1">
        <f t="array" ref="FH54">ROW()-ROW(Ongoing[#Headers])</f>
        <v>48</v>
      </c>
      <c r="FI54" s="164" t="s">
        <v>768</v>
      </c>
      <c r="FJ54" s="164" t="s">
        <v>755</v>
      </c>
      <c r="FK54" s="164">
        <v>0</v>
      </c>
      <c r="FL54" s="164" t="s">
        <v>769</v>
      </c>
      <c r="FM54" s="164">
        <v>0</v>
      </c>
      <c r="FN54" s="164" t="s">
        <v>770</v>
      </c>
      <c r="FO54" s="164" t="s">
        <v>771</v>
      </c>
      <c r="FP54" s="164" t="s">
        <v>759</v>
      </c>
    </row>
    <row r="55" spans="2:172" s="115" customFormat="1" ht="11.25" x14ac:dyDescent="0.2">
      <c r="B55" s="2183" t="s">
        <v>1161</v>
      </c>
      <c r="C55" s="2184" t="s">
        <v>1162</v>
      </c>
      <c r="D55" s="2185" t="s">
        <v>20</v>
      </c>
      <c r="E55" s="2186" t="s">
        <v>898</v>
      </c>
      <c r="F55" s="2187" t="s">
        <v>1597</v>
      </c>
      <c r="G55" s="2188" t="s">
        <v>305</v>
      </c>
      <c r="H55" s="2189" t="s">
        <v>41</v>
      </c>
      <c r="I55" s="2190" t="s">
        <v>71</v>
      </c>
      <c r="J55" s="2191" t="s">
        <v>791</v>
      </c>
      <c r="K55" s="2192" t="s">
        <v>787</v>
      </c>
      <c r="L55" s="2193" t="s">
        <v>305</v>
      </c>
      <c r="M55" s="2194" t="s">
        <v>3873</v>
      </c>
      <c r="N55" s="2195" t="s">
        <v>3871</v>
      </c>
      <c r="O55" s="148"/>
      <c r="P55" s="161">
        <f>SUM(Q55:AP55)</f>
      </c>
      <c r="Q55" s="161"/>
      <c r="R55" s="161"/>
      <c r="S55" s="161"/>
      <c r="T55" s="161"/>
      <c r="U55" s="161"/>
      <c r="V55" s="161"/>
      <c r="W55" s="161"/>
      <c r="X55" s="161"/>
      <c r="Y55" s="161"/>
      <c r="Z55" s="161"/>
      <c r="AA55" s="161"/>
      <c r="AB55" s="161"/>
      <c r="AC55" s="161"/>
      <c r="AD55" s="161"/>
      <c r="AE55" s="161"/>
      <c r="AF55" s="161"/>
      <c r="AG55" s="161"/>
      <c r="AH55" s="2196" t="n">
        <v>160.0</v>
      </c>
      <c r="AI55" s="161"/>
      <c r="AJ55" s="161"/>
      <c r="AK55" s="161"/>
      <c r="AL55" s="161"/>
      <c r="AM55" s="161"/>
      <c r="AN55" s="161"/>
      <c r="AO55" s="161"/>
      <c r="AP55" s="161"/>
      <c r="AQ55" s="161">
        <f>SUM(AR55:AU55)</f>
      </c>
      <c r="AR55" s="161"/>
      <c r="AS55" s="161"/>
      <c r="AT55" s="161"/>
      <c r="AU55" s="161"/>
      <c r="AV55" s="161">
        <f>SUM(AW55:BH55)</f>
      </c>
      <c r="AW55" s="161"/>
      <c r="AX55" s="161"/>
      <c r="AY55" s="161"/>
      <c r="AZ55" s="161"/>
      <c r="BA55" s="161"/>
      <c r="BB55" s="161"/>
      <c r="BC55" s="161"/>
      <c r="BD55" s="161"/>
      <c r="BE55" s="161"/>
      <c r="BF55" s="161"/>
      <c r="BG55" s="161"/>
      <c r="BH55" s="161"/>
      <c r="BI55" s="161"/>
      <c r="BJ55" s="161"/>
      <c r="BK55" s="161"/>
      <c r="BL55" s="161"/>
      <c r="BM55" s="161"/>
      <c r="BN55" s="161"/>
      <c r="BO55" s="161"/>
      <c r="BP55" s="161"/>
      <c r="BQ55" s="161"/>
      <c r="BR55" s="161"/>
      <c r="BS55" s="161">
        <f>SUM(BT55:BV55)</f>
      </c>
      <c r="BT55" s="161"/>
      <c r="BU55" s="161"/>
      <c r="BV55" s="161"/>
      <c r="BW55" s="161">
        <f>SUM(BX55:CC55)</f>
      </c>
      <c r="BX55" s="161"/>
      <c r="BY55" s="161"/>
      <c r="BZ55" s="161"/>
      <c r="CA55" s="161"/>
      <c r="CB55" s="161"/>
      <c r="CC55" s="161"/>
      <c r="CD55" s="161"/>
      <c r="CE55" s="161"/>
      <c r="CF55" s="161"/>
      <c r="CG55" s="161"/>
      <c r="CH55" s="161"/>
      <c r="CI55" s="161"/>
      <c r="CJ55" s="161">
        <f>SUM(CK55:CM55)</f>
      </c>
      <c r="CK55" s="161"/>
      <c r="CL55" s="161"/>
      <c r="CM55" s="161"/>
      <c r="CN55" s="161">
        <f>SUM(CO55:CS55)</f>
      </c>
      <c r="CO55" s="161"/>
      <c r="CP55" s="161"/>
      <c r="CQ55" s="161"/>
      <c r="CR55" s="161"/>
      <c r="CS55" s="161"/>
      <c r="CT55" s="161"/>
      <c r="CU55" s="161"/>
      <c r="CV55" s="161"/>
      <c r="CW55" s="161"/>
      <c r="CX55" s="161"/>
      <c r="CY55" s="161"/>
      <c r="CZ55" s="161"/>
      <c r="DA55" s="161"/>
      <c r="DB55" s="161"/>
      <c r="DC55" s="161"/>
      <c r="DD55" s="161"/>
      <c r="DE55" s="161"/>
      <c r="DF55" s="161">
        <f>SUM(DG55:DG55)</f>
      </c>
      <c r="DG55" s="161"/>
      <c r="DH55" s="161"/>
      <c r="DI55" s="161"/>
      <c r="DJ55" s="161">
        <f>SUM(DK55:DP55)</f>
      </c>
      <c r="DK55" s="161"/>
      <c r="DL55" s="161"/>
      <c r="DM55" s="161"/>
      <c r="DN55" s="161"/>
      <c r="DO55" s="161"/>
      <c r="DP55" s="161"/>
      <c r="DQ55" s="161"/>
      <c r="DR55" s="161"/>
      <c r="DS55" s="161"/>
      <c r="DT55" s="161"/>
      <c r="DU55" s="161"/>
      <c r="DV55" s="161"/>
      <c r="DW55" s="161"/>
      <c r="DX55" s="161"/>
      <c r="DY55" s="161"/>
      <c r="DZ55" s="161"/>
      <c r="EA55" s="161"/>
      <c r="EB55" s="161"/>
      <c r="EC55" s="161"/>
      <c r="ED55" s="161"/>
      <c r="EE55" s="161"/>
      <c r="EF55" s="161">
        <f>SUM(EG55:EP55)</f>
      </c>
      <c r="EG55" s="161"/>
      <c r="EH55" s="161"/>
      <c r="EI55" s="161"/>
      <c r="EJ55" s="161"/>
      <c r="EK55" s="161"/>
      <c r="EL55" s="161"/>
      <c r="EM55" s="161"/>
      <c r="EN55" s="161"/>
      <c r="EO55" s="161"/>
      <c r="EP55" s="161"/>
      <c r="EQ55" s="161">
        <f>SUM(ER55:ES55)</f>
      </c>
      <c r="ER55" s="161"/>
      <c r="ES55" s="161"/>
      <c r="ET55" s="161"/>
      <c r="EU55" s="161"/>
      <c r="EV55" s="161"/>
      <c r="EW55" s="161"/>
      <c r="EX55" s="161"/>
      <c r="EY55" s="161"/>
      <c r="EZ55" s="161"/>
      <c r="FA55" s="161"/>
      <c r="FB55" s="161"/>
      <c r="FC55" s="161"/>
      <c r="FD55" s="161"/>
      <c r="FE55" s="161"/>
      <c r="FF55" s="161"/>
      <c r="FG55" s="161"/>
      <c r="FH55" s="163" cm="1">
        <f t="array" ref="FH55">ROW()-ROW(Ongoing[#Headers])</f>
        <v>49</v>
      </c>
      <c r="FI55" s="164" t="s">
        <v>768</v>
      </c>
      <c r="FJ55" s="164" t="s">
        <v>755</v>
      </c>
      <c r="FK55" s="164">
        <v>0</v>
      </c>
      <c r="FL55" s="164" t="s">
        <v>769</v>
      </c>
      <c r="FM55" s="164">
        <v>0</v>
      </c>
      <c r="FN55" s="164" t="s">
        <v>770</v>
      </c>
      <c r="FO55" s="164" t="s">
        <v>771</v>
      </c>
      <c r="FP55" s="164" t="s">
        <v>759</v>
      </c>
    </row>
    <row r="56" spans="2:172" s="115" customFormat="1" ht="11.25" x14ac:dyDescent="0.2">
      <c r="B56" s="2197" t="s">
        <v>1137</v>
      </c>
      <c r="C56" s="2198" t="s">
        <v>2047</v>
      </c>
      <c r="D56" s="2199" t="s">
        <v>13</v>
      </c>
      <c r="E56" s="2200" t="s">
        <v>810</v>
      </c>
      <c r="F56" s="2201" t="s">
        <v>305</v>
      </c>
      <c r="G56" s="2202" t="s">
        <v>46</v>
      </c>
      <c r="H56" s="2203" t="s">
        <v>41</v>
      </c>
      <c r="I56" s="2204" t="s">
        <v>71</v>
      </c>
      <c r="J56" s="2205" t="s">
        <v>783</v>
      </c>
      <c r="K56" s="2206" t="s">
        <v>779</v>
      </c>
      <c r="L56" s="2207" t="s">
        <v>305</v>
      </c>
      <c r="M56" s="2208" t="s">
        <v>3873</v>
      </c>
      <c r="N56" s="2209" t="s">
        <v>3871</v>
      </c>
      <c r="O56" s="148"/>
      <c r="P56" s="161">
        <f>SUM(Q56:AP56)</f>
      </c>
      <c r="Q56" s="161"/>
      <c r="R56" s="161"/>
      <c r="S56" s="161"/>
      <c r="T56" s="161"/>
      <c r="U56" s="161"/>
      <c r="V56" s="161"/>
      <c r="W56" s="161"/>
      <c r="X56" s="161"/>
      <c r="Y56" s="2210" t="n">
        <v>1370.0</v>
      </c>
      <c r="Z56" s="161"/>
      <c r="AA56" s="161"/>
      <c r="AB56" s="161"/>
      <c r="AC56" s="161"/>
      <c r="AD56" s="161"/>
      <c r="AE56" s="161"/>
      <c r="AF56" s="161"/>
      <c r="AG56" s="161"/>
      <c r="AH56" s="161"/>
      <c r="AI56" s="161"/>
      <c r="AJ56" s="161"/>
      <c r="AK56" s="161"/>
      <c r="AL56" s="161"/>
      <c r="AM56" s="2211" t="n">
        <v>855.0</v>
      </c>
      <c r="AN56" s="161"/>
      <c r="AO56" s="161"/>
      <c r="AP56" s="161"/>
      <c r="AQ56" s="161">
        <f>SUM(AR56:AU56)</f>
      </c>
      <c r="AR56" s="161"/>
      <c r="AS56" s="161"/>
      <c r="AT56" s="161"/>
      <c r="AU56" s="161"/>
      <c r="AV56" s="161">
        <f>SUM(AW56:BH56)</f>
      </c>
      <c r="AW56" s="161"/>
      <c r="AX56" s="161"/>
      <c r="AY56" s="161"/>
      <c r="AZ56" s="161"/>
      <c r="BA56" s="161"/>
      <c r="BB56" s="161"/>
      <c r="BC56" s="161"/>
      <c r="BD56" s="161"/>
      <c r="BE56" s="161"/>
      <c r="BF56" s="161"/>
      <c r="BG56" s="161"/>
      <c r="BH56" s="161"/>
      <c r="BI56" s="161"/>
      <c r="BJ56" s="161"/>
      <c r="BK56" s="161"/>
      <c r="BL56" s="161"/>
      <c r="BM56" s="161"/>
      <c r="BN56" s="161"/>
      <c r="BO56" s="161"/>
      <c r="BP56" s="161"/>
      <c r="BQ56" s="161"/>
      <c r="BR56" s="161"/>
      <c r="BS56" s="161">
        <f>SUM(BT56:BV56)</f>
      </c>
      <c r="BT56" s="161"/>
      <c r="BU56" s="161"/>
      <c r="BV56" s="161"/>
      <c r="BW56" s="161">
        <f>SUM(BX56:CC56)</f>
      </c>
      <c r="BX56" s="161"/>
      <c r="BY56" s="161"/>
      <c r="BZ56" s="161"/>
      <c r="CA56" s="161"/>
      <c r="CB56" s="161"/>
      <c r="CC56" s="161"/>
      <c r="CD56" s="161"/>
      <c r="CE56" s="161"/>
      <c r="CF56" s="161"/>
      <c r="CG56" s="161"/>
      <c r="CH56" s="161"/>
      <c r="CI56" s="161"/>
      <c r="CJ56" s="161">
        <f>SUM(CK56:CM56)</f>
      </c>
      <c r="CK56" s="161"/>
      <c r="CL56" s="161"/>
      <c r="CM56" s="161"/>
      <c r="CN56" s="161">
        <f>SUM(CO56:CS56)</f>
      </c>
      <c r="CO56" s="161"/>
      <c r="CP56" s="161"/>
      <c r="CQ56" s="161"/>
      <c r="CR56" s="161"/>
      <c r="CS56" s="161"/>
      <c r="CT56" s="161"/>
      <c r="CU56" s="161"/>
      <c r="CV56" s="161"/>
      <c r="CW56" s="161"/>
      <c r="CX56" s="161"/>
      <c r="CY56" s="161"/>
      <c r="CZ56" s="161"/>
      <c r="DA56" s="161"/>
      <c r="DB56" s="161"/>
      <c r="DC56" s="161"/>
      <c r="DD56" s="161"/>
      <c r="DE56" s="161"/>
      <c r="DF56" s="161">
        <f>SUM(DG56:DG56)</f>
      </c>
      <c r="DG56" s="161"/>
      <c r="DH56" s="161"/>
      <c r="DI56" s="161"/>
      <c r="DJ56" s="161">
        <f>SUM(DK56:DP56)</f>
      </c>
      <c r="DK56" s="161"/>
      <c r="DL56" s="161"/>
      <c r="DM56" s="161"/>
      <c r="DN56" s="161"/>
      <c r="DO56" s="161"/>
      <c r="DP56" s="161"/>
      <c r="DQ56" s="161"/>
      <c r="DR56" s="161"/>
      <c r="DS56" s="161"/>
      <c r="DT56" s="161"/>
      <c r="DU56" s="161"/>
      <c r="DV56" s="161"/>
      <c r="DW56" s="161"/>
      <c r="DX56" s="161"/>
      <c r="DY56" s="161"/>
      <c r="DZ56" s="161"/>
      <c r="EA56" s="161"/>
      <c r="EB56" s="161"/>
      <c r="EC56" s="161"/>
      <c r="ED56" s="161"/>
      <c r="EE56" s="161"/>
      <c r="EF56" s="161">
        <f>SUM(EG56:EP56)</f>
      </c>
      <c r="EG56" s="161"/>
      <c r="EH56" s="161"/>
      <c r="EI56" s="161"/>
      <c r="EJ56" s="161"/>
      <c r="EK56" s="161"/>
      <c r="EL56" s="161"/>
      <c r="EM56" s="161"/>
      <c r="EN56" s="161"/>
      <c r="EO56" s="161"/>
      <c r="EP56" s="161"/>
      <c r="EQ56" s="161">
        <f>SUM(ER56:ES56)</f>
      </c>
      <c r="ER56" s="161"/>
      <c r="ES56" s="161"/>
      <c r="ET56" s="161"/>
      <c r="EU56" s="161"/>
      <c r="EV56" s="161"/>
      <c r="EW56" s="161"/>
      <c r="EX56" s="161"/>
      <c r="EY56" s="161"/>
      <c r="EZ56" s="161"/>
      <c r="FA56" s="161"/>
      <c r="FB56" s="161"/>
      <c r="FC56" s="161"/>
      <c r="FD56" s="161"/>
      <c r="FE56" s="161"/>
      <c r="FF56" s="161"/>
      <c r="FG56" s="161"/>
      <c r="FH56" s="163" cm="1">
        <f t="array" ref="FH56">ROW()-ROW(Ongoing[#Headers])</f>
        <v>50</v>
      </c>
      <c r="FI56" s="164" t="s">
        <v>768</v>
      </c>
      <c r="FJ56" s="164" t="s">
        <v>755</v>
      </c>
      <c r="FK56" s="164">
        <v>0</v>
      </c>
      <c r="FL56" s="164" t="s">
        <v>769</v>
      </c>
      <c r="FM56" s="164">
        <v>0</v>
      </c>
      <c r="FN56" s="164" t="s">
        <v>770</v>
      </c>
      <c r="FO56" s="164" t="s">
        <v>873</v>
      </c>
      <c r="FP56" s="164" t="s">
        <v>759</v>
      </c>
    </row>
    <row r="57" spans="2:172" s="115" customFormat="1" ht="11.25" x14ac:dyDescent="0.2">
      <c r="B57" s="2313" t="s">
        <v>1015</v>
      </c>
      <c r="C57" s="2314" t="s">
        <v>1016</v>
      </c>
      <c r="D57" s="2315" t="s">
        <v>13</v>
      </c>
      <c r="E57" s="2316" t="s">
        <v>766</v>
      </c>
      <c r="F57" s="2317" t="s">
        <v>1597</v>
      </c>
      <c r="G57" s="2318" t="s">
        <v>53</v>
      </c>
      <c r="H57" s="2319" t="s">
        <v>41</v>
      </c>
      <c r="I57" s="2320" t="s">
        <v>68</v>
      </c>
      <c r="J57" s="2321" t="s">
        <v>774</v>
      </c>
      <c r="K57" s="2322" t="s">
        <v>767</v>
      </c>
      <c r="L57" s="2323" t="s">
        <v>305</v>
      </c>
      <c r="M57" s="2324" t="s">
        <v>3873</v>
      </c>
      <c r="N57" s="2325" t="s">
        <v>3878</v>
      </c>
      <c r="O57" s="148"/>
      <c r="P57" s="161">
        <f>SUM(Q57:AP57)</f>
      </c>
      <c r="Q57" s="161"/>
      <c r="R57" s="161"/>
      <c r="S57" s="161"/>
      <c r="T57" s="161"/>
      <c r="U57" s="161"/>
      <c r="V57" s="161"/>
      <c r="W57" s="161"/>
      <c r="X57" s="161"/>
      <c r="Y57" s="161"/>
      <c r="Z57" s="161"/>
      <c r="AA57" s="161"/>
      <c r="AB57" s="161"/>
      <c r="AC57" s="161"/>
      <c r="AD57" s="161"/>
      <c r="AE57" s="161"/>
      <c r="AF57" s="2326" t="n">
        <v>70.0</v>
      </c>
      <c r="AG57" s="161"/>
      <c r="AH57" s="161"/>
      <c r="AI57" s="161"/>
      <c r="AJ57" s="161"/>
      <c r="AK57" s="161"/>
      <c r="AL57" s="161"/>
      <c r="AM57" s="161"/>
      <c r="AN57" s="161"/>
      <c r="AO57" s="161"/>
      <c r="AP57" s="161"/>
      <c r="AQ57" s="161">
        <f>SUM(AR57:AU57)</f>
      </c>
      <c r="AR57" s="161"/>
      <c r="AS57" s="161"/>
      <c r="AT57" s="161"/>
      <c r="AU57" s="161"/>
      <c r="AV57" s="161">
        <f>SUM(AW57:BH57)</f>
      </c>
      <c r="AW57" s="161"/>
      <c r="AX57" s="161"/>
      <c r="AY57" s="161"/>
      <c r="AZ57" s="161"/>
      <c r="BA57" s="161"/>
      <c r="BB57" s="161"/>
      <c r="BC57" s="161"/>
      <c r="BD57" s="161"/>
      <c r="BE57" s="161"/>
      <c r="BF57" s="161"/>
      <c r="BG57" s="161"/>
      <c r="BH57" s="161"/>
      <c r="BI57" s="161"/>
      <c r="BJ57" s="161"/>
      <c r="BK57" s="161"/>
      <c r="BL57" s="161"/>
      <c r="BM57" s="161"/>
      <c r="BN57" s="161"/>
      <c r="BO57" s="161"/>
      <c r="BP57" s="161"/>
      <c r="BQ57" s="161"/>
      <c r="BR57" s="161"/>
      <c r="BS57" s="161">
        <f>SUM(BT57:BV57)</f>
      </c>
      <c r="BT57" s="161"/>
      <c r="BU57" s="161"/>
      <c r="BV57" s="161"/>
      <c r="BW57" s="161">
        <f>SUM(BX57:CC57)</f>
      </c>
      <c r="BX57" s="161"/>
      <c r="BY57" s="161"/>
      <c r="BZ57" s="161"/>
      <c r="CA57" s="161"/>
      <c r="CB57" s="161"/>
      <c r="CC57" s="161"/>
      <c r="CD57" s="161"/>
      <c r="CE57" s="161"/>
      <c r="CF57" s="161"/>
      <c r="CG57" s="161"/>
      <c r="CH57" s="161"/>
      <c r="CI57" s="161"/>
      <c r="CJ57" s="161">
        <f>SUM(CK57:CM57)</f>
      </c>
      <c r="CK57" s="161"/>
      <c r="CL57" s="161"/>
      <c r="CM57" s="161"/>
      <c r="CN57" s="161">
        <f>SUM(CO57:CS57)</f>
      </c>
      <c r="CO57" s="161"/>
      <c r="CP57" s="161"/>
      <c r="CQ57" s="161"/>
      <c r="CR57" s="161"/>
      <c r="CS57" s="161"/>
      <c r="CT57" s="161"/>
      <c r="CU57" s="161"/>
      <c r="CV57" s="161"/>
      <c r="CW57" s="161"/>
      <c r="CX57" s="161"/>
      <c r="CY57" s="161"/>
      <c r="CZ57" s="161"/>
      <c r="DA57" s="161"/>
      <c r="DB57" s="161"/>
      <c r="DC57" s="161"/>
      <c r="DD57" s="161"/>
      <c r="DE57" s="161"/>
      <c r="DF57" s="161">
        <f>SUM(DG57:DG57)</f>
      </c>
      <c r="DG57" s="161"/>
      <c r="DH57" s="161"/>
      <c r="DI57" s="161"/>
      <c r="DJ57" s="161">
        <f>SUM(DK57:DP57)</f>
      </c>
      <c r="DK57" s="161"/>
      <c r="DL57" s="161"/>
      <c r="DM57" s="161"/>
      <c r="DN57" s="161"/>
      <c r="DO57" s="161"/>
      <c r="DP57" s="161"/>
      <c r="DQ57" s="161"/>
      <c r="DR57" s="161"/>
      <c r="DS57" s="161"/>
      <c r="DT57" s="161"/>
      <c r="DU57" s="161"/>
      <c r="DV57" s="161"/>
      <c r="DW57" s="161"/>
      <c r="DX57" s="161"/>
      <c r="DY57" s="161"/>
      <c r="DZ57" s="161"/>
      <c r="EA57" s="161"/>
      <c r="EB57" s="161"/>
      <c r="EC57" s="161"/>
      <c r="ED57" s="161"/>
      <c r="EE57" s="161"/>
      <c r="EF57" s="161">
        <f>SUM(EG57:EP57)</f>
      </c>
      <c r="EG57" s="161"/>
      <c r="EH57" s="161"/>
      <c r="EI57" s="161"/>
      <c r="EJ57" s="161"/>
      <c r="EK57" s="161"/>
      <c r="EL57" s="161"/>
      <c r="EM57" s="161"/>
      <c r="EN57" s="161"/>
      <c r="EO57" s="161"/>
      <c r="EP57" s="161"/>
      <c r="EQ57" s="161">
        <f>SUM(ER57:ES57)</f>
      </c>
      <c r="ER57" s="161"/>
      <c r="ES57" s="161"/>
      <c r="ET57" s="161"/>
      <c r="EU57" s="161"/>
      <c r="EV57" s="161"/>
      <c r="EW57" s="161"/>
      <c r="EX57" s="161"/>
      <c r="EY57" s="161"/>
      <c r="EZ57" s="161"/>
      <c r="FA57" s="161"/>
      <c r="FB57" s="161"/>
      <c r="FC57" s="161"/>
      <c r="FD57" s="161"/>
      <c r="FE57" s="161"/>
      <c r="FF57" s="161"/>
      <c r="FG57" s="161"/>
      <c r="FH57" s="163" cm="1">
        <f t="array" ref="FH57">ROW()-ROW(Ongoing[#Headers])</f>
        <v>51</v>
      </c>
      <c r="FI57" s="164" t="s">
        <v>768</v>
      </c>
      <c r="FJ57" s="164" t="s">
        <v>755</v>
      </c>
      <c r="FK57" s="164">
        <v>0</v>
      </c>
      <c r="FL57" s="164" t="s">
        <v>769</v>
      </c>
      <c r="FM57" s="164">
        <v>0</v>
      </c>
      <c r="FN57" s="164" t="s">
        <v>770</v>
      </c>
      <c r="FO57" s="164" t="s">
        <v>771</v>
      </c>
      <c r="FP57" s="164" t="s">
        <v>759</v>
      </c>
    </row>
    <row r="58" spans="2:172" s="115" customFormat="1" ht="11.25" x14ac:dyDescent="0.2">
      <c r="B58" s="2327" t="s">
        <v>924</v>
      </c>
      <c r="C58" s="2328" t="s">
        <v>925</v>
      </c>
      <c r="D58" s="2329" t="s">
        <v>13</v>
      </c>
      <c r="E58" s="2330" t="s">
        <v>750</v>
      </c>
      <c r="F58" s="2331" t="s">
        <v>1597</v>
      </c>
      <c r="G58" s="2332" t="s">
        <v>46</v>
      </c>
      <c r="H58" s="2333" t="s">
        <v>41</v>
      </c>
      <c r="I58" s="2334" t="s">
        <v>64</v>
      </c>
      <c r="J58" s="2335" t="s">
        <v>1609</v>
      </c>
      <c r="K58" s="2336" t="s">
        <v>779</v>
      </c>
      <c r="L58" s="2337" t="s">
        <v>305</v>
      </c>
      <c r="M58" s="2338" t="s">
        <v>3873</v>
      </c>
      <c r="N58" s="2339" t="s">
        <v>3871</v>
      </c>
      <c r="O58" s="148"/>
      <c r="P58" s="161">
        <f>SUM(Q58:AP58)</f>
      </c>
      <c r="Q58" s="161"/>
      <c r="R58" s="161"/>
      <c r="S58" s="2340" t="n">
        <v>300.0</v>
      </c>
      <c r="T58" s="161"/>
      <c r="U58" s="161"/>
      <c r="V58" s="2341" t="n">
        <v>250.0</v>
      </c>
      <c r="W58" s="161"/>
      <c r="X58" s="161"/>
      <c r="Y58" s="161"/>
      <c r="Z58" s="161"/>
      <c r="AA58" s="161"/>
      <c r="AB58" s="161"/>
      <c r="AC58" s="161"/>
      <c r="AD58" s="161"/>
      <c r="AE58" s="161"/>
      <c r="AF58" s="161"/>
      <c r="AG58" s="161"/>
      <c r="AH58" s="2342" t="n">
        <v>160.0</v>
      </c>
      <c r="AI58" s="161"/>
      <c r="AJ58" s="161"/>
      <c r="AK58" s="161"/>
      <c r="AL58" s="161"/>
      <c r="AM58" s="161"/>
      <c r="AN58" s="161"/>
      <c r="AO58" s="161"/>
      <c r="AP58" s="161"/>
      <c r="AQ58" s="161">
        <f>SUM(AR58:AU58)</f>
      </c>
      <c r="AR58" s="161"/>
      <c r="AS58" s="161"/>
      <c r="AT58" s="161"/>
      <c r="AU58" s="161"/>
      <c r="AV58" s="161">
        <f>SUM(AW58:BH58)</f>
      </c>
      <c r="AW58" s="161"/>
      <c r="AX58" s="161"/>
      <c r="AY58" s="161"/>
      <c r="AZ58" s="161"/>
      <c r="BA58" s="161"/>
      <c r="BB58" s="161"/>
      <c r="BC58" s="161"/>
      <c r="BD58" s="161"/>
      <c r="BE58" s="161"/>
      <c r="BF58" s="161"/>
      <c r="BG58" s="161"/>
      <c r="BH58" s="161"/>
      <c r="BI58" s="161"/>
      <c r="BJ58" s="161"/>
      <c r="BK58" s="161"/>
      <c r="BL58" s="161"/>
      <c r="BM58" s="161"/>
      <c r="BN58" s="161"/>
      <c r="BO58" s="161"/>
      <c r="BP58" s="161"/>
      <c r="BQ58" s="161"/>
      <c r="BR58" s="161"/>
      <c r="BS58" s="161">
        <f>SUM(BT58:BV58)</f>
      </c>
      <c r="BT58" s="161"/>
      <c r="BU58" s="161"/>
      <c r="BV58" s="161"/>
      <c r="BW58" s="161">
        <f>SUM(BX58:CC58)</f>
      </c>
      <c r="BX58" s="161"/>
      <c r="BY58" s="161"/>
      <c r="BZ58" s="161"/>
      <c r="CA58" s="161"/>
      <c r="CB58" s="161"/>
      <c r="CC58" s="161"/>
      <c r="CD58" s="161"/>
      <c r="CE58" s="161"/>
      <c r="CF58" s="161"/>
      <c r="CG58" s="161"/>
      <c r="CH58" s="161"/>
      <c r="CI58" s="161"/>
      <c r="CJ58" s="161">
        <f>SUM(CK58:CM58)</f>
      </c>
      <c r="CK58" s="161"/>
      <c r="CL58" s="161"/>
      <c r="CM58" s="161"/>
      <c r="CN58" s="161">
        <f>SUM(CO58:CS58)</f>
      </c>
      <c r="CO58" s="161"/>
      <c r="CP58" s="161"/>
      <c r="CQ58" s="161"/>
      <c r="CR58" s="161"/>
      <c r="CS58" s="161"/>
      <c r="CT58" s="161"/>
      <c r="CU58" s="161"/>
      <c r="CV58" s="161"/>
      <c r="CW58" s="161"/>
      <c r="CX58" s="161"/>
      <c r="CY58" s="161"/>
      <c r="CZ58" s="161"/>
      <c r="DA58" s="161"/>
      <c r="DB58" s="161"/>
      <c r="DC58" s="161"/>
      <c r="DD58" s="161"/>
      <c r="DE58" s="161"/>
      <c r="DF58" s="161">
        <f>SUM(DG58:DG58)</f>
      </c>
      <c r="DG58" s="161"/>
      <c r="DH58" s="161"/>
      <c r="DI58" s="161"/>
      <c r="DJ58" s="161">
        <f>SUM(DK58:DP58)</f>
      </c>
      <c r="DK58" s="161"/>
      <c r="DL58" s="161"/>
      <c r="DM58" s="161"/>
      <c r="DN58" s="161"/>
      <c r="DO58" s="161"/>
      <c r="DP58" s="161"/>
      <c r="DQ58" s="161"/>
      <c r="DR58" s="161"/>
      <c r="DS58" s="161"/>
      <c r="DT58" s="161"/>
      <c r="DU58" s="161"/>
      <c r="DV58" s="161"/>
      <c r="DW58" s="161"/>
      <c r="DX58" s="161"/>
      <c r="DY58" s="161"/>
      <c r="DZ58" s="161"/>
      <c r="EA58" s="161"/>
      <c r="EB58" s="161"/>
      <c r="EC58" s="161"/>
      <c r="ED58" s="161"/>
      <c r="EE58" s="161"/>
      <c r="EF58" s="161">
        <f>SUM(EG58:EP58)</f>
      </c>
      <c r="EG58" s="161"/>
      <c r="EH58" s="161"/>
      <c r="EI58" s="161"/>
      <c r="EJ58" s="161"/>
      <c r="EK58" s="161"/>
      <c r="EL58" s="161"/>
      <c r="EM58" s="161"/>
      <c r="EN58" s="161"/>
      <c r="EO58" s="161"/>
      <c r="EP58" s="161"/>
      <c r="EQ58" s="161">
        <f>SUM(ER58:ES58)</f>
      </c>
      <c r="ER58" s="161"/>
      <c r="ES58" s="161"/>
      <c r="ET58" s="161"/>
      <c r="EU58" s="161"/>
      <c r="EV58" s="161"/>
      <c r="EW58" s="161"/>
      <c r="EX58" s="161"/>
      <c r="EY58" s="161"/>
      <c r="EZ58" s="161"/>
      <c r="FA58" s="161"/>
      <c r="FB58" s="161"/>
      <c r="FC58" s="161"/>
      <c r="FD58" s="161"/>
      <c r="FE58" s="161"/>
      <c r="FF58" s="161"/>
      <c r="FG58" s="161"/>
      <c r="FH58" s="163" cm="1">
        <f t="array" ref="FH58">ROW()-ROW(Ongoing[#Headers])</f>
        <v>52</v>
      </c>
      <c r="FI58" s="164" t="e">
        <v>#N/A</v>
      </c>
      <c r="FJ58" s="164" t="s">
        <v>788</v>
      </c>
      <c r="FK58" s="164">
        <v>0</v>
      </c>
      <c r="FL58" s="164" t="s">
        <v>769</v>
      </c>
      <c r="FM58" s="164">
        <v>0</v>
      </c>
      <c r="FN58" s="164" t="s">
        <v>770</v>
      </c>
      <c r="FO58" s="164" t="s">
        <v>771</v>
      </c>
      <c r="FP58" s="164" t="s">
        <v>759</v>
      </c>
    </row>
    <row r="59" spans="2:172" s="115" customFormat="1" ht="11.25" x14ac:dyDescent="0.2">
      <c r="B59" s="2343" t="s">
        <v>1429</v>
      </c>
      <c r="C59" s="2344" t="s">
        <v>1430</v>
      </c>
      <c r="D59" s="2345" t="s">
        <v>37</v>
      </c>
      <c r="E59" s="2346" t="s">
        <v>1671</v>
      </c>
      <c r="F59" s="2347" t="s">
        <v>345</v>
      </c>
      <c r="G59" s="2348" t="s">
        <v>46</v>
      </c>
      <c r="H59" s="2349" t="s">
        <v>305</v>
      </c>
      <c r="I59" s="2350" t="s">
        <v>68</v>
      </c>
      <c r="J59" s="2351" t="s">
        <v>1672</v>
      </c>
      <c r="K59" s="2352" t="s">
        <v>767</v>
      </c>
      <c r="L59" s="2353" t="s">
        <v>1392</v>
      </c>
      <c r="M59" s="2354" t="s">
        <v>3873</v>
      </c>
      <c r="N59" s="2355" t="s">
        <v>3874</v>
      </c>
      <c r="O59" s="148"/>
      <c r="P59" s="161">
        <f>SUM(Q59:AP59)</f>
      </c>
      <c r="Q59" s="161"/>
      <c r="R59" s="161"/>
      <c r="S59" s="161"/>
      <c r="T59" s="161"/>
      <c r="U59" s="161"/>
      <c r="V59" s="161"/>
      <c r="W59" s="161"/>
      <c r="X59" s="161"/>
      <c r="Y59" s="161"/>
      <c r="Z59" s="161"/>
      <c r="AA59" s="161"/>
      <c r="AB59" s="161"/>
      <c r="AC59" s="161"/>
      <c r="AD59" s="161"/>
      <c r="AE59" s="161"/>
      <c r="AF59" s="161"/>
      <c r="AG59" s="161"/>
      <c r="AH59" s="161"/>
      <c r="AI59" s="161"/>
      <c r="AJ59" s="161"/>
      <c r="AK59" s="161"/>
      <c r="AL59" s="161"/>
      <c r="AM59" s="2356" t="n">
        <v>950.0</v>
      </c>
      <c r="AN59" s="161"/>
      <c r="AO59" s="161"/>
      <c r="AP59" s="161"/>
      <c r="AQ59" s="161">
        <f>SUM(AR59:AU59)</f>
      </c>
      <c r="AR59" s="161"/>
      <c r="AS59" s="161"/>
      <c r="AT59" s="161"/>
      <c r="AU59" s="161"/>
      <c r="AV59" s="161">
        <f>SUM(AW59:BH59)</f>
      </c>
      <c r="AW59" s="161"/>
      <c r="AX59" s="161"/>
      <c r="AY59" s="161"/>
      <c r="AZ59" s="161"/>
      <c r="BA59" s="161"/>
      <c r="BB59" s="161"/>
      <c r="BC59" s="161"/>
      <c r="BD59" s="161"/>
      <c r="BE59" s="161"/>
      <c r="BF59" s="161"/>
      <c r="BG59" s="161"/>
      <c r="BH59" s="161"/>
      <c r="BI59" s="161"/>
      <c r="BJ59" s="161"/>
      <c r="BK59" s="161"/>
      <c r="BL59" s="161"/>
      <c r="BM59" s="161"/>
      <c r="BN59" s="161"/>
      <c r="BO59" s="161"/>
      <c r="BP59" s="161"/>
      <c r="BQ59" s="161"/>
      <c r="BR59" s="161"/>
      <c r="BS59" s="161">
        <f>SUM(BT59:BV59)</f>
      </c>
      <c r="BT59" s="161"/>
      <c r="BU59" s="161"/>
      <c r="BV59" s="161"/>
      <c r="BW59" s="161">
        <f>SUM(BX59:CC59)</f>
      </c>
      <c r="BX59" s="161"/>
      <c r="BY59" s="161"/>
      <c r="BZ59" s="161"/>
      <c r="CA59" s="161"/>
      <c r="CB59" s="161"/>
      <c r="CC59" s="161"/>
      <c r="CD59" s="161"/>
      <c r="CE59" s="161"/>
      <c r="CF59" s="161"/>
      <c r="CG59" s="161"/>
      <c r="CH59" s="161"/>
      <c r="CI59" s="161"/>
      <c r="CJ59" s="161">
        <f>SUM(CK59:CM59)</f>
      </c>
      <c r="CK59" s="161"/>
      <c r="CL59" s="161"/>
      <c r="CM59" s="161"/>
      <c r="CN59" s="161">
        <f>SUM(CO59:CS59)</f>
      </c>
      <c r="CO59" s="161"/>
      <c r="CP59" s="161"/>
      <c r="CQ59" s="161"/>
      <c r="CR59" s="161"/>
      <c r="CS59" s="161"/>
      <c r="CT59" s="161"/>
      <c r="CU59" s="161"/>
      <c r="CV59" s="161"/>
      <c r="CW59" s="161"/>
      <c r="CX59" s="161"/>
      <c r="CY59" s="161"/>
      <c r="CZ59" s="161"/>
      <c r="DA59" s="161"/>
      <c r="DB59" s="161"/>
      <c r="DC59" s="161"/>
      <c r="DD59" s="161"/>
      <c r="DE59" s="161"/>
      <c r="DF59" s="161">
        <f>SUM(DG59:DG59)</f>
      </c>
      <c r="DG59" s="161"/>
      <c r="DH59" s="161"/>
      <c r="DI59" s="161"/>
      <c r="DJ59" s="161">
        <f>SUM(DK59:DP59)</f>
      </c>
      <c r="DK59" s="161"/>
      <c r="DL59" s="161"/>
      <c r="DM59" s="161"/>
      <c r="DN59" s="161"/>
      <c r="DO59" s="161"/>
      <c r="DP59" s="161"/>
      <c r="DQ59" s="161"/>
      <c r="DR59" s="161"/>
      <c r="DS59" s="161"/>
      <c r="DT59" s="161"/>
      <c r="DU59" s="161"/>
      <c r="DV59" s="161"/>
      <c r="DW59" s="161"/>
      <c r="DX59" s="161"/>
      <c r="DY59" s="161"/>
      <c r="DZ59" s="161"/>
      <c r="EA59" s="161"/>
      <c r="EB59" s="161"/>
      <c r="EC59" s="161"/>
      <c r="ED59" s="161"/>
      <c r="EE59" s="161"/>
      <c r="EF59" s="161">
        <f>SUM(EG59:EP59)</f>
      </c>
      <c r="EG59" s="161"/>
      <c r="EH59" s="161"/>
      <c r="EI59" s="161"/>
      <c r="EJ59" s="161"/>
      <c r="EK59" s="161"/>
      <c r="EL59" s="161"/>
      <c r="EM59" s="161"/>
      <c r="EN59" s="161"/>
      <c r="EO59" s="161"/>
      <c r="EP59" s="161"/>
      <c r="EQ59" s="161">
        <f>SUM(ER59:ES59)</f>
      </c>
      <c r="ER59" s="161"/>
      <c r="ES59" s="161"/>
      <c r="ET59" s="161"/>
      <c r="EU59" s="161"/>
      <c r="EV59" s="161"/>
      <c r="EW59" s="161"/>
      <c r="EX59" s="161"/>
      <c r="EY59" s="161"/>
      <c r="EZ59" s="161"/>
      <c r="FA59" s="161"/>
      <c r="FB59" s="161"/>
      <c r="FC59" s="161"/>
      <c r="FD59" s="161"/>
      <c r="FE59" s="161"/>
      <c r="FF59" s="161"/>
      <c r="FG59" s="161"/>
      <c r="FH59" s="163" cm="1">
        <f t="array" ref="FH59">ROW()-ROW(Ongoing[#Headers])</f>
        <v>53</v>
      </c>
      <c r="FI59" s="164"/>
      <c r="FJ59" s="164" t="s">
        <v>755</v>
      </c>
      <c r="FK59" s="164">
        <v>0</v>
      </c>
      <c r="FL59" s="164" t="s">
        <v>781</v>
      </c>
      <c r="FM59" s="164" t="s">
        <v>790</v>
      </c>
      <c r="FN59" s="164" t="s">
        <v>782</v>
      </c>
      <c r="FO59" s="164" t="s">
        <v>880</v>
      </c>
      <c r="FP59" s="164" t="s">
        <v>759</v>
      </c>
    </row>
    <row r="60" spans="2:172" s="115" customFormat="1" ht="11.25" x14ac:dyDescent="0.2">
      <c r="B60" s="2371" t="s">
        <v>1301</v>
      </c>
      <c r="C60" s="2372" t="s">
        <v>1302</v>
      </c>
      <c r="D60" s="2373" t="s">
        <v>23</v>
      </c>
      <c r="E60" s="2374" t="s">
        <v>1262</v>
      </c>
      <c r="F60" s="2375" t="s">
        <v>1597</v>
      </c>
      <c r="G60" s="2376" t="s">
        <v>51</v>
      </c>
      <c r="H60" s="2377" t="s">
        <v>786</v>
      </c>
      <c r="I60" s="2378" t="s">
        <v>64</v>
      </c>
      <c r="J60" s="2379" t="s">
        <v>1617</v>
      </c>
      <c r="K60" s="2380" t="s">
        <v>751</v>
      </c>
      <c r="L60" s="2381" t="s">
        <v>305</v>
      </c>
      <c r="M60" s="2382" t="s">
        <v>3870</v>
      </c>
      <c r="N60" s="2383" t="s">
        <v>3871</v>
      </c>
      <c r="O60" s="148"/>
      <c r="P60" s="161">
        <f>SUM(Q60:AP60)</f>
      </c>
      <c r="Q60" s="161"/>
      <c r="R60" s="161"/>
      <c r="S60" s="161"/>
      <c r="T60" s="2384" t="n">
        <v>300.0</v>
      </c>
      <c r="U60" s="161"/>
      <c r="V60" s="161"/>
      <c r="W60" s="161"/>
      <c r="X60" s="161"/>
      <c r="Y60" s="161"/>
      <c r="Z60" s="161"/>
      <c r="AA60" s="161"/>
      <c r="AB60" s="161"/>
      <c r="AC60" s="161"/>
      <c r="AD60" s="161"/>
      <c r="AE60" s="161"/>
      <c r="AF60" s="161"/>
      <c r="AG60" s="161"/>
      <c r="AH60" s="161"/>
      <c r="AI60" s="161"/>
      <c r="AJ60" s="161"/>
      <c r="AK60" s="161"/>
      <c r="AL60" s="161"/>
      <c r="AM60" s="161"/>
      <c r="AN60" s="161"/>
      <c r="AO60" s="161"/>
      <c r="AP60" s="161"/>
      <c r="AQ60" s="161">
        <f>SUM(AR60:AU60)</f>
      </c>
      <c r="AR60" s="161"/>
      <c r="AS60" s="161"/>
      <c r="AT60" s="161"/>
      <c r="AU60" s="161"/>
      <c r="AV60" s="161">
        <f>SUM(AW60:BH60)</f>
      </c>
      <c r="AW60" s="161"/>
      <c r="AX60" s="161"/>
      <c r="AY60" s="161"/>
      <c r="AZ60" s="161"/>
      <c r="BA60" s="161"/>
      <c r="BB60" s="161"/>
      <c r="BC60" s="161"/>
      <c r="BD60" s="161"/>
      <c r="BE60" s="161"/>
      <c r="BF60" s="161"/>
      <c r="BG60" s="161"/>
      <c r="BH60" s="161"/>
      <c r="BI60" s="161"/>
      <c r="BJ60" s="161"/>
      <c r="BK60" s="161"/>
      <c r="BL60" s="161"/>
      <c r="BM60" s="161"/>
      <c r="BN60" s="161"/>
      <c r="BO60" s="161"/>
      <c r="BP60" s="161"/>
      <c r="BQ60" s="161"/>
      <c r="BR60" s="161"/>
      <c r="BS60" s="161">
        <f>SUM(BT60:BV60)</f>
      </c>
      <c r="BT60" s="161"/>
      <c r="BU60" s="161"/>
      <c r="BV60" s="161"/>
      <c r="BW60" s="161">
        <f>SUM(BX60:CC60)</f>
      </c>
      <c r="BX60" s="161"/>
      <c r="BY60" s="161"/>
      <c r="BZ60" s="161"/>
      <c r="CA60" s="161"/>
      <c r="CB60" s="161"/>
      <c r="CC60" s="161"/>
      <c r="CD60" s="161"/>
      <c r="CE60" s="161"/>
      <c r="CF60" s="161"/>
      <c r="CG60" s="161"/>
      <c r="CH60" s="161"/>
      <c r="CI60" s="161"/>
      <c r="CJ60" s="161">
        <f>SUM(CK60:CM60)</f>
      </c>
      <c r="CK60" s="161"/>
      <c r="CL60" s="161"/>
      <c r="CM60" s="161"/>
      <c r="CN60" s="161">
        <f>SUM(CO60:CS60)</f>
      </c>
      <c r="CO60" s="161"/>
      <c r="CP60" s="161"/>
      <c r="CQ60" s="161"/>
      <c r="CR60" s="161"/>
      <c r="CS60" s="161"/>
      <c r="CT60" s="161"/>
      <c r="CU60" s="161"/>
      <c r="CV60" s="161"/>
      <c r="CW60" s="161"/>
      <c r="CX60" s="161"/>
      <c r="CY60" s="161"/>
      <c r="CZ60" s="161"/>
      <c r="DA60" s="161"/>
      <c r="DB60" s="161"/>
      <c r="DC60" s="161"/>
      <c r="DD60" s="161"/>
      <c r="DE60" s="161"/>
      <c r="DF60" s="161">
        <f>SUM(DG60:DG60)</f>
      </c>
      <c r="DG60" s="161"/>
      <c r="DH60" s="161"/>
      <c r="DI60" s="161"/>
      <c r="DJ60" s="161">
        <f>SUM(DK60:DP60)</f>
      </c>
      <c r="DK60" s="161"/>
      <c r="DL60" s="161"/>
      <c r="DM60" s="161"/>
      <c r="DN60" s="161"/>
      <c r="DO60" s="161"/>
      <c r="DP60" s="161"/>
      <c r="DQ60" s="161"/>
      <c r="DR60" s="161"/>
      <c r="DS60" s="161"/>
      <c r="DT60" s="161"/>
      <c r="DU60" s="161"/>
      <c r="DV60" s="161"/>
      <c r="DW60" s="161"/>
      <c r="DX60" s="161"/>
      <c r="DY60" s="161"/>
      <c r="DZ60" s="161"/>
      <c r="EA60" s="161"/>
      <c r="EB60" s="161"/>
      <c r="EC60" s="161"/>
      <c r="ED60" s="161"/>
      <c r="EE60" s="161"/>
      <c r="EF60" s="161">
        <f>SUM(EG60:EP60)</f>
      </c>
      <c r="EG60" s="161"/>
      <c r="EH60" s="161"/>
      <c r="EI60" s="161"/>
      <c r="EJ60" s="161"/>
      <c r="EK60" s="161"/>
      <c r="EL60" s="161"/>
      <c r="EM60" s="161"/>
      <c r="EN60" s="161"/>
      <c r="EO60" s="161"/>
      <c r="EP60" s="161"/>
      <c r="EQ60" s="161">
        <f>SUM(ER60:ES60)</f>
      </c>
      <c r="ER60" s="161"/>
      <c r="ES60" s="161"/>
      <c r="ET60" s="161"/>
      <c r="EU60" s="161"/>
      <c r="EV60" s="161"/>
      <c r="EW60" s="161"/>
      <c r="EX60" s="161"/>
      <c r="EY60" s="161"/>
      <c r="EZ60" s="161"/>
      <c r="FA60" s="161"/>
      <c r="FB60" s="161"/>
      <c r="FC60" s="161"/>
      <c r="FD60" s="161"/>
      <c r="FE60" s="161"/>
      <c r="FF60" s="161"/>
      <c r="FG60" s="161"/>
      <c r="FH60" s="163" cm="1">
        <f t="array" ref="FH60">ROW()-ROW(Ongoing[#Headers])</f>
        <v>54</v>
      </c>
      <c r="FI60" s="164"/>
      <c r="FJ60" s="164" t="s">
        <v>737</v>
      </c>
      <c r="FK60" s="164">
        <v>0</v>
      </c>
      <c r="FL60" s="164" t="s">
        <v>781</v>
      </c>
      <c r="FM60" s="164">
        <v>0</v>
      </c>
      <c r="FN60" s="164" t="s">
        <v>782</v>
      </c>
      <c r="FO60" s="164" t="s">
        <v>820</v>
      </c>
      <c r="FP60" s="164" t="s">
        <v>759</v>
      </c>
    </row>
    <row r="61" spans="2:172" s="115" customFormat="1" ht="11.25" x14ac:dyDescent="0.2">
      <c r="B61" s="2413" t="s">
        <v>916</v>
      </c>
      <c r="C61" s="2414" t="s">
        <v>2030</v>
      </c>
      <c r="D61" s="2415" t="s">
        <v>20</v>
      </c>
      <c r="E61" s="2416" t="s">
        <v>898</v>
      </c>
      <c r="F61" s="2417" t="s">
        <v>1597</v>
      </c>
      <c r="G61" s="2418" t="s">
        <v>46</v>
      </c>
      <c r="H61" s="2419" t="s">
        <v>41</v>
      </c>
      <c r="I61" s="2420" t="s">
        <v>71</v>
      </c>
      <c r="J61" s="2421" t="s">
        <v>791</v>
      </c>
      <c r="K61" s="2422" t="s">
        <v>779</v>
      </c>
      <c r="L61" s="2423" t="s">
        <v>305</v>
      </c>
      <c r="M61" s="2424" t="s">
        <v>3873</v>
      </c>
      <c r="N61" s="2425" t="s">
        <v>3871</v>
      </c>
      <c r="O61" s="148"/>
      <c r="P61" s="161">
        <f>SUM(Q61:AP61)</f>
      </c>
      <c r="Q61" s="161"/>
      <c r="R61" s="161"/>
      <c r="S61" s="161"/>
      <c r="T61" s="161"/>
      <c r="U61" s="161"/>
      <c r="V61" s="161"/>
      <c r="W61" s="161"/>
      <c r="X61" s="161"/>
      <c r="Y61" s="161"/>
      <c r="Z61" s="161"/>
      <c r="AA61" s="161"/>
      <c r="AB61" s="161"/>
      <c r="AC61" s="161"/>
      <c r="AD61" s="161"/>
      <c r="AE61" s="161"/>
      <c r="AF61" s="161"/>
      <c r="AG61" s="161"/>
      <c r="AH61" s="2426" t="n">
        <v>250.0</v>
      </c>
      <c r="AI61" s="161"/>
      <c r="AJ61" s="161"/>
      <c r="AK61" s="161"/>
      <c r="AL61" s="161"/>
      <c r="AM61" s="161"/>
      <c r="AN61" s="161"/>
      <c r="AO61" s="161"/>
      <c r="AP61" s="161"/>
      <c r="AQ61" s="161">
        <f>SUM(AR61:AU61)</f>
      </c>
      <c r="AR61" s="161"/>
      <c r="AS61" s="161"/>
      <c r="AT61" s="161"/>
      <c r="AU61" s="161"/>
      <c r="AV61" s="161">
        <f>SUM(AW61:BH61)</f>
      </c>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f>SUM(BT61:BV61)</f>
      </c>
      <c r="BT61" s="161"/>
      <c r="BU61" s="161"/>
      <c r="BV61" s="161"/>
      <c r="BW61" s="161">
        <f>SUM(BX61:CC61)</f>
      </c>
      <c r="BX61" s="161"/>
      <c r="BY61" s="161"/>
      <c r="BZ61" s="161"/>
      <c r="CA61" s="161"/>
      <c r="CB61" s="161"/>
      <c r="CC61" s="161"/>
      <c r="CD61" s="161"/>
      <c r="CE61" s="161"/>
      <c r="CF61" s="161"/>
      <c r="CG61" s="161"/>
      <c r="CH61" s="161"/>
      <c r="CI61" s="161"/>
      <c r="CJ61" s="161">
        <f>SUM(CK61:CM61)</f>
      </c>
      <c r="CK61" s="161"/>
      <c r="CL61" s="161"/>
      <c r="CM61" s="161"/>
      <c r="CN61" s="161">
        <f>SUM(CO61:CS61)</f>
      </c>
      <c r="CO61" s="161"/>
      <c r="CP61" s="161"/>
      <c r="CQ61" s="161"/>
      <c r="CR61" s="161"/>
      <c r="CS61" s="161"/>
      <c r="CT61" s="161"/>
      <c r="CU61" s="161"/>
      <c r="CV61" s="161"/>
      <c r="CW61" s="161"/>
      <c r="CX61" s="161"/>
      <c r="CY61" s="161"/>
      <c r="CZ61" s="161"/>
      <c r="DA61" s="161"/>
      <c r="DB61" s="161"/>
      <c r="DC61" s="161"/>
      <c r="DD61" s="161"/>
      <c r="DE61" s="161"/>
      <c r="DF61" s="161">
        <f>SUM(DG61:DG61)</f>
      </c>
      <c r="DG61" s="161"/>
      <c r="DH61" s="161"/>
      <c r="DI61" s="161"/>
      <c r="DJ61" s="161">
        <f>SUM(DK61:DP61)</f>
      </c>
      <c r="DK61" s="161"/>
      <c r="DL61" s="161"/>
      <c r="DM61" s="161"/>
      <c r="DN61" s="161"/>
      <c r="DO61" s="161"/>
      <c r="DP61" s="161"/>
      <c r="DQ61" s="161"/>
      <c r="DR61" s="161"/>
      <c r="DS61" s="161"/>
      <c r="DT61" s="161"/>
      <c r="DU61" s="161"/>
      <c r="DV61" s="161"/>
      <c r="DW61" s="161"/>
      <c r="DX61" s="161"/>
      <c r="DY61" s="161"/>
      <c r="DZ61" s="161"/>
      <c r="EA61" s="161"/>
      <c r="EB61" s="161"/>
      <c r="EC61" s="161"/>
      <c r="ED61" s="161"/>
      <c r="EE61" s="161"/>
      <c r="EF61" s="161">
        <f>SUM(EG61:EP61)</f>
      </c>
      <c r="EG61" s="161"/>
      <c r="EH61" s="161"/>
      <c r="EI61" s="161"/>
      <c r="EJ61" s="161"/>
      <c r="EK61" s="161"/>
      <c r="EL61" s="161"/>
      <c r="EM61" s="161"/>
      <c r="EN61" s="161"/>
      <c r="EO61" s="161"/>
      <c r="EP61" s="161"/>
      <c r="EQ61" s="161">
        <f>SUM(ER61:ES61)</f>
      </c>
      <c r="ER61" s="161"/>
      <c r="ES61" s="161"/>
      <c r="ET61" s="161"/>
      <c r="EU61" s="161"/>
      <c r="EV61" s="161"/>
      <c r="EW61" s="161"/>
      <c r="EX61" s="161"/>
      <c r="EY61" s="161"/>
      <c r="EZ61" s="161"/>
      <c r="FA61" s="161"/>
      <c r="FB61" s="161"/>
      <c r="FC61" s="161"/>
      <c r="FD61" s="161"/>
      <c r="FE61" s="161"/>
      <c r="FF61" s="161"/>
      <c r="FG61" s="161"/>
      <c r="FH61" s="163" cm="1">
        <f t="array" ref="FH61">ROW()-ROW(Ongoing[#Headers])</f>
        <v>55</v>
      </c>
      <c r="FI61" s="164"/>
      <c r="FJ61" s="164" t="s">
        <v>737</v>
      </c>
      <c r="FK61" s="164">
        <v>0</v>
      </c>
      <c r="FL61" s="164" t="s">
        <v>781</v>
      </c>
      <c r="FM61" s="164" t="s">
        <v>790</v>
      </c>
      <c r="FN61" s="164" t="s">
        <v>782</v>
      </c>
      <c r="FO61" s="164" t="s">
        <v>820</v>
      </c>
      <c r="FP61" s="164" t="s">
        <v>759</v>
      </c>
    </row>
    <row r="62" spans="2:172" s="115" customFormat="1" ht="11.25" x14ac:dyDescent="0.2">
      <c r="B62" s="2427" t="s">
        <v>1445</v>
      </c>
      <c r="C62" s="2428" t="s">
        <v>1446</v>
      </c>
      <c r="D62" s="2429" t="s">
        <v>13</v>
      </c>
      <c r="E62" s="2430" t="s">
        <v>1241</v>
      </c>
      <c r="F62" s="2431" t="s">
        <v>345</v>
      </c>
      <c r="G62" s="2432" t="s">
        <v>46</v>
      </c>
      <c r="H62" s="2433" t="s">
        <v>305</v>
      </c>
      <c r="I62" s="2434" t="s">
        <v>74</v>
      </c>
      <c r="J62" s="2435" t="s">
        <v>1622</v>
      </c>
      <c r="K62" s="2436" t="s">
        <v>305</v>
      </c>
      <c r="L62" s="2437" t="s">
        <v>1615</v>
      </c>
      <c r="M62" s="2438" t="s">
        <v>3873</v>
      </c>
      <c r="N62" s="2439" t="s">
        <v>3871</v>
      </c>
      <c r="O62" s="148"/>
      <c r="P62" s="161">
        <f>SUM(Q62:AP62)</f>
      </c>
      <c r="Q62" s="161"/>
      <c r="R62" s="161"/>
      <c r="S62" s="161"/>
      <c r="T62" s="161"/>
      <c r="U62" s="161"/>
      <c r="V62" s="161"/>
      <c r="W62" s="161"/>
      <c r="X62" s="161"/>
      <c r="Y62" s="161"/>
      <c r="Z62" s="161"/>
      <c r="AA62" s="161"/>
      <c r="AB62" s="161"/>
      <c r="AC62" s="161"/>
      <c r="AD62" s="161"/>
      <c r="AE62" s="161"/>
      <c r="AF62" s="161"/>
      <c r="AG62" s="161"/>
      <c r="AH62" s="161"/>
      <c r="AI62" s="161"/>
      <c r="AJ62" s="161"/>
      <c r="AK62" s="161"/>
      <c r="AL62" s="161"/>
      <c r="AM62" s="2440" t="n">
        <v>270.0</v>
      </c>
      <c r="AN62" s="161"/>
      <c r="AO62" s="161"/>
      <c r="AP62" s="161"/>
      <c r="AQ62" s="161">
        <f>SUM(AR62:AU62)</f>
      </c>
      <c r="AR62" s="161"/>
      <c r="AS62" s="161"/>
      <c r="AT62" s="161"/>
      <c r="AU62" s="161"/>
      <c r="AV62" s="161">
        <f>SUM(AW62:BH62)</f>
      </c>
      <c r="AW62" s="161"/>
      <c r="AX62" s="161"/>
      <c r="AY62" s="161"/>
      <c r="AZ62" s="161"/>
      <c r="BA62" s="161"/>
      <c r="BB62" s="161"/>
      <c r="BC62" s="161"/>
      <c r="BD62" s="161"/>
      <c r="BE62" s="161"/>
      <c r="BF62" s="161"/>
      <c r="BG62" s="161"/>
      <c r="BH62" s="161"/>
      <c r="BI62" s="161"/>
      <c r="BJ62" s="161"/>
      <c r="BK62" s="161"/>
      <c r="BL62" s="161"/>
      <c r="BM62" s="161"/>
      <c r="BN62" s="161"/>
      <c r="BO62" s="161"/>
      <c r="BP62" s="161"/>
      <c r="BQ62" s="161"/>
      <c r="BR62" s="161"/>
      <c r="BS62" s="161">
        <f>SUM(BT62:BV62)</f>
      </c>
      <c r="BT62" s="161"/>
      <c r="BU62" s="161"/>
      <c r="BV62" s="2441" t="n">
        <v>1050.0</v>
      </c>
      <c r="BW62" s="161">
        <f>SUM(BX62:CC62)</f>
      </c>
      <c r="BX62" s="2442" t="n">
        <v>24.0</v>
      </c>
      <c r="BY62" s="2443" t="n">
        <v>40.0</v>
      </c>
      <c r="BZ62" s="161"/>
      <c r="CA62" s="2444" t="n">
        <v>30.0</v>
      </c>
      <c r="CB62" s="161"/>
      <c r="CC62" s="161"/>
      <c r="CD62" s="161"/>
      <c r="CE62" s="161"/>
      <c r="CF62" s="161"/>
      <c r="CG62" s="161"/>
      <c r="CH62" s="161"/>
      <c r="CI62" s="161"/>
      <c r="CJ62" s="161">
        <f>SUM(CK62:CM62)</f>
      </c>
      <c r="CK62" s="161"/>
      <c r="CL62" s="161"/>
      <c r="CM62" s="161"/>
      <c r="CN62" s="161">
        <f>SUM(CO62:CS62)</f>
      </c>
      <c r="CO62" s="161"/>
      <c r="CP62" s="161"/>
      <c r="CQ62" s="161"/>
      <c r="CR62" s="161"/>
      <c r="CS62" s="161"/>
      <c r="CT62" s="161"/>
      <c r="CU62" s="161"/>
      <c r="CV62" s="161"/>
      <c r="CW62" s="161"/>
      <c r="CX62" s="161"/>
      <c r="CY62" s="161"/>
      <c r="CZ62" s="161"/>
      <c r="DA62" s="161"/>
      <c r="DB62" s="161"/>
      <c r="DC62" s="161"/>
      <c r="DD62" s="161"/>
      <c r="DE62" s="161"/>
      <c r="DF62" s="161">
        <f>SUM(DG62:DG62)</f>
      </c>
      <c r="DG62" s="161"/>
      <c r="DH62" s="161"/>
      <c r="DI62" s="161"/>
      <c r="DJ62" s="161">
        <f>SUM(DK62:DP62)</f>
      </c>
      <c r="DK62" s="161"/>
      <c r="DL62" s="161"/>
      <c r="DM62" s="161"/>
      <c r="DN62" s="161"/>
      <c r="DO62" s="161"/>
      <c r="DP62" s="161"/>
      <c r="DQ62" s="161"/>
      <c r="DR62" s="161"/>
      <c r="DS62" s="161"/>
      <c r="DT62" s="161"/>
      <c r="DU62" s="161"/>
      <c r="DV62" s="161"/>
      <c r="DW62" s="161"/>
      <c r="DX62" s="161"/>
      <c r="DY62" s="161"/>
      <c r="DZ62" s="161"/>
      <c r="EA62" s="161"/>
      <c r="EB62" s="161"/>
      <c r="EC62" s="161"/>
      <c r="ED62" s="161"/>
      <c r="EE62" s="161"/>
      <c r="EF62" s="161">
        <f>SUM(EG62:EP62)</f>
      </c>
      <c r="EG62" s="161"/>
      <c r="EH62" s="161"/>
      <c r="EI62" s="161"/>
      <c r="EJ62" s="161"/>
      <c r="EK62" s="161"/>
      <c r="EL62" s="161"/>
      <c r="EM62" s="161"/>
      <c r="EN62" s="161"/>
      <c r="EO62" s="161"/>
      <c r="EP62" s="2445" t="n">
        <v>1550.0</v>
      </c>
      <c r="EQ62" s="161">
        <f>SUM(ER62:ES62)</f>
      </c>
      <c r="ER62" s="161"/>
      <c r="ES62" s="161"/>
      <c r="ET62" s="161"/>
      <c r="EU62" s="161"/>
      <c r="EV62" s="161"/>
      <c r="EW62" s="161"/>
      <c r="EX62" s="161"/>
      <c r="EY62" s="161"/>
      <c r="EZ62" s="161"/>
      <c r="FA62" s="161"/>
      <c r="FB62" s="161"/>
      <c r="FC62" s="161"/>
      <c r="FD62" s="161"/>
      <c r="FE62" s="161"/>
      <c r="FF62" s="161"/>
      <c r="FG62" s="161"/>
      <c r="FH62" s="163" cm="1">
        <f t="array" ref="FH62">ROW()-ROW(Ongoing[#Headers])</f>
        <v>56</v>
      </c>
      <c r="FI62" s="164" t="s">
        <v>768</v>
      </c>
      <c r="FJ62" s="164" t="s">
        <v>755</v>
      </c>
      <c r="FK62" s="164">
        <v>0</v>
      </c>
      <c r="FL62" s="164" t="s">
        <v>769</v>
      </c>
      <c r="FM62" s="164">
        <v>0</v>
      </c>
      <c r="FN62" s="164" t="s">
        <v>770</v>
      </c>
      <c r="FO62" s="164" t="s">
        <v>873</v>
      </c>
      <c r="FP62" s="164" t="s">
        <v>759</v>
      </c>
    </row>
    <row r="63" spans="2:172" s="115" customFormat="1" ht="11.25" x14ac:dyDescent="0.2">
      <c r="B63" s="2532" t="s">
        <v>1123</v>
      </c>
      <c r="C63" s="2533" t="s">
        <v>1124</v>
      </c>
      <c r="D63" s="2534" t="s">
        <v>23</v>
      </c>
      <c r="E63" s="2535" t="s">
        <v>1116</v>
      </c>
      <c r="F63" s="2536" t="s">
        <v>1597</v>
      </c>
      <c r="G63" s="2537" t="s">
        <v>46</v>
      </c>
      <c r="H63" s="2538" t="s">
        <v>41</v>
      </c>
      <c r="I63" s="2539" t="s">
        <v>68</v>
      </c>
      <c r="J63" s="2540" t="s">
        <v>1571</v>
      </c>
      <c r="K63" s="2541" t="s">
        <v>787</v>
      </c>
      <c r="L63" s="2542" t="s">
        <v>305</v>
      </c>
      <c r="M63" s="2543" t="s">
        <v>3873</v>
      </c>
      <c r="N63" s="2544" t="s">
        <v>3878</v>
      </c>
      <c r="O63" s="148"/>
      <c r="P63" s="161">
        <f>SUM(Q63:AP63)</f>
      </c>
      <c r="Q63" s="2545" t="n">
        <v>140.0</v>
      </c>
      <c r="R63" s="161"/>
      <c r="S63" s="161"/>
      <c r="T63" s="161"/>
      <c r="U63" s="161"/>
      <c r="V63" s="161"/>
      <c r="W63" s="161"/>
      <c r="X63" s="161"/>
      <c r="Y63" s="161"/>
      <c r="Z63" s="161"/>
      <c r="AA63" s="161"/>
      <c r="AB63" s="161"/>
      <c r="AC63" s="161"/>
      <c r="AD63" s="161"/>
      <c r="AE63" s="161"/>
      <c r="AF63" s="161"/>
      <c r="AG63" s="161"/>
      <c r="AH63" s="161"/>
      <c r="AI63" s="161"/>
      <c r="AJ63" s="161"/>
      <c r="AK63" s="161"/>
      <c r="AL63" s="161"/>
      <c r="AM63" s="161"/>
      <c r="AN63" s="161"/>
      <c r="AO63" s="161"/>
      <c r="AP63" s="161"/>
      <c r="AQ63" s="161">
        <f>SUM(AR63:AU63)</f>
      </c>
      <c r="AR63" s="161"/>
      <c r="AS63" s="161"/>
      <c r="AT63" s="161"/>
      <c r="AU63" s="161"/>
      <c r="AV63" s="161">
        <f>SUM(AW63:BH63)</f>
      </c>
      <c r="AW63" s="161"/>
      <c r="AX63" s="161"/>
      <c r="AY63" s="161"/>
      <c r="AZ63" s="161"/>
      <c r="BA63" s="161"/>
      <c r="BB63" s="161"/>
      <c r="BC63" s="161"/>
      <c r="BD63" s="161"/>
      <c r="BE63" s="161"/>
      <c r="BF63" s="161"/>
      <c r="BG63" s="161"/>
      <c r="BH63" s="161"/>
      <c r="BI63" s="161"/>
      <c r="BJ63" s="161"/>
      <c r="BK63" s="161"/>
      <c r="BL63" s="161"/>
      <c r="BM63" s="161"/>
      <c r="BN63" s="161"/>
      <c r="BO63" s="161"/>
      <c r="BP63" s="161"/>
      <c r="BQ63" s="161"/>
      <c r="BR63" s="161"/>
      <c r="BS63" s="161">
        <f>SUM(BT63:BV63)</f>
      </c>
      <c r="BT63" s="161"/>
      <c r="BU63" s="161"/>
      <c r="BV63" s="161"/>
      <c r="BW63" s="161">
        <f>SUM(BX63:CC63)</f>
      </c>
      <c r="BX63" s="161"/>
      <c r="BY63" s="161"/>
      <c r="BZ63" s="161"/>
      <c r="CA63" s="161"/>
      <c r="CB63" s="161"/>
      <c r="CC63" s="161"/>
      <c r="CD63" s="161"/>
      <c r="CE63" s="161"/>
      <c r="CF63" s="161"/>
      <c r="CG63" s="161"/>
      <c r="CH63" s="161"/>
      <c r="CI63" s="161"/>
      <c r="CJ63" s="161">
        <f>SUM(CK63:CM63)</f>
      </c>
      <c r="CK63" s="161"/>
      <c r="CL63" s="161"/>
      <c r="CM63" s="161"/>
      <c r="CN63" s="161">
        <f>SUM(CO63:CS63)</f>
      </c>
      <c r="CO63" s="161"/>
      <c r="CP63" s="161"/>
      <c r="CQ63" s="161"/>
      <c r="CR63" s="161"/>
      <c r="CS63" s="161"/>
      <c r="CT63" s="161"/>
      <c r="CU63" s="161"/>
      <c r="CV63" s="161"/>
      <c r="CW63" s="161"/>
      <c r="CX63" s="161"/>
      <c r="CY63" s="161"/>
      <c r="CZ63" s="161"/>
      <c r="DA63" s="161"/>
      <c r="DB63" s="161"/>
      <c r="DC63" s="161"/>
      <c r="DD63" s="161"/>
      <c r="DE63" s="161"/>
      <c r="DF63" s="161">
        <f>SUM(DG63:DG63)</f>
      </c>
      <c r="DG63" s="161"/>
      <c r="DH63" s="161"/>
      <c r="DI63" s="161"/>
      <c r="DJ63" s="161">
        <f>SUM(DK63:DP63)</f>
      </c>
      <c r="DK63" s="161"/>
      <c r="DL63" s="161"/>
      <c r="DM63" s="161"/>
      <c r="DN63" s="161"/>
      <c r="DO63" s="161"/>
      <c r="DP63" s="161"/>
      <c r="DQ63" s="161"/>
      <c r="DR63" s="161"/>
      <c r="DS63" s="161"/>
      <c r="DT63" s="161"/>
      <c r="DU63" s="161"/>
      <c r="DV63" s="161"/>
      <c r="DW63" s="161"/>
      <c r="DX63" s="161"/>
      <c r="DY63" s="161"/>
      <c r="DZ63" s="161"/>
      <c r="EA63" s="161"/>
      <c r="EB63" s="161"/>
      <c r="EC63" s="161"/>
      <c r="ED63" s="161"/>
      <c r="EE63" s="161"/>
      <c r="EF63" s="161">
        <f>SUM(EG63:EP63)</f>
      </c>
      <c r="EG63" s="161"/>
      <c r="EH63" s="161"/>
      <c r="EI63" s="161"/>
      <c r="EJ63" s="161"/>
      <c r="EK63" s="161"/>
      <c r="EL63" s="161"/>
      <c r="EM63" s="161"/>
      <c r="EN63" s="161"/>
      <c r="EO63" s="161"/>
      <c r="EP63" s="161"/>
      <c r="EQ63" s="161">
        <f>SUM(ER63:ES63)</f>
      </c>
      <c r="ER63" s="161"/>
      <c r="ES63" s="161"/>
      <c r="ET63" s="161"/>
      <c r="EU63" s="161"/>
      <c r="EV63" s="161"/>
      <c r="EW63" s="161"/>
      <c r="EX63" s="161"/>
      <c r="EY63" s="161"/>
      <c r="EZ63" s="161"/>
      <c r="FA63" s="161"/>
      <c r="FB63" s="161"/>
      <c r="FC63" s="161"/>
      <c r="FD63" s="161"/>
      <c r="FE63" s="161"/>
      <c r="FF63" s="161"/>
      <c r="FG63" s="161"/>
      <c r="FH63" s="163" cm="1">
        <f t="array" ref="FH63">ROW()-ROW(Ongoing[#Headers])</f>
        <v>57</v>
      </c>
      <c r="FI63" s="164" t="s">
        <v>768</v>
      </c>
      <c r="FJ63" s="164" t="s">
        <v>755</v>
      </c>
      <c r="FK63" s="164">
        <v>0</v>
      </c>
      <c r="FL63" s="164" t="s">
        <v>769</v>
      </c>
      <c r="FM63" s="164">
        <v>0</v>
      </c>
      <c r="FN63" s="164">
        <v>0</v>
      </c>
      <c r="FO63" s="164">
        <v>0</v>
      </c>
      <c r="FP63" s="164">
        <v>0</v>
      </c>
    </row>
    <row r="64" spans="2:172" s="115" customFormat="1" ht="11.25" x14ac:dyDescent="0.2">
      <c r="B64" s="2546" t="s">
        <v>1414</v>
      </c>
      <c r="C64" s="2547" t="s">
        <v>1415</v>
      </c>
      <c r="D64" s="2548" t="s">
        <v>13</v>
      </c>
      <c r="E64" s="2549" t="s">
        <v>810</v>
      </c>
      <c r="F64" s="2550" t="s">
        <v>345</v>
      </c>
      <c r="G64" s="2551" t="s">
        <v>55</v>
      </c>
      <c r="H64" s="2552" t="s">
        <v>305</v>
      </c>
      <c r="I64" s="2553" t="s">
        <v>71</v>
      </c>
      <c r="J64" s="2554" t="s">
        <v>783</v>
      </c>
      <c r="K64" s="2555" t="s">
        <v>787</v>
      </c>
      <c r="L64" s="2556" t="s">
        <v>1615</v>
      </c>
      <c r="M64" s="2557" t="s">
        <v>3873</v>
      </c>
      <c r="N64" s="2558" t="s">
        <v>3871</v>
      </c>
      <c r="O64" s="148"/>
      <c r="P64" s="161">
        <f>SUM(Q64:AP64)</f>
      </c>
      <c r="Q64" s="161"/>
      <c r="R64" s="161"/>
      <c r="S64" s="161"/>
      <c r="T64" s="161"/>
      <c r="U64" s="161"/>
      <c r="V64" s="2559" t="n">
        <v>1115.0</v>
      </c>
      <c r="W64" s="161"/>
      <c r="X64" s="161"/>
      <c r="Y64" s="2560" t="n">
        <v>105.0</v>
      </c>
      <c r="Z64" s="161"/>
      <c r="AA64" s="161"/>
      <c r="AB64" s="161"/>
      <c r="AC64" s="161"/>
      <c r="AD64" s="161"/>
      <c r="AE64" s="161"/>
      <c r="AF64" s="161"/>
      <c r="AG64" s="161"/>
      <c r="AH64" s="161"/>
      <c r="AI64" s="161"/>
      <c r="AJ64" s="161"/>
      <c r="AK64" s="161"/>
      <c r="AL64" s="161"/>
      <c r="AM64" s="2561" t="n">
        <v>430.0</v>
      </c>
      <c r="AN64" s="161"/>
      <c r="AO64" s="161"/>
      <c r="AP64" s="161"/>
      <c r="AQ64" s="161">
        <f>SUM(AR64:AU64)</f>
      </c>
      <c r="AR64" s="161"/>
      <c r="AS64" s="161"/>
      <c r="AT64" s="161"/>
      <c r="AU64" s="161"/>
      <c r="AV64" s="161">
        <f>SUM(AW64:BH64)</f>
      </c>
      <c r="AW64" s="161"/>
      <c r="AX64" s="161"/>
      <c r="AY64" s="161"/>
      <c r="AZ64" s="161"/>
      <c r="BA64" s="161"/>
      <c r="BB64" s="161"/>
      <c r="BC64" s="161"/>
      <c r="BD64" s="161"/>
      <c r="BE64" s="161"/>
      <c r="BF64" s="161"/>
      <c r="BG64" s="161"/>
      <c r="BH64" s="161"/>
      <c r="BI64" s="161"/>
      <c r="BJ64" s="161"/>
      <c r="BK64" s="161"/>
      <c r="BL64" s="161"/>
      <c r="BM64" s="161"/>
      <c r="BN64" s="161"/>
      <c r="BO64" s="161"/>
      <c r="BP64" s="161"/>
      <c r="BQ64" s="161"/>
      <c r="BR64" s="161"/>
      <c r="BS64" s="161">
        <f>SUM(BT64:BV64)</f>
      </c>
      <c r="BT64" s="161"/>
      <c r="BU64" s="161"/>
      <c r="BV64" s="2562" t="n">
        <v>775.0</v>
      </c>
      <c r="BW64" s="161">
        <f>SUM(BX64:CC64)</f>
      </c>
      <c r="BX64" s="161"/>
      <c r="BY64" s="161"/>
      <c r="BZ64" s="161"/>
      <c r="CA64" s="161"/>
      <c r="CB64" s="161"/>
      <c r="CC64" s="161"/>
      <c r="CD64" s="161"/>
      <c r="CE64" s="161"/>
      <c r="CF64" s="161"/>
      <c r="CG64" s="161"/>
      <c r="CH64" s="161"/>
      <c r="CI64" s="161"/>
      <c r="CJ64" s="161">
        <f>SUM(CK64:CM64)</f>
      </c>
      <c r="CK64" s="161"/>
      <c r="CL64" s="161"/>
      <c r="CM64" s="161"/>
      <c r="CN64" s="161">
        <f>SUM(CO64:CS64)</f>
      </c>
      <c r="CO64" s="161"/>
      <c r="CP64" s="161"/>
      <c r="CQ64" s="161"/>
      <c r="CR64" s="161"/>
      <c r="CS64" s="161"/>
      <c r="CT64" s="161"/>
      <c r="CU64" s="161"/>
      <c r="CV64" s="161"/>
      <c r="CW64" s="161"/>
      <c r="CX64" s="161"/>
      <c r="CY64" s="161"/>
      <c r="CZ64" s="161"/>
      <c r="DA64" s="161"/>
      <c r="DB64" s="161"/>
      <c r="DC64" s="161"/>
      <c r="DD64" s="161"/>
      <c r="DE64" s="161"/>
      <c r="DF64" s="161">
        <f>SUM(DG64:DG64)</f>
      </c>
      <c r="DG64" s="161"/>
      <c r="DH64" s="161"/>
      <c r="DI64" s="161"/>
      <c r="DJ64" s="161">
        <f>SUM(DK64:DP64)</f>
      </c>
      <c r="DK64" s="161"/>
      <c r="DL64" s="161"/>
      <c r="DM64" s="161"/>
      <c r="DN64" s="161"/>
      <c r="DO64" s="161"/>
      <c r="DP64" s="161"/>
      <c r="DQ64" s="161"/>
      <c r="DR64" s="161"/>
      <c r="DS64" s="161"/>
      <c r="DT64" s="161"/>
      <c r="DU64" s="161"/>
      <c r="DV64" s="161"/>
      <c r="DW64" s="161"/>
      <c r="DX64" s="161"/>
      <c r="DY64" s="161"/>
      <c r="DZ64" s="161"/>
      <c r="EA64" s="161"/>
      <c r="EB64" s="161"/>
      <c r="EC64" s="161"/>
      <c r="ED64" s="161"/>
      <c r="EE64" s="161"/>
      <c r="EF64" s="161">
        <f>SUM(EG64:EP64)</f>
      </c>
      <c r="EG64" s="161"/>
      <c r="EH64" s="161"/>
      <c r="EI64" s="161"/>
      <c r="EJ64" s="161"/>
      <c r="EK64" s="161"/>
      <c r="EL64" s="161"/>
      <c r="EM64" s="161"/>
      <c r="EN64" s="161"/>
      <c r="EO64" s="161"/>
      <c r="EP64" s="161"/>
      <c r="EQ64" s="161">
        <f>SUM(ER64:ES64)</f>
      </c>
      <c r="ER64" s="161"/>
      <c r="ES64" s="161"/>
      <c r="ET64" s="161"/>
      <c r="EU64" s="161"/>
      <c r="EV64" s="161"/>
      <c r="EW64" s="161"/>
      <c r="EX64" s="161"/>
      <c r="EY64" s="161"/>
      <c r="EZ64" s="161"/>
      <c r="FA64" s="161"/>
      <c r="FB64" s="161"/>
      <c r="FC64" s="161"/>
      <c r="FD64" s="161"/>
      <c r="FE64" s="161"/>
      <c r="FF64" s="161"/>
      <c r="FG64" s="161"/>
      <c r="FH64" s="163" cm="1">
        <f t="array" ref="FH64">ROW()-ROW(Ongoing[#Headers])</f>
        <v>58</v>
      </c>
      <c r="FI64" s="164" t="s">
        <v>780</v>
      </c>
      <c r="FJ64" s="164" t="s">
        <v>755</v>
      </c>
      <c r="FK64" s="164">
        <v>0</v>
      </c>
      <c r="FL64" s="164" t="s">
        <v>781</v>
      </c>
      <c r="FM64" s="164" t="s">
        <v>790</v>
      </c>
      <c r="FN64" s="164" t="s">
        <v>782</v>
      </c>
      <c r="FO64" s="164" t="s">
        <v>783</v>
      </c>
      <c r="FP64" s="164" t="s">
        <v>759</v>
      </c>
    </row>
    <row r="65" spans="2:172" s="115" customFormat="1" ht="11.25" x14ac:dyDescent="0.2">
      <c r="B65" s="2606" t="s">
        <v>910</v>
      </c>
      <c r="C65" s="2607" t="s">
        <v>911</v>
      </c>
      <c r="D65" s="2608" t="s">
        <v>23</v>
      </c>
      <c r="E65" s="2609" t="s">
        <v>810</v>
      </c>
      <c r="F65" s="2610" t="s">
        <v>1597</v>
      </c>
      <c r="G65" s="2611" t="s">
        <v>51</v>
      </c>
      <c r="H65" s="2612" t="s">
        <v>43</v>
      </c>
      <c r="I65" s="2613" t="s">
        <v>71</v>
      </c>
      <c r="J65" s="2614" t="s">
        <v>811</v>
      </c>
      <c r="K65" s="2615" t="s">
        <v>779</v>
      </c>
      <c r="L65" s="2616" t="s">
        <v>305</v>
      </c>
      <c r="M65" s="2617" t="s">
        <v>3873</v>
      </c>
      <c r="N65" s="2618" t="s">
        <v>3871</v>
      </c>
      <c r="O65" s="148"/>
      <c r="P65" s="161">
        <f>SUM(Q65:AP65)</f>
      </c>
      <c r="Q65" s="161"/>
      <c r="R65" s="161"/>
      <c r="S65" s="161"/>
      <c r="T65" s="161"/>
      <c r="U65" s="161"/>
      <c r="V65" s="2619" t="n">
        <v>600.0</v>
      </c>
      <c r="W65" s="161"/>
      <c r="X65" s="161"/>
      <c r="Y65" s="161"/>
      <c r="Z65" s="161"/>
      <c r="AA65" s="161"/>
      <c r="AB65" s="161"/>
      <c r="AC65" s="161"/>
      <c r="AD65" s="161"/>
      <c r="AE65" s="161"/>
      <c r="AF65" s="161"/>
      <c r="AG65" s="161"/>
      <c r="AH65" s="161"/>
      <c r="AI65" s="161"/>
      <c r="AJ65" s="161"/>
      <c r="AK65" s="161"/>
      <c r="AL65" s="161"/>
      <c r="AM65" s="161"/>
      <c r="AN65" s="161"/>
      <c r="AO65" s="161"/>
      <c r="AP65" s="161"/>
      <c r="AQ65" s="161">
        <f>SUM(AR65:AU65)</f>
      </c>
      <c r="AR65" s="161"/>
      <c r="AS65" s="161"/>
      <c r="AT65" s="161"/>
      <c r="AU65" s="161"/>
      <c r="AV65" s="161">
        <f>SUM(AW65:BH65)</f>
      </c>
      <c r="AW65" s="161"/>
      <c r="AX65" s="161"/>
      <c r="AY65" s="161"/>
      <c r="AZ65" s="161"/>
      <c r="BA65" s="161"/>
      <c r="BB65" s="161"/>
      <c r="BC65" s="161"/>
      <c r="BD65" s="161"/>
      <c r="BE65" s="161"/>
      <c r="BF65" s="161"/>
      <c r="BG65" s="161"/>
      <c r="BH65" s="161"/>
      <c r="BI65" s="161"/>
      <c r="BJ65" s="161"/>
      <c r="BK65" s="161"/>
      <c r="BL65" s="161"/>
      <c r="BM65" s="161"/>
      <c r="BN65" s="161"/>
      <c r="BO65" s="161"/>
      <c r="BP65" s="161"/>
      <c r="BQ65" s="161"/>
      <c r="BR65" s="161"/>
      <c r="BS65" s="161">
        <f>SUM(BT65:BV65)</f>
      </c>
      <c r="BT65" s="161"/>
      <c r="BU65" s="161"/>
      <c r="BV65" s="161"/>
      <c r="BW65" s="161">
        <f>SUM(BX65:CC65)</f>
      </c>
      <c r="BX65" s="161"/>
      <c r="BY65" s="161"/>
      <c r="BZ65" s="161"/>
      <c r="CA65" s="161"/>
      <c r="CB65" s="161"/>
      <c r="CC65" s="161"/>
      <c r="CD65" s="161"/>
      <c r="CE65" s="161"/>
      <c r="CF65" s="161"/>
      <c r="CG65" s="161"/>
      <c r="CH65" s="161"/>
      <c r="CI65" s="161"/>
      <c r="CJ65" s="161">
        <f>SUM(CK65:CM65)</f>
      </c>
      <c r="CK65" s="161"/>
      <c r="CL65" s="161"/>
      <c r="CM65" s="161"/>
      <c r="CN65" s="161">
        <f>SUM(CO65:CS65)</f>
      </c>
      <c r="CO65" s="161"/>
      <c r="CP65" s="161"/>
      <c r="CQ65" s="161"/>
      <c r="CR65" s="161"/>
      <c r="CS65" s="161"/>
      <c r="CT65" s="161"/>
      <c r="CU65" s="161"/>
      <c r="CV65" s="161"/>
      <c r="CW65" s="161"/>
      <c r="CX65" s="161"/>
      <c r="CY65" s="161"/>
      <c r="CZ65" s="161"/>
      <c r="DA65" s="161"/>
      <c r="DB65" s="161"/>
      <c r="DC65" s="161"/>
      <c r="DD65" s="161"/>
      <c r="DE65" s="161"/>
      <c r="DF65" s="161">
        <f>SUM(DG65:DG65)</f>
      </c>
      <c r="DG65" s="161"/>
      <c r="DH65" s="161"/>
      <c r="DI65" s="161"/>
      <c r="DJ65" s="161">
        <f>SUM(DK65:DP65)</f>
      </c>
      <c r="DK65" s="161"/>
      <c r="DL65" s="161"/>
      <c r="DM65" s="161"/>
      <c r="DN65" s="161"/>
      <c r="DO65" s="161"/>
      <c r="DP65" s="161"/>
      <c r="DQ65" s="161"/>
      <c r="DR65" s="161"/>
      <c r="DS65" s="161"/>
      <c r="DT65" s="161"/>
      <c r="DU65" s="161"/>
      <c r="DV65" s="161"/>
      <c r="DW65" s="161"/>
      <c r="DX65" s="161"/>
      <c r="DY65" s="161"/>
      <c r="DZ65" s="161"/>
      <c r="EA65" s="161"/>
      <c r="EB65" s="161"/>
      <c r="EC65" s="161"/>
      <c r="ED65" s="161"/>
      <c r="EE65" s="161"/>
      <c r="EF65" s="161">
        <f>SUM(EG65:EP65)</f>
      </c>
      <c r="EG65" s="161"/>
      <c r="EH65" s="161"/>
      <c r="EI65" s="161"/>
      <c r="EJ65" s="161"/>
      <c r="EK65" s="161"/>
      <c r="EL65" s="161"/>
      <c r="EM65" s="161"/>
      <c r="EN65" s="161"/>
      <c r="EO65" s="161"/>
      <c r="EP65" s="161"/>
      <c r="EQ65" s="161">
        <f>SUM(ER65:ES65)</f>
      </c>
      <c r="ER65" s="161"/>
      <c r="ES65" s="161"/>
      <c r="ET65" s="161"/>
      <c r="EU65" s="161"/>
      <c r="EV65" s="161"/>
      <c r="EW65" s="161"/>
      <c r="EX65" s="161"/>
      <c r="EY65" s="161"/>
      <c r="EZ65" s="161"/>
      <c r="FA65" s="161"/>
      <c r="FB65" s="161"/>
      <c r="FC65" s="161"/>
      <c r="FD65" s="161"/>
      <c r="FE65" s="161"/>
      <c r="FF65" s="161"/>
      <c r="FG65" s="161"/>
      <c r="FH65" s="163" cm="1">
        <f t="array" ref="FH65">ROW()-ROW(Ongoing[#Headers])</f>
        <v>59</v>
      </c>
      <c r="FI65" s="164"/>
      <c r="FJ65" s="164" t="s">
        <v>755</v>
      </c>
      <c r="FK65" s="164">
        <v>0</v>
      </c>
      <c r="FL65" s="164" t="s">
        <v>781</v>
      </c>
      <c r="FM65" s="164" t="s">
        <v>790</v>
      </c>
      <c r="FN65" s="164" t="s">
        <v>782</v>
      </c>
      <c r="FO65" s="164" t="s">
        <v>811</v>
      </c>
      <c r="FP65" s="164" t="s">
        <v>759</v>
      </c>
    </row>
    <row r="66" spans="2:172" s="115" customFormat="1" ht="11.25" x14ac:dyDescent="0.2">
      <c r="B66" s="2620" t="s">
        <v>1420</v>
      </c>
      <c r="C66" s="2621" t="s">
        <v>1421</v>
      </c>
      <c r="D66" s="2622" t="s">
        <v>35</v>
      </c>
      <c r="E66" s="2623" t="s">
        <v>766</v>
      </c>
      <c r="F66" s="2624" t="s">
        <v>345</v>
      </c>
      <c r="G66" s="2625" t="s">
        <v>57</v>
      </c>
      <c r="H66" s="2626" t="s">
        <v>305</v>
      </c>
      <c r="I66" s="2627" t="s">
        <v>68</v>
      </c>
      <c r="J66" s="2628" t="s">
        <v>1672</v>
      </c>
      <c r="K66" s="2629" t="s">
        <v>305</v>
      </c>
      <c r="L66" s="2630" t="s">
        <v>305</v>
      </c>
      <c r="M66" s="2631" t="s">
        <v>3873</v>
      </c>
      <c r="N66" s="2632" t="s">
        <v>3871</v>
      </c>
      <c r="O66" s="148"/>
      <c r="P66" s="161">
        <f>SUM(Q66:AP66)</f>
      </c>
      <c r="Q66" s="161"/>
      <c r="R66" s="161"/>
      <c r="S66" s="161"/>
      <c r="T66" s="161"/>
      <c r="U66" s="161"/>
      <c r="V66" s="161"/>
      <c r="W66" s="161"/>
      <c r="X66" s="161"/>
      <c r="Y66" s="161"/>
      <c r="Z66" s="161"/>
      <c r="AA66" s="161"/>
      <c r="AB66" s="161"/>
      <c r="AC66" s="161"/>
      <c r="AD66" s="161"/>
      <c r="AE66" s="161"/>
      <c r="AF66" s="2633" t="n">
        <v>600.0</v>
      </c>
      <c r="AG66" s="161"/>
      <c r="AH66" s="161"/>
      <c r="AI66" s="161"/>
      <c r="AJ66" s="161"/>
      <c r="AK66" s="161"/>
      <c r="AL66" s="161"/>
      <c r="AM66" s="161"/>
      <c r="AN66" s="2634" t="n">
        <v>75.0</v>
      </c>
      <c r="AO66" s="161"/>
      <c r="AP66" s="161"/>
      <c r="AQ66" s="161">
        <f>SUM(AR66:AU66)</f>
      </c>
      <c r="AR66" s="161"/>
      <c r="AS66" s="161"/>
      <c r="AT66" s="161"/>
      <c r="AU66" s="161"/>
      <c r="AV66" s="161">
        <f>SUM(AW66:BH66)</f>
      </c>
      <c r="AW66" s="161"/>
      <c r="AX66" s="161"/>
      <c r="AY66" s="161"/>
      <c r="AZ66" s="161"/>
      <c r="BA66" s="161"/>
      <c r="BB66" s="161"/>
      <c r="BC66" s="161"/>
      <c r="BD66" s="161"/>
      <c r="BE66" s="161"/>
      <c r="BF66" s="161"/>
      <c r="BG66" s="161"/>
      <c r="BH66" s="161"/>
      <c r="BI66" s="161"/>
      <c r="BJ66" s="161"/>
      <c r="BK66" s="161"/>
      <c r="BL66" s="161"/>
      <c r="BM66" s="161"/>
      <c r="BN66" s="161"/>
      <c r="BO66" s="161"/>
      <c r="BP66" s="161"/>
      <c r="BQ66" s="161"/>
      <c r="BR66" s="161"/>
      <c r="BS66" s="161">
        <f>SUM(BT66:BV66)</f>
      </c>
      <c r="BT66" s="161"/>
      <c r="BU66" s="161"/>
      <c r="BV66" s="161"/>
      <c r="BW66" s="161">
        <f>SUM(BX66:CC66)</f>
      </c>
      <c r="BX66" s="161"/>
      <c r="BY66" s="161"/>
      <c r="BZ66" s="161"/>
      <c r="CA66" s="161"/>
      <c r="CB66" s="161"/>
      <c r="CC66" s="161"/>
      <c r="CD66" s="161"/>
      <c r="CE66" s="161"/>
      <c r="CF66" s="161"/>
      <c r="CG66" s="161"/>
      <c r="CH66" s="161"/>
      <c r="CI66" s="161"/>
      <c r="CJ66" s="161">
        <f>SUM(CK66:CM66)</f>
      </c>
      <c r="CK66" s="161"/>
      <c r="CL66" s="161"/>
      <c r="CM66" s="161"/>
      <c r="CN66" s="161">
        <f>SUM(CO66:CS66)</f>
      </c>
      <c r="CO66" s="161"/>
      <c r="CP66" s="161"/>
      <c r="CQ66" s="161"/>
      <c r="CR66" s="161"/>
      <c r="CS66" s="161"/>
      <c r="CT66" s="161"/>
      <c r="CU66" s="161"/>
      <c r="CV66" s="161"/>
      <c r="CW66" s="161"/>
      <c r="CX66" s="161"/>
      <c r="CY66" s="161"/>
      <c r="CZ66" s="161"/>
      <c r="DA66" s="161"/>
      <c r="DB66" s="161"/>
      <c r="DC66" s="161"/>
      <c r="DD66" s="161"/>
      <c r="DE66" s="161"/>
      <c r="DF66" s="161">
        <f>SUM(DG66:DG66)</f>
      </c>
      <c r="DG66" s="161"/>
      <c r="DH66" s="161"/>
      <c r="DI66" s="161"/>
      <c r="DJ66" s="161">
        <f>SUM(DK66:DP66)</f>
      </c>
      <c r="DK66" s="161"/>
      <c r="DL66" s="161"/>
      <c r="DM66" s="161"/>
      <c r="DN66" s="161"/>
      <c r="DO66" s="161"/>
      <c r="DP66" s="161"/>
      <c r="DQ66" s="161"/>
      <c r="DR66" s="161"/>
      <c r="DS66" s="161"/>
      <c r="DT66" s="161"/>
      <c r="DU66" s="161"/>
      <c r="DV66" s="161"/>
      <c r="DW66" s="161"/>
      <c r="DX66" s="161"/>
      <c r="DY66" s="161"/>
      <c r="DZ66" s="161"/>
      <c r="EA66" s="161"/>
      <c r="EB66" s="161"/>
      <c r="EC66" s="161"/>
      <c r="ED66" s="161"/>
      <c r="EE66" s="161"/>
      <c r="EF66" s="161">
        <f>SUM(EG66:EP66)</f>
      </c>
      <c r="EG66" s="161"/>
      <c r="EH66" s="161"/>
      <c r="EI66" s="161"/>
      <c r="EJ66" s="161"/>
      <c r="EK66" s="161"/>
      <c r="EL66" s="161"/>
      <c r="EM66" s="161"/>
      <c r="EN66" s="161"/>
      <c r="EO66" s="161"/>
      <c r="EP66" s="161"/>
      <c r="EQ66" s="161">
        <f>SUM(ER66:ES66)</f>
      </c>
      <c r="ER66" s="161"/>
      <c r="ES66" s="161"/>
      <c r="ET66" s="161"/>
      <c r="EU66" s="161"/>
      <c r="EV66" s="161"/>
      <c r="EW66" s="161"/>
      <c r="EX66" s="161"/>
      <c r="EY66" s="161"/>
      <c r="EZ66" s="161"/>
      <c r="FA66" s="161"/>
      <c r="FB66" s="161"/>
      <c r="FC66" s="161"/>
      <c r="FD66" s="161"/>
      <c r="FE66" s="161"/>
      <c r="FF66" s="161"/>
      <c r="FG66" s="161"/>
      <c r="FH66" s="163" cm="1">
        <f t="array" ref="FH66">ROW()-ROW(Ongoing[#Headers])</f>
        <v>60</v>
      </c>
      <c r="FI66" s="164" t="s">
        <v>780</v>
      </c>
      <c r="FJ66" s="164" t="s">
        <v>755</v>
      </c>
      <c r="FK66" s="164">
        <v>0</v>
      </c>
      <c r="FL66" s="164" t="s">
        <v>781</v>
      </c>
      <c r="FM66" s="164" t="s">
        <v>790</v>
      </c>
      <c r="FN66" s="164" t="s">
        <v>782</v>
      </c>
      <c r="FO66" s="164" t="s">
        <v>783</v>
      </c>
      <c r="FP66" s="164" t="s">
        <v>759</v>
      </c>
    </row>
    <row r="67" spans="2:172" s="115" customFormat="1" ht="11.25" x14ac:dyDescent="0.2">
      <c r="B67" s="2678" t="s">
        <v>927</v>
      </c>
      <c r="C67" s="2679" t="s">
        <v>2037</v>
      </c>
      <c r="D67" s="2680" t="s">
        <v>35</v>
      </c>
      <c r="E67" s="2681" t="s">
        <v>898</v>
      </c>
      <c r="F67" s="2682" t="s">
        <v>1736</v>
      </c>
      <c r="G67" s="2683" t="s">
        <v>49</v>
      </c>
      <c r="H67" s="2684" t="s">
        <v>43</v>
      </c>
      <c r="I67" s="2685" t="s">
        <v>71</v>
      </c>
      <c r="J67" s="2686" t="s">
        <v>791</v>
      </c>
      <c r="K67" s="2687" t="s">
        <v>779</v>
      </c>
      <c r="L67" s="2688" t="s">
        <v>305</v>
      </c>
      <c r="M67" s="2689" t="s">
        <v>3873</v>
      </c>
      <c r="N67" s="2690" t="s">
        <v>3871</v>
      </c>
      <c r="O67" s="148"/>
      <c r="P67" s="161">
        <f>SUM(Q67:AP67)</f>
      </c>
      <c r="Q67" s="161"/>
      <c r="R67" s="161"/>
      <c r="S67" s="161"/>
      <c r="T67" s="161"/>
      <c r="U67" s="161"/>
      <c r="V67" s="161"/>
      <c r="W67" s="161"/>
      <c r="X67" s="161"/>
      <c r="Y67" s="161"/>
      <c r="Z67" s="161"/>
      <c r="AA67" s="161"/>
      <c r="AB67" s="161"/>
      <c r="AC67" s="161"/>
      <c r="AD67" s="161"/>
      <c r="AE67" s="161"/>
      <c r="AF67" s="161"/>
      <c r="AG67" s="161"/>
      <c r="AH67" s="2691" t="n">
        <v>1090.0</v>
      </c>
      <c r="AI67" s="161"/>
      <c r="AJ67" s="161"/>
      <c r="AK67" s="161"/>
      <c r="AL67" s="161"/>
      <c r="AM67" s="161"/>
      <c r="AN67" s="161"/>
      <c r="AO67" s="161"/>
      <c r="AP67" s="161"/>
      <c r="AQ67" s="161">
        <f>SUM(AR67:AU67)</f>
      </c>
      <c r="AR67" s="161"/>
      <c r="AS67" s="161"/>
      <c r="AT67" s="161"/>
      <c r="AU67" s="161"/>
      <c r="AV67" s="161">
        <f>SUM(AW67:BH67)</f>
      </c>
      <c r="AW67" s="161"/>
      <c r="AX67" s="161"/>
      <c r="AY67" s="161"/>
      <c r="AZ67" s="161"/>
      <c r="BA67" s="161"/>
      <c r="BB67" s="161"/>
      <c r="BC67" s="161"/>
      <c r="BD67" s="161"/>
      <c r="BE67" s="161"/>
      <c r="BF67" s="161"/>
      <c r="BG67" s="161"/>
      <c r="BH67" s="161"/>
      <c r="BI67" s="161"/>
      <c r="BJ67" s="161"/>
      <c r="BK67" s="161"/>
      <c r="BL67" s="161"/>
      <c r="BM67" s="161"/>
      <c r="BN67" s="161"/>
      <c r="BO67" s="161"/>
      <c r="BP67" s="161"/>
      <c r="BQ67" s="161"/>
      <c r="BR67" s="161"/>
      <c r="BS67" s="161">
        <f>SUM(BT67:BV67)</f>
      </c>
      <c r="BT67" s="161"/>
      <c r="BU67" s="161"/>
      <c r="BV67" s="161"/>
      <c r="BW67" s="161">
        <f>SUM(BX67:CC67)</f>
      </c>
      <c r="BX67" s="161"/>
      <c r="BY67" s="161"/>
      <c r="BZ67" s="161"/>
      <c r="CA67" s="161"/>
      <c r="CB67" s="161"/>
      <c r="CC67" s="161"/>
      <c r="CD67" s="161"/>
      <c r="CE67" s="161"/>
      <c r="CF67" s="161"/>
      <c r="CG67" s="161"/>
      <c r="CH67" s="161"/>
      <c r="CI67" s="161"/>
      <c r="CJ67" s="161">
        <f>SUM(CK67:CM67)</f>
      </c>
      <c r="CK67" s="161"/>
      <c r="CL67" s="161"/>
      <c r="CM67" s="161"/>
      <c r="CN67" s="161">
        <f>SUM(CO67:CS67)</f>
      </c>
      <c r="CO67" s="161"/>
      <c r="CP67" s="161"/>
      <c r="CQ67" s="161"/>
      <c r="CR67" s="161"/>
      <c r="CS67" s="161"/>
      <c r="CT67" s="161"/>
      <c r="CU67" s="161"/>
      <c r="CV67" s="161"/>
      <c r="CW67" s="161"/>
      <c r="CX67" s="161"/>
      <c r="CY67" s="161"/>
      <c r="CZ67" s="161"/>
      <c r="DA67" s="161"/>
      <c r="DB67" s="161"/>
      <c r="DC67" s="161"/>
      <c r="DD67" s="161"/>
      <c r="DE67" s="161"/>
      <c r="DF67" s="161">
        <f>SUM(DG67:DG67)</f>
      </c>
      <c r="DG67" s="161"/>
      <c r="DH67" s="161"/>
      <c r="DI67" s="161"/>
      <c r="DJ67" s="161">
        <f>SUM(DK67:DP67)</f>
      </c>
      <c r="DK67" s="161"/>
      <c r="DL67" s="161"/>
      <c r="DM67" s="161"/>
      <c r="DN67" s="161"/>
      <c r="DO67" s="161"/>
      <c r="DP67" s="161"/>
      <c r="DQ67" s="161"/>
      <c r="DR67" s="161"/>
      <c r="DS67" s="161"/>
      <c r="DT67" s="161"/>
      <c r="DU67" s="161"/>
      <c r="DV67" s="161"/>
      <c r="DW67" s="161"/>
      <c r="DX67" s="161"/>
      <c r="DY67" s="161"/>
      <c r="DZ67" s="161"/>
      <c r="EA67" s="161"/>
      <c r="EB67" s="161"/>
      <c r="EC67" s="161"/>
      <c r="ED67" s="161"/>
      <c r="EE67" s="161"/>
      <c r="EF67" s="161">
        <f>SUM(EG67:EP67)</f>
      </c>
      <c r="EG67" s="161"/>
      <c r="EH67" s="161"/>
      <c r="EI67" s="161"/>
      <c r="EJ67" s="161"/>
      <c r="EK67" s="161"/>
      <c r="EL67" s="161"/>
      <c r="EM67" s="161"/>
      <c r="EN67" s="161"/>
      <c r="EO67" s="161"/>
      <c r="EP67" s="161"/>
      <c r="EQ67" s="161">
        <f>SUM(ER67:ES67)</f>
      </c>
      <c r="ER67" s="161"/>
      <c r="ES67" s="161"/>
      <c r="ET67" s="161"/>
      <c r="EU67" s="161"/>
      <c r="EV67" s="161"/>
      <c r="EW67" s="161"/>
      <c r="EX67" s="161"/>
      <c r="EY67" s="161"/>
      <c r="EZ67" s="161"/>
      <c r="FA67" s="161"/>
      <c r="FB67" s="161"/>
      <c r="FC67" s="161"/>
      <c r="FD67" s="161"/>
      <c r="FE67" s="161"/>
      <c r="FF67" s="161"/>
      <c r="FG67" s="161"/>
      <c r="FH67" s="163" cm="1">
        <f t="array" ref="FH67">ROW()-ROW(Ongoing[#Headers])</f>
        <v>61</v>
      </c>
      <c r="FI67" s="164" t="s">
        <v>116</v>
      </c>
      <c r="FJ67" s="164" t="s">
        <v>755</v>
      </c>
      <c r="FK67" s="164">
        <v>0</v>
      </c>
      <c r="FL67" s="164" t="s">
        <v>781</v>
      </c>
      <c r="FM67" s="164">
        <v>0</v>
      </c>
      <c r="FN67" s="164" t="s">
        <v>782</v>
      </c>
      <c r="FO67" s="164" t="s">
        <v>791</v>
      </c>
      <c r="FP67" s="164" t="s">
        <v>817</v>
      </c>
    </row>
    <row r="68" spans="2:172" s="115" customFormat="1" ht="11.25" x14ac:dyDescent="0.2">
      <c r="B68" s="2692" t="s">
        <v>1159</v>
      </c>
      <c r="C68" s="2693" t="s">
        <v>1160</v>
      </c>
      <c r="D68" s="2694" t="s">
        <v>20</v>
      </c>
      <c r="E68" s="2695" t="s">
        <v>810</v>
      </c>
      <c r="F68" s="2696" t="s">
        <v>1597</v>
      </c>
      <c r="G68" s="2697" t="s">
        <v>305</v>
      </c>
      <c r="H68" s="2698" t="s">
        <v>786</v>
      </c>
      <c r="I68" s="2699" t="s">
        <v>71</v>
      </c>
      <c r="J68" s="2700" t="s">
        <v>811</v>
      </c>
      <c r="K68" s="2701" t="s">
        <v>787</v>
      </c>
      <c r="L68" s="2702" t="s">
        <v>305</v>
      </c>
      <c r="M68" s="2703" t="s">
        <v>3873</v>
      </c>
      <c r="N68" s="2704" t="s">
        <v>3878</v>
      </c>
      <c r="O68" s="148"/>
      <c r="P68" s="161">
        <f>SUM(Q68:AP68)</f>
      </c>
      <c r="Q68" s="161"/>
      <c r="R68" s="161"/>
      <c r="S68" s="161"/>
      <c r="T68" s="161"/>
      <c r="U68" s="161"/>
      <c r="V68" s="2705" t="n">
        <v>50.0</v>
      </c>
      <c r="W68" s="161"/>
      <c r="X68" s="161"/>
      <c r="Y68" s="161"/>
      <c r="Z68" s="161"/>
      <c r="AA68" s="161"/>
      <c r="AB68" s="161"/>
      <c r="AC68" s="161"/>
      <c r="AD68" s="161"/>
      <c r="AE68" s="161"/>
      <c r="AF68" s="161"/>
      <c r="AG68" s="161"/>
      <c r="AH68" s="161"/>
      <c r="AI68" s="161"/>
      <c r="AJ68" s="161"/>
      <c r="AK68" s="161"/>
      <c r="AL68" s="161"/>
      <c r="AM68" s="161"/>
      <c r="AN68" s="161"/>
      <c r="AO68" s="161"/>
      <c r="AP68" s="161"/>
      <c r="AQ68" s="161">
        <f>SUM(AR68:AU68)</f>
      </c>
      <c r="AR68" s="161"/>
      <c r="AS68" s="161"/>
      <c r="AT68" s="161"/>
      <c r="AU68" s="161"/>
      <c r="AV68" s="161">
        <f>SUM(AW68:BH68)</f>
      </c>
      <c r="AW68" s="161"/>
      <c r="AX68" s="161"/>
      <c r="AY68" s="161"/>
      <c r="AZ68" s="161"/>
      <c r="BA68" s="161"/>
      <c r="BB68" s="161"/>
      <c r="BC68" s="161"/>
      <c r="BD68" s="161"/>
      <c r="BE68" s="161"/>
      <c r="BF68" s="161"/>
      <c r="BG68" s="161"/>
      <c r="BH68" s="161"/>
      <c r="BI68" s="161"/>
      <c r="BJ68" s="161"/>
      <c r="BK68" s="161"/>
      <c r="BL68" s="161"/>
      <c r="BM68" s="161"/>
      <c r="BN68" s="161"/>
      <c r="BO68" s="161"/>
      <c r="BP68" s="161"/>
      <c r="BQ68" s="161"/>
      <c r="BR68" s="161"/>
      <c r="BS68" s="161">
        <f>SUM(BT68:BV68)</f>
      </c>
      <c r="BT68" s="161"/>
      <c r="BU68" s="161"/>
      <c r="BV68" s="161"/>
      <c r="BW68" s="161">
        <f>SUM(BX68:CC68)</f>
      </c>
      <c r="BX68" s="161"/>
      <c r="BY68" s="161"/>
      <c r="BZ68" s="161"/>
      <c r="CA68" s="161"/>
      <c r="CB68" s="161"/>
      <c r="CC68" s="161"/>
      <c r="CD68" s="161"/>
      <c r="CE68" s="161"/>
      <c r="CF68" s="161"/>
      <c r="CG68" s="161"/>
      <c r="CH68" s="161"/>
      <c r="CI68" s="161"/>
      <c r="CJ68" s="161">
        <f>SUM(CK68:CM68)</f>
      </c>
      <c r="CK68" s="161"/>
      <c r="CL68" s="161"/>
      <c r="CM68" s="161"/>
      <c r="CN68" s="161">
        <f>SUM(CO68:CS68)</f>
      </c>
      <c r="CO68" s="161"/>
      <c r="CP68" s="161"/>
      <c r="CQ68" s="161"/>
      <c r="CR68" s="161"/>
      <c r="CS68" s="161"/>
      <c r="CT68" s="161"/>
      <c r="CU68" s="161"/>
      <c r="CV68" s="161"/>
      <c r="CW68" s="161"/>
      <c r="CX68" s="161"/>
      <c r="CY68" s="161"/>
      <c r="CZ68" s="161"/>
      <c r="DA68" s="161"/>
      <c r="DB68" s="161"/>
      <c r="DC68" s="161"/>
      <c r="DD68" s="161"/>
      <c r="DE68" s="161"/>
      <c r="DF68" s="161">
        <f>SUM(DG68:DG68)</f>
      </c>
      <c r="DG68" s="161"/>
      <c r="DH68" s="161"/>
      <c r="DI68" s="161"/>
      <c r="DJ68" s="161">
        <f>SUM(DK68:DP68)</f>
      </c>
      <c r="DK68" s="161"/>
      <c r="DL68" s="161"/>
      <c r="DM68" s="161"/>
      <c r="DN68" s="161"/>
      <c r="DO68" s="161"/>
      <c r="DP68" s="161"/>
      <c r="DQ68" s="161"/>
      <c r="DR68" s="161"/>
      <c r="DS68" s="161"/>
      <c r="DT68" s="161"/>
      <c r="DU68" s="161"/>
      <c r="DV68" s="161"/>
      <c r="DW68" s="161"/>
      <c r="DX68" s="161"/>
      <c r="DY68" s="161"/>
      <c r="DZ68" s="161"/>
      <c r="EA68" s="161"/>
      <c r="EB68" s="161"/>
      <c r="EC68" s="161"/>
      <c r="ED68" s="161"/>
      <c r="EE68" s="161"/>
      <c r="EF68" s="161">
        <f>SUM(EG68:EP68)</f>
      </c>
      <c r="EG68" s="161"/>
      <c r="EH68" s="161"/>
      <c r="EI68" s="161"/>
      <c r="EJ68" s="161"/>
      <c r="EK68" s="161"/>
      <c r="EL68" s="161"/>
      <c r="EM68" s="161"/>
      <c r="EN68" s="161"/>
      <c r="EO68" s="161"/>
      <c r="EP68" s="161"/>
      <c r="EQ68" s="161">
        <f>SUM(ER68:ES68)</f>
      </c>
      <c r="ER68" s="161"/>
      <c r="ES68" s="161"/>
      <c r="ET68" s="161"/>
      <c r="EU68" s="161"/>
      <c r="EV68" s="161"/>
      <c r="EW68" s="161"/>
      <c r="EX68" s="161"/>
      <c r="EY68" s="161"/>
      <c r="EZ68" s="161"/>
      <c r="FA68" s="161"/>
      <c r="FB68" s="161"/>
      <c r="FC68" s="161"/>
      <c r="FD68" s="161"/>
      <c r="FE68" s="161"/>
      <c r="FF68" s="161"/>
      <c r="FG68" s="161"/>
      <c r="FH68" s="163" cm="1">
        <f t="array" ref="FH68">ROW()-ROW(Ongoing[#Headers])</f>
        <v>62</v>
      </c>
      <c r="FI68" s="164" t="s">
        <v>116</v>
      </c>
      <c r="FJ68" s="164" t="s">
        <v>737</v>
      </c>
      <c r="FK68" s="164">
        <v>0</v>
      </c>
      <c r="FL68" s="164" t="s">
        <v>781</v>
      </c>
      <c r="FM68" s="164" t="s">
        <v>790</v>
      </c>
      <c r="FN68" s="164" t="s">
        <v>782</v>
      </c>
      <c r="FO68" s="164" t="s">
        <v>791</v>
      </c>
      <c r="FP68" s="164" t="s">
        <v>759</v>
      </c>
    </row>
    <row r="69" spans="2:172" s="115" customFormat="1" ht="11.25" x14ac:dyDescent="0.2">
      <c r="B69" s="2706" t="s">
        <v>1325</v>
      </c>
      <c r="C69" s="2707" t="s">
        <v>1326</v>
      </c>
      <c r="D69" s="2708" t="s">
        <v>305</v>
      </c>
      <c r="E69" s="2709" t="s">
        <v>305</v>
      </c>
      <c r="F69" s="2710" t="s">
        <v>305</v>
      </c>
      <c r="G69" s="2711" t="s">
        <v>305</v>
      </c>
      <c r="H69" s="2712" t="s">
        <v>305</v>
      </c>
      <c r="I69" s="2713" t="s">
        <v>71</v>
      </c>
      <c r="J69" s="2714" t="s">
        <v>2080</v>
      </c>
      <c r="K69" s="2715" t="s">
        <v>305</v>
      </c>
      <c r="L69" s="2716" t="s">
        <v>305</v>
      </c>
      <c r="M69" s="2717" t="s">
        <v>3867</v>
      </c>
      <c r="N69" s="2718" t="s">
        <v>3868</v>
      </c>
      <c r="O69" s="148"/>
      <c r="P69" s="161">
        <f>SUM(Q69:AP69)</f>
      </c>
      <c r="Q69" s="161"/>
      <c r="R69" s="161"/>
      <c r="S69" s="161"/>
      <c r="T69" s="161"/>
      <c r="U69" s="161"/>
      <c r="V69" s="161"/>
      <c r="W69" s="161"/>
      <c r="X69" s="161"/>
      <c r="Y69" s="161"/>
      <c r="Z69" s="161"/>
      <c r="AA69" s="161"/>
      <c r="AB69" s="161"/>
      <c r="AC69" s="161"/>
      <c r="AD69" s="161"/>
      <c r="AE69" s="161"/>
      <c r="AF69" s="161"/>
      <c r="AG69" s="161"/>
      <c r="AH69" s="161"/>
      <c r="AI69" s="161"/>
      <c r="AJ69" s="161"/>
      <c r="AK69" s="161"/>
      <c r="AL69" s="161"/>
      <c r="AM69" s="161"/>
      <c r="AN69" s="161"/>
      <c r="AO69" s="161"/>
      <c r="AP69" s="161"/>
      <c r="AQ69" s="161">
        <f>SUM(AR69:AU69)</f>
      </c>
      <c r="AR69" s="161"/>
      <c r="AS69" s="161"/>
      <c r="AT69" s="161"/>
      <c r="AU69" s="161"/>
      <c r="AV69" s="161">
        <f>SUM(AW69:BH69)</f>
      </c>
      <c r="AW69" s="161"/>
      <c r="AX69" s="161"/>
      <c r="AY69" s="161"/>
      <c r="AZ69" s="161"/>
      <c r="BA69" s="161"/>
      <c r="BB69" s="161"/>
      <c r="BC69" s="161"/>
      <c r="BD69" s="161"/>
      <c r="BE69" s="161"/>
      <c r="BF69" s="161"/>
      <c r="BG69" s="161"/>
      <c r="BH69" s="161"/>
      <c r="BI69" s="161"/>
      <c r="BJ69" s="161"/>
      <c r="BK69" s="161"/>
      <c r="BL69" s="161"/>
      <c r="BM69" s="161"/>
      <c r="BN69" s="161"/>
      <c r="BO69" s="161"/>
      <c r="BP69" s="161"/>
      <c r="BQ69" s="161"/>
      <c r="BR69" s="161"/>
      <c r="BS69" s="161">
        <f>SUM(BT69:BV69)</f>
      </c>
      <c r="BT69" s="161"/>
      <c r="BU69" s="161"/>
      <c r="BV69" s="161"/>
      <c r="BW69" s="161">
        <f>SUM(BX69:CC69)</f>
      </c>
      <c r="BX69" s="161"/>
      <c r="BY69" s="161"/>
      <c r="BZ69" s="161"/>
      <c r="CA69" s="161"/>
      <c r="CB69" s="161"/>
      <c r="CC69" s="161"/>
      <c r="CD69" s="161"/>
      <c r="CE69" s="161"/>
      <c r="CF69" s="161"/>
      <c r="CG69" s="161"/>
      <c r="CH69" s="161"/>
      <c r="CI69" s="161"/>
      <c r="CJ69" s="161">
        <f>SUM(CK69:CM69)</f>
      </c>
      <c r="CK69" s="161"/>
      <c r="CL69" s="161"/>
      <c r="CM69" s="161"/>
      <c r="CN69" s="161">
        <f>SUM(CO69:CS69)</f>
      </c>
      <c r="CO69" s="161"/>
      <c r="CP69" s="161"/>
      <c r="CQ69" s="161"/>
      <c r="CR69" s="161"/>
      <c r="CS69" s="161"/>
      <c r="CT69" s="161"/>
      <c r="CU69" s="161"/>
      <c r="CV69" s="161"/>
      <c r="CW69" s="161"/>
      <c r="CX69" s="161"/>
      <c r="CY69" s="161"/>
      <c r="CZ69" s="161"/>
      <c r="DA69" s="161"/>
      <c r="DB69" s="161"/>
      <c r="DC69" s="161"/>
      <c r="DD69" s="161"/>
      <c r="DE69" s="161"/>
      <c r="DF69" s="161">
        <f>SUM(DG69:DG69)</f>
      </c>
      <c r="DG69" s="161"/>
      <c r="DH69" s="161"/>
      <c r="DI69" s="161"/>
      <c r="DJ69" s="161">
        <f>SUM(DK69:DP69)</f>
      </c>
      <c r="DK69" s="161"/>
      <c r="DL69" s="161"/>
      <c r="DM69" s="161"/>
      <c r="DN69" s="161"/>
      <c r="DO69" s="161"/>
      <c r="DP69" s="161"/>
      <c r="DQ69" s="161"/>
      <c r="DR69" s="161"/>
      <c r="DS69" s="161"/>
      <c r="DT69" s="161"/>
      <c r="DU69" s="161"/>
      <c r="DV69" s="161"/>
      <c r="DW69" s="161"/>
      <c r="DX69" s="161"/>
      <c r="DY69" s="161"/>
      <c r="DZ69" s="161"/>
      <c r="EA69" s="161"/>
      <c r="EB69" s="161"/>
      <c r="EC69" s="161"/>
      <c r="ED69" s="161"/>
      <c r="EE69" s="161"/>
      <c r="EF69" s="161">
        <f>SUM(EG69:EP69)</f>
      </c>
      <c r="EG69" s="161"/>
      <c r="EH69" s="161"/>
      <c r="EI69" s="161"/>
      <c r="EJ69" s="161"/>
      <c r="EK69" s="161"/>
      <c r="EL69" s="161"/>
      <c r="EM69" s="161"/>
      <c r="EN69" s="161"/>
      <c r="EO69" s="161"/>
      <c r="EP69" s="161"/>
      <c r="EQ69" s="161">
        <f>SUM(ER69:ES69)</f>
      </c>
      <c r="ER69" s="161"/>
      <c r="ES69" s="161"/>
      <c r="ET69" s="161"/>
      <c r="EU69" s="161"/>
      <c r="EV69" s="161"/>
      <c r="EW69" s="161"/>
      <c r="EX69" s="161"/>
      <c r="EY69" s="161"/>
      <c r="EZ69" s="161"/>
      <c r="FA69" s="161"/>
      <c r="FB69" s="161"/>
      <c r="FC69" s="161"/>
      <c r="FD69" s="161"/>
      <c r="FE69" s="161"/>
      <c r="FF69" s="161"/>
      <c r="FG69" s="161"/>
      <c r="FH69" s="163" cm="1">
        <f t="array" ref="FH69">ROW()-ROW(Ongoing[#Headers])</f>
        <v>63</v>
      </c>
      <c r="FI69" s="164" t="s">
        <v>780</v>
      </c>
      <c r="FJ69" s="164" t="s">
        <v>755</v>
      </c>
      <c r="FK69" s="164">
        <v>0</v>
      </c>
      <c r="FL69" s="164" t="s">
        <v>781</v>
      </c>
      <c r="FM69" s="164" t="s">
        <v>790</v>
      </c>
      <c r="FN69" s="164" t="s">
        <v>782</v>
      </c>
      <c r="FO69" s="164" t="s">
        <v>783</v>
      </c>
      <c r="FP69" s="164" t="s">
        <v>759</v>
      </c>
    </row>
    <row r="70" spans="2:172" s="115" customFormat="1" ht="11.25" x14ac:dyDescent="0.2">
      <c r="B70" s="2719" t="s">
        <v>859</v>
      </c>
      <c r="C70" s="2720" t="s">
        <v>860</v>
      </c>
      <c r="D70" s="2721" t="s">
        <v>20</v>
      </c>
      <c r="E70" s="2722" t="s">
        <v>810</v>
      </c>
      <c r="F70" s="2723" t="s">
        <v>1597</v>
      </c>
      <c r="G70" s="2724" t="s">
        <v>305</v>
      </c>
      <c r="H70" s="2725" t="s">
        <v>786</v>
      </c>
      <c r="I70" s="2726" t="s">
        <v>71</v>
      </c>
      <c r="J70" s="2727" t="s">
        <v>811</v>
      </c>
      <c r="K70" s="2728" t="s">
        <v>787</v>
      </c>
      <c r="L70" s="2729" t="s">
        <v>305</v>
      </c>
      <c r="M70" s="2730" t="s">
        <v>3873</v>
      </c>
      <c r="N70" s="2731" t="s">
        <v>3871</v>
      </c>
      <c r="O70" s="148"/>
      <c r="P70" s="161">
        <f>SUM(Q70:AP70)</f>
      </c>
      <c r="Q70" s="161"/>
      <c r="R70" s="161"/>
      <c r="S70" s="161"/>
      <c r="T70" s="161"/>
      <c r="U70" s="161"/>
      <c r="V70" s="2732" t="n">
        <v>300.0</v>
      </c>
      <c r="W70" s="161"/>
      <c r="X70" s="161"/>
      <c r="Y70" s="161"/>
      <c r="Z70" s="161"/>
      <c r="AA70" s="161"/>
      <c r="AB70" s="161"/>
      <c r="AC70" s="161"/>
      <c r="AD70" s="161"/>
      <c r="AE70" s="161"/>
      <c r="AF70" s="161"/>
      <c r="AG70" s="161"/>
      <c r="AH70" s="161"/>
      <c r="AI70" s="161"/>
      <c r="AJ70" s="161"/>
      <c r="AK70" s="161"/>
      <c r="AL70" s="161"/>
      <c r="AM70" s="161"/>
      <c r="AN70" s="161"/>
      <c r="AO70" s="161"/>
      <c r="AP70" s="161"/>
      <c r="AQ70" s="161">
        <f>SUM(AR70:AU70)</f>
      </c>
      <c r="AR70" s="161"/>
      <c r="AS70" s="161"/>
      <c r="AT70" s="161"/>
      <c r="AU70" s="161"/>
      <c r="AV70" s="161">
        <f>SUM(AW70:BH70)</f>
      </c>
      <c r="AW70" s="161"/>
      <c r="AX70" s="161"/>
      <c r="AY70" s="161"/>
      <c r="AZ70" s="161"/>
      <c r="BA70" s="161"/>
      <c r="BB70" s="161"/>
      <c r="BC70" s="161"/>
      <c r="BD70" s="161"/>
      <c r="BE70" s="161"/>
      <c r="BF70" s="161"/>
      <c r="BG70" s="161"/>
      <c r="BH70" s="161"/>
      <c r="BI70" s="161"/>
      <c r="BJ70" s="161"/>
      <c r="BK70" s="161"/>
      <c r="BL70" s="161"/>
      <c r="BM70" s="161"/>
      <c r="BN70" s="161"/>
      <c r="BO70" s="161"/>
      <c r="BP70" s="161"/>
      <c r="BQ70" s="161"/>
      <c r="BR70" s="161"/>
      <c r="BS70" s="161">
        <f>SUM(BT70:BV70)</f>
      </c>
      <c r="BT70" s="161"/>
      <c r="BU70" s="161"/>
      <c r="BV70" s="161"/>
      <c r="BW70" s="161">
        <f>SUM(BX70:CC70)</f>
      </c>
      <c r="BX70" s="161"/>
      <c r="BY70" s="161"/>
      <c r="BZ70" s="161"/>
      <c r="CA70" s="161"/>
      <c r="CB70" s="161"/>
      <c r="CC70" s="161"/>
      <c r="CD70" s="161"/>
      <c r="CE70" s="161"/>
      <c r="CF70" s="161"/>
      <c r="CG70" s="161"/>
      <c r="CH70" s="161"/>
      <c r="CI70" s="161"/>
      <c r="CJ70" s="161">
        <f>SUM(CK70:CM70)</f>
      </c>
      <c r="CK70" s="161"/>
      <c r="CL70" s="161"/>
      <c r="CM70" s="161"/>
      <c r="CN70" s="161">
        <f>SUM(CO70:CS70)</f>
      </c>
      <c r="CO70" s="161"/>
      <c r="CP70" s="161"/>
      <c r="CQ70" s="161"/>
      <c r="CR70" s="161"/>
      <c r="CS70" s="161"/>
      <c r="CT70" s="161"/>
      <c r="CU70" s="161"/>
      <c r="CV70" s="161"/>
      <c r="CW70" s="161"/>
      <c r="CX70" s="161"/>
      <c r="CY70" s="161"/>
      <c r="CZ70" s="161"/>
      <c r="DA70" s="161"/>
      <c r="DB70" s="161"/>
      <c r="DC70" s="161"/>
      <c r="DD70" s="161"/>
      <c r="DE70" s="161"/>
      <c r="DF70" s="161">
        <f>SUM(DG70:DG70)</f>
      </c>
      <c r="DG70" s="161"/>
      <c r="DH70" s="161"/>
      <c r="DI70" s="161"/>
      <c r="DJ70" s="161">
        <f>SUM(DK70:DP70)</f>
      </c>
      <c r="DK70" s="161"/>
      <c r="DL70" s="161"/>
      <c r="DM70" s="161"/>
      <c r="DN70" s="161"/>
      <c r="DO70" s="161"/>
      <c r="DP70" s="161"/>
      <c r="DQ70" s="161"/>
      <c r="DR70" s="161"/>
      <c r="DS70" s="161"/>
      <c r="DT70" s="161"/>
      <c r="DU70" s="161"/>
      <c r="DV70" s="161"/>
      <c r="DW70" s="161"/>
      <c r="DX70" s="161"/>
      <c r="DY70" s="161"/>
      <c r="DZ70" s="161"/>
      <c r="EA70" s="161"/>
      <c r="EB70" s="161"/>
      <c r="EC70" s="161"/>
      <c r="ED70" s="161"/>
      <c r="EE70" s="161"/>
      <c r="EF70" s="161">
        <f>SUM(EG70:EP70)</f>
      </c>
      <c r="EG70" s="161"/>
      <c r="EH70" s="161"/>
      <c r="EI70" s="161"/>
      <c r="EJ70" s="161"/>
      <c r="EK70" s="161"/>
      <c r="EL70" s="161"/>
      <c r="EM70" s="161"/>
      <c r="EN70" s="161"/>
      <c r="EO70" s="161"/>
      <c r="EP70" s="161"/>
      <c r="EQ70" s="161">
        <f>SUM(ER70:ES70)</f>
      </c>
      <c r="ER70" s="161"/>
      <c r="ES70" s="161"/>
      <c r="ET70" s="161"/>
      <c r="EU70" s="161"/>
      <c r="EV70" s="161"/>
      <c r="EW70" s="161"/>
      <c r="EX70" s="161"/>
      <c r="EY70" s="161"/>
      <c r="EZ70" s="161"/>
      <c r="FA70" s="161"/>
      <c r="FB70" s="161"/>
      <c r="FC70" s="161"/>
      <c r="FD70" s="161"/>
      <c r="FE70" s="161"/>
      <c r="FF70" s="161"/>
      <c r="FG70" s="161"/>
      <c r="FH70" s="163" cm="1">
        <f t="array" ref="FH70">ROW()-ROW(Ongoing[#Headers])</f>
        <v>64</v>
      </c>
      <c r="FI70" s="164" t="s">
        <v>754</v>
      </c>
      <c r="FJ70" s="164" t="s">
        <v>755</v>
      </c>
      <c r="FK70" s="164">
        <v>0</v>
      </c>
      <c r="FL70" s="164" t="s">
        <v>756</v>
      </c>
      <c r="FM70" s="164" t="s">
        <v>790</v>
      </c>
      <c r="FN70" s="164" t="s">
        <v>782</v>
      </c>
      <c r="FO70" s="164" t="s">
        <v>814</v>
      </c>
      <c r="FP70" s="164" t="s">
        <v>759</v>
      </c>
    </row>
    <row r="71" spans="2:172" s="115" customFormat="1" ht="11.25" x14ac:dyDescent="0.2">
      <c r="B71" s="2733" t="s">
        <v>1021</v>
      </c>
      <c r="C71" s="2734" t="s">
        <v>1022</v>
      </c>
      <c r="D71" s="2735" t="s">
        <v>13</v>
      </c>
      <c r="E71" s="2736" t="s">
        <v>810</v>
      </c>
      <c r="F71" s="2737" t="s">
        <v>305</v>
      </c>
      <c r="G71" s="2738" t="s">
        <v>46</v>
      </c>
      <c r="H71" s="2739" t="s">
        <v>41</v>
      </c>
      <c r="I71" s="2740" t="s">
        <v>71</v>
      </c>
      <c r="J71" s="2741" t="s">
        <v>820</v>
      </c>
      <c r="K71" s="2742" t="s">
        <v>779</v>
      </c>
      <c r="L71" s="2743" t="s">
        <v>305</v>
      </c>
      <c r="M71" s="2744" t="s">
        <v>3873</v>
      </c>
      <c r="N71" s="2745" t="s">
        <v>3871</v>
      </c>
      <c r="O71" s="148"/>
      <c r="P71" s="161">
        <f>SUM(Q71:AP71)</f>
      </c>
      <c r="Q71" s="161"/>
      <c r="R71" s="161"/>
      <c r="S71" s="161"/>
      <c r="T71" s="161"/>
      <c r="U71" s="161"/>
      <c r="V71" s="2746" t="n">
        <v>270.0</v>
      </c>
      <c r="W71" s="161"/>
      <c r="X71" s="161"/>
      <c r="Y71" s="161"/>
      <c r="Z71" s="161"/>
      <c r="AA71" s="161"/>
      <c r="AB71" s="161"/>
      <c r="AC71" s="161"/>
      <c r="AD71" s="161"/>
      <c r="AE71" s="161"/>
      <c r="AF71" s="161"/>
      <c r="AG71" s="161"/>
      <c r="AH71" s="161"/>
      <c r="AI71" s="161"/>
      <c r="AJ71" s="161"/>
      <c r="AK71" s="161"/>
      <c r="AL71" s="161"/>
      <c r="AM71" s="161"/>
      <c r="AN71" s="161"/>
      <c r="AO71" s="161"/>
      <c r="AP71" s="161"/>
      <c r="AQ71" s="161">
        <f>SUM(AR71:AU71)</f>
      </c>
      <c r="AR71" s="161"/>
      <c r="AS71" s="161"/>
      <c r="AT71" s="161"/>
      <c r="AU71" s="161"/>
      <c r="AV71" s="161">
        <f>SUM(AW71:BH71)</f>
      </c>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f>SUM(BT71:BV71)</f>
      </c>
      <c r="BT71" s="161"/>
      <c r="BU71" s="161"/>
      <c r="BV71" s="161"/>
      <c r="BW71" s="161">
        <f>SUM(BX71:CC71)</f>
      </c>
      <c r="BX71" s="161"/>
      <c r="BY71" s="161"/>
      <c r="BZ71" s="161"/>
      <c r="CA71" s="161"/>
      <c r="CB71" s="161"/>
      <c r="CC71" s="161"/>
      <c r="CD71" s="161"/>
      <c r="CE71" s="161"/>
      <c r="CF71" s="161"/>
      <c r="CG71" s="161"/>
      <c r="CH71" s="161"/>
      <c r="CI71" s="161"/>
      <c r="CJ71" s="161">
        <f>SUM(CK71:CM71)</f>
      </c>
      <c r="CK71" s="161"/>
      <c r="CL71" s="161"/>
      <c r="CM71" s="161"/>
      <c r="CN71" s="161">
        <f>SUM(CO71:CS71)</f>
      </c>
      <c r="CO71" s="161"/>
      <c r="CP71" s="161"/>
      <c r="CQ71" s="161"/>
      <c r="CR71" s="161"/>
      <c r="CS71" s="161"/>
      <c r="CT71" s="161"/>
      <c r="CU71" s="161"/>
      <c r="CV71" s="161"/>
      <c r="CW71" s="161"/>
      <c r="CX71" s="161"/>
      <c r="CY71" s="161"/>
      <c r="CZ71" s="161"/>
      <c r="DA71" s="161"/>
      <c r="DB71" s="161"/>
      <c r="DC71" s="161"/>
      <c r="DD71" s="161"/>
      <c r="DE71" s="161"/>
      <c r="DF71" s="161">
        <f>SUM(DG71:DG71)</f>
      </c>
      <c r="DG71" s="161"/>
      <c r="DH71" s="161"/>
      <c r="DI71" s="161"/>
      <c r="DJ71" s="161">
        <f>SUM(DK71:DP71)</f>
      </c>
      <c r="DK71" s="161"/>
      <c r="DL71" s="161"/>
      <c r="DM71" s="161"/>
      <c r="DN71" s="161"/>
      <c r="DO71" s="161"/>
      <c r="DP71" s="161"/>
      <c r="DQ71" s="161"/>
      <c r="DR71" s="161"/>
      <c r="DS71" s="161"/>
      <c r="DT71" s="161"/>
      <c r="DU71" s="161"/>
      <c r="DV71" s="161"/>
      <c r="DW71" s="161"/>
      <c r="DX71" s="161"/>
      <c r="DY71" s="161"/>
      <c r="DZ71" s="161"/>
      <c r="EA71" s="161"/>
      <c r="EB71" s="161"/>
      <c r="EC71" s="161"/>
      <c r="ED71" s="161"/>
      <c r="EE71" s="161"/>
      <c r="EF71" s="161">
        <f>SUM(EG71:EP71)</f>
      </c>
      <c r="EG71" s="161"/>
      <c r="EH71" s="161"/>
      <c r="EI71" s="161"/>
      <c r="EJ71" s="161"/>
      <c r="EK71" s="161"/>
      <c r="EL71" s="161"/>
      <c r="EM71" s="161"/>
      <c r="EN71" s="161"/>
      <c r="EO71" s="161"/>
      <c r="EP71" s="161"/>
      <c r="EQ71" s="161">
        <f>SUM(ER71:ES71)</f>
      </c>
      <c r="ER71" s="161"/>
      <c r="ES71" s="161"/>
      <c r="ET71" s="161"/>
      <c r="EU71" s="161"/>
      <c r="EV71" s="161"/>
      <c r="EW71" s="161"/>
      <c r="EX71" s="161"/>
      <c r="EY71" s="161"/>
      <c r="EZ71" s="161"/>
      <c r="FA71" s="161"/>
      <c r="FB71" s="161"/>
      <c r="FC71" s="161"/>
      <c r="FD71" s="161"/>
      <c r="FE71" s="161"/>
      <c r="FF71" s="161"/>
      <c r="FG71" s="161"/>
      <c r="FH71" s="163" cm="1">
        <f t="array" ref="FH71">ROW()-ROW(Ongoing[#Headers])</f>
        <v>65</v>
      </c>
      <c r="FI71" s="164"/>
      <c r="FJ71" s="164"/>
      <c r="FK71" s="164"/>
      <c r="FL71" s="164"/>
      <c r="FM71" s="164"/>
      <c r="FN71" s="164"/>
      <c r="FO71" s="164"/>
      <c r="FP71" s="164"/>
    </row>
    <row r="72" spans="2:172" s="115" customFormat="1" ht="11.25" x14ac:dyDescent="0.2">
      <c r="B72" s="2747" t="s">
        <v>1309</v>
      </c>
      <c r="C72" s="2748" t="s">
        <v>1310</v>
      </c>
      <c r="D72" s="2749" t="s">
        <v>13</v>
      </c>
      <c r="E72" s="2750" t="s">
        <v>1262</v>
      </c>
      <c r="F72" s="2751" t="s">
        <v>1597</v>
      </c>
      <c r="G72" s="2752" t="s">
        <v>46</v>
      </c>
      <c r="H72" s="2753" t="s">
        <v>41</v>
      </c>
      <c r="I72" s="2754" t="s">
        <v>64</v>
      </c>
      <c r="J72" s="2755" t="s">
        <v>1617</v>
      </c>
      <c r="K72" s="2756" t="s">
        <v>751</v>
      </c>
      <c r="L72" s="2757" t="s">
        <v>305</v>
      </c>
      <c r="M72" s="2758" t="s">
        <v>3873</v>
      </c>
      <c r="N72" s="2759" t="s">
        <v>3876</v>
      </c>
      <c r="O72" s="148"/>
      <c r="P72" s="161">
        <f>SUM(Q72:AP72)</f>
      </c>
      <c r="Q72" s="161"/>
      <c r="R72" s="161"/>
      <c r="S72" s="161"/>
      <c r="T72" s="2760" t="n">
        <v>20.0</v>
      </c>
      <c r="U72" s="161"/>
      <c r="V72" s="161"/>
      <c r="W72" s="161"/>
      <c r="X72" s="161"/>
      <c r="Y72" s="161"/>
      <c r="Z72" s="161"/>
      <c r="AA72" s="161"/>
      <c r="AB72" s="161"/>
      <c r="AC72" s="161"/>
      <c r="AD72" s="161"/>
      <c r="AE72" s="161"/>
      <c r="AF72" s="161"/>
      <c r="AG72" s="161"/>
      <c r="AH72" s="161"/>
      <c r="AI72" s="161"/>
      <c r="AJ72" s="161"/>
      <c r="AK72" s="161"/>
      <c r="AL72" s="161"/>
      <c r="AM72" s="161"/>
      <c r="AN72" s="161"/>
      <c r="AO72" s="161"/>
      <c r="AP72" s="161"/>
      <c r="AQ72" s="161">
        <f>SUM(AR72:AU72)</f>
      </c>
      <c r="AR72" s="161"/>
      <c r="AS72" s="161"/>
      <c r="AT72" s="161"/>
      <c r="AU72" s="161"/>
      <c r="AV72" s="161">
        <f>SUM(AW72:BH72)</f>
      </c>
      <c r="AW72" s="161"/>
      <c r="AX72" s="161"/>
      <c r="AY72" s="161"/>
      <c r="AZ72" s="161"/>
      <c r="BA72" s="161"/>
      <c r="BB72" s="161"/>
      <c r="BC72" s="161"/>
      <c r="BD72" s="161"/>
      <c r="BE72" s="161"/>
      <c r="BF72" s="161"/>
      <c r="BG72" s="161"/>
      <c r="BH72" s="161"/>
      <c r="BI72" s="161"/>
      <c r="BJ72" s="161"/>
      <c r="BK72" s="161"/>
      <c r="BL72" s="161"/>
      <c r="BM72" s="161"/>
      <c r="BN72" s="161"/>
      <c r="BO72" s="161"/>
      <c r="BP72" s="161"/>
      <c r="BQ72" s="161"/>
      <c r="BR72" s="161"/>
      <c r="BS72" s="161">
        <f>SUM(BT72:BV72)</f>
      </c>
      <c r="BT72" s="161"/>
      <c r="BU72" s="161"/>
      <c r="BV72" s="161"/>
      <c r="BW72" s="161">
        <f>SUM(BX72:CC72)</f>
      </c>
      <c r="BX72" s="161"/>
      <c r="BY72" s="161"/>
      <c r="BZ72" s="161"/>
      <c r="CA72" s="161"/>
      <c r="CB72" s="161"/>
      <c r="CC72" s="161"/>
      <c r="CD72" s="161"/>
      <c r="CE72" s="161"/>
      <c r="CF72" s="161"/>
      <c r="CG72" s="161"/>
      <c r="CH72" s="161"/>
      <c r="CI72" s="161"/>
      <c r="CJ72" s="161">
        <f>SUM(CK72:CM72)</f>
      </c>
      <c r="CK72" s="161"/>
      <c r="CL72" s="161"/>
      <c r="CM72" s="161"/>
      <c r="CN72" s="161">
        <f>SUM(CO72:CS72)</f>
      </c>
      <c r="CO72" s="161"/>
      <c r="CP72" s="161"/>
      <c r="CQ72" s="161"/>
      <c r="CR72" s="161"/>
      <c r="CS72" s="161"/>
      <c r="CT72" s="161"/>
      <c r="CU72" s="161"/>
      <c r="CV72" s="161"/>
      <c r="CW72" s="161"/>
      <c r="CX72" s="161"/>
      <c r="CY72" s="161"/>
      <c r="CZ72" s="161"/>
      <c r="DA72" s="161"/>
      <c r="DB72" s="161"/>
      <c r="DC72" s="161"/>
      <c r="DD72" s="161"/>
      <c r="DE72" s="161"/>
      <c r="DF72" s="161">
        <f>SUM(DG72:DG72)</f>
      </c>
      <c r="DG72" s="161"/>
      <c r="DH72" s="161"/>
      <c r="DI72" s="161"/>
      <c r="DJ72" s="161">
        <f>SUM(DK72:DP72)</f>
      </c>
      <c r="DK72" s="161"/>
      <c r="DL72" s="161"/>
      <c r="DM72" s="161"/>
      <c r="DN72" s="161"/>
      <c r="DO72" s="161"/>
      <c r="DP72" s="161"/>
      <c r="DQ72" s="161"/>
      <c r="DR72" s="161"/>
      <c r="DS72" s="161"/>
      <c r="DT72" s="161"/>
      <c r="DU72" s="161"/>
      <c r="DV72" s="161"/>
      <c r="DW72" s="161"/>
      <c r="DX72" s="161"/>
      <c r="DY72" s="161"/>
      <c r="DZ72" s="161"/>
      <c r="EA72" s="161"/>
      <c r="EB72" s="161"/>
      <c r="EC72" s="161"/>
      <c r="ED72" s="161"/>
      <c r="EE72" s="161"/>
      <c r="EF72" s="161">
        <f>SUM(EG72:EP72)</f>
      </c>
      <c r="EG72" s="161"/>
      <c r="EH72" s="161"/>
      <c r="EI72" s="161"/>
      <c r="EJ72" s="161"/>
      <c r="EK72" s="161"/>
      <c r="EL72" s="161"/>
      <c r="EM72" s="161"/>
      <c r="EN72" s="161"/>
      <c r="EO72" s="161"/>
      <c r="EP72" s="161"/>
      <c r="EQ72" s="161">
        <f>SUM(ER72:ES72)</f>
      </c>
      <c r="ER72" s="161"/>
      <c r="ES72" s="161"/>
      <c r="ET72" s="161"/>
      <c r="EU72" s="161"/>
      <c r="EV72" s="161"/>
      <c r="EW72" s="161"/>
      <c r="EX72" s="161"/>
      <c r="EY72" s="161"/>
      <c r="EZ72" s="161"/>
      <c r="FA72" s="161"/>
      <c r="FB72" s="161"/>
      <c r="FC72" s="161"/>
      <c r="FD72" s="161"/>
      <c r="FE72" s="161"/>
      <c r="FF72" s="161"/>
      <c r="FG72" s="161"/>
      <c r="FH72" s="163" cm="1">
        <f t="array" ref="FH72">ROW()-ROW(Ongoing[#Headers])</f>
        <v>66</v>
      </c>
      <c r="FI72" s="164" t="s">
        <v>116</v>
      </c>
      <c r="FJ72" s="164" t="s">
        <v>755</v>
      </c>
      <c r="FK72" s="164">
        <v>0</v>
      </c>
      <c r="FL72" s="164" t="s">
        <v>789</v>
      </c>
      <c r="FM72" s="164" t="s">
        <v>790</v>
      </c>
      <c r="FN72" s="164" t="s">
        <v>782</v>
      </c>
      <c r="FO72" s="164" t="s">
        <v>791</v>
      </c>
      <c r="FP72" s="164" t="s">
        <v>909</v>
      </c>
    </row>
    <row r="73" spans="2:172" s="115" customFormat="1" ht="11.25" x14ac:dyDescent="0.2">
      <c r="B73" s="2761" t="s">
        <v>871</v>
      </c>
      <c r="C73" s="2762" t="s">
        <v>872</v>
      </c>
      <c r="D73" s="2763" t="s">
        <v>13</v>
      </c>
      <c r="E73" s="2764" t="s">
        <v>766</v>
      </c>
      <c r="F73" s="2765" t="s">
        <v>1597</v>
      </c>
      <c r="G73" s="2766" t="s">
        <v>46</v>
      </c>
      <c r="H73" s="2767" t="s">
        <v>41</v>
      </c>
      <c r="I73" s="2768" t="s">
        <v>68</v>
      </c>
      <c r="J73" s="2769" t="s">
        <v>873</v>
      </c>
      <c r="K73" s="2770" t="s">
        <v>767</v>
      </c>
      <c r="L73" s="2771" t="s">
        <v>305</v>
      </c>
      <c r="M73" s="2772" t="s">
        <v>3873</v>
      </c>
      <c r="N73" s="2773" t="s">
        <v>3871</v>
      </c>
      <c r="O73" s="148"/>
      <c r="P73" s="161">
        <f>SUM(Q73:AP73)</f>
      </c>
      <c r="Q73" s="161"/>
      <c r="R73" s="161"/>
      <c r="S73" s="161"/>
      <c r="T73" s="161"/>
      <c r="U73" s="161"/>
      <c r="V73" s="161"/>
      <c r="W73" s="161"/>
      <c r="X73" s="161"/>
      <c r="Y73" s="161"/>
      <c r="Z73" s="161"/>
      <c r="AA73" s="161"/>
      <c r="AB73" s="161"/>
      <c r="AC73" s="161"/>
      <c r="AD73" s="161"/>
      <c r="AE73" s="161"/>
      <c r="AF73" s="2774" t="n">
        <v>600.0</v>
      </c>
      <c r="AG73" s="161"/>
      <c r="AH73" s="161"/>
      <c r="AI73" s="161"/>
      <c r="AJ73" s="161"/>
      <c r="AK73" s="161"/>
      <c r="AL73" s="161"/>
      <c r="AM73" s="161"/>
      <c r="AN73" s="161"/>
      <c r="AO73" s="161"/>
      <c r="AP73" s="161"/>
      <c r="AQ73" s="161">
        <f>SUM(AR73:AU73)</f>
      </c>
      <c r="AR73" s="161"/>
      <c r="AS73" s="161"/>
      <c r="AT73" s="161"/>
      <c r="AU73" s="161"/>
      <c r="AV73" s="161">
        <f>SUM(AW73:BH73)</f>
      </c>
      <c r="AW73" s="161"/>
      <c r="AX73" s="161"/>
      <c r="AY73" s="161"/>
      <c r="AZ73" s="161"/>
      <c r="BA73" s="161"/>
      <c r="BB73" s="161"/>
      <c r="BC73" s="161"/>
      <c r="BD73" s="161"/>
      <c r="BE73" s="161"/>
      <c r="BF73" s="161"/>
      <c r="BG73" s="161"/>
      <c r="BH73" s="161"/>
      <c r="BI73" s="161"/>
      <c r="BJ73" s="161"/>
      <c r="BK73" s="161"/>
      <c r="BL73" s="161"/>
      <c r="BM73" s="161"/>
      <c r="BN73" s="161"/>
      <c r="BO73" s="161"/>
      <c r="BP73" s="161"/>
      <c r="BQ73" s="161"/>
      <c r="BR73" s="161"/>
      <c r="BS73" s="161">
        <f>SUM(BT73:BV73)</f>
      </c>
      <c r="BT73" s="161"/>
      <c r="BU73" s="161"/>
      <c r="BV73" s="161"/>
      <c r="BW73" s="161">
        <f>SUM(BX73:CC73)</f>
      </c>
      <c r="BX73" s="161"/>
      <c r="BY73" s="161"/>
      <c r="BZ73" s="161"/>
      <c r="CA73" s="161"/>
      <c r="CB73" s="161"/>
      <c r="CC73" s="161"/>
      <c r="CD73" s="161"/>
      <c r="CE73" s="161"/>
      <c r="CF73" s="161"/>
      <c r="CG73" s="161"/>
      <c r="CH73" s="161"/>
      <c r="CI73" s="161"/>
      <c r="CJ73" s="161">
        <f>SUM(CK73:CM73)</f>
      </c>
      <c r="CK73" s="161"/>
      <c r="CL73" s="161"/>
      <c r="CM73" s="161"/>
      <c r="CN73" s="161">
        <f>SUM(CO73:CS73)</f>
      </c>
      <c r="CO73" s="161"/>
      <c r="CP73" s="161"/>
      <c r="CQ73" s="161"/>
      <c r="CR73" s="161"/>
      <c r="CS73" s="161"/>
      <c r="CT73" s="161"/>
      <c r="CU73" s="161"/>
      <c r="CV73" s="161"/>
      <c r="CW73" s="161"/>
      <c r="CX73" s="161"/>
      <c r="CY73" s="161"/>
      <c r="CZ73" s="161"/>
      <c r="DA73" s="161"/>
      <c r="DB73" s="161"/>
      <c r="DC73" s="161"/>
      <c r="DD73" s="161"/>
      <c r="DE73" s="161"/>
      <c r="DF73" s="161">
        <f>SUM(DG73:DG73)</f>
      </c>
      <c r="DG73" s="161"/>
      <c r="DH73" s="161"/>
      <c r="DI73" s="161"/>
      <c r="DJ73" s="161">
        <f>SUM(DK73:DP73)</f>
      </c>
      <c r="DK73" s="161"/>
      <c r="DL73" s="161"/>
      <c r="DM73" s="161"/>
      <c r="DN73" s="161"/>
      <c r="DO73" s="161"/>
      <c r="DP73" s="161"/>
      <c r="DQ73" s="161"/>
      <c r="DR73" s="161"/>
      <c r="DS73" s="161"/>
      <c r="DT73" s="161"/>
      <c r="DU73" s="161"/>
      <c r="DV73" s="161"/>
      <c r="DW73" s="161"/>
      <c r="DX73" s="161"/>
      <c r="DY73" s="161"/>
      <c r="DZ73" s="161"/>
      <c r="EA73" s="161"/>
      <c r="EB73" s="161"/>
      <c r="EC73" s="161"/>
      <c r="ED73" s="161"/>
      <c r="EE73" s="161"/>
      <c r="EF73" s="161">
        <f>SUM(EG73:EP73)</f>
      </c>
      <c r="EG73" s="161"/>
      <c r="EH73" s="161"/>
      <c r="EI73" s="161"/>
      <c r="EJ73" s="161"/>
      <c r="EK73" s="161"/>
      <c r="EL73" s="161"/>
      <c r="EM73" s="161"/>
      <c r="EN73" s="161"/>
      <c r="EO73" s="161"/>
      <c r="EP73" s="161"/>
      <c r="EQ73" s="161">
        <f>SUM(ER73:ES73)</f>
      </c>
      <c r="ER73" s="161"/>
      <c r="ES73" s="161"/>
      <c r="ET73" s="161"/>
      <c r="EU73" s="161"/>
      <c r="EV73" s="161"/>
      <c r="EW73" s="161"/>
      <c r="EX73" s="161"/>
      <c r="EY73" s="161"/>
      <c r="EZ73" s="161"/>
      <c r="FA73" s="161"/>
      <c r="FB73" s="161"/>
      <c r="FC73" s="161"/>
      <c r="FD73" s="161"/>
      <c r="FE73" s="161"/>
      <c r="FF73" s="161"/>
      <c r="FG73" s="161"/>
      <c r="FH73" s="163" cm="1">
        <f t="array" ref="FH73">ROW()-ROW(Ongoing[#Headers])</f>
        <v>67</v>
      </c>
      <c r="FI73" s="164"/>
      <c r="FJ73" s="164" t="s">
        <v>755</v>
      </c>
      <c r="FK73" s="164">
        <v>0</v>
      </c>
      <c r="FL73" s="164" t="s">
        <v>781</v>
      </c>
      <c r="FM73" s="164" t="s">
        <v>790</v>
      </c>
      <c r="FN73" s="164" t="s">
        <v>782</v>
      </c>
      <c r="FO73" s="164" t="s">
        <v>811</v>
      </c>
      <c r="FP73" s="164" t="s">
        <v>817</v>
      </c>
    </row>
    <row r="74" spans="2:172" s="115" customFormat="1" ht="11.25" x14ac:dyDescent="0.2">
      <c r="B74" s="2823" t="s">
        <v>1367</v>
      </c>
      <c r="C74" s="2824" t="s">
        <v>2081</v>
      </c>
      <c r="D74" s="2825" t="s">
        <v>20</v>
      </c>
      <c r="E74" s="2826" t="s">
        <v>810</v>
      </c>
      <c r="F74" s="2827" t="s">
        <v>1597</v>
      </c>
      <c r="G74" s="2828" t="s">
        <v>46</v>
      </c>
      <c r="H74" s="2829" t="s">
        <v>786</v>
      </c>
      <c r="I74" s="2830" t="s">
        <v>71</v>
      </c>
      <c r="J74" s="2831" t="s">
        <v>811</v>
      </c>
      <c r="K74" s="2832" t="s">
        <v>779</v>
      </c>
      <c r="L74" s="2833" t="s">
        <v>305</v>
      </c>
      <c r="M74" s="2834" t="s">
        <v>3873</v>
      </c>
      <c r="N74" s="2835" t="s">
        <v>3871</v>
      </c>
      <c r="O74" s="148"/>
      <c r="P74" s="161">
        <f>SUM(Q74:AP74)</f>
      </c>
      <c r="Q74" s="161"/>
      <c r="R74" s="161"/>
      <c r="S74" s="161"/>
      <c r="T74" s="161"/>
      <c r="U74" s="161"/>
      <c r="V74" s="2836" t="n">
        <v>100.0</v>
      </c>
      <c r="W74" s="161"/>
      <c r="X74" s="161"/>
      <c r="Y74" s="161"/>
      <c r="Z74" s="161"/>
      <c r="AA74" s="161"/>
      <c r="AB74" s="161"/>
      <c r="AC74" s="161"/>
      <c r="AD74" s="161"/>
      <c r="AE74" s="161"/>
      <c r="AF74" s="161"/>
      <c r="AG74" s="161"/>
      <c r="AH74" s="161"/>
      <c r="AI74" s="161"/>
      <c r="AJ74" s="161"/>
      <c r="AK74" s="161"/>
      <c r="AL74" s="161"/>
      <c r="AM74" s="161"/>
      <c r="AN74" s="161"/>
      <c r="AO74" s="161"/>
      <c r="AP74" s="161"/>
      <c r="AQ74" s="161">
        <f>SUM(AR74:AU74)</f>
      </c>
      <c r="AR74" s="161"/>
      <c r="AS74" s="161"/>
      <c r="AT74" s="161"/>
      <c r="AU74" s="161"/>
      <c r="AV74" s="161">
        <f>SUM(AW74:BH74)</f>
      </c>
      <c r="AW74" s="161"/>
      <c r="AX74" s="161"/>
      <c r="AY74" s="161"/>
      <c r="AZ74" s="161"/>
      <c r="BA74" s="161"/>
      <c r="BB74" s="161"/>
      <c r="BC74" s="161"/>
      <c r="BD74" s="161"/>
      <c r="BE74" s="161"/>
      <c r="BF74" s="161"/>
      <c r="BG74" s="161"/>
      <c r="BH74" s="161"/>
      <c r="BI74" s="161"/>
      <c r="BJ74" s="161"/>
      <c r="BK74" s="161"/>
      <c r="BL74" s="161"/>
      <c r="BM74" s="161"/>
      <c r="BN74" s="161"/>
      <c r="BO74" s="161"/>
      <c r="BP74" s="161"/>
      <c r="BQ74" s="161"/>
      <c r="BR74" s="161"/>
      <c r="BS74" s="161">
        <f>SUM(BT74:BV74)</f>
      </c>
      <c r="BT74" s="161"/>
      <c r="BU74" s="161"/>
      <c r="BV74" s="161"/>
      <c r="BW74" s="161">
        <f>SUM(BX74:CC74)</f>
      </c>
      <c r="BX74" s="161"/>
      <c r="BY74" s="161"/>
      <c r="BZ74" s="161"/>
      <c r="CA74" s="161"/>
      <c r="CB74" s="161"/>
      <c r="CC74" s="161"/>
      <c r="CD74" s="161"/>
      <c r="CE74" s="161"/>
      <c r="CF74" s="161"/>
      <c r="CG74" s="161"/>
      <c r="CH74" s="161"/>
      <c r="CI74" s="161"/>
      <c r="CJ74" s="161">
        <f>SUM(CK74:CM74)</f>
      </c>
      <c r="CK74" s="161"/>
      <c r="CL74" s="161"/>
      <c r="CM74" s="161"/>
      <c r="CN74" s="161">
        <f>SUM(CO74:CS74)</f>
      </c>
      <c r="CO74" s="161"/>
      <c r="CP74" s="161"/>
      <c r="CQ74" s="161"/>
      <c r="CR74" s="161"/>
      <c r="CS74" s="161"/>
      <c r="CT74" s="161"/>
      <c r="CU74" s="161"/>
      <c r="CV74" s="161"/>
      <c r="CW74" s="161"/>
      <c r="CX74" s="161"/>
      <c r="CY74" s="161"/>
      <c r="CZ74" s="161"/>
      <c r="DA74" s="161"/>
      <c r="DB74" s="161"/>
      <c r="DC74" s="161"/>
      <c r="DD74" s="161"/>
      <c r="DE74" s="161"/>
      <c r="DF74" s="161">
        <f>SUM(DG74:DG74)</f>
      </c>
      <c r="DG74" s="161"/>
      <c r="DH74" s="161"/>
      <c r="DI74" s="161"/>
      <c r="DJ74" s="161">
        <f>SUM(DK74:DP74)</f>
      </c>
      <c r="DK74" s="161"/>
      <c r="DL74" s="161"/>
      <c r="DM74" s="161"/>
      <c r="DN74" s="161"/>
      <c r="DO74" s="161"/>
      <c r="DP74" s="161"/>
      <c r="DQ74" s="161"/>
      <c r="DR74" s="161"/>
      <c r="DS74" s="161"/>
      <c r="DT74" s="161"/>
      <c r="DU74" s="161"/>
      <c r="DV74" s="161"/>
      <c r="DW74" s="161"/>
      <c r="DX74" s="161"/>
      <c r="DY74" s="161"/>
      <c r="DZ74" s="161"/>
      <c r="EA74" s="161"/>
      <c r="EB74" s="161"/>
      <c r="EC74" s="161"/>
      <c r="ED74" s="161"/>
      <c r="EE74" s="161"/>
      <c r="EF74" s="161">
        <f>SUM(EG74:EP74)</f>
      </c>
      <c r="EG74" s="161"/>
      <c r="EH74" s="161"/>
      <c r="EI74" s="161"/>
      <c r="EJ74" s="161"/>
      <c r="EK74" s="161"/>
      <c r="EL74" s="161"/>
      <c r="EM74" s="161"/>
      <c r="EN74" s="161"/>
      <c r="EO74" s="161"/>
      <c r="EP74" s="161"/>
      <c r="EQ74" s="161">
        <f>SUM(ER74:ES74)</f>
      </c>
      <c r="ER74" s="161"/>
      <c r="ES74" s="161"/>
      <c r="ET74" s="161"/>
      <c r="EU74" s="161"/>
      <c r="EV74" s="161"/>
      <c r="EW74" s="161"/>
      <c r="EX74" s="161"/>
      <c r="EY74" s="161"/>
      <c r="EZ74" s="161"/>
      <c r="FA74" s="161"/>
      <c r="FB74" s="161"/>
      <c r="FC74" s="161"/>
      <c r="FD74" s="161"/>
      <c r="FE74" s="161"/>
      <c r="FF74" s="161"/>
      <c r="FG74" s="161"/>
      <c r="FH74" s="163" cm="1">
        <f t="array" ref="FH74">ROW()-ROW(Ongoing[#Headers])</f>
        <v>68</v>
      </c>
      <c r="FI74" s="164"/>
      <c r="FJ74" s="164"/>
      <c r="FK74" s="164"/>
      <c r="FL74" s="164"/>
      <c r="FM74" s="164"/>
      <c r="FN74" s="164"/>
      <c r="FO74" s="164"/>
      <c r="FP74" s="164"/>
    </row>
    <row r="75" spans="2:172" s="115" customFormat="1" ht="11.25" x14ac:dyDescent="0.2">
      <c r="B75" s="2837" t="s">
        <v>1423</v>
      </c>
      <c r="C75" s="2838" t="s">
        <v>1424</v>
      </c>
      <c r="D75" s="2839" t="s">
        <v>13</v>
      </c>
      <c r="E75" s="2840" t="s">
        <v>810</v>
      </c>
      <c r="F75" s="2841" t="s">
        <v>345</v>
      </c>
      <c r="G75" s="2842" t="s">
        <v>46</v>
      </c>
      <c r="H75" s="2843" t="s">
        <v>305</v>
      </c>
      <c r="I75" s="2844" t="s">
        <v>71</v>
      </c>
      <c r="J75" s="2845" t="s">
        <v>783</v>
      </c>
      <c r="K75" s="2846" t="s">
        <v>767</v>
      </c>
      <c r="L75" s="2847" t="s">
        <v>1392</v>
      </c>
      <c r="M75" s="2848" t="s">
        <v>3873</v>
      </c>
      <c r="N75" s="2849" t="s">
        <v>3878</v>
      </c>
      <c r="O75" s="148"/>
      <c r="P75" s="161">
        <f>SUM(Q75:AP75)</f>
      </c>
      <c r="Q75" s="161"/>
      <c r="R75" s="161"/>
      <c r="S75" s="161"/>
      <c r="T75" s="161"/>
      <c r="U75" s="161"/>
      <c r="V75" s="161"/>
      <c r="W75" s="161"/>
      <c r="X75" s="161"/>
      <c r="Y75" s="161"/>
      <c r="Z75" s="161"/>
      <c r="AA75" s="161"/>
      <c r="AB75" s="161"/>
      <c r="AC75" s="161"/>
      <c r="AD75" s="161"/>
      <c r="AE75" s="161"/>
      <c r="AF75" s="161"/>
      <c r="AG75" s="161"/>
      <c r="AH75" s="161"/>
      <c r="AI75" s="161"/>
      <c r="AJ75" s="161"/>
      <c r="AK75" s="161"/>
      <c r="AL75" s="161"/>
      <c r="AM75" s="2850" t="n">
        <v>295.0</v>
      </c>
      <c r="AN75" s="161"/>
      <c r="AO75" s="161"/>
      <c r="AP75" s="161"/>
      <c r="AQ75" s="161">
        <f>SUM(AR75:AU75)</f>
      </c>
      <c r="AR75" s="161"/>
      <c r="AS75" s="161"/>
      <c r="AT75" s="161"/>
      <c r="AU75" s="161"/>
      <c r="AV75" s="161">
        <f>SUM(AW75:BH75)</f>
      </c>
      <c r="AW75" s="161"/>
      <c r="AX75" s="161"/>
      <c r="AY75" s="161"/>
      <c r="AZ75" s="161"/>
      <c r="BA75" s="161"/>
      <c r="BB75" s="161"/>
      <c r="BC75" s="161"/>
      <c r="BD75" s="161"/>
      <c r="BE75" s="161"/>
      <c r="BF75" s="161"/>
      <c r="BG75" s="161"/>
      <c r="BH75" s="161"/>
      <c r="BI75" s="161"/>
      <c r="BJ75" s="161"/>
      <c r="BK75" s="161"/>
      <c r="BL75" s="161"/>
      <c r="BM75" s="161"/>
      <c r="BN75" s="161"/>
      <c r="BO75" s="161"/>
      <c r="BP75" s="161"/>
      <c r="BQ75" s="161"/>
      <c r="BR75" s="161"/>
      <c r="BS75" s="161">
        <f>SUM(BT75:BV75)</f>
      </c>
      <c r="BT75" s="161"/>
      <c r="BU75" s="161"/>
      <c r="BV75" s="161"/>
      <c r="BW75" s="161">
        <f>SUM(BX75:CC75)</f>
      </c>
      <c r="BX75" s="161"/>
      <c r="BY75" s="161"/>
      <c r="BZ75" s="161"/>
      <c r="CA75" s="161"/>
      <c r="CB75" s="161"/>
      <c r="CC75" s="161"/>
      <c r="CD75" s="161"/>
      <c r="CE75" s="161"/>
      <c r="CF75" s="161"/>
      <c r="CG75" s="161"/>
      <c r="CH75" s="161"/>
      <c r="CI75" s="161"/>
      <c r="CJ75" s="161">
        <f>SUM(CK75:CM75)</f>
      </c>
      <c r="CK75" s="161"/>
      <c r="CL75" s="161"/>
      <c r="CM75" s="161"/>
      <c r="CN75" s="161">
        <f>SUM(CO75:CS75)</f>
      </c>
      <c r="CO75" s="161"/>
      <c r="CP75" s="161"/>
      <c r="CQ75" s="161"/>
      <c r="CR75" s="161"/>
      <c r="CS75" s="161"/>
      <c r="CT75" s="161"/>
      <c r="CU75" s="161"/>
      <c r="CV75" s="161"/>
      <c r="CW75" s="161"/>
      <c r="CX75" s="161"/>
      <c r="CY75" s="161"/>
      <c r="CZ75" s="161"/>
      <c r="DA75" s="161"/>
      <c r="DB75" s="161"/>
      <c r="DC75" s="161"/>
      <c r="DD75" s="161"/>
      <c r="DE75" s="161"/>
      <c r="DF75" s="161">
        <f>SUM(DG75:DG75)</f>
      </c>
      <c r="DG75" s="161"/>
      <c r="DH75" s="161"/>
      <c r="DI75" s="161"/>
      <c r="DJ75" s="161">
        <f>SUM(DK75:DP75)</f>
      </c>
      <c r="DK75" s="161"/>
      <c r="DL75" s="161"/>
      <c r="DM75" s="161"/>
      <c r="DN75" s="161"/>
      <c r="DO75" s="161"/>
      <c r="DP75" s="161"/>
      <c r="DQ75" s="161"/>
      <c r="DR75" s="161"/>
      <c r="DS75" s="161"/>
      <c r="DT75" s="161"/>
      <c r="DU75" s="161"/>
      <c r="DV75" s="161"/>
      <c r="DW75" s="161"/>
      <c r="DX75" s="161"/>
      <c r="DY75" s="161"/>
      <c r="DZ75" s="161"/>
      <c r="EA75" s="161"/>
      <c r="EB75" s="161"/>
      <c r="EC75" s="161"/>
      <c r="ED75" s="161"/>
      <c r="EE75" s="161"/>
      <c r="EF75" s="161">
        <f>SUM(EG75:EP75)</f>
      </c>
      <c r="EG75" s="161"/>
      <c r="EH75" s="161"/>
      <c r="EI75" s="161"/>
      <c r="EJ75" s="161"/>
      <c r="EK75" s="161"/>
      <c r="EL75" s="161"/>
      <c r="EM75" s="161"/>
      <c r="EN75" s="161"/>
      <c r="EO75" s="161"/>
      <c r="EP75" s="161"/>
      <c r="EQ75" s="161">
        <f>SUM(ER75:ES75)</f>
      </c>
      <c r="ER75" s="161"/>
      <c r="ES75" s="161"/>
      <c r="ET75" s="161"/>
      <c r="EU75" s="161"/>
      <c r="EV75" s="161"/>
      <c r="EW75" s="161"/>
      <c r="EX75" s="161"/>
      <c r="EY75" s="161"/>
      <c r="EZ75" s="161"/>
      <c r="FA75" s="161"/>
      <c r="FB75" s="161"/>
      <c r="FC75" s="161"/>
      <c r="FD75" s="161"/>
      <c r="FE75" s="161"/>
      <c r="FF75" s="161"/>
      <c r="FG75" s="161"/>
      <c r="FH75" s="163" cm="1">
        <f t="array" ref="FH75">ROW()-ROW(Ongoing[#Headers])</f>
        <v>69</v>
      </c>
      <c r="FI75" s="164" t="s">
        <v>780</v>
      </c>
      <c r="FJ75" s="164" t="s">
        <v>755</v>
      </c>
      <c r="FK75" s="164">
        <v>0</v>
      </c>
      <c r="FL75" s="164" t="s">
        <v>781</v>
      </c>
      <c r="FM75" s="164" t="s">
        <v>790</v>
      </c>
      <c r="FN75" s="164" t="s">
        <v>782</v>
      </c>
      <c r="FO75" s="164" t="s">
        <v>811</v>
      </c>
      <c r="FP75" s="164" t="s">
        <v>759</v>
      </c>
    </row>
    <row r="76" spans="2:172" s="115" customFormat="1" ht="11.25" x14ac:dyDescent="0.2">
      <c r="B76" s="2878" t="s">
        <v>1062</v>
      </c>
      <c r="C76" s="2879" t="s">
        <v>1063</v>
      </c>
      <c r="D76" s="2880" t="s">
        <v>35</v>
      </c>
      <c r="E76" s="2881" t="s">
        <v>766</v>
      </c>
      <c r="F76" s="2882" t="s">
        <v>1597</v>
      </c>
      <c r="G76" s="2883" t="s">
        <v>1736</v>
      </c>
      <c r="H76" s="2884" t="s">
        <v>41</v>
      </c>
      <c r="I76" s="2885" t="s">
        <v>68</v>
      </c>
      <c r="J76" s="2886" t="s">
        <v>771</v>
      </c>
      <c r="K76" s="2887" t="s">
        <v>767</v>
      </c>
      <c r="L76" s="2888" t="s">
        <v>305</v>
      </c>
      <c r="M76" s="2889" t="s">
        <v>3873</v>
      </c>
      <c r="N76" s="2890" t="s">
        <v>3871</v>
      </c>
      <c r="O76" s="148"/>
      <c r="P76" s="161">
        <f>SUM(Q76:AP76)</f>
      </c>
      <c r="Q76" s="161"/>
      <c r="R76" s="161"/>
      <c r="S76" s="161"/>
      <c r="T76" s="161"/>
      <c r="U76" s="161"/>
      <c r="V76" s="161"/>
      <c r="W76" s="161"/>
      <c r="X76" s="161"/>
      <c r="Y76" s="161"/>
      <c r="Z76" s="161"/>
      <c r="AA76" s="161"/>
      <c r="AB76" s="161"/>
      <c r="AC76" s="161"/>
      <c r="AD76" s="161"/>
      <c r="AE76" s="161"/>
      <c r="AF76" s="2891" t="n">
        <v>2100.0</v>
      </c>
      <c r="AG76" s="161"/>
      <c r="AH76" s="161"/>
      <c r="AI76" s="161"/>
      <c r="AJ76" s="161"/>
      <c r="AK76" s="161"/>
      <c r="AL76" s="161"/>
      <c r="AM76" s="161"/>
      <c r="AN76" s="161"/>
      <c r="AO76" s="161"/>
      <c r="AP76" s="161"/>
      <c r="AQ76" s="161">
        <f>SUM(AR76:AU76)</f>
      </c>
      <c r="AR76" s="161"/>
      <c r="AS76" s="161"/>
      <c r="AT76" s="161"/>
      <c r="AU76" s="161"/>
      <c r="AV76" s="161">
        <f>SUM(AW76:BH76)</f>
      </c>
      <c r="AW76" s="161"/>
      <c r="AX76" s="161"/>
      <c r="AY76" s="161"/>
      <c r="AZ76" s="161"/>
      <c r="BA76" s="161"/>
      <c r="BB76" s="161"/>
      <c r="BC76" s="161"/>
      <c r="BD76" s="161"/>
      <c r="BE76" s="161"/>
      <c r="BF76" s="161"/>
      <c r="BG76" s="161"/>
      <c r="BH76" s="161"/>
      <c r="BI76" s="161"/>
      <c r="BJ76" s="161"/>
      <c r="BK76" s="161"/>
      <c r="BL76" s="161"/>
      <c r="BM76" s="161"/>
      <c r="BN76" s="161"/>
      <c r="BO76" s="161"/>
      <c r="BP76" s="161"/>
      <c r="BQ76" s="161"/>
      <c r="BR76" s="161"/>
      <c r="BS76" s="161">
        <f>SUM(BT76:BV76)</f>
      </c>
      <c r="BT76" s="161"/>
      <c r="BU76" s="161"/>
      <c r="BV76" s="161"/>
      <c r="BW76" s="161">
        <f>SUM(BX76:CC76)</f>
      </c>
      <c r="BX76" s="161"/>
      <c r="BY76" s="161"/>
      <c r="BZ76" s="161"/>
      <c r="CA76" s="161"/>
      <c r="CB76" s="161"/>
      <c r="CC76" s="161"/>
      <c r="CD76" s="161"/>
      <c r="CE76" s="161"/>
      <c r="CF76" s="161"/>
      <c r="CG76" s="161"/>
      <c r="CH76" s="161"/>
      <c r="CI76" s="161"/>
      <c r="CJ76" s="161">
        <f>SUM(CK76:CM76)</f>
      </c>
      <c r="CK76" s="161"/>
      <c r="CL76" s="161"/>
      <c r="CM76" s="161"/>
      <c r="CN76" s="161">
        <f>SUM(CO76:CS76)</f>
      </c>
      <c r="CO76" s="161"/>
      <c r="CP76" s="161"/>
      <c r="CQ76" s="161"/>
      <c r="CR76" s="161"/>
      <c r="CS76" s="161"/>
      <c r="CT76" s="161"/>
      <c r="CU76" s="161"/>
      <c r="CV76" s="161"/>
      <c r="CW76" s="161"/>
      <c r="CX76" s="161"/>
      <c r="CY76" s="161"/>
      <c r="CZ76" s="161"/>
      <c r="DA76" s="161"/>
      <c r="DB76" s="161"/>
      <c r="DC76" s="161"/>
      <c r="DD76" s="161"/>
      <c r="DE76" s="161"/>
      <c r="DF76" s="161">
        <f>SUM(DG76:DG76)</f>
      </c>
      <c r="DG76" s="161"/>
      <c r="DH76" s="161"/>
      <c r="DI76" s="161"/>
      <c r="DJ76" s="161">
        <f>SUM(DK76:DP76)</f>
      </c>
      <c r="DK76" s="161"/>
      <c r="DL76" s="161"/>
      <c r="DM76" s="161"/>
      <c r="DN76" s="161"/>
      <c r="DO76" s="161"/>
      <c r="DP76" s="161"/>
      <c r="DQ76" s="161"/>
      <c r="DR76" s="161"/>
      <c r="DS76" s="161"/>
      <c r="DT76" s="161"/>
      <c r="DU76" s="161"/>
      <c r="DV76" s="161"/>
      <c r="DW76" s="161"/>
      <c r="DX76" s="161"/>
      <c r="DY76" s="161"/>
      <c r="DZ76" s="161"/>
      <c r="EA76" s="161"/>
      <c r="EB76" s="161"/>
      <c r="EC76" s="161"/>
      <c r="ED76" s="161"/>
      <c r="EE76" s="161"/>
      <c r="EF76" s="161">
        <f>SUM(EG76:EP76)</f>
      </c>
      <c r="EG76" s="161"/>
      <c r="EH76" s="161"/>
      <c r="EI76" s="161"/>
      <c r="EJ76" s="161"/>
      <c r="EK76" s="161"/>
      <c r="EL76" s="161"/>
      <c r="EM76" s="161"/>
      <c r="EN76" s="161"/>
      <c r="EO76" s="161"/>
      <c r="EP76" s="161"/>
      <c r="EQ76" s="161">
        <f>SUM(ER76:ES76)</f>
      </c>
      <c r="ER76" s="161"/>
      <c r="ES76" s="161"/>
      <c r="ET76" s="161"/>
      <c r="EU76" s="161"/>
      <c r="EV76" s="161"/>
      <c r="EW76" s="161"/>
      <c r="EX76" s="161"/>
      <c r="EY76" s="161"/>
      <c r="EZ76" s="161"/>
      <c r="FA76" s="161"/>
      <c r="FB76" s="161"/>
      <c r="FC76" s="161"/>
      <c r="FD76" s="161"/>
      <c r="FE76" s="161"/>
      <c r="FF76" s="161"/>
      <c r="FG76" s="161"/>
      <c r="FH76" s="163" cm="1">
        <f t="array" ref="FH76">ROW()-ROW(Ongoing[#Headers])</f>
        <v>70</v>
      </c>
      <c r="FI76" s="164" t="s">
        <v>116</v>
      </c>
      <c r="FJ76" s="164" t="s">
        <v>755</v>
      </c>
      <c r="FK76" s="164">
        <v>0</v>
      </c>
      <c r="FL76" s="164" t="s">
        <v>781</v>
      </c>
      <c r="FM76" s="164" t="s">
        <v>790</v>
      </c>
      <c r="FN76" s="164" t="s">
        <v>782</v>
      </c>
      <c r="FO76" s="164" t="s">
        <v>791</v>
      </c>
      <c r="FP76" s="164" t="s">
        <v>759</v>
      </c>
    </row>
    <row r="77" spans="2:172" s="115" customFormat="1" ht="11.25" x14ac:dyDescent="0.2">
      <c r="B77" s="3009" t="s">
        <v>1114</v>
      </c>
      <c r="C77" s="3010" t="s">
        <v>1115</v>
      </c>
      <c r="D77" s="3011" t="s">
        <v>13</v>
      </c>
      <c r="E77" s="3012" t="s">
        <v>1116</v>
      </c>
      <c r="F77" s="3013" t="s">
        <v>1597</v>
      </c>
      <c r="G77" s="3014" t="s">
        <v>46</v>
      </c>
      <c r="H77" s="3015" t="s">
        <v>41</v>
      </c>
      <c r="I77" s="3016" t="s">
        <v>68</v>
      </c>
      <c r="J77" s="3017" t="s">
        <v>1571</v>
      </c>
      <c r="K77" s="3018" t="s">
        <v>787</v>
      </c>
      <c r="L77" s="3019" t="s">
        <v>305</v>
      </c>
      <c r="M77" s="3020" t="s">
        <v>3873</v>
      </c>
      <c r="N77" s="3021" t="s">
        <v>3871</v>
      </c>
      <c r="O77" s="148"/>
      <c r="P77" s="161">
        <f>SUM(Q77:AP77)</f>
      </c>
      <c r="Q77" s="3022" t="n">
        <v>176.0</v>
      </c>
      <c r="R77" s="161"/>
      <c r="S77" s="161"/>
      <c r="T77" s="161"/>
      <c r="U77" s="161"/>
      <c r="V77" s="161"/>
      <c r="W77" s="161"/>
      <c r="X77" s="161"/>
      <c r="Y77" s="161"/>
      <c r="Z77" s="161"/>
      <c r="AA77" s="161"/>
      <c r="AB77" s="161"/>
      <c r="AC77" s="161"/>
      <c r="AD77" s="161"/>
      <c r="AE77" s="161"/>
      <c r="AF77" s="161"/>
      <c r="AG77" s="161"/>
      <c r="AH77" s="161"/>
      <c r="AI77" s="161"/>
      <c r="AJ77" s="161"/>
      <c r="AK77" s="161"/>
      <c r="AL77" s="161"/>
      <c r="AM77" s="161"/>
      <c r="AN77" s="161"/>
      <c r="AO77" s="161"/>
      <c r="AP77" s="161"/>
      <c r="AQ77" s="161">
        <f>SUM(AR77:AU77)</f>
      </c>
      <c r="AR77" s="161"/>
      <c r="AS77" s="161"/>
      <c r="AT77" s="161"/>
      <c r="AU77" s="161"/>
      <c r="AV77" s="161">
        <f>SUM(AW77:BH77)</f>
      </c>
      <c r="AW77" s="161"/>
      <c r="AX77" s="161"/>
      <c r="AY77" s="161"/>
      <c r="AZ77" s="161"/>
      <c r="BA77" s="161"/>
      <c r="BB77" s="161"/>
      <c r="BC77" s="161"/>
      <c r="BD77" s="161"/>
      <c r="BE77" s="161"/>
      <c r="BF77" s="161"/>
      <c r="BG77" s="161"/>
      <c r="BH77" s="161"/>
      <c r="BI77" s="161"/>
      <c r="BJ77" s="161"/>
      <c r="BK77" s="161"/>
      <c r="BL77" s="161"/>
      <c r="BM77" s="161"/>
      <c r="BN77" s="161"/>
      <c r="BO77" s="161"/>
      <c r="BP77" s="161"/>
      <c r="BQ77" s="161"/>
      <c r="BR77" s="161"/>
      <c r="BS77" s="161">
        <f>SUM(BT77:BV77)</f>
      </c>
      <c r="BT77" s="161"/>
      <c r="BU77" s="161"/>
      <c r="BV77" s="161"/>
      <c r="BW77" s="161">
        <f>SUM(BX77:CC77)</f>
      </c>
      <c r="BX77" s="161"/>
      <c r="BY77" s="161"/>
      <c r="BZ77" s="161"/>
      <c r="CA77" s="161"/>
      <c r="CB77" s="161"/>
      <c r="CC77" s="161"/>
      <c r="CD77" s="161"/>
      <c r="CE77" s="161"/>
      <c r="CF77" s="161"/>
      <c r="CG77" s="161"/>
      <c r="CH77" s="161"/>
      <c r="CI77" s="161"/>
      <c r="CJ77" s="161">
        <f>SUM(CK77:CM77)</f>
      </c>
      <c r="CK77" s="161"/>
      <c r="CL77" s="161"/>
      <c r="CM77" s="161"/>
      <c r="CN77" s="161">
        <f>SUM(CO77:CS77)</f>
      </c>
      <c r="CO77" s="161"/>
      <c r="CP77" s="161"/>
      <c r="CQ77" s="161"/>
      <c r="CR77" s="161"/>
      <c r="CS77" s="161"/>
      <c r="CT77" s="161"/>
      <c r="CU77" s="161"/>
      <c r="CV77" s="161"/>
      <c r="CW77" s="161"/>
      <c r="CX77" s="161"/>
      <c r="CY77" s="161"/>
      <c r="CZ77" s="161"/>
      <c r="DA77" s="161"/>
      <c r="DB77" s="161"/>
      <c r="DC77" s="161"/>
      <c r="DD77" s="161"/>
      <c r="DE77" s="161"/>
      <c r="DF77" s="161">
        <f>SUM(DG77:DG77)</f>
      </c>
      <c r="DG77" s="161"/>
      <c r="DH77" s="161"/>
      <c r="DI77" s="161"/>
      <c r="DJ77" s="161">
        <f>SUM(DK77:DP77)</f>
      </c>
      <c r="DK77" s="161"/>
      <c r="DL77" s="161"/>
      <c r="DM77" s="161"/>
      <c r="DN77" s="161"/>
      <c r="DO77" s="161"/>
      <c r="DP77" s="161"/>
      <c r="DQ77" s="161"/>
      <c r="DR77" s="161"/>
      <c r="DS77" s="161"/>
      <c r="DT77" s="161"/>
      <c r="DU77" s="161"/>
      <c r="DV77" s="161"/>
      <c r="DW77" s="161"/>
      <c r="DX77" s="161"/>
      <c r="DY77" s="161"/>
      <c r="DZ77" s="161"/>
      <c r="EA77" s="161"/>
      <c r="EB77" s="161"/>
      <c r="EC77" s="161"/>
      <c r="ED77" s="161"/>
      <c r="EE77" s="161"/>
      <c r="EF77" s="161">
        <f>SUM(EG77:EP77)</f>
      </c>
      <c r="EG77" s="161"/>
      <c r="EH77" s="161"/>
      <c r="EI77" s="161"/>
      <c r="EJ77" s="161"/>
      <c r="EK77" s="161"/>
      <c r="EL77" s="161"/>
      <c r="EM77" s="161"/>
      <c r="EN77" s="161"/>
      <c r="EO77" s="161"/>
      <c r="EP77" s="161"/>
      <c r="EQ77" s="161">
        <f>SUM(ER77:ES77)</f>
      </c>
      <c r="ER77" s="161"/>
      <c r="ES77" s="161"/>
      <c r="ET77" s="161"/>
      <c r="EU77" s="161"/>
      <c r="EV77" s="161"/>
      <c r="EW77" s="161"/>
      <c r="EX77" s="161"/>
      <c r="EY77" s="161"/>
      <c r="EZ77" s="161"/>
      <c r="FA77" s="161"/>
      <c r="FB77" s="161"/>
      <c r="FC77" s="161"/>
      <c r="FD77" s="161"/>
      <c r="FE77" s="161"/>
      <c r="FF77" s="161"/>
      <c r="FG77" s="161"/>
      <c r="FH77" s="163" cm="1">
        <f t="array" ref="FH77">ROW()-ROW(Ongoing[#Headers])</f>
        <v>71</v>
      </c>
      <c r="FI77" s="164" t="s">
        <v>780</v>
      </c>
      <c r="FJ77" s="164" t="s">
        <v>755</v>
      </c>
      <c r="FK77" s="164">
        <v>0</v>
      </c>
      <c r="FL77" s="164" t="s">
        <v>781</v>
      </c>
      <c r="FM77" s="164" t="s">
        <v>790</v>
      </c>
      <c r="FN77" s="164" t="s">
        <v>782</v>
      </c>
      <c r="FO77" s="164" t="s">
        <v>811</v>
      </c>
      <c r="FP77" s="164" t="s">
        <v>759</v>
      </c>
    </row>
    <row r="78" spans="2:172" s="115" customFormat="1" ht="11.25" x14ac:dyDescent="0.2">
      <c r="B78" s="3027" t="s">
        <v>823</v>
      </c>
      <c r="C78" s="3028" t="s">
        <v>824</v>
      </c>
      <c r="D78" s="3029" t="s">
        <v>13</v>
      </c>
      <c r="E78" s="3030" t="s">
        <v>750</v>
      </c>
      <c r="F78" s="3031" t="s">
        <v>1597</v>
      </c>
      <c r="G78" s="3032" t="s">
        <v>46</v>
      </c>
      <c r="H78" s="3033" t="s">
        <v>41</v>
      </c>
      <c r="I78" s="3034" t="s">
        <v>64</v>
      </c>
      <c r="J78" s="3035" t="s">
        <v>1617</v>
      </c>
      <c r="K78" s="3036" t="s">
        <v>751</v>
      </c>
      <c r="L78" s="3037" t="s">
        <v>305</v>
      </c>
      <c r="M78" s="3038" t="s">
        <v>3873</v>
      </c>
      <c r="N78" s="3039" t="s">
        <v>3876</v>
      </c>
      <c r="O78" s="148"/>
      <c r="P78" s="161">
        <f>SUM(Q78:AP78)</f>
      </c>
      <c r="Q78" s="161"/>
      <c r="R78" s="161"/>
      <c r="S78" s="3040" t="n">
        <v>150.0</v>
      </c>
      <c r="T78" s="161"/>
      <c r="U78" s="161"/>
      <c r="V78" s="161"/>
      <c r="W78" s="161"/>
      <c r="X78" s="161"/>
      <c r="Y78" s="161"/>
      <c r="Z78" s="161"/>
      <c r="AA78" s="161"/>
      <c r="AB78" s="161"/>
      <c r="AC78" s="161"/>
      <c r="AD78" s="161"/>
      <c r="AE78" s="161"/>
      <c r="AF78" s="161"/>
      <c r="AG78" s="161"/>
      <c r="AH78" s="161"/>
      <c r="AI78" s="161"/>
      <c r="AJ78" s="161"/>
      <c r="AK78" s="161"/>
      <c r="AL78" s="161"/>
      <c r="AM78" s="161"/>
      <c r="AN78" s="161"/>
      <c r="AO78" s="161"/>
      <c r="AP78" s="161"/>
      <c r="AQ78" s="161">
        <f>SUM(AR78:AU78)</f>
      </c>
      <c r="AR78" s="161"/>
      <c r="AS78" s="161"/>
      <c r="AT78" s="161"/>
      <c r="AU78" s="161"/>
      <c r="AV78" s="161">
        <f>SUM(AW78:BH78)</f>
      </c>
      <c r="AW78" s="161"/>
      <c r="AX78" s="161"/>
      <c r="AY78" s="161"/>
      <c r="AZ78" s="161"/>
      <c r="BA78" s="161"/>
      <c r="BB78" s="161"/>
      <c r="BC78" s="161"/>
      <c r="BD78" s="161"/>
      <c r="BE78" s="161"/>
      <c r="BF78" s="161"/>
      <c r="BG78" s="161"/>
      <c r="BH78" s="161"/>
      <c r="BI78" s="161"/>
      <c r="BJ78" s="161"/>
      <c r="BK78" s="161"/>
      <c r="BL78" s="161"/>
      <c r="BM78" s="161"/>
      <c r="BN78" s="161"/>
      <c r="BO78" s="161"/>
      <c r="BP78" s="161"/>
      <c r="BQ78" s="161"/>
      <c r="BR78" s="161"/>
      <c r="BS78" s="161">
        <f>SUM(BT78:BV78)</f>
      </c>
      <c r="BT78" s="161"/>
      <c r="BU78" s="161"/>
      <c r="BV78" s="161"/>
      <c r="BW78" s="161">
        <f>SUM(BX78:CC78)</f>
      </c>
      <c r="BX78" s="161"/>
      <c r="BY78" s="161"/>
      <c r="BZ78" s="161"/>
      <c r="CA78" s="161"/>
      <c r="CB78" s="161"/>
      <c r="CC78" s="161"/>
      <c r="CD78" s="161"/>
      <c r="CE78" s="161"/>
      <c r="CF78" s="161"/>
      <c r="CG78" s="161"/>
      <c r="CH78" s="161"/>
      <c r="CI78" s="161"/>
      <c r="CJ78" s="161">
        <f>SUM(CK78:CM78)</f>
      </c>
      <c r="CK78" s="161"/>
      <c r="CL78" s="161"/>
      <c r="CM78" s="161"/>
      <c r="CN78" s="161">
        <f>SUM(CO78:CS78)</f>
      </c>
      <c r="CO78" s="161"/>
      <c r="CP78" s="161"/>
      <c r="CQ78" s="161"/>
      <c r="CR78" s="161"/>
      <c r="CS78" s="161"/>
      <c r="CT78" s="161"/>
      <c r="CU78" s="161"/>
      <c r="CV78" s="161"/>
      <c r="CW78" s="161"/>
      <c r="CX78" s="161"/>
      <c r="CY78" s="161"/>
      <c r="CZ78" s="161"/>
      <c r="DA78" s="161"/>
      <c r="DB78" s="161"/>
      <c r="DC78" s="161"/>
      <c r="DD78" s="161"/>
      <c r="DE78" s="161"/>
      <c r="DF78" s="161">
        <f>SUM(DG78:DG78)</f>
      </c>
      <c r="DG78" s="161"/>
      <c r="DH78" s="161"/>
      <c r="DI78" s="161"/>
      <c r="DJ78" s="161">
        <f>SUM(DK78:DP78)</f>
      </c>
      <c r="DK78" s="161"/>
      <c r="DL78" s="161"/>
      <c r="DM78" s="161"/>
      <c r="DN78" s="161"/>
      <c r="DO78" s="161"/>
      <c r="DP78" s="161"/>
      <c r="DQ78" s="161"/>
      <c r="DR78" s="161"/>
      <c r="DS78" s="161"/>
      <c r="DT78" s="161"/>
      <c r="DU78" s="161"/>
      <c r="DV78" s="161"/>
      <c r="DW78" s="161"/>
      <c r="DX78" s="161"/>
      <c r="DY78" s="161"/>
      <c r="DZ78" s="161"/>
      <c r="EA78" s="161"/>
      <c r="EB78" s="161"/>
      <c r="EC78" s="161"/>
      <c r="ED78" s="161"/>
      <c r="EE78" s="161"/>
      <c r="EF78" s="161">
        <f>SUM(EG78:EP78)</f>
      </c>
      <c r="EG78" s="161"/>
      <c r="EH78" s="161"/>
      <c r="EI78" s="161"/>
      <c r="EJ78" s="161"/>
      <c r="EK78" s="161"/>
      <c r="EL78" s="161"/>
      <c r="EM78" s="161"/>
      <c r="EN78" s="161"/>
      <c r="EO78" s="161"/>
      <c r="EP78" s="161"/>
      <c r="EQ78" s="161">
        <f>SUM(ER78:ES78)</f>
      </c>
      <c r="ER78" s="161"/>
      <c r="ES78" s="161"/>
      <c r="ET78" s="161"/>
      <c r="EU78" s="161"/>
      <c r="EV78" s="161"/>
      <c r="EW78" s="161"/>
      <c r="EX78" s="161"/>
      <c r="EY78" s="161"/>
      <c r="EZ78" s="161"/>
      <c r="FA78" s="161"/>
      <c r="FB78" s="161"/>
      <c r="FC78" s="161"/>
      <c r="FD78" s="161"/>
      <c r="FE78" s="161"/>
      <c r="FF78" s="161"/>
      <c r="FG78" s="161"/>
      <c r="FH78" s="163" cm="1">
        <f t="array" ref="FH78">ROW()-ROW(Ongoing[#Headers])</f>
        <v>72</v>
      </c>
      <c r="FI78" s="164" t="s">
        <v>754</v>
      </c>
      <c r="FJ78" s="164" t="s">
        <v>737</v>
      </c>
      <c r="FK78" s="164">
        <v>0</v>
      </c>
      <c r="FL78" s="164" t="s">
        <v>756</v>
      </c>
      <c r="FM78" s="164" t="s">
        <v>790</v>
      </c>
      <c r="FN78" s="164" t="s">
        <v>782</v>
      </c>
      <c r="FO78" s="164" t="s">
        <v>814</v>
      </c>
      <c r="FP78" s="164" t="s">
        <v>759</v>
      </c>
    </row>
    <row r="79" spans="2:172" s="115" customFormat="1" ht="11.25" x14ac:dyDescent="0.2">
      <c r="B79" s="3041" t="s">
        <v>1361</v>
      </c>
      <c r="C79" s="3042" t="s">
        <v>1362</v>
      </c>
      <c r="D79" s="3043" t="s">
        <v>35</v>
      </c>
      <c r="E79" s="3044" t="s">
        <v>1641</v>
      </c>
      <c r="F79" s="3045" t="s">
        <v>1597</v>
      </c>
      <c r="G79" s="3046" t="s">
        <v>1736</v>
      </c>
      <c r="H79" s="3047" t="s">
        <v>43</v>
      </c>
      <c r="I79" s="3048" t="s">
        <v>68</v>
      </c>
      <c r="J79" s="3049" t="s">
        <v>771</v>
      </c>
      <c r="K79" s="3050" t="s">
        <v>1242</v>
      </c>
      <c r="L79" s="3051" t="s">
        <v>305</v>
      </c>
      <c r="M79" s="3052" t="s">
        <v>3873</v>
      </c>
      <c r="N79" s="3053" t="s">
        <v>3871</v>
      </c>
      <c r="O79" s="148"/>
      <c r="P79" s="161">
        <f>SUM(Q79:AP79)</f>
      </c>
      <c r="Q79" s="161"/>
      <c r="R79" s="161"/>
      <c r="S79" s="161"/>
      <c r="T79" s="161"/>
      <c r="U79" s="161"/>
      <c r="V79" s="161"/>
      <c r="W79" s="161"/>
      <c r="X79" s="161"/>
      <c r="Y79" s="161"/>
      <c r="Z79" s="161"/>
      <c r="AA79" s="161"/>
      <c r="AB79" s="161"/>
      <c r="AC79" s="161"/>
      <c r="AD79" s="161"/>
      <c r="AE79" s="161"/>
      <c r="AF79" s="161"/>
      <c r="AG79" s="161"/>
      <c r="AH79" s="161"/>
      <c r="AI79" s="161"/>
      <c r="AJ79" s="161"/>
      <c r="AK79" s="161"/>
      <c r="AL79" s="161"/>
      <c r="AM79" s="161"/>
      <c r="AN79" s="3054" t="n">
        <v>220.0</v>
      </c>
      <c r="AO79" s="161"/>
      <c r="AP79" s="161"/>
      <c r="AQ79" s="161">
        <f>SUM(AR79:AU79)</f>
      </c>
      <c r="AR79" s="161"/>
      <c r="AS79" s="161"/>
      <c r="AT79" s="161"/>
      <c r="AU79" s="161"/>
      <c r="AV79" s="161">
        <f>SUM(AW79:BH79)</f>
      </c>
      <c r="AW79" s="161"/>
      <c r="AX79" s="161"/>
      <c r="AY79" s="161"/>
      <c r="AZ79" s="161"/>
      <c r="BA79" s="161"/>
      <c r="BB79" s="161"/>
      <c r="BC79" s="161"/>
      <c r="BD79" s="161"/>
      <c r="BE79" s="161"/>
      <c r="BF79" s="161"/>
      <c r="BG79" s="161"/>
      <c r="BH79" s="161"/>
      <c r="BI79" s="161"/>
      <c r="BJ79" s="161"/>
      <c r="BK79" s="161"/>
      <c r="BL79" s="161"/>
      <c r="BM79" s="161"/>
      <c r="BN79" s="161"/>
      <c r="BO79" s="161"/>
      <c r="BP79" s="161"/>
      <c r="BQ79" s="161"/>
      <c r="BR79" s="161"/>
      <c r="BS79" s="161">
        <f>SUM(BT79:BV79)</f>
      </c>
      <c r="BT79" s="161"/>
      <c r="BU79" s="161"/>
      <c r="BV79" s="161"/>
      <c r="BW79" s="161">
        <f>SUM(BX79:CC79)</f>
      </c>
      <c r="BX79" s="161"/>
      <c r="BY79" s="161"/>
      <c r="BZ79" s="161"/>
      <c r="CA79" s="161"/>
      <c r="CB79" s="161"/>
      <c r="CC79" s="161"/>
      <c r="CD79" s="161"/>
      <c r="CE79" s="161"/>
      <c r="CF79" s="161"/>
      <c r="CG79" s="161"/>
      <c r="CH79" s="161"/>
      <c r="CI79" s="161"/>
      <c r="CJ79" s="161">
        <f>SUM(CK79:CM79)</f>
      </c>
      <c r="CK79" s="161"/>
      <c r="CL79" s="161"/>
      <c r="CM79" s="161"/>
      <c r="CN79" s="161">
        <f>SUM(CO79:CS79)</f>
      </c>
      <c r="CO79" s="161"/>
      <c r="CP79" s="161"/>
      <c r="CQ79" s="161"/>
      <c r="CR79" s="161"/>
      <c r="CS79" s="161"/>
      <c r="CT79" s="161"/>
      <c r="CU79" s="161"/>
      <c r="CV79" s="161"/>
      <c r="CW79" s="161"/>
      <c r="CX79" s="161"/>
      <c r="CY79" s="161"/>
      <c r="CZ79" s="161"/>
      <c r="DA79" s="161"/>
      <c r="DB79" s="161"/>
      <c r="DC79" s="161"/>
      <c r="DD79" s="161"/>
      <c r="DE79" s="161"/>
      <c r="DF79" s="161">
        <f>SUM(DG79:DG79)</f>
      </c>
      <c r="DG79" s="161"/>
      <c r="DH79" s="161"/>
      <c r="DI79" s="161"/>
      <c r="DJ79" s="161">
        <f>SUM(DK79:DP79)</f>
      </c>
      <c r="DK79" s="161"/>
      <c r="DL79" s="161"/>
      <c r="DM79" s="161"/>
      <c r="DN79" s="161"/>
      <c r="DO79" s="161"/>
      <c r="DP79" s="161"/>
      <c r="DQ79" s="161"/>
      <c r="DR79" s="161"/>
      <c r="DS79" s="161"/>
      <c r="DT79" s="161"/>
      <c r="DU79" s="161"/>
      <c r="DV79" s="161"/>
      <c r="DW79" s="161"/>
      <c r="DX79" s="161"/>
      <c r="DY79" s="161"/>
      <c r="DZ79" s="161"/>
      <c r="EA79" s="161"/>
      <c r="EB79" s="161"/>
      <c r="EC79" s="161"/>
      <c r="ED79" s="161"/>
      <c r="EE79" s="161"/>
      <c r="EF79" s="161">
        <f>SUM(EG79:EP79)</f>
      </c>
      <c r="EG79" s="161"/>
      <c r="EH79" s="161"/>
      <c r="EI79" s="161"/>
      <c r="EJ79" s="161"/>
      <c r="EK79" s="161"/>
      <c r="EL79" s="161"/>
      <c r="EM79" s="161"/>
      <c r="EN79" s="161"/>
      <c r="EO79" s="161"/>
      <c r="EP79" s="161"/>
      <c r="EQ79" s="161">
        <f>SUM(ER79:ES79)</f>
      </c>
      <c r="ER79" s="161"/>
      <c r="ES79" s="161"/>
      <c r="ET79" s="161"/>
      <c r="EU79" s="161"/>
      <c r="EV79" s="161"/>
      <c r="EW79" s="161"/>
      <c r="EX79" s="161"/>
      <c r="EY79" s="161"/>
      <c r="EZ79" s="161"/>
      <c r="FA79" s="161"/>
      <c r="FB79" s="161"/>
      <c r="FC79" s="161"/>
      <c r="FD79" s="161"/>
      <c r="FE79" s="161"/>
      <c r="FF79" s="161"/>
      <c r="FG79" s="161"/>
      <c r="FH79" s="163" cm="1">
        <f t="array" ref="FH79">ROW()-ROW(Ongoing[#Headers])</f>
        <v>73</v>
      </c>
      <c r="FI79" s="164" t="s">
        <v>754</v>
      </c>
      <c r="FJ79" s="164" t="s">
        <v>755</v>
      </c>
      <c r="FK79" s="164">
        <v>0</v>
      </c>
      <c r="FL79" s="164" t="s">
        <v>756</v>
      </c>
      <c r="FM79" s="164" t="s">
        <v>790</v>
      </c>
      <c r="FN79" s="164" t="s">
        <v>782</v>
      </c>
      <c r="FO79" s="164" t="s">
        <v>814</v>
      </c>
      <c r="FP79" s="164" t="s">
        <v>759</v>
      </c>
    </row>
    <row r="80" spans="2:172" s="115" customFormat="1" ht="11.25" x14ac:dyDescent="0.2">
      <c r="B80" s="3084" t="s">
        <v>1157</v>
      </c>
      <c r="C80" s="3085" t="s">
        <v>2052</v>
      </c>
      <c r="D80" s="3086" t="s">
        <v>20</v>
      </c>
      <c r="E80" s="3087" t="s">
        <v>898</v>
      </c>
      <c r="F80" s="3088" t="s">
        <v>1597</v>
      </c>
      <c r="G80" s="3089" t="s">
        <v>61</v>
      </c>
      <c r="H80" s="3090" t="s">
        <v>41</v>
      </c>
      <c r="I80" s="3091" t="s">
        <v>71</v>
      </c>
      <c r="J80" s="3092" t="s">
        <v>1609</v>
      </c>
      <c r="K80" s="3093" t="s">
        <v>787</v>
      </c>
      <c r="L80" s="3094" t="s">
        <v>305</v>
      </c>
      <c r="M80" s="3095" t="s">
        <v>3873</v>
      </c>
      <c r="N80" s="3096" t="s">
        <v>3871</v>
      </c>
      <c r="O80" s="148"/>
      <c r="P80" s="161">
        <f>SUM(Q80:AP80)</f>
      </c>
      <c r="Q80" s="161"/>
      <c r="R80" s="161"/>
      <c r="S80" s="161"/>
      <c r="T80" s="161"/>
      <c r="U80" s="161"/>
      <c r="V80" s="161"/>
      <c r="W80" s="161"/>
      <c r="X80" s="161"/>
      <c r="Y80" s="161"/>
      <c r="Z80" s="161"/>
      <c r="AA80" s="161"/>
      <c r="AB80" s="161"/>
      <c r="AC80" s="161"/>
      <c r="AD80" s="161"/>
      <c r="AE80" s="161"/>
      <c r="AF80" s="161"/>
      <c r="AG80" s="3097" t="n">
        <v>450.0</v>
      </c>
      <c r="AH80" s="161"/>
      <c r="AI80" s="161"/>
      <c r="AJ80" s="161"/>
      <c r="AK80" s="161"/>
      <c r="AL80" s="161"/>
      <c r="AM80" s="161"/>
      <c r="AN80" s="161"/>
      <c r="AO80" s="161"/>
      <c r="AP80" s="161"/>
      <c r="AQ80" s="161">
        <f>SUM(AR80:AU80)</f>
      </c>
      <c r="AR80" s="161"/>
      <c r="AS80" s="161"/>
      <c r="AT80" s="161"/>
      <c r="AU80" s="161"/>
      <c r="AV80" s="161">
        <f>SUM(AW80:BH80)</f>
      </c>
      <c r="AW80" s="161"/>
      <c r="AX80" s="161"/>
      <c r="AY80" s="161"/>
      <c r="AZ80" s="161"/>
      <c r="BA80" s="161"/>
      <c r="BB80" s="161"/>
      <c r="BC80" s="161"/>
      <c r="BD80" s="161"/>
      <c r="BE80" s="161"/>
      <c r="BF80" s="161"/>
      <c r="BG80" s="161"/>
      <c r="BH80" s="161"/>
      <c r="BI80" s="161"/>
      <c r="BJ80" s="161"/>
      <c r="BK80" s="161"/>
      <c r="BL80" s="161"/>
      <c r="BM80" s="161"/>
      <c r="BN80" s="161"/>
      <c r="BO80" s="161"/>
      <c r="BP80" s="161"/>
      <c r="BQ80" s="161"/>
      <c r="BR80" s="161"/>
      <c r="BS80" s="161">
        <f>SUM(BT80:BV80)</f>
      </c>
      <c r="BT80" s="161"/>
      <c r="BU80" s="161"/>
      <c r="BV80" s="161"/>
      <c r="BW80" s="161">
        <f>SUM(BX80:CC80)</f>
      </c>
      <c r="BX80" s="161"/>
      <c r="BY80" s="161"/>
      <c r="BZ80" s="161"/>
      <c r="CA80" s="161"/>
      <c r="CB80" s="161"/>
      <c r="CC80" s="161"/>
      <c r="CD80" s="161"/>
      <c r="CE80" s="161"/>
      <c r="CF80" s="161"/>
      <c r="CG80" s="161"/>
      <c r="CH80" s="161"/>
      <c r="CI80" s="161"/>
      <c r="CJ80" s="161">
        <f>SUM(CK80:CM80)</f>
      </c>
      <c r="CK80" s="161"/>
      <c r="CL80" s="161"/>
      <c r="CM80" s="161"/>
      <c r="CN80" s="161">
        <f>SUM(CO80:CS80)</f>
      </c>
      <c r="CO80" s="161"/>
      <c r="CP80" s="161"/>
      <c r="CQ80" s="161"/>
      <c r="CR80" s="161"/>
      <c r="CS80" s="161"/>
      <c r="CT80" s="161"/>
      <c r="CU80" s="161"/>
      <c r="CV80" s="161"/>
      <c r="CW80" s="161"/>
      <c r="CX80" s="161"/>
      <c r="CY80" s="161"/>
      <c r="CZ80" s="161"/>
      <c r="DA80" s="161"/>
      <c r="DB80" s="161"/>
      <c r="DC80" s="161"/>
      <c r="DD80" s="161"/>
      <c r="DE80" s="161"/>
      <c r="DF80" s="161">
        <f>SUM(DG80:DG80)</f>
      </c>
      <c r="DG80" s="161"/>
      <c r="DH80" s="161"/>
      <c r="DI80" s="161"/>
      <c r="DJ80" s="161">
        <f>SUM(DK80:DP80)</f>
      </c>
      <c r="DK80" s="161"/>
      <c r="DL80" s="161"/>
      <c r="DM80" s="161"/>
      <c r="DN80" s="161"/>
      <c r="DO80" s="161"/>
      <c r="DP80" s="161"/>
      <c r="DQ80" s="161"/>
      <c r="DR80" s="161"/>
      <c r="DS80" s="161"/>
      <c r="DT80" s="161"/>
      <c r="DU80" s="161"/>
      <c r="DV80" s="161"/>
      <c r="DW80" s="161"/>
      <c r="DX80" s="161"/>
      <c r="DY80" s="161"/>
      <c r="DZ80" s="161"/>
      <c r="EA80" s="161"/>
      <c r="EB80" s="161"/>
      <c r="EC80" s="161"/>
      <c r="ED80" s="161"/>
      <c r="EE80" s="161"/>
      <c r="EF80" s="161">
        <f>SUM(EG80:EP80)</f>
      </c>
      <c r="EG80" s="161"/>
      <c r="EH80" s="161"/>
      <c r="EI80" s="161"/>
      <c r="EJ80" s="161"/>
      <c r="EK80" s="161"/>
      <c r="EL80" s="161"/>
      <c r="EM80" s="161"/>
      <c r="EN80" s="161"/>
      <c r="EO80" s="161"/>
      <c r="EP80" s="161"/>
      <c r="EQ80" s="161">
        <f>SUM(ER80:ES80)</f>
      </c>
      <c r="ER80" s="161"/>
      <c r="ES80" s="161"/>
      <c r="ET80" s="161"/>
      <c r="EU80" s="161"/>
      <c r="EV80" s="161"/>
      <c r="EW80" s="161"/>
      <c r="EX80" s="161"/>
      <c r="EY80" s="161"/>
      <c r="EZ80" s="161"/>
      <c r="FA80" s="161"/>
      <c r="FB80" s="161"/>
      <c r="FC80" s="161"/>
      <c r="FD80" s="161"/>
      <c r="FE80" s="161"/>
      <c r="FF80" s="161"/>
      <c r="FG80" s="161"/>
      <c r="FH80" s="163" cm="1">
        <f t="array" ref="FH80">ROW()-ROW(Ongoing[#Headers])</f>
        <v>74</v>
      </c>
      <c r="FI80" s="164" t="s">
        <v>926</v>
      </c>
      <c r="FJ80" s="164" t="s">
        <v>755</v>
      </c>
      <c r="FK80" s="164">
        <v>0</v>
      </c>
      <c r="FL80" s="164" t="s">
        <v>781</v>
      </c>
      <c r="FM80" s="164" t="s">
        <v>790</v>
      </c>
      <c r="FN80" s="164" t="s">
        <v>782</v>
      </c>
      <c r="FO80" s="164" t="s">
        <v>880</v>
      </c>
      <c r="FP80" s="164" t="s">
        <v>759</v>
      </c>
    </row>
    <row r="81" spans="2:172" s="115" customFormat="1" ht="11.25" x14ac:dyDescent="0.2">
      <c r="B81" s="3098" t="s">
        <v>1427</v>
      </c>
      <c r="C81" s="3099" t="s">
        <v>1428</v>
      </c>
      <c r="D81" s="3100" t="s">
        <v>37</v>
      </c>
      <c r="E81" s="3101" t="s">
        <v>1641</v>
      </c>
      <c r="F81" s="3102" t="s">
        <v>345</v>
      </c>
      <c r="G81" s="3103" t="s">
        <v>46</v>
      </c>
      <c r="H81" s="3104" t="s">
        <v>305</v>
      </c>
      <c r="I81" s="3105" t="s">
        <v>68</v>
      </c>
      <c r="J81" s="3106" t="s">
        <v>1672</v>
      </c>
      <c r="K81" s="3107" t="s">
        <v>767</v>
      </c>
      <c r="L81" s="3108" t="s">
        <v>1392</v>
      </c>
      <c r="M81" s="3109" t="s">
        <v>3870</v>
      </c>
      <c r="N81" s="3110" t="s">
        <v>3871</v>
      </c>
      <c r="O81" s="148"/>
      <c r="P81" s="161">
        <f>SUM(Q81:AP81)</f>
      </c>
      <c r="Q81" s="161"/>
      <c r="R81" s="161"/>
      <c r="S81" s="161"/>
      <c r="T81" s="161"/>
      <c r="U81" s="161"/>
      <c r="V81" s="161"/>
      <c r="W81" s="161"/>
      <c r="X81" s="161"/>
      <c r="Y81" s="161"/>
      <c r="Z81" s="161"/>
      <c r="AA81" s="161"/>
      <c r="AB81" s="161"/>
      <c r="AC81" s="161"/>
      <c r="AD81" s="161"/>
      <c r="AE81" s="161"/>
      <c r="AF81" s="161"/>
      <c r="AG81" s="161"/>
      <c r="AH81" s="161"/>
      <c r="AI81" s="161"/>
      <c r="AJ81" s="161"/>
      <c r="AK81" s="161"/>
      <c r="AL81" s="161"/>
      <c r="AM81" s="161"/>
      <c r="AN81" s="3111" t="n">
        <v>640.0</v>
      </c>
      <c r="AO81" s="161"/>
      <c r="AP81" s="161"/>
      <c r="AQ81" s="161">
        <f>SUM(AR81:AU81)</f>
      </c>
      <c r="AR81" s="161"/>
      <c r="AS81" s="161"/>
      <c r="AT81" s="161"/>
      <c r="AU81" s="161"/>
      <c r="AV81" s="161">
        <f>SUM(AW81:BH81)</f>
      </c>
      <c r="AW81" s="161"/>
      <c r="AX81" s="161"/>
      <c r="AY81" s="161"/>
      <c r="AZ81" s="161"/>
      <c r="BA81" s="161"/>
      <c r="BB81" s="161"/>
      <c r="BC81" s="161"/>
      <c r="BD81" s="161"/>
      <c r="BE81" s="161"/>
      <c r="BF81" s="161"/>
      <c r="BG81" s="161"/>
      <c r="BH81" s="161"/>
      <c r="BI81" s="161"/>
      <c r="BJ81" s="161"/>
      <c r="BK81" s="161"/>
      <c r="BL81" s="161"/>
      <c r="BM81" s="161"/>
      <c r="BN81" s="161"/>
      <c r="BO81" s="161"/>
      <c r="BP81" s="161"/>
      <c r="BQ81" s="161"/>
      <c r="BR81" s="161"/>
      <c r="BS81" s="161">
        <f>SUM(BT81:BV81)</f>
      </c>
      <c r="BT81" s="161"/>
      <c r="BU81" s="161"/>
      <c r="BV81" s="161"/>
      <c r="BW81" s="161">
        <f>SUM(BX81:CC81)</f>
      </c>
      <c r="BX81" s="161"/>
      <c r="BY81" s="161"/>
      <c r="BZ81" s="161"/>
      <c r="CA81" s="161"/>
      <c r="CB81" s="161"/>
      <c r="CC81" s="161"/>
      <c r="CD81" s="161"/>
      <c r="CE81" s="161"/>
      <c r="CF81" s="161"/>
      <c r="CG81" s="161"/>
      <c r="CH81" s="161"/>
      <c r="CI81" s="161"/>
      <c r="CJ81" s="161">
        <f>SUM(CK81:CM81)</f>
      </c>
      <c r="CK81" s="161"/>
      <c r="CL81" s="161"/>
      <c r="CM81" s="161"/>
      <c r="CN81" s="161">
        <f>SUM(CO81:CS81)</f>
      </c>
      <c r="CO81" s="161"/>
      <c r="CP81" s="161"/>
      <c r="CQ81" s="161"/>
      <c r="CR81" s="161"/>
      <c r="CS81" s="161"/>
      <c r="CT81" s="161"/>
      <c r="CU81" s="161"/>
      <c r="CV81" s="161"/>
      <c r="CW81" s="161"/>
      <c r="CX81" s="161"/>
      <c r="CY81" s="161"/>
      <c r="CZ81" s="161"/>
      <c r="DA81" s="161"/>
      <c r="DB81" s="161"/>
      <c r="DC81" s="161"/>
      <c r="DD81" s="161"/>
      <c r="DE81" s="161"/>
      <c r="DF81" s="161">
        <f>SUM(DG81:DG81)</f>
      </c>
      <c r="DG81" s="161"/>
      <c r="DH81" s="161"/>
      <c r="DI81" s="161"/>
      <c r="DJ81" s="161">
        <f>SUM(DK81:DP81)</f>
      </c>
      <c r="DK81" s="161"/>
      <c r="DL81" s="161"/>
      <c r="DM81" s="161"/>
      <c r="DN81" s="161"/>
      <c r="DO81" s="161"/>
      <c r="DP81" s="161"/>
      <c r="DQ81" s="161"/>
      <c r="DR81" s="161"/>
      <c r="DS81" s="161"/>
      <c r="DT81" s="161"/>
      <c r="DU81" s="161"/>
      <c r="DV81" s="161"/>
      <c r="DW81" s="161"/>
      <c r="DX81" s="161"/>
      <c r="DY81" s="161"/>
      <c r="DZ81" s="161"/>
      <c r="EA81" s="161"/>
      <c r="EB81" s="161"/>
      <c r="EC81" s="161"/>
      <c r="ED81" s="161"/>
      <c r="EE81" s="161"/>
      <c r="EF81" s="161">
        <f>SUM(EG81:EP81)</f>
      </c>
      <c r="EG81" s="161"/>
      <c r="EH81" s="161"/>
      <c r="EI81" s="161"/>
      <c r="EJ81" s="161"/>
      <c r="EK81" s="161"/>
      <c r="EL81" s="161"/>
      <c r="EM81" s="161"/>
      <c r="EN81" s="161"/>
      <c r="EO81" s="161"/>
      <c r="EP81" s="161"/>
      <c r="EQ81" s="161">
        <f>SUM(ER81:ES81)</f>
      </c>
      <c r="ER81" s="161"/>
      <c r="ES81" s="161"/>
      <c r="ET81" s="161"/>
      <c r="EU81" s="161"/>
      <c r="EV81" s="161"/>
      <c r="EW81" s="161"/>
      <c r="EX81" s="161"/>
      <c r="EY81" s="161"/>
      <c r="EZ81" s="161"/>
      <c r="FA81" s="161"/>
      <c r="FB81" s="161"/>
      <c r="FC81" s="161"/>
      <c r="FD81" s="161"/>
      <c r="FE81" s="161"/>
      <c r="FF81" s="161"/>
      <c r="FG81" s="161"/>
      <c r="FH81" s="163" cm="1">
        <f t="array" ref="FH81">ROW()-ROW(Ongoing[#Headers])</f>
        <v>75</v>
      </c>
      <c r="FI81" s="164" t="s">
        <v>116</v>
      </c>
      <c r="FJ81" s="164" t="s">
        <v>755</v>
      </c>
      <c r="FK81" s="164">
        <v>0</v>
      </c>
      <c r="FL81" s="164" t="s">
        <v>789</v>
      </c>
      <c r="FM81" s="164" t="s">
        <v>790</v>
      </c>
      <c r="FN81" s="164" t="s">
        <v>782</v>
      </c>
      <c r="FO81" s="164" t="s">
        <v>791</v>
      </c>
      <c r="FP81" s="164" t="s">
        <v>792</v>
      </c>
    </row>
    <row r="82" spans="2:172" s="115" customFormat="1" ht="11.25" x14ac:dyDescent="0.2">
      <c r="B82" s="3112" t="s">
        <v>1013</v>
      </c>
      <c r="C82" s="3113" t="s">
        <v>1014</v>
      </c>
      <c r="D82" s="3114" t="s">
        <v>13</v>
      </c>
      <c r="E82" s="3115" t="s">
        <v>766</v>
      </c>
      <c r="F82" s="3116" t="s">
        <v>1597</v>
      </c>
      <c r="G82" s="3117" t="s">
        <v>46</v>
      </c>
      <c r="H82" s="3118" t="s">
        <v>41</v>
      </c>
      <c r="I82" s="3119" t="s">
        <v>68</v>
      </c>
      <c r="J82" s="3120" t="s">
        <v>774</v>
      </c>
      <c r="K82" s="3121" t="s">
        <v>767</v>
      </c>
      <c r="L82" s="3122" t="s">
        <v>305</v>
      </c>
      <c r="M82" s="3123" t="s">
        <v>3873</v>
      </c>
      <c r="N82" s="3124" t="s">
        <v>3878</v>
      </c>
      <c r="O82" s="148"/>
      <c r="P82" s="161">
        <f>SUM(Q82:AP82)</f>
      </c>
      <c r="Q82" s="161"/>
      <c r="R82" s="161"/>
      <c r="S82" s="161"/>
      <c r="T82" s="161"/>
      <c r="U82" s="161"/>
      <c r="V82" s="161"/>
      <c r="W82" s="161"/>
      <c r="X82" s="161"/>
      <c r="Y82" s="161"/>
      <c r="Z82" s="161"/>
      <c r="AA82" s="161"/>
      <c r="AB82" s="161"/>
      <c r="AC82" s="161"/>
      <c r="AD82" s="161"/>
      <c r="AE82" s="161"/>
      <c r="AF82" s="161"/>
      <c r="AG82" s="161"/>
      <c r="AH82" s="161"/>
      <c r="AI82" s="161"/>
      <c r="AJ82" s="161"/>
      <c r="AK82" s="161"/>
      <c r="AL82" s="161"/>
      <c r="AM82" s="3125" t="n">
        <v>150.0</v>
      </c>
      <c r="AN82" s="161"/>
      <c r="AO82" s="161"/>
      <c r="AP82" s="161"/>
      <c r="AQ82" s="161">
        <f>SUM(AR82:AU82)</f>
      </c>
      <c r="AR82" s="161"/>
      <c r="AS82" s="161"/>
      <c r="AT82" s="161"/>
      <c r="AU82" s="161"/>
      <c r="AV82" s="161">
        <f>SUM(AW82:BH82)</f>
      </c>
      <c r="AW82" s="161"/>
      <c r="AX82" s="161"/>
      <c r="AY82" s="161"/>
      <c r="AZ82" s="161"/>
      <c r="BA82" s="161"/>
      <c r="BB82" s="161"/>
      <c r="BC82" s="161"/>
      <c r="BD82" s="161"/>
      <c r="BE82" s="161"/>
      <c r="BF82" s="161"/>
      <c r="BG82" s="161"/>
      <c r="BH82" s="161"/>
      <c r="BI82" s="161"/>
      <c r="BJ82" s="161"/>
      <c r="BK82" s="161"/>
      <c r="BL82" s="161"/>
      <c r="BM82" s="161"/>
      <c r="BN82" s="161"/>
      <c r="BO82" s="161"/>
      <c r="BP82" s="161"/>
      <c r="BQ82" s="161"/>
      <c r="BR82" s="161"/>
      <c r="BS82" s="161">
        <f>SUM(BT82:BV82)</f>
      </c>
      <c r="BT82" s="161"/>
      <c r="BU82" s="161"/>
      <c r="BV82" s="161"/>
      <c r="BW82" s="161">
        <f>SUM(BX82:CC82)</f>
      </c>
      <c r="BX82" s="161"/>
      <c r="BY82" s="161"/>
      <c r="BZ82" s="161"/>
      <c r="CA82" s="161"/>
      <c r="CB82" s="161"/>
      <c r="CC82" s="161"/>
      <c r="CD82" s="161"/>
      <c r="CE82" s="161"/>
      <c r="CF82" s="161"/>
      <c r="CG82" s="161"/>
      <c r="CH82" s="161"/>
      <c r="CI82" s="161"/>
      <c r="CJ82" s="161">
        <f>SUM(CK82:CM82)</f>
      </c>
      <c r="CK82" s="161"/>
      <c r="CL82" s="161"/>
      <c r="CM82" s="161"/>
      <c r="CN82" s="161">
        <f>SUM(CO82:CS82)</f>
      </c>
      <c r="CO82" s="161"/>
      <c r="CP82" s="161"/>
      <c r="CQ82" s="161"/>
      <c r="CR82" s="161"/>
      <c r="CS82" s="161"/>
      <c r="CT82" s="161"/>
      <c r="CU82" s="161"/>
      <c r="CV82" s="161"/>
      <c r="CW82" s="161"/>
      <c r="CX82" s="161"/>
      <c r="CY82" s="161"/>
      <c r="CZ82" s="161"/>
      <c r="DA82" s="161"/>
      <c r="DB82" s="161"/>
      <c r="DC82" s="161"/>
      <c r="DD82" s="161"/>
      <c r="DE82" s="161"/>
      <c r="DF82" s="161">
        <f>SUM(DG82:DG82)</f>
      </c>
      <c r="DG82" s="161"/>
      <c r="DH82" s="161"/>
      <c r="DI82" s="161"/>
      <c r="DJ82" s="161">
        <f>SUM(DK82:DP82)</f>
      </c>
      <c r="DK82" s="161"/>
      <c r="DL82" s="161"/>
      <c r="DM82" s="161"/>
      <c r="DN82" s="161"/>
      <c r="DO82" s="161"/>
      <c r="DP82" s="161"/>
      <c r="DQ82" s="161"/>
      <c r="DR82" s="161"/>
      <c r="DS82" s="161"/>
      <c r="DT82" s="161"/>
      <c r="DU82" s="161"/>
      <c r="DV82" s="161"/>
      <c r="DW82" s="161"/>
      <c r="DX82" s="161"/>
      <c r="DY82" s="161"/>
      <c r="DZ82" s="161"/>
      <c r="EA82" s="161"/>
      <c r="EB82" s="161"/>
      <c r="EC82" s="161"/>
      <c r="ED82" s="161"/>
      <c r="EE82" s="161"/>
      <c r="EF82" s="161">
        <f>SUM(EG82:EP82)</f>
      </c>
      <c r="EG82" s="161"/>
      <c r="EH82" s="161"/>
      <c r="EI82" s="161"/>
      <c r="EJ82" s="161"/>
      <c r="EK82" s="161"/>
      <c r="EL82" s="161"/>
      <c r="EM82" s="161"/>
      <c r="EN82" s="161"/>
      <c r="EO82" s="161"/>
      <c r="EP82" s="161"/>
      <c r="EQ82" s="161">
        <f>SUM(ER82:ES82)</f>
      </c>
      <c r="ER82" s="161"/>
      <c r="ES82" s="161"/>
      <c r="ET82" s="161"/>
      <c r="EU82" s="161"/>
      <c r="EV82" s="161"/>
      <c r="EW82" s="161"/>
      <c r="EX82" s="161"/>
      <c r="EY82" s="161"/>
      <c r="EZ82" s="161"/>
      <c r="FA82" s="161"/>
      <c r="FB82" s="161"/>
      <c r="FC82" s="161"/>
      <c r="FD82" s="161"/>
      <c r="FE82" s="161"/>
      <c r="FF82" s="161"/>
      <c r="FG82" s="161"/>
      <c r="FH82" s="163" cm="1">
        <f t="array" ref="FH82">ROW()-ROW(Ongoing[#Headers])</f>
        <v>76</v>
      </c>
      <c r="FI82" s="164"/>
      <c r="FJ82" s="164" t="s">
        <v>755</v>
      </c>
      <c r="FK82" s="164">
        <v>0</v>
      </c>
      <c r="FL82" s="164" t="s">
        <v>781</v>
      </c>
      <c r="FM82" s="164">
        <v>0</v>
      </c>
      <c r="FN82" s="164" t="s">
        <v>782</v>
      </c>
      <c r="FO82" s="164" t="s">
        <v>811</v>
      </c>
      <c r="FP82" s="164" t="s">
        <v>850</v>
      </c>
    </row>
    <row r="83" spans="2:172" s="115" customFormat="1" ht="11.25" x14ac:dyDescent="0.2">
      <c r="B83" s="3353" t="s">
        <v>899</v>
      </c>
      <c r="C83" s="3354" t="s">
        <v>900</v>
      </c>
      <c r="D83" s="3355" t="s">
        <v>23</v>
      </c>
      <c r="E83" s="3356" t="s">
        <v>898</v>
      </c>
      <c r="F83" s="3357" t="s">
        <v>1597</v>
      </c>
      <c r="G83" s="3358" t="s">
        <v>51</v>
      </c>
      <c r="H83" s="3359" t="s">
        <v>43</v>
      </c>
      <c r="I83" s="3360" t="s">
        <v>71</v>
      </c>
      <c r="J83" s="3361" t="s">
        <v>791</v>
      </c>
      <c r="K83" s="3362" t="s">
        <v>779</v>
      </c>
      <c r="L83" s="3363" t="s">
        <v>305</v>
      </c>
      <c r="M83" s="3364" t="s">
        <v>3873</v>
      </c>
      <c r="N83" s="3365" t="s">
        <v>3871</v>
      </c>
      <c r="O83" s="148"/>
      <c r="P83" s="161">
        <f>SUM(Q83:AP83)</f>
      </c>
      <c r="Q83" s="161"/>
      <c r="R83" s="161"/>
      <c r="S83" s="161"/>
      <c r="T83" s="161"/>
      <c r="U83" s="161"/>
      <c r="V83" s="161"/>
      <c r="W83" s="161"/>
      <c r="X83" s="161"/>
      <c r="Y83" s="161"/>
      <c r="Z83" s="161"/>
      <c r="AA83" s="161"/>
      <c r="AB83" s="161"/>
      <c r="AC83" s="161"/>
      <c r="AD83" s="161"/>
      <c r="AE83" s="161"/>
      <c r="AF83" s="161"/>
      <c r="AG83" s="161"/>
      <c r="AH83" s="3366" t="n">
        <v>100.0</v>
      </c>
      <c r="AI83" s="161"/>
      <c r="AJ83" s="161"/>
      <c r="AK83" s="161"/>
      <c r="AL83" s="161"/>
      <c r="AM83" s="161"/>
      <c r="AN83" s="161"/>
      <c r="AO83" s="161"/>
      <c r="AP83" s="161"/>
      <c r="AQ83" s="161">
        <f>SUM(AR83:AU83)</f>
      </c>
      <c r="AR83" s="161"/>
      <c r="AS83" s="161"/>
      <c r="AT83" s="161"/>
      <c r="AU83" s="161"/>
      <c r="AV83" s="161">
        <f>SUM(AW83:BH83)</f>
      </c>
      <c r="AW83" s="161"/>
      <c r="AX83" s="161"/>
      <c r="AY83" s="161"/>
      <c r="AZ83" s="161"/>
      <c r="BA83" s="161"/>
      <c r="BB83" s="161"/>
      <c r="BC83" s="161"/>
      <c r="BD83" s="161"/>
      <c r="BE83" s="161"/>
      <c r="BF83" s="161"/>
      <c r="BG83" s="161"/>
      <c r="BH83" s="161"/>
      <c r="BI83" s="161"/>
      <c r="BJ83" s="161"/>
      <c r="BK83" s="161"/>
      <c r="BL83" s="161"/>
      <c r="BM83" s="161"/>
      <c r="BN83" s="161"/>
      <c r="BO83" s="161"/>
      <c r="BP83" s="161"/>
      <c r="BQ83" s="161"/>
      <c r="BR83" s="161"/>
      <c r="BS83" s="161">
        <f>SUM(BT83:BV83)</f>
      </c>
      <c r="BT83" s="161"/>
      <c r="BU83" s="161"/>
      <c r="BV83" s="161"/>
      <c r="BW83" s="161">
        <f>SUM(BX83:CC83)</f>
      </c>
      <c r="BX83" s="161"/>
      <c r="BY83" s="161"/>
      <c r="BZ83" s="161"/>
      <c r="CA83" s="161"/>
      <c r="CB83" s="161"/>
      <c r="CC83" s="161"/>
      <c r="CD83" s="161"/>
      <c r="CE83" s="161"/>
      <c r="CF83" s="161"/>
      <c r="CG83" s="161"/>
      <c r="CH83" s="161"/>
      <c r="CI83" s="161"/>
      <c r="CJ83" s="161">
        <f>SUM(CK83:CM83)</f>
      </c>
      <c r="CK83" s="161"/>
      <c r="CL83" s="161"/>
      <c r="CM83" s="161"/>
      <c r="CN83" s="161">
        <f>SUM(CO83:CS83)</f>
      </c>
      <c r="CO83" s="161"/>
      <c r="CP83" s="161"/>
      <c r="CQ83" s="161"/>
      <c r="CR83" s="161"/>
      <c r="CS83" s="161"/>
      <c r="CT83" s="161"/>
      <c r="CU83" s="161"/>
      <c r="CV83" s="161"/>
      <c r="CW83" s="161"/>
      <c r="CX83" s="161"/>
      <c r="CY83" s="161"/>
      <c r="CZ83" s="161"/>
      <c r="DA83" s="161"/>
      <c r="DB83" s="161"/>
      <c r="DC83" s="161"/>
      <c r="DD83" s="161"/>
      <c r="DE83" s="161"/>
      <c r="DF83" s="161">
        <f>SUM(DG83:DG83)</f>
      </c>
      <c r="DG83" s="161"/>
      <c r="DH83" s="161"/>
      <c r="DI83" s="161"/>
      <c r="DJ83" s="161">
        <f>SUM(DK83:DP83)</f>
      </c>
      <c r="DK83" s="161"/>
      <c r="DL83" s="161"/>
      <c r="DM83" s="161"/>
      <c r="DN83" s="161"/>
      <c r="DO83" s="161"/>
      <c r="DP83" s="161"/>
      <c r="DQ83" s="161"/>
      <c r="DR83" s="161"/>
      <c r="DS83" s="161"/>
      <c r="DT83" s="161"/>
      <c r="DU83" s="161"/>
      <c r="DV83" s="161"/>
      <c r="DW83" s="161"/>
      <c r="DX83" s="161"/>
      <c r="DY83" s="161"/>
      <c r="DZ83" s="161"/>
      <c r="EA83" s="161"/>
      <c r="EB83" s="161"/>
      <c r="EC83" s="161"/>
      <c r="ED83" s="161"/>
      <c r="EE83" s="161"/>
      <c r="EF83" s="161">
        <f>SUM(EG83:EP83)</f>
      </c>
      <c r="EG83" s="161"/>
      <c r="EH83" s="161"/>
      <c r="EI83" s="161"/>
      <c r="EJ83" s="161"/>
      <c r="EK83" s="161"/>
      <c r="EL83" s="161"/>
      <c r="EM83" s="161"/>
      <c r="EN83" s="161"/>
      <c r="EO83" s="161"/>
      <c r="EP83" s="161"/>
      <c r="EQ83" s="161">
        <f>SUM(ER83:ES83)</f>
      </c>
      <c r="ER83" s="161"/>
      <c r="ES83" s="161"/>
      <c r="ET83" s="161"/>
      <c r="EU83" s="161"/>
      <c r="EV83" s="161"/>
      <c r="EW83" s="161"/>
      <c r="EX83" s="161"/>
      <c r="EY83" s="161"/>
      <c r="EZ83" s="161"/>
      <c r="FA83" s="161"/>
      <c r="FB83" s="161"/>
      <c r="FC83" s="161"/>
      <c r="FD83" s="161"/>
      <c r="FE83" s="161"/>
      <c r="FF83" s="161"/>
      <c r="FG83" s="161"/>
      <c r="FH83" s="163" cm="1">
        <f t="array" ref="FH83">ROW()-ROW(Ongoing[#Headers])</f>
        <v>77</v>
      </c>
      <c r="FI83" s="164" t="s">
        <v>935</v>
      </c>
      <c r="FJ83" s="164" t="s">
        <v>755</v>
      </c>
      <c r="FK83" s="164">
        <v>0</v>
      </c>
      <c r="FL83" s="164" t="s">
        <v>936</v>
      </c>
      <c r="FM83" s="164">
        <v>0</v>
      </c>
      <c r="FN83" s="164" t="s">
        <v>757</v>
      </c>
      <c r="FO83" s="164" t="s">
        <v>937</v>
      </c>
      <c r="FP83" s="164" t="s">
        <v>759</v>
      </c>
    </row>
    <row r="84" spans="2:172" s="115" customFormat="1" ht="11.25" x14ac:dyDescent="0.2">
      <c r="B84" s="3371" t="s">
        <v>1305</v>
      </c>
      <c r="C84" s="3372" t="s">
        <v>2074</v>
      </c>
      <c r="D84" s="3373" t="s">
        <v>305</v>
      </c>
      <c r="E84" s="3374" t="s">
        <v>305</v>
      </c>
      <c r="F84" s="3375" t="s">
        <v>305</v>
      </c>
      <c r="G84" s="3376" t="s">
        <v>305</v>
      </c>
      <c r="H84" s="3377" t="s">
        <v>305</v>
      </c>
      <c r="I84" s="3378" t="s">
        <v>305</v>
      </c>
      <c r="J84" s="3379" t="s">
        <v>2075</v>
      </c>
      <c r="K84" s="3380" t="s">
        <v>305</v>
      </c>
      <c r="L84" s="3381" t="s">
        <v>305</v>
      </c>
      <c r="M84" s="3382" t="s">
        <v>3867</v>
      </c>
      <c r="N84" s="3383" t="s">
        <v>3868</v>
      </c>
      <c r="O84" s="148"/>
      <c r="P84" s="161">
        <f>SUM(Q84:AP84)</f>
      </c>
      <c r="Q84" s="161"/>
      <c r="R84" s="161"/>
      <c r="S84" s="161"/>
      <c r="T84" s="161"/>
      <c r="U84" s="161"/>
      <c r="V84" s="161"/>
      <c r="W84" s="161"/>
      <c r="X84" s="161"/>
      <c r="Y84" s="161"/>
      <c r="Z84" s="161"/>
      <c r="AA84" s="161"/>
      <c r="AB84" s="161"/>
      <c r="AC84" s="161"/>
      <c r="AD84" s="161"/>
      <c r="AE84" s="161"/>
      <c r="AF84" s="161"/>
      <c r="AG84" s="161"/>
      <c r="AH84" s="161"/>
      <c r="AI84" s="161"/>
      <c r="AJ84" s="161"/>
      <c r="AK84" s="161"/>
      <c r="AL84" s="161"/>
      <c r="AM84" s="161"/>
      <c r="AN84" s="161"/>
      <c r="AO84" s="161"/>
      <c r="AP84" s="161"/>
      <c r="AQ84" s="161">
        <f>SUM(AR84:AU84)</f>
      </c>
      <c r="AR84" s="161"/>
      <c r="AS84" s="161"/>
      <c r="AT84" s="161"/>
      <c r="AU84" s="161"/>
      <c r="AV84" s="161">
        <f>SUM(AW84:BH84)</f>
      </c>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f>SUM(BT84:BV84)</f>
      </c>
      <c r="BT84" s="161"/>
      <c r="BU84" s="161"/>
      <c r="BV84" s="161"/>
      <c r="BW84" s="161">
        <f>SUM(BX84:CC84)</f>
      </c>
      <c r="BX84" s="161"/>
      <c r="BY84" s="161"/>
      <c r="BZ84" s="161"/>
      <c r="CA84" s="161"/>
      <c r="CB84" s="161"/>
      <c r="CC84" s="161"/>
      <c r="CD84" s="161"/>
      <c r="CE84" s="161"/>
      <c r="CF84" s="161"/>
      <c r="CG84" s="161"/>
      <c r="CH84" s="161"/>
      <c r="CI84" s="161"/>
      <c r="CJ84" s="161">
        <f>SUM(CK84:CM84)</f>
      </c>
      <c r="CK84" s="161"/>
      <c r="CL84" s="161"/>
      <c r="CM84" s="161"/>
      <c r="CN84" s="161">
        <f>SUM(CO84:CS84)</f>
      </c>
      <c r="CO84" s="161"/>
      <c r="CP84" s="161"/>
      <c r="CQ84" s="161"/>
      <c r="CR84" s="161"/>
      <c r="CS84" s="161"/>
      <c r="CT84" s="161"/>
      <c r="CU84" s="161"/>
      <c r="CV84" s="161"/>
      <c r="CW84" s="161"/>
      <c r="CX84" s="161"/>
      <c r="CY84" s="161"/>
      <c r="CZ84" s="161"/>
      <c r="DA84" s="161"/>
      <c r="DB84" s="161"/>
      <c r="DC84" s="161"/>
      <c r="DD84" s="161"/>
      <c r="DE84" s="161"/>
      <c r="DF84" s="161">
        <f>SUM(DG84:DG84)</f>
      </c>
      <c r="DG84" s="161"/>
      <c r="DH84" s="161"/>
      <c r="DI84" s="161"/>
      <c r="DJ84" s="161">
        <f>SUM(DK84:DP84)</f>
      </c>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f>SUM(EG84:EP84)</f>
      </c>
      <c r="EG84" s="161"/>
      <c r="EH84" s="161"/>
      <c r="EI84" s="161"/>
      <c r="EJ84" s="161"/>
      <c r="EK84" s="161"/>
      <c r="EL84" s="161"/>
      <c r="EM84" s="161"/>
      <c r="EN84" s="161"/>
      <c r="EO84" s="161"/>
      <c r="EP84" s="161"/>
      <c r="EQ84" s="161">
        <f>SUM(ER84:ES84)</f>
      </c>
      <c r="ER84" s="161"/>
      <c r="ES84" s="161"/>
      <c r="ET84" s="161"/>
      <c r="EU84" s="161"/>
      <c r="EV84" s="161"/>
      <c r="EW84" s="161"/>
      <c r="EX84" s="161"/>
      <c r="EY84" s="161"/>
      <c r="EZ84" s="161"/>
      <c r="FA84" s="161"/>
      <c r="FB84" s="161"/>
      <c r="FC84" s="161"/>
      <c r="FD84" s="161"/>
      <c r="FE84" s="161"/>
      <c r="FF84" s="161"/>
      <c r="FG84" s="161"/>
      <c r="FH84" s="163" cm="1">
        <f t="array" ref="FH84">ROW()-ROW(Ongoing[#Headers])</f>
        <v>78</v>
      </c>
      <c r="FI84" s="164" t="s">
        <v>935</v>
      </c>
      <c r="FJ84" s="164" t="s">
        <v>755</v>
      </c>
      <c r="FK84" s="164">
        <v>0</v>
      </c>
      <c r="FL84" s="164" t="s">
        <v>936</v>
      </c>
      <c r="FM84" s="164">
        <v>0</v>
      </c>
      <c r="FN84" s="164" t="s">
        <v>757</v>
      </c>
      <c r="FO84" s="164" t="s">
        <v>937</v>
      </c>
      <c r="FP84" s="164" t="s">
        <v>759</v>
      </c>
    </row>
    <row r="85" spans="2:172" s="115" customFormat="1" ht="11.25" x14ac:dyDescent="0.2">
      <c r="B85" s="3414" t="s">
        <v>920</v>
      </c>
      <c r="C85" s="3415" t="s">
        <v>921</v>
      </c>
      <c r="D85" s="3416" t="s">
        <v>889</v>
      </c>
      <c r="E85" s="3417" t="s">
        <v>750</v>
      </c>
      <c r="F85" s="3418" t="s">
        <v>1597</v>
      </c>
      <c r="G85" s="3419" t="s">
        <v>49</v>
      </c>
      <c r="H85" s="3420" t="s">
        <v>43</v>
      </c>
      <c r="I85" s="3421" t="s">
        <v>64</v>
      </c>
      <c r="J85" s="3422" t="s">
        <v>1609</v>
      </c>
      <c r="K85" s="3423" t="s">
        <v>751</v>
      </c>
      <c r="L85" s="3424" t="s">
        <v>305</v>
      </c>
      <c r="M85" s="3425" t="s">
        <v>3873</v>
      </c>
      <c r="N85" s="3426" t="s">
        <v>3871</v>
      </c>
      <c r="O85" s="148"/>
      <c r="P85" s="161">
        <f>SUM(Q85:AP85)</f>
      </c>
      <c r="Q85" s="161"/>
      <c r="R85" s="161"/>
      <c r="S85" s="3427" t="n">
        <v>350.0</v>
      </c>
      <c r="T85" s="161"/>
      <c r="U85" s="161"/>
      <c r="V85" s="161"/>
      <c r="W85" s="161"/>
      <c r="X85" s="161"/>
      <c r="Y85" s="161"/>
      <c r="Z85" s="161"/>
      <c r="AA85" s="161"/>
      <c r="AB85" s="161"/>
      <c r="AC85" s="161"/>
      <c r="AD85" s="161"/>
      <c r="AE85" s="161"/>
      <c r="AF85" s="161"/>
      <c r="AG85" s="161"/>
      <c r="AH85" s="161"/>
      <c r="AI85" s="161"/>
      <c r="AJ85" s="161"/>
      <c r="AK85" s="161"/>
      <c r="AL85" s="161"/>
      <c r="AM85" s="161"/>
      <c r="AN85" s="161"/>
      <c r="AO85" s="161"/>
      <c r="AP85" s="161"/>
      <c r="AQ85" s="161">
        <f>SUM(AR85:AU85)</f>
      </c>
      <c r="AR85" s="161"/>
      <c r="AS85" s="161"/>
      <c r="AT85" s="161"/>
      <c r="AU85" s="161"/>
      <c r="AV85" s="161">
        <f>SUM(AW85:BH85)</f>
      </c>
      <c r="AW85" s="161"/>
      <c r="AX85" s="161"/>
      <c r="AY85" s="161"/>
      <c r="AZ85" s="161"/>
      <c r="BA85" s="161"/>
      <c r="BB85" s="161"/>
      <c r="BC85" s="161"/>
      <c r="BD85" s="161"/>
      <c r="BE85" s="161"/>
      <c r="BF85" s="161"/>
      <c r="BG85" s="161"/>
      <c r="BH85" s="161"/>
      <c r="BI85" s="161"/>
      <c r="BJ85" s="161"/>
      <c r="BK85" s="161"/>
      <c r="BL85" s="161"/>
      <c r="BM85" s="161"/>
      <c r="BN85" s="161"/>
      <c r="BO85" s="161"/>
      <c r="BP85" s="161"/>
      <c r="BQ85" s="161"/>
      <c r="BR85" s="161"/>
      <c r="BS85" s="161">
        <f>SUM(BT85:BV85)</f>
      </c>
      <c r="BT85" s="161"/>
      <c r="BU85" s="161"/>
      <c r="BV85" s="161"/>
      <c r="BW85" s="161">
        <f>SUM(BX85:CC85)</f>
      </c>
      <c r="BX85" s="161"/>
      <c r="BY85" s="161"/>
      <c r="BZ85" s="161"/>
      <c r="CA85" s="161"/>
      <c r="CB85" s="161"/>
      <c r="CC85" s="161"/>
      <c r="CD85" s="161"/>
      <c r="CE85" s="161"/>
      <c r="CF85" s="161"/>
      <c r="CG85" s="161"/>
      <c r="CH85" s="161"/>
      <c r="CI85" s="161"/>
      <c r="CJ85" s="161">
        <f>SUM(CK85:CM85)</f>
      </c>
      <c r="CK85" s="161"/>
      <c r="CL85" s="161"/>
      <c r="CM85" s="161"/>
      <c r="CN85" s="161">
        <f>SUM(CO85:CS85)</f>
      </c>
      <c r="CO85" s="161"/>
      <c r="CP85" s="161"/>
      <c r="CQ85" s="161"/>
      <c r="CR85" s="161"/>
      <c r="CS85" s="161"/>
      <c r="CT85" s="161"/>
      <c r="CU85" s="161"/>
      <c r="CV85" s="161"/>
      <c r="CW85" s="161"/>
      <c r="CX85" s="161"/>
      <c r="CY85" s="161"/>
      <c r="CZ85" s="161"/>
      <c r="DA85" s="161"/>
      <c r="DB85" s="161"/>
      <c r="DC85" s="161"/>
      <c r="DD85" s="161"/>
      <c r="DE85" s="161"/>
      <c r="DF85" s="161">
        <f>SUM(DG85:DG85)</f>
      </c>
      <c r="DG85" s="161"/>
      <c r="DH85" s="161"/>
      <c r="DI85" s="161"/>
      <c r="DJ85" s="161">
        <f>SUM(DK85:DP85)</f>
      </c>
      <c r="DK85" s="161"/>
      <c r="DL85" s="161"/>
      <c r="DM85" s="161"/>
      <c r="DN85" s="161"/>
      <c r="DO85" s="161"/>
      <c r="DP85" s="161"/>
      <c r="DQ85" s="161"/>
      <c r="DR85" s="161"/>
      <c r="DS85" s="161"/>
      <c r="DT85" s="161"/>
      <c r="DU85" s="161"/>
      <c r="DV85" s="161"/>
      <c r="DW85" s="161"/>
      <c r="DX85" s="161"/>
      <c r="DY85" s="161"/>
      <c r="DZ85" s="161"/>
      <c r="EA85" s="161"/>
      <c r="EB85" s="161"/>
      <c r="EC85" s="161"/>
      <c r="ED85" s="161"/>
      <c r="EE85" s="161"/>
      <c r="EF85" s="161">
        <f>SUM(EG85:EP85)</f>
      </c>
      <c r="EG85" s="161"/>
      <c r="EH85" s="161"/>
      <c r="EI85" s="161"/>
      <c r="EJ85" s="161"/>
      <c r="EK85" s="161"/>
      <c r="EL85" s="161"/>
      <c r="EM85" s="161"/>
      <c r="EN85" s="161"/>
      <c r="EO85" s="161"/>
      <c r="EP85" s="161"/>
      <c r="EQ85" s="161">
        <f>SUM(ER85:ES85)</f>
      </c>
      <c r="ER85" s="161"/>
      <c r="ES85" s="161"/>
      <c r="ET85" s="161"/>
      <c r="EU85" s="161"/>
      <c r="EV85" s="161"/>
      <c r="EW85" s="161"/>
      <c r="EX85" s="161"/>
      <c r="EY85" s="161"/>
      <c r="EZ85" s="161"/>
      <c r="FA85" s="161"/>
      <c r="FB85" s="161"/>
      <c r="FC85" s="161"/>
      <c r="FD85" s="161"/>
      <c r="FE85" s="161"/>
      <c r="FF85" s="161"/>
      <c r="FG85" s="161"/>
      <c r="FH85" s="163" cm="1">
        <f t="array" ref="FH85">ROW()-ROW(Ongoing[#Headers])</f>
        <v>79</v>
      </c>
      <c r="FI85" s="164" t="s">
        <v>935</v>
      </c>
      <c r="FJ85" s="164" t="s">
        <v>755</v>
      </c>
      <c r="FK85" s="164">
        <v>0</v>
      </c>
      <c r="FL85" s="164" t="s">
        <v>936</v>
      </c>
      <c r="FM85" s="164">
        <v>0</v>
      </c>
      <c r="FN85" s="164" t="s">
        <v>757</v>
      </c>
      <c r="FO85" s="164" t="s">
        <v>937</v>
      </c>
      <c r="FP85" s="164" t="s">
        <v>759</v>
      </c>
    </row>
    <row r="86" spans="2:172" s="115" customFormat="1" ht="11.25" x14ac:dyDescent="0.2">
      <c r="B86" s="3430" t="s">
        <v>808</v>
      </c>
      <c r="C86" s="3431" t="s">
        <v>809</v>
      </c>
      <c r="D86" s="3432" t="s">
        <v>23</v>
      </c>
      <c r="E86" s="3433" t="s">
        <v>810</v>
      </c>
      <c r="F86" s="3434" t="s">
        <v>1597</v>
      </c>
      <c r="G86" s="3435" t="s">
        <v>51</v>
      </c>
      <c r="H86" s="3436" t="s">
        <v>43</v>
      </c>
      <c r="I86" s="3437" t="s">
        <v>71</v>
      </c>
      <c r="J86" s="3438" t="s">
        <v>811</v>
      </c>
      <c r="K86" s="3439" t="s">
        <v>779</v>
      </c>
      <c r="L86" s="3440" t="s">
        <v>305</v>
      </c>
      <c r="M86" s="3441" t="s">
        <v>3873</v>
      </c>
      <c r="N86" s="3442" t="s">
        <v>3871</v>
      </c>
      <c r="O86" s="148"/>
      <c r="P86" s="161">
        <f>SUM(Q86:AP86)</f>
      </c>
      <c r="Q86" s="161"/>
      <c r="R86" s="161"/>
      <c r="S86" s="161"/>
      <c r="T86" s="161"/>
      <c r="U86" s="161"/>
      <c r="V86" s="161"/>
      <c r="W86" s="161"/>
      <c r="X86" s="161"/>
      <c r="Y86" s="3443" t="n">
        <v>400.0</v>
      </c>
      <c r="Z86" s="161"/>
      <c r="AA86" s="161"/>
      <c r="AB86" s="161"/>
      <c r="AC86" s="161"/>
      <c r="AD86" s="161"/>
      <c r="AE86" s="161"/>
      <c r="AF86" s="161"/>
      <c r="AG86" s="161"/>
      <c r="AH86" s="161"/>
      <c r="AI86" s="161"/>
      <c r="AJ86" s="161"/>
      <c r="AK86" s="161"/>
      <c r="AL86" s="161"/>
      <c r="AM86" s="161"/>
      <c r="AN86" s="161"/>
      <c r="AO86" s="161"/>
      <c r="AP86" s="161"/>
      <c r="AQ86" s="161">
        <f>SUM(AR86:AU86)</f>
      </c>
      <c r="AR86" s="161"/>
      <c r="AS86" s="161"/>
      <c r="AT86" s="161"/>
      <c r="AU86" s="161"/>
      <c r="AV86" s="161">
        <f>SUM(AW86:BH86)</f>
      </c>
      <c r="AW86" s="161"/>
      <c r="AX86" s="161"/>
      <c r="AY86" s="161"/>
      <c r="AZ86" s="161"/>
      <c r="BA86" s="161"/>
      <c r="BB86" s="161"/>
      <c r="BC86" s="161"/>
      <c r="BD86" s="161"/>
      <c r="BE86" s="161"/>
      <c r="BF86" s="161"/>
      <c r="BG86" s="161"/>
      <c r="BH86" s="161"/>
      <c r="BI86" s="161"/>
      <c r="BJ86" s="161"/>
      <c r="BK86" s="161"/>
      <c r="BL86" s="161"/>
      <c r="BM86" s="161"/>
      <c r="BN86" s="161"/>
      <c r="BO86" s="161"/>
      <c r="BP86" s="161"/>
      <c r="BQ86" s="161"/>
      <c r="BR86" s="161"/>
      <c r="BS86" s="161">
        <f>SUM(BT86:BV86)</f>
      </c>
      <c r="BT86" s="161"/>
      <c r="BU86" s="161"/>
      <c r="BV86" s="3444" t="n">
        <v>150.0</v>
      </c>
      <c r="BW86" s="161">
        <f>SUM(BX86:CC86)</f>
      </c>
      <c r="BX86" s="161"/>
      <c r="BY86" s="161"/>
      <c r="BZ86" s="161"/>
      <c r="CA86" s="161"/>
      <c r="CB86" s="161"/>
      <c r="CC86" s="161"/>
      <c r="CD86" s="161"/>
      <c r="CE86" s="161"/>
      <c r="CF86" s="161"/>
      <c r="CG86" s="161"/>
      <c r="CH86" s="161"/>
      <c r="CI86" s="161"/>
      <c r="CJ86" s="161">
        <f>SUM(CK86:CM86)</f>
      </c>
      <c r="CK86" s="161"/>
      <c r="CL86" s="161"/>
      <c r="CM86" s="161"/>
      <c r="CN86" s="161">
        <f>SUM(CO86:CS86)</f>
      </c>
      <c r="CO86" s="161"/>
      <c r="CP86" s="161"/>
      <c r="CQ86" s="161"/>
      <c r="CR86" s="161"/>
      <c r="CS86" s="161"/>
      <c r="CT86" s="161"/>
      <c r="CU86" s="161"/>
      <c r="CV86" s="161"/>
      <c r="CW86" s="161"/>
      <c r="CX86" s="161"/>
      <c r="CY86" s="161"/>
      <c r="CZ86" s="161"/>
      <c r="DA86" s="161"/>
      <c r="DB86" s="161"/>
      <c r="DC86" s="161"/>
      <c r="DD86" s="161"/>
      <c r="DE86" s="161"/>
      <c r="DF86" s="161">
        <f>SUM(DG86:DG86)</f>
      </c>
      <c r="DG86" s="161"/>
      <c r="DH86" s="161"/>
      <c r="DI86" s="161"/>
      <c r="DJ86" s="161">
        <f>SUM(DK86:DP86)</f>
      </c>
      <c r="DK86" s="161"/>
      <c r="DL86" s="161"/>
      <c r="DM86" s="161"/>
      <c r="DN86" s="161"/>
      <c r="DO86" s="161"/>
      <c r="DP86" s="161"/>
      <c r="DQ86" s="161"/>
      <c r="DR86" s="161"/>
      <c r="DS86" s="161"/>
      <c r="DT86" s="161"/>
      <c r="DU86" s="161"/>
      <c r="DV86" s="161"/>
      <c r="DW86" s="161"/>
      <c r="DX86" s="161"/>
      <c r="DY86" s="161"/>
      <c r="DZ86" s="161"/>
      <c r="EA86" s="161"/>
      <c r="EB86" s="161"/>
      <c r="EC86" s="161"/>
      <c r="ED86" s="161"/>
      <c r="EE86" s="161"/>
      <c r="EF86" s="161">
        <f>SUM(EG86:EP86)</f>
      </c>
      <c r="EG86" s="161"/>
      <c r="EH86" s="161"/>
      <c r="EI86" s="161"/>
      <c r="EJ86" s="161"/>
      <c r="EK86" s="161"/>
      <c r="EL86" s="161"/>
      <c r="EM86" s="161"/>
      <c r="EN86" s="161"/>
      <c r="EO86" s="161"/>
      <c r="EP86" s="161"/>
      <c r="EQ86" s="161">
        <f>SUM(ER86:ES86)</f>
      </c>
      <c r="ER86" s="161"/>
      <c r="ES86" s="161"/>
      <c r="ET86" s="161"/>
      <c r="EU86" s="161"/>
      <c r="EV86" s="161"/>
      <c r="EW86" s="161"/>
      <c r="EX86" s="161"/>
      <c r="EY86" s="161"/>
      <c r="EZ86" s="161"/>
      <c r="FA86" s="161"/>
      <c r="FB86" s="161"/>
      <c r="FC86" s="161"/>
      <c r="FD86" s="161"/>
      <c r="FE86" s="161"/>
      <c r="FF86" s="161"/>
      <c r="FG86" s="161"/>
      <c r="FH86" s="163" cm="1">
        <f t="array" ref="FH86">ROW()-ROW(Ongoing[#Headers])</f>
        <v>80</v>
      </c>
      <c r="FI86" s="164" t="s">
        <v>935</v>
      </c>
      <c r="FJ86" s="164" t="s">
        <v>755</v>
      </c>
      <c r="FK86" s="164">
        <v>0</v>
      </c>
      <c r="FL86" s="164" t="s">
        <v>936</v>
      </c>
      <c r="FM86" s="164">
        <v>0</v>
      </c>
      <c r="FN86" s="164" t="s">
        <v>757</v>
      </c>
      <c r="FO86" s="164" t="s">
        <v>937</v>
      </c>
      <c r="FP86" s="164" t="s">
        <v>759</v>
      </c>
    </row>
    <row r="87" spans="2:172" s="115" customFormat="1" ht="11.25" x14ac:dyDescent="0.2">
      <c r="B87" s="3501" t="s">
        <v>1303</v>
      </c>
      <c r="C87" s="3502" t="s">
        <v>1304</v>
      </c>
      <c r="D87" s="3503" t="s">
        <v>13</v>
      </c>
      <c r="E87" s="3504" t="s">
        <v>1262</v>
      </c>
      <c r="F87" s="3505" t="s">
        <v>1597</v>
      </c>
      <c r="G87" s="3506" t="s">
        <v>46</v>
      </c>
      <c r="H87" s="3507" t="s">
        <v>41</v>
      </c>
      <c r="I87" s="3508" t="s">
        <v>64</v>
      </c>
      <c r="J87" s="3509" t="s">
        <v>1617</v>
      </c>
      <c r="K87" s="3510" t="s">
        <v>751</v>
      </c>
      <c r="L87" s="3511" t="s">
        <v>305</v>
      </c>
      <c r="M87" s="3512" t="s">
        <v>3875</v>
      </c>
      <c r="N87" s="3513" t="s">
        <v>3874</v>
      </c>
      <c r="O87" s="148"/>
      <c r="P87" s="161">
        <f>SUM(Q87:AP87)</f>
      </c>
      <c r="Q87" s="161"/>
      <c r="R87" s="161"/>
      <c r="S87" s="161"/>
      <c r="T87" s="3514" t="n">
        <v>50.0</v>
      </c>
      <c r="U87" s="161"/>
      <c r="V87" s="161"/>
      <c r="W87" s="161"/>
      <c r="X87" s="161"/>
      <c r="Y87" s="161"/>
      <c r="Z87" s="161"/>
      <c r="AA87" s="161"/>
      <c r="AB87" s="161"/>
      <c r="AC87" s="161"/>
      <c r="AD87" s="161"/>
      <c r="AE87" s="161"/>
      <c r="AF87" s="161"/>
      <c r="AG87" s="161"/>
      <c r="AH87" s="161"/>
      <c r="AI87" s="161"/>
      <c r="AJ87" s="161"/>
      <c r="AK87" s="161"/>
      <c r="AL87" s="161"/>
      <c r="AM87" s="161"/>
      <c r="AN87" s="161"/>
      <c r="AO87" s="161"/>
      <c r="AP87" s="161"/>
      <c r="AQ87" s="161">
        <f>SUM(AR87:AU87)</f>
      </c>
      <c r="AR87" s="161"/>
      <c r="AS87" s="161"/>
      <c r="AT87" s="161"/>
      <c r="AU87" s="161"/>
      <c r="AV87" s="161">
        <f>SUM(AW87:BH87)</f>
      </c>
      <c r="AW87" s="161"/>
      <c r="AX87" s="161"/>
      <c r="AY87" s="161"/>
      <c r="AZ87" s="161"/>
      <c r="BA87" s="161"/>
      <c r="BB87" s="161"/>
      <c r="BC87" s="161"/>
      <c r="BD87" s="161"/>
      <c r="BE87" s="161"/>
      <c r="BF87" s="161"/>
      <c r="BG87" s="161"/>
      <c r="BH87" s="161"/>
      <c r="BI87" s="161"/>
      <c r="BJ87" s="161"/>
      <c r="BK87" s="161"/>
      <c r="BL87" s="161"/>
      <c r="BM87" s="161"/>
      <c r="BN87" s="161"/>
      <c r="BO87" s="161"/>
      <c r="BP87" s="161"/>
      <c r="BQ87" s="161"/>
      <c r="BR87" s="161"/>
      <c r="BS87" s="161">
        <f>SUM(BT87:BV87)</f>
      </c>
      <c r="BT87" s="161"/>
      <c r="BU87" s="161"/>
      <c r="BV87" s="161"/>
      <c r="BW87" s="161">
        <f>SUM(BX87:CC87)</f>
      </c>
      <c r="BX87" s="161"/>
      <c r="BY87" s="161"/>
      <c r="BZ87" s="161"/>
      <c r="CA87" s="161"/>
      <c r="CB87" s="161"/>
      <c r="CC87" s="161"/>
      <c r="CD87" s="161"/>
      <c r="CE87" s="161"/>
      <c r="CF87" s="161"/>
      <c r="CG87" s="161"/>
      <c r="CH87" s="161"/>
      <c r="CI87" s="161"/>
      <c r="CJ87" s="161">
        <f>SUM(CK87:CM87)</f>
      </c>
      <c r="CK87" s="161"/>
      <c r="CL87" s="161"/>
      <c r="CM87" s="161"/>
      <c r="CN87" s="161">
        <f>SUM(CO87:CS87)</f>
      </c>
      <c r="CO87" s="161"/>
      <c r="CP87" s="161"/>
      <c r="CQ87" s="161"/>
      <c r="CR87" s="161"/>
      <c r="CS87" s="161"/>
      <c r="CT87" s="161"/>
      <c r="CU87" s="161"/>
      <c r="CV87" s="161"/>
      <c r="CW87" s="161"/>
      <c r="CX87" s="161"/>
      <c r="CY87" s="161"/>
      <c r="CZ87" s="161"/>
      <c r="DA87" s="161"/>
      <c r="DB87" s="161"/>
      <c r="DC87" s="161"/>
      <c r="DD87" s="161"/>
      <c r="DE87" s="161"/>
      <c r="DF87" s="161">
        <f>SUM(DG87:DG87)</f>
      </c>
      <c r="DG87" s="161"/>
      <c r="DH87" s="161"/>
      <c r="DI87" s="161"/>
      <c r="DJ87" s="161">
        <f>SUM(DK87:DP87)</f>
      </c>
      <c r="DK87" s="161"/>
      <c r="DL87" s="161"/>
      <c r="DM87" s="161"/>
      <c r="DN87" s="161"/>
      <c r="DO87" s="161"/>
      <c r="DP87" s="161"/>
      <c r="DQ87" s="161"/>
      <c r="DR87" s="161"/>
      <c r="DS87" s="161"/>
      <c r="DT87" s="161"/>
      <c r="DU87" s="161"/>
      <c r="DV87" s="161"/>
      <c r="DW87" s="161"/>
      <c r="DX87" s="161"/>
      <c r="DY87" s="161"/>
      <c r="DZ87" s="161"/>
      <c r="EA87" s="161"/>
      <c r="EB87" s="161"/>
      <c r="EC87" s="161"/>
      <c r="ED87" s="161"/>
      <c r="EE87" s="161"/>
      <c r="EF87" s="161">
        <f>SUM(EG87:EP87)</f>
      </c>
      <c r="EG87" s="161"/>
      <c r="EH87" s="161"/>
      <c r="EI87" s="161"/>
      <c r="EJ87" s="161"/>
      <c r="EK87" s="161"/>
      <c r="EL87" s="161"/>
      <c r="EM87" s="161"/>
      <c r="EN87" s="161"/>
      <c r="EO87" s="161"/>
      <c r="EP87" s="161"/>
      <c r="EQ87" s="161">
        <f>SUM(ER87:ES87)</f>
      </c>
      <c r="ER87" s="161"/>
      <c r="ES87" s="161"/>
      <c r="ET87" s="161"/>
      <c r="EU87" s="161"/>
      <c r="EV87" s="161"/>
      <c r="EW87" s="161"/>
      <c r="EX87" s="161"/>
      <c r="EY87" s="161"/>
      <c r="EZ87" s="161"/>
      <c r="FA87" s="161"/>
      <c r="FB87" s="161"/>
      <c r="FC87" s="161"/>
      <c r="FD87" s="161"/>
      <c r="FE87" s="161"/>
      <c r="FF87" s="161"/>
      <c r="FG87" s="161"/>
      <c r="FH87" s="163" cm="1">
        <f t="array" ref="FH87">ROW()-ROW(Ongoing[#Headers])</f>
        <v>81</v>
      </c>
      <c r="FI87" s="164" t="s">
        <v>935</v>
      </c>
      <c r="FJ87" s="164" t="s">
        <v>755</v>
      </c>
      <c r="FK87" s="164">
        <v>0</v>
      </c>
      <c r="FL87" s="164" t="s">
        <v>936</v>
      </c>
      <c r="FM87" s="164">
        <v>0</v>
      </c>
      <c r="FN87" s="164" t="s">
        <v>757</v>
      </c>
      <c r="FO87" s="164" t="s">
        <v>937</v>
      </c>
      <c r="FP87" s="164" t="s">
        <v>759</v>
      </c>
    </row>
    <row r="88" spans="2:172" s="115" customFormat="1" ht="11.25" x14ac:dyDescent="0.2">
      <c r="B88" s="3519" t="s">
        <v>1449</v>
      </c>
      <c r="C88" s="3520" t="s">
        <v>1450</v>
      </c>
      <c r="D88" s="3521" t="s">
        <v>13</v>
      </c>
      <c r="E88" s="3522" t="s">
        <v>1241</v>
      </c>
      <c r="F88" s="3523" t="s">
        <v>345</v>
      </c>
      <c r="G88" s="3524" t="s">
        <v>46</v>
      </c>
      <c r="H88" s="3525" t="s">
        <v>22</v>
      </c>
      <c r="I88" s="3526" t="s">
        <v>74</v>
      </c>
      <c r="J88" s="3527" t="s">
        <v>1651</v>
      </c>
      <c r="K88" s="3528" t="s">
        <v>1242</v>
      </c>
      <c r="L88" s="3529" t="s">
        <v>1447</v>
      </c>
      <c r="M88" s="3530" t="s">
        <v>3873</v>
      </c>
      <c r="N88" s="3531" t="s">
        <v>3871</v>
      </c>
      <c r="O88" s="148"/>
      <c r="P88" s="161">
        <f>SUM(Q88:AP88)</f>
      </c>
      <c r="Q88" s="161"/>
      <c r="R88" s="161"/>
      <c r="S88" s="161"/>
      <c r="T88" s="161"/>
      <c r="U88" s="161"/>
      <c r="V88" s="161"/>
      <c r="W88" s="161"/>
      <c r="X88" s="161"/>
      <c r="Y88" s="161"/>
      <c r="Z88" s="161"/>
      <c r="AA88" s="161"/>
      <c r="AB88" s="161"/>
      <c r="AC88" s="161"/>
      <c r="AD88" s="161"/>
      <c r="AE88" s="161"/>
      <c r="AF88" s="161"/>
      <c r="AG88" s="161"/>
      <c r="AH88" s="161"/>
      <c r="AI88" s="161"/>
      <c r="AJ88" s="161"/>
      <c r="AK88" s="161"/>
      <c r="AL88" s="161"/>
      <c r="AM88" s="3532" t="n">
        <v>1340.0</v>
      </c>
      <c r="AN88" s="161"/>
      <c r="AO88" s="161"/>
      <c r="AP88" s="161"/>
      <c r="AQ88" s="161">
        <f>SUM(AR88:AU88)</f>
      </c>
      <c r="AR88" s="161"/>
      <c r="AS88" s="161"/>
      <c r="AT88" s="161"/>
      <c r="AU88" s="161"/>
      <c r="AV88" s="161">
        <f>SUM(AW88:BH88)</f>
      </c>
      <c r="AW88" s="161"/>
      <c r="AX88" s="161"/>
      <c r="AY88" s="161"/>
      <c r="AZ88" s="161"/>
      <c r="BA88" s="161"/>
      <c r="BB88" s="161"/>
      <c r="BC88" s="161"/>
      <c r="BD88" s="161"/>
      <c r="BE88" s="161"/>
      <c r="BF88" s="161"/>
      <c r="BG88" s="161"/>
      <c r="BH88" s="161"/>
      <c r="BI88" s="161"/>
      <c r="BJ88" s="161"/>
      <c r="BK88" s="161"/>
      <c r="BL88" s="161"/>
      <c r="BM88" s="161"/>
      <c r="BN88" s="161"/>
      <c r="BO88" s="161"/>
      <c r="BP88" s="161"/>
      <c r="BQ88" s="161"/>
      <c r="BR88" s="161"/>
      <c r="BS88" s="161">
        <f>SUM(BT88:BV88)</f>
      </c>
      <c r="BT88" s="161"/>
      <c r="BU88" s="161"/>
      <c r="BV88" s="161"/>
      <c r="BW88" s="161">
        <f>SUM(BX88:CC88)</f>
      </c>
      <c r="BX88" s="161"/>
      <c r="BY88" s="161"/>
      <c r="BZ88" s="161"/>
      <c r="CA88" s="161"/>
      <c r="CB88" s="161"/>
      <c r="CC88" s="161"/>
      <c r="CD88" s="161"/>
      <c r="CE88" s="161"/>
      <c r="CF88" s="161"/>
      <c r="CG88" s="161"/>
      <c r="CH88" s="161"/>
      <c r="CI88" s="161"/>
      <c r="CJ88" s="161">
        <f>SUM(CK88:CM88)</f>
      </c>
      <c r="CK88" s="161"/>
      <c r="CL88" s="161"/>
      <c r="CM88" s="161"/>
      <c r="CN88" s="161">
        <f>SUM(CO88:CS88)</f>
      </c>
      <c r="CO88" s="161"/>
      <c r="CP88" s="161"/>
      <c r="CQ88" s="161"/>
      <c r="CR88" s="161"/>
      <c r="CS88" s="161"/>
      <c r="CT88" s="161"/>
      <c r="CU88" s="161"/>
      <c r="CV88" s="161"/>
      <c r="CW88" s="161"/>
      <c r="CX88" s="161"/>
      <c r="CY88" s="161"/>
      <c r="CZ88" s="161"/>
      <c r="DA88" s="161"/>
      <c r="DB88" s="161"/>
      <c r="DC88" s="161"/>
      <c r="DD88" s="161"/>
      <c r="DE88" s="161"/>
      <c r="DF88" s="161">
        <f>SUM(DG88:DG88)</f>
      </c>
      <c r="DG88" s="161"/>
      <c r="DH88" s="161"/>
      <c r="DI88" s="161"/>
      <c r="DJ88" s="161">
        <f>SUM(DK88:DP88)</f>
      </c>
      <c r="DK88" s="161"/>
      <c r="DL88" s="161"/>
      <c r="DM88" s="161"/>
      <c r="DN88" s="161"/>
      <c r="DO88" s="161"/>
      <c r="DP88" s="161"/>
      <c r="DQ88" s="161"/>
      <c r="DR88" s="161"/>
      <c r="DS88" s="161"/>
      <c r="DT88" s="161"/>
      <c r="DU88" s="161"/>
      <c r="DV88" s="161"/>
      <c r="DW88" s="161"/>
      <c r="DX88" s="161"/>
      <c r="DY88" s="161"/>
      <c r="DZ88" s="161"/>
      <c r="EA88" s="161"/>
      <c r="EB88" s="161"/>
      <c r="EC88" s="161"/>
      <c r="ED88" s="161"/>
      <c r="EE88" s="161"/>
      <c r="EF88" s="161">
        <f>SUM(EG88:EP88)</f>
      </c>
      <c r="EG88" s="161"/>
      <c r="EH88" s="161"/>
      <c r="EI88" s="161"/>
      <c r="EJ88" s="161"/>
      <c r="EK88" s="161"/>
      <c r="EL88" s="161"/>
      <c r="EM88" s="161"/>
      <c r="EN88" s="161"/>
      <c r="EO88" s="161"/>
      <c r="EP88" s="161"/>
      <c r="EQ88" s="161">
        <f>SUM(ER88:ES88)</f>
      </c>
      <c r="ER88" s="161"/>
      <c r="ES88" s="161"/>
      <c r="ET88" s="161"/>
      <c r="EU88" s="161"/>
      <c r="EV88" s="161"/>
      <c r="EW88" s="161"/>
      <c r="EX88" s="161"/>
      <c r="EY88" s="161"/>
      <c r="EZ88" s="161"/>
      <c r="FA88" s="161"/>
      <c r="FB88" s="161"/>
      <c r="FC88" s="161"/>
      <c r="FD88" s="161"/>
      <c r="FE88" s="161"/>
      <c r="FF88" s="161"/>
      <c r="FG88" s="161"/>
      <c r="FH88" s="163" cm="1">
        <f t="array" ref="FH88">ROW()-ROW(Ongoing[#Headers])</f>
        <v>82</v>
      </c>
      <c r="FI88" s="164" t="s">
        <v>935</v>
      </c>
      <c r="FJ88" s="164" t="s">
        <v>755</v>
      </c>
      <c r="FK88" s="164">
        <v>0</v>
      </c>
      <c r="FL88" s="164" t="s">
        <v>936</v>
      </c>
      <c r="FM88" s="164">
        <v>0</v>
      </c>
      <c r="FN88" s="164" t="s">
        <v>757</v>
      </c>
      <c r="FO88" s="164" t="s">
        <v>937</v>
      </c>
      <c r="FP88" s="164" t="s">
        <v>759</v>
      </c>
    </row>
    <row r="89" spans="2:172" s="115" customFormat="1" ht="11.25" x14ac:dyDescent="0.2">
      <c r="B89" s="3560" t="s">
        <v>905</v>
      </c>
      <c r="C89" s="3561" t="s">
        <v>906</v>
      </c>
      <c r="D89" s="3562" t="s">
        <v>23</v>
      </c>
      <c r="E89" s="3563" t="s">
        <v>810</v>
      </c>
      <c r="F89" s="3564" t="s">
        <v>1597</v>
      </c>
      <c r="G89" s="3565" t="s">
        <v>51</v>
      </c>
      <c r="H89" s="3566" t="s">
        <v>43</v>
      </c>
      <c r="I89" s="3567" t="s">
        <v>71</v>
      </c>
      <c r="J89" s="3568" t="s">
        <v>811</v>
      </c>
      <c r="K89" s="3569" t="s">
        <v>779</v>
      </c>
      <c r="L89" s="3570" t="s">
        <v>305</v>
      </c>
      <c r="M89" s="3571" t="s">
        <v>3873</v>
      </c>
      <c r="N89" s="3572" t="s">
        <v>3871</v>
      </c>
      <c r="O89" s="148"/>
      <c r="P89" s="161">
        <f>SUM(Q89:AP89)</f>
      </c>
      <c r="Q89" s="161"/>
      <c r="R89" s="161"/>
      <c r="S89" s="161"/>
      <c r="T89" s="161"/>
      <c r="U89" s="161"/>
      <c r="V89" s="3573" t="n">
        <v>350.0</v>
      </c>
      <c r="W89" s="161"/>
      <c r="X89" s="161"/>
      <c r="Y89" s="3574" t="n">
        <v>20.0</v>
      </c>
      <c r="Z89" s="161"/>
      <c r="AA89" s="161"/>
      <c r="AB89" s="161"/>
      <c r="AC89" s="161"/>
      <c r="AD89" s="161"/>
      <c r="AE89" s="161"/>
      <c r="AF89" s="161"/>
      <c r="AG89" s="161"/>
      <c r="AH89" s="161"/>
      <c r="AI89" s="161"/>
      <c r="AJ89" s="161"/>
      <c r="AK89" s="161"/>
      <c r="AL89" s="161"/>
      <c r="AM89" s="161"/>
      <c r="AN89" s="161"/>
      <c r="AO89" s="161"/>
      <c r="AP89" s="161"/>
      <c r="AQ89" s="161">
        <f>SUM(AR89:AU89)</f>
      </c>
      <c r="AR89" s="161"/>
      <c r="AS89" s="161"/>
      <c r="AT89" s="161"/>
      <c r="AU89" s="161"/>
      <c r="AV89" s="161">
        <f>SUM(AW89:BH89)</f>
      </c>
      <c r="AW89" s="161"/>
      <c r="AX89" s="161"/>
      <c r="AY89" s="161"/>
      <c r="AZ89" s="161"/>
      <c r="BA89" s="161"/>
      <c r="BB89" s="161"/>
      <c r="BC89" s="161"/>
      <c r="BD89" s="161"/>
      <c r="BE89" s="161"/>
      <c r="BF89" s="161"/>
      <c r="BG89" s="161"/>
      <c r="BH89" s="161"/>
      <c r="BI89" s="161"/>
      <c r="BJ89" s="161"/>
      <c r="BK89" s="161"/>
      <c r="BL89" s="161"/>
      <c r="BM89" s="161"/>
      <c r="BN89" s="161"/>
      <c r="BO89" s="161"/>
      <c r="BP89" s="161"/>
      <c r="BQ89" s="161"/>
      <c r="BR89" s="161"/>
      <c r="BS89" s="161">
        <f>SUM(BT89:BV89)</f>
      </c>
      <c r="BT89" s="161"/>
      <c r="BU89" s="161"/>
      <c r="BV89" s="161"/>
      <c r="BW89" s="161">
        <f>SUM(BX89:CC89)</f>
      </c>
      <c r="BX89" s="161"/>
      <c r="BY89" s="161"/>
      <c r="BZ89" s="161"/>
      <c r="CA89" s="161"/>
      <c r="CB89" s="161"/>
      <c r="CC89" s="161"/>
      <c r="CD89" s="161"/>
      <c r="CE89" s="161"/>
      <c r="CF89" s="161"/>
      <c r="CG89" s="161"/>
      <c r="CH89" s="161"/>
      <c r="CI89" s="161"/>
      <c r="CJ89" s="161">
        <f>SUM(CK89:CM89)</f>
      </c>
      <c r="CK89" s="161"/>
      <c r="CL89" s="161"/>
      <c r="CM89" s="161"/>
      <c r="CN89" s="161">
        <f>SUM(CO89:CS89)</f>
      </c>
      <c r="CO89" s="161"/>
      <c r="CP89" s="161"/>
      <c r="CQ89" s="161"/>
      <c r="CR89" s="161"/>
      <c r="CS89" s="161"/>
      <c r="CT89" s="161"/>
      <c r="CU89" s="161"/>
      <c r="CV89" s="161"/>
      <c r="CW89" s="161"/>
      <c r="CX89" s="161"/>
      <c r="CY89" s="161"/>
      <c r="CZ89" s="161"/>
      <c r="DA89" s="161"/>
      <c r="DB89" s="161"/>
      <c r="DC89" s="161"/>
      <c r="DD89" s="161"/>
      <c r="DE89" s="161"/>
      <c r="DF89" s="161">
        <f>SUM(DG89:DG89)</f>
      </c>
      <c r="DG89" s="161"/>
      <c r="DH89" s="161"/>
      <c r="DI89" s="161"/>
      <c r="DJ89" s="161">
        <f>SUM(DK89:DP89)</f>
      </c>
      <c r="DK89" s="161"/>
      <c r="DL89" s="161"/>
      <c r="DM89" s="161"/>
      <c r="DN89" s="161"/>
      <c r="DO89" s="161"/>
      <c r="DP89" s="161"/>
      <c r="DQ89" s="161"/>
      <c r="DR89" s="161"/>
      <c r="DS89" s="161"/>
      <c r="DT89" s="161"/>
      <c r="DU89" s="161"/>
      <c r="DV89" s="161"/>
      <c r="DW89" s="161"/>
      <c r="DX89" s="161"/>
      <c r="DY89" s="161"/>
      <c r="DZ89" s="161"/>
      <c r="EA89" s="161"/>
      <c r="EB89" s="161"/>
      <c r="EC89" s="161"/>
      <c r="ED89" s="161"/>
      <c r="EE89" s="161"/>
      <c r="EF89" s="161">
        <f>SUM(EG89:EP89)</f>
      </c>
      <c r="EG89" s="161"/>
      <c r="EH89" s="161"/>
      <c r="EI89" s="161"/>
      <c r="EJ89" s="161"/>
      <c r="EK89" s="161"/>
      <c r="EL89" s="161"/>
      <c r="EM89" s="161"/>
      <c r="EN89" s="161"/>
      <c r="EO89" s="161"/>
      <c r="EP89" s="161"/>
      <c r="EQ89" s="161">
        <f>SUM(ER89:ES89)</f>
      </c>
      <c r="ER89" s="161"/>
      <c r="ES89" s="161"/>
      <c r="ET89" s="161"/>
      <c r="EU89" s="161"/>
      <c r="EV89" s="161"/>
      <c r="EW89" s="161"/>
      <c r="EX89" s="161"/>
      <c r="EY89" s="161"/>
      <c r="EZ89" s="161"/>
      <c r="FA89" s="161"/>
      <c r="FB89" s="161"/>
      <c r="FC89" s="161"/>
      <c r="FD89" s="161"/>
      <c r="FE89" s="161"/>
      <c r="FF89" s="161"/>
      <c r="FG89" s="161"/>
      <c r="FH89" s="163" cm="1">
        <f t="array" ref="FH89">ROW()-ROW(Ongoing[#Headers])</f>
        <v>83</v>
      </c>
      <c r="FI89" s="164" t="s">
        <v>116</v>
      </c>
      <c r="FJ89" s="164" t="s">
        <v>755</v>
      </c>
      <c r="FK89" s="164">
        <v>0</v>
      </c>
      <c r="FL89" s="164" t="s">
        <v>781</v>
      </c>
      <c r="FM89" s="164">
        <v>0</v>
      </c>
      <c r="FN89" s="164" t="s">
        <v>782</v>
      </c>
      <c r="FO89" s="164" t="s">
        <v>791</v>
      </c>
      <c r="FP89" s="164" t="s">
        <v>792</v>
      </c>
    </row>
    <row r="90" spans="2:172" s="115" customFormat="1" ht="11.25" x14ac:dyDescent="0.2">
      <c r="B90" s="3616" t="s">
        <v>994</v>
      </c>
      <c r="C90" s="3617" t="s">
        <v>995</v>
      </c>
      <c r="D90" s="3618" t="s">
        <v>23</v>
      </c>
      <c r="E90" s="3619" t="s">
        <v>810</v>
      </c>
      <c r="F90" s="3620" t="s">
        <v>1736</v>
      </c>
      <c r="G90" s="3621" t="s">
        <v>53</v>
      </c>
      <c r="H90" s="3622" t="s">
        <v>43</v>
      </c>
      <c r="I90" s="3623" t="s">
        <v>71</v>
      </c>
      <c r="J90" s="3624" t="s">
        <v>1624</v>
      </c>
      <c r="K90" s="3625" t="s">
        <v>779</v>
      </c>
      <c r="L90" s="3626" t="s">
        <v>305</v>
      </c>
      <c r="M90" s="3627" t="s">
        <v>3873</v>
      </c>
      <c r="N90" s="3628" t="s">
        <v>3874</v>
      </c>
      <c r="O90" s="148"/>
      <c r="P90" s="161">
        <f>SUM(Q90:AP90)</f>
      </c>
      <c r="Q90" s="161"/>
      <c r="R90" s="161"/>
      <c r="S90" s="161"/>
      <c r="T90" s="161"/>
      <c r="U90" s="161"/>
      <c r="V90" s="3629" t="n">
        <v>250.0</v>
      </c>
      <c r="W90" s="161"/>
      <c r="X90" s="161"/>
      <c r="Y90" s="161"/>
      <c r="Z90" s="161"/>
      <c r="AA90" s="161"/>
      <c r="AB90" s="161"/>
      <c r="AC90" s="161"/>
      <c r="AD90" s="161"/>
      <c r="AE90" s="161"/>
      <c r="AF90" s="161"/>
      <c r="AG90" s="161"/>
      <c r="AH90" s="161"/>
      <c r="AI90" s="161"/>
      <c r="AJ90" s="161"/>
      <c r="AK90" s="161"/>
      <c r="AL90" s="161"/>
      <c r="AM90" s="161"/>
      <c r="AN90" s="161"/>
      <c r="AO90" s="161"/>
      <c r="AP90" s="161"/>
      <c r="AQ90" s="161">
        <f>SUM(AR90:AU90)</f>
      </c>
      <c r="AR90" s="161"/>
      <c r="AS90" s="161"/>
      <c r="AT90" s="161"/>
      <c r="AU90" s="161"/>
      <c r="AV90" s="161">
        <f>SUM(AW90:BH90)</f>
      </c>
      <c r="AW90" s="161"/>
      <c r="AX90" s="161"/>
      <c r="AY90" s="161"/>
      <c r="AZ90" s="161"/>
      <c r="BA90" s="161"/>
      <c r="BB90" s="161"/>
      <c r="BC90" s="161"/>
      <c r="BD90" s="161"/>
      <c r="BE90" s="161"/>
      <c r="BF90" s="161"/>
      <c r="BG90" s="161"/>
      <c r="BH90" s="161"/>
      <c r="BI90" s="161"/>
      <c r="BJ90" s="161"/>
      <c r="BK90" s="161"/>
      <c r="BL90" s="161"/>
      <c r="BM90" s="161"/>
      <c r="BN90" s="161"/>
      <c r="BO90" s="161"/>
      <c r="BP90" s="161"/>
      <c r="BQ90" s="161"/>
      <c r="BR90" s="161"/>
      <c r="BS90" s="161">
        <f>SUM(BT90:BV90)</f>
      </c>
      <c r="BT90" s="161"/>
      <c r="BU90" s="161"/>
      <c r="BV90" s="161"/>
      <c r="BW90" s="161">
        <f>SUM(BX90:CC90)</f>
      </c>
      <c r="BX90" s="161"/>
      <c r="BY90" s="161"/>
      <c r="BZ90" s="161"/>
      <c r="CA90" s="161"/>
      <c r="CB90" s="161"/>
      <c r="CC90" s="161"/>
      <c r="CD90" s="161"/>
      <c r="CE90" s="161"/>
      <c r="CF90" s="161"/>
      <c r="CG90" s="161"/>
      <c r="CH90" s="161"/>
      <c r="CI90" s="161"/>
      <c r="CJ90" s="161">
        <f>SUM(CK90:CM90)</f>
      </c>
      <c r="CK90" s="161"/>
      <c r="CL90" s="161"/>
      <c r="CM90" s="161"/>
      <c r="CN90" s="161">
        <f>SUM(CO90:CS90)</f>
      </c>
      <c r="CO90" s="161"/>
      <c r="CP90" s="161"/>
      <c r="CQ90" s="161"/>
      <c r="CR90" s="161"/>
      <c r="CS90" s="161"/>
      <c r="CT90" s="161"/>
      <c r="CU90" s="161"/>
      <c r="CV90" s="161"/>
      <c r="CW90" s="161"/>
      <c r="CX90" s="161"/>
      <c r="CY90" s="161"/>
      <c r="CZ90" s="161"/>
      <c r="DA90" s="161"/>
      <c r="DB90" s="161"/>
      <c r="DC90" s="161"/>
      <c r="DD90" s="161"/>
      <c r="DE90" s="161"/>
      <c r="DF90" s="161">
        <f>SUM(DG90:DG90)</f>
      </c>
      <c r="DG90" s="161"/>
      <c r="DH90" s="161"/>
      <c r="DI90" s="161"/>
      <c r="DJ90" s="161">
        <f>SUM(DK90:DP90)</f>
      </c>
      <c r="DK90" s="161"/>
      <c r="DL90" s="161"/>
      <c r="DM90" s="161"/>
      <c r="DN90" s="161"/>
      <c r="DO90" s="161"/>
      <c r="DP90" s="161"/>
      <c r="DQ90" s="161"/>
      <c r="DR90" s="161"/>
      <c r="DS90" s="161"/>
      <c r="DT90" s="161"/>
      <c r="DU90" s="161"/>
      <c r="DV90" s="161"/>
      <c r="DW90" s="161"/>
      <c r="DX90" s="161"/>
      <c r="DY90" s="161"/>
      <c r="DZ90" s="161"/>
      <c r="EA90" s="161"/>
      <c r="EB90" s="161"/>
      <c r="EC90" s="161"/>
      <c r="ED90" s="161"/>
      <c r="EE90" s="161"/>
      <c r="EF90" s="161">
        <f>SUM(EG90:EP90)</f>
      </c>
      <c r="EG90" s="161"/>
      <c r="EH90" s="161"/>
      <c r="EI90" s="161"/>
      <c r="EJ90" s="161"/>
      <c r="EK90" s="161"/>
      <c r="EL90" s="161"/>
      <c r="EM90" s="161"/>
      <c r="EN90" s="161"/>
      <c r="EO90" s="161"/>
      <c r="EP90" s="161"/>
      <c r="EQ90" s="161">
        <f>SUM(ER90:ES90)</f>
      </c>
      <c r="ER90" s="161"/>
      <c r="ES90" s="161"/>
      <c r="ET90" s="161"/>
      <c r="EU90" s="161"/>
      <c r="EV90" s="161"/>
      <c r="EW90" s="161"/>
      <c r="EX90" s="161"/>
      <c r="EY90" s="161"/>
      <c r="EZ90" s="161"/>
      <c r="FA90" s="161"/>
      <c r="FB90" s="161"/>
      <c r="FC90" s="161"/>
      <c r="FD90" s="161"/>
      <c r="FE90" s="161"/>
      <c r="FF90" s="161"/>
      <c r="FG90" s="161"/>
      <c r="FH90" s="163" cm="1">
        <f t="array" ref="FH90">ROW()-ROW(Ongoing[#Headers])</f>
        <v>84</v>
      </c>
      <c r="FI90" s="164" t="s">
        <v>935</v>
      </c>
      <c r="FJ90" s="164" t="s">
        <v>755</v>
      </c>
      <c r="FK90" s="164">
        <v>0</v>
      </c>
      <c r="FL90" s="164" t="s">
        <v>936</v>
      </c>
      <c r="FM90" s="164">
        <v>0</v>
      </c>
      <c r="FN90" s="164" t="s">
        <v>757</v>
      </c>
      <c r="FO90" s="164" t="s">
        <v>937</v>
      </c>
      <c r="FP90" s="164" t="s">
        <v>759</v>
      </c>
    </row>
    <row r="91" spans="2:172" s="115" customFormat="1" ht="11.25" x14ac:dyDescent="0.2">
      <c r="B91" s="3630" t="s">
        <v>962</v>
      </c>
      <c r="C91" s="3631" t="s">
        <v>2040</v>
      </c>
      <c r="D91" s="3632" t="s">
        <v>35</v>
      </c>
      <c r="E91" s="3633" t="s">
        <v>898</v>
      </c>
      <c r="F91" s="3634" t="s">
        <v>1597</v>
      </c>
      <c r="G91" s="3635" t="s">
        <v>49</v>
      </c>
      <c r="H91" s="3636" t="s">
        <v>43</v>
      </c>
      <c r="I91" s="3637" t="s">
        <v>71</v>
      </c>
      <c r="J91" s="3638" t="s">
        <v>791</v>
      </c>
      <c r="K91" s="3639" t="s">
        <v>787</v>
      </c>
      <c r="L91" s="3640" t="s">
        <v>305</v>
      </c>
      <c r="M91" s="3641" t="s">
        <v>3873</v>
      </c>
      <c r="N91" s="3642" t="s">
        <v>3871</v>
      </c>
      <c r="O91" s="148"/>
      <c r="P91" s="161">
        <f>SUM(Q91:AP91)</f>
      </c>
      <c r="Q91" s="161"/>
      <c r="R91" s="161"/>
      <c r="S91" s="161"/>
      <c r="T91" s="161"/>
      <c r="U91" s="161"/>
      <c r="V91" s="161"/>
      <c r="W91" s="161"/>
      <c r="X91" s="161"/>
      <c r="Y91" s="161"/>
      <c r="Z91" s="161"/>
      <c r="AA91" s="161"/>
      <c r="AB91" s="161"/>
      <c r="AC91" s="161"/>
      <c r="AD91" s="161"/>
      <c r="AE91" s="161"/>
      <c r="AF91" s="161"/>
      <c r="AG91" s="161"/>
      <c r="AH91" s="3643" t="n">
        <v>1190.0</v>
      </c>
      <c r="AI91" s="161"/>
      <c r="AJ91" s="161"/>
      <c r="AK91" s="161"/>
      <c r="AL91" s="161"/>
      <c r="AM91" s="161"/>
      <c r="AN91" s="161"/>
      <c r="AO91" s="161"/>
      <c r="AP91" s="161"/>
      <c r="AQ91" s="161">
        <f>SUM(AR91:AU91)</f>
      </c>
      <c r="AR91" s="161"/>
      <c r="AS91" s="161"/>
      <c r="AT91" s="161"/>
      <c r="AU91" s="161"/>
      <c r="AV91" s="161">
        <f>SUM(AW91:BH91)</f>
      </c>
      <c r="AW91" s="161"/>
      <c r="AX91" s="161"/>
      <c r="AY91" s="161"/>
      <c r="AZ91" s="161"/>
      <c r="BA91" s="161"/>
      <c r="BB91" s="161"/>
      <c r="BC91" s="161"/>
      <c r="BD91" s="161"/>
      <c r="BE91" s="161"/>
      <c r="BF91" s="161"/>
      <c r="BG91" s="161"/>
      <c r="BH91" s="161"/>
      <c r="BI91" s="161"/>
      <c r="BJ91" s="161"/>
      <c r="BK91" s="161"/>
      <c r="BL91" s="161"/>
      <c r="BM91" s="161"/>
      <c r="BN91" s="161"/>
      <c r="BO91" s="161"/>
      <c r="BP91" s="161"/>
      <c r="BQ91" s="161"/>
      <c r="BR91" s="161"/>
      <c r="BS91" s="161">
        <f>SUM(BT91:BV91)</f>
      </c>
      <c r="BT91" s="161"/>
      <c r="BU91" s="161"/>
      <c r="BV91" s="161"/>
      <c r="BW91" s="161">
        <f>SUM(BX91:CC91)</f>
      </c>
      <c r="BX91" s="161"/>
      <c r="BY91" s="161"/>
      <c r="BZ91" s="161"/>
      <c r="CA91" s="161"/>
      <c r="CB91" s="161"/>
      <c r="CC91" s="161"/>
      <c r="CD91" s="161"/>
      <c r="CE91" s="161"/>
      <c r="CF91" s="161"/>
      <c r="CG91" s="161"/>
      <c r="CH91" s="161"/>
      <c r="CI91" s="161"/>
      <c r="CJ91" s="161">
        <f>SUM(CK91:CM91)</f>
      </c>
      <c r="CK91" s="161"/>
      <c r="CL91" s="161"/>
      <c r="CM91" s="161"/>
      <c r="CN91" s="161">
        <f>SUM(CO91:CS91)</f>
      </c>
      <c r="CO91" s="161"/>
      <c r="CP91" s="161"/>
      <c r="CQ91" s="161"/>
      <c r="CR91" s="161"/>
      <c r="CS91" s="161"/>
      <c r="CT91" s="161"/>
      <c r="CU91" s="161"/>
      <c r="CV91" s="161"/>
      <c r="CW91" s="161"/>
      <c r="CX91" s="161"/>
      <c r="CY91" s="161"/>
      <c r="CZ91" s="161"/>
      <c r="DA91" s="161"/>
      <c r="DB91" s="161"/>
      <c r="DC91" s="161"/>
      <c r="DD91" s="161"/>
      <c r="DE91" s="161"/>
      <c r="DF91" s="161">
        <f>SUM(DG91:DG91)</f>
      </c>
      <c r="DG91" s="161"/>
      <c r="DH91" s="161"/>
      <c r="DI91" s="161"/>
      <c r="DJ91" s="161">
        <f>SUM(DK91:DP91)</f>
      </c>
      <c r="DK91" s="161"/>
      <c r="DL91" s="161"/>
      <c r="DM91" s="161"/>
      <c r="DN91" s="161"/>
      <c r="DO91" s="161"/>
      <c r="DP91" s="161"/>
      <c r="DQ91" s="161"/>
      <c r="DR91" s="161"/>
      <c r="DS91" s="161"/>
      <c r="DT91" s="161"/>
      <c r="DU91" s="161"/>
      <c r="DV91" s="161"/>
      <c r="DW91" s="161"/>
      <c r="DX91" s="161"/>
      <c r="DY91" s="161"/>
      <c r="DZ91" s="161"/>
      <c r="EA91" s="161"/>
      <c r="EB91" s="161"/>
      <c r="EC91" s="161"/>
      <c r="ED91" s="161"/>
      <c r="EE91" s="161"/>
      <c r="EF91" s="161">
        <f>SUM(EG91:EP91)</f>
      </c>
      <c r="EG91" s="161"/>
      <c r="EH91" s="161"/>
      <c r="EI91" s="161"/>
      <c r="EJ91" s="161"/>
      <c r="EK91" s="161"/>
      <c r="EL91" s="161"/>
      <c r="EM91" s="161"/>
      <c r="EN91" s="161"/>
      <c r="EO91" s="161"/>
      <c r="EP91" s="161"/>
      <c r="EQ91" s="161">
        <f>SUM(ER91:ES91)</f>
      </c>
      <c r="ER91" s="161"/>
      <c r="ES91" s="161"/>
      <c r="ET91" s="161"/>
      <c r="EU91" s="161"/>
      <c r="EV91" s="161"/>
      <c r="EW91" s="161"/>
      <c r="EX91" s="161"/>
      <c r="EY91" s="161"/>
      <c r="EZ91" s="161"/>
      <c r="FA91" s="161"/>
      <c r="FB91" s="161"/>
      <c r="FC91" s="161"/>
      <c r="FD91" s="161"/>
      <c r="FE91" s="161"/>
      <c r="FF91" s="161"/>
      <c r="FG91" s="161"/>
      <c r="FH91" s="163" cm="1">
        <f t="array" ref="FH91">ROW()-ROW(Ongoing[#Headers])</f>
        <v>85</v>
      </c>
      <c r="FI91" s="164" t="s">
        <v>935</v>
      </c>
      <c r="FJ91" s="164" t="s">
        <v>755</v>
      </c>
      <c r="FK91" s="164">
        <v>0</v>
      </c>
      <c r="FL91" s="164" t="s">
        <v>936</v>
      </c>
      <c r="FM91" s="164">
        <v>0</v>
      </c>
      <c r="FN91" s="164" t="s">
        <v>757</v>
      </c>
      <c r="FO91" s="164" t="s">
        <v>937</v>
      </c>
      <c r="FP91" s="164" t="s">
        <v>759</v>
      </c>
    </row>
    <row r="92" spans="2:172" s="115" customFormat="1" ht="11.25" x14ac:dyDescent="0.2">
      <c r="B92" s="3675" t="s">
        <v>881</v>
      </c>
      <c r="C92" s="3676" t="s">
        <v>882</v>
      </c>
      <c r="D92" s="3677" t="s">
        <v>13</v>
      </c>
      <c r="E92" s="3678" t="s">
        <v>810</v>
      </c>
      <c r="F92" s="3679" t="s">
        <v>305</v>
      </c>
      <c r="G92" s="3680" t="s">
        <v>46</v>
      </c>
      <c r="H92" s="3681" t="s">
        <v>41</v>
      </c>
      <c r="I92" s="3682" t="s">
        <v>71</v>
      </c>
      <c r="J92" s="3683" t="s">
        <v>820</v>
      </c>
      <c r="K92" s="3684" t="s">
        <v>779</v>
      </c>
      <c r="L92" s="3685" t="s">
        <v>305</v>
      </c>
      <c r="M92" s="3686" t="s">
        <v>3873</v>
      </c>
      <c r="N92" s="3687" t="s">
        <v>3871</v>
      </c>
      <c r="O92" s="148"/>
      <c r="P92" s="161">
        <f>SUM(Q92:AP92)</f>
      </c>
      <c r="Q92" s="161"/>
      <c r="R92" s="161"/>
      <c r="S92" s="161"/>
      <c r="T92" s="161"/>
      <c r="U92" s="161"/>
      <c r="V92" s="3688" t="n">
        <v>40.0</v>
      </c>
      <c r="W92" s="161"/>
      <c r="X92" s="161"/>
      <c r="Y92" s="161"/>
      <c r="Z92" s="161"/>
      <c r="AA92" s="161"/>
      <c r="AB92" s="161"/>
      <c r="AC92" s="161"/>
      <c r="AD92" s="161"/>
      <c r="AE92" s="161"/>
      <c r="AF92" s="161"/>
      <c r="AG92" s="161"/>
      <c r="AH92" s="3689" t="n">
        <v>100.0</v>
      </c>
      <c r="AI92" s="161"/>
      <c r="AJ92" s="161"/>
      <c r="AK92" s="161"/>
      <c r="AL92" s="161"/>
      <c r="AM92" s="161"/>
      <c r="AN92" s="161"/>
      <c r="AO92" s="161"/>
      <c r="AP92" s="161"/>
      <c r="AQ92" s="161">
        <f>SUM(AR92:AU92)</f>
      </c>
      <c r="AR92" s="161"/>
      <c r="AS92" s="161"/>
      <c r="AT92" s="161"/>
      <c r="AU92" s="161"/>
      <c r="AV92" s="161">
        <f>SUM(AW92:BH92)</f>
      </c>
      <c r="AW92" s="161"/>
      <c r="AX92" s="161"/>
      <c r="AY92" s="161"/>
      <c r="AZ92" s="161"/>
      <c r="BA92" s="161"/>
      <c r="BB92" s="161"/>
      <c r="BC92" s="161"/>
      <c r="BD92" s="161"/>
      <c r="BE92" s="161"/>
      <c r="BF92" s="161"/>
      <c r="BG92" s="161"/>
      <c r="BH92" s="161"/>
      <c r="BI92" s="161"/>
      <c r="BJ92" s="161"/>
      <c r="BK92" s="161"/>
      <c r="BL92" s="161"/>
      <c r="BM92" s="161"/>
      <c r="BN92" s="161"/>
      <c r="BO92" s="161"/>
      <c r="BP92" s="161"/>
      <c r="BQ92" s="161"/>
      <c r="BR92" s="161"/>
      <c r="BS92" s="161">
        <f>SUM(BT92:BV92)</f>
      </c>
      <c r="BT92" s="161"/>
      <c r="BU92" s="161"/>
      <c r="BV92" s="161"/>
      <c r="BW92" s="161">
        <f>SUM(BX92:CC92)</f>
      </c>
      <c r="BX92" s="161"/>
      <c r="BY92" s="161"/>
      <c r="BZ92" s="161"/>
      <c r="CA92" s="161"/>
      <c r="CB92" s="161"/>
      <c r="CC92" s="161"/>
      <c r="CD92" s="161"/>
      <c r="CE92" s="161"/>
      <c r="CF92" s="161"/>
      <c r="CG92" s="161"/>
      <c r="CH92" s="161"/>
      <c r="CI92" s="161"/>
      <c r="CJ92" s="161">
        <f>SUM(CK92:CM92)</f>
      </c>
      <c r="CK92" s="161"/>
      <c r="CL92" s="161"/>
      <c r="CM92" s="161"/>
      <c r="CN92" s="161">
        <f>SUM(CO92:CS92)</f>
      </c>
      <c r="CO92" s="161"/>
      <c r="CP92" s="161"/>
      <c r="CQ92" s="161"/>
      <c r="CR92" s="161"/>
      <c r="CS92" s="161"/>
      <c r="CT92" s="161"/>
      <c r="CU92" s="161"/>
      <c r="CV92" s="161"/>
      <c r="CW92" s="161"/>
      <c r="CX92" s="161"/>
      <c r="CY92" s="161"/>
      <c r="CZ92" s="161"/>
      <c r="DA92" s="161"/>
      <c r="DB92" s="161"/>
      <c r="DC92" s="161"/>
      <c r="DD92" s="161"/>
      <c r="DE92" s="161"/>
      <c r="DF92" s="161">
        <f>SUM(DG92:DG92)</f>
      </c>
      <c r="DG92" s="161"/>
      <c r="DH92" s="161"/>
      <c r="DI92" s="161"/>
      <c r="DJ92" s="161">
        <f>SUM(DK92:DP92)</f>
      </c>
      <c r="DK92" s="161"/>
      <c r="DL92" s="161"/>
      <c r="DM92" s="161"/>
      <c r="DN92" s="161"/>
      <c r="DO92" s="161"/>
      <c r="DP92" s="161"/>
      <c r="DQ92" s="161"/>
      <c r="DR92" s="161"/>
      <c r="DS92" s="161"/>
      <c r="DT92" s="161"/>
      <c r="DU92" s="161"/>
      <c r="DV92" s="161"/>
      <c r="DW92" s="161"/>
      <c r="DX92" s="161"/>
      <c r="DY92" s="161"/>
      <c r="DZ92" s="161"/>
      <c r="EA92" s="161"/>
      <c r="EB92" s="161"/>
      <c r="EC92" s="161"/>
      <c r="ED92" s="161"/>
      <c r="EE92" s="161"/>
      <c r="EF92" s="161">
        <f>SUM(EG92:EP92)</f>
      </c>
      <c r="EG92" s="161"/>
      <c r="EH92" s="161"/>
      <c r="EI92" s="161"/>
      <c r="EJ92" s="161"/>
      <c r="EK92" s="161"/>
      <c r="EL92" s="161"/>
      <c r="EM92" s="161"/>
      <c r="EN92" s="161"/>
      <c r="EO92" s="161"/>
      <c r="EP92" s="161"/>
      <c r="EQ92" s="161">
        <f>SUM(ER92:ES92)</f>
      </c>
      <c r="ER92" s="161"/>
      <c r="ES92" s="161"/>
      <c r="ET92" s="161"/>
      <c r="EU92" s="161"/>
      <c r="EV92" s="161"/>
      <c r="EW92" s="161"/>
      <c r="EX92" s="161"/>
      <c r="EY92" s="161"/>
      <c r="EZ92" s="161"/>
      <c r="FA92" s="161"/>
      <c r="FB92" s="161"/>
      <c r="FC92" s="161"/>
      <c r="FD92" s="161"/>
      <c r="FE92" s="161"/>
      <c r="FF92" s="161"/>
      <c r="FG92" s="161"/>
      <c r="FH92" s="163" cm="1">
        <f t="array" ref="FH92">ROW()-ROW(Ongoing[#Headers])</f>
        <v>86</v>
      </c>
      <c r="FI92" s="164" t="s">
        <v>957</v>
      </c>
      <c r="FJ92" s="164" t="s">
        <v>755</v>
      </c>
      <c r="FK92" s="164">
        <v>0</v>
      </c>
      <c r="FL92" s="164" t="s">
        <v>789</v>
      </c>
      <c r="FM92" s="164">
        <v>0</v>
      </c>
      <c r="FN92" s="164" t="s">
        <v>757</v>
      </c>
      <c r="FO92" s="164" t="s">
        <v>937</v>
      </c>
      <c r="FP92" s="164" t="s">
        <v>759</v>
      </c>
    </row>
    <row r="93" spans="2:172" s="115" customFormat="1" ht="11.25" x14ac:dyDescent="0.2">
      <c r="B93" s="3707" t="s">
        <v>1455</v>
      </c>
      <c r="C93" s="3708" t="s">
        <v>3829</v>
      </c>
      <c r="D93" s="3709" t="s">
        <v>13</v>
      </c>
      <c r="E93" s="3710" t="s">
        <v>810</v>
      </c>
      <c r="F93" s="3711" t="s">
        <v>345</v>
      </c>
      <c r="G93" s="3712" t="s">
        <v>46</v>
      </c>
      <c r="H93" s="3713" t="s">
        <v>41</v>
      </c>
      <c r="I93" s="3714" t="s">
        <v>71</v>
      </c>
      <c r="J93" s="3715" t="s">
        <v>880</v>
      </c>
      <c r="K93" s="3716" t="s">
        <v>787</v>
      </c>
      <c r="L93" s="3717" t="s">
        <v>1615</v>
      </c>
      <c r="M93" s="3718" t="s">
        <v>3873</v>
      </c>
      <c r="N93" s="3719" t="s">
        <v>3871</v>
      </c>
      <c r="O93" s="148"/>
      <c r="P93" s="161">
        <f>SUM(Q93:AP93)</f>
      </c>
      <c r="Q93" s="161"/>
      <c r="R93" s="161"/>
      <c r="S93" s="161"/>
      <c r="T93" s="161"/>
      <c r="U93" s="161"/>
      <c r="V93" s="3720" t="n">
        <v>520.0</v>
      </c>
      <c r="W93" s="161"/>
      <c r="X93" s="161"/>
      <c r="Y93" s="161"/>
      <c r="Z93" s="161"/>
      <c r="AA93" s="161"/>
      <c r="AB93" s="161"/>
      <c r="AC93" s="161"/>
      <c r="AD93" s="161"/>
      <c r="AE93" s="161"/>
      <c r="AF93" s="161"/>
      <c r="AG93" s="161"/>
      <c r="AH93" s="161"/>
      <c r="AI93" s="161"/>
      <c r="AJ93" s="161"/>
      <c r="AK93" s="161"/>
      <c r="AL93" s="161"/>
      <c r="AM93" s="161"/>
      <c r="AN93" s="161"/>
      <c r="AO93" s="161"/>
      <c r="AP93" s="161"/>
      <c r="AQ93" s="161">
        <f>SUM(AR93:AU93)</f>
      </c>
      <c r="AR93" s="161"/>
      <c r="AS93" s="161"/>
      <c r="AT93" s="161"/>
      <c r="AU93" s="161"/>
      <c r="AV93" s="161">
        <f>SUM(AW93:BH93)</f>
      </c>
      <c r="AW93" s="161"/>
      <c r="AX93" s="161"/>
      <c r="AY93" s="161"/>
      <c r="AZ93" s="161"/>
      <c r="BA93" s="161"/>
      <c r="BB93" s="161"/>
      <c r="BC93" s="161"/>
      <c r="BD93" s="161"/>
      <c r="BE93" s="161"/>
      <c r="BF93" s="161"/>
      <c r="BG93" s="161"/>
      <c r="BH93" s="161"/>
      <c r="BI93" s="161"/>
      <c r="BJ93" s="161"/>
      <c r="BK93" s="161"/>
      <c r="BL93" s="161"/>
      <c r="BM93" s="161"/>
      <c r="BN93" s="161"/>
      <c r="BO93" s="161"/>
      <c r="BP93" s="161"/>
      <c r="BQ93" s="161"/>
      <c r="BR93" s="161"/>
      <c r="BS93" s="161">
        <f>SUM(BT93:BV93)</f>
      </c>
      <c r="BT93" s="161"/>
      <c r="BU93" s="161"/>
      <c r="BV93" s="161"/>
      <c r="BW93" s="161">
        <f>SUM(BX93:CC93)</f>
      </c>
      <c r="BX93" s="161"/>
      <c r="BY93" s="161"/>
      <c r="BZ93" s="161"/>
      <c r="CA93" s="161"/>
      <c r="CB93" s="161"/>
      <c r="CC93" s="161"/>
      <c r="CD93" s="161"/>
      <c r="CE93" s="161"/>
      <c r="CF93" s="161"/>
      <c r="CG93" s="161"/>
      <c r="CH93" s="161"/>
      <c r="CI93" s="161"/>
      <c r="CJ93" s="161">
        <f>SUM(CK93:CM93)</f>
      </c>
      <c r="CK93" s="161"/>
      <c r="CL93" s="161"/>
      <c r="CM93" s="161"/>
      <c r="CN93" s="161">
        <f>SUM(CO93:CS93)</f>
      </c>
      <c r="CO93" s="161"/>
      <c r="CP93" s="161"/>
      <c r="CQ93" s="161"/>
      <c r="CR93" s="161"/>
      <c r="CS93" s="161"/>
      <c r="CT93" s="161"/>
      <c r="CU93" s="161"/>
      <c r="CV93" s="161"/>
      <c r="CW93" s="161"/>
      <c r="CX93" s="161"/>
      <c r="CY93" s="161"/>
      <c r="CZ93" s="161"/>
      <c r="DA93" s="161"/>
      <c r="DB93" s="161"/>
      <c r="DC93" s="161"/>
      <c r="DD93" s="161"/>
      <c r="DE93" s="161"/>
      <c r="DF93" s="161">
        <f>SUM(DG93:DG93)</f>
      </c>
      <c r="DG93" s="161"/>
      <c r="DH93" s="161"/>
      <c r="DI93" s="161"/>
      <c r="DJ93" s="161">
        <f>SUM(DK93:DP93)</f>
      </c>
      <c r="DK93" s="161"/>
      <c r="DL93" s="3721" t="n">
        <v>70.0</v>
      </c>
      <c r="DM93" s="161"/>
      <c r="DN93" s="161"/>
      <c r="DO93" s="161"/>
      <c r="DP93" s="161"/>
      <c r="DQ93" s="161"/>
      <c r="DR93" s="161"/>
      <c r="DS93" s="161"/>
      <c r="DT93" s="161"/>
      <c r="DU93" s="161"/>
      <c r="DV93" s="161"/>
      <c r="DW93" s="161"/>
      <c r="DX93" s="161"/>
      <c r="DY93" s="161"/>
      <c r="DZ93" s="161"/>
      <c r="EA93" s="161"/>
      <c r="EB93" s="161"/>
      <c r="EC93" s="161"/>
      <c r="ED93" s="161"/>
      <c r="EE93" s="161"/>
      <c r="EF93" s="161">
        <f>SUM(EG93:EP93)</f>
      </c>
      <c r="EG93" s="161"/>
      <c r="EH93" s="161"/>
      <c r="EI93" s="161"/>
      <c r="EJ93" s="161"/>
      <c r="EK93" s="161"/>
      <c r="EL93" s="161"/>
      <c r="EM93" s="161"/>
      <c r="EN93" s="161"/>
      <c r="EO93" s="161"/>
      <c r="EP93" s="161"/>
      <c r="EQ93" s="161">
        <f>SUM(ER93:ES93)</f>
      </c>
      <c r="ER93" s="161"/>
      <c r="ES93" s="161"/>
      <c r="ET93" s="161"/>
      <c r="EU93" s="161"/>
      <c r="EV93" s="161"/>
      <c r="EW93" s="161"/>
      <c r="EX93" s="161"/>
      <c r="EY93" s="161"/>
      <c r="EZ93" s="161"/>
      <c r="FA93" s="161"/>
      <c r="FB93" s="161"/>
      <c r="FC93" s="161"/>
      <c r="FD93" s="161"/>
      <c r="FE93" s="161"/>
      <c r="FF93" s="161"/>
      <c r="FG93" s="161"/>
      <c r="FH93" s="163" cm="1">
        <f t="array" ref="FH93">ROW()-ROW(Ongoing[#Headers])</f>
        <v>87</v>
      </c>
      <c r="FI93" s="164" t="s">
        <v>957</v>
      </c>
      <c r="FJ93" s="164" t="s">
        <v>755</v>
      </c>
      <c r="FK93" s="164">
        <v>0</v>
      </c>
      <c r="FL93" s="164" t="s">
        <v>789</v>
      </c>
      <c r="FM93" s="164">
        <v>0</v>
      </c>
      <c r="FN93" s="164" t="s">
        <v>757</v>
      </c>
      <c r="FO93" s="164" t="s">
        <v>937</v>
      </c>
      <c r="FP93" s="164" t="s">
        <v>759</v>
      </c>
    </row>
    <row r="94" spans="2:172" s="115" customFormat="1" ht="11.25" x14ac:dyDescent="0.2">
      <c r="B94" s="3812" t="s">
        <v>1088</v>
      </c>
      <c r="C94" s="3813" t="s">
        <v>1107</v>
      </c>
      <c r="D94" s="3814" t="s">
        <v>13</v>
      </c>
      <c r="E94" s="3815" t="s">
        <v>750</v>
      </c>
      <c r="F94" s="3816" t="s">
        <v>1597</v>
      </c>
      <c r="G94" s="3817" t="s">
        <v>46</v>
      </c>
      <c r="H94" s="3818" t="s">
        <v>41</v>
      </c>
      <c r="I94" s="3819" t="s">
        <v>64</v>
      </c>
      <c r="J94" s="3820" t="s">
        <v>1679</v>
      </c>
      <c r="K94" s="3821" t="s">
        <v>751</v>
      </c>
      <c r="L94" s="3822" t="s">
        <v>305</v>
      </c>
      <c r="M94" s="3823" t="s">
        <v>3870</v>
      </c>
      <c r="N94" s="3824" t="s">
        <v>3871</v>
      </c>
      <c r="O94" s="148"/>
      <c r="P94" s="161">
        <f>SUM(Q94:AP94)</f>
      </c>
      <c r="Q94" s="161"/>
      <c r="R94" s="161"/>
      <c r="S94" s="3825" t="n">
        <v>300.0</v>
      </c>
      <c r="T94" s="161"/>
      <c r="U94" s="161"/>
      <c r="V94" s="161"/>
      <c r="W94" s="161"/>
      <c r="X94" s="161"/>
      <c r="Y94" s="161"/>
      <c r="Z94" s="161"/>
      <c r="AA94" s="161"/>
      <c r="AB94" s="161"/>
      <c r="AC94" s="161"/>
      <c r="AD94" s="161"/>
      <c r="AE94" s="161"/>
      <c r="AF94" s="161"/>
      <c r="AG94" s="161"/>
      <c r="AH94" s="161"/>
      <c r="AI94" s="161"/>
      <c r="AJ94" s="161"/>
      <c r="AK94" s="161"/>
      <c r="AL94" s="161"/>
      <c r="AM94" s="161"/>
      <c r="AN94" s="161"/>
      <c r="AO94" s="161"/>
      <c r="AP94" s="161"/>
      <c r="AQ94" s="161">
        <f>SUM(AR94:AU94)</f>
      </c>
      <c r="AR94" s="161"/>
      <c r="AS94" s="161"/>
      <c r="AT94" s="161"/>
      <c r="AU94" s="161"/>
      <c r="AV94" s="161">
        <f>SUM(AW94:BH94)</f>
      </c>
      <c r="AW94" s="161"/>
      <c r="AX94" s="161"/>
      <c r="AY94" s="161"/>
      <c r="AZ94" s="161"/>
      <c r="BA94" s="161"/>
      <c r="BB94" s="161"/>
      <c r="BC94" s="161"/>
      <c r="BD94" s="161"/>
      <c r="BE94" s="161"/>
      <c r="BF94" s="161"/>
      <c r="BG94" s="161"/>
      <c r="BH94" s="161"/>
      <c r="BI94" s="161"/>
      <c r="BJ94" s="161"/>
      <c r="BK94" s="161"/>
      <c r="BL94" s="161"/>
      <c r="BM94" s="161"/>
      <c r="BN94" s="161"/>
      <c r="BO94" s="161"/>
      <c r="BP94" s="161"/>
      <c r="BQ94" s="161"/>
      <c r="BR94" s="161"/>
      <c r="BS94" s="161">
        <f>SUM(BT94:BV94)</f>
      </c>
      <c r="BT94" s="161"/>
      <c r="BU94" s="161"/>
      <c r="BV94" s="161"/>
      <c r="BW94" s="161">
        <f>SUM(BX94:CC94)</f>
      </c>
      <c r="BX94" s="161"/>
      <c r="BY94" s="161"/>
      <c r="BZ94" s="161"/>
      <c r="CA94" s="161"/>
      <c r="CB94" s="161"/>
      <c r="CC94" s="161"/>
      <c r="CD94" s="161"/>
      <c r="CE94" s="161"/>
      <c r="CF94" s="161"/>
      <c r="CG94" s="161"/>
      <c r="CH94" s="161"/>
      <c r="CI94" s="161"/>
      <c r="CJ94" s="161">
        <f>SUM(CK94:CM94)</f>
      </c>
      <c r="CK94" s="161"/>
      <c r="CL94" s="161"/>
      <c r="CM94" s="161"/>
      <c r="CN94" s="161">
        <f>SUM(CO94:CS94)</f>
      </c>
      <c r="CO94" s="161"/>
      <c r="CP94" s="161"/>
      <c r="CQ94" s="161"/>
      <c r="CR94" s="161"/>
      <c r="CS94" s="161"/>
      <c r="CT94" s="161"/>
      <c r="CU94" s="161"/>
      <c r="CV94" s="161"/>
      <c r="CW94" s="161"/>
      <c r="CX94" s="161"/>
      <c r="CY94" s="161"/>
      <c r="CZ94" s="161"/>
      <c r="DA94" s="161"/>
      <c r="DB94" s="161"/>
      <c r="DC94" s="161"/>
      <c r="DD94" s="161"/>
      <c r="DE94" s="161"/>
      <c r="DF94" s="161">
        <f>SUM(DG94:DG94)</f>
      </c>
      <c r="DG94" s="161"/>
      <c r="DH94" s="161"/>
      <c r="DI94" s="161"/>
      <c r="DJ94" s="161">
        <f>SUM(DK94:DP94)</f>
      </c>
      <c r="DK94" s="161"/>
      <c r="DL94" s="161"/>
      <c r="DM94" s="161"/>
      <c r="DN94" s="161"/>
      <c r="DO94" s="161"/>
      <c r="DP94" s="161"/>
      <c r="DQ94" s="161"/>
      <c r="DR94" s="161"/>
      <c r="DS94" s="161"/>
      <c r="DT94" s="161"/>
      <c r="DU94" s="161"/>
      <c r="DV94" s="161"/>
      <c r="DW94" s="161"/>
      <c r="DX94" s="161"/>
      <c r="DY94" s="161"/>
      <c r="DZ94" s="161"/>
      <c r="EA94" s="161"/>
      <c r="EB94" s="161"/>
      <c r="EC94" s="161"/>
      <c r="ED94" s="161"/>
      <c r="EE94" s="161"/>
      <c r="EF94" s="161">
        <f>SUM(EG94:EP94)</f>
      </c>
      <c r="EG94" s="161"/>
      <c r="EH94" s="161"/>
      <c r="EI94" s="161"/>
      <c r="EJ94" s="161"/>
      <c r="EK94" s="161"/>
      <c r="EL94" s="161"/>
      <c r="EM94" s="161"/>
      <c r="EN94" s="161"/>
      <c r="EO94" s="161"/>
      <c r="EP94" s="161"/>
      <c r="EQ94" s="161">
        <f>SUM(ER94:ES94)</f>
      </c>
      <c r="ER94" s="161"/>
      <c r="ES94" s="161"/>
      <c r="ET94" s="161"/>
      <c r="EU94" s="161"/>
      <c r="EV94" s="161"/>
      <c r="EW94" s="161"/>
      <c r="EX94" s="161"/>
      <c r="EY94" s="161"/>
      <c r="EZ94" s="161"/>
      <c r="FA94" s="161"/>
      <c r="FB94" s="161"/>
      <c r="FC94" s="161"/>
      <c r="FD94" s="161"/>
      <c r="FE94" s="161"/>
      <c r="FF94" s="161"/>
      <c r="FG94" s="161"/>
      <c r="FH94" s="163" cm="1">
        <f t="array" ref="FH94">ROW()-ROW(Ongoing[#Headers])</f>
        <v>88</v>
      </c>
      <c r="FI94" s="164"/>
      <c r="FJ94" s="164"/>
      <c r="FK94" s="164"/>
      <c r="FL94" s="164"/>
      <c r="FM94" s="164"/>
      <c r="FN94" s="164"/>
      <c r="FO94" s="164"/>
      <c r="FP94" s="164"/>
    </row>
    <row r="95" spans="2:172" s="115" customFormat="1" ht="11.25" x14ac:dyDescent="0.2">
      <c r="B95" s="3826" t="s">
        <v>1291</v>
      </c>
      <c r="C95" s="3827" t="s">
        <v>1292</v>
      </c>
      <c r="D95" s="3828" t="s">
        <v>305</v>
      </c>
      <c r="E95" s="3829" t="s">
        <v>305</v>
      </c>
      <c r="F95" s="3830" t="s">
        <v>305</v>
      </c>
      <c r="G95" s="3831" t="s">
        <v>305</v>
      </c>
      <c r="H95" s="3832" t="s">
        <v>305</v>
      </c>
      <c r="I95" s="3833" t="s">
        <v>305</v>
      </c>
      <c r="J95" s="3834" t="s">
        <v>2071</v>
      </c>
      <c r="K95" s="3835" t="s">
        <v>305</v>
      </c>
      <c r="L95" s="3836" t="s">
        <v>305</v>
      </c>
      <c r="M95" s="3837" t="s">
        <v>3867</v>
      </c>
      <c r="N95" s="3838" t="s">
        <v>3868</v>
      </c>
      <c r="O95" s="148"/>
      <c r="P95" s="161">
        <f>SUM(Q95:AP95)</f>
      </c>
      <c r="Q95" s="161"/>
      <c r="R95" s="161"/>
      <c r="S95" s="161"/>
      <c r="T95" s="161"/>
      <c r="U95" s="161"/>
      <c r="V95" s="161"/>
      <c r="W95" s="161"/>
      <c r="X95" s="161"/>
      <c r="Y95" s="161"/>
      <c r="Z95" s="161"/>
      <c r="AA95" s="161"/>
      <c r="AB95" s="161"/>
      <c r="AC95" s="161"/>
      <c r="AD95" s="161"/>
      <c r="AE95" s="161"/>
      <c r="AF95" s="161"/>
      <c r="AG95" s="161"/>
      <c r="AH95" s="161"/>
      <c r="AI95" s="161"/>
      <c r="AJ95" s="161"/>
      <c r="AK95" s="161"/>
      <c r="AL95" s="161"/>
      <c r="AM95" s="161"/>
      <c r="AN95" s="161"/>
      <c r="AO95" s="161"/>
      <c r="AP95" s="161"/>
      <c r="AQ95" s="161">
        <f>SUM(AR95:AU95)</f>
      </c>
      <c r="AR95" s="161"/>
      <c r="AS95" s="161"/>
      <c r="AT95" s="161"/>
      <c r="AU95" s="161"/>
      <c r="AV95" s="161">
        <f>SUM(AW95:BH95)</f>
      </c>
      <c r="AW95" s="161"/>
      <c r="AX95" s="161"/>
      <c r="AY95" s="161"/>
      <c r="AZ95" s="161"/>
      <c r="BA95" s="161"/>
      <c r="BB95" s="161"/>
      <c r="BC95" s="161"/>
      <c r="BD95" s="161"/>
      <c r="BE95" s="161"/>
      <c r="BF95" s="161"/>
      <c r="BG95" s="161"/>
      <c r="BH95" s="161"/>
      <c r="BI95" s="161"/>
      <c r="BJ95" s="161"/>
      <c r="BK95" s="161"/>
      <c r="BL95" s="161"/>
      <c r="BM95" s="161"/>
      <c r="BN95" s="161"/>
      <c r="BO95" s="161"/>
      <c r="BP95" s="161"/>
      <c r="BQ95" s="161"/>
      <c r="BR95" s="161"/>
      <c r="BS95" s="161">
        <f>SUM(BT95:BV95)</f>
      </c>
      <c r="BT95" s="161"/>
      <c r="BU95" s="161"/>
      <c r="BV95" s="161"/>
      <c r="BW95" s="161">
        <f>SUM(BX95:CC95)</f>
      </c>
      <c r="BX95" s="161"/>
      <c r="BY95" s="161"/>
      <c r="BZ95" s="161"/>
      <c r="CA95" s="161"/>
      <c r="CB95" s="161"/>
      <c r="CC95" s="161"/>
      <c r="CD95" s="161"/>
      <c r="CE95" s="161"/>
      <c r="CF95" s="161"/>
      <c r="CG95" s="161"/>
      <c r="CH95" s="161"/>
      <c r="CI95" s="161"/>
      <c r="CJ95" s="161">
        <f>SUM(CK95:CM95)</f>
      </c>
      <c r="CK95" s="161"/>
      <c r="CL95" s="161"/>
      <c r="CM95" s="161"/>
      <c r="CN95" s="161">
        <f>SUM(CO95:CS95)</f>
      </c>
      <c r="CO95" s="161"/>
      <c r="CP95" s="161"/>
      <c r="CQ95" s="161"/>
      <c r="CR95" s="161"/>
      <c r="CS95" s="161"/>
      <c r="CT95" s="161"/>
      <c r="CU95" s="161"/>
      <c r="CV95" s="161"/>
      <c r="CW95" s="161"/>
      <c r="CX95" s="161"/>
      <c r="CY95" s="161"/>
      <c r="CZ95" s="161"/>
      <c r="DA95" s="161"/>
      <c r="DB95" s="161"/>
      <c r="DC95" s="161"/>
      <c r="DD95" s="161"/>
      <c r="DE95" s="161"/>
      <c r="DF95" s="161">
        <f>SUM(DG95:DG95)</f>
      </c>
      <c r="DG95" s="161"/>
      <c r="DH95" s="161"/>
      <c r="DI95" s="161"/>
      <c r="DJ95" s="161">
        <f>SUM(DK95:DP95)</f>
      </c>
      <c r="DK95" s="161"/>
      <c r="DL95" s="161"/>
      <c r="DM95" s="161"/>
      <c r="DN95" s="161"/>
      <c r="DO95" s="161"/>
      <c r="DP95" s="161"/>
      <c r="DQ95" s="161"/>
      <c r="DR95" s="161"/>
      <c r="DS95" s="161"/>
      <c r="DT95" s="161"/>
      <c r="DU95" s="161"/>
      <c r="DV95" s="161"/>
      <c r="DW95" s="161"/>
      <c r="DX95" s="161"/>
      <c r="DY95" s="161"/>
      <c r="DZ95" s="161"/>
      <c r="EA95" s="161"/>
      <c r="EB95" s="161"/>
      <c r="EC95" s="161"/>
      <c r="ED95" s="161"/>
      <c r="EE95" s="161"/>
      <c r="EF95" s="161">
        <f>SUM(EG95:EP95)</f>
      </c>
      <c r="EG95" s="161"/>
      <c r="EH95" s="161"/>
      <c r="EI95" s="161"/>
      <c r="EJ95" s="161"/>
      <c r="EK95" s="161"/>
      <c r="EL95" s="161"/>
      <c r="EM95" s="161"/>
      <c r="EN95" s="161"/>
      <c r="EO95" s="161"/>
      <c r="EP95" s="161"/>
      <c r="EQ95" s="161">
        <f>SUM(ER95:ES95)</f>
      </c>
      <c r="ER95" s="161"/>
      <c r="ES95" s="161"/>
      <c r="ET95" s="161"/>
      <c r="EU95" s="161"/>
      <c r="EV95" s="161"/>
      <c r="EW95" s="161"/>
      <c r="EX95" s="161"/>
      <c r="EY95" s="161"/>
      <c r="EZ95" s="161"/>
      <c r="FA95" s="161"/>
      <c r="FB95" s="161"/>
      <c r="FC95" s="161"/>
      <c r="FD95" s="161"/>
      <c r="FE95" s="161"/>
      <c r="FF95" s="161"/>
      <c r="FG95" s="161"/>
      <c r="FH95" s="163" cm="1">
        <f t="array" ref="FH95">ROW()-ROW(Ongoing[#Headers])</f>
        <v>89</v>
      </c>
      <c r="FI95" s="164" t="s">
        <v>116</v>
      </c>
      <c r="FJ95" s="164" t="s">
        <v>755</v>
      </c>
      <c r="FK95" s="164">
        <v>0</v>
      </c>
      <c r="FL95" s="164" t="s">
        <v>789</v>
      </c>
      <c r="FM95" s="164" t="s">
        <v>790</v>
      </c>
      <c r="FN95" s="164" t="s">
        <v>782</v>
      </c>
      <c r="FO95" s="164" t="s">
        <v>791</v>
      </c>
      <c r="FP95" s="164" t="s">
        <v>792</v>
      </c>
    </row>
    <row r="96" spans="2:172" s="115" customFormat="1" ht="11.25" x14ac:dyDescent="0.2">
      <c r="B96" s="3839" t="s">
        <v>784</v>
      </c>
      <c r="C96" s="3840" t="s">
        <v>785</v>
      </c>
      <c r="D96" s="3841" t="s">
        <v>35</v>
      </c>
      <c r="E96" s="3842" t="s">
        <v>898</v>
      </c>
      <c r="F96" s="3843" t="s">
        <v>1597</v>
      </c>
      <c r="G96" s="3844" t="s">
        <v>305</v>
      </c>
      <c r="H96" s="3845" t="s">
        <v>43</v>
      </c>
      <c r="I96" s="3846" t="s">
        <v>71</v>
      </c>
      <c r="J96" s="3847" t="s">
        <v>1609</v>
      </c>
      <c r="K96" s="3848" t="s">
        <v>787</v>
      </c>
      <c r="L96" s="3849" t="s">
        <v>1615</v>
      </c>
      <c r="M96" s="3850" t="s">
        <v>3873</v>
      </c>
      <c r="N96" s="3851" t="s">
        <v>3871</v>
      </c>
      <c r="O96" s="148"/>
      <c r="P96" s="161">
        <f>SUM(Q96:AP96)</f>
      </c>
      <c r="Q96" s="161"/>
      <c r="R96" s="161"/>
      <c r="S96" s="3852" t="n">
        <v>520.0</v>
      </c>
      <c r="T96" s="161"/>
      <c r="U96" s="161"/>
      <c r="V96" s="3853" t="n">
        <v>560.0</v>
      </c>
      <c r="W96" s="161"/>
      <c r="X96" s="161"/>
      <c r="Y96" s="161"/>
      <c r="Z96" s="161"/>
      <c r="AA96" s="161"/>
      <c r="AB96" s="161"/>
      <c r="AC96" s="161"/>
      <c r="AD96" s="161"/>
      <c r="AE96" s="161"/>
      <c r="AF96" s="161"/>
      <c r="AG96" s="3854" t="n">
        <v>100.0</v>
      </c>
      <c r="AH96" s="3855" t="n">
        <v>840.0</v>
      </c>
      <c r="AI96" s="161"/>
      <c r="AJ96" s="161"/>
      <c r="AK96" s="161"/>
      <c r="AL96" s="161"/>
      <c r="AM96" s="3856" t="n">
        <v>50.0</v>
      </c>
      <c r="AN96" s="161"/>
      <c r="AO96" s="161"/>
      <c r="AP96" s="161"/>
      <c r="AQ96" s="161">
        <f>SUM(AR96:AU96)</f>
      </c>
      <c r="AR96" s="161"/>
      <c r="AS96" s="161"/>
      <c r="AT96" s="161"/>
      <c r="AU96" s="161"/>
      <c r="AV96" s="161">
        <f>SUM(AW96:BH96)</f>
      </c>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f>SUM(BT96:BV96)</f>
      </c>
      <c r="BT96" s="161"/>
      <c r="BU96" s="161"/>
      <c r="BV96" s="161"/>
      <c r="BW96" s="161">
        <f>SUM(BX96:CC96)</f>
      </c>
      <c r="BX96" s="161"/>
      <c r="BY96" s="161"/>
      <c r="BZ96" s="161"/>
      <c r="CA96" s="161"/>
      <c r="CB96" s="161"/>
      <c r="CC96" s="161"/>
      <c r="CD96" s="161"/>
      <c r="CE96" s="161"/>
      <c r="CF96" s="161"/>
      <c r="CG96" s="161"/>
      <c r="CH96" s="161"/>
      <c r="CI96" s="161"/>
      <c r="CJ96" s="161">
        <f>SUM(CK96:CM96)</f>
      </c>
      <c r="CK96" s="161"/>
      <c r="CL96" s="161"/>
      <c r="CM96" s="161"/>
      <c r="CN96" s="161">
        <f>SUM(CO96:CS96)</f>
      </c>
      <c r="CO96" s="161"/>
      <c r="CP96" s="161"/>
      <c r="CQ96" s="161"/>
      <c r="CR96" s="161"/>
      <c r="CS96" s="161"/>
      <c r="CT96" s="161"/>
      <c r="CU96" s="161"/>
      <c r="CV96" s="161"/>
      <c r="CW96" s="161"/>
      <c r="CX96" s="161"/>
      <c r="CY96" s="161"/>
      <c r="CZ96" s="161"/>
      <c r="DA96" s="161"/>
      <c r="DB96" s="161"/>
      <c r="DC96" s="161"/>
      <c r="DD96" s="161"/>
      <c r="DE96" s="161"/>
      <c r="DF96" s="161">
        <f>SUM(DG96:DG96)</f>
      </c>
      <c r="DG96" s="161"/>
      <c r="DH96" s="161"/>
      <c r="DI96" s="161"/>
      <c r="DJ96" s="161">
        <f>SUM(DK96:DP96)</f>
      </c>
      <c r="DK96" s="161"/>
      <c r="DL96" s="161"/>
      <c r="DM96" s="161"/>
      <c r="DN96" s="161"/>
      <c r="DO96" s="161"/>
      <c r="DP96" s="161"/>
      <c r="DQ96" s="161"/>
      <c r="DR96" s="161"/>
      <c r="DS96" s="161"/>
      <c r="DT96" s="161"/>
      <c r="DU96" s="161"/>
      <c r="DV96" s="161"/>
      <c r="DW96" s="161"/>
      <c r="DX96" s="161"/>
      <c r="DY96" s="161"/>
      <c r="DZ96" s="161"/>
      <c r="EA96" s="161"/>
      <c r="EB96" s="161"/>
      <c r="EC96" s="161"/>
      <c r="ED96" s="161"/>
      <c r="EE96" s="161"/>
      <c r="EF96" s="161">
        <f>SUM(EG96:EP96)</f>
      </c>
      <c r="EG96" s="161"/>
      <c r="EH96" s="161"/>
      <c r="EI96" s="161"/>
      <c r="EJ96" s="161"/>
      <c r="EK96" s="161"/>
      <c r="EL96" s="161"/>
      <c r="EM96" s="161"/>
      <c r="EN96" s="161"/>
      <c r="EO96" s="161"/>
      <c r="EP96" s="161"/>
      <c r="EQ96" s="161">
        <f>SUM(ER96:ES96)</f>
      </c>
      <c r="ER96" s="161"/>
      <c r="ES96" s="161"/>
      <c r="ET96" s="161"/>
      <c r="EU96" s="161"/>
      <c r="EV96" s="161"/>
      <c r="EW96" s="161"/>
      <c r="EX96" s="161"/>
      <c r="EY96" s="161"/>
      <c r="EZ96" s="161"/>
      <c r="FA96" s="161"/>
      <c r="FB96" s="161"/>
      <c r="FC96" s="161"/>
      <c r="FD96" s="161"/>
      <c r="FE96" s="161"/>
      <c r="FF96" s="161"/>
      <c r="FG96" s="161"/>
      <c r="FH96" s="163" cm="1">
        <f t="array" ref="FH96">ROW()-ROW(Ongoing[#Headers])</f>
        <v>90</v>
      </c>
      <c r="FI96" s="164" t="s">
        <v>957</v>
      </c>
      <c r="FJ96" s="164" t="s">
        <v>755</v>
      </c>
      <c r="FK96" s="164">
        <v>0</v>
      </c>
      <c r="FL96" s="164" t="s">
        <v>789</v>
      </c>
      <c r="FM96" s="164">
        <v>0</v>
      </c>
      <c r="FN96" s="164" t="s">
        <v>757</v>
      </c>
      <c r="FO96" s="164" t="s">
        <v>937</v>
      </c>
      <c r="FP96" s="164" t="s">
        <v>759</v>
      </c>
    </row>
    <row r="97" spans="2:172" s="115" customFormat="1" ht="11.25" x14ac:dyDescent="0.2">
      <c r="B97" s="3857" t="s">
        <v>1435</v>
      </c>
      <c r="C97" s="3858" t="s">
        <v>1436</v>
      </c>
      <c r="D97" s="3859" t="s">
        <v>13</v>
      </c>
      <c r="E97" s="3860" t="s">
        <v>766</v>
      </c>
      <c r="F97" s="3861" t="s">
        <v>345</v>
      </c>
      <c r="G97" s="3862" t="s">
        <v>46</v>
      </c>
      <c r="H97" s="3863" t="s">
        <v>41</v>
      </c>
      <c r="I97" s="3864" t="s">
        <v>68</v>
      </c>
      <c r="J97" s="3865" t="s">
        <v>1672</v>
      </c>
      <c r="K97" s="3866" t="s">
        <v>305</v>
      </c>
      <c r="L97" s="3867" t="s">
        <v>305</v>
      </c>
      <c r="M97" s="3868" t="s">
        <v>3873</v>
      </c>
      <c r="N97" s="3869" t="s">
        <v>3871</v>
      </c>
      <c r="O97" s="148"/>
      <c r="P97" s="161">
        <f>SUM(Q97:AP97)</f>
      </c>
      <c r="Q97" s="161"/>
      <c r="R97" s="161"/>
      <c r="S97" s="161"/>
      <c r="T97" s="161"/>
      <c r="U97" s="161"/>
      <c r="V97" s="161"/>
      <c r="W97" s="161"/>
      <c r="X97" s="161"/>
      <c r="Y97" s="161"/>
      <c r="Z97" s="161"/>
      <c r="AA97" s="161"/>
      <c r="AB97" s="161"/>
      <c r="AC97" s="161"/>
      <c r="AD97" s="161"/>
      <c r="AE97" s="161"/>
      <c r="AF97" s="3870" t="n">
        <v>1390.0</v>
      </c>
      <c r="AG97" s="161"/>
      <c r="AH97" s="161"/>
      <c r="AI97" s="161"/>
      <c r="AJ97" s="161"/>
      <c r="AK97" s="161"/>
      <c r="AL97" s="161"/>
      <c r="AM97" s="161"/>
      <c r="AN97" s="3871" t="n">
        <v>100.0</v>
      </c>
      <c r="AO97" s="161"/>
      <c r="AP97" s="161"/>
      <c r="AQ97" s="161">
        <f>SUM(AR97:AU97)</f>
      </c>
      <c r="AR97" s="161"/>
      <c r="AS97" s="161"/>
      <c r="AT97" s="161"/>
      <c r="AU97" s="161"/>
      <c r="AV97" s="161">
        <f>SUM(AW97:BH97)</f>
      </c>
      <c r="AW97" s="161"/>
      <c r="AX97" s="161"/>
      <c r="AY97" s="161"/>
      <c r="AZ97" s="161"/>
      <c r="BA97" s="161"/>
      <c r="BB97" s="161"/>
      <c r="BC97" s="161"/>
      <c r="BD97" s="161"/>
      <c r="BE97" s="161"/>
      <c r="BF97" s="161"/>
      <c r="BG97" s="161"/>
      <c r="BH97" s="161"/>
      <c r="BI97" s="161"/>
      <c r="BJ97" s="161"/>
      <c r="BK97" s="161"/>
      <c r="BL97" s="161"/>
      <c r="BM97" s="161"/>
      <c r="BN97" s="161"/>
      <c r="BO97" s="161"/>
      <c r="BP97" s="161"/>
      <c r="BQ97" s="161"/>
      <c r="BR97" s="161"/>
      <c r="BS97" s="161">
        <f>SUM(BT97:BV97)</f>
      </c>
      <c r="BT97" s="161"/>
      <c r="BU97" s="161"/>
      <c r="BV97" s="161"/>
      <c r="BW97" s="161">
        <f>SUM(BX97:CC97)</f>
      </c>
      <c r="BX97" s="161"/>
      <c r="BY97" s="161"/>
      <c r="BZ97" s="161"/>
      <c r="CA97" s="161"/>
      <c r="CB97" s="161"/>
      <c r="CC97" s="161"/>
      <c r="CD97" s="161"/>
      <c r="CE97" s="161"/>
      <c r="CF97" s="161"/>
      <c r="CG97" s="161"/>
      <c r="CH97" s="161"/>
      <c r="CI97" s="161"/>
      <c r="CJ97" s="161">
        <f>SUM(CK97:CM97)</f>
      </c>
      <c r="CK97" s="161"/>
      <c r="CL97" s="161"/>
      <c r="CM97" s="161"/>
      <c r="CN97" s="161">
        <f>SUM(CO97:CS97)</f>
      </c>
      <c r="CO97" s="161"/>
      <c r="CP97" s="161"/>
      <c r="CQ97" s="161"/>
      <c r="CR97" s="161"/>
      <c r="CS97" s="161"/>
      <c r="CT97" s="161"/>
      <c r="CU97" s="161"/>
      <c r="CV97" s="161"/>
      <c r="CW97" s="161"/>
      <c r="CX97" s="161"/>
      <c r="CY97" s="161"/>
      <c r="CZ97" s="161"/>
      <c r="DA97" s="161"/>
      <c r="DB97" s="161"/>
      <c r="DC97" s="161"/>
      <c r="DD97" s="161"/>
      <c r="DE97" s="161"/>
      <c r="DF97" s="161">
        <f>SUM(DG97:DG97)</f>
      </c>
      <c r="DG97" s="3872" t="n">
        <v>576.0</v>
      </c>
      <c r="DH97" s="161"/>
      <c r="DI97" s="161"/>
      <c r="DJ97" s="161">
        <f>SUM(DK97:DP97)</f>
      </c>
      <c r="DK97" s="161"/>
      <c r="DL97" s="161"/>
      <c r="DM97" s="161"/>
      <c r="DN97" s="161"/>
      <c r="DO97" s="161"/>
      <c r="DP97" s="161"/>
      <c r="DQ97" s="161"/>
      <c r="DR97" s="161"/>
      <c r="DS97" s="161"/>
      <c r="DT97" s="161"/>
      <c r="DU97" s="161"/>
      <c r="DV97" s="161"/>
      <c r="DW97" s="161"/>
      <c r="DX97" s="161"/>
      <c r="DY97" s="161"/>
      <c r="DZ97" s="161"/>
      <c r="EA97" s="161"/>
      <c r="EB97" s="161"/>
      <c r="EC97" s="161"/>
      <c r="ED97" s="161"/>
      <c r="EE97" s="161"/>
      <c r="EF97" s="161">
        <f>SUM(EG97:EP97)</f>
      </c>
      <c r="EG97" s="161"/>
      <c r="EH97" s="161"/>
      <c r="EI97" s="161"/>
      <c r="EJ97" s="161"/>
      <c r="EK97" s="161"/>
      <c r="EL97" s="161"/>
      <c r="EM97" s="161"/>
      <c r="EN97" s="161"/>
      <c r="EO97" s="161"/>
      <c r="EP97" s="161"/>
      <c r="EQ97" s="161">
        <f>SUM(ER97:ES97)</f>
      </c>
      <c r="ER97" s="161"/>
      <c r="ES97" s="161"/>
      <c r="ET97" s="161"/>
      <c r="EU97" s="161"/>
      <c r="EV97" s="161"/>
      <c r="EW97" s="161"/>
      <c r="EX97" s="161"/>
      <c r="EY97" s="161"/>
      <c r="EZ97" s="161"/>
      <c r="FA97" s="161"/>
      <c r="FB97" s="161"/>
      <c r="FC97" s="161"/>
      <c r="FD97" s="161"/>
      <c r="FE97" s="161"/>
      <c r="FF97" s="161"/>
      <c r="FG97" s="161"/>
      <c r="FH97" s="163" cm="1">
        <f t="array" ref="FH97">ROW()-ROW(Ongoing[#Headers])</f>
        <v>91</v>
      </c>
      <c r="FI97" s="164" t="s">
        <v>957</v>
      </c>
      <c r="FJ97" s="164" t="s">
        <v>755</v>
      </c>
      <c r="FK97" s="164">
        <v>0</v>
      </c>
      <c r="FL97" s="164" t="s">
        <v>789</v>
      </c>
      <c r="FM97" s="164">
        <v>0</v>
      </c>
      <c r="FN97" s="164" t="s">
        <v>757</v>
      </c>
      <c r="FO97" s="164" t="s">
        <v>937</v>
      </c>
      <c r="FP97" s="164" t="s">
        <v>759</v>
      </c>
    </row>
    <row r="98" spans="2:172" s="115" customFormat="1" ht="11.25" x14ac:dyDescent="0.2">
      <c r="B98" s="3873" t="s">
        <v>1528</v>
      </c>
      <c r="C98" s="3874" t="s">
        <v>1529</v>
      </c>
      <c r="D98" s="3875" t="s">
        <v>305</v>
      </c>
      <c r="E98" s="3876" t="s">
        <v>766</v>
      </c>
      <c r="F98" s="3877" t="s">
        <v>1597</v>
      </c>
      <c r="G98" s="3878" t="s">
        <v>46</v>
      </c>
      <c r="H98" s="3879" t="s">
        <v>305</v>
      </c>
      <c r="I98" s="3880" t="s">
        <v>68</v>
      </c>
      <c r="J98" s="3881" t="s">
        <v>1059</v>
      </c>
      <c r="K98" s="3882" t="s">
        <v>767</v>
      </c>
      <c r="L98" s="3883" t="s">
        <v>305</v>
      </c>
      <c r="M98" s="3884" t="s">
        <v>3873</v>
      </c>
      <c r="N98" s="3885" t="s">
        <v>3871</v>
      </c>
      <c r="O98" s="148"/>
      <c r="P98" s="161">
        <f>SUM(Q98:AP98)</f>
      </c>
      <c r="Q98" s="161"/>
      <c r="R98" s="161"/>
      <c r="S98" s="161"/>
      <c r="T98" s="161"/>
      <c r="U98" s="161"/>
      <c r="V98" s="161"/>
      <c r="W98" s="161"/>
      <c r="X98" s="161"/>
      <c r="Y98" s="161"/>
      <c r="Z98" s="161"/>
      <c r="AA98" s="161"/>
      <c r="AB98" s="161"/>
      <c r="AC98" s="161"/>
      <c r="AD98" s="161"/>
      <c r="AE98" s="161"/>
      <c r="AF98" s="3886" t="n">
        <v>1070.0</v>
      </c>
      <c r="AG98" s="161"/>
      <c r="AH98" s="161"/>
      <c r="AI98" s="161"/>
      <c r="AJ98" s="161"/>
      <c r="AK98" s="161"/>
      <c r="AL98" s="161"/>
      <c r="AM98" s="3887" t="n">
        <v>250.0</v>
      </c>
      <c r="AN98" s="161"/>
      <c r="AO98" s="161"/>
      <c r="AP98" s="161"/>
      <c r="AQ98" s="161">
        <f>SUM(AR98:AU98)</f>
      </c>
      <c r="AR98" s="161"/>
      <c r="AS98" s="161"/>
      <c r="AT98" s="161"/>
      <c r="AU98" s="161"/>
      <c r="AV98" s="161">
        <f>SUM(AW98:BH98)</f>
      </c>
      <c r="AW98" s="161"/>
      <c r="AX98" s="161"/>
      <c r="AY98" s="161"/>
      <c r="AZ98" s="161"/>
      <c r="BA98" s="161"/>
      <c r="BB98" s="161"/>
      <c r="BC98" s="161"/>
      <c r="BD98" s="161"/>
      <c r="BE98" s="161"/>
      <c r="BF98" s="161"/>
      <c r="BG98" s="161"/>
      <c r="BH98" s="161"/>
      <c r="BI98" s="161"/>
      <c r="BJ98" s="161"/>
      <c r="BK98" s="161"/>
      <c r="BL98" s="161"/>
      <c r="BM98" s="161"/>
      <c r="BN98" s="161"/>
      <c r="BO98" s="161"/>
      <c r="BP98" s="161"/>
      <c r="BQ98" s="161"/>
      <c r="BR98" s="161"/>
      <c r="BS98" s="161">
        <f>SUM(BT98:BV98)</f>
      </c>
      <c r="BT98" s="161"/>
      <c r="BU98" s="161"/>
      <c r="BV98" s="161"/>
      <c r="BW98" s="161">
        <f>SUM(BX98:CC98)</f>
      </c>
      <c r="BX98" s="161"/>
      <c r="BY98" s="161"/>
      <c r="BZ98" s="161"/>
      <c r="CA98" s="161"/>
      <c r="CB98" s="161"/>
      <c r="CC98" s="161"/>
      <c r="CD98" s="161"/>
      <c r="CE98" s="161"/>
      <c r="CF98" s="161"/>
      <c r="CG98" s="161"/>
      <c r="CH98" s="161"/>
      <c r="CI98" s="161"/>
      <c r="CJ98" s="161">
        <f>SUM(CK98:CM98)</f>
      </c>
      <c r="CK98" s="161"/>
      <c r="CL98" s="161"/>
      <c r="CM98" s="161"/>
      <c r="CN98" s="161">
        <f>SUM(CO98:CS98)</f>
      </c>
      <c r="CO98" s="161"/>
      <c r="CP98" s="161"/>
      <c r="CQ98" s="161"/>
      <c r="CR98" s="161"/>
      <c r="CS98" s="161"/>
      <c r="CT98" s="161"/>
      <c r="CU98" s="161"/>
      <c r="CV98" s="161"/>
      <c r="CW98" s="161"/>
      <c r="CX98" s="161"/>
      <c r="CY98" s="161"/>
      <c r="CZ98" s="161"/>
      <c r="DA98" s="161"/>
      <c r="DB98" s="161"/>
      <c r="DC98" s="161"/>
      <c r="DD98" s="161"/>
      <c r="DE98" s="161"/>
      <c r="DF98" s="161">
        <f>SUM(DG98:DG98)</f>
      </c>
      <c r="DG98" s="3888" t="n">
        <v>1400.0</v>
      </c>
      <c r="DH98" s="161"/>
      <c r="DI98" s="161"/>
      <c r="DJ98" s="161">
        <f>SUM(DK98:DP98)</f>
      </c>
      <c r="DK98" s="161"/>
      <c r="DL98" s="161"/>
      <c r="DM98" s="161"/>
      <c r="DN98" s="161"/>
      <c r="DO98" s="161"/>
      <c r="DP98" s="161"/>
      <c r="DQ98" s="161"/>
      <c r="DR98" s="161"/>
      <c r="DS98" s="161"/>
      <c r="DT98" s="161"/>
      <c r="DU98" s="161"/>
      <c r="DV98" s="161"/>
      <c r="DW98" s="161"/>
      <c r="DX98" s="161"/>
      <c r="DY98" s="161"/>
      <c r="DZ98" s="161"/>
      <c r="EA98" s="161"/>
      <c r="EB98" s="161"/>
      <c r="EC98" s="161"/>
      <c r="ED98" s="161"/>
      <c r="EE98" s="161"/>
      <c r="EF98" s="161">
        <f>SUM(EG98:EP98)</f>
      </c>
      <c r="EG98" s="161"/>
      <c r="EH98" s="161"/>
      <c r="EI98" s="161"/>
      <c r="EJ98" s="161"/>
      <c r="EK98" s="161"/>
      <c r="EL98" s="161"/>
      <c r="EM98" s="161"/>
      <c r="EN98" s="161"/>
      <c r="EO98" s="161"/>
      <c r="EP98" s="161"/>
      <c r="EQ98" s="161">
        <f>SUM(ER98:ES98)</f>
      </c>
      <c r="ER98" s="161"/>
      <c r="ES98" s="161"/>
      <c r="ET98" s="161"/>
      <c r="EU98" s="161"/>
      <c r="EV98" s="161"/>
      <c r="EW98" s="161"/>
      <c r="EX98" s="161"/>
      <c r="EY98" s="161"/>
      <c r="EZ98" s="161"/>
      <c r="FA98" s="161"/>
      <c r="FB98" s="161"/>
      <c r="FC98" s="161"/>
      <c r="FD98" s="161"/>
      <c r="FE98" s="161"/>
      <c r="FF98" s="161"/>
      <c r="FG98" s="161"/>
      <c r="FH98" s="163" cm="1">
        <f t="array" ref="FH98">ROW()-ROW(Ongoing[#Headers])</f>
        <v>92</v>
      </c>
      <c r="FI98" s="164"/>
      <c r="FJ98" s="164"/>
      <c r="FK98" s="164"/>
      <c r="FL98" s="164"/>
      <c r="FM98" s="164"/>
      <c r="FN98" s="164"/>
      <c r="FO98" s="164"/>
      <c r="FP98" s="164"/>
    </row>
    <row r="99" spans="2:172" s="115" customFormat="1" ht="11.25" x14ac:dyDescent="0.2">
      <c r="B99" s="3902" t="s">
        <v>1031</v>
      </c>
      <c r="C99" s="3903" t="s">
        <v>1032</v>
      </c>
      <c r="D99" s="3904" t="s">
        <v>305</v>
      </c>
      <c r="E99" s="3905" t="s">
        <v>305</v>
      </c>
      <c r="F99" s="3906" t="s">
        <v>305</v>
      </c>
      <c r="G99" s="3907" t="s">
        <v>305</v>
      </c>
      <c r="H99" s="3908" t="s">
        <v>305</v>
      </c>
      <c r="I99" s="3909" t="s">
        <v>68</v>
      </c>
      <c r="J99" s="3910" t="s">
        <v>873</v>
      </c>
      <c r="K99" s="3911" t="s">
        <v>305</v>
      </c>
      <c r="L99" s="3912" t="s">
        <v>305</v>
      </c>
      <c r="M99" s="3913" t="s">
        <v>3867</v>
      </c>
      <c r="N99" s="3914" t="s">
        <v>3868</v>
      </c>
      <c r="O99" s="148"/>
      <c r="P99" s="161">
        <f>SUM(Q99:AP99)</f>
      </c>
      <c r="Q99" s="161"/>
      <c r="R99" s="161"/>
      <c r="S99" s="161"/>
      <c r="T99" s="161"/>
      <c r="U99" s="161"/>
      <c r="V99" s="161"/>
      <c r="W99" s="161"/>
      <c r="X99" s="161"/>
      <c r="Y99" s="161"/>
      <c r="Z99" s="161"/>
      <c r="AA99" s="161"/>
      <c r="AB99" s="161"/>
      <c r="AC99" s="161"/>
      <c r="AD99" s="161"/>
      <c r="AE99" s="161"/>
      <c r="AF99" s="161"/>
      <c r="AG99" s="161"/>
      <c r="AH99" s="161"/>
      <c r="AI99" s="161"/>
      <c r="AJ99" s="161"/>
      <c r="AK99" s="161"/>
      <c r="AL99" s="161"/>
      <c r="AM99" s="161"/>
      <c r="AN99" s="161"/>
      <c r="AO99" s="161"/>
      <c r="AP99" s="161"/>
      <c r="AQ99" s="161">
        <f>SUM(AR99:AU99)</f>
      </c>
      <c r="AR99" s="161"/>
      <c r="AS99" s="161"/>
      <c r="AT99" s="161"/>
      <c r="AU99" s="161"/>
      <c r="AV99" s="161">
        <f>SUM(AW99:BH99)</f>
      </c>
      <c r="AW99" s="161"/>
      <c r="AX99" s="161"/>
      <c r="AY99" s="161"/>
      <c r="AZ99" s="161"/>
      <c r="BA99" s="161"/>
      <c r="BB99" s="161"/>
      <c r="BC99" s="161"/>
      <c r="BD99" s="161"/>
      <c r="BE99" s="161"/>
      <c r="BF99" s="161"/>
      <c r="BG99" s="161"/>
      <c r="BH99" s="161"/>
      <c r="BI99" s="161"/>
      <c r="BJ99" s="161"/>
      <c r="BK99" s="161"/>
      <c r="BL99" s="161"/>
      <c r="BM99" s="161"/>
      <c r="BN99" s="161"/>
      <c r="BO99" s="161"/>
      <c r="BP99" s="161"/>
      <c r="BQ99" s="161"/>
      <c r="BR99" s="161"/>
      <c r="BS99" s="161">
        <f>SUM(BT99:BV99)</f>
      </c>
      <c r="BT99" s="161"/>
      <c r="BU99" s="161"/>
      <c r="BV99" s="161"/>
      <c r="BW99" s="161">
        <f>SUM(BX99:CC99)</f>
      </c>
      <c r="BX99" s="161"/>
      <c r="BY99" s="161"/>
      <c r="BZ99" s="161"/>
      <c r="CA99" s="161"/>
      <c r="CB99" s="161"/>
      <c r="CC99" s="161"/>
      <c r="CD99" s="161"/>
      <c r="CE99" s="161"/>
      <c r="CF99" s="161"/>
      <c r="CG99" s="161"/>
      <c r="CH99" s="161"/>
      <c r="CI99" s="161"/>
      <c r="CJ99" s="161">
        <f>SUM(CK99:CM99)</f>
      </c>
      <c r="CK99" s="161"/>
      <c r="CL99" s="161"/>
      <c r="CM99" s="161"/>
      <c r="CN99" s="161">
        <f>SUM(CO99:CS99)</f>
      </c>
      <c r="CO99" s="161"/>
      <c r="CP99" s="161"/>
      <c r="CQ99" s="161"/>
      <c r="CR99" s="161"/>
      <c r="CS99" s="161"/>
      <c r="CT99" s="161"/>
      <c r="CU99" s="161"/>
      <c r="CV99" s="161"/>
      <c r="CW99" s="161"/>
      <c r="CX99" s="161"/>
      <c r="CY99" s="161"/>
      <c r="CZ99" s="161"/>
      <c r="DA99" s="161"/>
      <c r="DB99" s="161"/>
      <c r="DC99" s="161"/>
      <c r="DD99" s="161"/>
      <c r="DE99" s="161"/>
      <c r="DF99" s="161">
        <f>SUM(DG99:DG99)</f>
      </c>
      <c r="DG99" s="161"/>
      <c r="DH99" s="161"/>
      <c r="DI99" s="161"/>
      <c r="DJ99" s="161">
        <f>SUM(DK99:DP99)</f>
      </c>
      <c r="DK99" s="161"/>
      <c r="DL99" s="161"/>
      <c r="DM99" s="161"/>
      <c r="DN99" s="161"/>
      <c r="DO99" s="161"/>
      <c r="DP99" s="161"/>
      <c r="DQ99" s="161"/>
      <c r="DR99" s="161"/>
      <c r="DS99" s="161"/>
      <c r="DT99" s="161"/>
      <c r="DU99" s="161"/>
      <c r="DV99" s="161"/>
      <c r="DW99" s="161"/>
      <c r="DX99" s="161"/>
      <c r="DY99" s="161"/>
      <c r="DZ99" s="161"/>
      <c r="EA99" s="161"/>
      <c r="EB99" s="161"/>
      <c r="EC99" s="161"/>
      <c r="ED99" s="161"/>
      <c r="EE99" s="161"/>
      <c r="EF99" s="161">
        <f>SUM(EG99:EP99)</f>
      </c>
      <c r="EG99" s="161"/>
      <c r="EH99" s="161"/>
      <c r="EI99" s="161"/>
      <c r="EJ99" s="161"/>
      <c r="EK99" s="161"/>
      <c r="EL99" s="161"/>
      <c r="EM99" s="161"/>
      <c r="EN99" s="161"/>
      <c r="EO99" s="161"/>
      <c r="EP99" s="161"/>
      <c r="EQ99" s="161">
        <f>SUM(ER99:ES99)</f>
      </c>
      <c r="ER99" s="161"/>
      <c r="ES99" s="161"/>
      <c r="ET99" s="161"/>
      <c r="EU99" s="161"/>
      <c r="EV99" s="161"/>
      <c r="EW99" s="161"/>
      <c r="EX99" s="161"/>
      <c r="EY99" s="161"/>
      <c r="EZ99" s="161"/>
      <c r="FA99" s="161"/>
      <c r="FB99" s="161"/>
      <c r="FC99" s="161"/>
      <c r="FD99" s="161"/>
      <c r="FE99" s="161"/>
      <c r="FF99" s="161"/>
      <c r="FG99" s="161"/>
      <c r="FH99" s="163" cm="1">
        <f t="array" ref="FH99">ROW()-ROW(Ongoing[#Headers])</f>
        <v>93</v>
      </c>
      <c r="FI99" s="164"/>
      <c r="FJ99" s="164"/>
      <c r="FK99" s="164"/>
      <c r="FL99" s="164"/>
      <c r="FM99" s="164"/>
      <c r="FN99" s="164"/>
      <c r="FO99" s="164"/>
      <c r="FP99" s="164"/>
    </row>
    <row r="100" spans="2:172" s="115" customFormat="1" ht="11.25" x14ac:dyDescent="0.2">
      <c r="B100" s="3969" t="s">
        <v>855</v>
      </c>
      <c r="C100" s="3970" t="s">
        <v>856</v>
      </c>
      <c r="D100" s="3971" t="s">
        <v>20</v>
      </c>
      <c r="E100" s="3972" t="s">
        <v>898</v>
      </c>
      <c r="F100" s="3973" t="s">
        <v>1597</v>
      </c>
      <c r="G100" s="3974" t="s">
        <v>305</v>
      </c>
      <c r="H100" s="3975" t="s">
        <v>43</v>
      </c>
      <c r="I100" s="3976" t="s">
        <v>71</v>
      </c>
      <c r="J100" s="3977" t="s">
        <v>791</v>
      </c>
      <c r="K100" s="3978" t="s">
        <v>787</v>
      </c>
      <c r="L100" s="3979" t="s">
        <v>305</v>
      </c>
      <c r="M100" s="3980" t="s">
        <v>3873</v>
      </c>
      <c r="N100" s="3981" t="s">
        <v>3871</v>
      </c>
      <c r="O100" s="148"/>
      <c r="P100" s="161">
        <f>SUM(Q100:AP100)</f>
      </c>
      <c r="Q100" s="161"/>
      <c r="R100" s="161"/>
      <c r="S100" s="161"/>
      <c r="T100" s="161"/>
      <c r="U100" s="161"/>
      <c r="V100" s="161"/>
      <c r="W100" s="161"/>
      <c r="X100" s="161"/>
      <c r="Y100" s="161"/>
      <c r="Z100" s="161"/>
      <c r="AA100" s="161"/>
      <c r="AB100" s="161"/>
      <c r="AC100" s="161"/>
      <c r="AD100" s="161"/>
      <c r="AE100" s="161"/>
      <c r="AF100" s="161"/>
      <c r="AG100" s="161"/>
      <c r="AH100" s="3982" t="n">
        <v>370.0</v>
      </c>
      <c r="AI100" s="161"/>
      <c r="AJ100" s="161"/>
      <c r="AK100" s="161"/>
      <c r="AL100" s="161"/>
      <c r="AM100" s="161"/>
      <c r="AN100" s="161"/>
      <c r="AO100" s="161"/>
      <c r="AP100" s="161"/>
      <c r="AQ100" s="161">
        <f>SUM(AR100:AU100)</f>
      </c>
      <c r="AR100" s="161"/>
      <c r="AS100" s="161"/>
      <c r="AT100" s="161"/>
      <c r="AU100" s="161"/>
      <c r="AV100" s="161">
        <f>SUM(AW100:BH100)</f>
      </c>
      <c r="AW100" s="161"/>
      <c r="AX100" s="161"/>
      <c r="AY100" s="161"/>
      <c r="AZ100" s="161"/>
      <c r="BA100" s="161"/>
      <c r="BB100" s="161"/>
      <c r="BC100" s="161"/>
      <c r="BD100" s="161"/>
      <c r="BE100" s="161"/>
      <c r="BF100" s="161"/>
      <c r="BG100" s="161"/>
      <c r="BH100" s="161"/>
      <c r="BI100" s="161"/>
      <c r="BJ100" s="161"/>
      <c r="BK100" s="161"/>
      <c r="BL100" s="161"/>
      <c r="BM100" s="161"/>
      <c r="BN100" s="161"/>
      <c r="BO100" s="161"/>
      <c r="BP100" s="161"/>
      <c r="BQ100" s="161"/>
      <c r="BR100" s="161"/>
      <c r="BS100" s="161">
        <f>SUM(BT100:BV100)</f>
      </c>
      <c r="BT100" s="161"/>
      <c r="BU100" s="161"/>
      <c r="BV100" s="161"/>
      <c r="BW100" s="161">
        <f>SUM(BX100:CC100)</f>
      </c>
      <c r="BX100" s="161"/>
      <c r="BY100" s="161"/>
      <c r="BZ100" s="161"/>
      <c r="CA100" s="161"/>
      <c r="CB100" s="161"/>
      <c r="CC100" s="161"/>
      <c r="CD100" s="161"/>
      <c r="CE100" s="161"/>
      <c r="CF100" s="161"/>
      <c r="CG100" s="161"/>
      <c r="CH100" s="161"/>
      <c r="CI100" s="161"/>
      <c r="CJ100" s="161">
        <f>SUM(CK100:CM100)</f>
      </c>
      <c r="CK100" s="161"/>
      <c r="CL100" s="161"/>
      <c r="CM100" s="161"/>
      <c r="CN100" s="161">
        <f>SUM(CO100:CS100)</f>
      </c>
      <c r="CO100" s="161"/>
      <c r="CP100" s="161"/>
      <c r="CQ100" s="161"/>
      <c r="CR100" s="161"/>
      <c r="CS100" s="161"/>
      <c r="CT100" s="161"/>
      <c r="CU100" s="161"/>
      <c r="CV100" s="161"/>
      <c r="CW100" s="161"/>
      <c r="CX100" s="161"/>
      <c r="CY100" s="161"/>
      <c r="CZ100" s="161"/>
      <c r="DA100" s="161"/>
      <c r="DB100" s="161"/>
      <c r="DC100" s="161"/>
      <c r="DD100" s="161"/>
      <c r="DE100" s="161"/>
      <c r="DF100" s="161">
        <f>SUM(DG100:DG100)</f>
      </c>
      <c r="DG100" s="161"/>
      <c r="DH100" s="161"/>
      <c r="DI100" s="161"/>
      <c r="DJ100" s="161">
        <f>SUM(DK100:DP100)</f>
      </c>
      <c r="DK100" s="161"/>
      <c r="DL100" s="161"/>
      <c r="DM100" s="161"/>
      <c r="DN100" s="161"/>
      <c r="DO100" s="161"/>
      <c r="DP100" s="161"/>
      <c r="DQ100" s="161"/>
      <c r="DR100" s="161"/>
      <c r="DS100" s="161"/>
      <c r="DT100" s="161"/>
      <c r="DU100" s="161"/>
      <c r="DV100" s="161"/>
      <c r="DW100" s="161"/>
      <c r="DX100" s="161"/>
      <c r="DY100" s="161"/>
      <c r="DZ100" s="161"/>
      <c r="EA100" s="161"/>
      <c r="EB100" s="161"/>
      <c r="EC100" s="161"/>
      <c r="ED100" s="161"/>
      <c r="EE100" s="161"/>
      <c r="EF100" s="161">
        <f>SUM(EG100:EP100)</f>
      </c>
      <c r="EG100" s="161"/>
      <c r="EH100" s="161"/>
      <c r="EI100" s="161"/>
      <c r="EJ100" s="161"/>
      <c r="EK100" s="161"/>
      <c r="EL100" s="161"/>
      <c r="EM100" s="161"/>
      <c r="EN100" s="161"/>
      <c r="EO100" s="161"/>
      <c r="EP100" s="161"/>
      <c r="EQ100" s="161">
        <f>SUM(ER100:ES100)</f>
      </c>
      <c r="ER100" s="161"/>
      <c r="ES100" s="161"/>
      <c r="ET100" s="161"/>
      <c r="EU100" s="161"/>
      <c r="EV100" s="161"/>
      <c r="EW100" s="161"/>
      <c r="EX100" s="161"/>
      <c r="EY100" s="161"/>
      <c r="EZ100" s="161"/>
      <c r="FA100" s="161"/>
      <c r="FB100" s="161"/>
      <c r="FC100" s="161"/>
      <c r="FD100" s="161"/>
      <c r="FE100" s="161"/>
      <c r="FF100" s="161"/>
      <c r="FG100" s="161"/>
      <c r="FH100" s="163" cm="1">
        <f t="array" ref="FH100">ROW()-ROW(Ongoing[#Headers])</f>
        <v>94</v>
      </c>
      <c r="FI100" s="164"/>
      <c r="FJ100" s="164"/>
      <c r="FK100" s="164"/>
      <c r="FL100" s="164"/>
      <c r="FM100" s="164"/>
      <c r="FN100" s="164"/>
      <c r="FO100" s="164"/>
      <c r="FP100" s="164"/>
    </row>
    <row r="101" spans="2:172" s="115" customFormat="1" ht="11.25" x14ac:dyDescent="0.2">
      <c r="B101" s="3999" t="s">
        <v>863</v>
      </c>
      <c r="C101" s="4000" t="s">
        <v>864</v>
      </c>
      <c r="D101" s="4001" t="s">
        <v>20</v>
      </c>
      <c r="E101" s="4002" t="s">
        <v>810</v>
      </c>
      <c r="F101" s="4003" t="s">
        <v>1597</v>
      </c>
      <c r="G101" s="4004" t="s">
        <v>305</v>
      </c>
      <c r="H101" s="4005" t="s">
        <v>786</v>
      </c>
      <c r="I101" s="4006" t="s">
        <v>71</v>
      </c>
      <c r="J101" s="4007" t="s">
        <v>811</v>
      </c>
      <c r="K101" s="4008" t="s">
        <v>787</v>
      </c>
      <c r="L101" s="4009" t="s">
        <v>305</v>
      </c>
      <c r="M101" s="4010" t="s">
        <v>3873</v>
      </c>
      <c r="N101" s="4011" t="s">
        <v>3871</v>
      </c>
      <c r="O101" s="148"/>
      <c r="P101" s="161">
        <f>SUM(Q101:AP101)</f>
      </c>
      <c r="Q101" s="161"/>
      <c r="R101" s="161"/>
      <c r="S101" s="161"/>
      <c r="T101" s="161"/>
      <c r="U101" s="161"/>
      <c r="V101" s="4012" t="n">
        <v>100.0</v>
      </c>
      <c r="W101" s="161"/>
      <c r="X101" s="161"/>
      <c r="Y101" s="161"/>
      <c r="Z101" s="161"/>
      <c r="AA101" s="161"/>
      <c r="AB101" s="161"/>
      <c r="AC101" s="161"/>
      <c r="AD101" s="161"/>
      <c r="AE101" s="161"/>
      <c r="AF101" s="161"/>
      <c r="AG101" s="161"/>
      <c r="AH101" s="161"/>
      <c r="AI101" s="161"/>
      <c r="AJ101" s="161"/>
      <c r="AK101" s="161"/>
      <c r="AL101" s="161"/>
      <c r="AM101" s="161"/>
      <c r="AN101" s="161"/>
      <c r="AO101" s="161"/>
      <c r="AP101" s="161"/>
      <c r="AQ101" s="161">
        <f>SUM(AR101:AU101)</f>
      </c>
      <c r="AR101" s="161"/>
      <c r="AS101" s="161"/>
      <c r="AT101" s="161"/>
      <c r="AU101" s="161"/>
      <c r="AV101" s="161">
        <f>SUM(AW101:BH101)</f>
      </c>
      <c r="AW101" s="161"/>
      <c r="AX101" s="161"/>
      <c r="AY101" s="161"/>
      <c r="AZ101" s="161"/>
      <c r="BA101" s="161"/>
      <c r="BB101" s="161"/>
      <c r="BC101" s="161"/>
      <c r="BD101" s="161"/>
      <c r="BE101" s="161"/>
      <c r="BF101" s="161"/>
      <c r="BG101" s="161"/>
      <c r="BH101" s="161"/>
      <c r="BI101" s="161"/>
      <c r="BJ101" s="161"/>
      <c r="BK101" s="161"/>
      <c r="BL101" s="161"/>
      <c r="BM101" s="161"/>
      <c r="BN101" s="161"/>
      <c r="BO101" s="161"/>
      <c r="BP101" s="161"/>
      <c r="BQ101" s="161"/>
      <c r="BR101" s="161"/>
      <c r="BS101" s="161">
        <f>SUM(BT101:BV101)</f>
      </c>
      <c r="BT101" s="161"/>
      <c r="BU101" s="161"/>
      <c r="BV101" s="161"/>
      <c r="BW101" s="161">
        <f>SUM(BX101:CC101)</f>
      </c>
      <c r="BX101" s="161"/>
      <c r="BY101" s="161"/>
      <c r="BZ101" s="161"/>
      <c r="CA101" s="161"/>
      <c r="CB101" s="161"/>
      <c r="CC101" s="161"/>
      <c r="CD101" s="161"/>
      <c r="CE101" s="161"/>
      <c r="CF101" s="161"/>
      <c r="CG101" s="161"/>
      <c r="CH101" s="161"/>
      <c r="CI101" s="161"/>
      <c r="CJ101" s="161">
        <f>SUM(CK101:CM101)</f>
      </c>
      <c r="CK101" s="161"/>
      <c r="CL101" s="161"/>
      <c r="CM101" s="161"/>
      <c r="CN101" s="161">
        <f>SUM(CO101:CS101)</f>
      </c>
      <c r="CO101" s="161"/>
      <c r="CP101" s="161"/>
      <c r="CQ101" s="161"/>
      <c r="CR101" s="161"/>
      <c r="CS101" s="161"/>
      <c r="CT101" s="161"/>
      <c r="CU101" s="161"/>
      <c r="CV101" s="161"/>
      <c r="CW101" s="161"/>
      <c r="CX101" s="161"/>
      <c r="CY101" s="161"/>
      <c r="CZ101" s="161"/>
      <c r="DA101" s="161"/>
      <c r="DB101" s="161"/>
      <c r="DC101" s="161"/>
      <c r="DD101" s="161"/>
      <c r="DE101" s="161"/>
      <c r="DF101" s="161">
        <f>SUM(DG101:DG101)</f>
      </c>
      <c r="DG101" s="161"/>
      <c r="DH101" s="161"/>
      <c r="DI101" s="161"/>
      <c r="DJ101" s="161">
        <f>SUM(DK101:DP101)</f>
      </c>
      <c r="DK101" s="161"/>
      <c r="DL101" s="161"/>
      <c r="DM101" s="161"/>
      <c r="DN101" s="161"/>
      <c r="DO101" s="161"/>
      <c r="DP101" s="161"/>
      <c r="DQ101" s="161"/>
      <c r="DR101" s="161"/>
      <c r="DS101" s="161"/>
      <c r="DT101" s="161"/>
      <c r="DU101" s="161"/>
      <c r="DV101" s="161"/>
      <c r="DW101" s="161"/>
      <c r="DX101" s="161"/>
      <c r="DY101" s="161"/>
      <c r="DZ101" s="161"/>
      <c r="EA101" s="161"/>
      <c r="EB101" s="161"/>
      <c r="EC101" s="161"/>
      <c r="ED101" s="161"/>
      <c r="EE101" s="161"/>
      <c r="EF101" s="161">
        <f>SUM(EG101:EP101)</f>
      </c>
      <c r="EG101" s="161"/>
      <c r="EH101" s="161"/>
      <c r="EI101" s="161"/>
      <c r="EJ101" s="161"/>
      <c r="EK101" s="161"/>
      <c r="EL101" s="161"/>
      <c r="EM101" s="161"/>
      <c r="EN101" s="161"/>
      <c r="EO101" s="161"/>
      <c r="EP101" s="161"/>
      <c r="EQ101" s="161">
        <f>SUM(ER101:ES101)</f>
      </c>
      <c r="ER101" s="161"/>
      <c r="ES101" s="161"/>
      <c r="ET101" s="161"/>
      <c r="EU101" s="161"/>
      <c r="EV101" s="161"/>
      <c r="EW101" s="161"/>
      <c r="EX101" s="161"/>
      <c r="EY101" s="161"/>
      <c r="EZ101" s="161"/>
      <c r="FA101" s="161"/>
      <c r="FB101" s="161"/>
      <c r="FC101" s="161"/>
      <c r="FD101" s="161"/>
      <c r="FE101" s="161"/>
      <c r="FF101" s="161"/>
      <c r="FG101" s="161"/>
      <c r="FH101" s="163" cm="1">
        <f t="array" ref="FH101">ROW()-ROW(Ongoing[#Headers])</f>
        <v>95</v>
      </c>
      <c r="FI101" s="164"/>
      <c r="FJ101" s="164"/>
      <c r="FK101" s="164"/>
      <c r="FL101" s="164"/>
      <c r="FM101" s="164"/>
      <c r="FN101" s="164"/>
      <c r="FO101" s="164"/>
      <c r="FP101" s="164"/>
    </row>
    <row r="102" spans="2:172" s="115" customFormat="1" ht="11.25" x14ac:dyDescent="0.2">
      <c r="B102" s="4013" t="s">
        <v>1163</v>
      </c>
      <c r="C102" s="4014" t="s">
        <v>1164</v>
      </c>
      <c r="D102" s="4015" t="s">
        <v>20</v>
      </c>
      <c r="E102" s="4016" t="s">
        <v>898</v>
      </c>
      <c r="F102" s="4017" t="s">
        <v>1597</v>
      </c>
      <c r="G102" s="4018" t="s">
        <v>61</v>
      </c>
      <c r="H102" s="4019" t="s">
        <v>41</v>
      </c>
      <c r="I102" s="4020" t="s">
        <v>71</v>
      </c>
      <c r="J102" s="4021" t="s">
        <v>791</v>
      </c>
      <c r="K102" s="4022" t="s">
        <v>779</v>
      </c>
      <c r="L102" s="4023" t="s">
        <v>305</v>
      </c>
      <c r="M102" s="4024" t="s">
        <v>3873</v>
      </c>
      <c r="N102" s="4025" t="s">
        <v>3871</v>
      </c>
      <c r="O102" s="148"/>
      <c r="P102" s="161">
        <f>SUM(Q102:AP102)</f>
      </c>
      <c r="Q102" s="161"/>
      <c r="R102" s="161"/>
      <c r="S102" s="161"/>
      <c r="T102" s="161"/>
      <c r="U102" s="161"/>
      <c r="V102" s="161"/>
      <c r="W102" s="161"/>
      <c r="X102" s="161"/>
      <c r="Y102" s="161"/>
      <c r="Z102" s="161"/>
      <c r="AA102" s="161"/>
      <c r="AB102" s="161"/>
      <c r="AC102" s="161"/>
      <c r="AD102" s="161"/>
      <c r="AE102" s="161"/>
      <c r="AF102" s="161"/>
      <c r="AG102" s="161"/>
      <c r="AH102" s="4026" t="n">
        <v>769.0</v>
      </c>
      <c r="AI102" s="161"/>
      <c r="AJ102" s="161"/>
      <c r="AK102" s="161"/>
      <c r="AL102" s="161"/>
      <c r="AM102" s="161"/>
      <c r="AN102" s="161"/>
      <c r="AO102" s="161"/>
      <c r="AP102" s="161"/>
      <c r="AQ102" s="161">
        <f>SUM(AR102:AU102)</f>
      </c>
      <c r="AR102" s="161"/>
      <c r="AS102" s="161"/>
      <c r="AT102" s="161"/>
      <c r="AU102" s="161"/>
      <c r="AV102" s="161">
        <f>SUM(AW102:BH102)</f>
      </c>
      <c r="AW102" s="161"/>
      <c r="AX102" s="161"/>
      <c r="AY102" s="161"/>
      <c r="AZ102" s="161"/>
      <c r="BA102" s="161"/>
      <c r="BB102" s="161"/>
      <c r="BC102" s="161"/>
      <c r="BD102" s="161"/>
      <c r="BE102" s="161"/>
      <c r="BF102" s="161"/>
      <c r="BG102" s="161"/>
      <c r="BH102" s="161"/>
      <c r="BI102" s="161"/>
      <c r="BJ102" s="161"/>
      <c r="BK102" s="161"/>
      <c r="BL102" s="161"/>
      <c r="BM102" s="161"/>
      <c r="BN102" s="161"/>
      <c r="BO102" s="161"/>
      <c r="BP102" s="161"/>
      <c r="BQ102" s="161"/>
      <c r="BR102" s="161"/>
      <c r="BS102" s="161">
        <f>SUM(BT102:BV102)</f>
      </c>
      <c r="BT102" s="161"/>
      <c r="BU102" s="161"/>
      <c r="BV102" s="161"/>
      <c r="BW102" s="161">
        <f>SUM(BX102:CC102)</f>
      </c>
      <c r="BX102" s="161"/>
      <c r="BY102" s="161"/>
      <c r="BZ102" s="161"/>
      <c r="CA102" s="161"/>
      <c r="CB102" s="161"/>
      <c r="CC102" s="161"/>
      <c r="CD102" s="161"/>
      <c r="CE102" s="161"/>
      <c r="CF102" s="161"/>
      <c r="CG102" s="161"/>
      <c r="CH102" s="161"/>
      <c r="CI102" s="161"/>
      <c r="CJ102" s="161">
        <f>SUM(CK102:CM102)</f>
      </c>
      <c r="CK102" s="161"/>
      <c r="CL102" s="161"/>
      <c r="CM102" s="161"/>
      <c r="CN102" s="161">
        <f>SUM(CO102:CS102)</f>
      </c>
      <c r="CO102" s="161"/>
      <c r="CP102" s="161"/>
      <c r="CQ102" s="161"/>
      <c r="CR102" s="161"/>
      <c r="CS102" s="161"/>
      <c r="CT102" s="161"/>
      <c r="CU102" s="161"/>
      <c r="CV102" s="161"/>
      <c r="CW102" s="161"/>
      <c r="CX102" s="161"/>
      <c r="CY102" s="161"/>
      <c r="CZ102" s="161"/>
      <c r="DA102" s="161"/>
      <c r="DB102" s="161"/>
      <c r="DC102" s="161"/>
      <c r="DD102" s="161"/>
      <c r="DE102" s="161"/>
      <c r="DF102" s="161">
        <f>SUM(DG102:DG102)</f>
      </c>
      <c r="DG102" s="161"/>
      <c r="DH102" s="161"/>
      <c r="DI102" s="161"/>
      <c r="DJ102" s="161">
        <f>SUM(DK102:DP102)</f>
      </c>
      <c r="DK102" s="161"/>
      <c r="DL102" s="161"/>
      <c r="DM102" s="161"/>
      <c r="DN102" s="161"/>
      <c r="DO102" s="161"/>
      <c r="DP102" s="161"/>
      <c r="DQ102" s="161"/>
      <c r="DR102" s="161"/>
      <c r="DS102" s="161"/>
      <c r="DT102" s="161"/>
      <c r="DU102" s="161"/>
      <c r="DV102" s="161"/>
      <c r="DW102" s="161"/>
      <c r="DX102" s="161"/>
      <c r="DY102" s="161"/>
      <c r="DZ102" s="161"/>
      <c r="EA102" s="161"/>
      <c r="EB102" s="161"/>
      <c r="EC102" s="161"/>
      <c r="ED102" s="161"/>
      <c r="EE102" s="161"/>
      <c r="EF102" s="161">
        <f>SUM(EG102:EP102)</f>
      </c>
      <c r="EG102" s="161"/>
      <c r="EH102" s="161"/>
      <c r="EI102" s="161"/>
      <c r="EJ102" s="161"/>
      <c r="EK102" s="161"/>
      <c r="EL102" s="161"/>
      <c r="EM102" s="161"/>
      <c r="EN102" s="161"/>
      <c r="EO102" s="161"/>
      <c r="EP102" s="161"/>
      <c r="EQ102" s="161">
        <f>SUM(ER102:ES102)</f>
      </c>
      <c r="ER102" s="161"/>
      <c r="ES102" s="161"/>
      <c r="ET102" s="161"/>
      <c r="EU102" s="161"/>
      <c r="EV102" s="161"/>
      <c r="EW102" s="161"/>
      <c r="EX102" s="161"/>
      <c r="EY102" s="161"/>
      <c r="EZ102" s="161"/>
      <c r="FA102" s="161"/>
      <c r="FB102" s="161"/>
      <c r="FC102" s="161"/>
      <c r="FD102" s="161"/>
      <c r="FE102" s="161"/>
      <c r="FF102" s="161"/>
      <c r="FG102" s="161"/>
      <c r="FH102" s="163" cm="1">
        <f t="array" ref="FH102">ROW()-ROW(Ongoing[#Headers])</f>
        <v>96</v>
      </c>
      <c r="FI102" s="164"/>
      <c r="FJ102" s="164" t="s">
        <v>755</v>
      </c>
      <c r="FK102" s="164">
        <v>0</v>
      </c>
      <c r="FL102" s="164" t="s">
        <v>781</v>
      </c>
      <c r="FM102" s="164">
        <v>0</v>
      </c>
      <c r="FN102" s="164" t="s">
        <v>782</v>
      </c>
      <c r="FO102" s="164" t="s">
        <v>811</v>
      </c>
      <c r="FP102" s="164" t="s">
        <v>792</v>
      </c>
    </row>
    <row r="103" spans="2:172" s="115" customFormat="1" ht="11.25" x14ac:dyDescent="0.2">
      <c r="B103" s="4070" t="s">
        <v>1451</v>
      </c>
      <c r="C103" s="4071" t="s">
        <v>1452</v>
      </c>
      <c r="D103" s="4072" t="s">
        <v>305</v>
      </c>
      <c r="E103" s="4073" t="s">
        <v>305</v>
      </c>
      <c r="F103" s="4074" t="s">
        <v>345</v>
      </c>
      <c r="G103" s="4075" t="s">
        <v>46</v>
      </c>
      <c r="H103" s="4076" t="s">
        <v>305</v>
      </c>
      <c r="I103" s="4077" t="s">
        <v>71</v>
      </c>
      <c r="J103" s="4078" t="s">
        <v>2093</v>
      </c>
      <c r="K103" s="4079" t="s">
        <v>305</v>
      </c>
      <c r="L103" s="4080" t="s">
        <v>305</v>
      </c>
      <c r="M103" s="4081" t="s">
        <v>3867</v>
      </c>
      <c r="N103" s="4082" t="s">
        <v>3868</v>
      </c>
      <c r="O103" s="148"/>
      <c r="P103" s="161">
        <f>SUM(Q103:AP103)</f>
      </c>
      <c r="Q103" s="161"/>
      <c r="R103" s="161"/>
      <c r="S103" s="161"/>
      <c r="T103" s="161"/>
      <c r="U103" s="161"/>
      <c r="V103" s="161"/>
      <c r="W103" s="161"/>
      <c r="X103" s="161"/>
      <c r="Y103" s="161"/>
      <c r="Z103" s="161"/>
      <c r="AA103" s="161"/>
      <c r="AB103" s="161"/>
      <c r="AC103" s="161"/>
      <c r="AD103" s="161"/>
      <c r="AE103" s="161"/>
      <c r="AF103" s="161"/>
      <c r="AG103" s="161"/>
      <c r="AH103" s="161"/>
      <c r="AI103" s="161"/>
      <c r="AJ103" s="161"/>
      <c r="AK103" s="161"/>
      <c r="AL103" s="161"/>
      <c r="AM103" s="161"/>
      <c r="AN103" s="161"/>
      <c r="AO103" s="161"/>
      <c r="AP103" s="161"/>
      <c r="AQ103" s="161">
        <f>SUM(AR103:AU103)</f>
      </c>
      <c r="AR103" s="161"/>
      <c r="AS103" s="161"/>
      <c r="AT103" s="161"/>
      <c r="AU103" s="161"/>
      <c r="AV103" s="161">
        <f>SUM(AW103:BH103)</f>
      </c>
      <c r="AW103" s="161"/>
      <c r="AX103" s="161"/>
      <c r="AY103" s="161"/>
      <c r="AZ103" s="161"/>
      <c r="BA103" s="161"/>
      <c r="BB103" s="161"/>
      <c r="BC103" s="161"/>
      <c r="BD103" s="161"/>
      <c r="BE103" s="161"/>
      <c r="BF103" s="161"/>
      <c r="BG103" s="161"/>
      <c r="BH103" s="161"/>
      <c r="BI103" s="161"/>
      <c r="BJ103" s="161"/>
      <c r="BK103" s="161"/>
      <c r="BL103" s="161"/>
      <c r="BM103" s="161"/>
      <c r="BN103" s="161"/>
      <c r="BO103" s="161"/>
      <c r="BP103" s="161"/>
      <c r="BQ103" s="161"/>
      <c r="BR103" s="161"/>
      <c r="BS103" s="161">
        <f>SUM(BT103:BV103)</f>
      </c>
      <c r="BT103" s="161"/>
      <c r="BU103" s="161"/>
      <c r="BV103" s="161"/>
      <c r="BW103" s="161">
        <f>SUM(BX103:CC103)</f>
      </c>
      <c r="BX103" s="161"/>
      <c r="BY103" s="161"/>
      <c r="BZ103" s="161"/>
      <c r="CA103" s="161"/>
      <c r="CB103" s="161"/>
      <c r="CC103" s="161"/>
      <c r="CD103" s="161"/>
      <c r="CE103" s="161"/>
      <c r="CF103" s="161"/>
      <c r="CG103" s="161"/>
      <c r="CH103" s="161"/>
      <c r="CI103" s="161"/>
      <c r="CJ103" s="161">
        <f>SUM(CK103:CM103)</f>
      </c>
      <c r="CK103" s="161"/>
      <c r="CL103" s="161"/>
      <c r="CM103" s="161"/>
      <c r="CN103" s="161">
        <f>SUM(CO103:CS103)</f>
      </c>
      <c r="CO103" s="161"/>
      <c r="CP103" s="161"/>
      <c r="CQ103" s="161"/>
      <c r="CR103" s="161"/>
      <c r="CS103" s="161"/>
      <c r="CT103" s="161"/>
      <c r="CU103" s="161"/>
      <c r="CV103" s="161"/>
      <c r="CW103" s="161"/>
      <c r="CX103" s="161"/>
      <c r="CY103" s="161"/>
      <c r="CZ103" s="161"/>
      <c r="DA103" s="161"/>
      <c r="DB103" s="161"/>
      <c r="DC103" s="161"/>
      <c r="DD103" s="161"/>
      <c r="DE103" s="161"/>
      <c r="DF103" s="161">
        <f>SUM(DG103:DG103)</f>
      </c>
      <c r="DG103" s="161"/>
      <c r="DH103" s="161"/>
      <c r="DI103" s="161"/>
      <c r="DJ103" s="161">
        <f>SUM(DK103:DP103)</f>
      </c>
      <c r="DK103" s="161"/>
      <c r="DL103" s="161"/>
      <c r="DM103" s="161"/>
      <c r="DN103" s="161"/>
      <c r="DO103" s="161"/>
      <c r="DP103" s="161"/>
      <c r="DQ103" s="161"/>
      <c r="DR103" s="161"/>
      <c r="DS103" s="161"/>
      <c r="DT103" s="161"/>
      <c r="DU103" s="161"/>
      <c r="DV103" s="161"/>
      <c r="DW103" s="161"/>
      <c r="DX103" s="161"/>
      <c r="DY103" s="161"/>
      <c r="DZ103" s="161"/>
      <c r="EA103" s="161"/>
      <c r="EB103" s="161"/>
      <c r="EC103" s="161"/>
      <c r="ED103" s="161"/>
      <c r="EE103" s="161"/>
      <c r="EF103" s="161">
        <f>SUM(EG103:EP103)</f>
      </c>
      <c r="EG103" s="161"/>
      <c r="EH103" s="161"/>
      <c r="EI103" s="161"/>
      <c r="EJ103" s="161"/>
      <c r="EK103" s="161"/>
      <c r="EL103" s="161"/>
      <c r="EM103" s="161"/>
      <c r="EN103" s="161"/>
      <c r="EO103" s="161"/>
      <c r="EP103" s="161"/>
      <c r="EQ103" s="161">
        <f>SUM(ER103:ES103)</f>
      </c>
      <c r="ER103" s="161"/>
      <c r="ES103" s="161"/>
      <c r="ET103" s="161"/>
      <c r="EU103" s="161"/>
      <c r="EV103" s="161"/>
      <c r="EW103" s="161"/>
      <c r="EX103" s="161"/>
      <c r="EY103" s="161"/>
      <c r="EZ103" s="161"/>
      <c r="FA103" s="161"/>
      <c r="FB103" s="161"/>
      <c r="FC103" s="161"/>
      <c r="FD103" s="161"/>
      <c r="FE103" s="161"/>
      <c r="FF103" s="161"/>
      <c r="FG103" s="161"/>
      <c r="FH103" s="163" cm="1">
        <f t="array" ref="FH103">ROW()-ROW(Ongoing[#Headers])</f>
        <v>97</v>
      </c>
      <c r="FI103" s="164"/>
      <c r="FJ103" s="164"/>
      <c r="FK103" s="164"/>
      <c r="FL103" s="164"/>
      <c r="FM103" s="164"/>
      <c r="FN103" s="164"/>
      <c r="FO103" s="164"/>
      <c r="FP103" s="164"/>
    </row>
    <row r="104" spans="2:172" s="115" customFormat="1" ht="11.25" x14ac:dyDescent="0.2">
      <c r="B104" s="4110" t="s">
        <v>1418</v>
      </c>
      <c r="C104" s="4111" t="s">
        <v>1419</v>
      </c>
      <c r="D104" s="4112" t="s">
        <v>13</v>
      </c>
      <c r="E104" s="4113" t="s">
        <v>1671</v>
      </c>
      <c r="F104" s="4114" t="s">
        <v>345</v>
      </c>
      <c r="G104" s="4115" t="s">
        <v>55</v>
      </c>
      <c r="H104" s="4116" t="s">
        <v>22</v>
      </c>
      <c r="I104" s="4117" t="s">
        <v>74</v>
      </c>
      <c r="J104" s="4118" t="s">
        <v>820</v>
      </c>
      <c r="K104" s="4119" t="s">
        <v>305</v>
      </c>
      <c r="L104" s="4120" t="s">
        <v>1615</v>
      </c>
      <c r="M104" s="4121" t="s">
        <v>3873</v>
      </c>
      <c r="N104" s="4122" t="s">
        <v>3871</v>
      </c>
      <c r="O104" s="148"/>
      <c r="P104" s="161">
        <f>SUM(Q104:AP104)</f>
      </c>
      <c r="Q104" s="161"/>
      <c r="R104" s="161"/>
      <c r="S104" s="4123" t="n">
        <v>50.0</v>
      </c>
      <c r="T104" s="161"/>
      <c r="U104" s="161"/>
      <c r="V104" s="4124" t="n">
        <v>50.0</v>
      </c>
      <c r="W104" s="161"/>
      <c r="X104" s="161"/>
      <c r="Y104" s="161"/>
      <c r="Z104" s="161"/>
      <c r="AA104" s="161"/>
      <c r="AB104" s="161"/>
      <c r="AC104" s="161"/>
      <c r="AD104" s="161"/>
      <c r="AE104" s="161"/>
      <c r="AF104" s="161"/>
      <c r="AG104" s="161"/>
      <c r="AH104" s="161"/>
      <c r="AI104" s="161"/>
      <c r="AJ104" s="161"/>
      <c r="AK104" s="161"/>
      <c r="AL104" s="161"/>
      <c r="AM104" s="4125" t="n">
        <v>1650.0</v>
      </c>
      <c r="AN104" s="161"/>
      <c r="AO104" s="161"/>
      <c r="AP104" s="161"/>
      <c r="AQ104" s="161">
        <f>SUM(AR104:AU104)</f>
      </c>
      <c r="AR104" s="161"/>
      <c r="AS104" s="161"/>
      <c r="AT104" s="161"/>
      <c r="AU104" s="161"/>
      <c r="AV104" s="161">
        <f>SUM(AW104:BH104)</f>
      </c>
      <c r="AW104" s="161"/>
      <c r="AX104" s="161"/>
      <c r="AY104" s="161"/>
      <c r="AZ104" s="161"/>
      <c r="BA104" s="161"/>
      <c r="BB104" s="161"/>
      <c r="BC104" s="161"/>
      <c r="BD104" s="161"/>
      <c r="BE104" s="161"/>
      <c r="BF104" s="161"/>
      <c r="BG104" s="161"/>
      <c r="BH104" s="161"/>
      <c r="BI104" s="161"/>
      <c r="BJ104" s="161"/>
      <c r="BK104" s="161"/>
      <c r="BL104" s="161"/>
      <c r="BM104" s="161"/>
      <c r="BN104" s="161"/>
      <c r="BO104" s="161"/>
      <c r="BP104" s="161"/>
      <c r="BQ104" s="161"/>
      <c r="BR104" s="161"/>
      <c r="BS104" s="161">
        <f>SUM(BT104:BV104)</f>
      </c>
      <c r="BT104" s="161"/>
      <c r="BU104" s="161"/>
      <c r="BV104" s="4126" t="n">
        <v>50.0</v>
      </c>
      <c r="BW104" s="161">
        <f>SUM(BX104:CC104)</f>
      </c>
      <c r="BX104" s="161"/>
      <c r="BY104" s="161"/>
      <c r="BZ104" s="161"/>
      <c r="CA104" s="161"/>
      <c r="CB104" s="161"/>
      <c r="CC104" s="161"/>
      <c r="CD104" s="161"/>
      <c r="CE104" s="161"/>
      <c r="CF104" s="161"/>
      <c r="CG104" s="161"/>
      <c r="CH104" s="161"/>
      <c r="CI104" s="161"/>
      <c r="CJ104" s="161">
        <f>SUM(CK104:CM104)</f>
      </c>
      <c r="CK104" s="161"/>
      <c r="CL104" s="161"/>
      <c r="CM104" s="161"/>
      <c r="CN104" s="161">
        <f>SUM(CO104:CS104)</f>
      </c>
      <c r="CO104" s="161"/>
      <c r="CP104" s="161"/>
      <c r="CQ104" s="161"/>
      <c r="CR104" s="161"/>
      <c r="CS104" s="161"/>
      <c r="CT104" s="161"/>
      <c r="CU104" s="161"/>
      <c r="CV104" s="161"/>
      <c r="CW104" s="161"/>
      <c r="CX104" s="161"/>
      <c r="CY104" s="161"/>
      <c r="CZ104" s="161"/>
      <c r="DA104" s="161"/>
      <c r="DB104" s="161"/>
      <c r="DC104" s="161"/>
      <c r="DD104" s="161"/>
      <c r="DE104" s="161"/>
      <c r="DF104" s="161">
        <f>SUM(DG104:DG104)</f>
      </c>
      <c r="DG104" s="161"/>
      <c r="DH104" s="161"/>
      <c r="DI104" s="161"/>
      <c r="DJ104" s="161">
        <f>SUM(DK104:DP104)</f>
      </c>
      <c r="DK104" s="161"/>
      <c r="DL104" s="161"/>
      <c r="DM104" s="161"/>
      <c r="DN104" s="161"/>
      <c r="DO104" s="161"/>
      <c r="DP104" s="161"/>
      <c r="DQ104" s="161"/>
      <c r="DR104" s="161"/>
      <c r="DS104" s="161"/>
      <c r="DT104" s="161"/>
      <c r="DU104" s="161"/>
      <c r="DV104" s="161"/>
      <c r="DW104" s="161"/>
      <c r="DX104" s="161"/>
      <c r="DY104" s="161"/>
      <c r="DZ104" s="161"/>
      <c r="EA104" s="161"/>
      <c r="EB104" s="161"/>
      <c r="EC104" s="161"/>
      <c r="ED104" s="161"/>
      <c r="EE104" s="161"/>
      <c r="EF104" s="161">
        <f>SUM(EG104:EP104)</f>
      </c>
      <c r="EG104" s="161"/>
      <c r="EH104" s="161"/>
      <c r="EI104" s="161"/>
      <c r="EJ104" s="161"/>
      <c r="EK104" s="161"/>
      <c r="EL104" s="161"/>
      <c r="EM104" s="161"/>
      <c r="EN104" s="161"/>
      <c r="EO104" s="161"/>
      <c r="EP104" s="161"/>
      <c r="EQ104" s="161">
        <f>SUM(ER104:ES104)</f>
      </c>
      <c r="ER104" s="161"/>
      <c r="ES104" s="161"/>
      <c r="ET104" s="161"/>
      <c r="EU104" s="161"/>
      <c r="EV104" s="161"/>
      <c r="EW104" s="161"/>
      <c r="EX104" s="161"/>
      <c r="EY104" s="161"/>
      <c r="EZ104" s="161"/>
      <c r="FA104" s="161"/>
      <c r="FB104" s="161"/>
      <c r="FC104" s="161"/>
      <c r="FD104" s="161"/>
      <c r="FE104" s="161"/>
      <c r="FF104" s="161"/>
      <c r="FG104" s="161"/>
      <c r="FH104" s="163" cm="1">
        <f t="array" ref="FH104">ROW()-ROW(Ongoing[#Headers])</f>
        <v>98</v>
      </c>
      <c r="FI104" s="164" t="s">
        <v>957</v>
      </c>
      <c r="FJ104" s="164" t="s">
        <v>755</v>
      </c>
      <c r="FK104" s="164">
        <v>0</v>
      </c>
      <c r="FL104" s="164" t="s">
        <v>789</v>
      </c>
      <c r="FM104" s="164">
        <v>0</v>
      </c>
      <c r="FN104" s="164" t="s">
        <v>757</v>
      </c>
      <c r="FO104" s="164" t="s">
        <v>937</v>
      </c>
      <c r="FP104" s="164" t="s">
        <v>759</v>
      </c>
    </row>
    <row r="105" spans="2:172" s="115" customFormat="1" ht="11.25" x14ac:dyDescent="0.2">
      <c r="B105" s="4155" t="s">
        <v>1169</v>
      </c>
      <c r="C105" s="4156" t="s">
        <v>1170</v>
      </c>
      <c r="D105" s="4157" t="s">
        <v>20</v>
      </c>
      <c r="E105" s="4158" t="s">
        <v>898</v>
      </c>
      <c r="F105" s="4159" t="s">
        <v>1597</v>
      </c>
      <c r="G105" s="4160" t="s">
        <v>305</v>
      </c>
      <c r="H105" s="4161" t="s">
        <v>43</v>
      </c>
      <c r="I105" s="4162" t="s">
        <v>71</v>
      </c>
      <c r="J105" s="4163" t="s">
        <v>791</v>
      </c>
      <c r="K105" s="4164" t="s">
        <v>787</v>
      </c>
      <c r="L105" s="4165" t="s">
        <v>305</v>
      </c>
      <c r="M105" s="4166" t="s">
        <v>3873</v>
      </c>
      <c r="N105" s="4167" t="s">
        <v>3871</v>
      </c>
      <c r="O105" s="148"/>
      <c r="P105" s="161">
        <f>SUM(Q105:AP105)</f>
      </c>
      <c r="Q105" s="161"/>
      <c r="R105" s="161"/>
      <c r="S105" s="161"/>
      <c r="T105" s="161"/>
      <c r="U105" s="161"/>
      <c r="V105" s="161"/>
      <c r="W105" s="161"/>
      <c r="X105" s="161"/>
      <c r="Y105" s="161"/>
      <c r="Z105" s="161"/>
      <c r="AA105" s="161"/>
      <c r="AB105" s="161"/>
      <c r="AC105" s="161"/>
      <c r="AD105" s="161"/>
      <c r="AE105" s="161"/>
      <c r="AF105" s="161"/>
      <c r="AG105" s="161"/>
      <c r="AH105" s="4168" t="n">
        <v>200.0</v>
      </c>
      <c r="AI105" s="161"/>
      <c r="AJ105" s="161"/>
      <c r="AK105" s="161"/>
      <c r="AL105" s="161"/>
      <c r="AM105" s="161"/>
      <c r="AN105" s="161"/>
      <c r="AO105" s="161"/>
      <c r="AP105" s="161"/>
      <c r="AQ105" s="161">
        <f>SUM(AR105:AU105)</f>
      </c>
      <c r="AR105" s="161"/>
      <c r="AS105" s="161"/>
      <c r="AT105" s="161"/>
      <c r="AU105" s="161"/>
      <c r="AV105" s="161">
        <f>SUM(AW105:BH105)</f>
      </c>
      <c r="AW105" s="161"/>
      <c r="AX105" s="161"/>
      <c r="AY105" s="161"/>
      <c r="AZ105" s="161"/>
      <c r="BA105" s="161"/>
      <c r="BB105" s="161"/>
      <c r="BC105" s="161"/>
      <c r="BD105" s="161"/>
      <c r="BE105" s="161"/>
      <c r="BF105" s="161"/>
      <c r="BG105" s="161"/>
      <c r="BH105" s="161"/>
      <c r="BI105" s="161"/>
      <c r="BJ105" s="161"/>
      <c r="BK105" s="161"/>
      <c r="BL105" s="161"/>
      <c r="BM105" s="161"/>
      <c r="BN105" s="161"/>
      <c r="BO105" s="161"/>
      <c r="BP105" s="161"/>
      <c r="BQ105" s="161"/>
      <c r="BR105" s="161"/>
      <c r="BS105" s="161">
        <f>SUM(BT105:BV105)</f>
      </c>
      <c r="BT105" s="161"/>
      <c r="BU105" s="161"/>
      <c r="BV105" s="161"/>
      <c r="BW105" s="161">
        <f>SUM(BX105:CC105)</f>
      </c>
      <c r="BX105" s="161"/>
      <c r="BY105" s="161"/>
      <c r="BZ105" s="161"/>
      <c r="CA105" s="161"/>
      <c r="CB105" s="161"/>
      <c r="CC105" s="161"/>
      <c r="CD105" s="161"/>
      <c r="CE105" s="161"/>
      <c r="CF105" s="161"/>
      <c r="CG105" s="161"/>
      <c r="CH105" s="161"/>
      <c r="CI105" s="161"/>
      <c r="CJ105" s="161">
        <f>SUM(CK105:CM105)</f>
      </c>
      <c r="CK105" s="161"/>
      <c r="CL105" s="161"/>
      <c r="CM105" s="161"/>
      <c r="CN105" s="161">
        <f>SUM(CO105:CS105)</f>
      </c>
      <c r="CO105" s="161"/>
      <c r="CP105" s="161"/>
      <c r="CQ105" s="161"/>
      <c r="CR105" s="161"/>
      <c r="CS105" s="161"/>
      <c r="CT105" s="161"/>
      <c r="CU105" s="161"/>
      <c r="CV105" s="161"/>
      <c r="CW105" s="161"/>
      <c r="CX105" s="161"/>
      <c r="CY105" s="161"/>
      <c r="CZ105" s="161"/>
      <c r="DA105" s="161"/>
      <c r="DB105" s="161"/>
      <c r="DC105" s="161"/>
      <c r="DD105" s="161"/>
      <c r="DE105" s="161"/>
      <c r="DF105" s="161">
        <f>SUM(DG105:DG105)</f>
      </c>
      <c r="DG105" s="161"/>
      <c r="DH105" s="161"/>
      <c r="DI105" s="161"/>
      <c r="DJ105" s="161">
        <f>SUM(DK105:DP105)</f>
      </c>
      <c r="DK105" s="161"/>
      <c r="DL105" s="161"/>
      <c r="DM105" s="161"/>
      <c r="DN105" s="161"/>
      <c r="DO105" s="161"/>
      <c r="DP105" s="161"/>
      <c r="DQ105" s="161"/>
      <c r="DR105" s="161"/>
      <c r="DS105" s="161"/>
      <c r="DT105" s="161"/>
      <c r="DU105" s="161"/>
      <c r="DV105" s="161"/>
      <c r="DW105" s="161"/>
      <c r="DX105" s="161"/>
      <c r="DY105" s="161"/>
      <c r="DZ105" s="161"/>
      <c r="EA105" s="161"/>
      <c r="EB105" s="161"/>
      <c r="EC105" s="161"/>
      <c r="ED105" s="161"/>
      <c r="EE105" s="161"/>
      <c r="EF105" s="161">
        <f>SUM(EG105:EP105)</f>
      </c>
      <c r="EG105" s="161"/>
      <c r="EH105" s="161"/>
      <c r="EI105" s="161"/>
      <c r="EJ105" s="161"/>
      <c r="EK105" s="161"/>
      <c r="EL105" s="161"/>
      <c r="EM105" s="161"/>
      <c r="EN105" s="161"/>
      <c r="EO105" s="161"/>
      <c r="EP105" s="161"/>
      <c r="EQ105" s="161">
        <f>SUM(ER105:ES105)</f>
      </c>
      <c r="ER105" s="161"/>
      <c r="ES105" s="161"/>
      <c r="ET105" s="161"/>
      <c r="EU105" s="161"/>
      <c r="EV105" s="161"/>
      <c r="EW105" s="161"/>
      <c r="EX105" s="161"/>
      <c r="EY105" s="161"/>
      <c r="EZ105" s="161"/>
      <c r="FA105" s="161"/>
      <c r="FB105" s="161"/>
      <c r="FC105" s="161"/>
      <c r="FD105" s="161"/>
      <c r="FE105" s="161"/>
      <c r="FF105" s="161"/>
      <c r="FG105" s="161"/>
      <c r="FH105" s="163" cm="1">
        <f t="array" ref="FH105">ROW()-ROW(Ongoing[#Headers])</f>
        <v>99</v>
      </c>
      <c r="FI105" s="164" t="s">
        <v>105</v>
      </c>
      <c r="FJ105" s="164" t="s">
        <v>755</v>
      </c>
      <c r="FK105" s="164">
        <v>0</v>
      </c>
      <c r="FL105" s="164" t="s">
        <v>936</v>
      </c>
      <c r="FM105" s="164">
        <v>0</v>
      </c>
      <c r="FN105" s="164" t="s">
        <v>757</v>
      </c>
      <c r="FO105" s="164" t="s">
        <v>985</v>
      </c>
      <c r="FP105" s="164" t="s">
        <v>759</v>
      </c>
    </row>
    <row r="106" spans="2:172" s="115" customFormat="1" ht="11.25" x14ac:dyDescent="0.2">
      <c r="B106" s="4182" t="s">
        <v>918</v>
      </c>
      <c r="C106" s="4183" t="s">
        <v>2032</v>
      </c>
      <c r="D106" s="4184" t="s">
        <v>35</v>
      </c>
      <c r="E106" s="4185" t="s">
        <v>810</v>
      </c>
      <c r="F106" s="4186" t="s">
        <v>1736</v>
      </c>
      <c r="G106" s="4187" t="s">
        <v>49</v>
      </c>
      <c r="H106" s="4188" t="s">
        <v>43</v>
      </c>
      <c r="I106" s="4189" t="s">
        <v>71</v>
      </c>
      <c r="J106" s="4190" t="s">
        <v>1624</v>
      </c>
      <c r="K106" s="4191" t="s">
        <v>779</v>
      </c>
      <c r="L106" s="4192" t="s">
        <v>305</v>
      </c>
      <c r="M106" s="4193" t="s">
        <v>3873</v>
      </c>
      <c r="N106" s="4194" t="s">
        <v>3871</v>
      </c>
      <c r="O106" s="148"/>
      <c r="P106" s="161">
        <f>SUM(Q106:AP106)</f>
      </c>
      <c r="Q106" s="161"/>
      <c r="R106" s="161"/>
      <c r="S106" s="161"/>
      <c r="T106" s="161"/>
      <c r="U106" s="161"/>
      <c r="V106" s="4195" t="n">
        <v>1000.0</v>
      </c>
      <c r="W106" s="161"/>
      <c r="X106" s="161"/>
      <c r="Y106" s="4196" t="n">
        <v>370.0</v>
      </c>
      <c r="Z106" s="161"/>
      <c r="AA106" s="161"/>
      <c r="AB106" s="161"/>
      <c r="AC106" s="161"/>
      <c r="AD106" s="161"/>
      <c r="AE106" s="161"/>
      <c r="AF106" s="161"/>
      <c r="AG106" s="161"/>
      <c r="AH106" s="161"/>
      <c r="AI106" s="161"/>
      <c r="AJ106" s="161"/>
      <c r="AK106" s="161"/>
      <c r="AL106" s="161"/>
      <c r="AM106" s="161"/>
      <c r="AN106" s="161"/>
      <c r="AO106" s="161"/>
      <c r="AP106" s="161"/>
      <c r="AQ106" s="161">
        <f>SUM(AR106:AU106)</f>
      </c>
      <c r="AR106" s="161"/>
      <c r="AS106" s="161"/>
      <c r="AT106" s="161"/>
      <c r="AU106" s="161"/>
      <c r="AV106" s="161">
        <f>SUM(AW106:BH106)</f>
      </c>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f>SUM(BT106:BV106)</f>
      </c>
      <c r="BT106" s="161"/>
      <c r="BU106" s="161"/>
      <c r="BV106" s="161"/>
      <c r="BW106" s="161">
        <f>SUM(BX106:CC106)</f>
      </c>
      <c r="BX106" s="161"/>
      <c r="BY106" s="161"/>
      <c r="BZ106" s="161"/>
      <c r="CA106" s="161"/>
      <c r="CB106" s="161"/>
      <c r="CC106" s="161"/>
      <c r="CD106" s="161"/>
      <c r="CE106" s="161"/>
      <c r="CF106" s="161"/>
      <c r="CG106" s="161"/>
      <c r="CH106" s="161"/>
      <c r="CI106" s="161"/>
      <c r="CJ106" s="161">
        <f>SUM(CK106:CM106)</f>
      </c>
      <c r="CK106" s="161"/>
      <c r="CL106" s="161"/>
      <c r="CM106" s="161"/>
      <c r="CN106" s="161">
        <f>SUM(CO106:CS106)</f>
      </c>
      <c r="CO106" s="161"/>
      <c r="CP106" s="161"/>
      <c r="CQ106" s="161"/>
      <c r="CR106" s="161"/>
      <c r="CS106" s="161"/>
      <c r="CT106" s="161"/>
      <c r="CU106" s="161"/>
      <c r="CV106" s="161"/>
      <c r="CW106" s="161"/>
      <c r="CX106" s="161"/>
      <c r="CY106" s="161"/>
      <c r="CZ106" s="161"/>
      <c r="DA106" s="161"/>
      <c r="DB106" s="161"/>
      <c r="DC106" s="161"/>
      <c r="DD106" s="161"/>
      <c r="DE106" s="161"/>
      <c r="DF106" s="161">
        <f>SUM(DG106:DG106)</f>
      </c>
      <c r="DG106" s="161"/>
      <c r="DH106" s="161"/>
      <c r="DI106" s="161"/>
      <c r="DJ106" s="161">
        <f>SUM(DK106:DP106)</f>
      </c>
      <c r="DK106" s="161"/>
      <c r="DL106" s="161"/>
      <c r="DM106" s="161"/>
      <c r="DN106" s="161"/>
      <c r="DO106" s="161"/>
      <c r="DP106" s="161"/>
      <c r="DQ106" s="161"/>
      <c r="DR106" s="161"/>
      <c r="DS106" s="161"/>
      <c r="DT106" s="161"/>
      <c r="DU106" s="161"/>
      <c r="DV106" s="161"/>
      <c r="DW106" s="161"/>
      <c r="DX106" s="161"/>
      <c r="DY106" s="161"/>
      <c r="DZ106" s="161"/>
      <c r="EA106" s="161"/>
      <c r="EB106" s="161"/>
      <c r="EC106" s="161"/>
      <c r="ED106" s="161"/>
      <c r="EE106" s="161"/>
      <c r="EF106" s="161">
        <f>SUM(EG106:EP106)</f>
      </c>
      <c r="EG106" s="161"/>
      <c r="EH106" s="161"/>
      <c r="EI106" s="161"/>
      <c r="EJ106" s="161"/>
      <c r="EK106" s="161"/>
      <c r="EL106" s="161"/>
      <c r="EM106" s="161"/>
      <c r="EN106" s="161"/>
      <c r="EO106" s="161"/>
      <c r="EP106" s="161"/>
      <c r="EQ106" s="161">
        <f>SUM(ER106:ES106)</f>
      </c>
      <c r="ER106" s="161"/>
      <c r="ES106" s="161"/>
      <c r="ET106" s="161"/>
      <c r="EU106" s="161"/>
      <c r="EV106" s="161"/>
      <c r="EW106" s="161"/>
      <c r="EX106" s="161"/>
      <c r="EY106" s="161"/>
      <c r="EZ106" s="161"/>
      <c r="FA106" s="161"/>
      <c r="FB106" s="161"/>
      <c r="FC106" s="161"/>
      <c r="FD106" s="161"/>
      <c r="FE106" s="161"/>
      <c r="FF106" s="161"/>
      <c r="FG106" s="161"/>
      <c r="FH106" s="163" cm="1">
        <f t="array" ref="FH106">ROW()-ROW(Ongoing[#Headers])</f>
        <v>100</v>
      </c>
      <c r="FI106" s="164" t="s">
        <v>105</v>
      </c>
      <c r="FJ106" s="164" t="s">
        <v>755</v>
      </c>
      <c r="FK106" s="164">
        <v>0</v>
      </c>
      <c r="FL106" s="164" t="s">
        <v>936</v>
      </c>
      <c r="FM106" s="164">
        <v>0</v>
      </c>
      <c r="FN106" s="164" t="s">
        <v>757</v>
      </c>
      <c r="FO106" s="164" t="s">
        <v>985</v>
      </c>
      <c r="FP106" s="164" t="s">
        <v>759</v>
      </c>
    </row>
    <row r="107" spans="2:172" s="115" customFormat="1" ht="11.25" x14ac:dyDescent="0.2">
      <c r="B107" s="4312" t="s">
        <v>914</v>
      </c>
      <c r="C107" s="4313" t="s">
        <v>915</v>
      </c>
      <c r="D107" s="4314" t="s">
        <v>35</v>
      </c>
      <c r="E107" s="4315" t="s">
        <v>810</v>
      </c>
      <c r="F107" s="4316" t="s">
        <v>1736</v>
      </c>
      <c r="G107" s="4317" t="s">
        <v>49</v>
      </c>
      <c r="H107" s="4318" t="s">
        <v>43</v>
      </c>
      <c r="I107" s="4319" t="s">
        <v>71</v>
      </c>
      <c r="J107" s="4320" t="s">
        <v>1624</v>
      </c>
      <c r="K107" s="4321" t="s">
        <v>779</v>
      </c>
      <c r="L107" s="4322" t="s">
        <v>305</v>
      </c>
      <c r="M107" s="4323" t="s">
        <v>3873</v>
      </c>
      <c r="N107" s="4324" t="s">
        <v>3871</v>
      </c>
      <c r="O107" s="148"/>
      <c r="P107" s="161">
        <f>SUM(Q107:AP107)</f>
      </c>
      <c r="Q107" s="161"/>
      <c r="R107" s="161"/>
      <c r="S107" s="161"/>
      <c r="T107" s="161"/>
      <c r="U107" s="161"/>
      <c r="V107" s="4325" t="n">
        <v>3700.0</v>
      </c>
      <c r="W107" s="161"/>
      <c r="X107" s="161"/>
      <c r="Y107" s="4326" t="n">
        <v>780.0</v>
      </c>
      <c r="Z107" s="161"/>
      <c r="AA107" s="161"/>
      <c r="AB107" s="161"/>
      <c r="AC107" s="161"/>
      <c r="AD107" s="161"/>
      <c r="AE107" s="161"/>
      <c r="AF107" s="161"/>
      <c r="AG107" s="161"/>
      <c r="AH107" s="4327" t="n">
        <v>250.0</v>
      </c>
      <c r="AI107" s="4328" t="n">
        <v>1200.0</v>
      </c>
      <c r="AJ107" s="161"/>
      <c r="AK107" s="161"/>
      <c r="AL107" s="161"/>
      <c r="AM107" s="161"/>
      <c r="AN107" s="161"/>
      <c r="AO107" s="161"/>
      <c r="AP107" s="161"/>
      <c r="AQ107" s="161">
        <f>SUM(AR107:AU107)</f>
      </c>
      <c r="AR107" s="161"/>
      <c r="AS107" s="161"/>
      <c r="AT107" s="161"/>
      <c r="AU107" s="161"/>
      <c r="AV107" s="161">
        <f>SUM(AW107:BH107)</f>
      </c>
      <c r="AW107" s="161"/>
      <c r="AX107" s="161"/>
      <c r="AY107" s="161"/>
      <c r="AZ107" s="161"/>
      <c r="BA107" s="161"/>
      <c r="BB107" s="161"/>
      <c r="BC107" s="161"/>
      <c r="BD107" s="161"/>
      <c r="BE107" s="161"/>
      <c r="BF107" s="161"/>
      <c r="BG107" s="161"/>
      <c r="BH107" s="161"/>
      <c r="BI107" s="161"/>
      <c r="BJ107" s="161"/>
      <c r="BK107" s="161"/>
      <c r="BL107" s="161"/>
      <c r="BM107" s="161"/>
      <c r="BN107" s="161"/>
      <c r="BO107" s="161"/>
      <c r="BP107" s="161"/>
      <c r="BQ107" s="161"/>
      <c r="BR107" s="161"/>
      <c r="BS107" s="161">
        <f>SUM(BT107:BV107)</f>
      </c>
      <c r="BT107" s="161"/>
      <c r="BU107" s="161"/>
      <c r="BV107" s="161"/>
      <c r="BW107" s="161">
        <f>SUM(BX107:CC107)</f>
      </c>
      <c r="BX107" s="161"/>
      <c r="BY107" s="161"/>
      <c r="BZ107" s="161"/>
      <c r="CA107" s="161"/>
      <c r="CB107" s="161"/>
      <c r="CC107" s="161"/>
      <c r="CD107" s="161"/>
      <c r="CE107" s="161"/>
      <c r="CF107" s="161"/>
      <c r="CG107" s="161"/>
      <c r="CH107" s="161"/>
      <c r="CI107" s="161"/>
      <c r="CJ107" s="161">
        <f>SUM(CK107:CM107)</f>
      </c>
      <c r="CK107" s="161"/>
      <c r="CL107" s="161"/>
      <c r="CM107" s="161"/>
      <c r="CN107" s="161">
        <f>SUM(CO107:CS107)</f>
      </c>
      <c r="CO107" s="161"/>
      <c r="CP107" s="161"/>
      <c r="CQ107" s="161"/>
      <c r="CR107" s="161"/>
      <c r="CS107" s="161"/>
      <c r="CT107" s="161"/>
      <c r="CU107" s="161"/>
      <c r="CV107" s="161"/>
      <c r="CW107" s="161"/>
      <c r="CX107" s="161"/>
      <c r="CY107" s="161"/>
      <c r="CZ107" s="161"/>
      <c r="DA107" s="161"/>
      <c r="DB107" s="161"/>
      <c r="DC107" s="161"/>
      <c r="DD107" s="161"/>
      <c r="DE107" s="161"/>
      <c r="DF107" s="161">
        <f>SUM(DG107:DG107)</f>
      </c>
      <c r="DG107" s="161"/>
      <c r="DH107" s="161"/>
      <c r="DI107" s="161"/>
      <c r="DJ107" s="161">
        <f>SUM(DK107:DP107)</f>
      </c>
      <c r="DK107" s="161"/>
      <c r="DL107" s="161"/>
      <c r="DM107" s="161"/>
      <c r="DN107" s="161"/>
      <c r="DO107" s="161"/>
      <c r="DP107" s="161"/>
      <c r="DQ107" s="161"/>
      <c r="DR107" s="161"/>
      <c r="DS107" s="161"/>
      <c r="DT107" s="161"/>
      <c r="DU107" s="161"/>
      <c r="DV107" s="161"/>
      <c r="DW107" s="161"/>
      <c r="DX107" s="161"/>
      <c r="DY107" s="161"/>
      <c r="DZ107" s="161"/>
      <c r="EA107" s="161"/>
      <c r="EB107" s="161"/>
      <c r="EC107" s="161"/>
      <c r="ED107" s="161"/>
      <c r="EE107" s="161"/>
      <c r="EF107" s="161">
        <f>SUM(EG107:EP107)</f>
      </c>
      <c r="EG107" s="161"/>
      <c r="EH107" s="161"/>
      <c r="EI107" s="161"/>
      <c r="EJ107" s="161"/>
      <c r="EK107" s="161"/>
      <c r="EL107" s="161"/>
      <c r="EM107" s="161"/>
      <c r="EN107" s="161"/>
      <c r="EO107" s="161"/>
      <c r="EP107" s="161"/>
      <c r="EQ107" s="161">
        <f>SUM(ER107:ES107)</f>
      </c>
      <c r="ER107" s="161"/>
      <c r="ES107" s="161"/>
      <c r="ET107" s="161"/>
      <c r="EU107" s="161"/>
      <c r="EV107" s="161"/>
      <c r="EW107" s="161"/>
      <c r="EX107" s="161"/>
      <c r="EY107" s="161"/>
      <c r="EZ107" s="161"/>
      <c r="FA107" s="161"/>
      <c r="FB107" s="161"/>
      <c r="FC107" s="161"/>
      <c r="FD107" s="161"/>
      <c r="FE107" s="161"/>
      <c r="FF107" s="161"/>
      <c r="FG107" s="161"/>
      <c r="FH107" s="163" cm="1">
        <f t="array" ref="FH107">ROW()-ROW(Ongoing[#Headers])</f>
        <v>101</v>
      </c>
      <c r="FI107" s="164"/>
      <c r="FJ107" s="164"/>
      <c r="FK107" s="164"/>
      <c r="FL107" s="164"/>
      <c r="FM107" s="164"/>
      <c r="FN107" s="164"/>
      <c r="FO107" s="164"/>
      <c r="FP107" s="164"/>
    </row>
    <row r="108" spans="2:172" s="115" customFormat="1" ht="11.25" x14ac:dyDescent="0.2">
      <c r="B108" s="4332" t="s">
        <v>978</v>
      </c>
      <c r="C108" s="4333" t="s">
        <v>979</v>
      </c>
      <c r="D108" s="4334" t="s">
        <v>35</v>
      </c>
      <c r="E108" s="4335" t="s">
        <v>810</v>
      </c>
      <c r="F108" s="4336" t="s">
        <v>1597</v>
      </c>
      <c r="G108" s="4337" t="s">
        <v>46</v>
      </c>
      <c r="H108" s="4338" t="s">
        <v>43</v>
      </c>
      <c r="I108" s="4339" t="s">
        <v>71</v>
      </c>
      <c r="J108" s="4340" t="s">
        <v>811</v>
      </c>
      <c r="K108" s="4341" t="s">
        <v>779</v>
      </c>
      <c r="L108" s="4342" t="s">
        <v>305</v>
      </c>
      <c r="M108" s="4343" t="s">
        <v>3873</v>
      </c>
      <c r="N108" s="4344" t="s">
        <v>3871</v>
      </c>
      <c r="O108" s="148"/>
      <c r="P108" s="161">
        <f>SUM(Q108:AP108)</f>
      </c>
      <c r="Q108" s="161"/>
      <c r="R108" s="161"/>
      <c r="S108" s="161"/>
      <c r="T108" s="161"/>
      <c r="U108" s="161"/>
      <c r="V108" s="4345" t="n">
        <v>200.0</v>
      </c>
      <c r="W108" s="161"/>
      <c r="X108" s="161"/>
      <c r="Y108" s="161"/>
      <c r="Z108" s="161"/>
      <c r="AA108" s="161"/>
      <c r="AB108" s="161"/>
      <c r="AC108" s="161"/>
      <c r="AD108" s="161"/>
      <c r="AE108" s="161"/>
      <c r="AF108" s="161"/>
      <c r="AG108" s="161"/>
      <c r="AH108" s="161"/>
      <c r="AI108" s="161"/>
      <c r="AJ108" s="161"/>
      <c r="AK108" s="161"/>
      <c r="AL108" s="161"/>
      <c r="AM108" s="161"/>
      <c r="AN108" s="161"/>
      <c r="AO108" s="161"/>
      <c r="AP108" s="161"/>
      <c r="AQ108" s="161">
        <f>SUM(AR108:AU108)</f>
      </c>
      <c r="AR108" s="161"/>
      <c r="AS108" s="161"/>
      <c r="AT108" s="161"/>
      <c r="AU108" s="161"/>
      <c r="AV108" s="161">
        <f>SUM(AW108:BH108)</f>
      </c>
      <c r="AW108" s="161"/>
      <c r="AX108" s="161"/>
      <c r="AY108" s="161"/>
      <c r="AZ108" s="161"/>
      <c r="BA108" s="161"/>
      <c r="BB108" s="161"/>
      <c r="BC108" s="161"/>
      <c r="BD108" s="161"/>
      <c r="BE108" s="161"/>
      <c r="BF108" s="161"/>
      <c r="BG108" s="161"/>
      <c r="BH108" s="161"/>
      <c r="BI108" s="161"/>
      <c r="BJ108" s="161"/>
      <c r="BK108" s="161"/>
      <c r="BL108" s="161"/>
      <c r="BM108" s="161"/>
      <c r="BN108" s="161"/>
      <c r="BO108" s="161"/>
      <c r="BP108" s="161"/>
      <c r="BQ108" s="161"/>
      <c r="BR108" s="161"/>
      <c r="BS108" s="161">
        <f>SUM(BT108:BV108)</f>
      </c>
      <c r="BT108" s="161"/>
      <c r="BU108" s="161"/>
      <c r="BV108" s="161"/>
      <c r="BW108" s="161">
        <f>SUM(BX108:CC108)</f>
      </c>
      <c r="BX108" s="161"/>
      <c r="BY108" s="161"/>
      <c r="BZ108" s="161"/>
      <c r="CA108" s="161"/>
      <c r="CB108" s="161"/>
      <c r="CC108" s="161"/>
      <c r="CD108" s="161"/>
      <c r="CE108" s="161"/>
      <c r="CF108" s="161"/>
      <c r="CG108" s="161"/>
      <c r="CH108" s="161"/>
      <c r="CI108" s="161"/>
      <c r="CJ108" s="161">
        <f>SUM(CK108:CM108)</f>
      </c>
      <c r="CK108" s="161"/>
      <c r="CL108" s="161"/>
      <c r="CM108" s="161"/>
      <c r="CN108" s="161">
        <f>SUM(CO108:CS108)</f>
      </c>
      <c r="CO108" s="161"/>
      <c r="CP108" s="161"/>
      <c r="CQ108" s="161"/>
      <c r="CR108" s="161"/>
      <c r="CS108" s="161"/>
      <c r="CT108" s="161"/>
      <c r="CU108" s="161"/>
      <c r="CV108" s="161"/>
      <c r="CW108" s="161"/>
      <c r="CX108" s="161"/>
      <c r="CY108" s="161"/>
      <c r="CZ108" s="161"/>
      <c r="DA108" s="161"/>
      <c r="DB108" s="161"/>
      <c r="DC108" s="161"/>
      <c r="DD108" s="161"/>
      <c r="DE108" s="161"/>
      <c r="DF108" s="161">
        <f>SUM(DG108:DG108)</f>
      </c>
      <c r="DG108" s="161"/>
      <c r="DH108" s="161"/>
      <c r="DI108" s="161"/>
      <c r="DJ108" s="161">
        <f>SUM(DK108:DP108)</f>
      </c>
      <c r="DK108" s="161"/>
      <c r="DL108" s="161"/>
      <c r="DM108" s="161"/>
      <c r="DN108" s="161"/>
      <c r="DO108" s="161"/>
      <c r="DP108" s="161"/>
      <c r="DQ108" s="161"/>
      <c r="DR108" s="161"/>
      <c r="DS108" s="161"/>
      <c r="DT108" s="161"/>
      <c r="DU108" s="161"/>
      <c r="DV108" s="161"/>
      <c r="DW108" s="161"/>
      <c r="DX108" s="161"/>
      <c r="DY108" s="161"/>
      <c r="DZ108" s="161"/>
      <c r="EA108" s="161"/>
      <c r="EB108" s="161"/>
      <c r="EC108" s="161"/>
      <c r="ED108" s="161"/>
      <c r="EE108" s="161"/>
      <c r="EF108" s="161">
        <f>SUM(EG108:EP108)</f>
      </c>
      <c r="EG108" s="161"/>
      <c r="EH108" s="161"/>
      <c r="EI108" s="161"/>
      <c r="EJ108" s="161"/>
      <c r="EK108" s="161"/>
      <c r="EL108" s="161"/>
      <c r="EM108" s="161"/>
      <c r="EN108" s="161"/>
      <c r="EO108" s="161"/>
      <c r="EP108" s="161"/>
      <c r="EQ108" s="161">
        <f>SUM(ER108:ES108)</f>
      </c>
      <c r="ER108" s="161"/>
      <c r="ES108" s="161"/>
      <c r="ET108" s="161"/>
      <c r="EU108" s="161"/>
      <c r="EV108" s="161"/>
      <c r="EW108" s="161"/>
      <c r="EX108" s="161"/>
      <c r="EY108" s="161"/>
      <c r="EZ108" s="161"/>
      <c r="FA108" s="161"/>
      <c r="FB108" s="161"/>
      <c r="FC108" s="161"/>
      <c r="FD108" s="161"/>
      <c r="FE108" s="161"/>
      <c r="FF108" s="161"/>
      <c r="FG108" s="161"/>
      <c r="FH108" s="163" cm="1">
        <f t="array" ref="FH108">ROW()-ROW(Ongoing[#Headers])</f>
        <v>102</v>
      </c>
      <c r="FI108" s="164" t="s">
        <v>105</v>
      </c>
      <c r="FJ108" s="164" t="s">
        <v>755</v>
      </c>
      <c r="FK108" s="164">
        <v>0</v>
      </c>
      <c r="FL108" s="164" t="s">
        <v>936</v>
      </c>
      <c r="FM108" s="164">
        <v>0</v>
      </c>
      <c r="FN108" s="164" t="s">
        <v>757</v>
      </c>
      <c r="FO108" s="164" t="s">
        <v>985</v>
      </c>
      <c r="FP108" s="164" t="s">
        <v>759</v>
      </c>
    </row>
    <row r="109" spans="2:172" s="115" customFormat="1" ht="11.25" x14ac:dyDescent="0.2">
      <c r="B109" s="4377" t="s">
        <v>1175</v>
      </c>
      <c r="C109" s="4378" t="s">
        <v>1176</v>
      </c>
      <c r="D109" s="4379" t="s">
        <v>20</v>
      </c>
      <c r="E109" s="4380" t="s">
        <v>810</v>
      </c>
      <c r="F109" s="4381" t="s">
        <v>1597</v>
      </c>
      <c r="G109" s="4382" t="s">
        <v>305</v>
      </c>
      <c r="H109" s="4383" t="s">
        <v>786</v>
      </c>
      <c r="I109" s="4384" t="s">
        <v>71</v>
      </c>
      <c r="J109" s="4385" t="s">
        <v>811</v>
      </c>
      <c r="K109" s="4386" t="s">
        <v>787</v>
      </c>
      <c r="L109" s="4387" t="s">
        <v>305</v>
      </c>
      <c r="M109" s="4388" t="s">
        <v>3873</v>
      </c>
      <c r="N109" s="4389" t="s">
        <v>3878</v>
      </c>
      <c r="O109" s="148"/>
      <c r="P109" s="161">
        <f>SUM(Q109:AP109)</f>
      </c>
      <c r="Q109" s="161"/>
      <c r="R109" s="161"/>
      <c r="S109" s="161"/>
      <c r="T109" s="161"/>
      <c r="U109" s="161"/>
      <c r="V109" s="4390" t="n">
        <v>100.0</v>
      </c>
      <c r="W109" s="161"/>
      <c r="X109" s="161"/>
      <c r="Y109" s="161"/>
      <c r="Z109" s="161"/>
      <c r="AA109" s="161"/>
      <c r="AB109" s="161"/>
      <c r="AC109" s="161"/>
      <c r="AD109" s="161"/>
      <c r="AE109" s="161"/>
      <c r="AF109" s="161"/>
      <c r="AG109" s="161"/>
      <c r="AH109" s="161"/>
      <c r="AI109" s="161"/>
      <c r="AJ109" s="161"/>
      <c r="AK109" s="161"/>
      <c r="AL109" s="161"/>
      <c r="AM109" s="161"/>
      <c r="AN109" s="161"/>
      <c r="AO109" s="161"/>
      <c r="AP109" s="161"/>
      <c r="AQ109" s="161">
        <f>SUM(AR109:AU109)</f>
      </c>
      <c r="AR109" s="161"/>
      <c r="AS109" s="161"/>
      <c r="AT109" s="161"/>
      <c r="AU109" s="161"/>
      <c r="AV109" s="161">
        <f>SUM(AW109:BH109)</f>
      </c>
      <c r="AW109" s="161"/>
      <c r="AX109" s="161"/>
      <c r="AY109" s="161"/>
      <c r="AZ109" s="161"/>
      <c r="BA109" s="161"/>
      <c r="BB109" s="161"/>
      <c r="BC109" s="161"/>
      <c r="BD109" s="161"/>
      <c r="BE109" s="161"/>
      <c r="BF109" s="161"/>
      <c r="BG109" s="161"/>
      <c r="BH109" s="161"/>
      <c r="BI109" s="161"/>
      <c r="BJ109" s="161"/>
      <c r="BK109" s="161"/>
      <c r="BL109" s="161"/>
      <c r="BM109" s="161"/>
      <c r="BN109" s="161"/>
      <c r="BO109" s="161"/>
      <c r="BP109" s="161"/>
      <c r="BQ109" s="161"/>
      <c r="BR109" s="161"/>
      <c r="BS109" s="161">
        <f>SUM(BT109:BV109)</f>
      </c>
      <c r="BT109" s="161"/>
      <c r="BU109" s="161"/>
      <c r="BV109" s="161"/>
      <c r="BW109" s="161">
        <f>SUM(BX109:CC109)</f>
      </c>
      <c r="BX109" s="161"/>
      <c r="BY109" s="161"/>
      <c r="BZ109" s="161"/>
      <c r="CA109" s="161"/>
      <c r="CB109" s="161"/>
      <c r="CC109" s="161"/>
      <c r="CD109" s="161"/>
      <c r="CE109" s="161"/>
      <c r="CF109" s="161"/>
      <c r="CG109" s="161"/>
      <c r="CH109" s="161"/>
      <c r="CI109" s="161"/>
      <c r="CJ109" s="161">
        <f>SUM(CK109:CM109)</f>
      </c>
      <c r="CK109" s="161"/>
      <c r="CL109" s="161"/>
      <c r="CM109" s="161"/>
      <c r="CN109" s="161">
        <f>SUM(CO109:CS109)</f>
      </c>
      <c r="CO109" s="161"/>
      <c r="CP109" s="161"/>
      <c r="CQ109" s="161"/>
      <c r="CR109" s="161"/>
      <c r="CS109" s="161"/>
      <c r="CT109" s="161"/>
      <c r="CU109" s="161"/>
      <c r="CV109" s="161"/>
      <c r="CW109" s="161"/>
      <c r="CX109" s="161"/>
      <c r="CY109" s="161"/>
      <c r="CZ109" s="161"/>
      <c r="DA109" s="161"/>
      <c r="DB109" s="161"/>
      <c r="DC109" s="161"/>
      <c r="DD109" s="161"/>
      <c r="DE109" s="161"/>
      <c r="DF109" s="161">
        <f>SUM(DG109:DG109)</f>
      </c>
      <c r="DG109" s="161"/>
      <c r="DH109" s="161"/>
      <c r="DI109" s="161"/>
      <c r="DJ109" s="161">
        <f>SUM(DK109:DP109)</f>
      </c>
      <c r="DK109" s="161"/>
      <c r="DL109" s="161"/>
      <c r="DM109" s="161"/>
      <c r="DN109" s="161"/>
      <c r="DO109" s="161"/>
      <c r="DP109" s="161"/>
      <c r="DQ109" s="161"/>
      <c r="DR109" s="161"/>
      <c r="DS109" s="161"/>
      <c r="DT109" s="161"/>
      <c r="DU109" s="161"/>
      <c r="DV109" s="161"/>
      <c r="DW109" s="161"/>
      <c r="DX109" s="161"/>
      <c r="DY109" s="161"/>
      <c r="DZ109" s="161"/>
      <c r="EA109" s="161"/>
      <c r="EB109" s="161"/>
      <c r="EC109" s="161"/>
      <c r="ED109" s="161"/>
      <c r="EE109" s="161"/>
      <c r="EF109" s="161">
        <f>SUM(EG109:EP109)</f>
      </c>
      <c r="EG109" s="161"/>
      <c r="EH109" s="161"/>
      <c r="EI109" s="161"/>
      <c r="EJ109" s="161"/>
      <c r="EK109" s="161"/>
      <c r="EL109" s="161"/>
      <c r="EM109" s="161"/>
      <c r="EN109" s="161"/>
      <c r="EO109" s="161"/>
      <c r="EP109" s="161"/>
      <c r="EQ109" s="161">
        <f>SUM(ER109:ES109)</f>
      </c>
      <c r="ER109" s="161"/>
      <c r="ES109" s="161"/>
      <c r="ET109" s="161"/>
      <c r="EU109" s="161"/>
      <c r="EV109" s="161"/>
      <c r="EW109" s="161"/>
      <c r="EX109" s="161"/>
      <c r="EY109" s="161"/>
      <c r="EZ109" s="161"/>
      <c r="FA109" s="161"/>
      <c r="FB109" s="161"/>
      <c r="FC109" s="161"/>
      <c r="FD109" s="161"/>
      <c r="FE109" s="161"/>
      <c r="FF109" s="161"/>
      <c r="FG109" s="161"/>
      <c r="FH109" s="163" cm="1">
        <f t="array" ref="FH109">ROW()-ROW(Ongoing[#Headers])</f>
        <v>103</v>
      </c>
      <c r="FI109" s="164"/>
      <c r="FJ109" s="164"/>
      <c r="FK109" s="164"/>
      <c r="FL109" s="164"/>
      <c r="FM109" s="164"/>
      <c r="FN109" s="164"/>
      <c r="FO109" s="164"/>
      <c r="FP109" s="164"/>
    </row>
    <row r="110" spans="2:172" s="115" customFormat="1" ht="11.25" x14ac:dyDescent="0.2">
      <c r="B110" s="4412" t="s">
        <v>1397</v>
      </c>
      <c r="C110" s="4413" t="s">
        <v>3828</v>
      </c>
      <c r="D110" s="4414" t="s">
        <v>305</v>
      </c>
      <c r="E110" s="4415" t="s">
        <v>750</v>
      </c>
      <c r="F110" s="4416" t="s">
        <v>345</v>
      </c>
      <c r="G110" s="4417" t="s">
        <v>46</v>
      </c>
      <c r="H110" s="4418" t="s">
        <v>305</v>
      </c>
      <c r="I110" s="4419" t="s">
        <v>64</v>
      </c>
      <c r="J110" s="4420" t="s">
        <v>2086</v>
      </c>
      <c r="K110" s="4421" t="s">
        <v>305</v>
      </c>
      <c r="L110" s="4422" t="s">
        <v>1615</v>
      </c>
      <c r="M110" s="4423" t="s">
        <v>3867</v>
      </c>
      <c r="N110" s="4424" t="s">
        <v>3868</v>
      </c>
      <c r="O110" s="148"/>
      <c r="P110" s="161">
        <f>SUM(Q110:AP110)</f>
      </c>
      <c r="Q110" s="161"/>
      <c r="R110" s="161"/>
      <c r="S110" s="161"/>
      <c r="T110" s="161"/>
      <c r="U110" s="161"/>
      <c r="V110" s="161"/>
      <c r="W110" s="161"/>
      <c r="X110" s="161"/>
      <c r="Y110" s="161"/>
      <c r="Z110" s="161"/>
      <c r="AA110" s="161"/>
      <c r="AB110" s="161"/>
      <c r="AC110" s="161"/>
      <c r="AD110" s="161"/>
      <c r="AE110" s="161"/>
      <c r="AF110" s="161"/>
      <c r="AG110" s="161"/>
      <c r="AH110" s="161"/>
      <c r="AI110" s="161"/>
      <c r="AJ110" s="161"/>
      <c r="AK110" s="161"/>
      <c r="AL110" s="161"/>
      <c r="AM110" s="161"/>
      <c r="AN110" s="161"/>
      <c r="AO110" s="161"/>
      <c r="AP110" s="161"/>
      <c r="AQ110" s="161">
        <f>SUM(AR110:AU110)</f>
      </c>
      <c r="AR110" s="161"/>
      <c r="AS110" s="161"/>
      <c r="AT110" s="161"/>
      <c r="AU110" s="161"/>
      <c r="AV110" s="161">
        <f>SUM(AW110:BH110)</f>
      </c>
      <c r="AW110" s="161"/>
      <c r="AX110" s="161"/>
      <c r="AY110" s="161"/>
      <c r="AZ110" s="161"/>
      <c r="BA110" s="161"/>
      <c r="BB110" s="161"/>
      <c r="BC110" s="161"/>
      <c r="BD110" s="161"/>
      <c r="BE110" s="161"/>
      <c r="BF110" s="161"/>
      <c r="BG110" s="161"/>
      <c r="BH110" s="161"/>
      <c r="BI110" s="161"/>
      <c r="BJ110" s="161"/>
      <c r="BK110" s="161"/>
      <c r="BL110" s="161"/>
      <c r="BM110" s="161"/>
      <c r="BN110" s="161"/>
      <c r="BO110" s="161"/>
      <c r="BP110" s="161"/>
      <c r="BQ110" s="161"/>
      <c r="BR110" s="161"/>
      <c r="BS110" s="161">
        <f>SUM(BT110:BV110)</f>
      </c>
      <c r="BT110" s="161"/>
      <c r="BU110" s="161"/>
      <c r="BV110" s="161"/>
      <c r="BW110" s="161">
        <f>SUM(BX110:CC110)</f>
      </c>
      <c r="BX110" s="161"/>
      <c r="BY110" s="161"/>
      <c r="BZ110" s="161"/>
      <c r="CA110" s="161"/>
      <c r="CB110" s="161"/>
      <c r="CC110" s="161"/>
      <c r="CD110" s="161"/>
      <c r="CE110" s="161"/>
      <c r="CF110" s="161"/>
      <c r="CG110" s="161"/>
      <c r="CH110" s="161"/>
      <c r="CI110" s="161"/>
      <c r="CJ110" s="161">
        <f>SUM(CK110:CM110)</f>
      </c>
      <c r="CK110" s="161"/>
      <c r="CL110" s="161"/>
      <c r="CM110" s="161"/>
      <c r="CN110" s="161">
        <f>SUM(CO110:CS110)</f>
      </c>
      <c r="CO110" s="161"/>
      <c r="CP110" s="161"/>
      <c r="CQ110" s="161"/>
      <c r="CR110" s="161"/>
      <c r="CS110" s="161"/>
      <c r="CT110" s="161"/>
      <c r="CU110" s="161"/>
      <c r="CV110" s="161"/>
      <c r="CW110" s="161"/>
      <c r="CX110" s="161"/>
      <c r="CY110" s="161"/>
      <c r="CZ110" s="161"/>
      <c r="DA110" s="161"/>
      <c r="DB110" s="161"/>
      <c r="DC110" s="161"/>
      <c r="DD110" s="161"/>
      <c r="DE110" s="161"/>
      <c r="DF110" s="161">
        <f>SUM(DG110:DG110)</f>
      </c>
      <c r="DG110" s="161"/>
      <c r="DH110" s="161"/>
      <c r="DI110" s="161"/>
      <c r="DJ110" s="161">
        <f>SUM(DK110:DP110)</f>
      </c>
      <c r="DK110" s="161"/>
      <c r="DL110" s="161"/>
      <c r="DM110" s="161"/>
      <c r="DN110" s="161"/>
      <c r="DO110" s="161"/>
      <c r="DP110" s="161"/>
      <c r="DQ110" s="161"/>
      <c r="DR110" s="161"/>
      <c r="DS110" s="161"/>
      <c r="DT110" s="161"/>
      <c r="DU110" s="161"/>
      <c r="DV110" s="161"/>
      <c r="DW110" s="161"/>
      <c r="DX110" s="161"/>
      <c r="DY110" s="161"/>
      <c r="DZ110" s="161"/>
      <c r="EA110" s="161"/>
      <c r="EB110" s="161"/>
      <c r="EC110" s="161"/>
      <c r="ED110" s="161"/>
      <c r="EE110" s="161"/>
      <c r="EF110" s="161">
        <f>SUM(EG110:EP110)</f>
      </c>
      <c r="EG110" s="161"/>
      <c r="EH110" s="161"/>
      <c r="EI110" s="161"/>
      <c r="EJ110" s="161"/>
      <c r="EK110" s="161"/>
      <c r="EL110" s="161"/>
      <c r="EM110" s="161"/>
      <c r="EN110" s="161"/>
      <c r="EO110" s="161"/>
      <c r="EP110" s="161"/>
      <c r="EQ110" s="161">
        <f>SUM(ER110:ES110)</f>
      </c>
      <c r="ER110" s="161"/>
      <c r="ES110" s="161"/>
      <c r="ET110" s="161"/>
      <c r="EU110" s="161"/>
      <c r="EV110" s="161"/>
      <c r="EW110" s="161"/>
      <c r="EX110" s="161"/>
      <c r="EY110" s="161"/>
      <c r="EZ110" s="161"/>
      <c r="FA110" s="161"/>
      <c r="FB110" s="161"/>
      <c r="FC110" s="161"/>
      <c r="FD110" s="161"/>
      <c r="FE110" s="161"/>
      <c r="FF110" s="161"/>
      <c r="FG110" s="161"/>
      <c r="FH110" s="163" cm="1">
        <f t="array" ref="FH110">ROW()-ROW(Ongoing[#Headers])</f>
        <v>104</v>
      </c>
      <c r="FI110" s="164"/>
      <c r="FJ110" s="164" t="s">
        <v>755</v>
      </c>
      <c r="FK110" s="164">
        <v>0</v>
      </c>
      <c r="FL110" s="164" t="s">
        <v>781</v>
      </c>
      <c r="FM110" s="164" t="s">
        <v>790</v>
      </c>
      <c r="FN110" s="164" t="s">
        <v>782</v>
      </c>
      <c r="FO110" s="164" t="s">
        <v>811</v>
      </c>
      <c r="FP110" s="164" t="s">
        <v>792</v>
      </c>
    </row>
    <row r="111" spans="2:172" s="115" customFormat="1" ht="11.25" x14ac:dyDescent="0.2">
      <c r="B111" s="4425" t="s">
        <v>857</v>
      </c>
      <c r="C111" s="4426" t="s">
        <v>858</v>
      </c>
      <c r="D111" s="4427" t="s">
        <v>20</v>
      </c>
      <c r="E111" s="4428" t="s">
        <v>810</v>
      </c>
      <c r="F111" s="4429" t="s">
        <v>1597</v>
      </c>
      <c r="G111" s="4430" t="s">
        <v>305</v>
      </c>
      <c r="H111" s="4431" t="s">
        <v>786</v>
      </c>
      <c r="I111" s="4432" t="s">
        <v>71</v>
      </c>
      <c r="J111" s="4433" t="s">
        <v>811</v>
      </c>
      <c r="K111" s="4434" t="s">
        <v>787</v>
      </c>
      <c r="L111" s="4435" t="s">
        <v>305</v>
      </c>
      <c r="M111" s="4436" t="s">
        <v>3873</v>
      </c>
      <c r="N111" s="4437" t="s">
        <v>3871</v>
      </c>
      <c r="O111" s="148"/>
      <c r="P111" s="161">
        <f>SUM(Q111:AP111)</f>
      </c>
      <c r="Q111" s="161"/>
      <c r="R111" s="161"/>
      <c r="S111" s="4438" t="n">
        <v>75.0</v>
      </c>
      <c r="T111" s="161"/>
      <c r="U111" s="161"/>
      <c r="V111" s="4439" t="n">
        <v>200.0</v>
      </c>
      <c r="W111" s="161"/>
      <c r="X111" s="161"/>
      <c r="Y111" s="161"/>
      <c r="Z111" s="161"/>
      <c r="AA111" s="161"/>
      <c r="AB111" s="161"/>
      <c r="AC111" s="161"/>
      <c r="AD111" s="161"/>
      <c r="AE111" s="161"/>
      <c r="AF111" s="161"/>
      <c r="AG111" s="161"/>
      <c r="AH111" s="161"/>
      <c r="AI111" s="161"/>
      <c r="AJ111" s="161"/>
      <c r="AK111" s="161"/>
      <c r="AL111" s="161"/>
      <c r="AM111" s="161"/>
      <c r="AN111" s="161"/>
      <c r="AO111" s="161"/>
      <c r="AP111" s="161"/>
      <c r="AQ111" s="161">
        <f>SUM(AR111:AU111)</f>
      </c>
      <c r="AR111" s="161"/>
      <c r="AS111" s="161"/>
      <c r="AT111" s="161"/>
      <c r="AU111" s="161"/>
      <c r="AV111" s="161">
        <f>SUM(AW111:BH111)</f>
      </c>
      <c r="AW111" s="161"/>
      <c r="AX111" s="161"/>
      <c r="AY111" s="161"/>
      <c r="AZ111" s="161"/>
      <c r="BA111" s="161"/>
      <c r="BB111" s="161"/>
      <c r="BC111" s="161"/>
      <c r="BD111" s="161"/>
      <c r="BE111" s="161"/>
      <c r="BF111" s="161"/>
      <c r="BG111" s="161"/>
      <c r="BH111" s="161"/>
      <c r="BI111" s="161"/>
      <c r="BJ111" s="161"/>
      <c r="BK111" s="161"/>
      <c r="BL111" s="161"/>
      <c r="BM111" s="161"/>
      <c r="BN111" s="161"/>
      <c r="BO111" s="161"/>
      <c r="BP111" s="161"/>
      <c r="BQ111" s="161"/>
      <c r="BR111" s="161"/>
      <c r="BS111" s="161">
        <f>SUM(BT111:BV111)</f>
      </c>
      <c r="BT111" s="161"/>
      <c r="BU111" s="161"/>
      <c r="BV111" s="161"/>
      <c r="BW111" s="161">
        <f>SUM(BX111:CC111)</f>
      </c>
      <c r="BX111" s="161"/>
      <c r="BY111" s="161"/>
      <c r="BZ111" s="161"/>
      <c r="CA111" s="161"/>
      <c r="CB111" s="161"/>
      <c r="CC111" s="161"/>
      <c r="CD111" s="161"/>
      <c r="CE111" s="161"/>
      <c r="CF111" s="161"/>
      <c r="CG111" s="161"/>
      <c r="CH111" s="161"/>
      <c r="CI111" s="161"/>
      <c r="CJ111" s="161">
        <f>SUM(CK111:CM111)</f>
      </c>
      <c r="CK111" s="161"/>
      <c r="CL111" s="161"/>
      <c r="CM111" s="161"/>
      <c r="CN111" s="161">
        <f>SUM(CO111:CS111)</f>
      </c>
      <c r="CO111" s="161"/>
      <c r="CP111" s="161"/>
      <c r="CQ111" s="161"/>
      <c r="CR111" s="161"/>
      <c r="CS111" s="161"/>
      <c r="CT111" s="161"/>
      <c r="CU111" s="161"/>
      <c r="CV111" s="161"/>
      <c r="CW111" s="161"/>
      <c r="CX111" s="161"/>
      <c r="CY111" s="161"/>
      <c r="CZ111" s="161"/>
      <c r="DA111" s="161"/>
      <c r="DB111" s="161"/>
      <c r="DC111" s="161"/>
      <c r="DD111" s="161"/>
      <c r="DE111" s="161"/>
      <c r="DF111" s="161">
        <f>SUM(DG111:DG111)</f>
      </c>
      <c r="DG111" s="161"/>
      <c r="DH111" s="161"/>
      <c r="DI111" s="161"/>
      <c r="DJ111" s="161">
        <f>SUM(DK111:DP111)</f>
      </c>
      <c r="DK111" s="161"/>
      <c r="DL111" s="161"/>
      <c r="DM111" s="161"/>
      <c r="DN111" s="161"/>
      <c r="DO111" s="161"/>
      <c r="DP111" s="161"/>
      <c r="DQ111" s="161"/>
      <c r="DR111" s="161"/>
      <c r="DS111" s="161"/>
      <c r="DT111" s="161"/>
      <c r="DU111" s="161"/>
      <c r="DV111" s="161"/>
      <c r="DW111" s="161"/>
      <c r="DX111" s="161"/>
      <c r="DY111" s="161"/>
      <c r="DZ111" s="161"/>
      <c r="EA111" s="161"/>
      <c r="EB111" s="161"/>
      <c r="EC111" s="161"/>
      <c r="ED111" s="161"/>
      <c r="EE111" s="161"/>
      <c r="EF111" s="161">
        <f>SUM(EG111:EP111)</f>
      </c>
      <c r="EG111" s="161"/>
      <c r="EH111" s="161"/>
      <c r="EI111" s="161"/>
      <c r="EJ111" s="161"/>
      <c r="EK111" s="161"/>
      <c r="EL111" s="161"/>
      <c r="EM111" s="161"/>
      <c r="EN111" s="161"/>
      <c r="EO111" s="161"/>
      <c r="EP111" s="161"/>
      <c r="EQ111" s="161">
        <f>SUM(ER111:ES111)</f>
      </c>
      <c r="ER111" s="161"/>
      <c r="ES111" s="161"/>
      <c r="ET111" s="161"/>
      <c r="EU111" s="161"/>
      <c r="EV111" s="161"/>
      <c r="EW111" s="161"/>
      <c r="EX111" s="161"/>
      <c r="EY111" s="161"/>
      <c r="EZ111" s="161"/>
      <c r="FA111" s="161"/>
      <c r="FB111" s="161"/>
      <c r="FC111" s="161"/>
      <c r="FD111" s="161"/>
      <c r="FE111" s="161"/>
      <c r="FF111" s="161"/>
      <c r="FG111" s="161"/>
      <c r="FH111" s="163" cm="1">
        <f t="array" ref="FH111">ROW()-ROW(Ongoing[#Headers])</f>
        <v>105</v>
      </c>
      <c r="FI111" s="164"/>
      <c r="FJ111" s="164" t="s">
        <v>755</v>
      </c>
      <c r="FK111" s="164">
        <v>0</v>
      </c>
      <c r="FL111" s="164" t="s">
        <v>781</v>
      </c>
      <c r="FM111" s="164" t="s">
        <v>790</v>
      </c>
      <c r="FN111" s="164" t="s">
        <v>782</v>
      </c>
      <c r="FO111" s="164" t="s">
        <v>811</v>
      </c>
      <c r="FP111" s="164" t="s">
        <v>759</v>
      </c>
    </row>
    <row r="112" spans="2:172" s="115" customFormat="1" ht="11.25" x14ac:dyDescent="0.2">
      <c r="B112" s="4454" t="s">
        <v>1139</v>
      </c>
      <c r="C112" s="4455" t="s">
        <v>1140</v>
      </c>
      <c r="D112" s="4456" t="s">
        <v>13</v>
      </c>
      <c r="E112" s="4457" t="s">
        <v>810</v>
      </c>
      <c r="F112" s="4458" t="s">
        <v>1597</v>
      </c>
      <c r="G112" s="4459" t="s">
        <v>46</v>
      </c>
      <c r="H112" s="4460" t="s">
        <v>41</v>
      </c>
      <c r="I112" s="4461" t="s">
        <v>71</v>
      </c>
      <c r="J112" s="4462" t="s">
        <v>783</v>
      </c>
      <c r="K112" s="4463" t="s">
        <v>787</v>
      </c>
      <c r="L112" s="4464" t="s">
        <v>305</v>
      </c>
      <c r="M112" s="4465" t="s">
        <v>3873</v>
      </c>
      <c r="N112" s="4466" t="s">
        <v>3871</v>
      </c>
      <c r="O112" s="148"/>
      <c r="P112" s="161">
        <f>SUM(Q112:AP112)</f>
      </c>
      <c r="Q112" s="161"/>
      <c r="R112" s="161"/>
      <c r="S112" s="161"/>
      <c r="T112" s="161"/>
      <c r="U112" s="161"/>
      <c r="V112" s="161"/>
      <c r="W112" s="161"/>
      <c r="X112" s="161"/>
      <c r="Y112" s="4467" t="n">
        <v>300.0</v>
      </c>
      <c r="Z112" s="161"/>
      <c r="AA112" s="161"/>
      <c r="AB112" s="161"/>
      <c r="AC112" s="161"/>
      <c r="AD112" s="161"/>
      <c r="AE112" s="161"/>
      <c r="AF112" s="161"/>
      <c r="AG112" s="161"/>
      <c r="AH112" s="161"/>
      <c r="AI112" s="161"/>
      <c r="AJ112" s="161"/>
      <c r="AK112" s="161"/>
      <c r="AL112" s="161"/>
      <c r="AM112" s="161"/>
      <c r="AN112" s="161"/>
      <c r="AO112" s="161"/>
      <c r="AP112" s="161"/>
      <c r="AQ112" s="161">
        <f>SUM(AR112:AU112)</f>
      </c>
      <c r="AR112" s="161"/>
      <c r="AS112" s="161"/>
      <c r="AT112" s="161"/>
      <c r="AU112" s="161"/>
      <c r="AV112" s="161">
        <f>SUM(AW112:BH112)</f>
      </c>
      <c r="AW112" s="161"/>
      <c r="AX112" s="161"/>
      <c r="AY112" s="161"/>
      <c r="AZ112" s="161"/>
      <c r="BA112" s="161"/>
      <c r="BB112" s="161"/>
      <c r="BC112" s="161"/>
      <c r="BD112" s="161"/>
      <c r="BE112" s="161"/>
      <c r="BF112" s="161"/>
      <c r="BG112" s="161"/>
      <c r="BH112" s="161"/>
      <c r="BI112" s="161"/>
      <c r="BJ112" s="161"/>
      <c r="BK112" s="161"/>
      <c r="BL112" s="161"/>
      <c r="BM112" s="161"/>
      <c r="BN112" s="161"/>
      <c r="BO112" s="161"/>
      <c r="BP112" s="161"/>
      <c r="BQ112" s="161"/>
      <c r="BR112" s="161"/>
      <c r="BS112" s="161">
        <f>SUM(BT112:BV112)</f>
      </c>
      <c r="BT112" s="161"/>
      <c r="BU112" s="161"/>
      <c r="BV112" s="161"/>
      <c r="BW112" s="161">
        <f>SUM(BX112:CC112)</f>
      </c>
      <c r="BX112" s="161"/>
      <c r="BY112" s="161"/>
      <c r="BZ112" s="161"/>
      <c r="CA112" s="161"/>
      <c r="CB112" s="161"/>
      <c r="CC112" s="161"/>
      <c r="CD112" s="161"/>
      <c r="CE112" s="161"/>
      <c r="CF112" s="161"/>
      <c r="CG112" s="161"/>
      <c r="CH112" s="161"/>
      <c r="CI112" s="161"/>
      <c r="CJ112" s="161">
        <f>SUM(CK112:CM112)</f>
      </c>
      <c r="CK112" s="161"/>
      <c r="CL112" s="161"/>
      <c r="CM112" s="161"/>
      <c r="CN112" s="161">
        <f>SUM(CO112:CS112)</f>
      </c>
      <c r="CO112" s="161"/>
      <c r="CP112" s="161"/>
      <c r="CQ112" s="161"/>
      <c r="CR112" s="161"/>
      <c r="CS112" s="161"/>
      <c r="CT112" s="161"/>
      <c r="CU112" s="161"/>
      <c r="CV112" s="161"/>
      <c r="CW112" s="161"/>
      <c r="CX112" s="161"/>
      <c r="CY112" s="161"/>
      <c r="CZ112" s="161"/>
      <c r="DA112" s="161"/>
      <c r="DB112" s="161"/>
      <c r="DC112" s="161"/>
      <c r="DD112" s="161"/>
      <c r="DE112" s="161"/>
      <c r="DF112" s="161">
        <f>SUM(DG112:DG112)</f>
      </c>
      <c r="DG112" s="161"/>
      <c r="DH112" s="161"/>
      <c r="DI112" s="161"/>
      <c r="DJ112" s="161">
        <f>SUM(DK112:DP112)</f>
      </c>
      <c r="DK112" s="161"/>
      <c r="DL112" s="161"/>
      <c r="DM112" s="161"/>
      <c r="DN112" s="161"/>
      <c r="DO112" s="161"/>
      <c r="DP112" s="161"/>
      <c r="DQ112" s="161"/>
      <c r="DR112" s="161"/>
      <c r="DS112" s="161"/>
      <c r="DT112" s="161"/>
      <c r="DU112" s="161"/>
      <c r="DV112" s="161"/>
      <c r="DW112" s="161"/>
      <c r="DX112" s="161"/>
      <c r="DY112" s="161"/>
      <c r="DZ112" s="161"/>
      <c r="EA112" s="161"/>
      <c r="EB112" s="161"/>
      <c r="EC112" s="161"/>
      <c r="ED112" s="161"/>
      <c r="EE112" s="161"/>
      <c r="EF112" s="161">
        <f>SUM(EG112:EP112)</f>
      </c>
      <c r="EG112" s="161"/>
      <c r="EH112" s="161"/>
      <c r="EI112" s="161"/>
      <c r="EJ112" s="161"/>
      <c r="EK112" s="161"/>
      <c r="EL112" s="161"/>
      <c r="EM112" s="161"/>
      <c r="EN112" s="161"/>
      <c r="EO112" s="161"/>
      <c r="EP112" s="161"/>
      <c r="EQ112" s="161">
        <f>SUM(ER112:ES112)</f>
      </c>
      <c r="ER112" s="161"/>
      <c r="ES112" s="161"/>
      <c r="ET112" s="161"/>
      <c r="EU112" s="161"/>
      <c r="EV112" s="161"/>
      <c r="EW112" s="161"/>
      <c r="EX112" s="161"/>
      <c r="EY112" s="161"/>
      <c r="EZ112" s="161"/>
      <c r="FA112" s="161"/>
      <c r="FB112" s="161"/>
      <c r="FC112" s="161"/>
      <c r="FD112" s="161"/>
      <c r="FE112" s="161"/>
      <c r="FF112" s="161"/>
      <c r="FG112" s="161"/>
      <c r="FH112" s="163" cm="1">
        <f t="array" ref="FH112">ROW()-ROW(Ongoing[#Headers])</f>
        <v>106</v>
      </c>
      <c r="FI112" s="164" t="s">
        <v>105</v>
      </c>
      <c r="FJ112" s="164" t="s">
        <v>755</v>
      </c>
      <c r="FK112" s="164">
        <v>0</v>
      </c>
      <c r="FL112" s="164" t="s">
        <v>936</v>
      </c>
      <c r="FM112" s="164">
        <v>0</v>
      </c>
      <c r="FN112" s="164" t="s">
        <v>757</v>
      </c>
      <c r="FO112" s="164" t="s">
        <v>985</v>
      </c>
      <c r="FP112" s="164" t="s">
        <v>759</v>
      </c>
    </row>
    <row r="113" spans="2:172" s="115" customFormat="1" ht="11.25" x14ac:dyDescent="0.2">
      <c r="B113" s="4526" t="s">
        <v>1382</v>
      </c>
      <c r="C113" s="4527" t="s">
        <v>1383</v>
      </c>
      <c r="D113" s="4528" t="s">
        <v>35</v>
      </c>
      <c r="E113" s="4529" t="s">
        <v>1796</v>
      </c>
      <c r="F113" s="4530" t="s">
        <v>1597</v>
      </c>
      <c r="G113" s="4531" t="s">
        <v>53</v>
      </c>
      <c r="H113" s="4532" t="s">
        <v>43</v>
      </c>
      <c r="I113" s="4533" t="s">
        <v>64</v>
      </c>
      <c r="J113" s="4534" t="s">
        <v>1232</v>
      </c>
      <c r="K113" s="4535" t="s">
        <v>787</v>
      </c>
      <c r="L113" s="4536" t="s">
        <v>305</v>
      </c>
      <c r="M113" s="4537" t="s">
        <v>3873</v>
      </c>
      <c r="N113" s="4538" t="s">
        <v>3871</v>
      </c>
      <c r="O113" s="148"/>
      <c r="P113" s="161">
        <f>SUM(Q113:AP113)</f>
      </c>
      <c r="Q113" s="161"/>
      <c r="R113" s="161"/>
      <c r="S113" s="161"/>
      <c r="T113" s="161"/>
      <c r="U113" s="161"/>
      <c r="V113" s="161"/>
      <c r="W113" s="161"/>
      <c r="X113" s="4539" t="n">
        <v>500.0</v>
      </c>
      <c r="Y113" s="161"/>
      <c r="Z113" s="161"/>
      <c r="AA113" s="161"/>
      <c r="AB113" s="161"/>
      <c r="AC113" s="161"/>
      <c r="AD113" s="161"/>
      <c r="AE113" s="161"/>
      <c r="AF113" s="161"/>
      <c r="AG113" s="161"/>
      <c r="AH113" s="161"/>
      <c r="AI113" s="161"/>
      <c r="AJ113" s="161"/>
      <c r="AK113" s="161"/>
      <c r="AL113" s="161"/>
      <c r="AM113" s="161"/>
      <c r="AN113" s="161"/>
      <c r="AO113" s="161"/>
      <c r="AP113" s="161"/>
      <c r="AQ113" s="161">
        <f>SUM(AR113:AU113)</f>
      </c>
      <c r="AR113" s="161"/>
      <c r="AS113" s="161"/>
      <c r="AT113" s="161"/>
      <c r="AU113" s="161"/>
      <c r="AV113" s="161">
        <f>SUM(AW113:BH113)</f>
      </c>
      <c r="AW113" s="161"/>
      <c r="AX113" s="161"/>
      <c r="AY113" s="161"/>
      <c r="AZ113" s="161"/>
      <c r="BA113" s="161"/>
      <c r="BB113" s="161"/>
      <c r="BC113" s="161"/>
      <c r="BD113" s="161"/>
      <c r="BE113" s="161"/>
      <c r="BF113" s="161"/>
      <c r="BG113" s="161"/>
      <c r="BH113" s="161"/>
      <c r="BI113" s="161"/>
      <c r="BJ113" s="161"/>
      <c r="BK113" s="161"/>
      <c r="BL113" s="161"/>
      <c r="BM113" s="161"/>
      <c r="BN113" s="161"/>
      <c r="BO113" s="161"/>
      <c r="BP113" s="161"/>
      <c r="BQ113" s="161"/>
      <c r="BR113" s="161"/>
      <c r="BS113" s="161">
        <f>SUM(BT113:BV113)</f>
      </c>
      <c r="BT113" s="161"/>
      <c r="BU113" s="161"/>
      <c r="BV113" s="161"/>
      <c r="BW113" s="161">
        <f>SUM(BX113:CC113)</f>
      </c>
      <c r="BX113" s="161"/>
      <c r="BY113" s="161"/>
      <c r="BZ113" s="161"/>
      <c r="CA113" s="161"/>
      <c r="CB113" s="161"/>
      <c r="CC113" s="161"/>
      <c r="CD113" s="161"/>
      <c r="CE113" s="161"/>
      <c r="CF113" s="161"/>
      <c r="CG113" s="161"/>
      <c r="CH113" s="161"/>
      <c r="CI113" s="161"/>
      <c r="CJ113" s="161">
        <f>SUM(CK113:CM113)</f>
      </c>
      <c r="CK113" s="161"/>
      <c r="CL113" s="161"/>
      <c r="CM113" s="161"/>
      <c r="CN113" s="161">
        <f>SUM(CO113:CS113)</f>
      </c>
      <c r="CO113" s="161"/>
      <c r="CP113" s="161"/>
      <c r="CQ113" s="161"/>
      <c r="CR113" s="161"/>
      <c r="CS113" s="161"/>
      <c r="CT113" s="161"/>
      <c r="CU113" s="161"/>
      <c r="CV113" s="161"/>
      <c r="CW113" s="161"/>
      <c r="CX113" s="161"/>
      <c r="CY113" s="161"/>
      <c r="CZ113" s="161"/>
      <c r="DA113" s="161"/>
      <c r="DB113" s="161"/>
      <c r="DC113" s="161"/>
      <c r="DD113" s="161"/>
      <c r="DE113" s="161"/>
      <c r="DF113" s="161">
        <f>SUM(DG113:DG113)</f>
      </c>
      <c r="DG113" s="161"/>
      <c r="DH113" s="161"/>
      <c r="DI113" s="161"/>
      <c r="DJ113" s="161">
        <f>SUM(DK113:DP113)</f>
      </c>
      <c r="DK113" s="161"/>
      <c r="DL113" s="161"/>
      <c r="DM113" s="161"/>
      <c r="DN113" s="161"/>
      <c r="DO113" s="161"/>
      <c r="DP113" s="161"/>
      <c r="DQ113" s="161"/>
      <c r="DR113" s="161"/>
      <c r="DS113" s="161"/>
      <c r="DT113" s="161"/>
      <c r="DU113" s="161"/>
      <c r="DV113" s="161"/>
      <c r="DW113" s="161"/>
      <c r="DX113" s="161"/>
      <c r="DY113" s="161"/>
      <c r="DZ113" s="161"/>
      <c r="EA113" s="161"/>
      <c r="EB113" s="161"/>
      <c r="EC113" s="161"/>
      <c r="ED113" s="161"/>
      <c r="EE113" s="161"/>
      <c r="EF113" s="161">
        <f>SUM(EG113:EP113)</f>
      </c>
      <c r="EG113" s="161"/>
      <c r="EH113" s="161"/>
      <c r="EI113" s="161"/>
      <c r="EJ113" s="161"/>
      <c r="EK113" s="161"/>
      <c r="EL113" s="161"/>
      <c r="EM113" s="161"/>
      <c r="EN113" s="161"/>
      <c r="EO113" s="161"/>
      <c r="EP113" s="161"/>
      <c r="EQ113" s="161">
        <f>SUM(ER113:ES113)</f>
      </c>
      <c r="ER113" s="161"/>
      <c r="ES113" s="161"/>
      <c r="ET113" s="161"/>
      <c r="EU113" s="161"/>
      <c r="EV113" s="161"/>
      <c r="EW113" s="161"/>
      <c r="EX113" s="161"/>
      <c r="EY113" s="161"/>
      <c r="EZ113" s="161"/>
      <c r="FA113" s="161"/>
      <c r="FB113" s="161"/>
      <c r="FC113" s="161"/>
      <c r="FD113" s="161"/>
      <c r="FE113" s="161"/>
      <c r="FF113" s="161"/>
      <c r="FG113" s="161"/>
      <c r="FH113" s="163" cm="1">
        <f t="array" ref="FH113">ROW()-ROW(Ongoing[#Headers])</f>
        <v>107</v>
      </c>
      <c r="FI113" s="164" t="s">
        <v>105</v>
      </c>
      <c r="FJ113" s="164" t="s">
        <v>755</v>
      </c>
      <c r="FK113" s="164">
        <v>0</v>
      </c>
      <c r="FL113" s="164" t="s">
        <v>936</v>
      </c>
      <c r="FM113" s="164">
        <v>0</v>
      </c>
      <c r="FN113" s="164" t="s">
        <v>757</v>
      </c>
      <c r="FO113" s="164" t="s">
        <v>985</v>
      </c>
      <c r="FP113" s="164" t="s">
        <v>759</v>
      </c>
    </row>
    <row r="114" spans="2:172" s="115" customFormat="1" ht="11.25" x14ac:dyDescent="0.2">
      <c r="B114" s="4540" t="s">
        <v>1177</v>
      </c>
      <c r="C114" s="4541" t="s">
        <v>1178</v>
      </c>
      <c r="D114" s="4542" t="s">
        <v>20</v>
      </c>
      <c r="E114" s="4543" t="s">
        <v>810</v>
      </c>
      <c r="F114" s="4544" t="s">
        <v>1597</v>
      </c>
      <c r="G114" s="4545" t="s">
        <v>305</v>
      </c>
      <c r="H114" s="4546" t="s">
        <v>786</v>
      </c>
      <c r="I114" s="4547" t="s">
        <v>71</v>
      </c>
      <c r="J114" s="4548" t="s">
        <v>811</v>
      </c>
      <c r="K114" s="4549" t="s">
        <v>787</v>
      </c>
      <c r="L114" s="4550" t="s">
        <v>305</v>
      </c>
      <c r="M114" s="4551" t="s">
        <v>3873</v>
      </c>
      <c r="N114" s="4552" t="s">
        <v>3871</v>
      </c>
      <c r="O114" s="148"/>
      <c r="P114" s="161">
        <f>SUM(Q114:AP114)</f>
      </c>
      <c r="Q114" s="161"/>
      <c r="R114" s="161"/>
      <c r="S114" s="161"/>
      <c r="T114" s="161"/>
      <c r="U114" s="161"/>
      <c r="V114" s="4553" t="n">
        <v>100.0</v>
      </c>
      <c r="W114" s="161"/>
      <c r="X114" s="161"/>
      <c r="Y114" s="161"/>
      <c r="Z114" s="161"/>
      <c r="AA114" s="161"/>
      <c r="AB114" s="161"/>
      <c r="AC114" s="161"/>
      <c r="AD114" s="161"/>
      <c r="AE114" s="161"/>
      <c r="AF114" s="161"/>
      <c r="AG114" s="161"/>
      <c r="AH114" s="161"/>
      <c r="AI114" s="161"/>
      <c r="AJ114" s="161"/>
      <c r="AK114" s="161"/>
      <c r="AL114" s="161"/>
      <c r="AM114" s="161"/>
      <c r="AN114" s="161"/>
      <c r="AO114" s="161"/>
      <c r="AP114" s="161"/>
      <c r="AQ114" s="161">
        <f>SUM(AR114:AU114)</f>
      </c>
      <c r="AR114" s="161"/>
      <c r="AS114" s="161"/>
      <c r="AT114" s="161"/>
      <c r="AU114" s="161"/>
      <c r="AV114" s="161">
        <f>SUM(AW114:BH114)</f>
      </c>
      <c r="AW114" s="161"/>
      <c r="AX114" s="161"/>
      <c r="AY114" s="161"/>
      <c r="AZ114" s="161"/>
      <c r="BA114" s="161"/>
      <c r="BB114" s="161"/>
      <c r="BC114" s="161"/>
      <c r="BD114" s="161"/>
      <c r="BE114" s="161"/>
      <c r="BF114" s="161"/>
      <c r="BG114" s="161"/>
      <c r="BH114" s="161"/>
      <c r="BI114" s="161"/>
      <c r="BJ114" s="161"/>
      <c r="BK114" s="161"/>
      <c r="BL114" s="161"/>
      <c r="BM114" s="161"/>
      <c r="BN114" s="161"/>
      <c r="BO114" s="161"/>
      <c r="BP114" s="161"/>
      <c r="BQ114" s="161"/>
      <c r="BR114" s="161"/>
      <c r="BS114" s="161">
        <f>SUM(BT114:BV114)</f>
      </c>
      <c r="BT114" s="161"/>
      <c r="BU114" s="161"/>
      <c r="BV114" s="161"/>
      <c r="BW114" s="161">
        <f>SUM(BX114:CC114)</f>
      </c>
      <c r="BX114" s="161"/>
      <c r="BY114" s="161"/>
      <c r="BZ114" s="161"/>
      <c r="CA114" s="161"/>
      <c r="CB114" s="161"/>
      <c r="CC114" s="161"/>
      <c r="CD114" s="161"/>
      <c r="CE114" s="161"/>
      <c r="CF114" s="161"/>
      <c r="CG114" s="161"/>
      <c r="CH114" s="161"/>
      <c r="CI114" s="161"/>
      <c r="CJ114" s="161">
        <f>SUM(CK114:CM114)</f>
      </c>
      <c r="CK114" s="161"/>
      <c r="CL114" s="161"/>
      <c r="CM114" s="161"/>
      <c r="CN114" s="161">
        <f>SUM(CO114:CS114)</f>
      </c>
      <c r="CO114" s="161"/>
      <c r="CP114" s="161"/>
      <c r="CQ114" s="161"/>
      <c r="CR114" s="161"/>
      <c r="CS114" s="161"/>
      <c r="CT114" s="161"/>
      <c r="CU114" s="161"/>
      <c r="CV114" s="161"/>
      <c r="CW114" s="161"/>
      <c r="CX114" s="161"/>
      <c r="CY114" s="161"/>
      <c r="CZ114" s="161"/>
      <c r="DA114" s="161"/>
      <c r="DB114" s="161"/>
      <c r="DC114" s="161"/>
      <c r="DD114" s="161"/>
      <c r="DE114" s="161"/>
      <c r="DF114" s="161">
        <f>SUM(DG114:DG114)</f>
      </c>
      <c r="DG114" s="161"/>
      <c r="DH114" s="161"/>
      <c r="DI114" s="161"/>
      <c r="DJ114" s="161">
        <f>SUM(DK114:DP114)</f>
      </c>
      <c r="DK114" s="161"/>
      <c r="DL114" s="161"/>
      <c r="DM114" s="161"/>
      <c r="DN114" s="161"/>
      <c r="DO114" s="161"/>
      <c r="DP114" s="161"/>
      <c r="DQ114" s="161"/>
      <c r="DR114" s="161"/>
      <c r="DS114" s="161"/>
      <c r="DT114" s="161"/>
      <c r="DU114" s="161"/>
      <c r="DV114" s="161"/>
      <c r="DW114" s="161"/>
      <c r="DX114" s="161"/>
      <c r="DY114" s="161"/>
      <c r="DZ114" s="161"/>
      <c r="EA114" s="161"/>
      <c r="EB114" s="161"/>
      <c r="EC114" s="161"/>
      <c r="ED114" s="161"/>
      <c r="EE114" s="161"/>
      <c r="EF114" s="161">
        <f>SUM(EG114:EP114)</f>
      </c>
      <c r="EG114" s="161"/>
      <c r="EH114" s="161"/>
      <c r="EI114" s="161"/>
      <c r="EJ114" s="161"/>
      <c r="EK114" s="161"/>
      <c r="EL114" s="161"/>
      <c r="EM114" s="161"/>
      <c r="EN114" s="161"/>
      <c r="EO114" s="161"/>
      <c r="EP114" s="161"/>
      <c r="EQ114" s="161">
        <f>SUM(ER114:ES114)</f>
      </c>
      <c r="ER114" s="161"/>
      <c r="ES114" s="161"/>
      <c r="ET114" s="161"/>
      <c r="EU114" s="161"/>
      <c r="EV114" s="161"/>
      <c r="EW114" s="161"/>
      <c r="EX114" s="161"/>
      <c r="EY114" s="161"/>
      <c r="EZ114" s="161"/>
      <c r="FA114" s="161"/>
      <c r="FB114" s="161"/>
      <c r="FC114" s="161"/>
      <c r="FD114" s="161"/>
      <c r="FE114" s="161"/>
      <c r="FF114" s="161"/>
      <c r="FG114" s="161"/>
      <c r="FH114" s="163" cm="1">
        <f t="array" ref="FH114">ROW()-ROW(Ongoing[#Headers])</f>
        <v>108</v>
      </c>
      <c r="FI114" s="164" t="s">
        <v>768</v>
      </c>
      <c r="FJ114" s="164" t="s">
        <v>755</v>
      </c>
      <c r="FK114" s="164">
        <v>0</v>
      </c>
      <c r="FL114" s="164" t="s">
        <v>789</v>
      </c>
      <c r="FM114" s="164">
        <v>0</v>
      </c>
      <c r="FN114" s="164" t="s">
        <v>770</v>
      </c>
      <c r="FO114" s="164" t="s">
        <v>774</v>
      </c>
      <c r="FP114" s="164" t="s">
        <v>850</v>
      </c>
    </row>
    <row r="115" spans="2:172" s="115" customFormat="1" ht="11.25" x14ac:dyDescent="0.2">
      <c r="B115" s="4610" t="s">
        <v>1441</v>
      </c>
      <c r="C115" s="4611" t="s">
        <v>1442</v>
      </c>
      <c r="D115" s="4612" t="s">
        <v>13</v>
      </c>
      <c r="E115" s="4613" t="s">
        <v>1641</v>
      </c>
      <c r="F115" s="4614" t="s">
        <v>345</v>
      </c>
      <c r="G115" s="4615" t="s">
        <v>46</v>
      </c>
      <c r="H115" s="4616" t="s">
        <v>41</v>
      </c>
      <c r="I115" s="4617" t="s">
        <v>68</v>
      </c>
      <c r="J115" s="4618" t="s">
        <v>1672</v>
      </c>
      <c r="K115" s="4619" t="s">
        <v>767</v>
      </c>
      <c r="L115" s="4620" t="s">
        <v>1392</v>
      </c>
      <c r="M115" s="4621" t="s">
        <v>3873</v>
      </c>
      <c r="N115" s="4622" t="s">
        <v>3878</v>
      </c>
      <c r="O115" s="148"/>
      <c r="P115" s="161">
        <f>SUM(Q115:AP115)</f>
      </c>
      <c r="Q115" s="161"/>
      <c r="R115" s="161"/>
      <c r="S115" s="161"/>
      <c r="T115" s="161"/>
      <c r="U115" s="161"/>
      <c r="V115" s="161"/>
      <c r="W115" s="161"/>
      <c r="X115" s="161"/>
      <c r="Y115" s="161"/>
      <c r="Z115" s="161"/>
      <c r="AA115" s="161"/>
      <c r="AB115" s="161"/>
      <c r="AC115" s="161"/>
      <c r="AD115" s="161"/>
      <c r="AE115" s="161"/>
      <c r="AF115" s="161"/>
      <c r="AG115" s="161"/>
      <c r="AH115" s="161"/>
      <c r="AI115" s="161"/>
      <c r="AJ115" s="161"/>
      <c r="AK115" s="161"/>
      <c r="AL115" s="161"/>
      <c r="AM115" s="161"/>
      <c r="AN115" s="4623" t="n">
        <v>300.0</v>
      </c>
      <c r="AO115" s="161"/>
      <c r="AP115" s="161"/>
      <c r="AQ115" s="161">
        <f>SUM(AR115:AU115)</f>
      </c>
      <c r="AR115" s="161"/>
      <c r="AS115" s="161"/>
      <c r="AT115" s="161"/>
      <c r="AU115" s="161"/>
      <c r="AV115" s="161">
        <f>SUM(AW115:BH115)</f>
      </c>
      <c r="AW115" s="161"/>
      <c r="AX115" s="161"/>
      <c r="AY115" s="161"/>
      <c r="AZ115" s="161"/>
      <c r="BA115" s="161"/>
      <c r="BB115" s="161"/>
      <c r="BC115" s="161"/>
      <c r="BD115" s="161"/>
      <c r="BE115" s="161"/>
      <c r="BF115" s="161"/>
      <c r="BG115" s="161"/>
      <c r="BH115" s="161"/>
      <c r="BI115" s="161"/>
      <c r="BJ115" s="161"/>
      <c r="BK115" s="161"/>
      <c r="BL115" s="161"/>
      <c r="BM115" s="161"/>
      <c r="BN115" s="161"/>
      <c r="BO115" s="161"/>
      <c r="BP115" s="161"/>
      <c r="BQ115" s="161"/>
      <c r="BR115" s="161"/>
      <c r="BS115" s="161">
        <f>SUM(BT115:BV115)</f>
      </c>
      <c r="BT115" s="161"/>
      <c r="BU115" s="161"/>
      <c r="BV115" s="161"/>
      <c r="BW115" s="161">
        <f>SUM(BX115:CC115)</f>
      </c>
      <c r="BX115" s="161"/>
      <c r="BY115" s="161"/>
      <c r="BZ115" s="161"/>
      <c r="CA115" s="161"/>
      <c r="CB115" s="161"/>
      <c r="CC115" s="161"/>
      <c r="CD115" s="161"/>
      <c r="CE115" s="161"/>
      <c r="CF115" s="161"/>
      <c r="CG115" s="161"/>
      <c r="CH115" s="161"/>
      <c r="CI115" s="161"/>
      <c r="CJ115" s="161">
        <f>SUM(CK115:CM115)</f>
      </c>
      <c r="CK115" s="161"/>
      <c r="CL115" s="161"/>
      <c r="CM115" s="161"/>
      <c r="CN115" s="161">
        <f>SUM(CO115:CS115)</f>
      </c>
      <c r="CO115" s="161"/>
      <c r="CP115" s="161"/>
      <c r="CQ115" s="161"/>
      <c r="CR115" s="161"/>
      <c r="CS115" s="161"/>
      <c r="CT115" s="161"/>
      <c r="CU115" s="161"/>
      <c r="CV115" s="161"/>
      <c r="CW115" s="161"/>
      <c r="CX115" s="161"/>
      <c r="CY115" s="161"/>
      <c r="CZ115" s="161"/>
      <c r="DA115" s="161"/>
      <c r="DB115" s="161"/>
      <c r="DC115" s="161"/>
      <c r="DD115" s="161"/>
      <c r="DE115" s="161"/>
      <c r="DF115" s="161">
        <f>SUM(DG115:DG115)</f>
      </c>
      <c r="DG115" s="161"/>
      <c r="DH115" s="161"/>
      <c r="DI115" s="161"/>
      <c r="DJ115" s="161">
        <f>SUM(DK115:DP115)</f>
      </c>
      <c r="DK115" s="161"/>
      <c r="DL115" s="161"/>
      <c r="DM115" s="161"/>
      <c r="DN115" s="161"/>
      <c r="DO115" s="161"/>
      <c r="DP115" s="161"/>
      <c r="DQ115" s="161"/>
      <c r="DR115" s="161"/>
      <c r="DS115" s="161"/>
      <c r="DT115" s="161"/>
      <c r="DU115" s="161"/>
      <c r="DV115" s="161"/>
      <c r="DW115" s="161"/>
      <c r="DX115" s="161"/>
      <c r="DY115" s="161"/>
      <c r="DZ115" s="161"/>
      <c r="EA115" s="161"/>
      <c r="EB115" s="161"/>
      <c r="EC115" s="161"/>
      <c r="ED115" s="161"/>
      <c r="EE115" s="161"/>
      <c r="EF115" s="161">
        <f>SUM(EG115:EP115)</f>
      </c>
      <c r="EG115" s="161"/>
      <c r="EH115" s="161"/>
      <c r="EI115" s="161"/>
      <c r="EJ115" s="161"/>
      <c r="EK115" s="161"/>
      <c r="EL115" s="161"/>
      <c r="EM115" s="161"/>
      <c r="EN115" s="161"/>
      <c r="EO115" s="161"/>
      <c r="EP115" s="161"/>
      <c r="EQ115" s="161">
        <f>SUM(ER115:ES115)</f>
      </c>
      <c r="ER115" s="161"/>
      <c r="ES115" s="161"/>
      <c r="ET115" s="161"/>
      <c r="EU115" s="161"/>
      <c r="EV115" s="161"/>
      <c r="EW115" s="161"/>
      <c r="EX115" s="161"/>
      <c r="EY115" s="161"/>
      <c r="EZ115" s="161"/>
      <c r="FA115" s="161"/>
      <c r="FB115" s="161"/>
      <c r="FC115" s="161"/>
      <c r="FD115" s="161"/>
      <c r="FE115" s="161"/>
      <c r="FF115" s="161"/>
      <c r="FG115" s="161"/>
      <c r="FH115" s="163" cm="1">
        <f t="array" ref="FH115">ROW()-ROW(Ongoing[#Headers])</f>
        <v>109</v>
      </c>
      <c r="FI115" s="164" t="s">
        <v>768</v>
      </c>
      <c r="FJ115" s="164" t="s">
        <v>755</v>
      </c>
      <c r="FK115" s="164">
        <v>0</v>
      </c>
      <c r="FL115" s="164" t="s">
        <v>769</v>
      </c>
      <c r="FM115" s="164">
        <v>0</v>
      </c>
      <c r="FN115" s="164" t="s">
        <v>770</v>
      </c>
      <c r="FO115" s="164" t="s">
        <v>774</v>
      </c>
      <c r="FP115" s="164" t="s">
        <v>759</v>
      </c>
    </row>
    <row r="116" spans="2:172" s="115" customFormat="1" ht="11.25" x14ac:dyDescent="0.2">
      <c r="B116" s="4624" t="s">
        <v>1425</v>
      </c>
      <c r="C116" s="4625" t="s">
        <v>1426</v>
      </c>
      <c r="D116" s="4626" t="s">
        <v>13</v>
      </c>
      <c r="E116" s="4627" t="s">
        <v>766</v>
      </c>
      <c r="F116" s="4628" t="s">
        <v>345</v>
      </c>
      <c r="G116" s="4629" t="s">
        <v>46</v>
      </c>
      <c r="H116" s="4630" t="s">
        <v>305</v>
      </c>
      <c r="I116" s="4631" t="s">
        <v>68</v>
      </c>
      <c r="J116" s="4632" t="s">
        <v>1672</v>
      </c>
      <c r="K116" s="4633" t="s">
        <v>305</v>
      </c>
      <c r="L116" s="4634" t="s">
        <v>305</v>
      </c>
      <c r="M116" s="4635" t="s">
        <v>3873</v>
      </c>
      <c r="N116" s="4636" t="s">
        <v>3871</v>
      </c>
      <c r="O116" s="148"/>
      <c r="P116" s="161">
        <f>SUM(Q116:AP116)</f>
      </c>
      <c r="Q116" s="161"/>
      <c r="R116" s="161"/>
      <c r="S116" s="161"/>
      <c r="T116" s="161"/>
      <c r="U116" s="161"/>
      <c r="V116" s="161"/>
      <c r="W116" s="161"/>
      <c r="X116" s="161"/>
      <c r="Y116" s="161"/>
      <c r="Z116" s="161"/>
      <c r="AA116" s="161"/>
      <c r="AB116" s="161"/>
      <c r="AC116" s="161"/>
      <c r="AD116" s="161"/>
      <c r="AE116" s="161"/>
      <c r="AF116" s="4637" t="n">
        <v>397.0</v>
      </c>
      <c r="AG116" s="161"/>
      <c r="AH116" s="161"/>
      <c r="AI116" s="161"/>
      <c r="AJ116" s="161"/>
      <c r="AK116" s="161"/>
      <c r="AL116" s="161"/>
      <c r="AM116" s="161"/>
      <c r="AN116" s="4638" t="n">
        <v>256.0</v>
      </c>
      <c r="AO116" s="161"/>
      <c r="AP116" s="161"/>
      <c r="AQ116" s="161">
        <f>SUM(AR116:AU116)</f>
      </c>
      <c r="AR116" s="161"/>
      <c r="AS116" s="161"/>
      <c r="AT116" s="161"/>
      <c r="AU116" s="161"/>
      <c r="AV116" s="161">
        <f>SUM(AW116:BH116)</f>
      </c>
      <c r="AW116" s="161"/>
      <c r="AX116" s="161"/>
      <c r="AY116" s="161"/>
      <c r="AZ116" s="161"/>
      <c r="BA116" s="161"/>
      <c r="BB116" s="161"/>
      <c r="BC116" s="161"/>
      <c r="BD116" s="161"/>
      <c r="BE116" s="161"/>
      <c r="BF116" s="161"/>
      <c r="BG116" s="161"/>
      <c r="BH116" s="161"/>
      <c r="BI116" s="161"/>
      <c r="BJ116" s="161"/>
      <c r="BK116" s="161"/>
      <c r="BL116" s="161"/>
      <c r="BM116" s="161"/>
      <c r="BN116" s="161"/>
      <c r="BO116" s="161"/>
      <c r="BP116" s="161"/>
      <c r="BQ116" s="161"/>
      <c r="BR116" s="161"/>
      <c r="BS116" s="161">
        <f>SUM(BT116:BV116)</f>
      </c>
      <c r="BT116" s="161"/>
      <c r="BU116" s="161"/>
      <c r="BV116" s="161"/>
      <c r="BW116" s="161">
        <f>SUM(BX116:CC116)</f>
      </c>
      <c r="BX116" s="161"/>
      <c r="BY116" s="161"/>
      <c r="BZ116" s="161"/>
      <c r="CA116" s="161"/>
      <c r="CB116" s="161"/>
      <c r="CC116" s="161"/>
      <c r="CD116" s="161"/>
      <c r="CE116" s="161"/>
      <c r="CF116" s="161"/>
      <c r="CG116" s="161"/>
      <c r="CH116" s="161"/>
      <c r="CI116" s="161"/>
      <c r="CJ116" s="161">
        <f>SUM(CK116:CM116)</f>
      </c>
      <c r="CK116" s="161"/>
      <c r="CL116" s="161"/>
      <c r="CM116" s="161"/>
      <c r="CN116" s="161">
        <f>SUM(CO116:CS116)</f>
      </c>
      <c r="CO116" s="161"/>
      <c r="CP116" s="161"/>
      <c r="CQ116" s="161"/>
      <c r="CR116" s="161"/>
      <c r="CS116" s="161"/>
      <c r="CT116" s="161"/>
      <c r="CU116" s="161"/>
      <c r="CV116" s="161"/>
      <c r="CW116" s="161"/>
      <c r="CX116" s="161"/>
      <c r="CY116" s="161"/>
      <c r="CZ116" s="161"/>
      <c r="DA116" s="161"/>
      <c r="DB116" s="161"/>
      <c r="DC116" s="161"/>
      <c r="DD116" s="161"/>
      <c r="DE116" s="161"/>
      <c r="DF116" s="161">
        <f>SUM(DG116:DG116)</f>
      </c>
      <c r="DG116" s="161"/>
      <c r="DH116" s="161"/>
      <c r="DI116" s="161"/>
      <c r="DJ116" s="161">
        <f>SUM(DK116:DP116)</f>
      </c>
      <c r="DK116" s="161"/>
      <c r="DL116" s="161"/>
      <c r="DM116" s="161"/>
      <c r="DN116" s="161"/>
      <c r="DO116" s="161"/>
      <c r="DP116" s="161"/>
      <c r="DQ116" s="161"/>
      <c r="DR116" s="161"/>
      <c r="DS116" s="161"/>
      <c r="DT116" s="161"/>
      <c r="DU116" s="161"/>
      <c r="DV116" s="161"/>
      <c r="DW116" s="161"/>
      <c r="DX116" s="161"/>
      <c r="DY116" s="161"/>
      <c r="DZ116" s="161"/>
      <c r="EA116" s="161"/>
      <c r="EB116" s="161"/>
      <c r="EC116" s="161"/>
      <c r="ED116" s="161"/>
      <c r="EE116" s="161"/>
      <c r="EF116" s="161">
        <f>SUM(EG116:EP116)</f>
      </c>
      <c r="EG116" s="161"/>
      <c r="EH116" s="161"/>
      <c r="EI116" s="161"/>
      <c r="EJ116" s="161"/>
      <c r="EK116" s="161"/>
      <c r="EL116" s="161"/>
      <c r="EM116" s="161"/>
      <c r="EN116" s="161"/>
      <c r="EO116" s="161"/>
      <c r="EP116" s="161"/>
      <c r="EQ116" s="161">
        <f>SUM(ER116:ES116)</f>
      </c>
      <c r="ER116" s="161"/>
      <c r="ES116" s="161"/>
      <c r="ET116" s="161"/>
      <c r="EU116" s="161"/>
      <c r="EV116" s="161"/>
      <c r="EW116" s="161"/>
      <c r="EX116" s="161"/>
      <c r="EY116" s="161"/>
      <c r="EZ116" s="161"/>
      <c r="FA116" s="161"/>
      <c r="FB116" s="161"/>
      <c r="FC116" s="161"/>
      <c r="FD116" s="161"/>
      <c r="FE116" s="161"/>
      <c r="FF116" s="161"/>
      <c r="FG116" s="161"/>
      <c r="FH116" s="163" cm="1">
        <f t="array" ref="FH116">ROW()-ROW(Ongoing[#Headers])</f>
        <v>110</v>
      </c>
      <c r="FI116" s="164" t="s">
        <v>768</v>
      </c>
      <c r="FJ116" s="164" t="s">
        <v>755</v>
      </c>
      <c r="FK116" s="164">
        <v>0</v>
      </c>
      <c r="FL116" s="164" t="s">
        <v>769</v>
      </c>
      <c r="FM116" s="164">
        <v>0</v>
      </c>
      <c r="FN116" s="164" t="s">
        <v>770</v>
      </c>
      <c r="FO116" s="164" t="s">
        <v>774</v>
      </c>
      <c r="FP116" s="164" t="s">
        <v>759</v>
      </c>
    </row>
    <row r="117" spans="2:172" s="115" customFormat="1" ht="11.25" x14ac:dyDescent="0.2">
      <c r="B117" s="4639" t="s">
        <v>901</v>
      </c>
      <c r="C117" s="4640" t="s">
        <v>2024</v>
      </c>
      <c r="D117" s="4641" t="s">
        <v>35</v>
      </c>
      <c r="E117" s="4642" t="s">
        <v>810</v>
      </c>
      <c r="F117" s="4643" t="s">
        <v>1736</v>
      </c>
      <c r="G117" s="4644" t="s">
        <v>49</v>
      </c>
      <c r="H117" s="4645" t="s">
        <v>43</v>
      </c>
      <c r="I117" s="4646" t="s">
        <v>71</v>
      </c>
      <c r="J117" s="4647" t="s">
        <v>1624</v>
      </c>
      <c r="K117" s="4648" t="s">
        <v>779</v>
      </c>
      <c r="L117" s="4649" t="s">
        <v>305</v>
      </c>
      <c r="M117" s="4650" t="s">
        <v>3873</v>
      </c>
      <c r="N117" s="4651" t="s">
        <v>3871</v>
      </c>
      <c r="O117" s="148"/>
      <c r="P117" s="161">
        <f>SUM(Q117:AP117)</f>
      </c>
      <c r="Q117" s="161"/>
      <c r="R117" s="161"/>
      <c r="S117" s="161"/>
      <c r="T117" s="161"/>
      <c r="U117" s="161"/>
      <c r="V117" s="161"/>
      <c r="W117" s="161"/>
      <c r="X117" s="161"/>
      <c r="Y117" s="4652" t="n">
        <v>400.0</v>
      </c>
      <c r="Z117" s="161"/>
      <c r="AA117" s="161"/>
      <c r="AB117" s="161"/>
      <c r="AC117" s="161"/>
      <c r="AD117" s="161"/>
      <c r="AE117" s="161"/>
      <c r="AF117" s="161"/>
      <c r="AG117" s="161"/>
      <c r="AH117" s="161"/>
      <c r="AI117" s="161"/>
      <c r="AJ117" s="161"/>
      <c r="AK117" s="161"/>
      <c r="AL117" s="161"/>
      <c r="AM117" s="161"/>
      <c r="AN117" s="161"/>
      <c r="AO117" s="161"/>
      <c r="AP117" s="161"/>
      <c r="AQ117" s="161">
        <f>SUM(AR117:AU117)</f>
      </c>
      <c r="AR117" s="161"/>
      <c r="AS117" s="161"/>
      <c r="AT117" s="161"/>
      <c r="AU117" s="161"/>
      <c r="AV117" s="161">
        <f>SUM(AW117:BH117)</f>
      </c>
      <c r="AW117" s="161"/>
      <c r="AX117" s="161"/>
      <c r="AY117" s="161"/>
      <c r="AZ117" s="161"/>
      <c r="BA117" s="161"/>
      <c r="BB117" s="161"/>
      <c r="BC117" s="161"/>
      <c r="BD117" s="161"/>
      <c r="BE117" s="161"/>
      <c r="BF117" s="161"/>
      <c r="BG117" s="161"/>
      <c r="BH117" s="161"/>
      <c r="BI117" s="161"/>
      <c r="BJ117" s="161"/>
      <c r="BK117" s="161"/>
      <c r="BL117" s="161"/>
      <c r="BM117" s="161"/>
      <c r="BN117" s="161"/>
      <c r="BO117" s="161"/>
      <c r="BP117" s="161"/>
      <c r="BQ117" s="161"/>
      <c r="BR117" s="161"/>
      <c r="BS117" s="161">
        <f>SUM(BT117:BV117)</f>
      </c>
      <c r="BT117" s="161"/>
      <c r="BU117" s="161"/>
      <c r="BV117" s="161"/>
      <c r="BW117" s="161">
        <f>SUM(BX117:CC117)</f>
      </c>
      <c r="BX117" s="161"/>
      <c r="BY117" s="161"/>
      <c r="BZ117" s="161"/>
      <c r="CA117" s="161"/>
      <c r="CB117" s="161"/>
      <c r="CC117" s="161"/>
      <c r="CD117" s="161"/>
      <c r="CE117" s="161"/>
      <c r="CF117" s="161"/>
      <c r="CG117" s="161"/>
      <c r="CH117" s="161"/>
      <c r="CI117" s="161"/>
      <c r="CJ117" s="161">
        <f>SUM(CK117:CM117)</f>
      </c>
      <c r="CK117" s="161"/>
      <c r="CL117" s="161"/>
      <c r="CM117" s="161"/>
      <c r="CN117" s="161">
        <f>SUM(CO117:CS117)</f>
      </c>
      <c r="CO117" s="161"/>
      <c r="CP117" s="161"/>
      <c r="CQ117" s="161"/>
      <c r="CR117" s="161"/>
      <c r="CS117" s="161"/>
      <c r="CT117" s="161"/>
      <c r="CU117" s="161"/>
      <c r="CV117" s="161"/>
      <c r="CW117" s="161"/>
      <c r="CX117" s="161"/>
      <c r="CY117" s="161"/>
      <c r="CZ117" s="161"/>
      <c r="DA117" s="161"/>
      <c r="DB117" s="161"/>
      <c r="DC117" s="161"/>
      <c r="DD117" s="161"/>
      <c r="DE117" s="161"/>
      <c r="DF117" s="161">
        <f>SUM(DG117:DG117)</f>
      </c>
      <c r="DG117" s="161"/>
      <c r="DH117" s="161"/>
      <c r="DI117" s="161"/>
      <c r="DJ117" s="161">
        <f>SUM(DK117:DP117)</f>
      </c>
      <c r="DK117" s="161"/>
      <c r="DL117" s="161"/>
      <c r="DM117" s="161"/>
      <c r="DN117" s="161"/>
      <c r="DO117" s="161"/>
      <c r="DP117" s="161"/>
      <c r="DQ117" s="161"/>
      <c r="DR117" s="161"/>
      <c r="DS117" s="161"/>
      <c r="DT117" s="161"/>
      <c r="DU117" s="161"/>
      <c r="DV117" s="161"/>
      <c r="DW117" s="161"/>
      <c r="DX117" s="161"/>
      <c r="DY117" s="161"/>
      <c r="DZ117" s="161"/>
      <c r="EA117" s="161"/>
      <c r="EB117" s="161"/>
      <c r="EC117" s="161"/>
      <c r="ED117" s="161"/>
      <c r="EE117" s="161"/>
      <c r="EF117" s="161">
        <f>SUM(EG117:EP117)</f>
      </c>
      <c r="EG117" s="161"/>
      <c r="EH117" s="161"/>
      <c r="EI117" s="161"/>
      <c r="EJ117" s="161"/>
      <c r="EK117" s="161"/>
      <c r="EL117" s="161"/>
      <c r="EM117" s="161"/>
      <c r="EN117" s="161"/>
      <c r="EO117" s="161"/>
      <c r="EP117" s="161"/>
      <c r="EQ117" s="161">
        <f>SUM(ER117:ES117)</f>
      </c>
      <c r="ER117" s="161"/>
      <c r="ES117" s="161"/>
      <c r="ET117" s="161"/>
      <c r="EU117" s="161"/>
      <c r="EV117" s="161"/>
      <c r="EW117" s="161"/>
      <c r="EX117" s="161"/>
      <c r="EY117" s="161"/>
      <c r="EZ117" s="161"/>
      <c r="FA117" s="161"/>
      <c r="FB117" s="161"/>
      <c r="FC117" s="161"/>
      <c r="FD117" s="161"/>
      <c r="FE117" s="161"/>
      <c r="FF117" s="161"/>
      <c r="FG117" s="161"/>
      <c r="FH117" s="163" cm="1">
        <f t="array" ref="FH117">ROW()-ROW(Ongoing[#Headers])</f>
        <v>111</v>
      </c>
      <c r="FI117" s="164"/>
      <c r="FJ117" s="164" t="s">
        <v>755</v>
      </c>
      <c r="FK117" s="164">
        <v>0</v>
      </c>
      <c r="FL117" s="164" t="s">
        <v>781</v>
      </c>
      <c r="FM117" s="164" t="s">
        <v>790</v>
      </c>
      <c r="FN117" s="164" t="s">
        <v>782</v>
      </c>
      <c r="FO117" s="164" t="s">
        <v>811</v>
      </c>
      <c r="FP117" s="164" t="s">
        <v>792</v>
      </c>
    </row>
    <row r="118" spans="2:172" s="115" customFormat="1" ht="11.25" x14ac:dyDescent="0.2">
      <c r="B118" s="4653" t="s">
        <v>1084</v>
      </c>
      <c r="C118" s="4654" t="s">
        <v>1085</v>
      </c>
      <c r="D118" s="4655" t="s">
        <v>35</v>
      </c>
      <c r="E118" s="4656" t="s">
        <v>766</v>
      </c>
      <c r="F118" s="4657" t="s">
        <v>1597</v>
      </c>
      <c r="G118" s="4658" t="s">
        <v>46</v>
      </c>
      <c r="H118" s="4659" t="s">
        <v>43</v>
      </c>
      <c r="I118" s="4660" t="s">
        <v>68</v>
      </c>
      <c r="J118" s="4661" t="s">
        <v>1559</v>
      </c>
      <c r="K118" s="4662" t="s">
        <v>767</v>
      </c>
      <c r="L118" s="4663" t="s">
        <v>305</v>
      </c>
      <c r="M118" s="4664" t="s">
        <v>3873</v>
      </c>
      <c r="N118" s="4665" t="s">
        <v>3871</v>
      </c>
      <c r="O118" s="148"/>
      <c r="P118" s="161">
        <f>SUM(Q118:AP118)</f>
      </c>
      <c r="Q118" s="161"/>
      <c r="R118" s="161"/>
      <c r="S118" s="4666" t="n">
        <v>130.0</v>
      </c>
      <c r="T118" s="161"/>
      <c r="U118" s="161"/>
      <c r="V118" s="161"/>
      <c r="W118" s="161"/>
      <c r="X118" s="161"/>
      <c r="Y118" s="161"/>
      <c r="Z118" s="161"/>
      <c r="AA118" s="161"/>
      <c r="AB118" s="161"/>
      <c r="AC118" s="161"/>
      <c r="AD118" s="161"/>
      <c r="AE118" s="161"/>
      <c r="AF118" s="4667" t="n">
        <v>900.0</v>
      </c>
      <c r="AG118" s="161"/>
      <c r="AH118" s="161"/>
      <c r="AI118" s="161"/>
      <c r="AJ118" s="161"/>
      <c r="AK118" s="161"/>
      <c r="AL118" s="161"/>
      <c r="AM118" s="161"/>
      <c r="AN118" s="161"/>
      <c r="AO118" s="161"/>
      <c r="AP118" s="161"/>
      <c r="AQ118" s="161">
        <f>SUM(AR118:AU118)</f>
      </c>
      <c r="AR118" s="161"/>
      <c r="AS118" s="161"/>
      <c r="AT118" s="161"/>
      <c r="AU118" s="161"/>
      <c r="AV118" s="161">
        <f>SUM(AW118:BH118)</f>
      </c>
      <c r="AW118" s="161"/>
      <c r="AX118" s="161"/>
      <c r="AY118" s="161"/>
      <c r="AZ118" s="161"/>
      <c r="BA118" s="161"/>
      <c r="BB118" s="161"/>
      <c r="BC118" s="161"/>
      <c r="BD118" s="161"/>
      <c r="BE118" s="161"/>
      <c r="BF118" s="161"/>
      <c r="BG118" s="161"/>
      <c r="BH118" s="161"/>
      <c r="BI118" s="161"/>
      <c r="BJ118" s="161"/>
      <c r="BK118" s="161"/>
      <c r="BL118" s="161"/>
      <c r="BM118" s="161"/>
      <c r="BN118" s="161"/>
      <c r="BO118" s="161"/>
      <c r="BP118" s="161"/>
      <c r="BQ118" s="161"/>
      <c r="BR118" s="161"/>
      <c r="BS118" s="161">
        <f>SUM(BT118:BV118)</f>
      </c>
      <c r="BT118" s="161"/>
      <c r="BU118" s="161"/>
      <c r="BV118" s="161"/>
      <c r="BW118" s="161">
        <f>SUM(BX118:CC118)</f>
      </c>
      <c r="BX118" s="161"/>
      <c r="BY118" s="161"/>
      <c r="BZ118" s="161"/>
      <c r="CA118" s="161"/>
      <c r="CB118" s="161"/>
      <c r="CC118" s="161"/>
      <c r="CD118" s="161"/>
      <c r="CE118" s="161"/>
      <c r="CF118" s="161"/>
      <c r="CG118" s="161"/>
      <c r="CH118" s="161"/>
      <c r="CI118" s="161"/>
      <c r="CJ118" s="161">
        <f>SUM(CK118:CM118)</f>
      </c>
      <c r="CK118" s="161"/>
      <c r="CL118" s="161"/>
      <c r="CM118" s="161"/>
      <c r="CN118" s="161">
        <f>SUM(CO118:CS118)</f>
      </c>
      <c r="CO118" s="161"/>
      <c r="CP118" s="161"/>
      <c r="CQ118" s="161"/>
      <c r="CR118" s="161"/>
      <c r="CS118" s="161"/>
      <c r="CT118" s="161"/>
      <c r="CU118" s="161"/>
      <c r="CV118" s="161"/>
      <c r="CW118" s="161"/>
      <c r="CX118" s="161"/>
      <c r="CY118" s="161"/>
      <c r="CZ118" s="161"/>
      <c r="DA118" s="161"/>
      <c r="DB118" s="161"/>
      <c r="DC118" s="161"/>
      <c r="DD118" s="161"/>
      <c r="DE118" s="161"/>
      <c r="DF118" s="161">
        <f>SUM(DG118:DG118)</f>
      </c>
      <c r="DG118" s="161"/>
      <c r="DH118" s="161"/>
      <c r="DI118" s="161"/>
      <c r="DJ118" s="161">
        <f>SUM(DK118:DP118)</f>
      </c>
      <c r="DK118" s="161"/>
      <c r="DL118" s="161"/>
      <c r="DM118" s="161"/>
      <c r="DN118" s="161"/>
      <c r="DO118" s="161"/>
      <c r="DP118" s="161"/>
      <c r="DQ118" s="161"/>
      <c r="DR118" s="161"/>
      <c r="DS118" s="161"/>
      <c r="DT118" s="161"/>
      <c r="DU118" s="161"/>
      <c r="DV118" s="161"/>
      <c r="DW118" s="161"/>
      <c r="DX118" s="161"/>
      <c r="DY118" s="161"/>
      <c r="DZ118" s="161"/>
      <c r="EA118" s="161"/>
      <c r="EB118" s="161"/>
      <c r="EC118" s="161"/>
      <c r="ED118" s="161"/>
      <c r="EE118" s="161"/>
      <c r="EF118" s="161">
        <f>SUM(EG118:EP118)</f>
      </c>
      <c r="EG118" s="161"/>
      <c r="EH118" s="161"/>
      <c r="EI118" s="161"/>
      <c r="EJ118" s="161"/>
      <c r="EK118" s="161"/>
      <c r="EL118" s="161"/>
      <c r="EM118" s="161"/>
      <c r="EN118" s="161"/>
      <c r="EO118" s="161"/>
      <c r="EP118" s="161"/>
      <c r="EQ118" s="161">
        <f>SUM(ER118:ES118)</f>
      </c>
      <c r="ER118" s="161"/>
      <c r="ES118" s="161"/>
      <c r="ET118" s="161"/>
      <c r="EU118" s="161"/>
      <c r="EV118" s="161"/>
      <c r="EW118" s="161"/>
      <c r="EX118" s="161"/>
      <c r="EY118" s="161"/>
      <c r="EZ118" s="161"/>
      <c r="FA118" s="161"/>
      <c r="FB118" s="161"/>
      <c r="FC118" s="161"/>
      <c r="FD118" s="161"/>
      <c r="FE118" s="161"/>
      <c r="FF118" s="161"/>
      <c r="FG118" s="161"/>
      <c r="FH118" s="163" cm="1">
        <f t="array" ref="FH118">ROW()-ROW(Ongoing[#Headers])</f>
        <v>112</v>
      </c>
      <c r="FI118" s="164"/>
      <c r="FJ118" s="164" t="s">
        <v>737</v>
      </c>
      <c r="FK118" s="164">
        <v>0</v>
      </c>
      <c r="FL118" s="164" t="s">
        <v>781</v>
      </c>
      <c r="FM118" s="164">
        <v>0</v>
      </c>
      <c r="FN118" s="164" t="s">
        <v>782</v>
      </c>
      <c r="FO118" s="164" t="s">
        <v>811</v>
      </c>
      <c r="FP118" s="164" t="s">
        <v>850</v>
      </c>
    </row>
    <row r="119" spans="2:172" s="115" customFormat="1" ht="11.25" x14ac:dyDescent="0.2">
      <c r="B119" s="4728" t="s">
        <v>861</v>
      </c>
      <c r="C119" s="4729" t="s">
        <v>862</v>
      </c>
      <c r="D119" s="4730" t="s">
        <v>20</v>
      </c>
      <c r="E119" s="4731" t="s">
        <v>810</v>
      </c>
      <c r="F119" s="4732" t="s">
        <v>1597</v>
      </c>
      <c r="G119" s="4733" t="s">
        <v>305</v>
      </c>
      <c r="H119" s="4734" t="s">
        <v>786</v>
      </c>
      <c r="I119" s="4735" t="s">
        <v>71</v>
      </c>
      <c r="J119" s="4736" t="s">
        <v>811</v>
      </c>
      <c r="K119" s="4737" t="s">
        <v>787</v>
      </c>
      <c r="L119" s="4738" t="s">
        <v>305</v>
      </c>
      <c r="M119" s="4739" t="s">
        <v>3873</v>
      </c>
      <c r="N119" s="4740" t="s">
        <v>3871</v>
      </c>
      <c r="O119" s="148"/>
      <c r="P119" s="161">
        <f>SUM(Q119:AP119)</f>
      </c>
      <c r="Q119" s="161"/>
      <c r="R119" s="161"/>
      <c r="S119" s="161"/>
      <c r="T119" s="161"/>
      <c r="U119" s="161"/>
      <c r="V119" s="4741" t="n">
        <v>650.0</v>
      </c>
      <c r="W119" s="161"/>
      <c r="X119" s="161"/>
      <c r="Y119" s="161"/>
      <c r="Z119" s="161"/>
      <c r="AA119" s="161"/>
      <c r="AB119" s="161"/>
      <c r="AC119" s="161"/>
      <c r="AD119" s="161"/>
      <c r="AE119" s="161"/>
      <c r="AF119" s="161"/>
      <c r="AG119" s="161"/>
      <c r="AH119" s="161"/>
      <c r="AI119" s="161"/>
      <c r="AJ119" s="161"/>
      <c r="AK119" s="161"/>
      <c r="AL119" s="161"/>
      <c r="AM119" s="161"/>
      <c r="AN119" s="161"/>
      <c r="AO119" s="161"/>
      <c r="AP119" s="161"/>
      <c r="AQ119" s="161">
        <f>SUM(AR119:AU119)</f>
      </c>
      <c r="AR119" s="161"/>
      <c r="AS119" s="161"/>
      <c r="AT119" s="161"/>
      <c r="AU119" s="161"/>
      <c r="AV119" s="161">
        <f>SUM(AW119:BH119)</f>
      </c>
      <c r="AW119" s="161"/>
      <c r="AX119" s="161"/>
      <c r="AY119" s="161"/>
      <c r="AZ119" s="161"/>
      <c r="BA119" s="161"/>
      <c r="BB119" s="161"/>
      <c r="BC119" s="161"/>
      <c r="BD119" s="161"/>
      <c r="BE119" s="161"/>
      <c r="BF119" s="161"/>
      <c r="BG119" s="161"/>
      <c r="BH119" s="161"/>
      <c r="BI119" s="161"/>
      <c r="BJ119" s="161"/>
      <c r="BK119" s="161"/>
      <c r="BL119" s="161"/>
      <c r="BM119" s="161"/>
      <c r="BN119" s="161"/>
      <c r="BO119" s="161"/>
      <c r="BP119" s="161"/>
      <c r="BQ119" s="161"/>
      <c r="BR119" s="161"/>
      <c r="BS119" s="161">
        <f>SUM(BT119:BV119)</f>
      </c>
      <c r="BT119" s="161"/>
      <c r="BU119" s="161"/>
      <c r="BV119" s="161"/>
      <c r="BW119" s="161">
        <f>SUM(BX119:CC119)</f>
      </c>
      <c r="BX119" s="161"/>
      <c r="BY119" s="161"/>
      <c r="BZ119" s="161"/>
      <c r="CA119" s="161"/>
      <c r="CB119" s="161"/>
      <c r="CC119" s="161"/>
      <c r="CD119" s="161"/>
      <c r="CE119" s="161"/>
      <c r="CF119" s="161"/>
      <c r="CG119" s="161"/>
      <c r="CH119" s="161"/>
      <c r="CI119" s="161"/>
      <c r="CJ119" s="161">
        <f>SUM(CK119:CM119)</f>
      </c>
      <c r="CK119" s="161"/>
      <c r="CL119" s="161"/>
      <c r="CM119" s="161"/>
      <c r="CN119" s="161">
        <f>SUM(CO119:CS119)</f>
      </c>
      <c r="CO119" s="161"/>
      <c r="CP119" s="161"/>
      <c r="CQ119" s="161"/>
      <c r="CR119" s="161"/>
      <c r="CS119" s="161"/>
      <c r="CT119" s="161"/>
      <c r="CU119" s="161"/>
      <c r="CV119" s="161"/>
      <c r="CW119" s="161"/>
      <c r="CX119" s="161"/>
      <c r="CY119" s="161"/>
      <c r="CZ119" s="161"/>
      <c r="DA119" s="161"/>
      <c r="DB119" s="161"/>
      <c r="DC119" s="161"/>
      <c r="DD119" s="161"/>
      <c r="DE119" s="161"/>
      <c r="DF119" s="161">
        <f>SUM(DG119:DG119)</f>
      </c>
      <c r="DG119" s="161"/>
      <c r="DH119" s="161"/>
      <c r="DI119" s="161"/>
      <c r="DJ119" s="161">
        <f>SUM(DK119:DP119)</f>
      </c>
      <c r="DK119" s="161"/>
      <c r="DL119" s="161"/>
      <c r="DM119" s="161"/>
      <c r="DN119" s="161"/>
      <c r="DO119" s="161"/>
      <c r="DP119" s="161"/>
      <c r="DQ119" s="161"/>
      <c r="DR119" s="161"/>
      <c r="DS119" s="161"/>
      <c r="DT119" s="161"/>
      <c r="DU119" s="161"/>
      <c r="DV119" s="161"/>
      <c r="DW119" s="161"/>
      <c r="DX119" s="161"/>
      <c r="DY119" s="161"/>
      <c r="DZ119" s="161"/>
      <c r="EA119" s="161"/>
      <c r="EB119" s="161"/>
      <c r="EC119" s="161"/>
      <c r="ED119" s="161"/>
      <c r="EE119" s="161"/>
      <c r="EF119" s="161">
        <f>SUM(EG119:EP119)</f>
      </c>
      <c r="EG119" s="161"/>
      <c r="EH119" s="161"/>
      <c r="EI119" s="161"/>
      <c r="EJ119" s="161"/>
      <c r="EK119" s="161"/>
      <c r="EL119" s="161"/>
      <c r="EM119" s="161"/>
      <c r="EN119" s="161"/>
      <c r="EO119" s="161"/>
      <c r="EP119" s="161"/>
      <c r="EQ119" s="161">
        <f>SUM(ER119:ES119)</f>
      </c>
      <c r="ER119" s="161"/>
      <c r="ES119" s="161"/>
      <c r="ET119" s="161"/>
      <c r="EU119" s="161"/>
      <c r="EV119" s="161"/>
      <c r="EW119" s="161"/>
      <c r="EX119" s="161"/>
      <c r="EY119" s="161"/>
      <c r="EZ119" s="161"/>
      <c r="FA119" s="161"/>
      <c r="FB119" s="161"/>
      <c r="FC119" s="161"/>
      <c r="FD119" s="161"/>
      <c r="FE119" s="161"/>
      <c r="FF119" s="161"/>
      <c r="FG119" s="161"/>
      <c r="FH119" s="163" cm="1">
        <f t="array" ref="FH119">ROW()-ROW(Ongoing[#Headers])</f>
        <v>113</v>
      </c>
      <c r="FI119" s="164" t="s">
        <v>768</v>
      </c>
      <c r="FJ119" s="164" t="s">
        <v>755</v>
      </c>
      <c r="FK119" s="164">
        <v>0</v>
      </c>
      <c r="FL119" s="164" t="s">
        <v>769</v>
      </c>
      <c r="FM119" s="164">
        <v>0</v>
      </c>
      <c r="FN119" s="164" t="s">
        <v>770</v>
      </c>
      <c r="FO119" s="164" t="s">
        <v>774</v>
      </c>
      <c r="FP119" s="164" t="s">
        <v>759</v>
      </c>
    </row>
    <row r="120" spans="2:172" s="115" customFormat="1" ht="11.25" x14ac:dyDescent="0.2">
      <c r="B120" s="4784" t="s">
        <v>1410</v>
      </c>
      <c r="C120" s="4785" t="s">
        <v>2087</v>
      </c>
      <c r="D120" s="4786" t="s">
        <v>305</v>
      </c>
      <c r="E120" s="4787" t="s">
        <v>305</v>
      </c>
      <c r="F120" s="4788" t="s">
        <v>345</v>
      </c>
      <c r="G120" s="4789" t="s">
        <v>305</v>
      </c>
      <c r="H120" s="4790" t="s">
        <v>305</v>
      </c>
      <c r="I120" s="4791" t="s">
        <v>305</v>
      </c>
      <c r="J120" s="4792" t="s">
        <v>2088</v>
      </c>
      <c r="K120" s="4793" t="s">
        <v>305</v>
      </c>
      <c r="L120" s="4794" t="s">
        <v>305</v>
      </c>
      <c r="M120" s="4795" t="s">
        <v>3867</v>
      </c>
      <c r="N120" s="4796" t="s">
        <v>3868</v>
      </c>
      <c r="O120" s="148"/>
      <c r="P120" s="161">
        <f>SUM(Q120:AP120)</f>
      </c>
      <c r="Q120" s="161"/>
      <c r="R120" s="161"/>
      <c r="S120" s="161"/>
      <c r="T120" s="161"/>
      <c r="U120" s="161"/>
      <c r="V120" s="161"/>
      <c r="W120" s="161"/>
      <c r="X120" s="161"/>
      <c r="Y120" s="161"/>
      <c r="Z120" s="161"/>
      <c r="AA120" s="161"/>
      <c r="AB120" s="161"/>
      <c r="AC120" s="161"/>
      <c r="AD120" s="161"/>
      <c r="AE120" s="161"/>
      <c r="AF120" s="161"/>
      <c r="AG120" s="161"/>
      <c r="AH120" s="161"/>
      <c r="AI120" s="161"/>
      <c r="AJ120" s="161"/>
      <c r="AK120" s="161"/>
      <c r="AL120" s="161"/>
      <c r="AM120" s="161"/>
      <c r="AN120" s="161"/>
      <c r="AO120" s="161"/>
      <c r="AP120" s="161"/>
      <c r="AQ120" s="161">
        <f>SUM(AR120:AU120)</f>
      </c>
      <c r="AR120" s="161"/>
      <c r="AS120" s="161"/>
      <c r="AT120" s="161"/>
      <c r="AU120" s="161"/>
      <c r="AV120" s="161">
        <f>SUM(AW120:BH120)</f>
      </c>
      <c r="AW120" s="161"/>
      <c r="AX120" s="161"/>
      <c r="AY120" s="161"/>
      <c r="AZ120" s="161"/>
      <c r="BA120" s="161"/>
      <c r="BB120" s="161"/>
      <c r="BC120" s="161"/>
      <c r="BD120" s="161"/>
      <c r="BE120" s="161"/>
      <c r="BF120" s="161"/>
      <c r="BG120" s="161"/>
      <c r="BH120" s="161"/>
      <c r="BI120" s="161"/>
      <c r="BJ120" s="161"/>
      <c r="BK120" s="161"/>
      <c r="BL120" s="161"/>
      <c r="BM120" s="161"/>
      <c r="BN120" s="161"/>
      <c r="BO120" s="161"/>
      <c r="BP120" s="161"/>
      <c r="BQ120" s="161"/>
      <c r="BR120" s="161"/>
      <c r="BS120" s="161">
        <f>SUM(BT120:BV120)</f>
      </c>
      <c r="BT120" s="161"/>
      <c r="BU120" s="161"/>
      <c r="BV120" s="161"/>
      <c r="BW120" s="161">
        <f>SUM(BX120:CC120)</f>
      </c>
      <c r="BX120" s="161"/>
      <c r="BY120" s="161"/>
      <c r="BZ120" s="161"/>
      <c r="CA120" s="161"/>
      <c r="CB120" s="161"/>
      <c r="CC120" s="161"/>
      <c r="CD120" s="161"/>
      <c r="CE120" s="161"/>
      <c r="CF120" s="161"/>
      <c r="CG120" s="161"/>
      <c r="CH120" s="161"/>
      <c r="CI120" s="161"/>
      <c r="CJ120" s="161">
        <f>SUM(CK120:CM120)</f>
      </c>
      <c r="CK120" s="161"/>
      <c r="CL120" s="161"/>
      <c r="CM120" s="161"/>
      <c r="CN120" s="161">
        <f>SUM(CO120:CS120)</f>
      </c>
      <c r="CO120" s="161"/>
      <c r="CP120" s="161"/>
      <c r="CQ120" s="161"/>
      <c r="CR120" s="161"/>
      <c r="CS120" s="161"/>
      <c r="CT120" s="161"/>
      <c r="CU120" s="161"/>
      <c r="CV120" s="161"/>
      <c r="CW120" s="161"/>
      <c r="CX120" s="161"/>
      <c r="CY120" s="161"/>
      <c r="CZ120" s="161"/>
      <c r="DA120" s="161"/>
      <c r="DB120" s="161"/>
      <c r="DC120" s="161"/>
      <c r="DD120" s="161"/>
      <c r="DE120" s="161"/>
      <c r="DF120" s="161">
        <f>SUM(DG120:DG120)</f>
      </c>
      <c r="DG120" s="161"/>
      <c r="DH120" s="161"/>
      <c r="DI120" s="161"/>
      <c r="DJ120" s="161">
        <f>SUM(DK120:DP120)</f>
      </c>
      <c r="DK120" s="161"/>
      <c r="DL120" s="161"/>
      <c r="DM120" s="161"/>
      <c r="DN120" s="161"/>
      <c r="DO120" s="161"/>
      <c r="DP120" s="161"/>
      <c r="DQ120" s="161"/>
      <c r="DR120" s="161"/>
      <c r="DS120" s="161"/>
      <c r="DT120" s="161"/>
      <c r="DU120" s="161"/>
      <c r="DV120" s="161"/>
      <c r="DW120" s="161"/>
      <c r="DX120" s="161"/>
      <c r="DY120" s="161"/>
      <c r="DZ120" s="161"/>
      <c r="EA120" s="161"/>
      <c r="EB120" s="161"/>
      <c r="EC120" s="161"/>
      <c r="ED120" s="161"/>
      <c r="EE120" s="161"/>
      <c r="EF120" s="161">
        <f>SUM(EG120:EP120)</f>
      </c>
      <c r="EG120" s="161"/>
      <c r="EH120" s="161"/>
      <c r="EI120" s="161"/>
      <c r="EJ120" s="161"/>
      <c r="EK120" s="161"/>
      <c r="EL120" s="161"/>
      <c r="EM120" s="161"/>
      <c r="EN120" s="161"/>
      <c r="EO120" s="161"/>
      <c r="EP120" s="161"/>
      <c r="EQ120" s="161">
        <f>SUM(ER120:ES120)</f>
      </c>
      <c r="ER120" s="161"/>
      <c r="ES120" s="161"/>
      <c r="ET120" s="161"/>
      <c r="EU120" s="161"/>
      <c r="EV120" s="161"/>
      <c r="EW120" s="161"/>
      <c r="EX120" s="161"/>
      <c r="EY120" s="161"/>
      <c r="EZ120" s="161"/>
      <c r="FA120" s="161"/>
      <c r="FB120" s="161"/>
      <c r="FC120" s="161"/>
      <c r="FD120" s="161"/>
      <c r="FE120" s="161"/>
      <c r="FF120" s="161"/>
      <c r="FG120" s="161"/>
      <c r="FH120" s="163" cm="1">
        <f t="array" ref="FH120">ROW()-ROW(Ongoing[#Headers])</f>
        <v>114</v>
      </c>
      <c r="FI120" s="164" t="s">
        <v>768</v>
      </c>
      <c r="FJ120" s="164" t="s">
        <v>755</v>
      </c>
      <c r="FK120" s="164">
        <v>0</v>
      </c>
      <c r="FL120" s="164" t="s">
        <v>769</v>
      </c>
      <c r="FM120" s="164">
        <v>0</v>
      </c>
      <c r="FN120" s="164" t="s">
        <v>770</v>
      </c>
      <c r="FO120" s="164" t="s">
        <v>774</v>
      </c>
      <c r="FP120" s="164" t="s">
        <v>759</v>
      </c>
    </row>
    <row r="121" spans="2:172" s="115" customFormat="1" ht="11.25" x14ac:dyDescent="0.2">
      <c r="B121" s="4797" t="s">
        <v>1143</v>
      </c>
      <c r="C121" s="4798" t="s">
        <v>1144</v>
      </c>
      <c r="D121" s="4799" t="s">
        <v>13</v>
      </c>
      <c r="E121" s="4800" t="s">
        <v>898</v>
      </c>
      <c r="F121" s="4801" t="s">
        <v>1597</v>
      </c>
      <c r="G121" s="4802" t="s">
        <v>46</v>
      </c>
      <c r="H121" s="4803" t="s">
        <v>41</v>
      </c>
      <c r="I121" s="4804" t="s">
        <v>71</v>
      </c>
      <c r="J121" s="4805" t="s">
        <v>820</v>
      </c>
      <c r="K121" s="4806" t="s">
        <v>779</v>
      </c>
      <c r="L121" s="4807" t="s">
        <v>305</v>
      </c>
      <c r="M121" s="4808" t="s">
        <v>3873</v>
      </c>
      <c r="N121" s="4809" t="s">
        <v>3871</v>
      </c>
      <c r="O121" s="148"/>
      <c r="P121" s="161">
        <f>SUM(Q121:AP121)</f>
      </c>
      <c r="Q121" s="161"/>
      <c r="R121" s="161"/>
      <c r="S121" s="161"/>
      <c r="T121" s="161"/>
      <c r="U121" s="161"/>
      <c r="V121" s="161"/>
      <c r="W121" s="161"/>
      <c r="X121" s="161"/>
      <c r="Y121" s="161"/>
      <c r="Z121" s="161"/>
      <c r="AA121" s="161"/>
      <c r="AB121" s="161"/>
      <c r="AC121" s="161"/>
      <c r="AD121" s="161"/>
      <c r="AE121" s="161"/>
      <c r="AF121" s="161"/>
      <c r="AG121" s="161"/>
      <c r="AH121" s="4810" t="n">
        <v>250.0</v>
      </c>
      <c r="AI121" s="161"/>
      <c r="AJ121" s="161"/>
      <c r="AK121" s="161"/>
      <c r="AL121" s="161"/>
      <c r="AM121" s="161"/>
      <c r="AN121" s="161"/>
      <c r="AO121" s="161"/>
      <c r="AP121" s="161"/>
      <c r="AQ121" s="161">
        <f>SUM(AR121:AU121)</f>
      </c>
      <c r="AR121" s="161"/>
      <c r="AS121" s="161"/>
      <c r="AT121" s="161"/>
      <c r="AU121" s="161"/>
      <c r="AV121" s="161">
        <f>SUM(AW121:BH121)</f>
      </c>
      <c r="AW121" s="161"/>
      <c r="AX121" s="161"/>
      <c r="AY121" s="161"/>
      <c r="AZ121" s="161"/>
      <c r="BA121" s="161"/>
      <c r="BB121" s="161"/>
      <c r="BC121" s="161"/>
      <c r="BD121" s="161"/>
      <c r="BE121" s="161"/>
      <c r="BF121" s="161"/>
      <c r="BG121" s="161"/>
      <c r="BH121" s="161"/>
      <c r="BI121" s="161"/>
      <c r="BJ121" s="161"/>
      <c r="BK121" s="161"/>
      <c r="BL121" s="161"/>
      <c r="BM121" s="161"/>
      <c r="BN121" s="161"/>
      <c r="BO121" s="161"/>
      <c r="BP121" s="161"/>
      <c r="BQ121" s="161"/>
      <c r="BR121" s="161"/>
      <c r="BS121" s="161">
        <f>SUM(BT121:BV121)</f>
      </c>
      <c r="BT121" s="161"/>
      <c r="BU121" s="161"/>
      <c r="BV121" s="161"/>
      <c r="BW121" s="161">
        <f>SUM(BX121:CC121)</f>
      </c>
      <c r="BX121" s="161"/>
      <c r="BY121" s="161"/>
      <c r="BZ121" s="161"/>
      <c r="CA121" s="161"/>
      <c r="CB121" s="161"/>
      <c r="CC121" s="161"/>
      <c r="CD121" s="161"/>
      <c r="CE121" s="161"/>
      <c r="CF121" s="161"/>
      <c r="CG121" s="161"/>
      <c r="CH121" s="161"/>
      <c r="CI121" s="161"/>
      <c r="CJ121" s="161">
        <f>SUM(CK121:CM121)</f>
      </c>
      <c r="CK121" s="161"/>
      <c r="CL121" s="161"/>
      <c r="CM121" s="161"/>
      <c r="CN121" s="161">
        <f>SUM(CO121:CS121)</f>
      </c>
      <c r="CO121" s="161"/>
      <c r="CP121" s="161"/>
      <c r="CQ121" s="161"/>
      <c r="CR121" s="161"/>
      <c r="CS121" s="161"/>
      <c r="CT121" s="161"/>
      <c r="CU121" s="161"/>
      <c r="CV121" s="161"/>
      <c r="CW121" s="161"/>
      <c r="CX121" s="161"/>
      <c r="CY121" s="161"/>
      <c r="CZ121" s="161"/>
      <c r="DA121" s="161"/>
      <c r="DB121" s="161"/>
      <c r="DC121" s="161"/>
      <c r="DD121" s="161"/>
      <c r="DE121" s="161"/>
      <c r="DF121" s="161">
        <f>SUM(DG121:DG121)</f>
      </c>
      <c r="DG121" s="161"/>
      <c r="DH121" s="161"/>
      <c r="DI121" s="161"/>
      <c r="DJ121" s="161">
        <f>SUM(DK121:DP121)</f>
      </c>
      <c r="DK121" s="161"/>
      <c r="DL121" s="161"/>
      <c r="DM121" s="161"/>
      <c r="DN121" s="161"/>
      <c r="DO121" s="161"/>
      <c r="DP121" s="161"/>
      <c r="DQ121" s="161"/>
      <c r="DR121" s="161"/>
      <c r="DS121" s="161"/>
      <c r="DT121" s="161"/>
      <c r="DU121" s="161"/>
      <c r="DV121" s="161"/>
      <c r="DW121" s="161"/>
      <c r="DX121" s="161"/>
      <c r="DY121" s="161"/>
      <c r="DZ121" s="161"/>
      <c r="EA121" s="161"/>
      <c r="EB121" s="161"/>
      <c r="EC121" s="161"/>
      <c r="ED121" s="161"/>
      <c r="EE121" s="161"/>
      <c r="EF121" s="161">
        <f>SUM(EG121:EP121)</f>
      </c>
      <c r="EG121" s="161"/>
      <c r="EH121" s="161"/>
      <c r="EI121" s="161"/>
      <c r="EJ121" s="161"/>
      <c r="EK121" s="161"/>
      <c r="EL121" s="161"/>
      <c r="EM121" s="161"/>
      <c r="EN121" s="161"/>
      <c r="EO121" s="161"/>
      <c r="EP121" s="161"/>
      <c r="EQ121" s="161">
        <f>SUM(ER121:ES121)</f>
      </c>
      <c r="ER121" s="161"/>
      <c r="ES121" s="161"/>
      <c r="ET121" s="161"/>
      <c r="EU121" s="161"/>
      <c r="EV121" s="161"/>
      <c r="EW121" s="161"/>
      <c r="EX121" s="161"/>
      <c r="EY121" s="161"/>
      <c r="EZ121" s="161"/>
      <c r="FA121" s="161"/>
      <c r="FB121" s="161"/>
      <c r="FC121" s="161"/>
      <c r="FD121" s="161"/>
      <c r="FE121" s="161"/>
      <c r="FF121" s="161"/>
      <c r="FG121" s="161"/>
      <c r="FH121" s="163" cm="1">
        <f t="array" ref="FH121">ROW()-ROW(Ongoing[#Headers])</f>
        <v>115</v>
      </c>
      <c r="FI121" s="164" t="s">
        <v>768</v>
      </c>
      <c r="FJ121" s="164" t="s">
        <v>755</v>
      </c>
      <c r="FK121" s="164">
        <v>0</v>
      </c>
      <c r="FL121" s="164" t="s">
        <v>769</v>
      </c>
      <c r="FM121" s="164">
        <v>0</v>
      </c>
      <c r="FN121" s="164" t="s">
        <v>770</v>
      </c>
      <c r="FO121" s="164" t="s">
        <v>774</v>
      </c>
      <c r="FP121" s="164" t="s">
        <v>759</v>
      </c>
    </row>
    <row r="122" spans="2:172" s="115" customFormat="1" ht="11.25" x14ac:dyDescent="0.2">
      <c r="B122" s="4814" t="s">
        <v>1467</v>
      </c>
      <c r="C122" s="4815" t="s">
        <v>2097</v>
      </c>
      <c r="D122" s="4816" t="s">
        <v>305</v>
      </c>
      <c r="E122" s="4817" t="s">
        <v>305</v>
      </c>
      <c r="F122" s="4818" t="s">
        <v>345</v>
      </c>
      <c r="G122" s="4819" t="s">
        <v>305</v>
      </c>
      <c r="H122" s="4820" t="s">
        <v>305</v>
      </c>
      <c r="I122" s="4821" t="s">
        <v>305</v>
      </c>
      <c r="J122" s="4822" t="s">
        <v>2098</v>
      </c>
      <c r="K122" s="4823" t="s">
        <v>305</v>
      </c>
      <c r="L122" s="4824" t="s">
        <v>305</v>
      </c>
      <c r="M122" s="4825" t="s">
        <v>3867</v>
      </c>
      <c r="N122" s="4826" t="s">
        <v>3868</v>
      </c>
      <c r="O122" s="148"/>
      <c r="P122" s="161">
        <f>SUM(Q122:AP122)</f>
      </c>
      <c r="Q122" s="161"/>
      <c r="R122" s="161"/>
      <c r="S122" s="161"/>
      <c r="T122" s="161"/>
      <c r="U122" s="161"/>
      <c r="V122" s="161"/>
      <c r="W122" s="161"/>
      <c r="X122" s="161"/>
      <c r="Y122" s="161"/>
      <c r="Z122" s="161"/>
      <c r="AA122" s="161"/>
      <c r="AB122" s="161"/>
      <c r="AC122" s="161"/>
      <c r="AD122" s="161"/>
      <c r="AE122" s="161"/>
      <c r="AF122" s="161"/>
      <c r="AG122" s="161"/>
      <c r="AH122" s="161"/>
      <c r="AI122" s="161"/>
      <c r="AJ122" s="161"/>
      <c r="AK122" s="161"/>
      <c r="AL122" s="161"/>
      <c r="AM122" s="161"/>
      <c r="AN122" s="161"/>
      <c r="AO122" s="161"/>
      <c r="AP122" s="161"/>
      <c r="AQ122" s="161">
        <f>SUM(AR122:AU122)</f>
      </c>
      <c r="AR122" s="161"/>
      <c r="AS122" s="161"/>
      <c r="AT122" s="161"/>
      <c r="AU122" s="161"/>
      <c r="AV122" s="161">
        <f>SUM(AW122:BH122)</f>
      </c>
      <c r="AW122" s="161"/>
      <c r="AX122" s="161"/>
      <c r="AY122" s="161"/>
      <c r="AZ122" s="161"/>
      <c r="BA122" s="161"/>
      <c r="BB122" s="161"/>
      <c r="BC122" s="161"/>
      <c r="BD122" s="161"/>
      <c r="BE122" s="161"/>
      <c r="BF122" s="161"/>
      <c r="BG122" s="161"/>
      <c r="BH122" s="161"/>
      <c r="BI122" s="161"/>
      <c r="BJ122" s="161"/>
      <c r="BK122" s="161"/>
      <c r="BL122" s="161"/>
      <c r="BM122" s="161"/>
      <c r="BN122" s="161"/>
      <c r="BO122" s="161"/>
      <c r="BP122" s="161"/>
      <c r="BQ122" s="161"/>
      <c r="BR122" s="161"/>
      <c r="BS122" s="161">
        <f>SUM(BT122:BV122)</f>
      </c>
      <c r="BT122" s="161"/>
      <c r="BU122" s="161"/>
      <c r="BV122" s="161"/>
      <c r="BW122" s="161">
        <f>SUM(BX122:CC122)</f>
      </c>
      <c r="BX122" s="161"/>
      <c r="BY122" s="161"/>
      <c r="BZ122" s="161"/>
      <c r="CA122" s="161"/>
      <c r="CB122" s="161"/>
      <c r="CC122" s="161"/>
      <c r="CD122" s="161"/>
      <c r="CE122" s="161"/>
      <c r="CF122" s="161"/>
      <c r="CG122" s="161"/>
      <c r="CH122" s="161"/>
      <c r="CI122" s="161"/>
      <c r="CJ122" s="161">
        <f>SUM(CK122:CM122)</f>
      </c>
      <c r="CK122" s="161"/>
      <c r="CL122" s="161"/>
      <c r="CM122" s="161"/>
      <c r="CN122" s="161">
        <f>SUM(CO122:CS122)</f>
      </c>
      <c r="CO122" s="161"/>
      <c r="CP122" s="161"/>
      <c r="CQ122" s="161"/>
      <c r="CR122" s="161"/>
      <c r="CS122" s="161"/>
      <c r="CT122" s="161"/>
      <c r="CU122" s="161"/>
      <c r="CV122" s="161"/>
      <c r="CW122" s="161"/>
      <c r="CX122" s="161"/>
      <c r="CY122" s="161"/>
      <c r="CZ122" s="161"/>
      <c r="DA122" s="161"/>
      <c r="DB122" s="161"/>
      <c r="DC122" s="161"/>
      <c r="DD122" s="161"/>
      <c r="DE122" s="161"/>
      <c r="DF122" s="161">
        <f>SUM(DG122:DG122)</f>
      </c>
      <c r="DG122" s="161"/>
      <c r="DH122" s="161"/>
      <c r="DI122" s="161"/>
      <c r="DJ122" s="161">
        <f>SUM(DK122:DP122)</f>
      </c>
      <c r="DK122" s="161"/>
      <c r="DL122" s="161"/>
      <c r="DM122" s="161"/>
      <c r="DN122" s="161"/>
      <c r="DO122" s="161"/>
      <c r="DP122" s="161"/>
      <c r="DQ122" s="161"/>
      <c r="DR122" s="161"/>
      <c r="DS122" s="161"/>
      <c r="DT122" s="161"/>
      <c r="DU122" s="161"/>
      <c r="DV122" s="161"/>
      <c r="DW122" s="161"/>
      <c r="DX122" s="161"/>
      <c r="DY122" s="161"/>
      <c r="DZ122" s="161"/>
      <c r="EA122" s="161"/>
      <c r="EB122" s="161"/>
      <c r="EC122" s="161"/>
      <c r="ED122" s="161"/>
      <c r="EE122" s="161"/>
      <c r="EF122" s="161">
        <f>SUM(EG122:EP122)</f>
      </c>
      <c r="EG122" s="161"/>
      <c r="EH122" s="161"/>
      <c r="EI122" s="161"/>
      <c r="EJ122" s="161"/>
      <c r="EK122" s="161"/>
      <c r="EL122" s="161"/>
      <c r="EM122" s="161"/>
      <c r="EN122" s="161"/>
      <c r="EO122" s="161"/>
      <c r="EP122" s="161"/>
      <c r="EQ122" s="161">
        <f>SUM(ER122:ES122)</f>
      </c>
      <c r="ER122" s="161"/>
      <c r="ES122" s="161"/>
      <c r="ET122" s="161"/>
      <c r="EU122" s="161"/>
      <c r="EV122" s="161"/>
      <c r="EW122" s="161"/>
      <c r="EX122" s="161"/>
      <c r="EY122" s="161"/>
      <c r="EZ122" s="161"/>
      <c r="FA122" s="161"/>
      <c r="FB122" s="161"/>
      <c r="FC122" s="161"/>
      <c r="FD122" s="161"/>
      <c r="FE122" s="161"/>
      <c r="FF122" s="161"/>
      <c r="FG122" s="161"/>
      <c r="FH122" s="163" cm="1">
        <f t="array" ref="FH122">ROW()-ROW(Ongoing[#Headers])</f>
        <v>116</v>
      </c>
      <c r="FI122" s="164" t="s">
        <v>768</v>
      </c>
      <c r="FJ122" s="164" t="s">
        <v>755</v>
      </c>
      <c r="FK122" s="164">
        <v>0</v>
      </c>
      <c r="FL122" s="164" t="s">
        <v>769</v>
      </c>
      <c r="FM122" s="164">
        <v>0</v>
      </c>
      <c r="FN122" s="164" t="s">
        <v>770</v>
      </c>
      <c r="FO122" s="164" t="s">
        <v>774</v>
      </c>
      <c r="FP122" s="164" t="s">
        <v>759</v>
      </c>
    </row>
    <row r="123" spans="2:172" s="115" customFormat="1" ht="11.25" x14ac:dyDescent="0.2">
      <c r="B123" s="4827" t="s">
        <v>795</v>
      </c>
      <c r="C123" s="4828" t="s">
        <v>796</v>
      </c>
      <c r="D123" s="4829" t="s">
        <v>13</v>
      </c>
      <c r="E123" s="4830" t="s">
        <v>810</v>
      </c>
      <c r="F123" s="4831" t="s">
        <v>305</v>
      </c>
      <c r="G123" s="4832" t="s">
        <v>49</v>
      </c>
      <c r="H123" s="4833" t="s">
        <v>43</v>
      </c>
      <c r="I123" s="4834" t="s">
        <v>71</v>
      </c>
      <c r="J123" s="4835" t="s">
        <v>783</v>
      </c>
      <c r="K123" s="4836" t="s">
        <v>779</v>
      </c>
      <c r="L123" s="4837" t="s">
        <v>305</v>
      </c>
      <c r="M123" s="4838" t="s">
        <v>3873</v>
      </c>
      <c r="N123" s="4839" t="s">
        <v>3871</v>
      </c>
      <c r="O123" s="148"/>
      <c r="P123" s="161">
        <f>SUM(Q123:AP123)</f>
      </c>
      <c r="Q123" s="161"/>
      <c r="R123" s="161"/>
      <c r="S123" s="161"/>
      <c r="T123" s="161"/>
      <c r="U123" s="161"/>
      <c r="V123" s="4840" t="n">
        <v>520.0</v>
      </c>
      <c r="W123" s="161"/>
      <c r="X123" s="161"/>
      <c r="Y123" s="4841" t="n">
        <v>2322.0</v>
      </c>
      <c r="Z123" s="161"/>
      <c r="AA123" s="161"/>
      <c r="AB123" s="161"/>
      <c r="AC123" s="161"/>
      <c r="AD123" s="161"/>
      <c r="AE123" s="161"/>
      <c r="AF123" s="161"/>
      <c r="AG123" s="161"/>
      <c r="AH123" s="161"/>
      <c r="AI123" s="161"/>
      <c r="AJ123" s="161"/>
      <c r="AK123" s="161"/>
      <c r="AL123" s="161"/>
      <c r="AM123" s="161"/>
      <c r="AN123" s="161"/>
      <c r="AO123" s="161"/>
      <c r="AP123" s="161"/>
      <c r="AQ123" s="161">
        <f>SUM(AR123:AU123)</f>
      </c>
      <c r="AR123" s="161"/>
      <c r="AS123" s="161"/>
      <c r="AT123" s="161"/>
      <c r="AU123" s="161"/>
      <c r="AV123" s="161">
        <f>SUM(AW123:BH123)</f>
      </c>
      <c r="AW123" s="161"/>
      <c r="AX123" s="161"/>
      <c r="AY123" s="161"/>
      <c r="AZ123" s="161"/>
      <c r="BA123" s="161"/>
      <c r="BB123" s="161"/>
      <c r="BC123" s="161"/>
      <c r="BD123" s="161"/>
      <c r="BE123" s="161"/>
      <c r="BF123" s="161"/>
      <c r="BG123" s="161"/>
      <c r="BH123" s="161"/>
      <c r="BI123" s="161"/>
      <c r="BJ123" s="161"/>
      <c r="BK123" s="161"/>
      <c r="BL123" s="161"/>
      <c r="BM123" s="161"/>
      <c r="BN123" s="161"/>
      <c r="BO123" s="161"/>
      <c r="BP123" s="161"/>
      <c r="BQ123" s="161"/>
      <c r="BR123" s="161"/>
      <c r="BS123" s="161">
        <f>SUM(BT123:BV123)</f>
      </c>
      <c r="BT123" s="161"/>
      <c r="BU123" s="161"/>
      <c r="BV123" s="161"/>
      <c r="BW123" s="161">
        <f>SUM(BX123:CC123)</f>
      </c>
      <c r="BX123" s="161"/>
      <c r="BY123" s="161"/>
      <c r="BZ123" s="161"/>
      <c r="CA123" s="161"/>
      <c r="CB123" s="161"/>
      <c r="CC123" s="161"/>
      <c r="CD123" s="161"/>
      <c r="CE123" s="161"/>
      <c r="CF123" s="161"/>
      <c r="CG123" s="161"/>
      <c r="CH123" s="161"/>
      <c r="CI123" s="161"/>
      <c r="CJ123" s="161">
        <f>SUM(CK123:CM123)</f>
      </c>
      <c r="CK123" s="161"/>
      <c r="CL123" s="161"/>
      <c r="CM123" s="161"/>
      <c r="CN123" s="161">
        <f>SUM(CO123:CS123)</f>
      </c>
      <c r="CO123" s="161"/>
      <c r="CP123" s="161"/>
      <c r="CQ123" s="161"/>
      <c r="CR123" s="161"/>
      <c r="CS123" s="161"/>
      <c r="CT123" s="161"/>
      <c r="CU123" s="161"/>
      <c r="CV123" s="161"/>
      <c r="CW123" s="161"/>
      <c r="CX123" s="161"/>
      <c r="CY123" s="161"/>
      <c r="CZ123" s="161"/>
      <c r="DA123" s="161"/>
      <c r="DB123" s="161"/>
      <c r="DC123" s="161"/>
      <c r="DD123" s="161"/>
      <c r="DE123" s="161"/>
      <c r="DF123" s="161">
        <f>SUM(DG123:DG123)</f>
      </c>
      <c r="DG123" s="161"/>
      <c r="DH123" s="161"/>
      <c r="DI123" s="161"/>
      <c r="DJ123" s="161">
        <f>SUM(DK123:DP123)</f>
      </c>
      <c r="DK123" s="161"/>
      <c r="DL123" s="161"/>
      <c r="DM123" s="161"/>
      <c r="DN123" s="161"/>
      <c r="DO123" s="161"/>
      <c r="DP123" s="161"/>
      <c r="DQ123" s="161"/>
      <c r="DR123" s="161"/>
      <c r="DS123" s="161"/>
      <c r="DT123" s="161"/>
      <c r="DU123" s="161"/>
      <c r="DV123" s="161"/>
      <c r="DW123" s="161"/>
      <c r="DX123" s="161"/>
      <c r="DY123" s="161"/>
      <c r="DZ123" s="161"/>
      <c r="EA123" s="161"/>
      <c r="EB123" s="161"/>
      <c r="EC123" s="161"/>
      <c r="ED123" s="161"/>
      <c r="EE123" s="161"/>
      <c r="EF123" s="161">
        <f>SUM(EG123:EP123)</f>
      </c>
      <c r="EG123" s="161"/>
      <c r="EH123" s="161"/>
      <c r="EI123" s="161"/>
      <c r="EJ123" s="161"/>
      <c r="EK123" s="161"/>
      <c r="EL123" s="161"/>
      <c r="EM123" s="161"/>
      <c r="EN123" s="161"/>
      <c r="EO123" s="161"/>
      <c r="EP123" s="161"/>
      <c r="EQ123" s="161">
        <f>SUM(ER123:ES123)</f>
      </c>
      <c r="ER123" s="161"/>
      <c r="ES123" s="161"/>
      <c r="ET123" s="161"/>
      <c r="EU123" s="161"/>
      <c r="EV123" s="161"/>
      <c r="EW123" s="161"/>
      <c r="EX123" s="161"/>
      <c r="EY123" s="161"/>
      <c r="EZ123" s="161"/>
      <c r="FA123" s="161"/>
      <c r="FB123" s="161"/>
      <c r="FC123" s="161"/>
      <c r="FD123" s="161"/>
      <c r="FE123" s="161"/>
      <c r="FF123" s="161"/>
      <c r="FG123" s="161"/>
      <c r="FH123" s="163" cm="1">
        <f t="array" ref="FH123">ROW()-ROW(Ongoing[#Headers])</f>
        <v>117</v>
      </c>
      <c r="FI123" s="164"/>
      <c r="FJ123" s="164" t="s">
        <v>755</v>
      </c>
      <c r="FK123" s="164">
        <v>0</v>
      </c>
      <c r="FL123" s="164" t="s">
        <v>781</v>
      </c>
      <c r="FM123" s="164" t="s">
        <v>790</v>
      </c>
      <c r="FN123" s="164" t="s">
        <v>782</v>
      </c>
      <c r="FO123" s="164" t="s">
        <v>811</v>
      </c>
      <c r="FP123" s="164" t="s">
        <v>759</v>
      </c>
    </row>
    <row r="124" spans="2:172" s="115" customFormat="1" ht="11.25" x14ac:dyDescent="0.2">
      <c r="B124" s="4869" t="s">
        <v>1315</v>
      </c>
      <c r="C124" s="4870" t="s">
        <v>1316</v>
      </c>
      <c r="D124" s="4871" t="s">
        <v>23</v>
      </c>
      <c r="E124" s="4872" t="s">
        <v>750</v>
      </c>
      <c r="F124" s="4873" t="s">
        <v>345</v>
      </c>
      <c r="G124" s="4874" t="s">
        <v>51</v>
      </c>
      <c r="H124" s="4875" t="s">
        <v>43</v>
      </c>
      <c r="I124" s="4876" t="s">
        <v>64</v>
      </c>
      <c r="J124" s="4877" t="s">
        <v>1617</v>
      </c>
      <c r="K124" s="4878" t="s">
        <v>787</v>
      </c>
      <c r="L124" s="4879" t="s">
        <v>1615</v>
      </c>
      <c r="M124" s="4880" t="s">
        <v>3873</v>
      </c>
      <c r="N124" s="4881" t="s">
        <v>3878</v>
      </c>
      <c r="O124" s="148"/>
      <c r="P124" s="161">
        <f>SUM(Q124:AP124)</f>
      </c>
      <c r="Q124" s="161"/>
      <c r="R124" s="161"/>
      <c r="S124" s="4882" t="n">
        <v>270.0</v>
      </c>
      <c r="T124" s="161"/>
      <c r="U124" s="161"/>
      <c r="V124" s="161"/>
      <c r="W124" s="161"/>
      <c r="X124" s="161"/>
      <c r="Y124" s="161"/>
      <c r="Z124" s="161"/>
      <c r="AA124" s="161"/>
      <c r="AB124" s="161"/>
      <c r="AC124" s="161"/>
      <c r="AD124" s="161"/>
      <c r="AE124" s="161"/>
      <c r="AF124" s="161"/>
      <c r="AG124" s="161"/>
      <c r="AH124" s="161"/>
      <c r="AI124" s="161"/>
      <c r="AJ124" s="161"/>
      <c r="AK124" s="161"/>
      <c r="AL124" s="161"/>
      <c r="AM124" s="161"/>
      <c r="AN124" s="161"/>
      <c r="AO124" s="161"/>
      <c r="AP124" s="161"/>
      <c r="AQ124" s="161">
        <f>SUM(AR124:AU124)</f>
      </c>
      <c r="AR124" s="161"/>
      <c r="AS124" s="161"/>
      <c r="AT124" s="161"/>
      <c r="AU124" s="161"/>
      <c r="AV124" s="161">
        <f>SUM(AW124:BH124)</f>
      </c>
      <c r="AW124" s="161"/>
      <c r="AX124" s="161"/>
      <c r="AY124" s="161"/>
      <c r="AZ124" s="161"/>
      <c r="BA124" s="161"/>
      <c r="BB124" s="161"/>
      <c r="BC124" s="161"/>
      <c r="BD124" s="161"/>
      <c r="BE124" s="161"/>
      <c r="BF124" s="161"/>
      <c r="BG124" s="161"/>
      <c r="BH124" s="161"/>
      <c r="BI124" s="161"/>
      <c r="BJ124" s="161"/>
      <c r="BK124" s="161"/>
      <c r="BL124" s="161"/>
      <c r="BM124" s="161"/>
      <c r="BN124" s="161"/>
      <c r="BO124" s="161"/>
      <c r="BP124" s="161"/>
      <c r="BQ124" s="161"/>
      <c r="BR124" s="161"/>
      <c r="BS124" s="161">
        <f>SUM(BT124:BV124)</f>
      </c>
      <c r="BT124" s="161"/>
      <c r="BU124" s="161"/>
      <c r="BV124" s="161"/>
      <c r="BW124" s="161">
        <f>SUM(BX124:CC124)</f>
      </c>
      <c r="BX124" s="161"/>
      <c r="BY124" s="161"/>
      <c r="BZ124" s="161"/>
      <c r="CA124" s="161"/>
      <c r="CB124" s="161"/>
      <c r="CC124" s="161"/>
      <c r="CD124" s="161"/>
      <c r="CE124" s="161"/>
      <c r="CF124" s="161"/>
      <c r="CG124" s="161"/>
      <c r="CH124" s="161"/>
      <c r="CI124" s="161"/>
      <c r="CJ124" s="161">
        <f>SUM(CK124:CM124)</f>
      </c>
      <c r="CK124" s="161"/>
      <c r="CL124" s="161"/>
      <c r="CM124" s="161"/>
      <c r="CN124" s="161">
        <f>SUM(CO124:CS124)</f>
      </c>
      <c r="CO124" s="161"/>
      <c r="CP124" s="161"/>
      <c r="CQ124" s="161"/>
      <c r="CR124" s="161"/>
      <c r="CS124" s="161"/>
      <c r="CT124" s="161"/>
      <c r="CU124" s="161"/>
      <c r="CV124" s="161"/>
      <c r="CW124" s="161"/>
      <c r="CX124" s="161"/>
      <c r="CY124" s="161"/>
      <c r="CZ124" s="161"/>
      <c r="DA124" s="161"/>
      <c r="DB124" s="161"/>
      <c r="DC124" s="161"/>
      <c r="DD124" s="161"/>
      <c r="DE124" s="161"/>
      <c r="DF124" s="161">
        <f>SUM(DG124:DG124)</f>
      </c>
      <c r="DG124" s="161"/>
      <c r="DH124" s="161"/>
      <c r="DI124" s="161"/>
      <c r="DJ124" s="161">
        <f>SUM(DK124:DP124)</f>
      </c>
      <c r="DK124" s="161"/>
      <c r="DL124" s="161"/>
      <c r="DM124" s="161"/>
      <c r="DN124" s="161"/>
      <c r="DO124" s="161"/>
      <c r="DP124" s="161"/>
      <c r="DQ124" s="161"/>
      <c r="DR124" s="161"/>
      <c r="DS124" s="161"/>
      <c r="DT124" s="161"/>
      <c r="DU124" s="161"/>
      <c r="DV124" s="161"/>
      <c r="DW124" s="161"/>
      <c r="DX124" s="161"/>
      <c r="DY124" s="161"/>
      <c r="DZ124" s="161"/>
      <c r="EA124" s="161"/>
      <c r="EB124" s="161"/>
      <c r="EC124" s="161"/>
      <c r="ED124" s="161"/>
      <c r="EE124" s="161"/>
      <c r="EF124" s="161">
        <f>SUM(EG124:EP124)</f>
      </c>
      <c r="EG124" s="161"/>
      <c r="EH124" s="161"/>
      <c r="EI124" s="161"/>
      <c r="EJ124" s="161"/>
      <c r="EK124" s="161"/>
      <c r="EL124" s="161"/>
      <c r="EM124" s="161"/>
      <c r="EN124" s="161"/>
      <c r="EO124" s="161"/>
      <c r="EP124" s="161"/>
      <c r="EQ124" s="161">
        <f>SUM(ER124:ES124)</f>
      </c>
      <c r="ER124" s="161"/>
      <c r="ES124" s="161"/>
      <c r="ET124" s="161"/>
      <c r="EU124" s="161"/>
      <c r="EV124" s="161"/>
      <c r="EW124" s="161"/>
      <c r="EX124" s="161"/>
      <c r="EY124" s="161"/>
      <c r="EZ124" s="161"/>
      <c r="FA124" s="161"/>
      <c r="FB124" s="161"/>
      <c r="FC124" s="161"/>
      <c r="FD124" s="161"/>
      <c r="FE124" s="161"/>
      <c r="FF124" s="161"/>
      <c r="FG124" s="161"/>
      <c r="FH124" s="163" cm="1">
        <f t="array" ref="FH124">ROW()-ROW(Ongoing[#Headers])</f>
        <v>118</v>
      </c>
      <c r="FI124" s="164"/>
      <c r="FJ124" s="164" t="s">
        <v>755</v>
      </c>
      <c r="FK124" s="164">
        <v>0</v>
      </c>
      <c r="FL124" s="164" t="s">
        <v>781</v>
      </c>
      <c r="FM124" s="164">
        <v>0</v>
      </c>
      <c r="FN124" s="164" t="s">
        <v>782</v>
      </c>
      <c r="FO124" s="164" t="s">
        <v>820</v>
      </c>
      <c r="FP124" s="164" t="s">
        <v>850</v>
      </c>
    </row>
    <row r="125" spans="2:172" s="115" customFormat="1" ht="11.25" x14ac:dyDescent="0.2">
      <c r="B125" s="4912" t="s">
        <v>1386</v>
      </c>
      <c r="C125" s="4913" t="s">
        <v>1387</v>
      </c>
      <c r="D125" s="4914" t="s">
        <v>23</v>
      </c>
      <c r="E125" s="4915" t="s">
        <v>1796</v>
      </c>
      <c r="F125" s="4916" t="s">
        <v>1597</v>
      </c>
      <c r="G125" s="4917" t="s">
        <v>51</v>
      </c>
      <c r="H125" s="4918" t="s">
        <v>43</v>
      </c>
      <c r="I125" s="4919" t="s">
        <v>64</v>
      </c>
      <c r="J125" s="4920" t="s">
        <v>1232</v>
      </c>
      <c r="K125" s="4921" t="s">
        <v>787</v>
      </c>
      <c r="L125" s="4922" t="s">
        <v>305</v>
      </c>
      <c r="M125" s="4923" t="s">
        <v>3873</v>
      </c>
      <c r="N125" s="4924" t="s">
        <v>3871</v>
      </c>
      <c r="O125" s="148"/>
      <c r="P125" s="161">
        <f>SUM(Q125:AP125)</f>
      </c>
      <c r="Q125" s="161"/>
      <c r="R125" s="161"/>
      <c r="S125" s="161"/>
      <c r="T125" s="161"/>
      <c r="U125" s="161"/>
      <c r="V125" s="161"/>
      <c r="W125" s="161"/>
      <c r="X125" s="4925" t="n">
        <v>3206.0</v>
      </c>
      <c r="Y125" s="161"/>
      <c r="Z125" s="161"/>
      <c r="AA125" s="161"/>
      <c r="AB125" s="161"/>
      <c r="AC125" s="161"/>
      <c r="AD125" s="161"/>
      <c r="AE125" s="161"/>
      <c r="AF125" s="161"/>
      <c r="AG125" s="161"/>
      <c r="AH125" s="161"/>
      <c r="AI125" s="161"/>
      <c r="AJ125" s="161"/>
      <c r="AK125" s="161"/>
      <c r="AL125" s="161"/>
      <c r="AM125" s="161"/>
      <c r="AN125" s="161"/>
      <c r="AO125" s="161"/>
      <c r="AP125" s="161"/>
      <c r="AQ125" s="161">
        <f>SUM(AR125:AU125)</f>
      </c>
      <c r="AR125" s="161"/>
      <c r="AS125" s="161"/>
      <c r="AT125" s="161"/>
      <c r="AU125" s="161"/>
      <c r="AV125" s="161">
        <f>SUM(AW125:BH125)</f>
      </c>
      <c r="AW125" s="161"/>
      <c r="AX125" s="161"/>
      <c r="AY125" s="161"/>
      <c r="AZ125" s="161"/>
      <c r="BA125" s="161"/>
      <c r="BB125" s="161"/>
      <c r="BC125" s="161"/>
      <c r="BD125" s="161"/>
      <c r="BE125" s="161"/>
      <c r="BF125" s="161"/>
      <c r="BG125" s="161"/>
      <c r="BH125" s="161"/>
      <c r="BI125" s="161"/>
      <c r="BJ125" s="161"/>
      <c r="BK125" s="161"/>
      <c r="BL125" s="161"/>
      <c r="BM125" s="161"/>
      <c r="BN125" s="161"/>
      <c r="BO125" s="161"/>
      <c r="BP125" s="161"/>
      <c r="BQ125" s="161"/>
      <c r="BR125" s="161"/>
      <c r="BS125" s="161">
        <f>SUM(BT125:BV125)</f>
      </c>
      <c r="BT125" s="161"/>
      <c r="BU125" s="161"/>
      <c r="BV125" s="161"/>
      <c r="BW125" s="161">
        <f>SUM(BX125:CC125)</f>
      </c>
      <c r="BX125" s="161"/>
      <c r="BY125" s="161"/>
      <c r="BZ125" s="161"/>
      <c r="CA125" s="161"/>
      <c r="CB125" s="161"/>
      <c r="CC125" s="161"/>
      <c r="CD125" s="161"/>
      <c r="CE125" s="161"/>
      <c r="CF125" s="161"/>
      <c r="CG125" s="161"/>
      <c r="CH125" s="161"/>
      <c r="CI125" s="161"/>
      <c r="CJ125" s="161">
        <f>SUM(CK125:CM125)</f>
      </c>
      <c r="CK125" s="161"/>
      <c r="CL125" s="161"/>
      <c r="CM125" s="161"/>
      <c r="CN125" s="161">
        <f>SUM(CO125:CS125)</f>
      </c>
      <c r="CO125" s="161"/>
      <c r="CP125" s="161"/>
      <c r="CQ125" s="161"/>
      <c r="CR125" s="161"/>
      <c r="CS125" s="161"/>
      <c r="CT125" s="161"/>
      <c r="CU125" s="161"/>
      <c r="CV125" s="161"/>
      <c r="CW125" s="161"/>
      <c r="CX125" s="161"/>
      <c r="CY125" s="161"/>
      <c r="CZ125" s="161"/>
      <c r="DA125" s="161"/>
      <c r="DB125" s="161"/>
      <c r="DC125" s="161"/>
      <c r="DD125" s="161"/>
      <c r="DE125" s="161"/>
      <c r="DF125" s="161">
        <f>SUM(DG125:DG125)</f>
      </c>
      <c r="DG125" s="161"/>
      <c r="DH125" s="161"/>
      <c r="DI125" s="161"/>
      <c r="DJ125" s="161">
        <f>SUM(DK125:DP125)</f>
      </c>
      <c r="DK125" s="161"/>
      <c r="DL125" s="161"/>
      <c r="DM125" s="161"/>
      <c r="DN125" s="161"/>
      <c r="DO125" s="161"/>
      <c r="DP125" s="161"/>
      <c r="DQ125" s="161"/>
      <c r="DR125" s="161"/>
      <c r="DS125" s="161"/>
      <c r="DT125" s="161"/>
      <c r="DU125" s="161"/>
      <c r="DV125" s="161"/>
      <c r="DW125" s="161"/>
      <c r="DX125" s="161"/>
      <c r="DY125" s="161"/>
      <c r="DZ125" s="161"/>
      <c r="EA125" s="161"/>
      <c r="EB125" s="161"/>
      <c r="EC125" s="161"/>
      <c r="ED125" s="161"/>
      <c r="EE125" s="161"/>
      <c r="EF125" s="161">
        <f>SUM(EG125:EP125)</f>
      </c>
      <c r="EG125" s="161"/>
      <c r="EH125" s="161"/>
      <c r="EI125" s="161"/>
      <c r="EJ125" s="161"/>
      <c r="EK125" s="161"/>
      <c r="EL125" s="161"/>
      <c r="EM125" s="161"/>
      <c r="EN125" s="161"/>
      <c r="EO125" s="161"/>
      <c r="EP125" s="161"/>
      <c r="EQ125" s="161">
        <f>SUM(ER125:ES125)</f>
      </c>
      <c r="ER125" s="161"/>
      <c r="ES125" s="161"/>
      <c r="ET125" s="161"/>
      <c r="EU125" s="161"/>
      <c r="EV125" s="161"/>
      <c r="EW125" s="161"/>
      <c r="EX125" s="161"/>
      <c r="EY125" s="161"/>
      <c r="EZ125" s="161"/>
      <c r="FA125" s="161"/>
      <c r="FB125" s="161"/>
      <c r="FC125" s="161"/>
      <c r="FD125" s="161"/>
      <c r="FE125" s="161"/>
      <c r="FF125" s="161"/>
      <c r="FG125" s="161"/>
      <c r="FH125" s="163" cm="1">
        <f t="array" ref="FH125">ROW()-ROW(Ongoing[#Headers])</f>
        <v>119</v>
      </c>
      <c r="FI125" s="164" t="s">
        <v>768</v>
      </c>
      <c r="FJ125" s="164" t="s">
        <v>755</v>
      </c>
      <c r="FK125" s="164">
        <v>0</v>
      </c>
      <c r="FL125" s="164" t="s">
        <v>769</v>
      </c>
      <c r="FM125" s="164">
        <v>0</v>
      </c>
      <c r="FN125" s="164" t="s">
        <v>770</v>
      </c>
      <c r="FO125" s="164" t="s">
        <v>774</v>
      </c>
      <c r="FP125" s="164" t="s">
        <v>759</v>
      </c>
    </row>
    <row r="126" spans="2:172" s="115" customFormat="1" ht="11.25" x14ac:dyDescent="0.2">
      <c r="B126" s="4995" t="s">
        <v>311</v>
      </c>
      <c r="C126" s="4996" t="s">
        <v>312</v>
      </c>
      <c r="D126" s="4997" t="s">
        <v>13</v>
      </c>
      <c r="E126" s="4998" t="s">
        <v>766</v>
      </c>
      <c r="F126" s="4999" t="s">
        <v>1597</v>
      </c>
      <c r="G126" s="5000" t="s">
        <v>46</v>
      </c>
      <c r="H126" s="5001" t="s">
        <v>41</v>
      </c>
      <c r="I126" s="5002" t="s">
        <v>68</v>
      </c>
      <c r="J126" s="5003" t="s">
        <v>1059</v>
      </c>
      <c r="K126" s="5004" t="s">
        <v>767</v>
      </c>
      <c r="L126" s="5005" t="s">
        <v>305</v>
      </c>
      <c r="M126" s="5006" t="s">
        <v>3875</v>
      </c>
      <c r="N126" s="5007" t="s">
        <v>3871</v>
      </c>
      <c r="O126" s="148"/>
      <c r="P126" s="161">
        <f>SUM(Q126:AP126)</f>
      </c>
      <c r="Q126" s="161"/>
      <c r="R126" s="161"/>
      <c r="S126" s="161"/>
      <c r="T126" s="161"/>
      <c r="U126" s="161"/>
      <c r="V126" s="161"/>
      <c r="W126" s="161"/>
      <c r="X126" s="161"/>
      <c r="Y126" s="161"/>
      <c r="Z126" s="161"/>
      <c r="AA126" s="161"/>
      <c r="AB126" s="161"/>
      <c r="AC126" s="161"/>
      <c r="AD126" s="161"/>
      <c r="AE126" s="161"/>
      <c r="AF126" s="5008" t="n">
        <v>500.0</v>
      </c>
      <c r="AG126" s="161"/>
      <c r="AH126" s="161"/>
      <c r="AI126" s="161"/>
      <c r="AJ126" s="161"/>
      <c r="AK126" s="161"/>
      <c r="AL126" s="161"/>
      <c r="AM126" s="161"/>
      <c r="AN126" s="161"/>
      <c r="AO126" s="161"/>
      <c r="AP126" s="161"/>
      <c r="AQ126" s="161">
        <f>SUM(AR126:AU126)</f>
      </c>
      <c r="AR126" s="161"/>
      <c r="AS126" s="161"/>
      <c r="AT126" s="161"/>
      <c r="AU126" s="161"/>
      <c r="AV126" s="161">
        <f>SUM(AW126:BH126)</f>
      </c>
      <c r="AW126" s="161"/>
      <c r="AX126" s="161"/>
      <c r="AY126" s="161"/>
      <c r="AZ126" s="161"/>
      <c r="BA126" s="161"/>
      <c r="BB126" s="161"/>
      <c r="BC126" s="161"/>
      <c r="BD126" s="161"/>
      <c r="BE126" s="161"/>
      <c r="BF126" s="161"/>
      <c r="BG126" s="161"/>
      <c r="BH126" s="161"/>
      <c r="BI126" s="161"/>
      <c r="BJ126" s="161"/>
      <c r="BK126" s="161"/>
      <c r="BL126" s="161"/>
      <c r="BM126" s="161"/>
      <c r="BN126" s="161"/>
      <c r="BO126" s="161"/>
      <c r="BP126" s="161"/>
      <c r="BQ126" s="161"/>
      <c r="BR126" s="161"/>
      <c r="BS126" s="161">
        <f>SUM(BT126:BV126)</f>
      </c>
      <c r="BT126" s="161"/>
      <c r="BU126" s="161"/>
      <c r="BV126" s="161"/>
      <c r="BW126" s="161">
        <f>SUM(BX126:CC126)</f>
      </c>
      <c r="BX126" s="161"/>
      <c r="BY126" s="161"/>
      <c r="BZ126" s="161"/>
      <c r="CA126" s="161"/>
      <c r="CB126" s="161"/>
      <c r="CC126" s="161"/>
      <c r="CD126" s="161"/>
      <c r="CE126" s="161"/>
      <c r="CF126" s="161"/>
      <c r="CG126" s="161"/>
      <c r="CH126" s="161"/>
      <c r="CI126" s="161"/>
      <c r="CJ126" s="161">
        <f>SUM(CK126:CM126)</f>
      </c>
      <c r="CK126" s="161"/>
      <c r="CL126" s="161"/>
      <c r="CM126" s="161"/>
      <c r="CN126" s="161">
        <f>SUM(CO126:CS126)</f>
      </c>
      <c r="CO126" s="161"/>
      <c r="CP126" s="161"/>
      <c r="CQ126" s="161"/>
      <c r="CR126" s="161"/>
      <c r="CS126" s="161"/>
      <c r="CT126" s="161"/>
      <c r="CU126" s="161"/>
      <c r="CV126" s="161"/>
      <c r="CW126" s="161"/>
      <c r="CX126" s="161"/>
      <c r="CY126" s="161"/>
      <c r="CZ126" s="161"/>
      <c r="DA126" s="161"/>
      <c r="DB126" s="161"/>
      <c r="DC126" s="161"/>
      <c r="DD126" s="161"/>
      <c r="DE126" s="161"/>
      <c r="DF126" s="161">
        <f>SUM(DG126:DG126)</f>
      </c>
      <c r="DG126" s="161"/>
      <c r="DH126" s="161"/>
      <c r="DI126" s="161"/>
      <c r="DJ126" s="161">
        <f>SUM(DK126:DP126)</f>
      </c>
      <c r="DK126" s="161"/>
      <c r="DL126" s="5009" t="n">
        <v>100.0</v>
      </c>
      <c r="DM126" s="161"/>
      <c r="DN126" s="161"/>
      <c r="DO126" s="161"/>
      <c r="DP126" s="5010" t="n">
        <v>100.0</v>
      </c>
      <c r="DQ126" s="161"/>
      <c r="DR126" s="161"/>
      <c r="DS126" s="161"/>
      <c r="DT126" s="161"/>
      <c r="DU126" s="161"/>
      <c r="DV126" s="161"/>
      <c r="DW126" s="161"/>
      <c r="DX126" s="161"/>
      <c r="DY126" s="161"/>
      <c r="DZ126" s="161"/>
      <c r="EA126" s="161"/>
      <c r="EB126" s="161"/>
      <c r="EC126" s="161"/>
      <c r="ED126" s="161"/>
      <c r="EE126" s="161"/>
      <c r="EF126" s="161">
        <f>SUM(EG126:EP126)</f>
      </c>
      <c r="EG126" s="161"/>
      <c r="EH126" s="161"/>
      <c r="EI126" s="161"/>
      <c r="EJ126" s="161"/>
      <c r="EK126" s="161"/>
      <c r="EL126" s="161"/>
      <c r="EM126" s="161"/>
      <c r="EN126" s="161"/>
      <c r="EO126" s="161"/>
      <c r="EP126" s="161"/>
      <c r="EQ126" s="161">
        <f>SUM(ER126:ES126)</f>
      </c>
      <c r="ER126" s="161"/>
      <c r="ES126" s="161"/>
      <c r="ET126" s="161"/>
      <c r="EU126" s="161"/>
      <c r="EV126" s="161"/>
      <c r="EW126" s="161"/>
      <c r="EX126" s="161"/>
      <c r="EY126" s="161"/>
      <c r="EZ126" s="161"/>
      <c r="FA126" s="161"/>
      <c r="FB126" s="161"/>
      <c r="FC126" s="161"/>
      <c r="FD126" s="161"/>
      <c r="FE126" s="161"/>
      <c r="FF126" s="161"/>
      <c r="FG126" s="161"/>
      <c r="FH126" s="163" cm="1">
        <f t="array" ref="FH126">ROW()-ROW(Ongoing[#Headers])</f>
        <v>120</v>
      </c>
      <c r="FI126" s="164" t="s">
        <v>768</v>
      </c>
      <c r="FJ126" s="164" t="s">
        <v>755</v>
      </c>
      <c r="FK126" s="164">
        <v>0</v>
      </c>
      <c r="FL126" s="164" t="s">
        <v>769</v>
      </c>
      <c r="FM126" s="164">
        <v>0</v>
      </c>
      <c r="FN126" s="164" t="s">
        <v>770</v>
      </c>
      <c r="FO126" s="164" t="s">
        <v>774</v>
      </c>
      <c r="FP126" s="164" t="s">
        <v>759</v>
      </c>
    </row>
    <row r="127" spans="2:172" s="115" customFormat="1" ht="11.25" x14ac:dyDescent="0.2">
      <c r="B127" s="148"/>
      <c r="C127" s="148"/>
      <c r="D127" s="148"/>
      <c r="E127" s="148"/>
      <c r="F127" s="148"/>
      <c r="G127" s="148"/>
      <c r="H127" s="148"/>
      <c r="I127" s="148"/>
      <c r="J127" s="148"/>
      <c r="K127" s="148"/>
      <c r="L127" s="148"/>
      <c r="M127" s="160"/>
      <c r="N127" s="160"/>
      <c r="O127" s="148"/>
      <c r="P127" s="161">
        <f>SUM(Q127:AP127)</f>
      </c>
      <c r="Q127" s="161"/>
      <c r="R127" s="161"/>
      <c r="S127" s="161"/>
      <c r="T127" s="161"/>
      <c r="U127" s="161"/>
      <c r="V127" s="161"/>
      <c r="W127" s="161"/>
      <c r="X127" s="161"/>
      <c r="Y127" s="161"/>
      <c r="Z127" s="161"/>
      <c r="AA127" s="161"/>
      <c r="AB127" s="161"/>
      <c r="AC127" s="161"/>
      <c r="AD127" s="161"/>
      <c r="AE127" s="161"/>
      <c r="AF127" s="161"/>
      <c r="AG127" s="161"/>
      <c r="AH127" s="161"/>
      <c r="AI127" s="161"/>
      <c r="AJ127" s="161"/>
      <c r="AK127" s="161"/>
      <c r="AL127" s="161"/>
      <c r="AM127" s="161"/>
      <c r="AN127" s="161"/>
      <c r="AO127" s="161"/>
      <c r="AP127" s="161"/>
      <c r="AQ127" s="161">
        <f>SUM(AR127:AU127)</f>
      </c>
      <c r="AR127" s="161"/>
      <c r="AS127" s="161"/>
      <c r="AT127" s="161"/>
      <c r="AU127" s="161"/>
      <c r="AV127" s="161">
        <f>SUM(AW127:BH127)</f>
      </c>
      <c r="AW127" s="161"/>
      <c r="AX127" s="161"/>
      <c r="AY127" s="161"/>
      <c r="AZ127" s="161"/>
      <c r="BA127" s="161"/>
      <c r="BB127" s="161"/>
      <c r="BC127" s="161"/>
      <c r="BD127" s="161"/>
      <c r="BE127" s="161"/>
      <c r="BF127" s="161"/>
      <c r="BG127" s="161"/>
      <c r="BH127" s="161"/>
      <c r="BI127" s="161"/>
      <c r="BJ127" s="161"/>
      <c r="BK127" s="161"/>
      <c r="BL127" s="161"/>
      <c r="BM127" s="161"/>
      <c r="BN127" s="161"/>
      <c r="BO127" s="161"/>
      <c r="BP127" s="161"/>
      <c r="BQ127" s="161"/>
      <c r="BR127" s="161"/>
      <c r="BS127" s="161">
        <f>SUM(BT127:BV127)</f>
      </c>
      <c r="BT127" s="161"/>
      <c r="BU127" s="161"/>
      <c r="BV127" s="161"/>
      <c r="BW127" s="161">
        <f>SUM(BX127:CC127)</f>
      </c>
      <c r="BX127" s="161"/>
      <c r="BY127" s="161"/>
      <c r="BZ127" s="161"/>
      <c r="CA127" s="161"/>
      <c r="CB127" s="161"/>
      <c r="CC127" s="161"/>
      <c r="CD127" s="161"/>
      <c r="CE127" s="161"/>
      <c r="CF127" s="161"/>
      <c r="CG127" s="161"/>
      <c r="CH127" s="161"/>
      <c r="CI127" s="161"/>
      <c r="CJ127" s="161">
        <f>SUM(CK127:CM127)</f>
      </c>
      <c r="CK127" s="161"/>
      <c r="CL127" s="161"/>
      <c r="CM127" s="161"/>
      <c r="CN127" s="161">
        <f>SUM(CO127:CS127)</f>
      </c>
      <c r="CO127" s="161"/>
      <c r="CP127" s="161"/>
      <c r="CQ127" s="161"/>
      <c r="CR127" s="161"/>
      <c r="CS127" s="161"/>
      <c r="CT127" s="161"/>
      <c r="CU127" s="161"/>
      <c r="CV127" s="161"/>
      <c r="CW127" s="161"/>
      <c r="CX127" s="161"/>
      <c r="CY127" s="161"/>
      <c r="CZ127" s="161"/>
      <c r="DA127" s="161"/>
      <c r="DB127" s="161"/>
      <c r="DC127" s="161"/>
      <c r="DD127" s="161"/>
      <c r="DE127" s="161"/>
      <c r="DF127" s="161">
        <f>SUM(DG127:DG127)</f>
      </c>
      <c r="DG127" s="161"/>
      <c r="DH127" s="161"/>
      <c r="DI127" s="161"/>
      <c r="DJ127" s="161">
        <f>SUM(DK127:DP127)</f>
      </c>
      <c r="DK127" s="161"/>
      <c r="DL127" s="161"/>
      <c r="DM127" s="161"/>
      <c r="DN127" s="161"/>
      <c r="DO127" s="161"/>
      <c r="DP127" s="161"/>
      <c r="DQ127" s="161"/>
      <c r="DR127" s="161"/>
      <c r="DS127" s="161"/>
      <c r="DT127" s="161"/>
      <c r="DU127" s="161"/>
      <c r="DV127" s="161"/>
      <c r="DW127" s="161"/>
      <c r="DX127" s="161"/>
      <c r="DY127" s="161"/>
      <c r="DZ127" s="161"/>
      <c r="EA127" s="161"/>
      <c r="EB127" s="161"/>
      <c r="EC127" s="161"/>
      <c r="ED127" s="161"/>
      <c r="EE127" s="161"/>
      <c r="EF127" s="161">
        <f>SUM(EG127:EP127)</f>
      </c>
      <c r="EG127" s="161"/>
      <c r="EH127" s="161"/>
      <c r="EI127" s="161"/>
      <c r="EJ127" s="161"/>
      <c r="EK127" s="161"/>
      <c r="EL127" s="161"/>
      <c r="EM127" s="161"/>
      <c r="EN127" s="161"/>
      <c r="EO127" s="161"/>
      <c r="EP127" s="161"/>
      <c r="EQ127" s="161">
        <f>SUM(ER127:ES127)</f>
      </c>
      <c r="ER127" s="161"/>
      <c r="ES127" s="161"/>
      <c r="ET127" s="161"/>
      <c r="EU127" s="161"/>
      <c r="EV127" s="161"/>
      <c r="EW127" s="161"/>
      <c r="EX127" s="161"/>
      <c r="EY127" s="161"/>
      <c r="EZ127" s="161"/>
      <c r="FA127" s="161"/>
      <c r="FB127" s="161"/>
      <c r="FC127" s="161"/>
      <c r="FD127" s="161"/>
      <c r="FE127" s="161"/>
      <c r="FF127" s="161"/>
      <c r="FG127" s="161"/>
      <c r="FH127" s="163" cm="1">
        <f t="array" ref="FH127">ROW()-ROW(Ongoing[#Headers])</f>
        <v>121</v>
      </c>
      <c r="FI127" s="164" t="s">
        <v>768</v>
      </c>
      <c r="FJ127" s="164" t="s">
        <v>755</v>
      </c>
      <c r="FK127" s="164">
        <v>0</v>
      </c>
      <c r="FL127" s="164" t="s">
        <v>769</v>
      </c>
      <c r="FM127" s="164">
        <v>0</v>
      </c>
      <c r="FN127" s="164" t="s">
        <v>770</v>
      </c>
      <c r="FO127" s="164" t="s">
        <v>774</v>
      </c>
      <c r="FP127" s="164" t="s">
        <v>759</v>
      </c>
    </row>
    <row r="128" spans="2:172" s="115" customFormat="1" ht="11.25" x14ac:dyDescent="0.2">
      <c r="B128" s="148"/>
      <c r="C128" s="148"/>
      <c r="D128" s="148"/>
      <c r="E128" s="148"/>
      <c r="F128" s="148"/>
      <c r="G128" s="148"/>
      <c r="H128" s="148"/>
      <c r="I128" s="148"/>
      <c r="J128" s="148"/>
      <c r="K128" s="148"/>
      <c r="L128" s="148"/>
      <c r="M128" s="160"/>
      <c r="N128" s="160"/>
      <c r="O128" s="148"/>
      <c r="P128" s="161">
        <f>SUM(Q128:AP128)</f>
      </c>
      <c r="Q128" s="161"/>
      <c r="R128" s="161"/>
      <c r="S128" s="161"/>
      <c r="T128" s="161"/>
      <c r="U128" s="161"/>
      <c r="V128" s="161"/>
      <c r="W128" s="161"/>
      <c r="X128" s="161"/>
      <c r="Y128" s="161"/>
      <c r="Z128" s="161"/>
      <c r="AA128" s="161"/>
      <c r="AB128" s="161"/>
      <c r="AC128" s="161"/>
      <c r="AD128" s="161"/>
      <c r="AE128" s="161"/>
      <c r="AF128" s="161"/>
      <c r="AG128" s="161"/>
      <c r="AH128" s="161"/>
      <c r="AI128" s="161"/>
      <c r="AJ128" s="161"/>
      <c r="AK128" s="161"/>
      <c r="AL128" s="161"/>
      <c r="AM128" s="161"/>
      <c r="AN128" s="161"/>
      <c r="AO128" s="161"/>
      <c r="AP128" s="161"/>
      <c r="AQ128" s="161">
        <f>SUM(AR128:AU128)</f>
      </c>
      <c r="AR128" s="161"/>
      <c r="AS128" s="161"/>
      <c r="AT128" s="161"/>
      <c r="AU128" s="161"/>
      <c r="AV128" s="161">
        <f>SUM(AW128:BH128)</f>
      </c>
      <c r="AW128" s="161"/>
      <c r="AX128" s="161"/>
      <c r="AY128" s="161"/>
      <c r="AZ128" s="161"/>
      <c r="BA128" s="161"/>
      <c r="BB128" s="161"/>
      <c r="BC128" s="161"/>
      <c r="BD128" s="161"/>
      <c r="BE128" s="161"/>
      <c r="BF128" s="161"/>
      <c r="BG128" s="161"/>
      <c r="BH128" s="161"/>
      <c r="BI128" s="161"/>
      <c r="BJ128" s="161"/>
      <c r="BK128" s="161"/>
      <c r="BL128" s="161"/>
      <c r="BM128" s="161"/>
      <c r="BN128" s="161"/>
      <c r="BO128" s="161"/>
      <c r="BP128" s="161"/>
      <c r="BQ128" s="161"/>
      <c r="BR128" s="161"/>
      <c r="BS128" s="161">
        <f>SUM(BT128:BV128)</f>
      </c>
      <c r="BT128" s="161"/>
      <c r="BU128" s="161"/>
      <c r="BV128" s="161"/>
      <c r="BW128" s="161">
        <f>SUM(BX128:CC128)</f>
      </c>
      <c r="BX128" s="161"/>
      <c r="BY128" s="161"/>
      <c r="BZ128" s="161"/>
      <c r="CA128" s="161"/>
      <c r="CB128" s="161"/>
      <c r="CC128" s="161"/>
      <c r="CD128" s="161"/>
      <c r="CE128" s="161"/>
      <c r="CF128" s="161"/>
      <c r="CG128" s="161"/>
      <c r="CH128" s="161"/>
      <c r="CI128" s="161"/>
      <c r="CJ128" s="161">
        <f>SUM(CK128:CM128)</f>
      </c>
      <c r="CK128" s="161"/>
      <c r="CL128" s="161"/>
      <c r="CM128" s="161"/>
      <c r="CN128" s="161">
        <f>SUM(CO128:CS128)</f>
      </c>
      <c r="CO128" s="161"/>
      <c r="CP128" s="161"/>
      <c r="CQ128" s="161"/>
      <c r="CR128" s="161"/>
      <c r="CS128" s="161"/>
      <c r="CT128" s="161"/>
      <c r="CU128" s="161"/>
      <c r="CV128" s="161"/>
      <c r="CW128" s="161"/>
      <c r="CX128" s="161"/>
      <c r="CY128" s="161"/>
      <c r="CZ128" s="161"/>
      <c r="DA128" s="161"/>
      <c r="DB128" s="161"/>
      <c r="DC128" s="161"/>
      <c r="DD128" s="161"/>
      <c r="DE128" s="161"/>
      <c r="DF128" s="161">
        <f>SUM(DG128:DG128)</f>
      </c>
      <c r="DG128" s="161"/>
      <c r="DH128" s="161"/>
      <c r="DI128" s="161"/>
      <c r="DJ128" s="161">
        <f>SUM(DK128:DP128)</f>
      </c>
      <c r="DK128" s="161"/>
      <c r="DL128" s="161"/>
      <c r="DM128" s="161"/>
      <c r="DN128" s="161"/>
      <c r="DO128" s="161"/>
      <c r="DP128" s="161"/>
      <c r="DQ128" s="161"/>
      <c r="DR128" s="161"/>
      <c r="DS128" s="161"/>
      <c r="DT128" s="161"/>
      <c r="DU128" s="161"/>
      <c r="DV128" s="161"/>
      <c r="DW128" s="161"/>
      <c r="DX128" s="161"/>
      <c r="DY128" s="161"/>
      <c r="DZ128" s="161"/>
      <c r="EA128" s="161"/>
      <c r="EB128" s="161"/>
      <c r="EC128" s="161"/>
      <c r="ED128" s="161"/>
      <c r="EE128" s="161"/>
      <c r="EF128" s="161">
        <f>SUM(EG128:EP128)</f>
      </c>
      <c r="EG128" s="161"/>
      <c r="EH128" s="161"/>
      <c r="EI128" s="161"/>
      <c r="EJ128" s="161"/>
      <c r="EK128" s="161"/>
      <c r="EL128" s="161"/>
      <c r="EM128" s="161"/>
      <c r="EN128" s="161"/>
      <c r="EO128" s="161"/>
      <c r="EP128" s="161"/>
      <c r="EQ128" s="161">
        <f>SUM(ER128:ES128)</f>
      </c>
      <c r="ER128" s="161"/>
      <c r="ES128" s="161"/>
      <c r="ET128" s="161"/>
      <c r="EU128" s="161"/>
      <c r="EV128" s="161"/>
      <c r="EW128" s="161"/>
      <c r="EX128" s="161"/>
      <c r="EY128" s="161"/>
      <c r="EZ128" s="161"/>
      <c r="FA128" s="161"/>
      <c r="FB128" s="161"/>
      <c r="FC128" s="161"/>
      <c r="FD128" s="161"/>
      <c r="FE128" s="161"/>
      <c r="FF128" s="161"/>
      <c r="FG128" s="161"/>
      <c r="FH128" s="163" cm="1">
        <f t="array" ref="FH128">ROW()-ROW(Ongoing[#Headers])</f>
        <v>122</v>
      </c>
      <c r="FI128" s="164" t="s">
        <v>768</v>
      </c>
      <c r="FJ128" s="164" t="s">
        <v>755</v>
      </c>
      <c r="FK128" s="164">
        <v>0</v>
      </c>
      <c r="FL128" s="164" t="s">
        <v>769</v>
      </c>
      <c r="FM128" s="164">
        <v>0</v>
      </c>
      <c r="FN128" s="164" t="s">
        <v>770</v>
      </c>
      <c r="FO128" s="164" t="s">
        <v>774</v>
      </c>
      <c r="FP128" s="164" t="s">
        <v>759</v>
      </c>
    </row>
    <row r="129" spans="2:172" s="115" customFormat="1" ht="11.25" x14ac:dyDescent="0.2">
      <c r="B129" s="148"/>
      <c r="C129" s="148"/>
      <c r="D129" s="148"/>
      <c r="E129" s="148"/>
      <c r="F129" s="148"/>
      <c r="G129" s="148"/>
      <c r="H129" s="148"/>
      <c r="I129" s="148"/>
      <c r="J129" s="148"/>
      <c r="K129" s="148"/>
      <c r="L129" s="148"/>
      <c r="M129" s="160"/>
      <c r="N129" s="160"/>
      <c r="O129" s="148"/>
      <c r="P129" s="161">
        <f>SUM(Q129:AP129)</f>
      </c>
      <c r="Q129" s="161"/>
      <c r="R129" s="161"/>
      <c r="S129" s="161"/>
      <c r="T129" s="161"/>
      <c r="U129" s="161"/>
      <c r="V129" s="161"/>
      <c r="W129" s="161"/>
      <c r="X129" s="161"/>
      <c r="Y129" s="161"/>
      <c r="Z129" s="161"/>
      <c r="AA129" s="161"/>
      <c r="AB129" s="161"/>
      <c r="AC129" s="161"/>
      <c r="AD129" s="161"/>
      <c r="AE129" s="161"/>
      <c r="AF129" s="161"/>
      <c r="AG129" s="161"/>
      <c r="AH129" s="161"/>
      <c r="AI129" s="161"/>
      <c r="AJ129" s="161"/>
      <c r="AK129" s="161"/>
      <c r="AL129" s="161"/>
      <c r="AM129" s="161"/>
      <c r="AN129" s="161"/>
      <c r="AO129" s="161"/>
      <c r="AP129" s="161"/>
      <c r="AQ129" s="161">
        <f>SUM(AR129:AU129)</f>
      </c>
      <c r="AR129" s="161"/>
      <c r="AS129" s="161"/>
      <c r="AT129" s="161"/>
      <c r="AU129" s="161"/>
      <c r="AV129" s="161">
        <f>SUM(AW129:BH129)</f>
      </c>
      <c r="AW129" s="161"/>
      <c r="AX129" s="161"/>
      <c r="AY129" s="161"/>
      <c r="AZ129" s="161"/>
      <c r="BA129" s="161"/>
      <c r="BB129" s="161"/>
      <c r="BC129" s="161"/>
      <c r="BD129" s="161"/>
      <c r="BE129" s="161"/>
      <c r="BF129" s="161"/>
      <c r="BG129" s="161"/>
      <c r="BH129" s="161"/>
      <c r="BI129" s="161"/>
      <c r="BJ129" s="161"/>
      <c r="BK129" s="161"/>
      <c r="BL129" s="161"/>
      <c r="BM129" s="161"/>
      <c r="BN129" s="161"/>
      <c r="BO129" s="161"/>
      <c r="BP129" s="161"/>
      <c r="BQ129" s="161"/>
      <c r="BR129" s="161"/>
      <c r="BS129" s="161">
        <f>SUM(BT129:BV129)</f>
      </c>
      <c r="BT129" s="161"/>
      <c r="BU129" s="161"/>
      <c r="BV129" s="161"/>
      <c r="BW129" s="161">
        <f>SUM(BX129:CC129)</f>
      </c>
      <c r="BX129" s="161"/>
      <c r="BY129" s="161"/>
      <c r="BZ129" s="161"/>
      <c r="CA129" s="161"/>
      <c r="CB129" s="161"/>
      <c r="CC129" s="161"/>
      <c r="CD129" s="161"/>
      <c r="CE129" s="161"/>
      <c r="CF129" s="161"/>
      <c r="CG129" s="161"/>
      <c r="CH129" s="161"/>
      <c r="CI129" s="161"/>
      <c r="CJ129" s="161">
        <f>SUM(CK129:CM129)</f>
      </c>
      <c r="CK129" s="161"/>
      <c r="CL129" s="161"/>
      <c r="CM129" s="161"/>
      <c r="CN129" s="161">
        <f>SUM(CO129:CS129)</f>
      </c>
      <c r="CO129" s="161"/>
      <c r="CP129" s="161"/>
      <c r="CQ129" s="161"/>
      <c r="CR129" s="161"/>
      <c r="CS129" s="161"/>
      <c r="CT129" s="161"/>
      <c r="CU129" s="161"/>
      <c r="CV129" s="161"/>
      <c r="CW129" s="161"/>
      <c r="CX129" s="161"/>
      <c r="CY129" s="161"/>
      <c r="CZ129" s="161"/>
      <c r="DA129" s="161"/>
      <c r="DB129" s="161"/>
      <c r="DC129" s="161"/>
      <c r="DD129" s="161"/>
      <c r="DE129" s="161"/>
      <c r="DF129" s="161">
        <f>SUM(DG129:DG129)</f>
      </c>
      <c r="DG129" s="161"/>
      <c r="DH129" s="161"/>
      <c r="DI129" s="161"/>
      <c r="DJ129" s="161">
        <f>SUM(DK129:DP129)</f>
      </c>
      <c r="DK129" s="161"/>
      <c r="DL129" s="161"/>
      <c r="DM129" s="161"/>
      <c r="DN129" s="161"/>
      <c r="DO129" s="161"/>
      <c r="DP129" s="161"/>
      <c r="DQ129" s="161"/>
      <c r="DR129" s="161"/>
      <c r="DS129" s="161"/>
      <c r="DT129" s="161"/>
      <c r="DU129" s="161"/>
      <c r="DV129" s="161"/>
      <c r="DW129" s="161"/>
      <c r="DX129" s="161"/>
      <c r="DY129" s="161"/>
      <c r="DZ129" s="161"/>
      <c r="EA129" s="161"/>
      <c r="EB129" s="161"/>
      <c r="EC129" s="161"/>
      <c r="ED129" s="161"/>
      <c r="EE129" s="161"/>
      <c r="EF129" s="161">
        <f>SUM(EG129:EP129)</f>
      </c>
      <c r="EG129" s="161"/>
      <c r="EH129" s="161"/>
      <c r="EI129" s="161"/>
      <c r="EJ129" s="161"/>
      <c r="EK129" s="161"/>
      <c r="EL129" s="161"/>
      <c r="EM129" s="161"/>
      <c r="EN129" s="161"/>
      <c r="EO129" s="161"/>
      <c r="EP129" s="161"/>
      <c r="EQ129" s="161">
        <f>SUM(ER129:ES129)</f>
      </c>
      <c r="ER129" s="161"/>
      <c r="ES129" s="161"/>
      <c r="ET129" s="161"/>
      <c r="EU129" s="161"/>
      <c r="EV129" s="161"/>
      <c r="EW129" s="161"/>
      <c r="EX129" s="161"/>
      <c r="EY129" s="161"/>
      <c r="EZ129" s="161"/>
      <c r="FA129" s="161"/>
      <c r="FB129" s="161"/>
      <c r="FC129" s="161"/>
      <c r="FD129" s="161"/>
      <c r="FE129" s="161"/>
      <c r="FF129" s="161"/>
      <c r="FG129" s="161"/>
      <c r="FH129" s="163" cm="1">
        <f t="array" ref="FH129">ROW()-ROW(Ongoing[#Headers])</f>
        <v>123</v>
      </c>
      <c r="FI129" s="164" t="s">
        <v>768</v>
      </c>
      <c r="FJ129" s="164" t="s">
        <v>755</v>
      </c>
      <c r="FK129" s="164">
        <v>0</v>
      </c>
      <c r="FL129" s="164" t="s">
        <v>769</v>
      </c>
      <c r="FM129" s="164">
        <v>0</v>
      </c>
      <c r="FN129" s="164" t="s">
        <v>770</v>
      </c>
      <c r="FO129" s="164" t="s">
        <v>873</v>
      </c>
      <c r="FP129" s="164" t="s">
        <v>759</v>
      </c>
    </row>
    <row r="130" spans="2:172" s="115" customFormat="1" ht="11.25" x14ac:dyDescent="0.2">
      <c r="B130" s="148"/>
      <c r="C130" s="148"/>
      <c r="D130" s="148"/>
      <c r="E130" s="148"/>
      <c r="F130" s="148"/>
      <c r="G130" s="148"/>
      <c r="H130" s="148"/>
      <c r="I130" s="148"/>
      <c r="J130" s="148"/>
      <c r="K130" s="148"/>
      <c r="L130" s="148"/>
      <c r="M130" s="160"/>
      <c r="N130" s="160"/>
      <c r="O130" s="148"/>
      <c r="P130" s="161">
        <f>SUM(Q130:AP130)</f>
      </c>
      <c r="Q130" s="161"/>
      <c r="R130" s="161"/>
      <c r="S130" s="161"/>
      <c r="T130" s="161"/>
      <c r="U130" s="161"/>
      <c r="V130" s="161"/>
      <c r="W130" s="161"/>
      <c r="X130" s="161"/>
      <c r="Y130" s="161"/>
      <c r="Z130" s="161"/>
      <c r="AA130" s="161"/>
      <c r="AB130" s="161"/>
      <c r="AC130" s="161"/>
      <c r="AD130" s="161"/>
      <c r="AE130" s="161"/>
      <c r="AF130" s="161"/>
      <c r="AG130" s="161"/>
      <c r="AH130" s="161"/>
      <c r="AI130" s="161"/>
      <c r="AJ130" s="161"/>
      <c r="AK130" s="161"/>
      <c r="AL130" s="161"/>
      <c r="AM130" s="161"/>
      <c r="AN130" s="161"/>
      <c r="AO130" s="161"/>
      <c r="AP130" s="161"/>
      <c r="AQ130" s="161">
        <f>SUM(AR130:AU130)</f>
      </c>
      <c r="AR130" s="161"/>
      <c r="AS130" s="161"/>
      <c r="AT130" s="161"/>
      <c r="AU130" s="161"/>
      <c r="AV130" s="161">
        <f>SUM(AW130:BH130)</f>
      </c>
      <c r="AW130" s="161"/>
      <c r="AX130" s="161"/>
      <c r="AY130" s="161"/>
      <c r="AZ130" s="161"/>
      <c r="BA130" s="161"/>
      <c r="BB130" s="161"/>
      <c r="BC130" s="161"/>
      <c r="BD130" s="161"/>
      <c r="BE130" s="161"/>
      <c r="BF130" s="161"/>
      <c r="BG130" s="161"/>
      <c r="BH130" s="161"/>
      <c r="BI130" s="161"/>
      <c r="BJ130" s="161"/>
      <c r="BK130" s="161"/>
      <c r="BL130" s="161"/>
      <c r="BM130" s="161"/>
      <c r="BN130" s="161"/>
      <c r="BO130" s="161"/>
      <c r="BP130" s="161"/>
      <c r="BQ130" s="161"/>
      <c r="BR130" s="161"/>
      <c r="BS130" s="161">
        <f>SUM(BT130:BV130)</f>
      </c>
      <c r="BT130" s="161"/>
      <c r="BU130" s="161"/>
      <c r="BV130" s="161"/>
      <c r="BW130" s="161">
        <f>SUM(BX130:CC130)</f>
      </c>
      <c r="BX130" s="161"/>
      <c r="BY130" s="161"/>
      <c r="BZ130" s="161"/>
      <c r="CA130" s="161"/>
      <c r="CB130" s="161"/>
      <c r="CC130" s="161"/>
      <c r="CD130" s="161"/>
      <c r="CE130" s="161"/>
      <c r="CF130" s="161"/>
      <c r="CG130" s="161"/>
      <c r="CH130" s="161"/>
      <c r="CI130" s="161"/>
      <c r="CJ130" s="161">
        <f>SUM(CK130:CM130)</f>
      </c>
      <c r="CK130" s="161"/>
      <c r="CL130" s="161"/>
      <c r="CM130" s="161"/>
      <c r="CN130" s="161">
        <f>SUM(CO130:CS130)</f>
      </c>
      <c r="CO130" s="161"/>
      <c r="CP130" s="161"/>
      <c r="CQ130" s="161"/>
      <c r="CR130" s="161"/>
      <c r="CS130" s="161"/>
      <c r="CT130" s="161"/>
      <c r="CU130" s="161"/>
      <c r="CV130" s="161"/>
      <c r="CW130" s="161"/>
      <c r="CX130" s="161"/>
      <c r="CY130" s="161"/>
      <c r="CZ130" s="161"/>
      <c r="DA130" s="161"/>
      <c r="DB130" s="161"/>
      <c r="DC130" s="161"/>
      <c r="DD130" s="161"/>
      <c r="DE130" s="161"/>
      <c r="DF130" s="161">
        <f>SUM(DG130:DG130)</f>
      </c>
      <c r="DG130" s="161"/>
      <c r="DH130" s="161"/>
      <c r="DI130" s="161"/>
      <c r="DJ130" s="161">
        <f>SUM(DK130:DP130)</f>
      </c>
      <c r="DK130" s="161"/>
      <c r="DL130" s="161"/>
      <c r="DM130" s="161"/>
      <c r="DN130" s="161"/>
      <c r="DO130" s="161"/>
      <c r="DP130" s="161"/>
      <c r="DQ130" s="161"/>
      <c r="DR130" s="161"/>
      <c r="DS130" s="161"/>
      <c r="DT130" s="161"/>
      <c r="DU130" s="161"/>
      <c r="DV130" s="161"/>
      <c r="DW130" s="161"/>
      <c r="DX130" s="161"/>
      <c r="DY130" s="161"/>
      <c r="DZ130" s="161"/>
      <c r="EA130" s="161"/>
      <c r="EB130" s="161"/>
      <c r="EC130" s="161"/>
      <c r="ED130" s="161"/>
      <c r="EE130" s="161"/>
      <c r="EF130" s="161">
        <f>SUM(EG130:EP130)</f>
      </c>
      <c r="EG130" s="161"/>
      <c r="EH130" s="161"/>
      <c r="EI130" s="161"/>
      <c r="EJ130" s="161"/>
      <c r="EK130" s="161"/>
      <c r="EL130" s="161"/>
      <c r="EM130" s="161"/>
      <c r="EN130" s="161"/>
      <c r="EO130" s="161"/>
      <c r="EP130" s="161"/>
      <c r="EQ130" s="161">
        <f>SUM(ER130:ES130)</f>
      </c>
      <c r="ER130" s="161"/>
      <c r="ES130" s="161"/>
      <c r="ET130" s="161"/>
      <c r="EU130" s="161"/>
      <c r="EV130" s="161"/>
      <c r="EW130" s="161"/>
      <c r="EX130" s="161"/>
      <c r="EY130" s="161"/>
      <c r="EZ130" s="161"/>
      <c r="FA130" s="161"/>
      <c r="FB130" s="161"/>
      <c r="FC130" s="161"/>
      <c r="FD130" s="161"/>
      <c r="FE130" s="161"/>
      <c r="FF130" s="161"/>
      <c r="FG130" s="161"/>
      <c r="FH130" s="163" cm="1">
        <f t="array" ref="FH130">ROW()-ROW(Ongoing[#Headers])</f>
        <v>124</v>
      </c>
      <c r="FI130" s="164"/>
      <c r="FJ130" s="164"/>
      <c r="FK130" s="164"/>
      <c r="FL130" s="164"/>
      <c r="FM130" s="164"/>
      <c r="FN130" s="164"/>
      <c r="FO130" s="164"/>
      <c r="FP130" s="164"/>
    </row>
    <row r="131" spans="2:172" s="115" customFormat="1" ht="11.25" x14ac:dyDescent="0.2">
      <c r="B131" s="148"/>
      <c r="C131" s="148"/>
      <c r="D131" s="148"/>
      <c r="E131" s="148"/>
      <c r="F131" s="148"/>
      <c r="G131" s="148"/>
      <c r="H131" s="148"/>
      <c r="I131" s="148"/>
      <c r="J131" s="148"/>
      <c r="K131" s="148"/>
      <c r="L131" s="148"/>
      <c r="M131" s="160"/>
      <c r="N131" s="160"/>
      <c r="O131" s="148"/>
      <c r="P131" s="161">
        <f>SUM(Q131:AP131)</f>
      </c>
      <c r="Q131" s="161"/>
      <c r="R131" s="161"/>
      <c r="S131" s="161"/>
      <c r="T131" s="161"/>
      <c r="U131" s="161"/>
      <c r="V131" s="161"/>
      <c r="W131" s="161"/>
      <c r="X131" s="161"/>
      <c r="Y131" s="161"/>
      <c r="Z131" s="161"/>
      <c r="AA131" s="161"/>
      <c r="AB131" s="161"/>
      <c r="AC131" s="161"/>
      <c r="AD131" s="161"/>
      <c r="AE131" s="161"/>
      <c r="AF131" s="161"/>
      <c r="AG131" s="161"/>
      <c r="AH131" s="161"/>
      <c r="AI131" s="161"/>
      <c r="AJ131" s="161"/>
      <c r="AK131" s="161"/>
      <c r="AL131" s="161"/>
      <c r="AM131" s="161"/>
      <c r="AN131" s="161"/>
      <c r="AO131" s="161"/>
      <c r="AP131" s="161"/>
      <c r="AQ131" s="161">
        <f>SUM(AR131:AU131)</f>
      </c>
      <c r="AR131" s="161"/>
      <c r="AS131" s="161"/>
      <c r="AT131" s="161"/>
      <c r="AU131" s="161"/>
      <c r="AV131" s="161">
        <f>SUM(AW131:BH131)</f>
      </c>
      <c r="AW131" s="161"/>
      <c r="AX131" s="161"/>
      <c r="AY131" s="161"/>
      <c r="AZ131" s="161"/>
      <c r="BA131" s="161"/>
      <c r="BB131" s="161"/>
      <c r="BC131" s="161"/>
      <c r="BD131" s="161"/>
      <c r="BE131" s="161"/>
      <c r="BF131" s="161"/>
      <c r="BG131" s="161"/>
      <c r="BH131" s="161"/>
      <c r="BI131" s="161"/>
      <c r="BJ131" s="161"/>
      <c r="BK131" s="161"/>
      <c r="BL131" s="161"/>
      <c r="BM131" s="161"/>
      <c r="BN131" s="161"/>
      <c r="BO131" s="161"/>
      <c r="BP131" s="161"/>
      <c r="BQ131" s="161"/>
      <c r="BR131" s="161"/>
      <c r="BS131" s="161">
        <f>SUM(BT131:BV131)</f>
      </c>
      <c r="BT131" s="161"/>
      <c r="BU131" s="161"/>
      <c r="BV131" s="161"/>
      <c r="BW131" s="161">
        <f>SUM(BX131:CC131)</f>
      </c>
      <c r="BX131" s="161"/>
      <c r="BY131" s="161"/>
      <c r="BZ131" s="161"/>
      <c r="CA131" s="161"/>
      <c r="CB131" s="161"/>
      <c r="CC131" s="161"/>
      <c r="CD131" s="161"/>
      <c r="CE131" s="161"/>
      <c r="CF131" s="161"/>
      <c r="CG131" s="161"/>
      <c r="CH131" s="161"/>
      <c r="CI131" s="161"/>
      <c r="CJ131" s="161">
        <f>SUM(CK131:CM131)</f>
      </c>
      <c r="CK131" s="161"/>
      <c r="CL131" s="161"/>
      <c r="CM131" s="161"/>
      <c r="CN131" s="161">
        <f>SUM(CO131:CS131)</f>
      </c>
      <c r="CO131" s="161"/>
      <c r="CP131" s="161"/>
      <c r="CQ131" s="161"/>
      <c r="CR131" s="161"/>
      <c r="CS131" s="161"/>
      <c r="CT131" s="161"/>
      <c r="CU131" s="161"/>
      <c r="CV131" s="161"/>
      <c r="CW131" s="161"/>
      <c r="CX131" s="161"/>
      <c r="CY131" s="161"/>
      <c r="CZ131" s="161"/>
      <c r="DA131" s="161"/>
      <c r="DB131" s="161"/>
      <c r="DC131" s="161"/>
      <c r="DD131" s="161"/>
      <c r="DE131" s="161"/>
      <c r="DF131" s="161">
        <f>SUM(DG131:DG131)</f>
      </c>
      <c r="DG131" s="161"/>
      <c r="DH131" s="161"/>
      <c r="DI131" s="161"/>
      <c r="DJ131" s="161">
        <f>SUM(DK131:DP131)</f>
      </c>
      <c r="DK131" s="161"/>
      <c r="DL131" s="161"/>
      <c r="DM131" s="161"/>
      <c r="DN131" s="161"/>
      <c r="DO131" s="161"/>
      <c r="DP131" s="161"/>
      <c r="DQ131" s="161"/>
      <c r="DR131" s="161"/>
      <c r="DS131" s="161"/>
      <c r="DT131" s="161"/>
      <c r="DU131" s="161"/>
      <c r="DV131" s="161"/>
      <c r="DW131" s="161"/>
      <c r="DX131" s="161"/>
      <c r="DY131" s="161"/>
      <c r="DZ131" s="161"/>
      <c r="EA131" s="161"/>
      <c r="EB131" s="161"/>
      <c r="EC131" s="161"/>
      <c r="ED131" s="161"/>
      <c r="EE131" s="161"/>
      <c r="EF131" s="161">
        <f>SUM(EG131:EP131)</f>
      </c>
      <c r="EG131" s="161"/>
      <c r="EH131" s="161"/>
      <c r="EI131" s="161"/>
      <c r="EJ131" s="161"/>
      <c r="EK131" s="161"/>
      <c r="EL131" s="161"/>
      <c r="EM131" s="161"/>
      <c r="EN131" s="161"/>
      <c r="EO131" s="161"/>
      <c r="EP131" s="161"/>
      <c r="EQ131" s="161">
        <f>SUM(ER131:ES131)</f>
      </c>
      <c r="ER131" s="161"/>
      <c r="ES131" s="161"/>
      <c r="ET131" s="161"/>
      <c r="EU131" s="161"/>
      <c r="EV131" s="161"/>
      <c r="EW131" s="161"/>
      <c r="EX131" s="161"/>
      <c r="EY131" s="161"/>
      <c r="EZ131" s="161"/>
      <c r="FA131" s="161"/>
      <c r="FB131" s="161"/>
      <c r="FC131" s="161"/>
      <c r="FD131" s="161"/>
      <c r="FE131" s="161"/>
      <c r="FF131" s="161"/>
      <c r="FG131" s="161"/>
      <c r="FH131" s="163" cm="1">
        <f t="array" ref="FH131">ROW()-ROW(Ongoing[#Headers])</f>
        <v>125</v>
      </c>
      <c r="FI131" s="164" t="s">
        <v>768</v>
      </c>
      <c r="FJ131" s="164" t="s">
        <v>755</v>
      </c>
      <c r="FK131" s="164">
        <v>0</v>
      </c>
      <c r="FL131" s="164" t="s">
        <v>769</v>
      </c>
      <c r="FM131" s="164">
        <v>0</v>
      </c>
      <c r="FN131" s="164" t="s">
        <v>770</v>
      </c>
      <c r="FO131" s="164" t="s">
        <v>801</v>
      </c>
      <c r="FP131" s="164" t="s">
        <v>759</v>
      </c>
    </row>
    <row r="132" spans="2:172" s="115" customFormat="1" ht="11.25" x14ac:dyDescent="0.2">
      <c r="B132" s="148"/>
      <c r="C132" s="148"/>
      <c r="D132" s="148"/>
      <c r="E132" s="148"/>
      <c r="F132" s="148"/>
      <c r="G132" s="148"/>
      <c r="H132" s="148"/>
      <c r="I132" s="148"/>
      <c r="J132" s="148"/>
      <c r="K132" s="148"/>
      <c r="L132" s="148"/>
      <c r="M132" s="160"/>
      <c r="N132" s="160"/>
      <c r="O132" s="148"/>
      <c r="P132" s="161">
        <f>SUM(Q132:AP132)</f>
      </c>
      <c r="Q132" s="161"/>
      <c r="R132" s="161"/>
      <c r="S132" s="161"/>
      <c r="T132" s="161"/>
      <c r="U132" s="161"/>
      <c r="V132" s="161"/>
      <c r="W132" s="161"/>
      <c r="X132" s="161"/>
      <c r="Y132" s="161"/>
      <c r="Z132" s="161"/>
      <c r="AA132" s="161"/>
      <c r="AB132" s="161"/>
      <c r="AC132" s="161"/>
      <c r="AD132" s="161"/>
      <c r="AE132" s="161"/>
      <c r="AF132" s="161"/>
      <c r="AG132" s="161"/>
      <c r="AH132" s="161"/>
      <c r="AI132" s="161"/>
      <c r="AJ132" s="161"/>
      <c r="AK132" s="161"/>
      <c r="AL132" s="161"/>
      <c r="AM132" s="161"/>
      <c r="AN132" s="161"/>
      <c r="AO132" s="161"/>
      <c r="AP132" s="161"/>
      <c r="AQ132" s="161">
        <f>SUM(AR132:AU132)</f>
      </c>
      <c r="AR132" s="161"/>
      <c r="AS132" s="161"/>
      <c r="AT132" s="161"/>
      <c r="AU132" s="161"/>
      <c r="AV132" s="161">
        <f>SUM(AW132:BH132)</f>
      </c>
      <c r="AW132" s="161"/>
      <c r="AX132" s="161"/>
      <c r="AY132" s="161"/>
      <c r="AZ132" s="161"/>
      <c r="BA132" s="161"/>
      <c r="BB132" s="161"/>
      <c r="BC132" s="161"/>
      <c r="BD132" s="161"/>
      <c r="BE132" s="161"/>
      <c r="BF132" s="161"/>
      <c r="BG132" s="161"/>
      <c r="BH132" s="161"/>
      <c r="BI132" s="161"/>
      <c r="BJ132" s="161"/>
      <c r="BK132" s="161"/>
      <c r="BL132" s="161"/>
      <c r="BM132" s="161"/>
      <c r="BN132" s="161"/>
      <c r="BO132" s="161"/>
      <c r="BP132" s="161"/>
      <c r="BQ132" s="161"/>
      <c r="BR132" s="161"/>
      <c r="BS132" s="161">
        <f>SUM(BT132:BV132)</f>
      </c>
      <c r="BT132" s="161"/>
      <c r="BU132" s="161"/>
      <c r="BV132" s="161"/>
      <c r="BW132" s="161">
        <f>SUM(BX132:CC132)</f>
      </c>
      <c r="BX132" s="161"/>
      <c r="BY132" s="161"/>
      <c r="BZ132" s="161"/>
      <c r="CA132" s="161"/>
      <c r="CB132" s="161"/>
      <c r="CC132" s="161"/>
      <c r="CD132" s="161"/>
      <c r="CE132" s="161"/>
      <c r="CF132" s="161"/>
      <c r="CG132" s="161"/>
      <c r="CH132" s="161"/>
      <c r="CI132" s="161"/>
      <c r="CJ132" s="161">
        <f>SUM(CK132:CM132)</f>
      </c>
      <c r="CK132" s="161"/>
      <c r="CL132" s="161"/>
      <c r="CM132" s="161"/>
      <c r="CN132" s="161">
        <f>SUM(CO132:CS132)</f>
      </c>
      <c r="CO132" s="161"/>
      <c r="CP132" s="161"/>
      <c r="CQ132" s="161"/>
      <c r="CR132" s="161"/>
      <c r="CS132" s="161"/>
      <c r="CT132" s="161"/>
      <c r="CU132" s="161"/>
      <c r="CV132" s="161"/>
      <c r="CW132" s="161"/>
      <c r="CX132" s="161"/>
      <c r="CY132" s="161"/>
      <c r="CZ132" s="161"/>
      <c r="DA132" s="161"/>
      <c r="DB132" s="161"/>
      <c r="DC132" s="161"/>
      <c r="DD132" s="161"/>
      <c r="DE132" s="161"/>
      <c r="DF132" s="161">
        <f>SUM(DG132:DG132)</f>
      </c>
      <c r="DG132" s="161"/>
      <c r="DH132" s="161"/>
      <c r="DI132" s="161"/>
      <c r="DJ132" s="161">
        <f>SUM(DK132:DP132)</f>
      </c>
      <c r="DK132" s="161"/>
      <c r="DL132" s="161"/>
      <c r="DM132" s="161"/>
      <c r="DN132" s="161"/>
      <c r="DO132" s="161"/>
      <c r="DP132" s="161"/>
      <c r="DQ132" s="161"/>
      <c r="DR132" s="161"/>
      <c r="DS132" s="161"/>
      <c r="DT132" s="161"/>
      <c r="DU132" s="161"/>
      <c r="DV132" s="161"/>
      <c r="DW132" s="161"/>
      <c r="DX132" s="161"/>
      <c r="DY132" s="161"/>
      <c r="DZ132" s="161"/>
      <c r="EA132" s="161"/>
      <c r="EB132" s="161"/>
      <c r="EC132" s="161"/>
      <c r="ED132" s="161"/>
      <c r="EE132" s="161"/>
      <c r="EF132" s="161">
        <f>SUM(EG132:EP132)</f>
      </c>
      <c r="EG132" s="161"/>
      <c r="EH132" s="161"/>
      <c r="EI132" s="161"/>
      <c r="EJ132" s="161"/>
      <c r="EK132" s="161"/>
      <c r="EL132" s="161"/>
      <c r="EM132" s="161"/>
      <c r="EN132" s="161"/>
      <c r="EO132" s="161"/>
      <c r="EP132" s="161"/>
      <c r="EQ132" s="161">
        <f>SUM(ER132:ES132)</f>
      </c>
      <c r="ER132" s="161"/>
      <c r="ES132" s="161"/>
      <c r="ET132" s="161"/>
      <c r="EU132" s="161"/>
      <c r="EV132" s="161"/>
      <c r="EW132" s="161"/>
      <c r="EX132" s="161"/>
      <c r="EY132" s="161"/>
      <c r="EZ132" s="161"/>
      <c r="FA132" s="161"/>
      <c r="FB132" s="161"/>
      <c r="FC132" s="161"/>
      <c r="FD132" s="161"/>
      <c r="FE132" s="161"/>
      <c r="FF132" s="161"/>
      <c r="FG132" s="161"/>
      <c r="FH132" s="163" cm="1">
        <f t="array" ref="FH132">ROW()-ROW(Ongoing[#Headers])</f>
        <v>126</v>
      </c>
      <c r="FI132" s="164" t="s">
        <v>768</v>
      </c>
      <c r="FJ132" s="164" t="s">
        <v>755</v>
      </c>
      <c r="FK132" s="164">
        <v>0</v>
      </c>
      <c r="FL132" s="164" t="s">
        <v>769</v>
      </c>
      <c r="FM132" s="164">
        <v>0</v>
      </c>
      <c r="FN132" s="164" t="s">
        <v>770</v>
      </c>
      <c r="FO132" s="164" t="s">
        <v>801</v>
      </c>
      <c r="FP132" s="164" t="s">
        <v>759</v>
      </c>
    </row>
    <row r="133" spans="2:172" s="115" customFormat="1" ht="11.25" x14ac:dyDescent="0.2">
      <c r="B133" s="148"/>
      <c r="C133" s="148"/>
      <c r="D133" s="148"/>
      <c r="E133" s="148"/>
      <c r="F133" s="148"/>
      <c r="G133" s="148"/>
      <c r="H133" s="148"/>
      <c r="I133" s="148"/>
      <c r="J133" s="148"/>
      <c r="K133" s="148"/>
      <c r="L133" s="148"/>
      <c r="M133" s="160"/>
      <c r="N133" s="160"/>
      <c r="O133" s="148"/>
      <c r="P133" s="161">
        <f>SUM(Q133:AP133)</f>
      </c>
      <c r="Q133" s="161"/>
      <c r="R133" s="161"/>
      <c r="S133" s="161"/>
      <c r="T133" s="161"/>
      <c r="U133" s="161"/>
      <c r="V133" s="161"/>
      <c r="W133" s="161"/>
      <c r="X133" s="161"/>
      <c r="Y133" s="161"/>
      <c r="Z133" s="161"/>
      <c r="AA133" s="161"/>
      <c r="AB133" s="161"/>
      <c r="AC133" s="161"/>
      <c r="AD133" s="161"/>
      <c r="AE133" s="161"/>
      <c r="AF133" s="161"/>
      <c r="AG133" s="161"/>
      <c r="AH133" s="161"/>
      <c r="AI133" s="161"/>
      <c r="AJ133" s="161"/>
      <c r="AK133" s="161"/>
      <c r="AL133" s="161"/>
      <c r="AM133" s="161"/>
      <c r="AN133" s="161"/>
      <c r="AO133" s="161"/>
      <c r="AP133" s="161"/>
      <c r="AQ133" s="161">
        <f>SUM(AR133:AU133)</f>
      </c>
      <c r="AR133" s="161"/>
      <c r="AS133" s="161"/>
      <c r="AT133" s="161"/>
      <c r="AU133" s="161"/>
      <c r="AV133" s="161">
        <f>SUM(AW133:BH133)</f>
      </c>
      <c r="AW133" s="161"/>
      <c r="AX133" s="161"/>
      <c r="AY133" s="161"/>
      <c r="AZ133" s="161"/>
      <c r="BA133" s="161"/>
      <c r="BB133" s="161"/>
      <c r="BC133" s="161"/>
      <c r="BD133" s="161"/>
      <c r="BE133" s="161"/>
      <c r="BF133" s="161"/>
      <c r="BG133" s="161"/>
      <c r="BH133" s="161"/>
      <c r="BI133" s="161"/>
      <c r="BJ133" s="161"/>
      <c r="BK133" s="161"/>
      <c r="BL133" s="161"/>
      <c r="BM133" s="161"/>
      <c r="BN133" s="161"/>
      <c r="BO133" s="161"/>
      <c r="BP133" s="161"/>
      <c r="BQ133" s="161"/>
      <c r="BR133" s="161"/>
      <c r="BS133" s="161">
        <f>SUM(BT133:BV133)</f>
      </c>
      <c r="BT133" s="161"/>
      <c r="BU133" s="161"/>
      <c r="BV133" s="161"/>
      <c r="BW133" s="161">
        <f>SUM(BX133:CC133)</f>
      </c>
      <c r="BX133" s="161"/>
      <c r="BY133" s="161"/>
      <c r="BZ133" s="161"/>
      <c r="CA133" s="161"/>
      <c r="CB133" s="161"/>
      <c r="CC133" s="161"/>
      <c r="CD133" s="161"/>
      <c r="CE133" s="161"/>
      <c r="CF133" s="161"/>
      <c r="CG133" s="161"/>
      <c r="CH133" s="161"/>
      <c r="CI133" s="161"/>
      <c r="CJ133" s="161">
        <f>SUM(CK133:CM133)</f>
      </c>
      <c r="CK133" s="161"/>
      <c r="CL133" s="161"/>
      <c r="CM133" s="161"/>
      <c r="CN133" s="161">
        <f>SUM(CO133:CS133)</f>
      </c>
      <c r="CO133" s="161"/>
      <c r="CP133" s="161"/>
      <c r="CQ133" s="161"/>
      <c r="CR133" s="161"/>
      <c r="CS133" s="161"/>
      <c r="CT133" s="161"/>
      <c r="CU133" s="161"/>
      <c r="CV133" s="161"/>
      <c r="CW133" s="161"/>
      <c r="CX133" s="161"/>
      <c r="CY133" s="161"/>
      <c r="CZ133" s="161"/>
      <c r="DA133" s="161"/>
      <c r="DB133" s="161"/>
      <c r="DC133" s="161"/>
      <c r="DD133" s="161"/>
      <c r="DE133" s="161"/>
      <c r="DF133" s="161">
        <f>SUM(DG133:DG133)</f>
      </c>
      <c r="DG133" s="161"/>
      <c r="DH133" s="161"/>
      <c r="DI133" s="161"/>
      <c r="DJ133" s="161">
        <f>SUM(DK133:DP133)</f>
      </c>
      <c r="DK133" s="161"/>
      <c r="DL133" s="161"/>
      <c r="DM133" s="161"/>
      <c r="DN133" s="161"/>
      <c r="DO133" s="161"/>
      <c r="DP133" s="161"/>
      <c r="DQ133" s="161"/>
      <c r="DR133" s="161"/>
      <c r="DS133" s="161"/>
      <c r="DT133" s="161"/>
      <c r="DU133" s="161"/>
      <c r="DV133" s="161"/>
      <c r="DW133" s="161"/>
      <c r="DX133" s="161"/>
      <c r="DY133" s="161"/>
      <c r="DZ133" s="161"/>
      <c r="EA133" s="161"/>
      <c r="EB133" s="161"/>
      <c r="EC133" s="161"/>
      <c r="ED133" s="161"/>
      <c r="EE133" s="161"/>
      <c r="EF133" s="161">
        <f>SUM(EG133:EP133)</f>
      </c>
      <c r="EG133" s="161"/>
      <c r="EH133" s="161"/>
      <c r="EI133" s="161"/>
      <c r="EJ133" s="161"/>
      <c r="EK133" s="161"/>
      <c r="EL133" s="161"/>
      <c r="EM133" s="161"/>
      <c r="EN133" s="161"/>
      <c r="EO133" s="161"/>
      <c r="EP133" s="161"/>
      <c r="EQ133" s="161">
        <f>SUM(ER133:ES133)</f>
      </c>
      <c r="ER133" s="161"/>
      <c r="ES133" s="161"/>
      <c r="ET133" s="161"/>
      <c r="EU133" s="161"/>
      <c r="EV133" s="161"/>
      <c r="EW133" s="161"/>
      <c r="EX133" s="161"/>
      <c r="EY133" s="161"/>
      <c r="EZ133" s="161"/>
      <c r="FA133" s="161"/>
      <c r="FB133" s="161"/>
      <c r="FC133" s="161"/>
      <c r="FD133" s="161"/>
      <c r="FE133" s="161"/>
      <c r="FF133" s="161"/>
      <c r="FG133" s="161"/>
      <c r="FH133" s="163" cm="1">
        <f t="array" ref="FH133">ROW()-ROW(Ongoing[#Headers])</f>
        <v>127</v>
      </c>
      <c r="FI133" s="164" t="s">
        <v>768</v>
      </c>
      <c r="FJ133" s="164" t="s">
        <v>755</v>
      </c>
      <c r="FK133" s="164">
        <v>0</v>
      </c>
      <c r="FL133" s="164" t="s">
        <v>769</v>
      </c>
      <c r="FM133" s="164">
        <v>0</v>
      </c>
      <c r="FN133" s="164" t="s">
        <v>770</v>
      </c>
      <c r="FO133" s="164" t="s">
        <v>801</v>
      </c>
      <c r="FP133" s="164" t="s">
        <v>759</v>
      </c>
    </row>
    <row r="134" spans="2:172" s="115" customFormat="1" ht="11.25" x14ac:dyDescent="0.2">
      <c r="B134" s="148"/>
      <c r="C134" s="148"/>
      <c r="D134" s="148"/>
      <c r="E134" s="148"/>
      <c r="F134" s="148"/>
      <c r="G134" s="148"/>
      <c r="H134" s="148"/>
      <c r="I134" s="148"/>
      <c r="J134" s="148"/>
      <c r="K134" s="148"/>
      <c r="L134" s="148"/>
      <c r="M134" s="160"/>
      <c r="N134" s="160"/>
      <c r="O134" s="148"/>
      <c r="P134" s="161">
        <f>SUM(Q134:AP134)</f>
      </c>
      <c r="Q134" s="161"/>
      <c r="R134" s="161"/>
      <c r="S134" s="161"/>
      <c r="T134" s="161"/>
      <c r="U134" s="161"/>
      <c r="V134" s="161"/>
      <c r="W134" s="161"/>
      <c r="X134" s="161"/>
      <c r="Y134" s="161"/>
      <c r="Z134" s="161"/>
      <c r="AA134" s="161"/>
      <c r="AB134" s="161"/>
      <c r="AC134" s="161"/>
      <c r="AD134" s="161"/>
      <c r="AE134" s="161"/>
      <c r="AF134" s="161"/>
      <c r="AG134" s="161"/>
      <c r="AH134" s="161"/>
      <c r="AI134" s="161"/>
      <c r="AJ134" s="161"/>
      <c r="AK134" s="161"/>
      <c r="AL134" s="161"/>
      <c r="AM134" s="161"/>
      <c r="AN134" s="161"/>
      <c r="AO134" s="161"/>
      <c r="AP134" s="161"/>
      <c r="AQ134" s="161">
        <f>SUM(AR134:AU134)</f>
      </c>
      <c r="AR134" s="161"/>
      <c r="AS134" s="161"/>
      <c r="AT134" s="161"/>
      <c r="AU134" s="161"/>
      <c r="AV134" s="161">
        <f>SUM(AW134:BH134)</f>
      </c>
      <c r="AW134" s="161"/>
      <c r="AX134" s="161"/>
      <c r="AY134" s="161"/>
      <c r="AZ134" s="161"/>
      <c r="BA134" s="161"/>
      <c r="BB134" s="161"/>
      <c r="BC134" s="161"/>
      <c r="BD134" s="161"/>
      <c r="BE134" s="161"/>
      <c r="BF134" s="161"/>
      <c r="BG134" s="161"/>
      <c r="BH134" s="161"/>
      <c r="BI134" s="161"/>
      <c r="BJ134" s="161"/>
      <c r="BK134" s="161"/>
      <c r="BL134" s="161"/>
      <c r="BM134" s="161"/>
      <c r="BN134" s="161"/>
      <c r="BO134" s="161"/>
      <c r="BP134" s="161"/>
      <c r="BQ134" s="161"/>
      <c r="BR134" s="161"/>
      <c r="BS134" s="161">
        <f>SUM(BT134:BV134)</f>
      </c>
      <c r="BT134" s="161"/>
      <c r="BU134" s="161"/>
      <c r="BV134" s="161"/>
      <c r="BW134" s="161">
        <f>SUM(BX134:CC134)</f>
      </c>
      <c r="BX134" s="161"/>
      <c r="BY134" s="161"/>
      <c r="BZ134" s="161"/>
      <c r="CA134" s="161"/>
      <c r="CB134" s="161"/>
      <c r="CC134" s="161"/>
      <c r="CD134" s="161"/>
      <c r="CE134" s="161"/>
      <c r="CF134" s="161"/>
      <c r="CG134" s="161"/>
      <c r="CH134" s="161"/>
      <c r="CI134" s="161"/>
      <c r="CJ134" s="161">
        <f>SUM(CK134:CM134)</f>
      </c>
      <c r="CK134" s="161"/>
      <c r="CL134" s="161"/>
      <c r="CM134" s="161"/>
      <c r="CN134" s="161">
        <f>SUM(CO134:CS134)</f>
      </c>
      <c r="CO134" s="161"/>
      <c r="CP134" s="161"/>
      <c r="CQ134" s="161"/>
      <c r="CR134" s="161"/>
      <c r="CS134" s="161"/>
      <c r="CT134" s="161"/>
      <c r="CU134" s="161"/>
      <c r="CV134" s="161"/>
      <c r="CW134" s="161"/>
      <c r="CX134" s="161"/>
      <c r="CY134" s="161"/>
      <c r="CZ134" s="161"/>
      <c r="DA134" s="161"/>
      <c r="DB134" s="161"/>
      <c r="DC134" s="161"/>
      <c r="DD134" s="161"/>
      <c r="DE134" s="161"/>
      <c r="DF134" s="161">
        <f>SUM(DG134:DG134)</f>
      </c>
      <c r="DG134" s="161"/>
      <c r="DH134" s="161"/>
      <c r="DI134" s="161"/>
      <c r="DJ134" s="161">
        <f>SUM(DK134:DP134)</f>
      </c>
      <c r="DK134" s="161"/>
      <c r="DL134" s="161"/>
      <c r="DM134" s="161"/>
      <c r="DN134" s="161"/>
      <c r="DO134" s="161"/>
      <c r="DP134" s="161"/>
      <c r="DQ134" s="161"/>
      <c r="DR134" s="161"/>
      <c r="DS134" s="161"/>
      <c r="DT134" s="161"/>
      <c r="DU134" s="161"/>
      <c r="DV134" s="161"/>
      <c r="DW134" s="161"/>
      <c r="DX134" s="161"/>
      <c r="DY134" s="161"/>
      <c r="DZ134" s="161"/>
      <c r="EA134" s="161"/>
      <c r="EB134" s="161"/>
      <c r="EC134" s="161"/>
      <c r="ED134" s="161"/>
      <c r="EE134" s="161"/>
      <c r="EF134" s="161">
        <f>SUM(EG134:EP134)</f>
      </c>
      <c r="EG134" s="161"/>
      <c r="EH134" s="161"/>
      <c r="EI134" s="161"/>
      <c r="EJ134" s="161"/>
      <c r="EK134" s="161"/>
      <c r="EL134" s="161"/>
      <c r="EM134" s="161"/>
      <c r="EN134" s="161"/>
      <c r="EO134" s="161"/>
      <c r="EP134" s="161"/>
      <c r="EQ134" s="161">
        <f>SUM(ER134:ES134)</f>
      </c>
      <c r="ER134" s="161"/>
      <c r="ES134" s="161"/>
      <c r="ET134" s="161"/>
      <c r="EU134" s="161"/>
      <c r="EV134" s="161"/>
      <c r="EW134" s="161"/>
      <c r="EX134" s="161"/>
      <c r="EY134" s="161"/>
      <c r="EZ134" s="161"/>
      <c r="FA134" s="161"/>
      <c r="FB134" s="161"/>
      <c r="FC134" s="161"/>
      <c r="FD134" s="161"/>
      <c r="FE134" s="161"/>
      <c r="FF134" s="161"/>
      <c r="FG134" s="161"/>
      <c r="FH134" s="163" cm="1">
        <f t="array" ref="FH134">ROW()-ROW(Ongoing[#Headers])</f>
        <v>128</v>
      </c>
      <c r="FI134" s="164" t="s">
        <v>768</v>
      </c>
      <c r="FJ134" s="164" t="s">
        <v>755</v>
      </c>
      <c r="FK134" s="164">
        <v>0</v>
      </c>
      <c r="FL134" s="164" t="s">
        <v>769</v>
      </c>
      <c r="FM134" s="164">
        <v>0</v>
      </c>
      <c r="FN134" s="164" t="s">
        <v>770</v>
      </c>
      <c r="FO134" s="164" t="s">
        <v>801</v>
      </c>
      <c r="FP134" s="164" t="s">
        <v>759</v>
      </c>
    </row>
    <row r="135" spans="2:172" s="115" customFormat="1" ht="11.25" x14ac:dyDescent="0.2">
      <c r="B135" s="148"/>
      <c r="C135" s="148"/>
      <c r="D135" s="148"/>
      <c r="E135" s="148"/>
      <c r="F135" s="148"/>
      <c r="G135" s="148"/>
      <c r="H135" s="148"/>
      <c r="I135" s="148"/>
      <c r="J135" s="148"/>
      <c r="K135" s="148"/>
      <c r="L135" s="148"/>
      <c r="M135" s="160"/>
      <c r="N135" s="160"/>
      <c r="O135" s="148"/>
      <c r="P135" s="161">
        <f>SUM(Q135:AP135)</f>
      </c>
      <c r="Q135" s="161"/>
      <c r="R135" s="161"/>
      <c r="S135" s="161"/>
      <c r="T135" s="161"/>
      <c r="U135" s="161"/>
      <c r="V135" s="161"/>
      <c r="W135" s="161"/>
      <c r="X135" s="161"/>
      <c r="Y135" s="161"/>
      <c r="Z135" s="161"/>
      <c r="AA135" s="161"/>
      <c r="AB135" s="161"/>
      <c r="AC135" s="161"/>
      <c r="AD135" s="161"/>
      <c r="AE135" s="161"/>
      <c r="AF135" s="161"/>
      <c r="AG135" s="161"/>
      <c r="AH135" s="161"/>
      <c r="AI135" s="161"/>
      <c r="AJ135" s="161"/>
      <c r="AK135" s="161"/>
      <c r="AL135" s="161"/>
      <c r="AM135" s="161"/>
      <c r="AN135" s="161"/>
      <c r="AO135" s="161"/>
      <c r="AP135" s="161"/>
      <c r="AQ135" s="161">
        <f>SUM(AR135:AU135)</f>
      </c>
      <c r="AR135" s="161"/>
      <c r="AS135" s="161"/>
      <c r="AT135" s="161"/>
      <c r="AU135" s="161"/>
      <c r="AV135" s="161">
        <f>SUM(AW135:BH135)</f>
      </c>
      <c r="AW135" s="161"/>
      <c r="AX135" s="161"/>
      <c r="AY135" s="161"/>
      <c r="AZ135" s="161"/>
      <c r="BA135" s="161"/>
      <c r="BB135" s="161"/>
      <c r="BC135" s="161"/>
      <c r="BD135" s="161"/>
      <c r="BE135" s="161"/>
      <c r="BF135" s="161"/>
      <c r="BG135" s="161"/>
      <c r="BH135" s="161"/>
      <c r="BI135" s="161"/>
      <c r="BJ135" s="161"/>
      <c r="BK135" s="161"/>
      <c r="BL135" s="161"/>
      <c r="BM135" s="161"/>
      <c r="BN135" s="161"/>
      <c r="BO135" s="161"/>
      <c r="BP135" s="161"/>
      <c r="BQ135" s="161"/>
      <c r="BR135" s="161"/>
      <c r="BS135" s="161">
        <f>SUM(BT135:BV135)</f>
      </c>
      <c r="BT135" s="161"/>
      <c r="BU135" s="161"/>
      <c r="BV135" s="161"/>
      <c r="BW135" s="161">
        <f>SUM(BX135:CC135)</f>
      </c>
      <c r="BX135" s="161"/>
      <c r="BY135" s="161"/>
      <c r="BZ135" s="161"/>
      <c r="CA135" s="161"/>
      <c r="CB135" s="161"/>
      <c r="CC135" s="161"/>
      <c r="CD135" s="161"/>
      <c r="CE135" s="161"/>
      <c r="CF135" s="161"/>
      <c r="CG135" s="161"/>
      <c r="CH135" s="161"/>
      <c r="CI135" s="161"/>
      <c r="CJ135" s="161">
        <f>SUM(CK135:CM135)</f>
      </c>
      <c r="CK135" s="161"/>
      <c r="CL135" s="161"/>
      <c r="CM135" s="161"/>
      <c r="CN135" s="161">
        <f>SUM(CO135:CS135)</f>
      </c>
      <c r="CO135" s="161"/>
      <c r="CP135" s="161"/>
      <c r="CQ135" s="161"/>
      <c r="CR135" s="161"/>
      <c r="CS135" s="161"/>
      <c r="CT135" s="161"/>
      <c r="CU135" s="161"/>
      <c r="CV135" s="161"/>
      <c r="CW135" s="161"/>
      <c r="CX135" s="161"/>
      <c r="CY135" s="161"/>
      <c r="CZ135" s="161"/>
      <c r="DA135" s="161"/>
      <c r="DB135" s="161"/>
      <c r="DC135" s="161"/>
      <c r="DD135" s="161"/>
      <c r="DE135" s="161"/>
      <c r="DF135" s="161">
        <f>SUM(DG135:DG135)</f>
      </c>
      <c r="DG135" s="161"/>
      <c r="DH135" s="161"/>
      <c r="DI135" s="161"/>
      <c r="DJ135" s="161">
        <f>SUM(DK135:DP135)</f>
      </c>
      <c r="DK135" s="161"/>
      <c r="DL135" s="161"/>
      <c r="DM135" s="161"/>
      <c r="DN135" s="161"/>
      <c r="DO135" s="161"/>
      <c r="DP135" s="161"/>
      <c r="DQ135" s="161"/>
      <c r="DR135" s="161"/>
      <c r="DS135" s="161"/>
      <c r="DT135" s="161"/>
      <c r="DU135" s="161"/>
      <c r="DV135" s="161"/>
      <c r="DW135" s="161"/>
      <c r="DX135" s="161"/>
      <c r="DY135" s="161"/>
      <c r="DZ135" s="161"/>
      <c r="EA135" s="161"/>
      <c r="EB135" s="161"/>
      <c r="EC135" s="161"/>
      <c r="ED135" s="161"/>
      <c r="EE135" s="161"/>
      <c r="EF135" s="161">
        <f>SUM(EG135:EP135)</f>
      </c>
      <c r="EG135" s="161"/>
      <c r="EH135" s="161"/>
      <c r="EI135" s="161"/>
      <c r="EJ135" s="161"/>
      <c r="EK135" s="161"/>
      <c r="EL135" s="161"/>
      <c r="EM135" s="161"/>
      <c r="EN135" s="161"/>
      <c r="EO135" s="161"/>
      <c r="EP135" s="161"/>
      <c r="EQ135" s="161">
        <f>SUM(ER135:ES135)</f>
      </c>
      <c r="ER135" s="161"/>
      <c r="ES135" s="161"/>
      <c r="ET135" s="161"/>
      <c r="EU135" s="161"/>
      <c r="EV135" s="161"/>
      <c r="EW135" s="161"/>
      <c r="EX135" s="161"/>
      <c r="EY135" s="161"/>
      <c r="EZ135" s="161"/>
      <c r="FA135" s="161"/>
      <c r="FB135" s="161"/>
      <c r="FC135" s="161"/>
      <c r="FD135" s="161"/>
      <c r="FE135" s="161"/>
      <c r="FF135" s="161"/>
      <c r="FG135" s="161"/>
      <c r="FH135" s="163" cm="1">
        <f t="array" ref="FH135">ROW()-ROW(Ongoing[#Headers])</f>
        <v>129</v>
      </c>
      <c r="FI135" s="164" t="s">
        <v>768</v>
      </c>
      <c r="FJ135" s="164" t="s">
        <v>755</v>
      </c>
      <c r="FK135" s="164">
        <v>0</v>
      </c>
      <c r="FL135" s="164" t="s">
        <v>769</v>
      </c>
      <c r="FM135" s="164">
        <v>0</v>
      </c>
      <c r="FN135" s="164" t="s">
        <v>770</v>
      </c>
      <c r="FO135" s="164" t="s">
        <v>771</v>
      </c>
      <c r="FP135" s="164" t="s">
        <v>759</v>
      </c>
    </row>
    <row r="136" spans="2:172" s="115" customFormat="1" ht="11.25" x14ac:dyDescent="0.2">
      <c r="B136" s="148"/>
      <c r="C136" s="148"/>
      <c r="D136" s="148"/>
      <c r="E136" s="148"/>
      <c r="F136" s="148"/>
      <c r="G136" s="148"/>
      <c r="H136" s="148"/>
      <c r="I136" s="148"/>
      <c r="J136" s="148"/>
      <c r="K136" s="148"/>
      <c r="L136" s="148"/>
      <c r="M136" s="160"/>
      <c r="N136" s="160"/>
      <c r="O136" s="148"/>
      <c r="P136" s="161">
        <f>SUM(Q136:AP136)</f>
      </c>
      <c r="Q136" s="161"/>
      <c r="R136" s="161"/>
      <c r="S136" s="161"/>
      <c r="T136" s="161"/>
      <c r="U136" s="161"/>
      <c r="V136" s="161"/>
      <c r="W136" s="161"/>
      <c r="X136" s="161"/>
      <c r="Y136" s="161"/>
      <c r="Z136" s="161"/>
      <c r="AA136" s="161"/>
      <c r="AB136" s="161"/>
      <c r="AC136" s="161"/>
      <c r="AD136" s="161"/>
      <c r="AE136" s="161"/>
      <c r="AF136" s="161"/>
      <c r="AG136" s="161"/>
      <c r="AH136" s="161"/>
      <c r="AI136" s="161"/>
      <c r="AJ136" s="161"/>
      <c r="AK136" s="161"/>
      <c r="AL136" s="161"/>
      <c r="AM136" s="161"/>
      <c r="AN136" s="161"/>
      <c r="AO136" s="161"/>
      <c r="AP136" s="161"/>
      <c r="AQ136" s="161">
        <f>SUM(AR136:AU136)</f>
      </c>
      <c r="AR136" s="161"/>
      <c r="AS136" s="161"/>
      <c r="AT136" s="161"/>
      <c r="AU136" s="161"/>
      <c r="AV136" s="161">
        <f>SUM(AW136:BH136)</f>
      </c>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f>SUM(BT136:BV136)</f>
      </c>
      <c r="BT136" s="161"/>
      <c r="BU136" s="161"/>
      <c r="BV136" s="161"/>
      <c r="BW136" s="161">
        <f>SUM(BX136:CC136)</f>
      </c>
      <c r="BX136" s="161"/>
      <c r="BY136" s="161"/>
      <c r="BZ136" s="161"/>
      <c r="CA136" s="161"/>
      <c r="CB136" s="161"/>
      <c r="CC136" s="161"/>
      <c r="CD136" s="161"/>
      <c r="CE136" s="161"/>
      <c r="CF136" s="161"/>
      <c r="CG136" s="161"/>
      <c r="CH136" s="161"/>
      <c r="CI136" s="161"/>
      <c r="CJ136" s="161">
        <f>SUM(CK136:CM136)</f>
      </c>
      <c r="CK136" s="161"/>
      <c r="CL136" s="161"/>
      <c r="CM136" s="161"/>
      <c r="CN136" s="161">
        <f>SUM(CO136:CS136)</f>
      </c>
      <c r="CO136" s="161"/>
      <c r="CP136" s="161"/>
      <c r="CQ136" s="161"/>
      <c r="CR136" s="161"/>
      <c r="CS136" s="161"/>
      <c r="CT136" s="161"/>
      <c r="CU136" s="161"/>
      <c r="CV136" s="161"/>
      <c r="CW136" s="161"/>
      <c r="CX136" s="161"/>
      <c r="CY136" s="161"/>
      <c r="CZ136" s="161"/>
      <c r="DA136" s="161"/>
      <c r="DB136" s="161"/>
      <c r="DC136" s="161"/>
      <c r="DD136" s="161"/>
      <c r="DE136" s="161"/>
      <c r="DF136" s="161">
        <f>SUM(DG136:DG136)</f>
      </c>
      <c r="DG136" s="161"/>
      <c r="DH136" s="161"/>
      <c r="DI136" s="161"/>
      <c r="DJ136" s="161">
        <f>SUM(DK136:DP136)</f>
      </c>
      <c r="DK136" s="161"/>
      <c r="DL136" s="161"/>
      <c r="DM136" s="161"/>
      <c r="DN136" s="161"/>
      <c r="DO136" s="161"/>
      <c r="DP136" s="161"/>
      <c r="DQ136" s="161"/>
      <c r="DR136" s="161"/>
      <c r="DS136" s="161"/>
      <c r="DT136" s="161"/>
      <c r="DU136" s="161"/>
      <c r="DV136" s="161"/>
      <c r="DW136" s="161"/>
      <c r="DX136" s="161"/>
      <c r="DY136" s="161"/>
      <c r="DZ136" s="161"/>
      <c r="EA136" s="161"/>
      <c r="EB136" s="161"/>
      <c r="EC136" s="161"/>
      <c r="ED136" s="161"/>
      <c r="EE136" s="161"/>
      <c r="EF136" s="161">
        <f>SUM(EG136:EP136)</f>
      </c>
      <c r="EG136" s="161"/>
      <c r="EH136" s="161"/>
      <c r="EI136" s="161"/>
      <c r="EJ136" s="161"/>
      <c r="EK136" s="161"/>
      <c r="EL136" s="161"/>
      <c r="EM136" s="161"/>
      <c r="EN136" s="161"/>
      <c r="EO136" s="161"/>
      <c r="EP136" s="161"/>
      <c r="EQ136" s="161">
        <f>SUM(ER136:ES136)</f>
      </c>
      <c r="ER136" s="161"/>
      <c r="ES136" s="161"/>
      <c r="ET136" s="161"/>
      <c r="EU136" s="161"/>
      <c r="EV136" s="161"/>
      <c r="EW136" s="161"/>
      <c r="EX136" s="161"/>
      <c r="EY136" s="161"/>
      <c r="EZ136" s="161"/>
      <c r="FA136" s="161"/>
      <c r="FB136" s="161"/>
      <c r="FC136" s="161"/>
      <c r="FD136" s="161"/>
      <c r="FE136" s="161"/>
      <c r="FF136" s="161"/>
      <c r="FG136" s="161"/>
      <c r="FH136" s="163" cm="1">
        <f t="array" ref="FH136">ROW()-ROW(Ongoing[#Headers])</f>
        <v>130</v>
      </c>
      <c r="FI136" s="164" t="s">
        <v>768</v>
      </c>
      <c r="FJ136" s="164" t="s">
        <v>755</v>
      </c>
      <c r="FK136" s="164">
        <v>0</v>
      </c>
      <c r="FL136" s="164" t="s">
        <v>1047</v>
      </c>
      <c r="FM136" s="164">
        <v>0</v>
      </c>
      <c r="FN136" s="164" t="s">
        <v>770</v>
      </c>
      <c r="FO136" s="164" t="s">
        <v>774</v>
      </c>
      <c r="FP136" s="164" t="s">
        <v>1048</v>
      </c>
    </row>
    <row r="137" spans="2:172" s="115" customFormat="1" ht="11.25" x14ac:dyDescent="0.2">
      <c r="B137" s="148"/>
      <c r="C137" s="148"/>
      <c r="D137" s="148"/>
      <c r="E137" s="148"/>
      <c r="F137" s="148"/>
      <c r="G137" s="148"/>
      <c r="H137" s="148"/>
      <c r="I137" s="148"/>
      <c r="J137" s="148"/>
      <c r="K137" s="148"/>
      <c r="L137" s="148"/>
      <c r="M137" s="160"/>
      <c r="N137" s="160"/>
      <c r="O137" s="148"/>
      <c r="P137" s="161">
        <f>SUM(Q137:AP137)</f>
      </c>
      <c r="Q137" s="161"/>
      <c r="R137" s="161"/>
      <c r="S137" s="161"/>
      <c r="T137" s="161"/>
      <c r="U137" s="161"/>
      <c r="V137" s="161"/>
      <c r="W137" s="161"/>
      <c r="X137" s="161"/>
      <c r="Y137" s="161"/>
      <c r="Z137" s="161"/>
      <c r="AA137" s="161"/>
      <c r="AB137" s="161"/>
      <c r="AC137" s="161"/>
      <c r="AD137" s="161"/>
      <c r="AE137" s="161"/>
      <c r="AF137" s="161"/>
      <c r="AG137" s="161"/>
      <c r="AH137" s="161"/>
      <c r="AI137" s="161"/>
      <c r="AJ137" s="161"/>
      <c r="AK137" s="161"/>
      <c r="AL137" s="161"/>
      <c r="AM137" s="161"/>
      <c r="AN137" s="161"/>
      <c r="AO137" s="161"/>
      <c r="AP137" s="161"/>
      <c r="AQ137" s="161">
        <f>SUM(AR137:AU137)</f>
      </c>
      <c r="AR137" s="161"/>
      <c r="AS137" s="161"/>
      <c r="AT137" s="161"/>
      <c r="AU137" s="161"/>
      <c r="AV137" s="161">
        <f>SUM(AW137:BH137)</f>
      </c>
      <c r="AW137" s="161"/>
      <c r="AX137" s="161"/>
      <c r="AY137" s="161"/>
      <c r="AZ137" s="161"/>
      <c r="BA137" s="161"/>
      <c r="BB137" s="161"/>
      <c r="BC137" s="161"/>
      <c r="BD137" s="161"/>
      <c r="BE137" s="161"/>
      <c r="BF137" s="161"/>
      <c r="BG137" s="161"/>
      <c r="BH137" s="161"/>
      <c r="BI137" s="161"/>
      <c r="BJ137" s="161"/>
      <c r="BK137" s="161"/>
      <c r="BL137" s="161"/>
      <c r="BM137" s="161"/>
      <c r="BN137" s="161"/>
      <c r="BO137" s="161"/>
      <c r="BP137" s="161"/>
      <c r="BQ137" s="161"/>
      <c r="BR137" s="161"/>
      <c r="BS137" s="161">
        <f>SUM(BT137:BV137)</f>
      </c>
      <c r="BT137" s="161"/>
      <c r="BU137" s="161"/>
      <c r="BV137" s="161"/>
      <c r="BW137" s="161">
        <f>SUM(BX137:CC137)</f>
      </c>
      <c r="BX137" s="161"/>
      <c r="BY137" s="161"/>
      <c r="BZ137" s="161"/>
      <c r="CA137" s="161"/>
      <c r="CB137" s="161"/>
      <c r="CC137" s="161"/>
      <c r="CD137" s="161"/>
      <c r="CE137" s="161"/>
      <c r="CF137" s="161"/>
      <c r="CG137" s="161"/>
      <c r="CH137" s="161"/>
      <c r="CI137" s="161"/>
      <c r="CJ137" s="161">
        <f>SUM(CK137:CM137)</f>
      </c>
      <c r="CK137" s="161"/>
      <c r="CL137" s="161"/>
      <c r="CM137" s="161"/>
      <c r="CN137" s="161">
        <f>SUM(CO137:CS137)</f>
      </c>
      <c r="CO137" s="161"/>
      <c r="CP137" s="161"/>
      <c r="CQ137" s="161"/>
      <c r="CR137" s="161"/>
      <c r="CS137" s="161"/>
      <c r="CT137" s="161"/>
      <c r="CU137" s="161"/>
      <c r="CV137" s="161"/>
      <c r="CW137" s="161"/>
      <c r="CX137" s="161"/>
      <c r="CY137" s="161"/>
      <c r="CZ137" s="161"/>
      <c r="DA137" s="161"/>
      <c r="DB137" s="161"/>
      <c r="DC137" s="161"/>
      <c r="DD137" s="161"/>
      <c r="DE137" s="161"/>
      <c r="DF137" s="161">
        <f>SUM(DG137:DG137)</f>
      </c>
      <c r="DG137" s="161"/>
      <c r="DH137" s="161"/>
      <c r="DI137" s="161"/>
      <c r="DJ137" s="161">
        <f>SUM(DK137:DP137)</f>
      </c>
      <c r="DK137" s="161"/>
      <c r="DL137" s="161"/>
      <c r="DM137" s="161"/>
      <c r="DN137" s="161"/>
      <c r="DO137" s="161"/>
      <c r="DP137" s="161"/>
      <c r="DQ137" s="161"/>
      <c r="DR137" s="161"/>
      <c r="DS137" s="161"/>
      <c r="DT137" s="161"/>
      <c r="DU137" s="161"/>
      <c r="DV137" s="161"/>
      <c r="DW137" s="161"/>
      <c r="DX137" s="161"/>
      <c r="DY137" s="161"/>
      <c r="DZ137" s="161"/>
      <c r="EA137" s="161"/>
      <c r="EB137" s="161"/>
      <c r="EC137" s="161"/>
      <c r="ED137" s="161"/>
      <c r="EE137" s="161"/>
      <c r="EF137" s="161">
        <f>SUM(EG137:EP137)</f>
      </c>
      <c r="EG137" s="161"/>
      <c r="EH137" s="161"/>
      <c r="EI137" s="161"/>
      <c r="EJ137" s="161"/>
      <c r="EK137" s="161"/>
      <c r="EL137" s="161"/>
      <c r="EM137" s="161"/>
      <c r="EN137" s="161"/>
      <c r="EO137" s="161"/>
      <c r="EP137" s="161"/>
      <c r="EQ137" s="161">
        <f>SUM(ER137:ES137)</f>
      </c>
      <c r="ER137" s="161"/>
      <c r="ES137" s="161"/>
      <c r="ET137" s="161"/>
      <c r="EU137" s="161"/>
      <c r="EV137" s="161"/>
      <c r="EW137" s="161"/>
      <c r="EX137" s="161"/>
      <c r="EY137" s="161"/>
      <c r="EZ137" s="161"/>
      <c r="FA137" s="161"/>
      <c r="FB137" s="161"/>
      <c r="FC137" s="161"/>
      <c r="FD137" s="161"/>
      <c r="FE137" s="161"/>
      <c r="FF137" s="161"/>
      <c r="FG137" s="161"/>
      <c r="FH137" s="163" cm="1">
        <f t="array" ref="FH137">ROW()-ROW(Ongoing[#Headers])</f>
        <v>131</v>
      </c>
      <c r="FI137" s="164" t="s">
        <v>754</v>
      </c>
      <c r="FJ137" s="164" t="s">
        <v>755</v>
      </c>
      <c r="FK137" s="164">
        <v>0</v>
      </c>
      <c r="FL137" s="164" t="s">
        <v>756</v>
      </c>
      <c r="FM137" s="164">
        <v>0</v>
      </c>
      <c r="FN137" s="164" t="s">
        <v>757</v>
      </c>
      <c r="FO137" s="164" t="s">
        <v>758</v>
      </c>
      <c r="FP137" s="164" t="s">
        <v>759</v>
      </c>
    </row>
    <row r="138" spans="2:172" s="115" customFormat="1" ht="11.25" x14ac:dyDescent="0.2">
      <c r="B138" s="148"/>
      <c r="C138" s="148"/>
      <c r="D138" s="148"/>
      <c r="E138" s="148"/>
      <c r="F138" s="148"/>
      <c r="G138" s="148"/>
      <c r="H138" s="148"/>
      <c r="I138" s="148"/>
      <c r="J138" s="148"/>
      <c r="K138" s="148"/>
      <c r="L138" s="148"/>
      <c r="M138" s="160"/>
      <c r="N138" s="160"/>
      <c r="O138" s="148"/>
      <c r="P138" s="161">
        <f>SUM(Q138:AP138)</f>
      </c>
      <c r="Q138" s="161"/>
      <c r="R138" s="161"/>
      <c r="S138" s="161"/>
      <c r="T138" s="161"/>
      <c r="U138" s="161"/>
      <c r="V138" s="161"/>
      <c r="W138" s="161"/>
      <c r="X138" s="161"/>
      <c r="Y138" s="161"/>
      <c r="Z138" s="161"/>
      <c r="AA138" s="161"/>
      <c r="AB138" s="161"/>
      <c r="AC138" s="161"/>
      <c r="AD138" s="161"/>
      <c r="AE138" s="161"/>
      <c r="AF138" s="161"/>
      <c r="AG138" s="161"/>
      <c r="AH138" s="161"/>
      <c r="AI138" s="161"/>
      <c r="AJ138" s="161"/>
      <c r="AK138" s="161"/>
      <c r="AL138" s="161"/>
      <c r="AM138" s="161"/>
      <c r="AN138" s="161"/>
      <c r="AO138" s="161"/>
      <c r="AP138" s="161"/>
      <c r="AQ138" s="161">
        <f>SUM(AR138:AU138)</f>
      </c>
      <c r="AR138" s="161"/>
      <c r="AS138" s="161"/>
      <c r="AT138" s="161"/>
      <c r="AU138" s="161"/>
      <c r="AV138" s="161">
        <f>SUM(AW138:BH138)</f>
      </c>
      <c r="AW138" s="161"/>
      <c r="AX138" s="161"/>
      <c r="AY138" s="161"/>
      <c r="AZ138" s="161"/>
      <c r="BA138" s="161"/>
      <c r="BB138" s="161"/>
      <c r="BC138" s="161"/>
      <c r="BD138" s="161"/>
      <c r="BE138" s="161"/>
      <c r="BF138" s="161"/>
      <c r="BG138" s="161"/>
      <c r="BH138" s="161"/>
      <c r="BI138" s="161"/>
      <c r="BJ138" s="161"/>
      <c r="BK138" s="161"/>
      <c r="BL138" s="161"/>
      <c r="BM138" s="161"/>
      <c r="BN138" s="161"/>
      <c r="BO138" s="161"/>
      <c r="BP138" s="161"/>
      <c r="BQ138" s="161"/>
      <c r="BR138" s="161"/>
      <c r="BS138" s="161">
        <f>SUM(BT138:BV138)</f>
      </c>
      <c r="BT138" s="161"/>
      <c r="BU138" s="161"/>
      <c r="BV138" s="161"/>
      <c r="BW138" s="161">
        <f>SUM(BX138:CC138)</f>
      </c>
      <c r="BX138" s="161"/>
      <c r="BY138" s="161"/>
      <c r="BZ138" s="161"/>
      <c r="CA138" s="161"/>
      <c r="CB138" s="161"/>
      <c r="CC138" s="161"/>
      <c r="CD138" s="161"/>
      <c r="CE138" s="161"/>
      <c r="CF138" s="161"/>
      <c r="CG138" s="161"/>
      <c r="CH138" s="161"/>
      <c r="CI138" s="161"/>
      <c r="CJ138" s="161">
        <f>SUM(CK138:CM138)</f>
      </c>
      <c r="CK138" s="161"/>
      <c r="CL138" s="161"/>
      <c r="CM138" s="161"/>
      <c r="CN138" s="161">
        <f>SUM(CO138:CS138)</f>
      </c>
      <c r="CO138" s="161"/>
      <c r="CP138" s="161"/>
      <c r="CQ138" s="161"/>
      <c r="CR138" s="161"/>
      <c r="CS138" s="161"/>
      <c r="CT138" s="161"/>
      <c r="CU138" s="161"/>
      <c r="CV138" s="161"/>
      <c r="CW138" s="161"/>
      <c r="CX138" s="161"/>
      <c r="CY138" s="161"/>
      <c r="CZ138" s="161"/>
      <c r="DA138" s="161"/>
      <c r="DB138" s="161"/>
      <c r="DC138" s="161"/>
      <c r="DD138" s="161"/>
      <c r="DE138" s="161"/>
      <c r="DF138" s="161">
        <f>SUM(DG138:DG138)</f>
      </c>
      <c r="DG138" s="161"/>
      <c r="DH138" s="161"/>
      <c r="DI138" s="161"/>
      <c r="DJ138" s="161">
        <f>SUM(DK138:DP138)</f>
      </c>
      <c r="DK138" s="161"/>
      <c r="DL138" s="161"/>
      <c r="DM138" s="161"/>
      <c r="DN138" s="161"/>
      <c r="DO138" s="161"/>
      <c r="DP138" s="161"/>
      <c r="DQ138" s="161"/>
      <c r="DR138" s="161"/>
      <c r="DS138" s="161"/>
      <c r="DT138" s="161"/>
      <c r="DU138" s="161"/>
      <c r="DV138" s="161"/>
      <c r="DW138" s="161"/>
      <c r="DX138" s="161"/>
      <c r="DY138" s="161"/>
      <c r="DZ138" s="161"/>
      <c r="EA138" s="161"/>
      <c r="EB138" s="161"/>
      <c r="EC138" s="161"/>
      <c r="ED138" s="161"/>
      <c r="EE138" s="161"/>
      <c r="EF138" s="161">
        <f>SUM(EG138:EP138)</f>
      </c>
      <c r="EG138" s="161"/>
      <c r="EH138" s="161"/>
      <c r="EI138" s="161"/>
      <c r="EJ138" s="161"/>
      <c r="EK138" s="161"/>
      <c r="EL138" s="161"/>
      <c r="EM138" s="161"/>
      <c r="EN138" s="161"/>
      <c r="EO138" s="161"/>
      <c r="EP138" s="161"/>
      <c r="EQ138" s="161">
        <f>SUM(ER138:ES138)</f>
      </c>
      <c r="ER138" s="161"/>
      <c r="ES138" s="161"/>
      <c r="ET138" s="161"/>
      <c r="EU138" s="161"/>
      <c r="EV138" s="161"/>
      <c r="EW138" s="161"/>
      <c r="EX138" s="161"/>
      <c r="EY138" s="161"/>
      <c r="EZ138" s="161"/>
      <c r="FA138" s="161"/>
      <c r="FB138" s="161"/>
      <c r="FC138" s="161"/>
      <c r="FD138" s="161"/>
      <c r="FE138" s="161"/>
      <c r="FF138" s="161"/>
      <c r="FG138" s="161"/>
      <c r="FH138" s="163" cm="1">
        <f t="array" ref="FH138">ROW()-ROW(Ongoing[#Headers])</f>
        <v>132</v>
      </c>
      <c r="FI138" s="164"/>
      <c r="FJ138" s="164"/>
      <c r="FK138" s="164"/>
      <c r="FL138" s="164"/>
      <c r="FM138" s="164"/>
      <c r="FN138" s="164"/>
      <c r="FO138" s="164"/>
      <c r="FP138" s="164"/>
    </row>
    <row r="139" spans="2:172" s="115" customFormat="1" ht="11.25" x14ac:dyDescent="0.2">
      <c r="B139" s="148"/>
      <c r="C139" s="148"/>
      <c r="D139" s="148"/>
      <c r="E139" s="148"/>
      <c r="F139" s="148"/>
      <c r="G139" s="148"/>
      <c r="H139" s="148"/>
      <c r="I139" s="148"/>
      <c r="J139" s="148"/>
      <c r="K139" s="148"/>
      <c r="L139" s="148"/>
      <c r="M139" s="160"/>
      <c r="N139" s="160"/>
      <c r="O139" s="148"/>
      <c r="P139" s="161">
        <f>SUM(Q139:AP139)</f>
      </c>
      <c r="Q139" s="161"/>
      <c r="R139" s="161"/>
      <c r="S139" s="161"/>
      <c r="T139" s="161"/>
      <c r="U139" s="161"/>
      <c r="V139" s="161"/>
      <c r="W139" s="161"/>
      <c r="X139" s="161"/>
      <c r="Y139" s="161"/>
      <c r="Z139" s="161"/>
      <c r="AA139" s="161"/>
      <c r="AB139" s="161"/>
      <c r="AC139" s="161"/>
      <c r="AD139" s="161"/>
      <c r="AE139" s="161"/>
      <c r="AF139" s="161"/>
      <c r="AG139" s="161"/>
      <c r="AH139" s="161"/>
      <c r="AI139" s="161"/>
      <c r="AJ139" s="161"/>
      <c r="AK139" s="161"/>
      <c r="AL139" s="161"/>
      <c r="AM139" s="161"/>
      <c r="AN139" s="161"/>
      <c r="AO139" s="161"/>
      <c r="AP139" s="161"/>
      <c r="AQ139" s="161">
        <f>SUM(AR139:AU139)</f>
      </c>
      <c r="AR139" s="161"/>
      <c r="AS139" s="161"/>
      <c r="AT139" s="161"/>
      <c r="AU139" s="161"/>
      <c r="AV139" s="161">
        <f>SUM(AW139:BH139)</f>
      </c>
      <c r="AW139" s="161"/>
      <c r="AX139" s="161"/>
      <c r="AY139" s="161"/>
      <c r="AZ139" s="161"/>
      <c r="BA139" s="161"/>
      <c r="BB139" s="161"/>
      <c r="BC139" s="161"/>
      <c r="BD139" s="161"/>
      <c r="BE139" s="161"/>
      <c r="BF139" s="161"/>
      <c r="BG139" s="161"/>
      <c r="BH139" s="161"/>
      <c r="BI139" s="161"/>
      <c r="BJ139" s="161"/>
      <c r="BK139" s="161"/>
      <c r="BL139" s="161"/>
      <c r="BM139" s="161"/>
      <c r="BN139" s="161"/>
      <c r="BO139" s="161"/>
      <c r="BP139" s="161"/>
      <c r="BQ139" s="161"/>
      <c r="BR139" s="161"/>
      <c r="BS139" s="161">
        <f>SUM(BT139:BV139)</f>
      </c>
      <c r="BT139" s="161"/>
      <c r="BU139" s="161"/>
      <c r="BV139" s="161"/>
      <c r="BW139" s="161">
        <f>SUM(BX139:CC139)</f>
      </c>
      <c r="BX139" s="161"/>
      <c r="BY139" s="161"/>
      <c r="BZ139" s="161"/>
      <c r="CA139" s="161"/>
      <c r="CB139" s="161"/>
      <c r="CC139" s="161"/>
      <c r="CD139" s="161"/>
      <c r="CE139" s="161"/>
      <c r="CF139" s="161"/>
      <c r="CG139" s="161"/>
      <c r="CH139" s="161"/>
      <c r="CI139" s="161"/>
      <c r="CJ139" s="161">
        <f>SUM(CK139:CM139)</f>
      </c>
      <c r="CK139" s="161"/>
      <c r="CL139" s="161"/>
      <c r="CM139" s="161"/>
      <c r="CN139" s="161">
        <f>SUM(CO139:CS139)</f>
      </c>
      <c r="CO139" s="161"/>
      <c r="CP139" s="161"/>
      <c r="CQ139" s="161"/>
      <c r="CR139" s="161"/>
      <c r="CS139" s="161"/>
      <c r="CT139" s="161"/>
      <c r="CU139" s="161"/>
      <c r="CV139" s="161"/>
      <c r="CW139" s="161"/>
      <c r="CX139" s="161"/>
      <c r="CY139" s="161"/>
      <c r="CZ139" s="161"/>
      <c r="DA139" s="161"/>
      <c r="DB139" s="161"/>
      <c r="DC139" s="161"/>
      <c r="DD139" s="161"/>
      <c r="DE139" s="161"/>
      <c r="DF139" s="161">
        <f>SUM(DG139:DG139)</f>
      </c>
      <c r="DG139" s="161"/>
      <c r="DH139" s="161"/>
      <c r="DI139" s="161"/>
      <c r="DJ139" s="161">
        <f>SUM(DK139:DP139)</f>
      </c>
      <c r="DK139" s="161"/>
      <c r="DL139" s="161"/>
      <c r="DM139" s="161"/>
      <c r="DN139" s="161"/>
      <c r="DO139" s="161"/>
      <c r="DP139" s="161"/>
      <c r="DQ139" s="161"/>
      <c r="DR139" s="161"/>
      <c r="DS139" s="161"/>
      <c r="DT139" s="161"/>
      <c r="DU139" s="161"/>
      <c r="DV139" s="161"/>
      <c r="DW139" s="161"/>
      <c r="DX139" s="161"/>
      <c r="DY139" s="161"/>
      <c r="DZ139" s="161"/>
      <c r="EA139" s="161"/>
      <c r="EB139" s="161"/>
      <c r="EC139" s="161"/>
      <c r="ED139" s="161"/>
      <c r="EE139" s="161"/>
      <c r="EF139" s="161">
        <f>SUM(EG139:EP139)</f>
      </c>
      <c r="EG139" s="161"/>
      <c r="EH139" s="161"/>
      <c r="EI139" s="161"/>
      <c r="EJ139" s="161"/>
      <c r="EK139" s="161"/>
      <c r="EL139" s="161"/>
      <c r="EM139" s="161"/>
      <c r="EN139" s="161"/>
      <c r="EO139" s="161"/>
      <c r="EP139" s="161"/>
      <c r="EQ139" s="161">
        <f>SUM(ER139:ES139)</f>
      </c>
      <c r="ER139" s="161"/>
      <c r="ES139" s="161"/>
      <c r="ET139" s="161"/>
      <c r="EU139" s="161"/>
      <c r="EV139" s="161"/>
      <c r="EW139" s="161"/>
      <c r="EX139" s="161"/>
      <c r="EY139" s="161"/>
      <c r="EZ139" s="161"/>
      <c r="FA139" s="161"/>
      <c r="FB139" s="161"/>
      <c r="FC139" s="161"/>
      <c r="FD139" s="161"/>
      <c r="FE139" s="161"/>
      <c r="FF139" s="161"/>
      <c r="FG139" s="161"/>
      <c r="FH139" s="163" cm="1">
        <f t="array" ref="FH139">ROW()-ROW(Ongoing[#Headers])</f>
        <v>133</v>
      </c>
      <c r="FI139" s="164" t="s">
        <v>754</v>
      </c>
      <c r="FJ139" s="164" t="s">
        <v>755</v>
      </c>
      <c r="FK139" s="164">
        <v>0</v>
      </c>
      <c r="FL139" s="164" t="s">
        <v>756</v>
      </c>
      <c r="FM139" s="164">
        <v>0</v>
      </c>
      <c r="FN139" s="164" t="s">
        <v>757</v>
      </c>
      <c r="FO139" s="164" t="s">
        <v>758</v>
      </c>
      <c r="FP139" s="164" t="s">
        <v>759</v>
      </c>
    </row>
    <row r="140" spans="2:172" s="115" customFormat="1" ht="11.25" x14ac:dyDescent="0.2">
      <c r="B140" s="148"/>
      <c r="C140" s="148"/>
      <c r="D140" s="148"/>
      <c r="E140" s="148"/>
      <c r="F140" s="148"/>
      <c r="G140" s="148"/>
      <c r="H140" s="148"/>
      <c r="I140" s="148"/>
      <c r="J140" s="148"/>
      <c r="K140" s="148"/>
      <c r="L140" s="148"/>
      <c r="M140" s="160"/>
      <c r="N140" s="160"/>
      <c r="O140" s="148"/>
      <c r="P140" s="161">
        <f>SUM(Q140:AP140)</f>
      </c>
      <c r="Q140" s="161"/>
      <c r="R140" s="161"/>
      <c r="S140" s="161"/>
      <c r="T140" s="161"/>
      <c r="U140" s="161"/>
      <c r="V140" s="161"/>
      <c r="W140" s="161"/>
      <c r="X140" s="161"/>
      <c r="Y140" s="161"/>
      <c r="Z140" s="161"/>
      <c r="AA140" s="161"/>
      <c r="AB140" s="161"/>
      <c r="AC140" s="161"/>
      <c r="AD140" s="161"/>
      <c r="AE140" s="161"/>
      <c r="AF140" s="161"/>
      <c r="AG140" s="161"/>
      <c r="AH140" s="161"/>
      <c r="AI140" s="161"/>
      <c r="AJ140" s="161"/>
      <c r="AK140" s="161"/>
      <c r="AL140" s="161"/>
      <c r="AM140" s="161"/>
      <c r="AN140" s="161"/>
      <c r="AO140" s="161"/>
      <c r="AP140" s="161"/>
      <c r="AQ140" s="161">
        <f>SUM(AR140:AU140)</f>
      </c>
      <c r="AR140" s="161"/>
      <c r="AS140" s="161"/>
      <c r="AT140" s="161"/>
      <c r="AU140" s="161"/>
      <c r="AV140" s="161">
        <f>SUM(AW140:BH140)</f>
      </c>
      <c r="AW140" s="161"/>
      <c r="AX140" s="161"/>
      <c r="AY140" s="161"/>
      <c r="AZ140" s="161"/>
      <c r="BA140" s="161"/>
      <c r="BB140" s="161"/>
      <c r="BC140" s="161"/>
      <c r="BD140" s="161"/>
      <c r="BE140" s="161"/>
      <c r="BF140" s="161"/>
      <c r="BG140" s="161"/>
      <c r="BH140" s="161"/>
      <c r="BI140" s="161"/>
      <c r="BJ140" s="161"/>
      <c r="BK140" s="161"/>
      <c r="BL140" s="161"/>
      <c r="BM140" s="161"/>
      <c r="BN140" s="161"/>
      <c r="BO140" s="161"/>
      <c r="BP140" s="161"/>
      <c r="BQ140" s="161"/>
      <c r="BR140" s="161"/>
      <c r="BS140" s="161">
        <f>SUM(BT140:BV140)</f>
      </c>
      <c r="BT140" s="161"/>
      <c r="BU140" s="161"/>
      <c r="BV140" s="161"/>
      <c r="BW140" s="161">
        <f>SUM(BX140:CC140)</f>
      </c>
      <c r="BX140" s="161"/>
      <c r="BY140" s="161"/>
      <c r="BZ140" s="161"/>
      <c r="CA140" s="161"/>
      <c r="CB140" s="161"/>
      <c r="CC140" s="161"/>
      <c r="CD140" s="161"/>
      <c r="CE140" s="161"/>
      <c r="CF140" s="161"/>
      <c r="CG140" s="161"/>
      <c r="CH140" s="161"/>
      <c r="CI140" s="161"/>
      <c r="CJ140" s="161">
        <f>SUM(CK140:CM140)</f>
      </c>
      <c r="CK140" s="161"/>
      <c r="CL140" s="161"/>
      <c r="CM140" s="161"/>
      <c r="CN140" s="161">
        <f>SUM(CO140:CS140)</f>
      </c>
      <c r="CO140" s="161"/>
      <c r="CP140" s="161"/>
      <c r="CQ140" s="161"/>
      <c r="CR140" s="161"/>
      <c r="CS140" s="161"/>
      <c r="CT140" s="161"/>
      <c r="CU140" s="161"/>
      <c r="CV140" s="161"/>
      <c r="CW140" s="161"/>
      <c r="CX140" s="161"/>
      <c r="CY140" s="161"/>
      <c r="CZ140" s="161"/>
      <c r="DA140" s="161"/>
      <c r="DB140" s="161"/>
      <c r="DC140" s="161"/>
      <c r="DD140" s="161"/>
      <c r="DE140" s="161"/>
      <c r="DF140" s="161">
        <f>SUM(DG140:DG140)</f>
      </c>
      <c r="DG140" s="161"/>
      <c r="DH140" s="161"/>
      <c r="DI140" s="161"/>
      <c r="DJ140" s="161">
        <f>SUM(DK140:DP140)</f>
      </c>
      <c r="DK140" s="161"/>
      <c r="DL140" s="161"/>
      <c r="DM140" s="161"/>
      <c r="DN140" s="161"/>
      <c r="DO140" s="161"/>
      <c r="DP140" s="161"/>
      <c r="DQ140" s="161"/>
      <c r="DR140" s="161"/>
      <c r="DS140" s="161"/>
      <c r="DT140" s="161"/>
      <c r="DU140" s="161"/>
      <c r="DV140" s="161"/>
      <c r="DW140" s="161"/>
      <c r="DX140" s="161"/>
      <c r="DY140" s="161"/>
      <c r="DZ140" s="161"/>
      <c r="EA140" s="161"/>
      <c r="EB140" s="161"/>
      <c r="EC140" s="161"/>
      <c r="ED140" s="161"/>
      <c r="EE140" s="161"/>
      <c r="EF140" s="161">
        <f>SUM(EG140:EP140)</f>
      </c>
      <c r="EG140" s="161"/>
      <c r="EH140" s="161"/>
      <c r="EI140" s="161"/>
      <c r="EJ140" s="161"/>
      <c r="EK140" s="161"/>
      <c r="EL140" s="161"/>
      <c r="EM140" s="161"/>
      <c r="EN140" s="161"/>
      <c r="EO140" s="161"/>
      <c r="EP140" s="161"/>
      <c r="EQ140" s="161">
        <f>SUM(ER140:ES140)</f>
      </c>
      <c r="ER140" s="161"/>
      <c r="ES140" s="161"/>
      <c r="ET140" s="161"/>
      <c r="EU140" s="161"/>
      <c r="EV140" s="161"/>
      <c r="EW140" s="161"/>
      <c r="EX140" s="161"/>
      <c r="EY140" s="161"/>
      <c r="EZ140" s="161"/>
      <c r="FA140" s="161"/>
      <c r="FB140" s="161"/>
      <c r="FC140" s="161"/>
      <c r="FD140" s="161"/>
      <c r="FE140" s="161"/>
      <c r="FF140" s="161"/>
      <c r="FG140" s="161"/>
      <c r="FH140" s="163" cm="1">
        <f t="array" ref="FH140">ROW()-ROW(Ongoing[#Headers])</f>
        <v>134</v>
      </c>
      <c r="FI140" s="164" t="s">
        <v>754</v>
      </c>
      <c r="FJ140" s="164" t="s">
        <v>755</v>
      </c>
      <c r="FK140" s="164">
        <v>0</v>
      </c>
      <c r="FL140" s="164" t="s">
        <v>756</v>
      </c>
      <c r="FM140" s="164">
        <v>0</v>
      </c>
      <c r="FN140" s="164" t="s">
        <v>757</v>
      </c>
      <c r="FO140" s="164" t="s">
        <v>758</v>
      </c>
      <c r="FP140" s="164" t="s">
        <v>759</v>
      </c>
    </row>
    <row r="141" spans="2:172" s="115" customFormat="1" ht="11.25" x14ac:dyDescent="0.2">
      <c r="B141" s="148"/>
      <c r="C141" s="148"/>
      <c r="D141" s="148"/>
      <c r="E141" s="148"/>
      <c r="F141" s="148"/>
      <c r="G141" s="148"/>
      <c r="H141" s="148"/>
      <c r="I141" s="148"/>
      <c r="J141" s="148"/>
      <c r="K141" s="148"/>
      <c r="L141" s="148"/>
      <c r="M141" s="160"/>
      <c r="N141" s="160"/>
      <c r="O141" s="148"/>
      <c r="P141" s="161">
        <f>SUM(Q141:AP141)</f>
      </c>
      <c r="Q141" s="161"/>
      <c r="R141" s="161"/>
      <c r="S141" s="161"/>
      <c r="T141" s="161"/>
      <c r="U141" s="161"/>
      <c r="V141" s="161"/>
      <c r="W141" s="161"/>
      <c r="X141" s="161"/>
      <c r="Y141" s="161"/>
      <c r="Z141" s="161"/>
      <c r="AA141" s="161"/>
      <c r="AB141" s="161"/>
      <c r="AC141" s="161"/>
      <c r="AD141" s="161"/>
      <c r="AE141" s="161"/>
      <c r="AF141" s="161"/>
      <c r="AG141" s="161"/>
      <c r="AH141" s="161"/>
      <c r="AI141" s="161"/>
      <c r="AJ141" s="161"/>
      <c r="AK141" s="161"/>
      <c r="AL141" s="161"/>
      <c r="AM141" s="161"/>
      <c r="AN141" s="161"/>
      <c r="AO141" s="161"/>
      <c r="AP141" s="161"/>
      <c r="AQ141" s="161">
        <f>SUM(AR141:AU141)</f>
      </c>
      <c r="AR141" s="161"/>
      <c r="AS141" s="161"/>
      <c r="AT141" s="161"/>
      <c r="AU141" s="161"/>
      <c r="AV141" s="161">
        <f>SUM(AW141:BH141)</f>
      </c>
      <c r="AW141" s="161"/>
      <c r="AX141" s="161"/>
      <c r="AY141" s="161"/>
      <c r="AZ141" s="161"/>
      <c r="BA141" s="161"/>
      <c r="BB141" s="161"/>
      <c r="BC141" s="161"/>
      <c r="BD141" s="161"/>
      <c r="BE141" s="161"/>
      <c r="BF141" s="161"/>
      <c r="BG141" s="161"/>
      <c r="BH141" s="161"/>
      <c r="BI141" s="161"/>
      <c r="BJ141" s="161"/>
      <c r="BK141" s="161"/>
      <c r="BL141" s="161"/>
      <c r="BM141" s="161"/>
      <c r="BN141" s="161"/>
      <c r="BO141" s="161"/>
      <c r="BP141" s="161"/>
      <c r="BQ141" s="161"/>
      <c r="BR141" s="161"/>
      <c r="BS141" s="161">
        <f>SUM(BT141:BV141)</f>
      </c>
      <c r="BT141" s="161"/>
      <c r="BU141" s="161"/>
      <c r="BV141" s="161"/>
      <c r="BW141" s="161">
        <f>SUM(BX141:CC141)</f>
      </c>
      <c r="BX141" s="161"/>
      <c r="BY141" s="161"/>
      <c r="BZ141" s="161"/>
      <c r="CA141" s="161"/>
      <c r="CB141" s="161"/>
      <c r="CC141" s="161"/>
      <c r="CD141" s="161"/>
      <c r="CE141" s="161"/>
      <c r="CF141" s="161"/>
      <c r="CG141" s="161"/>
      <c r="CH141" s="161"/>
      <c r="CI141" s="161"/>
      <c r="CJ141" s="161">
        <f>SUM(CK141:CM141)</f>
      </c>
      <c r="CK141" s="161"/>
      <c r="CL141" s="161"/>
      <c r="CM141" s="161"/>
      <c r="CN141" s="161">
        <f>SUM(CO141:CS141)</f>
      </c>
      <c r="CO141" s="161"/>
      <c r="CP141" s="161"/>
      <c r="CQ141" s="161"/>
      <c r="CR141" s="161"/>
      <c r="CS141" s="161"/>
      <c r="CT141" s="161"/>
      <c r="CU141" s="161"/>
      <c r="CV141" s="161"/>
      <c r="CW141" s="161"/>
      <c r="CX141" s="161"/>
      <c r="CY141" s="161"/>
      <c r="CZ141" s="161"/>
      <c r="DA141" s="161"/>
      <c r="DB141" s="161"/>
      <c r="DC141" s="161"/>
      <c r="DD141" s="161"/>
      <c r="DE141" s="161"/>
      <c r="DF141" s="161">
        <f>SUM(DG141:DG141)</f>
      </c>
      <c r="DG141" s="161"/>
      <c r="DH141" s="161"/>
      <c r="DI141" s="161"/>
      <c r="DJ141" s="161">
        <f>SUM(DK141:DP141)</f>
      </c>
      <c r="DK141" s="161"/>
      <c r="DL141" s="161"/>
      <c r="DM141" s="161"/>
      <c r="DN141" s="161"/>
      <c r="DO141" s="161"/>
      <c r="DP141" s="161"/>
      <c r="DQ141" s="161"/>
      <c r="DR141" s="161"/>
      <c r="DS141" s="161"/>
      <c r="DT141" s="161"/>
      <c r="DU141" s="161"/>
      <c r="DV141" s="161"/>
      <c r="DW141" s="161"/>
      <c r="DX141" s="161"/>
      <c r="DY141" s="161"/>
      <c r="DZ141" s="161"/>
      <c r="EA141" s="161"/>
      <c r="EB141" s="161"/>
      <c r="EC141" s="161"/>
      <c r="ED141" s="161"/>
      <c r="EE141" s="161"/>
      <c r="EF141" s="161">
        <f>SUM(EG141:EP141)</f>
      </c>
      <c r="EG141" s="161"/>
      <c r="EH141" s="161"/>
      <c r="EI141" s="161"/>
      <c r="EJ141" s="161"/>
      <c r="EK141" s="161"/>
      <c r="EL141" s="161"/>
      <c r="EM141" s="161"/>
      <c r="EN141" s="161"/>
      <c r="EO141" s="161"/>
      <c r="EP141" s="161"/>
      <c r="EQ141" s="161">
        <f>SUM(ER141:ES141)</f>
      </c>
      <c r="ER141" s="161"/>
      <c r="ES141" s="161"/>
      <c r="ET141" s="161"/>
      <c r="EU141" s="161"/>
      <c r="EV141" s="161"/>
      <c r="EW141" s="161"/>
      <c r="EX141" s="161"/>
      <c r="EY141" s="161"/>
      <c r="EZ141" s="161"/>
      <c r="FA141" s="161"/>
      <c r="FB141" s="161"/>
      <c r="FC141" s="161"/>
      <c r="FD141" s="161"/>
      <c r="FE141" s="161"/>
      <c r="FF141" s="161"/>
      <c r="FG141" s="161"/>
      <c r="FH141" s="163" cm="1">
        <f t="array" ref="FH141">ROW()-ROW(Ongoing[#Headers])</f>
        <v>135</v>
      </c>
      <c r="FI141" s="164" t="s">
        <v>768</v>
      </c>
      <c r="FJ141" s="164" t="s">
        <v>755</v>
      </c>
      <c r="FK141" s="164">
        <v>0</v>
      </c>
      <c r="FL141" s="164" t="s">
        <v>769</v>
      </c>
      <c r="FM141" s="164">
        <v>0</v>
      </c>
      <c r="FN141" s="164" t="s">
        <v>770</v>
      </c>
      <c r="FO141" s="164" t="s">
        <v>1059</v>
      </c>
      <c r="FP141" s="164" t="s">
        <v>759</v>
      </c>
    </row>
    <row r="142" spans="2:172" s="115" customFormat="1" ht="11.25" x14ac:dyDescent="0.2">
      <c r="B142" s="148"/>
      <c r="C142" s="148"/>
      <c r="D142" s="148"/>
      <c r="E142" s="148"/>
      <c r="F142" s="148"/>
      <c r="G142" s="148"/>
      <c r="H142" s="148"/>
      <c r="I142" s="148"/>
      <c r="J142" s="148"/>
      <c r="K142" s="148"/>
      <c r="L142" s="148"/>
      <c r="M142" s="160"/>
      <c r="N142" s="160"/>
      <c r="O142" s="148"/>
      <c r="P142" s="161">
        <f>SUM(Q142:AP142)</f>
      </c>
      <c r="Q142" s="161"/>
      <c r="R142" s="161"/>
      <c r="S142" s="161"/>
      <c r="T142" s="161"/>
      <c r="U142" s="161"/>
      <c r="V142" s="161"/>
      <c r="W142" s="161"/>
      <c r="X142" s="161"/>
      <c r="Y142" s="161"/>
      <c r="Z142" s="161"/>
      <c r="AA142" s="161"/>
      <c r="AB142" s="161"/>
      <c r="AC142" s="161"/>
      <c r="AD142" s="161"/>
      <c r="AE142" s="161"/>
      <c r="AF142" s="161"/>
      <c r="AG142" s="161"/>
      <c r="AH142" s="161"/>
      <c r="AI142" s="161"/>
      <c r="AJ142" s="161"/>
      <c r="AK142" s="161"/>
      <c r="AL142" s="161"/>
      <c r="AM142" s="161"/>
      <c r="AN142" s="161"/>
      <c r="AO142" s="161"/>
      <c r="AP142" s="161"/>
      <c r="AQ142" s="161">
        <f>SUM(AR142:AU142)</f>
      </c>
      <c r="AR142" s="161"/>
      <c r="AS142" s="161"/>
      <c r="AT142" s="161"/>
      <c r="AU142" s="161"/>
      <c r="AV142" s="161">
        <f>SUM(AW142:BH142)</f>
      </c>
      <c r="AW142" s="161"/>
      <c r="AX142" s="161"/>
      <c r="AY142" s="161"/>
      <c r="AZ142" s="161"/>
      <c r="BA142" s="161"/>
      <c r="BB142" s="161"/>
      <c r="BC142" s="161"/>
      <c r="BD142" s="161"/>
      <c r="BE142" s="161"/>
      <c r="BF142" s="161"/>
      <c r="BG142" s="161"/>
      <c r="BH142" s="161"/>
      <c r="BI142" s="161"/>
      <c r="BJ142" s="161"/>
      <c r="BK142" s="161"/>
      <c r="BL142" s="161"/>
      <c r="BM142" s="161"/>
      <c r="BN142" s="161"/>
      <c r="BO142" s="161"/>
      <c r="BP142" s="161"/>
      <c r="BQ142" s="161"/>
      <c r="BR142" s="161"/>
      <c r="BS142" s="161">
        <f>SUM(BT142:BV142)</f>
      </c>
      <c r="BT142" s="161"/>
      <c r="BU142" s="161"/>
      <c r="BV142" s="161"/>
      <c r="BW142" s="161">
        <f>SUM(BX142:CC142)</f>
      </c>
      <c r="BX142" s="161"/>
      <c r="BY142" s="161"/>
      <c r="BZ142" s="161"/>
      <c r="CA142" s="161"/>
      <c r="CB142" s="161"/>
      <c r="CC142" s="161"/>
      <c r="CD142" s="161"/>
      <c r="CE142" s="161"/>
      <c r="CF142" s="161"/>
      <c r="CG142" s="161"/>
      <c r="CH142" s="161"/>
      <c r="CI142" s="161"/>
      <c r="CJ142" s="161">
        <f>SUM(CK142:CM142)</f>
      </c>
      <c r="CK142" s="161"/>
      <c r="CL142" s="161"/>
      <c r="CM142" s="161"/>
      <c r="CN142" s="161">
        <f>SUM(CO142:CS142)</f>
      </c>
      <c r="CO142" s="161"/>
      <c r="CP142" s="161"/>
      <c r="CQ142" s="161"/>
      <c r="CR142" s="161"/>
      <c r="CS142" s="161"/>
      <c r="CT142" s="161"/>
      <c r="CU142" s="161"/>
      <c r="CV142" s="161"/>
      <c r="CW142" s="161"/>
      <c r="CX142" s="161"/>
      <c r="CY142" s="161"/>
      <c r="CZ142" s="161"/>
      <c r="DA142" s="161"/>
      <c r="DB142" s="161"/>
      <c r="DC142" s="161"/>
      <c r="DD142" s="161"/>
      <c r="DE142" s="161"/>
      <c r="DF142" s="161">
        <f>SUM(DG142:DG142)</f>
      </c>
      <c r="DG142" s="161"/>
      <c r="DH142" s="161"/>
      <c r="DI142" s="161"/>
      <c r="DJ142" s="161">
        <f>SUM(DK142:DP142)</f>
      </c>
      <c r="DK142" s="161"/>
      <c r="DL142" s="161"/>
      <c r="DM142" s="161"/>
      <c r="DN142" s="161"/>
      <c r="DO142" s="161"/>
      <c r="DP142" s="161"/>
      <c r="DQ142" s="161"/>
      <c r="DR142" s="161"/>
      <c r="DS142" s="161"/>
      <c r="DT142" s="161"/>
      <c r="DU142" s="161"/>
      <c r="DV142" s="161"/>
      <c r="DW142" s="161"/>
      <c r="DX142" s="161"/>
      <c r="DY142" s="161"/>
      <c r="DZ142" s="161"/>
      <c r="EA142" s="161"/>
      <c r="EB142" s="161"/>
      <c r="EC142" s="161"/>
      <c r="ED142" s="161"/>
      <c r="EE142" s="161"/>
      <c r="EF142" s="161">
        <f>SUM(EG142:EP142)</f>
      </c>
      <c r="EG142" s="161"/>
      <c r="EH142" s="161"/>
      <c r="EI142" s="161"/>
      <c r="EJ142" s="161"/>
      <c r="EK142" s="161"/>
      <c r="EL142" s="161"/>
      <c r="EM142" s="161"/>
      <c r="EN142" s="161"/>
      <c r="EO142" s="161"/>
      <c r="EP142" s="161"/>
      <c r="EQ142" s="161">
        <f>SUM(ER142:ES142)</f>
      </c>
      <c r="ER142" s="161"/>
      <c r="ES142" s="161"/>
      <c r="ET142" s="161"/>
      <c r="EU142" s="161"/>
      <c r="EV142" s="161"/>
      <c r="EW142" s="161"/>
      <c r="EX142" s="161"/>
      <c r="EY142" s="161"/>
      <c r="EZ142" s="161"/>
      <c r="FA142" s="161"/>
      <c r="FB142" s="161"/>
      <c r="FC142" s="161"/>
      <c r="FD142" s="161"/>
      <c r="FE142" s="161"/>
      <c r="FF142" s="161"/>
      <c r="FG142" s="161"/>
      <c r="FH142" s="163" cm="1">
        <f t="array" ref="FH142">ROW()-ROW(Ongoing[#Headers])</f>
        <v>136</v>
      </c>
      <c r="FI142" s="164" t="s">
        <v>754</v>
      </c>
      <c r="FJ142" s="164" t="s">
        <v>755</v>
      </c>
      <c r="FK142" s="164">
        <v>0</v>
      </c>
      <c r="FL142" s="164" t="s">
        <v>756</v>
      </c>
      <c r="FM142" s="164">
        <v>0</v>
      </c>
      <c r="FN142" s="164" t="s">
        <v>757</v>
      </c>
      <c r="FO142" s="164" t="s">
        <v>758</v>
      </c>
      <c r="FP142" s="164" t="s">
        <v>759</v>
      </c>
    </row>
    <row r="143" spans="2:172" s="115" customFormat="1" ht="11.25" x14ac:dyDescent="0.2">
      <c r="B143" s="148"/>
      <c r="C143" s="148"/>
      <c r="D143" s="148"/>
      <c r="E143" s="148"/>
      <c r="F143" s="148"/>
      <c r="G143" s="148"/>
      <c r="H143" s="148"/>
      <c r="I143" s="148"/>
      <c r="J143" s="148"/>
      <c r="K143" s="148"/>
      <c r="L143" s="148"/>
      <c r="M143" s="160"/>
      <c r="N143" s="160"/>
      <c r="O143" s="148"/>
      <c r="P143" s="161">
        <f>SUM(Q143:AP143)</f>
      </c>
      <c r="Q143" s="161"/>
      <c r="R143" s="161"/>
      <c r="S143" s="161"/>
      <c r="T143" s="161"/>
      <c r="U143" s="161"/>
      <c r="V143" s="161"/>
      <c r="W143" s="161"/>
      <c r="X143" s="161"/>
      <c r="Y143" s="161"/>
      <c r="Z143" s="161"/>
      <c r="AA143" s="161"/>
      <c r="AB143" s="161"/>
      <c r="AC143" s="161"/>
      <c r="AD143" s="161"/>
      <c r="AE143" s="161"/>
      <c r="AF143" s="161"/>
      <c r="AG143" s="161"/>
      <c r="AH143" s="161"/>
      <c r="AI143" s="161"/>
      <c r="AJ143" s="161"/>
      <c r="AK143" s="161"/>
      <c r="AL143" s="161"/>
      <c r="AM143" s="161"/>
      <c r="AN143" s="161"/>
      <c r="AO143" s="161"/>
      <c r="AP143" s="161"/>
      <c r="AQ143" s="161">
        <f>SUM(AR143:AU143)</f>
      </c>
      <c r="AR143" s="161"/>
      <c r="AS143" s="161"/>
      <c r="AT143" s="161"/>
      <c r="AU143" s="161"/>
      <c r="AV143" s="161">
        <f>SUM(AW143:BH143)</f>
      </c>
      <c r="AW143" s="161"/>
      <c r="AX143" s="161"/>
      <c r="AY143" s="161"/>
      <c r="AZ143" s="161"/>
      <c r="BA143" s="161"/>
      <c r="BB143" s="161"/>
      <c r="BC143" s="161"/>
      <c r="BD143" s="161"/>
      <c r="BE143" s="161"/>
      <c r="BF143" s="161"/>
      <c r="BG143" s="161"/>
      <c r="BH143" s="161"/>
      <c r="BI143" s="161"/>
      <c r="BJ143" s="161"/>
      <c r="BK143" s="161"/>
      <c r="BL143" s="161"/>
      <c r="BM143" s="161"/>
      <c r="BN143" s="161"/>
      <c r="BO143" s="161"/>
      <c r="BP143" s="161"/>
      <c r="BQ143" s="161"/>
      <c r="BR143" s="161"/>
      <c r="BS143" s="161">
        <f>SUM(BT143:BV143)</f>
      </c>
      <c r="BT143" s="161"/>
      <c r="BU143" s="161"/>
      <c r="BV143" s="161"/>
      <c r="BW143" s="161">
        <f>SUM(BX143:CC143)</f>
      </c>
      <c r="BX143" s="161"/>
      <c r="BY143" s="161"/>
      <c r="BZ143" s="161"/>
      <c r="CA143" s="161"/>
      <c r="CB143" s="161"/>
      <c r="CC143" s="161"/>
      <c r="CD143" s="161"/>
      <c r="CE143" s="161"/>
      <c r="CF143" s="161"/>
      <c r="CG143" s="161"/>
      <c r="CH143" s="161"/>
      <c r="CI143" s="161"/>
      <c r="CJ143" s="161">
        <f>SUM(CK143:CM143)</f>
      </c>
      <c r="CK143" s="161"/>
      <c r="CL143" s="161"/>
      <c r="CM143" s="161"/>
      <c r="CN143" s="161">
        <f>SUM(CO143:CS143)</f>
      </c>
      <c r="CO143" s="161"/>
      <c r="CP143" s="161"/>
      <c r="CQ143" s="161"/>
      <c r="CR143" s="161"/>
      <c r="CS143" s="161"/>
      <c r="CT143" s="161"/>
      <c r="CU143" s="161"/>
      <c r="CV143" s="161"/>
      <c r="CW143" s="161"/>
      <c r="CX143" s="161"/>
      <c r="CY143" s="161"/>
      <c r="CZ143" s="161"/>
      <c r="DA143" s="161"/>
      <c r="DB143" s="161"/>
      <c r="DC143" s="161"/>
      <c r="DD143" s="161"/>
      <c r="DE143" s="161"/>
      <c r="DF143" s="161">
        <f>SUM(DG143:DG143)</f>
      </c>
      <c r="DG143" s="161"/>
      <c r="DH143" s="161"/>
      <c r="DI143" s="161"/>
      <c r="DJ143" s="161">
        <f>SUM(DK143:DP143)</f>
      </c>
      <c r="DK143" s="161"/>
      <c r="DL143" s="161"/>
      <c r="DM143" s="161"/>
      <c r="DN143" s="161"/>
      <c r="DO143" s="161"/>
      <c r="DP143" s="161"/>
      <c r="DQ143" s="161"/>
      <c r="DR143" s="161"/>
      <c r="DS143" s="161"/>
      <c r="DT143" s="161"/>
      <c r="DU143" s="161"/>
      <c r="DV143" s="161"/>
      <c r="DW143" s="161"/>
      <c r="DX143" s="161"/>
      <c r="DY143" s="161"/>
      <c r="DZ143" s="161"/>
      <c r="EA143" s="161"/>
      <c r="EB143" s="161"/>
      <c r="EC143" s="161"/>
      <c r="ED143" s="161"/>
      <c r="EE143" s="161"/>
      <c r="EF143" s="161">
        <f>SUM(EG143:EP143)</f>
      </c>
      <c r="EG143" s="161"/>
      <c r="EH143" s="161"/>
      <c r="EI143" s="161"/>
      <c r="EJ143" s="161"/>
      <c r="EK143" s="161"/>
      <c r="EL143" s="161"/>
      <c r="EM143" s="161"/>
      <c r="EN143" s="161"/>
      <c r="EO143" s="161"/>
      <c r="EP143" s="161"/>
      <c r="EQ143" s="161">
        <f>SUM(ER143:ES143)</f>
      </c>
      <c r="ER143" s="161"/>
      <c r="ES143" s="161"/>
      <c r="ET143" s="161"/>
      <c r="EU143" s="161"/>
      <c r="EV143" s="161"/>
      <c r="EW143" s="161"/>
      <c r="EX143" s="161"/>
      <c r="EY143" s="161"/>
      <c r="EZ143" s="161"/>
      <c r="FA143" s="161"/>
      <c r="FB143" s="161"/>
      <c r="FC143" s="161"/>
      <c r="FD143" s="161"/>
      <c r="FE143" s="161"/>
      <c r="FF143" s="161"/>
      <c r="FG143" s="161"/>
      <c r="FH143" s="163" cm="1">
        <f t="array" ref="FH143">ROW()-ROW(Ongoing[#Headers])</f>
        <v>137</v>
      </c>
      <c r="FI143" s="164" t="s">
        <v>768</v>
      </c>
      <c r="FJ143" s="164" t="s">
        <v>755</v>
      </c>
      <c r="FK143" s="164">
        <v>0</v>
      </c>
      <c r="FL143" s="164" t="s">
        <v>769</v>
      </c>
      <c r="FM143" s="164">
        <v>0</v>
      </c>
      <c r="FN143" s="164" t="s">
        <v>770</v>
      </c>
      <c r="FO143" s="164" t="s">
        <v>771</v>
      </c>
      <c r="FP143" s="164" t="s">
        <v>759</v>
      </c>
    </row>
    <row r="144" spans="2:172" s="115" customFormat="1" ht="11.25" x14ac:dyDescent="0.2">
      <c r="B144" s="148"/>
      <c r="C144" s="148"/>
      <c r="D144" s="148"/>
      <c r="E144" s="148"/>
      <c r="F144" s="148"/>
      <c r="G144" s="148"/>
      <c r="H144" s="148"/>
      <c r="I144" s="148"/>
      <c r="J144" s="148"/>
      <c r="K144" s="148"/>
      <c r="L144" s="148"/>
      <c r="M144" s="160"/>
      <c r="N144" s="160"/>
      <c r="O144" s="148"/>
      <c r="P144" s="161">
        <f>SUM(Q144:AP144)</f>
      </c>
      <c r="Q144" s="161"/>
      <c r="R144" s="161"/>
      <c r="S144" s="161"/>
      <c r="T144" s="161"/>
      <c r="U144" s="161"/>
      <c r="V144" s="161"/>
      <c r="W144" s="161"/>
      <c r="X144" s="161"/>
      <c r="Y144" s="161"/>
      <c r="Z144" s="161"/>
      <c r="AA144" s="161"/>
      <c r="AB144" s="161"/>
      <c r="AC144" s="161"/>
      <c r="AD144" s="161"/>
      <c r="AE144" s="161"/>
      <c r="AF144" s="161"/>
      <c r="AG144" s="161"/>
      <c r="AH144" s="161"/>
      <c r="AI144" s="161"/>
      <c r="AJ144" s="161"/>
      <c r="AK144" s="161"/>
      <c r="AL144" s="161"/>
      <c r="AM144" s="161"/>
      <c r="AN144" s="161"/>
      <c r="AO144" s="161"/>
      <c r="AP144" s="161"/>
      <c r="AQ144" s="161">
        <f>SUM(AR144:AU144)</f>
      </c>
      <c r="AR144" s="161"/>
      <c r="AS144" s="161"/>
      <c r="AT144" s="161"/>
      <c r="AU144" s="161"/>
      <c r="AV144" s="161">
        <f>SUM(AW144:BH144)</f>
      </c>
      <c r="AW144" s="161"/>
      <c r="AX144" s="161"/>
      <c r="AY144" s="161"/>
      <c r="AZ144" s="161"/>
      <c r="BA144" s="161"/>
      <c r="BB144" s="161"/>
      <c r="BC144" s="161"/>
      <c r="BD144" s="161"/>
      <c r="BE144" s="161"/>
      <c r="BF144" s="161"/>
      <c r="BG144" s="161"/>
      <c r="BH144" s="161"/>
      <c r="BI144" s="161"/>
      <c r="BJ144" s="161"/>
      <c r="BK144" s="161"/>
      <c r="BL144" s="161"/>
      <c r="BM144" s="161"/>
      <c r="BN144" s="161"/>
      <c r="BO144" s="161"/>
      <c r="BP144" s="161"/>
      <c r="BQ144" s="161"/>
      <c r="BR144" s="161"/>
      <c r="BS144" s="161">
        <f>SUM(BT144:BV144)</f>
      </c>
      <c r="BT144" s="161"/>
      <c r="BU144" s="161"/>
      <c r="BV144" s="161"/>
      <c r="BW144" s="161">
        <f>SUM(BX144:CC144)</f>
      </c>
      <c r="BX144" s="161"/>
      <c r="BY144" s="161"/>
      <c r="BZ144" s="161"/>
      <c r="CA144" s="161"/>
      <c r="CB144" s="161"/>
      <c r="CC144" s="161"/>
      <c r="CD144" s="161"/>
      <c r="CE144" s="161"/>
      <c r="CF144" s="161"/>
      <c r="CG144" s="161"/>
      <c r="CH144" s="161"/>
      <c r="CI144" s="161"/>
      <c r="CJ144" s="161">
        <f>SUM(CK144:CM144)</f>
      </c>
      <c r="CK144" s="161"/>
      <c r="CL144" s="161"/>
      <c r="CM144" s="161"/>
      <c r="CN144" s="161">
        <f>SUM(CO144:CS144)</f>
      </c>
      <c r="CO144" s="161"/>
      <c r="CP144" s="161"/>
      <c r="CQ144" s="161"/>
      <c r="CR144" s="161"/>
      <c r="CS144" s="161"/>
      <c r="CT144" s="161"/>
      <c r="CU144" s="161"/>
      <c r="CV144" s="161"/>
      <c r="CW144" s="161"/>
      <c r="CX144" s="161"/>
      <c r="CY144" s="161"/>
      <c r="CZ144" s="161"/>
      <c r="DA144" s="161"/>
      <c r="DB144" s="161"/>
      <c r="DC144" s="161"/>
      <c r="DD144" s="161"/>
      <c r="DE144" s="161"/>
      <c r="DF144" s="161">
        <f>SUM(DG144:DG144)</f>
      </c>
      <c r="DG144" s="161"/>
      <c r="DH144" s="161"/>
      <c r="DI144" s="161"/>
      <c r="DJ144" s="161">
        <f>SUM(DK144:DP144)</f>
      </c>
      <c r="DK144" s="161"/>
      <c r="DL144" s="161"/>
      <c r="DM144" s="161"/>
      <c r="DN144" s="161"/>
      <c r="DO144" s="161"/>
      <c r="DP144" s="161"/>
      <c r="DQ144" s="161"/>
      <c r="DR144" s="161"/>
      <c r="DS144" s="161"/>
      <c r="DT144" s="161"/>
      <c r="DU144" s="161"/>
      <c r="DV144" s="161"/>
      <c r="DW144" s="161"/>
      <c r="DX144" s="161"/>
      <c r="DY144" s="161"/>
      <c r="DZ144" s="161"/>
      <c r="EA144" s="161"/>
      <c r="EB144" s="161"/>
      <c r="EC144" s="161"/>
      <c r="ED144" s="161"/>
      <c r="EE144" s="161"/>
      <c r="EF144" s="161">
        <f>SUM(EG144:EP144)</f>
      </c>
      <c r="EG144" s="161"/>
      <c r="EH144" s="161"/>
      <c r="EI144" s="161"/>
      <c r="EJ144" s="161"/>
      <c r="EK144" s="161"/>
      <c r="EL144" s="161"/>
      <c r="EM144" s="161"/>
      <c r="EN144" s="161"/>
      <c r="EO144" s="161"/>
      <c r="EP144" s="161"/>
      <c r="EQ144" s="161">
        <f>SUM(ER144:ES144)</f>
      </c>
      <c r="ER144" s="161"/>
      <c r="ES144" s="161"/>
      <c r="ET144" s="161"/>
      <c r="EU144" s="161"/>
      <c r="EV144" s="161"/>
      <c r="EW144" s="161"/>
      <c r="EX144" s="161"/>
      <c r="EY144" s="161"/>
      <c r="EZ144" s="161"/>
      <c r="FA144" s="161"/>
      <c r="FB144" s="161"/>
      <c r="FC144" s="161"/>
      <c r="FD144" s="161"/>
      <c r="FE144" s="161"/>
      <c r="FF144" s="161"/>
      <c r="FG144" s="161"/>
      <c r="FH144" s="163" cm="1">
        <f t="array" ref="FH144">ROW()-ROW(Ongoing[#Headers])</f>
        <v>138</v>
      </c>
      <c r="FI144" s="164" t="s">
        <v>768</v>
      </c>
      <c r="FJ144" s="164" t="s">
        <v>755</v>
      </c>
      <c r="FK144" s="164">
        <v>0</v>
      </c>
      <c r="FL144" s="164" t="s">
        <v>769</v>
      </c>
      <c r="FM144" s="164">
        <v>0</v>
      </c>
      <c r="FN144" s="164" t="s">
        <v>770</v>
      </c>
      <c r="FO144" s="164" t="s">
        <v>771</v>
      </c>
      <c r="FP144" s="164" t="s">
        <v>759</v>
      </c>
    </row>
    <row r="145" spans="2:172" s="115" customFormat="1" ht="11.25" x14ac:dyDescent="0.2">
      <c r="B145" s="148"/>
      <c r="C145" s="148"/>
      <c r="D145" s="148"/>
      <c r="E145" s="148"/>
      <c r="F145" s="148"/>
      <c r="G145" s="148"/>
      <c r="H145" s="148"/>
      <c r="I145" s="148"/>
      <c r="J145" s="148"/>
      <c r="K145" s="148"/>
      <c r="L145" s="148"/>
      <c r="M145" s="160"/>
      <c r="N145" s="160"/>
      <c r="O145" s="148"/>
      <c r="P145" s="161">
        <f>SUM(Q145:AP145)</f>
      </c>
      <c r="Q145" s="161"/>
      <c r="R145" s="161"/>
      <c r="S145" s="161"/>
      <c r="T145" s="161"/>
      <c r="U145" s="161"/>
      <c r="V145" s="161"/>
      <c r="W145" s="161"/>
      <c r="X145" s="161"/>
      <c r="Y145" s="161"/>
      <c r="Z145" s="161"/>
      <c r="AA145" s="161"/>
      <c r="AB145" s="161"/>
      <c r="AC145" s="161"/>
      <c r="AD145" s="161"/>
      <c r="AE145" s="161"/>
      <c r="AF145" s="161"/>
      <c r="AG145" s="161"/>
      <c r="AH145" s="161"/>
      <c r="AI145" s="161"/>
      <c r="AJ145" s="161"/>
      <c r="AK145" s="161"/>
      <c r="AL145" s="161"/>
      <c r="AM145" s="161"/>
      <c r="AN145" s="161"/>
      <c r="AO145" s="161"/>
      <c r="AP145" s="161"/>
      <c r="AQ145" s="161">
        <f>SUM(AR145:AU145)</f>
      </c>
      <c r="AR145" s="161"/>
      <c r="AS145" s="161"/>
      <c r="AT145" s="161"/>
      <c r="AU145" s="161"/>
      <c r="AV145" s="161">
        <f>SUM(AW145:BH145)</f>
      </c>
      <c r="AW145" s="161"/>
      <c r="AX145" s="161"/>
      <c r="AY145" s="161"/>
      <c r="AZ145" s="161"/>
      <c r="BA145" s="161"/>
      <c r="BB145" s="161"/>
      <c r="BC145" s="161"/>
      <c r="BD145" s="161"/>
      <c r="BE145" s="161"/>
      <c r="BF145" s="161"/>
      <c r="BG145" s="161"/>
      <c r="BH145" s="161"/>
      <c r="BI145" s="161"/>
      <c r="BJ145" s="161"/>
      <c r="BK145" s="161"/>
      <c r="BL145" s="161"/>
      <c r="BM145" s="161"/>
      <c r="BN145" s="161"/>
      <c r="BO145" s="161"/>
      <c r="BP145" s="161"/>
      <c r="BQ145" s="161"/>
      <c r="BR145" s="161"/>
      <c r="BS145" s="161">
        <f>SUM(BT145:BV145)</f>
      </c>
      <c r="BT145" s="161"/>
      <c r="BU145" s="161"/>
      <c r="BV145" s="161"/>
      <c r="BW145" s="161">
        <f>SUM(BX145:CC145)</f>
      </c>
      <c r="BX145" s="161"/>
      <c r="BY145" s="161"/>
      <c r="BZ145" s="161"/>
      <c r="CA145" s="161"/>
      <c r="CB145" s="161"/>
      <c r="CC145" s="161"/>
      <c r="CD145" s="161"/>
      <c r="CE145" s="161"/>
      <c r="CF145" s="161"/>
      <c r="CG145" s="161"/>
      <c r="CH145" s="161"/>
      <c r="CI145" s="161"/>
      <c r="CJ145" s="161">
        <f>SUM(CK145:CM145)</f>
      </c>
      <c r="CK145" s="161"/>
      <c r="CL145" s="161"/>
      <c r="CM145" s="161"/>
      <c r="CN145" s="161">
        <f>SUM(CO145:CS145)</f>
      </c>
      <c r="CO145" s="161"/>
      <c r="CP145" s="161"/>
      <c r="CQ145" s="161"/>
      <c r="CR145" s="161"/>
      <c r="CS145" s="161"/>
      <c r="CT145" s="161"/>
      <c r="CU145" s="161"/>
      <c r="CV145" s="161"/>
      <c r="CW145" s="161"/>
      <c r="CX145" s="161"/>
      <c r="CY145" s="161"/>
      <c r="CZ145" s="161"/>
      <c r="DA145" s="161"/>
      <c r="DB145" s="161"/>
      <c r="DC145" s="161"/>
      <c r="DD145" s="161"/>
      <c r="DE145" s="161"/>
      <c r="DF145" s="161">
        <f>SUM(DG145:DG145)</f>
      </c>
      <c r="DG145" s="161"/>
      <c r="DH145" s="161"/>
      <c r="DI145" s="161"/>
      <c r="DJ145" s="161">
        <f>SUM(DK145:DP145)</f>
      </c>
      <c r="DK145" s="161"/>
      <c r="DL145" s="161"/>
      <c r="DM145" s="161"/>
      <c r="DN145" s="161"/>
      <c r="DO145" s="161"/>
      <c r="DP145" s="161"/>
      <c r="DQ145" s="161"/>
      <c r="DR145" s="161"/>
      <c r="DS145" s="161"/>
      <c r="DT145" s="161"/>
      <c r="DU145" s="161"/>
      <c r="DV145" s="161"/>
      <c r="DW145" s="161"/>
      <c r="DX145" s="161"/>
      <c r="DY145" s="161"/>
      <c r="DZ145" s="161"/>
      <c r="EA145" s="161"/>
      <c r="EB145" s="161"/>
      <c r="EC145" s="161"/>
      <c r="ED145" s="161"/>
      <c r="EE145" s="161"/>
      <c r="EF145" s="161">
        <f>SUM(EG145:EP145)</f>
      </c>
      <c r="EG145" s="161"/>
      <c r="EH145" s="161"/>
      <c r="EI145" s="161"/>
      <c r="EJ145" s="161"/>
      <c r="EK145" s="161"/>
      <c r="EL145" s="161"/>
      <c r="EM145" s="161"/>
      <c r="EN145" s="161"/>
      <c r="EO145" s="161"/>
      <c r="EP145" s="161"/>
      <c r="EQ145" s="161">
        <f>SUM(ER145:ES145)</f>
      </c>
      <c r="ER145" s="161"/>
      <c r="ES145" s="161"/>
      <c r="ET145" s="161"/>
      <c r="EU145" s="161"/>
      <c r="EV145" s="161"/>
      <c r="EW145" s="161"/>
      <c r="EX145" s="161"/>
      <c r="EY145" s="161"/>
      <c r="EZ145" s="161"/>
      <c r="FA145" s="161"/>
      <c r="FB145" s="161"/>
      <c r="FC145" s="161"/>
      <c r="FD145" s="161"/>
      <c r="FE145" s="161"/>
      <c r="FF145" s="161"/>
      <c r="FG145" s="161"/>
      <c r="FH145" s="163" cm="1">
        <f t="array" ref="FH145">ROW()-ROW(Ongoing[#Headers])</f>
        <v>139</v>
      </c>
      <c r="FI145" s="164" t="s">
        <v>768</v>
      </c>
      <c r="FJ145" s="164" t="s">
        <v>755</v>
      </c>
      <c r="FK145" s="164">
        <v>0</v>
      </c>
      <c r="FL145" s="164" t="s">
        <v>769</v>
      </c>
      <c r="FM145" s="164">
        <v>0</v>
      </c>
      <c r="FN145" s="164" t="s">
        <v>770</v>
      </c>
      <c r="FO145" s="164" t="s">
        <v>1059</v>
      </c>
      <c r="FP145" s="164" t="s">
        <v>759</v>
      </c>
    </row>
    <row r="146" spans="2:172" s="115" customFormat="1" ht="11.25" x14ac:dyDescent="0.2">
      <c r="B146" s="148"/>
      <c r="C146" s="148"/>
      <c r="D146" s="148"/>
      <c r="E146" s="148"/>
      <c r="F146" s="148"/>
      <c r="G146" s="148"/>
      <c r="H146" s="148"/>
      <c r="I146" s="148"/>
      <c r="J146" s="148"/>
      <c r="K146" s="148"/>
      <c r="L146" s="148"/>
      <c r="M146" s="160"/>
      <c r="N146" s="160"/>
      <c r="O146" s="148"/>
      <c r="P146" s="161">
        <f>SUM(Q146:AP146)</f>
      </c>
      <c r="Q146" s="161"/>
      <c r="R146" s="161"/>
      <c r="S146" s="161"/>
      <c r="T146" s="161"/>
      <c r="U146" s="161"/>
      <c r="V146" s="161"/>
      <c r="W146" s="161"/>
      <c r="X146" s="161"/>
      <c r="Y146" s="161"/>
      <c r="Z146" s="161"/>
      <c r="AA146" s="161"/>
      <c r="AB146" s="161"/>
      <c r="AC146" s="161"/>
      <c r="AD146" s="161"/>
      <c r="AE146" s="161"/>
      <c r="AF146" s="161"/>
      <c r="AG146" s="161"/>
      <c r="AH146" s="161"/>
      <c r="AI146" s="161"/>
      <c r="AJ146" s="161"/>
      <c r="AK146" s="161"/>
      <c r="AL146" s="161"/>
      <c r="AM146" s="161"/>
      <c r="AN146" s="161"/>
      <c r="AO146" s="161"/>
      <c r="AP146" s="161"/>
      <c r="AQ146" s="161">
        <f>SUM(AR146:AU146)</f>
      </c>
      <c r="AR146" s="161"/>
      <c r="AS146" s="161"/>
      <c r="AT146" s="161"/>
      <c r="AU146" s="161"/>
      <c r="AV146" s="161">
        <f>SUM(AW146:BH146)</f>
      </c>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f>SUM(BT146:BV146)</f>
      </c>
      <c r="BT146" s="161"/>
      <c r="BU146" s="161"/>
      <c r="BV146" s="161"/>
      <c r="BW146" s="161">
        <f>SUM(BX146:CC146)</f>
      </c>
      <c r="BX146" s="161"/>
      <c r="BY146" s="161"/>
      <c r="BZ146" s="161"/>
      <c r="CA146" s="161"/>
      <c r="CB146" s="161"/>
      <c r="CC146" s="161"/>
      <c r="CD146" s="161"/>
      <c r="CE146" s="161"/>
      <c r="CF146" s="161"/>
      <c r="CG146" s="161"/>
      <c r="CH146" s="161"/>
      <c r="CI146" s="161"/>
      <c r="CJ146" s="161">
        <f>SUM(CK146:CM146)</f>
      </c>
      <c r="CK146" s="161"/>
      <c r="CL146" s="161"/>
      <c r="CM146" s="161"/>
      <c r="CN146" s="161">
        <f>SUM(CO146:CS146)</f>
      </c>
      <c r="CO146" s="161"/>
      <c r="CP146" s="161"/>
      <c r="CQ146" s="161"/>
      <c r="CR146" s="161"/>
      <c r="CS146" s="161"/>
      <c r="CT146" s="161"/>
      <c r="CU146" s="161"/>
      <c r="CV146" s="161"/>
      <c r="CW146" s="161"/>
      <c r="CX146" s="161"/>
      <c r="CY146" s="161"/>
      <c r="CZ146" s="161"/>
      <c r="DA146" s="161"/>
      <c r="DB146" s="161"/>
      <c r="DC146" s="161"/>
      <c r="DD146" s="161"/>
      <c r="DE146" s="161"/>
      <c r="DF146" s="161">
        <f>SUM(DG146:DG146)</f>
      </c>
      <c r="DG146" s="161"/>
      <c r="DH146" s="161"/>
      <c r="DI146" s="161"/>
      <c r="DJ146" s="161">
        <f>SUM(DK146:DP146)</f>
      </c>
      <c r="DK146" s="161"/>
      <c r="DL146" s="161"/>
      <c r="DM146" s="161"/>
      <c r="DN146" s="161"/>
      <c r="DO146" s="161"/>
      <c r="DP146" s="161"/>
      <c r="DQ146" s="161"/>
      <c r="DR146" s="161"/>
      <c r="DS146" s="161"/>
      <c r="DT146" s="161"/>
      <c r="DU146" s="161"/>
      <c r="DV146" s="161"/>
      <c r="DW146" s="161"/>
      <c r="DX146" s="161"/>
      <c r="DY146" s="161"/>
      <c r="DZ146" s="161"/>
      <c r="EA146" s="161"/>
      <c r="EB146" s="161"/>
      <c r="EC146" s="161"/>
      <c r="ED146" s="161"/>
      <c r="EE146" s="161"/>
      <c r="EF146" s="161">
        <f>SUM(EG146:EP146)</f>
      </c>
      <c r="EG146" s="161"/>
      <c r="EH146" s="161"/>
      <c r="EI146" s="161"/>
      <c r="EJ146" s="161"/>
      <c r="EK146" s="161"/>
      <c r="EL146" s="161"/>
      <c r="EM146" s="161"/>
      <c r="EN146" s="161"/>
      <c r="EO146" s="161"/>
      <c r="EP146" s="161"/>
      <c r="EQ146" s="161">
        <f>SUM(ER146:ES146)</f>
      </c>
      <c r="ER146" s="161"/>
      <c r="ES146" s="161"/>
      <c r="ET146" s="161"/>
      <c r="EU146" s="161"/>
      <c r="EV146" s="161"/>
      <c r="EW146" s="161"/>
      <c r="EX146" s="161"/>
      <c r="EY146" s="161"/>
      <c r="EZ146" s="161"/>
      <c r="FA146" s="161"/>
      <c r="FB146" s="161"/>
      <c r="FC146" s="161"/>
      <c r="FD146" s="161"/>
      <c r="FE146" s="161"/>
      <c r="FF146" s="161"/>
      <c r="FG146" s="161"/>
      <c r="FH146" s="163" cm="1">
        <f t="array" ref="FH146">ROW()-ROW(Ongoing[#Headers])</f>
        <v>140</v>
      </c>
      <c r="FI146" s="164" t="s">
        <v>768</v>
      </c>
      <c r="FJ146" s="164" t="s">
        <v>755</v>
      </c>
      <c r="FK146" s="164">
        <v>0</v>
      </c>
      <c r="FL146" s="164" t="s">
        <v>769</v>
      </c>
      <c r="FM146" s="164">
        <v>0</v>
      </c>
      <c r="FN146" s="164" t="s">
        <v>770</v>
      </c>
      <c r="FO146" s="164" t="s">
        <v>1059</v>
      </c>
      <c r="FP146" s="164" t="s">
        <v>759</v>
      </c>
    </row>
    <row r="147" spans="2:172" s="115" customFormat="1" ht="11.25" x14ac:dyDescent="0.2">
      <c r="B147" s="148"/>
      <c r="C147" s="148"/>
      <c r="D147" s="148"/>
      <c r="E147" s="148"/>
      <c r="F147" s="148"/>
      <c r="G147" s="148"/>
      <c r="H147" s="148"/>
      <c r="I147" s="148"/>
      <c r="J147" s="148"/>
      <c r="K147" s="148"/>
      <c r="L147" s="148"/>
      <c r="M147" s="160"/>
      <c r="N147" s="160"/>
      <c r="O147" s="148"/>
      <c r="P147" s="161">
        <f>SUM(Q147:AP147)</f>
      </c>
      <c r="Q147" s="161"/>
      <c r="R147" s="161"/>
      <c r="S147" s="161"/>
      <c r="T147" s="161"/>
      <c r="U147" s="161"/>
      <c r="V147" s="161"/>
      <c r="W147" s="161"/>
      <c r="X147" s="161"/>
      <c r="Y147" s="161"/>
      <c r="Z147" s="161"/>
      <c r="AA147" s="161"/>
      <c r="AB147" s="161"/>
      <c r="AC147" s="161"/>
      <c r="AD147" s="161"/>
      <c r="AE147" s="161"/>
      <c r="AF147" s="161"/>
      <c r="AG147" s="161"/>
      <c r="AH147" s="161"/>
      <c r="AI147" s="161"/>
      <c r="AJ147" s="161"/>
      <c r="AK147" s="161"/>
      <c r="AL147" s="161"/>
      <c r="AM147" s="161"/>
      <c r="AN147" s="161"/>
      <c r="AO147" s="161"/>
      <c r="AP147" s="161"/>
      <c r="AQ147" s="161">
        <f>SUM(AR147:AU147)</f>
      </c>
      <c r="AR147" s="161"/>
      <c r="AS147" s="161"/>
      <c r="AT147" s="161"/>
      <c r="AU147" s="161"/>
      <c r="AV147" s="161">
        <f>SUM(AW147:BH147)</f>
      </c>
      <c r="AW147" s="161"/>
      <c r="AX147" s="161"/>
      <c r="AY147" s="161"/>
      <c r="AZ147" s="161"/>
      <c r="BA147" s="161"/>
      <c r="BB147" s="161"/>
      <c r="BC147" s="161"/>
      <c r="BD147" s="161"/>
      <c r="BE147" s="161"/>
      <c r="BF147" s="161"/>
      <c r="BG147" s="161"/>
      <c r="BH147" s="161"/>
      <c r="BI147" s="161"/>
      <c r="BJ147" s="161"/>
      <c r="BK147" s="161"/>
      <c r="BL147" s="161"/>
      <c r="BM147" s="161"/>
      <c r="BN147" s="161"/>
      <c r="BO147" s="161"/>
      <c r="BP147" s="161"/>
      <c r="BQ147" s="161"/>
      <c r="BR147" s="161"/>
      <c r="BS147" s="161">
        <f>SUM(BT147:BV147)</f>
      </c>
      <c r="BT147" s="161"/>
      <c r="BU147" s="161"/>
      <c r="BV147" s="161"/>
      <c r="BW147" s="161">
        <f>SUM(BX147:CC147)</f>
      </c>
      <c r="BX147" s="161"/>
      <c r="BY147" s="161"/>
      <c r="BZ147" s="161"/>
      <c r="CA147" s="161"/>
      <c r="CB147" s="161"/>
      <c r="CC147" s="161"/>
      <c r="CD147" s="161"/>
      <c r="CE147" s="161"/>
      <c r="CF147" s="161"/>
      <c r="CG147" s="161"/>
      <c r="CH147" s="161"/>
      <c r="CI147" s="161"/>
      <c r="CJ147" s="161">
        <f>SUM(CK147:CM147)</f>
      </c>
      <c r="CK147" s="161"/>
      <c r="CL147" s="161"/>
      <c r="CM147" s="161"/>
      <c r="CN147" s="161">
        <f>SUM(CO147:CS147)</f>
      </c>
      <c r="CO147" s="161"/>
      <c r="CP147" s="161"/>
      <c r="CQ147" s="161"/>
      <c r="CR147" s="161"/>
      <c r="CS147" s="161"/>
      <c r="CT147" s="161"/>
      <c r="CU147" s="161"/>
      <c r="CV147" s="161"/>
      <c r="CW147" s="161"/>
      <c r="CX147" s="161"/>
      <c r="CY147" s="161"/>
      <c r="CZ147" s="161"/>
      <c r="DA147" s="161"/>
      <c r="DB147" s="161"/>
      <c r="DC147" s="161"/>
      <c r="DD147" s="161"/>
      <c r="DE147" s="161"/>
      <c r="DF147" s="161">
        <f>SUM(DG147:DG147)</f>
      </c>
      <c r="DG147" s="161"/>
      <c r="DH147" s="161"/>
      <c r="DI147" s="161"/>
      <c r="DJ147" s="161">
        <f>SUM(DK147:DP147)</f>
      </c>
      <c r="DK147" s="161"/>
      <c r="DL147" s="161"/>
      <c r="DM147" s="161"/>
      <c r="DN147" s="161"/>
      <c r="DO147" s="161"/>
      <c r="DP147" s="161"/>
      <c r="DQ147" s="161"/>
      <c r="DR147" s="161"/>
      <c r="DS147" s="161"/>
      <c r="DT147" s="161"/>
      <c r="DU147" s="161"/>
      <c r="DV147" s="161"/>
      <c r="DW147" s="161"/>
      <c r="DX147" s="161"/>
      <c r="DY147" s="161"/>
      <c r="DZ147" s="161"/>
      <c r="EA147" s="161"/>
      <c r="EB147" s="161"/>
      <c r="EC147" s="161"/>
      <c r="ED147" s="161"/>
      <c r="EE147" s="161"/>
      <c r="EF147" s="161">
        <f>SUM(EG147:EP147)</f>
      </c>
      <c r="EG147" s="161"/>
      <c r="EH147" s="161"/>
      <c r="EI147" s="161"/>
      <c r="EJ147" s="161"/>
      <c r="EK147" s="161"/>
      <c r="EL147" s="161"/>
      <c r="EM147" s="161"/>
      <c r="EN147" s="161"/>
      <c r="EO147" s="161"/>
      <c r="EP147" s="161"/>
      <c r="EQ147" s="161">
        <f>SUM(ER147:ES147)</f>
      </c>
      <c r="ER147" s="161"/>
      <c r="ES147" s="161"/>
      <c r="ET147" s="161"/>
      <c r="EU147" s="161"/>
      <c r="EV147" s="161"/>
      <c r="EW147" s="161"/>
      <c r="EX147" s="161"/>
      <c r="EY147" s="161"/>
      <c r="EZ147" s="161"/>
      <c r="FA147" s="161"/>
      <c r="FB147" s="161"/>
      <c r="FC147" s="161"/>
      <c r="FD147" s="161"/>
      <c r="FE147" s="161"/>
      <c r="FF147" s="161"/>
      <c r="FG147" s="161"/>
      <c r="FH147" s="163" cm="1">
        <f t="array" ref="FH147">ROW()-ROW(Ongoing[#Headers])</f>
        <v>141</v>
      </c>
      <c r="FI147" s="164" t="s">
        <v>768</v>
      </c>
      <c r="FJ147" s="164" t="s">
        <v>755</v>
      </c>
      <c r="FK147" s="164">
        <v>0</v>
      </c>
      <c r="FL147" s="164" t="s">
        <v>769</v>
      </c>
      <c r="FM147" s="164">
        <v>0</v>
      </c>
      <c r="FN147" s="164" t="s">
        <v>770</v>
      </c>
      <c r="FO147" s="164" t="s">
        <v>1059</v>
      </c>
      <c r="FP147" s="164" t="s">
        <v>759</v>
      </c>
    </row>
    <row r="148" spans="2:172" s="115" customFormat="1" ht="11.25" x14ac:dyDescent="0.2">
      <c r="B148" s="148"/>
      <c r="C148" s="148"/>
      <c r="D148" s="148"/>
      <c r="E148" s="148"/>
      <c r="F148" s="148"/>
      <c r="G148" s="148"/>
      <c r="H148" s="148"/>
      <c r="I148" s="148"/>
      <c r="J148" s="148"/>
      <c r="K148" s="148"/>
      <c r="L148" s="148"/>
      <c r="M148" s="160"/>
      <c r="N148" s="160"/>
      <c r="O148" s="148"/>
      <c r="P148" s="161">
        <f>SUM(Q148:AP148)</f>
      </c>
      <c r="Q148" s="161"/>
      <c r="R148" s="161"/>
      <c r="S148" s="161"/>
      <c r="T148" s="161"/>
      <c r="U148" s="161"/>
      <c r="V148" s="161"/>
      <c r="W148" s="161"/>
      <c r="X148" s="161"/>
      <c r="Y148" s="161"/>
      <c r="Z148" s="161"/>
      <c r="AA148" s="161"/>
      <c r="AB148" s="161"/>
      <c r="AC148" s="161"/>
      <c r="AD148" s="161"/>
      <c r="AE148" s="161"/>
      <c r="AF148" s="161"/>
      <c r="AG148" s="161"/>
      <c r="AH148" s="161"/>
      <c r="AI148" s="161"/>
      <c r="AJ148" s="161"/>
      <c r="AK148" s="161"/>
      <c r="AL148" s="161"/>
      <c r="AM148" s="161"/>
      <c r="AN148" s="161"/>
      <c r="AO148" s="161"/>
      <c r="AP148" s="161"/>
      <c r="AQ148" s="161">
        <f>SUM(AR148:AU148)</f>
      </c>
      <c r="AR148" s="161"/>
      <c r="AS148" s="161"/>
      <c r="AT148" s="161"/>
      <c r="AU148" s="161"/>
      <c r="AV148" s="161">
        <f>SUM(AW148:BH148)</f>
      </c>
      <c r="AW148" s="161"/>
      <c r="AX148" s="161"/>
      <c r="AY148" s="161"/>
      <c r="AZ148" s="161"/>
      <c r="BA148" s="161"/>
      <c r="BB148" s="161"/>
      <c r="BC148" s="161"/>
      <c r="BD148" s="161"/>
      <c r="BE148" s="161"/>
      <c r="BF148" s="161"/>
      <c r="BG148" s="161"/>
      <c r="BH148" s="161"/>
      <c r="BI148" s="161"/>
      <c r="BJ148" s="161"/>
      <c r="BK148" s="161"/>
      <c r="BL148" s="161"/>
      <c r="BM148" s="161"/>
      <c r="BN148" s="161"/>
      <c r="BO148" s="161"/>
      <c r="BP148" s="161"/>
      <c r="BQ148" s="161"/>
      <c r="BR148" s="161"/>
      <c r="BS148" s="161">
        <f>SUM(BT148:BV148)</f>
      </c>
      <c r="BT148" s="161"/>
      <c r="BU148" s="161"/>
      <c r="BV148" s="161"/>
      <c r="BW148" s="161">
        <f>SUM(BX148:CC148)</f>
      </c>
      <c r="BX148" s="161"/>
      <c r="BY148" s="161"/>
      <c r="BZ148" s="161"/>
      <c r="CA148" s="161"/>
      <c r="CB148" s="161"/>
      <c r="CC148" s="161"/>
      <c r="CD148" s="161"/>
      <c r="CE148" s="161"/>
      <c r="CF148" s="161"/>
      <c r="CG148" s="161"/>
      <c r="CH148" s="161"/>
      <c r="CI148" s="161"/>
      <c r="CJ148" s="161">
        <f>SUM(CK148:CM148)</f>
      </c>
      <c r="CK148" s="161"/>
      <c r="CL148" s="161"/>
      <c r="CM148" s="161"/>
      <c r="CN148" s="161">
        <f>SUM(CO148:CS148)</f>
      </c>
      <c r="CO148" s="161"/>
      <c r="CP148" s="161"/>
      <c r="CQ148" s="161"/>
      <c r="CR148" s="161"/>
      <c r="CS148" s="161"/>
      <c r="CT148" s="161"/>
      <c r="CU148" s="161"/>
      <c r="CV148" s="161"/>
      <c r="CW148" s="161"/>
      <c r="CX148" s="161"/>
      <c r="CY148" s="161"/>
      <c r="CZ148" s="161"/>
      <c r="DA148" s="161"/>
      <c r="DB148" s="161"/>
      <c r="DC148" s="161"/>
      <c r="DD148" s="161"/>
      <c r="DE148" s="161"/>
      <c r="DF148" s="161">
        <f>SUM(DG148:DG148)</f>
      </c>
      <c r="DG148" s="161"/>
      <c r="DH148" s="161"/>
      <c r="DI148" s="161"/>
      <c r="DJ148" s="161">
        <f>SUM(DK148:DP148)</f>
      </c>
      <c r="DK148" s="161"/>
      <c r="DL148" s="161"/>
      <c r="DM148" s="161"/>
      <c r="DN148" s="161"/>
      <c r="DO148" s="161"/>
      <c r="DP148" s="161"/>
      <c r="DQ148" s="161"/>
      <c r="DR148" s="161"/>
      <c r="DS148" s="161"/>
      <c r="DT148" s="161"/>
      <c r="DU148" s="161"/>
      <c r="DV148" s="161"/>
      <c r="DW148" s="161"/>
      <c r="DX148" s="161"/>
      <c r="DY148" s="161"/>
      <c r="DZ148" s="161"/>
      <c r="EA148" s="161"/>
      <c r="EB148" s="161"/>
      <c r="EC148" s="161"/>
      <c r="ED148" s="161"/>
      <c r="EE148" s="161"/>
      <c r="EF148" s="161">
        <f>SUM(EG148:EP148)</f>
      </c>
      <c r="EG148" s="161"/>
      <c r="EH148" s="161"/>
      <c r="EI148" s="161"/>
      <c r="EJ148" s="161"/>
      <c r="EK148" s="161"/>
      <c r="EL148" s="161"/>
      <c r="EM148" s="161"/>
      <c r="EN148" s="161"/>
      <c r="EO148" s="161"/>
      <c r="EP148" s="161"/>
      <c r="EQ148" s="161">
        <f>SUM(ER148:ES148)</f>
      </c>
      <c r="ER148" s="161"/>
      <c r="ES148" s="161"/>
      <c r="ET148" s="161"/>
      <c r="EU148" s="161"/>
      <c r="EV148" s="161"/>
      <c r="EW148" s="161"/>
      <c r="EX148" s="161"/>
      <c r="EY148" s="161"/>
      <c r="EZ148" s="161"/>
      <c r="FA148" s="161"/>
      <c r="FB148" s="161"/>
      <c r="FC148" s="161"/>
      <c r="FD148" s="161"/>
      <c r="FE148" s="161"/>
      <c r="FF148" s="161"/>
      <c r="FG148" s="161"/>
      <c r="FH148" s="163" cm="1">
        <f t="array" ref="FH148">ROW()-ROW(Ongoing[#Headers])</f>
        <v>142</v>
      </c>
      <c r="FI148" s="164" t="s">
        <v>768</v>
      </c>
      <c r="FJ148" s="164" t="s">
        <v>755</v>
      </c>
      <c r="FK148" s="164">
        <v>0</v>
      </c>
      <c r="FL148" s="164" t="s">
        <v>769</v>
      </c>
      <c r="FM148" s="164">
        <v>0</v>
      </c>
      <c r="FN148" s="164" t="s">
        <v>770</v>
      </c>
      <c r="FO148" s="164" t="s">
        <v>1059</v>
      </c>
      <c r="FP148" s="164" t="s">
        <v>759</v>
      </c>
    </row>
    <row r="149" spans="2:172" s="115" customFormat="1" ht="11.25" x14ac:dyDescent="0.2">
      <c r="B149" s="148"/>
      <c r="C149" s="148"/>
      <c r="D149" s="148"/>
      <c r="E149" s="148"/>
      <c r="F149" s="148"/>
      <c r="G149" s="148"/>
      <c r="H149" s="148"/>
      <c r="I149" s="148"/>
      <c r="J149" s="148"/>
      <c r="K149" s="148"/>
      <c r="L149" s="148"/>
      <c r="M149" s="160"/>
      <c r="N149" s="160"/>
      <c r="O149" s="148"/>
      <c r="P149" s="161">
        <f>SUM(Q149:AP149)</f>
      </c>
      <c r="Q149" s="161"/>
      <c r="R149" s="161"/>
      <c r="S149" s="161"/>
      <c r="T149" s="161"/>
      <c r="U149" s="161"/>
      <c r="V149" s="161"/>
      <c r="W149" s="161"/>
      <c r="X149" s="161"/>
      <c r="Y149" s="161"/>
      <c r="Z149" s="161"/>
      <c r="AA149" s="161"/>
      <c r="AB149" s="161"/>
      <c r="AC149" s="161"/>
      <c r="AD149" s="161"/>
      <c r="AE149" s="161"/>
      <c r="AF149" s="161"/>
      <c r="AG149" s="161"/>
      <c r="AH149" s="161"/>
      <c r="AI149" s="161"/>
      <c r="AJ149" s="161"/>
      <c r="AK149" s="161"/>
      <c r="AL149" s="161"/>
      <c r="AM149" s="161"/>
      <c r="AN149" s="161"/>
      <c r="AO149" s="161"/>
      <c r="AP149" s="161"/>
      <c r="AQ149" s="161">
        <f>SUM(AR149:AU149)</f>
      </c>
      <c r="AR149" s="161"/>
      <c r="AS149" s="161"/>
      <c r="AT149" s="161"/>
      <c r="AU149" s="161"/>
      <c r="AV149" s="161">
        <f>SUM(AW149:BH149)</f>
      </c>
      <c r="AW149" s="161"/>
      <c r="AX149" s="161"/>
      <c r="AY149" s="161"/>
      <c r="AZ149" s="161"/>
      <c r="BA149" s="161"/>
      <c r="BB149" s="161"/>
      <c r="BC149" s="161"/>
      <c r="BD149" s="161"/>
      <c r="BE149" s="161"/>
      <c r="BF149" s="161"/>
      <c r="BG149" s="161"/>
      <c r="BH149" s="161"/>
      <c r="BI149" s="161"/>
      <c r="BJ149" s="161"/>
      <c r="BK149" s="161"/>
      <c r="BL149" s="161"/>
      <c r="BM149" s="161"/>
      <c r="BN149" s="161"/>
      <c r="BO149" s="161"/>
      <c r="BP149" s="161"/>
      <c r="BQ149" s="161"/>
      <c r="BR149" s="161"/>
      <c r="BS149" s="161">
        <f>SUM(BT149:BV149)</f>
      </c>
      <c r="BT149" s="161"/>
      <c r="BU149" s="161"/>
      <c r="BV149" s="161"/>
      <c r="BW149" s="161">
        <f>SUM(BX149:CC149)</f>
      </c>
      <c r="BX149" s="161"/>
      <c r="BY149" s="161"/>
      <c r="BZ149" s="161"/>
      <c r="CA149" s="161"/>
      <c r="CB149" s="161"/>
      <c r="CC149" s="161"/>
      <c r="CD149" s="161"/>
      <c r="CE149" s="161"/>
      <c r="CF149" s="161"/>
      <c r="CG149" s="161"/>
      <c r="CH149" s="161"/>
      <c r="CI149" s="161"/>
      <c r="CJ149" s="161">
        <f>SUM(CK149:CM149)</f>
      </c>
      <c r="CK149" s="161"/>
      <c r="CL149" s="161"/>
      <c r="CM149" s="161"/>
      <c r="CN149" s="161">
        <f>SUM(CO149:CS149)</f>
      </c>
      <c r="CO149" s="161"/>
      <c r="CP149" s="161"/>
      <c r="CQ149" s="161"/>
      <c r="CR149" s="161"/>
      <c r="CS149" s="161"/>
      <c r="CT149" s="161"/>
      <c r="CU149" s="161"/>
      <c r="CV149" s="161"/>
      <c r="CW149" s="161"/>
      <c r="CX149" s="161"/>
      <c r="CY149" s="161"/>
      <c r="CZ149" s="161"/>
      <c r="DA149" s="161"/>
      <c r="DB149" s="161"/>
      <c r="DC149" s="161"/>
      <c r="DD149" s="161"/>
      <c r="DE149" s="161"/>
      <c r="DF149" s="161">
        <f>SUM(DG149:DG149)</f>
      </c>
      <c r="DG149" s="161"/>
      <c r="DH149" s="161"/>
      <c r="DI149" s="161"/>
      <c r="DJ149" s="161">
        <f>SUM(DK149:DP149)</f>
      </c>
      <c r="DK149" s="161"/>
      <c r="DL149" s="161"/>
      <c r="DM149" s="161"/>
      <c r="DN149" s="161"/>
      <c r="DO149" s="161"/>
      <c r="DP149" s="161"/>
      <c r="DQ149" s="161"/>
      <c r="DR149" s="161"/>
      <c r="DS149" s="161"/>
      <c r="DT149" s="161"/>
      <c r="DU149" s="161"/>
      <c r="DV149" s="161"/>
      <c r="DW149" s="161"/>
      <c r="DX149" s="161"/>
      <c r="DY149" s="161"/>
      <c r="DZ149" s="161"/>
      <c r="EA149" s="161"/>
      <c r="EB149" s="161"/>
      <c r="EC149" s="161"/>
      <c r="ED149" s="161"/>
      <c r="EE149" s="161"/>
      <c r="EF149" s="161">
        <f>SUM(EG149:EP149)</f>
      </c>
      <c r="EG149" s="161"/>
      <c r="EH149" s="161"/>
      <c r="EI149" s="161"/>
      <c r="EJ149" s="161"/>
      <c r="EK149" s="161"/>
      <c r="EL149" s="161"/>
      <c r="EM149" s="161"/>
      <c r="EN149" s="161"/>
      <c r="EO149" s="161"/>
      <c r="EP149" s="161"/>
      <c r="EQ149" s="161">
        <f>SUM(ER149:ES149)</f>
      </c>
      <c r="ER149" s="161"/>
      <c r="ES149" s="161"/>
      <c r="ET149" s="161"/>
      <c r="EU149" s="161"/>
      <c r="EV149" s="161"/>
      <c r="EW149" s="161"/>
      <c r="EX149" s="161"/>
      <c r="EY149" s="161"/>
      <c r="EZ149" s="161"/>
      <c r="FA149" s="161"/>
      <c r="FB149" s="161"/>
      <c r="FC149" s="161"/>
      <c r="FD149" s="161"/>
      <c r="FE149" s="161"/>
      <c r="FF149" s="161"/>
      <c r="FG149" s="161"/>
      <c r="FH149" s="163" cm="1">
        <f t="array" ref="FH149">ROW()-ROW(Ongoing[#Headers])</f>
        <v>143</v>
      </c>
      <c r="FI149" s="164" t="s">
        <v>768</v>
      </c>
      <c r="FJ149" s="164" t="s">
        <v>755</v>
      </c>
      <c r="FK149" s="164">
        <v>0</v>
      </c>
      <c r="FL149" s="164" t="s">
        <v>769</v>
      </c>
      <c r="FM149" s="164">
        <v>0</v>
      </c>
      <c r="FN149" s="164" t="s">
        <v>770</v>
      </c>
      <c r="FO149" s="164" t="s">
        <v>1059</v>
      </c>
      <c r="FP149" s="164" t="s">
        <v>759</v>
      </c>
    </row>
    <row r="150" spans="2:172" s="115" customFormat="1" ht="11.25" x14ac:dyDescent="0.2">
      <c r="B150" s="148"/>
      <c r="C150" s="148"/>
      <c r="D150" s="148"/>
      <c r="E150" s="148"/>
      <c r="F150" s="148"/>
      <c r="G150" s="148"/>
      <c r="H150" s="148"/>
      <c r="I150" s="148"/>
      <c r="J150" s="148"/>
      <c r="K150" s="148"/>
      <c r="L150" s="148"/>
      <c r="M150" s="160"/>
      <c r="N150" s="160"/>
      <c r="O150" s="148"/>
      <c r="P150" s="161">
        <f>SUM(Q150:AP150)</f>
      </c>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f>SUM(AR150:AU150)</f>
      </c>
      <c r="AR150" s="161"/>
      <c r="AS150" s="161"/>
      <c r="AT150" s="161"/>
      <c r="AU150" s="161"/>
      <c r="AV150" s="161">
        <f>SUM(AW150:BH150)</f>
      </c>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f>SUM(BT150:BV150)</f>
      </c>
      <c r="BT150" s="161"/>
      <c r="BU150" s="161"/>
      <c r="BV150" s="161"/>
      <c r="BW150" s="161">
        <f>SUM(BX150:CC150)</f>
      </c>
      <c r="BX150" s="161"/>
      <c r="BY150" s="161"/>
      <c r="BZ150" s="161"/>
      <c r="CA150" s="161"/>
      <c r="CB150" s="161"/>
      <c r="CC150" s="161"/>
      <c r="CD150" s="161"/>
      <c r="CE150" s="161"/>
      <c r="CF150" s="161"/>
      <c r="CG150" s="161"/>
      <c r="CH150" s="161"/>
      <c r="CI150" s="161"/>
      <c r="CJ150" s="161">
        <f>SUM(CK150:CM150)</f>
      </c>
      <c r="CK150" s="161"/>
      <c r="CL150" s="161"/>
      <c r="CM150" s="161"/>
      <c r="CN150" s="161">
        <f>SUM(CO150:CS150)</f>
      </c>
      <c r="CO150" s="161"/>
      <c r="CP150" s="161"/>
      <c r="CQ150" s="161"/>
      <c r="CR150" s="161"/>
      <c r="CS150" s="161"/>
      <c r="CT150" s="161"/>
      <c r="CU150" s="161"/>
      <c r="CV150" s="161"/>
      <c r="CW150" s="161"/>
      <c r="CX150" s="161"/>
      <c r="CY150" s="161"/>
      <c r="CZ150" s="161"/>
      <c r="DA150" s="161"/>
      <c r="DB150" s="161"/>
      <c r="DC150" s="161"/>
      <c r="DD150" s="161"/>
      <c r="DE150" s="161"/>
      <c r="DF150" s="161">
        <f>SUM(DG150:DG150)</f>
      </c>
      <c r="DG150" s="161"/>
      <c r="DH150" s="161"/>
      <c r="DI150" s="161"/>
      <c r="DJ150" s="161">
        <f>SUM(DK150:DP150)</f>
      </c>
      <c r="DK150" s="161"/>
      <c r="DL150" s="161"/>
      <c r="DM150" s="161"/>
      <c r="DN150" s="161"/>
      <c r="DO150" s="161"/>
      <c r="DP150" s="161"/>
      <c r="DQ150" s="161"/>
      <c r="DR150" s="161"/>
      <c r="DS150" s="161"/>
      <c r="DT150" s="161"/>
      <c r="DU150" s="161"/>
      <c r="DV150" s="161"/>
      <c r="DW150" s="161"/>
      <c r="DX150" s="161"/>
      <c r="DY150" s="161"/>
      <c r="DZ150" s="161"/>
      <c r="EA150" s="161"/>
      <c r="EB150" s="161"/>
      <c r="EC150" s="161"/>
      <c r="ED150" s="161"/>
      <c r="EE150" s="161"/>
      <c r="EF150" s="161">
        <f>SUM(EG150:EP150)</f>
      </c>
      <c r="EG150" s="161"/>
      <c r="EH150" s="161"/>
      <c r="EI150" s="161"/>
      <c r="EJ150" s="161"/>
      <c r="EK150" s="161"/>
      <c r="EL150" s="161"/>
      <c r="EM150" s="161"/>
      <c r="EN150" s="161"/>
      <c r="EO150" s="161"/>
      <c r="EP150" s="161"/>
      <c r="EQ150" s="161">
        <f>SUM(ER150:ES150)</f>
      </c>
      <c r="ER150" s="161"/>
      <c r="ES150" s="161"/>
      <c r="ET150" s="161"/>
      <c r="EU150" s="161"/>
      <c r="EV150" s="161"/>
      <c r="EW150" s="161"/>
      <c r="EX150" s="161"/>
      <c r="EY150" s="161"/>
      <c r="EZ150" s="161"/>
      <c r="FA150" s="161"/>
      <c r="FB150" s="161"/>
      <c r="FC150" s="161"/>
      <c r="FD150" s="161"/>
      <c r="FE150" s="161"/>
      <c r="FF150" s="161"/>
      <c r="FG150" s="161"/>
      <c r="FH150" s="163" cm="1">
        <f t="array" ref="FH150">ROW()-ROW(Ongoing[#Headers])</f>
        <v>144</v>
      </c>
      <c r="FI150" s="164" t="s">
        <v>768</v>
      </c>
      <c r="FJ150" s="164" t="s">
        <v>755</v>
      </c>
      <c r="FK150" s="164">
        <v>0</v>
      </c>
      <c r="FL150" s="164" t="s">
        <v>769</v>
      </c>
      <c r="FM150" s="164">
        <v>0</v>
      </c>
      <c r="FN150" s="164" t="s">
        <v>770</v>
      </c>
      <c r="FO150" s="164" t="s">
        <v>1059</v>
      </c>
      <c r="FP150" s="164" t="s">
        <v>759</v>
      </c>
    </row>
    <row r="151" spans="2:172" s="115" customFormat="1" ht="11.25" x14ac:dyDescent="0.2">
      <c r="B151" s="148"/>
      <c r="C151" s="148"/>
      <c r="D151" s="148"/>
      <c r="E151" s="148"/>
      <c r="F151" s="148"/>
      <c r="G151" s="148"/>
      <c r="H151" s="148"/>
      <c r="I151" s="148"/>
      <c r="J151" s="148"/>
      <c r="K151" s="148"/>
      <c r="L151" s="148"/>
      <c r="M151" s="160"/>
      <c r="N151" s="160"/>
      <c r="O151" s="148"/>
      <c r="P151" s="161">
        <f>SUM(Q151:AP151)</f>
      </c>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f>SUM(AR151:AU151)</f>
      </c>
      <c r="AR151" s="161"/>
      <c r="AS151" s="161"/>
      <c r="AT151" s="161"/>
      <c r="AU151" s="161"/>
      <c r="AV151" s="161">
        <f>SUM(AW151:BH151)</f>
      </c>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f>SUM(BT151:BV151)</f>
      </c>
      <c r="BT151" s="161"/>
      <c r="BU151" s="161"/>
      <c r="BV151" s="161"/>
      <c r="BW151" s="161">
        <f>SUM(BX151:CC151)</f>
      </c>
      <c r="BX151" s="161"/>
      <c r="BY151" s="161"/>
      <c r="BZ151" s="161"/>
      <c r="CA151" s="161"/>
      <c r="CB151" s="161"/>
      <c r="CC151" s="161"/>
      <c r="CD151" s="161"/>
      <c r="CE151" s="161"/>
      <c r="CF151" s="161"/>
      <c r="CG151" s="161"/>
      <c r="CH151" s="161"/>
      <c r="CI151" s="161"/>
      <c r="CJ151" s="161">
        <f>SUM(CK151:CM151)</f>
      </c>
      <c r="CK151" s="161"/>
      <c r="CL151" s="161"/>
      <c r="CM151" s="161"/>
      <c r="CN151" s="161">
        <f>SUM(CO151:CS151)</f>
      </c>
      <c r="CO151" s="161"/>
      <c r="CP151" s="161"/>
      <c r="CQ151" s="161"/>
      <c r="CR151" s="161"/>
      <c r="CS151" s="161"/>
      <c r="CT151" s="161"/>
      <c r="CU151" s="161"/>
      <c r="CV151" s="161"/>
      <c r="CW151" s="161"/>
      <c r="CX151" s="161"/>
      <c r="CY151" s="161"/>
      <c r="CZ151" s="161"/>
      <c r="DA151" s="161"/>
      <c r="DB151" s="161"/>
      <c r="DC151" s="161"/>
      <c r="DD151" s="161"/>
      <c r="DE151" s="161"/>
      <c r="DF151" s="161">
        <f>SUM(DG151:DG151)</f>
      </c>
      <c r="DG151" s="161"/>
      <c r="DH151" s="161"/>
      <c r="DI151" s="161"/>
      <c r="DJ151" s="161">
        <f>SUM(DK151:DP151)</f>
      </c>
      <c r="DK151" s="161"/>
      <c r="DL151" s="161"/>
      <c r="DM151" s="161"/>
      <c r="DN151" s="161"/>
      <c r="DO151" s="161"/>
      <c r="DP151" s="161"/>
      <c r="DQ151" s="161"/>
      <c r="DR151" s="161"/>
      <c r="DS151" s="161"/>
      <c r="DT151" s="161"/>
      <c r="DU151" s="161"/>
      <c r="DV151" s="161"/>
      <c r="DW151" s="161"/>
      <c r="DX151" s="161"/>
      <c r="DY151" s="161"/>
      <c r="DZ151" s="161"/>
      <c r="EA151" s="161"/>
      <c r="EB151" s="161"/>
      <c r="EC151" s="161"/>
      <c r="ED151" s="161"/>
      <c r="EE151" s="161"/>
      <c r="EF151" s="161">
        <f>SUM(EG151:EP151)</f>
      </c>
      <c r="EG151" s="161"/>
      <c r="EH151" s="161"/>
      <c r="EI151" s="161"/>
      <c r="EJ151" s="161"/>
      <c r="EK151" s="161"/>
      <c r="EL151" s="161"/>
      <c r="EM151" s="161"/>
      <c r="EN151" s="161"/>
      <c r="EO151" s="161"/>
      <c r="EP151" s="161"/>
      <c r="EQ151" s="161">
        <f>SUM(ER151:ES151)</f>
      </c>
      <c r="ER151" s="161"/>
      <c r="ES151" s="161"/>
      <c r="ET151" s="161"/>
      <c r="EU151" s="161"/>
      <c r="EV151" s="161"/>
      <c r="EW151" s="161"/>
      <c r="EX151" s="161"/>
      <c r="EY151" s="161"/>
      <c r="EZ151" s="161"/>
      <c r="FA151" s="161"/>
      <c r="FB151" s="161"/>
      <c r="FC151" s="161"/>
      <c r="FD151" s="161"/>
      <c r="FE151" s="161"/>
      <c r="FF151" s="161"/>
      <c r="FG151" s="161"/>
      <c r="FH151" s="163" cm="1">
        <f t="array" ref="FH151">ROW()-ROW(Ongoing[#Headers])</f>
        <v>145</v>
      </c>
      <c r="FI151" s="164" t="s">
        <v>768</v>
      </c>
      <c r="FJ151" s="164" t="s">
        <v>755</v>
      </c>
      <c r="FK151" s="164">
        <v>0</v>
      </c>
      <c r="FL151" s="164" t="s">
        <v>769</v>
      </c>
      <c r="FM151" s="164">
        <v>0</v>
      </c>
      <c r="FN151" s="164" t="s">
        <v>770</v>
      </c>
      <c r="FO151" s="164" t="s">
        <v>1059</v>
      </c>
      <c r="FP151" s="164" t="s">
        <v>759</v>
      </c>
    </row>
    <row r="152" spans="2:172" s="115" customFormat="1" ht="11.25" x14ac:dyDescent="0.2">
      <c r="B152" s="148"/>
      <c r="C152" s="148"/>
      <c r="D152" s="148"/>
      <c r="E152" s="148"/>
      <c r="F152" s="148"/>
      <c r="G152" s="148"/>
      <c r="H152" s="148"/>
      <c r="I152" s="148"/>
      <c r="J152" s="148"/>
      <c r="K152" s="148"/>
      <c r="L152" s="148"/>
      <c r="M152" s="160"/>
      <c r="N152" s="160"/>
      <c r="O152" s="148"/>
      <c r="P152" s="161">
        <f>SUM(Q152:AP152)</f>
      </c>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f>SUM(AR152:AU152)</f>
      </c>
      <c r="AR152" s="161"/>
      <c r="AS152" s="161"/>
      <c r="AT152" s="161"/>
      <c r="AU152" s="161"/>
      <c r="AV152" s="161">
        <f>SUM(AW152:BH152)</f>
      </c>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f>SUM(BT152:BV152)</f>
      </c>
      <c r="BT152" s="161"/>
      <c r="BU152" s="161"/>
      <c r="BV152" s="161"/>
      <c r="BW152" s="161">
        <f>SUM(BX152:CC152)</f>
      </c>
      <c r="BX152" s="161"/>
      <c r="BY152" s="161"/>
      <c r="BZ152" s="161"/>
      <c r="CA152" s="161"/>
      <c r="CB152" s="161"/>
      <c r="CC152" s="161"/>
      <c r="CD152" s="161"/>
      <c r="CE152" s="161"/>
      <c r="CF152" s="161"/>
      <c r="CG152" s="161"/>
      <c r="CH152" s="161"/>
      <c r="CI152" s="161"/>
      <c r="CJ152" s="161">
        <f>SUM(CK152:CM152)</f>
      </c>
      <c r="CK152" s="161"/>
      <c r="CL152" s="161"/>
      <c r="CM152" s="161"/>
      <c r="CN152" s="161">
        <f>SUM(CO152:CS152)</f>
      </c>
      <c r="CO152" s="161"/>
      <c r="CP152" s="161"/>
      <c r="CQ152" s="161"/>
      <c r="CR152" s="161"/>
      <c r="CS152" s="161"/>
      <c r="CT152" s="161"/>
      <c r="CU152" s="161"/>
      <c r="CV152" s="161"/>
      <c r="CW152" s="161"/>
      <c r="CX152" s="161"/>
      <c r="CY152" s="161"/>
      <c r="CZ152" s="161"/>
      <c r="DA152" s="161"/>
      <c r="DB152" s="161"/>
      <c r="DC152" s="161"/>
      <c r="DD152" s="161"/>
      <c r="DE152" s="161"/>
      <c r="DF152" s="161">
        <f>SUM(DG152:DG152)</f>
      </c>
      <c r="DG152" s="161"/>
      <c r="DH152" s="161"/>
      <c r="DI152" s="161"/>
      <c r="DJ152" s="161">
        <f>SUM(DK152:DP152)</f>
      </c>
      <c r="DK152" s="161"/>
      <c r="DL152" s="161"/>
      <c r="DM152" s="161"/>
      <c r="DN152" s="161"/>
      <c r="DO152" s="161"/>
      <c r="DP152" s="161"/>
      <c r="DQ152" s="161"/>
      <c r="DR152" s="161"/>
      <c r="DS152" s="161"/>
      <c r="DT152" s="161"/>
      <c r="DU152" s="161"/>
      <c r="DV152" s="161"/>
      <c r="DW152" s="161"/>
      <c r="DX152" s="161"/>
      <c r="DY152" s="161"/>
      <c r="DZ152" s="161"/>
      <c r="EA152" s="161"/>
      <c r="EB152" s="161"/>
      <c r="EC152" s="161"/>
      <c r="ED152" s="161"/>
      <c r="EE152" s="161"/>
      <c r="EF152" s="161">
        <f>SUM(EG152:EP152)</f>
      </c>
      <c r="EG152" s="161"/>
      <c r="EH152" s="161"/>
      <c r="EI152" s="161"/>
      <c r="EJ152" s="161"/>
      <c r="EK152" s="161"/>
      <c r="EL152" s="161"/>
      <c r="EM152" s="161"/>
      <c r="EN152" s="161"/>
      <c r="EO152" s="161"/>
      <c r="EP152" s="161"/>
      <c r="EQ152" s="161">
        <f>SUM(ER152:ES152)</f>
      </c>
      <c r="ER152" s="161"/>
      <c r="ES152" s="161"/>
      <c r="ET152" s="161"/>
      <c r="EU152" s="161"/>
      <c r="EV152" s="161"/>
      <c r="EW152" s="161"/>
      <c r="EX152" s="161"/>
      <c r="EY152" s="161"/>
      <c r="EZ152" s="161"/>
      <c r="FA152" s="161"/>
      <c r="FB152" s="161"/>
      <c r="FC152" s="161"/>
      <c r="FD152" s="161"/>
      <c r="FE152" s="161"/>
      <c r="FF152" s="161"/>
      <c r="FG152" s="161"/>
      <c r="FH152" s="163" cm="1">
        <f t="array" ref="FH152">ROW()-ROW(Ongoing[#Headers])</f>
        <v>146</v>
      </c>
      <c r="FI152" s="164" t="s">
        <v>768</v>
      </c>
      <c r="FJ152" s="164" t="s">
        <v>755</v>
      </c>
      <c r="FK152" s="164">
        <v>0</v>
      </c>
      <c r="FL152" s="164" t="s">
        <v>769</v>
      </c>
      <c r="FM152" s="164">
        <v>0</v>
      </c>
      <c r="FN152" s="164" t="s">
        <v>770</v>
      </c>
      <c r="FO152" s="164" t="s">
        <v>1059</v>
      </c>
      <c r="FP152" s="164" t="s">
        <v>759</v>
      </c>
    </row>
    <row r="153" spans="2:172" s="115" customFormat="1" ht="11.25" x14ac:dyDescent="0.2">
      <c r="B153" s="148"/>
      <c r="C153" s="148"/>
      <c r="D153" s="148"/>
      <c r="E153" s="148"/>
      <c r="F153" s="148"/>
      <c r="G153" s="148"/>
      <c r="H153" s="148"/>
      <c r="I153" s="148"/>
      <c r="J153" s="148"/>
      <c r="K153" s="148"/>
      <c r="L153" s="148"/>
      <c r="M153" s="160"/>
      <c r="N153" s="160"/>
      <c r="O153" s="148"/>
      <c r="P153" s="161">
        <f>SUM(Q153:AP153)</f>
      </c>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f>SUM(AR153:AU153)</f>
      </c>
      <c r="AR153" s="161"/>
      <c r="AS153" s="161"/>
      <c r="AT153" s="161"/>
      <c r="AU153" s="161"/>
      <c r="AV153" s="161">
        <f>SUM(AW153:BH153)</f>
      </c>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f>SUM(BT153:BV153)</f>
      </c>
      <c r="BT153" s="161"/>
      <c r="BU153" s="161"/>
      <c r="BV153" s="161"/>
      <c r="BW153" s="161">
        <f>SUM(BX153:CC153)</f>
      </c>
      <c r="BX153" s="161"/>
      <c r="BY153" s="161"/>
      <c r="BZ153" s="161"/>
      <c r="CA153" s="161"/>
      <c r="CB153" s="161"/>
      <c r="CC153" s="161"/>
      <c r="CD153" s="161"/>
      <c r="CE153" s="161"/>
      <c r="CF153" s="161"/>
      <c r="CG153" s="161"/>
      <c r="CH153" s="161"/>
      <c r="CI153" s="161"/>
      <c r="CJ153" s="161">
        <f>SUM(CK153:CM153)</f>
      </c>
      <c r="CK153" s="161"/>
      <c r="CL153" s="161"/>
      <c r="CM153" s="161"/>
      <c r="CN153" s="161">
        <f>SUM(CO153:CS153)</f>
      </c>
      <c r="CO153" s="161"/>
      <c r="CP153" s="161"/>
      <c r="CQ153" s="161"/>
      <c r="CR153" s="161"/>
      <c r="CS153" s="161"/>
      <c r="CT153" s="161"/>
      <c r="CU153" s="161"/>
      <c r="CV153" s="161"/>
      <c r="CW153" s="161"/>
      <c r="CX153" s="161"/>
      <c r="CY153" s="161"/>
      <c r="CZ153" s="161"/>
      <c r="DA153" s="161"/>
      <c r="DB153" s="161"/>
      <c r="DC153" s="161"/>
      <c r="DD153" s="161"/>
      <c r="DE153" s="161"/>
      <c r="DF153" s="161">
        <f>SUM(DG153:DG153)</f>
      </c>
      <c r="DG153" s="161"/>
      <c r="DH153" s="161"/>
      <c r="DI153" s="161"/>
      <c r="DJ153" s="161">
        <f>SUM(DK153:DP153)</f>
      </c>
      <c r="DK153" s="161"/>
      <c r="DL153" s="161"/>
      <c r="DM153" s="161"/>
      <c r="DN153" s="161"/>
      <c r="DO153" s="161"/>
      <c r="DP153" s="161"/>
      <c r="DQ153" s="161"/>
      <c r="DR153" s="161"/>
      <c r="DS153" s="161"/>
      <c r="DT153" s="161"/>
      <c r="DU153" s="161"/>
      <c r="DV153" s="161"/>
      <c r="DW153" s="161"/>
      <c r="DX153" s="161"/>
      <c r="DY153" s="161"/>
      <c r="DZ153" s="161"/>
      <c r="EA153" s="161"/>
      <c r="EB153" s="161"/>
      <c r="EC153" s="161"/>
      <c r="ED153" s="161"/>
      <c r="EE153" s="161"/>
      <c r="EF153" s="161">
        <f>SUM(EG153:EP153)</f>
      </c>
      <c r="EG153" s="161"/>
      <c r="EH153" s="161"/>
      <c r="EI153" s="161"/>
      <c r="EJ153" s="161"/>
      <c r="EK153" s="161"/>
      <c r="EL153" s="161"/>
      <c r="EM153" s="161"/>
      <c r="EN153" s="161"/>
      <c r="EO153" s="161"/>
      <c r="EP153" s="161"/>
      <c r="EQ153" s="161">
        <f>SUM(ER153:ES153)</f>
      </c>
      <c r="ER153" s="161"/>
      <c r="ES153" s="161"/>
      <c r="ET153" s="161"/>
      <c r="EU153" s="161"/>
      <c r="EV153" s="161"/>
      <c r="EW153" s="161"/>
      <c r="EX153" s="161"/>
      <c r="EY153" s="161"/>
      <c r="EZ153" s="161"/>
      <c r="FA153" s="161"/>
      <c r="FB153" s="161"/>
      <c r="FC153" s="161"/>
      <c r="FD153" s="161"/>
      <c r="FE153" s="161"/>
      <c r="FF153" s="161"/>
      <c r="FG153" s="161"/>
      <c r="FH153" s="163" cm="1">
        <f t="array" ref="FH153">ROW()-ROW(Ongoing[#Headers])</f>
        <v>147</v>
      </c>
      <c r="FI153" s="164" t="s">
        <v>754</v>
      </c>
      <c r="FJ153" s="164" t="s">
        <v>755</v>
      </c>
      <c r="FK153" s="164">
        <v>0</v>
      </c>
      <c r="FL153" s="164" t="s">
        <v>756</v>
      </c>
      <c r="FM153" s="164">
        <v>0</v>
      </c>
      <c r="FN153" s="164" t="s">
        <v>757</v>
      </c>
      <c r="FO153" s="164" t="s">
        <v>758</v>
      </c>
      <c r="FP153" s="164" t="s">
        <v>759</v>
      </c>
    </row>
    <row r="154" spans="2:172" s="115" customFormat="1" ht="11.25" x14ac:dyDescent="0.2">
      <c r="B154" s="148"/>
      <c r="C154" s="148"/>
      <c r="D154" s="148"/>
      <c r="E154" s="148"/>
      <c r="F154" s="148"/>
      <c r="G154" s="148"/>
      <c r="H154" s="148"/>
      <c r="I154" s="148"/>
      <c r="J154" s="148"/>
      <c r="K154" s="148"/>
      <c r="L154" s="148"/>
      <c r="M154" s="160"/>
      <c r="N154" s="160"/>
      <c r="O154" s="148"/>
      <c r="P154" s="161">
        <f>SUM(Q154:AP154)</f>
      </c>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f>SUM(AR154:AU154)</f>
      </c>
      <c r="AR154" s="161"/>
      <c r="AS154" s="161"/>
      <c r="AT154" s="161"/>
      <c r="AU154" s="161"/>
      <c r="AV154" s="161">
        <f>SUM(AW154:BH154)</f>
      </c>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f>SUM(BT154:BV154)</f>
      </c>
      <c r="BT154" s="161"/>
      <c r="BU154" s="161"/>
      <c r="BV154" s="161"/>
      <c r="BW154" s="161">
        <f>SUM(BX154:CC154)</f>
      </c>
      <c r="BX154" s="161"/>
      <c r="BY154" s="161"/>
      <c r="BZ154" s="161"/>
      <c r="CA154" s="161"/>
      <c r="CB154" s="161"/>
      <c r="CC154" s="161"/>
      <c r="CD154" s="161"/>
      <c r="CE154" s="161"/>
      <c r="CF154" s="161"/>
      <c r="CG154" s="161"/>
      <c r="CH154" s="161"/>
      <c r="CI154" s="161"/>
      <c r="CJ154" s="161">
        <f>SUM(CK154:CM154)</f>
      </c>
      <c r="CK154" s="161"/>
      <c r="CL154" s="161"/>
      <c r="CM154" s="161"/>
      <c r="CN154" s="161">
        <f>SUM(CO154:CS154)</f>
      </c>
      <c r="CO154" s="161"/>
      <c r="CP154" s="161"/>
      <c r="CQ154" s="161"/>
      <c r="CR154" s="161"/>
      <c r="CS154" s="161"/>
      <c r="CT154" s="161"/>
      <c r="CU154" s="161"/>
      <c r="CV154" s="161"/>
      <c r="CW154" s="161"/>
      <c r="CX154" s="161"/>
      <c r="CY154" s="161"/>
      <c r="CZ154" s="161"/>
      <c r="DA154" s="161"/>
      <c r="DB154" s="161"/>
      <c r="DC154" s="161"/>
      <c r="DD154" s="161"/>
      <c r="DE154" s="161"/>
      <c r="DF154" s="161">
        <f>SUM(DG154:DG154)</f>
      </c>
      <c r="DG154" s="161"/>
      <c r="DH154" s="161"/>
      <c r="DI154" s="161"/>
      <c r="DJ154" s="161">
        <f>SUM(DK154:DP154)</f>
      </c>
      <c r="DK154" s="161"/>
      <c r="DL154" s="161"/>
      <c r="DM154" s="161"/>
      <c r="DN154" s="161"/>
      <c r="DO154" s="161"/>
      <c r="DP154" s="161"/>
      <c r="DQ154" s="161"/>
      <c r="DR154" s="161"/>
      <c r="DS154" s="161"/>
      <c r="DT154" s="161"/>
      <c r="DU154" s="161"/>
      <c r="DV154" s="161"/>
      <c r="DW154" s="161"/>
      <c r="DX154" s="161"/>
      <c r="DY154" s="161"/>
      <c r="DZ154" s="161"/>
      <c r="EA154" s="161"/>
      <c r="EB154" s="161"/>
      <c r="EC154" s="161"/>
      <c r="ED154" s="161"/>
      <c r="EE154" s="161"/>
      <c r="EF154" s="161">
        <f>SUM(EG154:EP154)</f>
      </c>
      <c r="EG154" s="161"/>
      <c r="EH154" s="161"/>
      <c r="EI154" s="161"/>
      <c r="EJ154" s="161"/>
      <c r="EK154" s="161"/>
      <c r="EL154" s="161"/>
      <c r="EM154" s="161"/>
      <c r="EN154" s="161"/>
      <c r="EO154" s="161"/>
      <c r="EP154" s="161"/>
      <c r="EQ154" s="161">
        <f>SUM(ER154:ES154)</f>
      </c>
      <c r="ER154" s="161"/>
      <c r="ES154" s="161"/>
      <c r="ET154" s="161"/>
      <c r="EU154" s="161"/>
      <c r="EV154" s="161"/>
      <c r="EW154" s="161"/>
      <c r="EX154" s="161"/>
      <c r="EY154" s="161"/>
      <c r="EZ154" s="161"/>
      <c r="FA154" s="161"/>
      <c r="FB154" s="161"/>
      <c r="FC154" s="161"/>
      <c r="FD154" s="161"/>
      <c r="FE154" s="161"/>
      <c r="FF154" s="161"/>
      <c r="FG154" s="161"/>
      <c r="FH154" s="163" cm="1">
        <f t="array" ref="FH154">ROW()-ROW(Ongoing[#Headers])</f>
        <v>148</v>
      </c>
      <c r="FI154" s="164" t="s">
        <v>768</v>
      </c>
      <c r="FJ154" s="164" t="s">
        <v>755</v>
      </c>
      <c r="FK154" s="164">
        <v>0</v>
      </c>
      <c r="FL154" s="164" t="s">
        <v>769</v>
      </c>
      <c r="FM154" s="164">
        <v>0</v>
      </c>
      <c r="FN154" s="164" t="s">
        <v>770</v>
      </c>
      <c r="FO154" s="164" t="s">
        <v>873</v>
      </c>
      <c r="FP154" s="164" t="s">
        <v>759</v>
      </c>
    </row>
    <row r="155" spans="2:172" s="115" customFormat="1" ht="11.25" x14ac:dyDescent="0.2">
      <c r="B155" s="148"/>
      <c r="C155" s="148"/>
      <c r="D155" s="148"/>
      <c r="E155" s="148"/>
      <c r="F155" s="148"/>
      <c r="G155" s="148"/>
      <c r="H155" s="148"/>
      <c r="I155" s="148"/>
      <c r="J155" s="148"/>
      <c r="K155" s="148"/>
      <c r="L155" s="148"/>
      <c r="M155" s="160"/>
      <c r="N155" s="160"/>
      <c r="O155" s="148"/>
      <c r="P155" s="161">
        <f>SUM(Q155:AP155)</f>
      </c>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f>SUM(AR155:AU155)</f>
      </c>
      <c r="AR155" s="161"/>
      <c r="AS155" s="161"/>
      <c r="AT155" s="161"/>
      <c r="AU155" s="161"/>
      <c r="AV155" s="161">
        <f>SUM(AW155:BH155)</f>
      </c>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f>SUM(BT155:BV155)</f>
      </c>
      <c r="BT155" s="161"/>
      <c r="BU155" s="161"/>
      <c r="BV155" s="161"/>
      <c r="BW155" s="161">
        <f>SUM(BX155:CC155)</f>
      </c>
      <c r="BX155" s="161"/>
      <c r="BY155" s="161"/>
      <c r="BZ155" s="161"/>
      <c r="CA155" s="161"/>
      <c r="CB155" s="161"/>
      <c r="CC155" s="161"/>
      <c r="CD155" s="161"/>
      <c r="CE155" s="161"/>
      <c r="CF155" s="161"/>
      <c r="CG155" s="161"/>
      <c r="CH155" s="161"/>
      <c r="CI155" s="161"/>
      <c r="CJ155" s="161">
        <f>SUM(CK155:CM155)</f>
      </c>
      <c r="CK155" s="161"/>
      <c r="CL155" s="161"/>
      <c r="CM155" s="161"/>
      <c r="CN155" s="161">
        <f>SUM(CO155:CS155)</f>
      </c>
      <c r="CO155" s="161"/>
      <c r="CP155" s="161"/>
      <c r="CQ155" s="161"/>
      <c r="CR155" s="161"/>
      <c r="CS155" s="161"/>
      <c r="CT155" s="161"/>
      <c r="CU155" s="161"/>
      <c r="CV155" s="161"/>
      <c r="CW155" s="161"/>
      <c r="CX155" s="161"/>
      <c r="CY155" s="161"/>
      <c r="CZ155" s="161"/>
      <c r="DA155" s="161"/>
      <c r="DB155" s="161"/>
      <c r="DC155" s="161"/>
      <c r="DD155" s="161"/>
      <c r="DE155" s="161"/>
      <c r="DF155" s="161">
        <f>SUM(DG155:DG155)</f>
      </c>
      <c r="DG155" s="161"/>
      <c r="DH155" s="161"/>
      <c r="DI155" s="161"/>
      <c r="DJ155" s="161">
        <f>SUM(DK155:DP155)</f>
      </c>
      <c r="DK155" s="161"/>
      <c r="DL155" s="161"/>
      <c r="DM155" s="161"/>
      <c r="DN155" s="161"/>
      <c r="DO155" s="161"/>
      <c r="DP155" s="161"/>
      <c r="DQ155" s="161"/>
      <c r="DR155" s="161"/>
      <c r="DS155" s="161"/>
      <c r="DT155" s="161"/>
      <c r="DU155" s="161"/>
      <c r="DV155" s="161"/>
      <c r="DW155" s="161"/>
      <c r="DX155" s="161"/>
      <c r="DY155" s="161"/>
      <c r="DZ155" s="161"/>
      <c r="EA155" s="161"/>
      <c r="EB155" s="161"/>
      <c r="EC155" s="161"/>
      <c r="ED155" s="161"/>
      <c r="EE155" s="161"/>
      <c r="EF155" s="161">
        <f>SUM(EG155:EP155)</f>
      </c>
      <c r="EG155" s="161"/>
      <c r="EH155" s="161"/>
      <c r="EI155" s="161"/>
      <c r="EJ155" s="161"/>
      <c r="EK155" s="161"/>
      <c r="EL155" s="161"/>
      <c r="EM155" s="161"/>
      <c r="EN155" s="161"/>
      <c r="EO155" s="161"/>
      <c r="EP155" s="161"/>
      <c r="EQ155" s="161">
        <f>SUM(ER155:ES155)</f>
      </c>
      <c r="ER155" s="161"/>
      <c r="ES155" s="161"/>
      <c r="ET155" s="161"/>
      <c r="EU155" s="161"/>
      <c r="EV155" s="161"/>
      <c r="EW155" s="161"/>
      <c r="EX155" s="161"/>
      <c r="EY155" s="161"/>
      <c r="EZ155" s="161"/>
      <c r="FA155" s="161"/>
      <c r="FB155" s="161"/>
      <c r="FC155" s="161"/>
      <c r="FD155" s="161"/>
      <c r="FE155" s="161"/>
      <c r="FF155" s="161"/>
      <c r="FG155" s="161"/>
      <c r="FH155" s="163" cm="1">
        <f t="array" ref="FH155">ROW()-ROW(Ongoing[#Headers])</f>
        <v>149</v>
      </c>
      <c r="FI155" s="164" t="s">
        <v>768</v>
      </c>
      <c r="FJ155" s="164" t="s">
        <v>755</v>
      </c>
      <c r="FK155" s="164">
        <v>0</v>
      </c>
      <c r="FL155" s="164" t="s">
        <v>769</v>
      </c>
      <c r="FM155" s="164">
        <v>0</v>
      </c>
      <c r="FN155" s="164" t="s">
        <v>770</v>
      </c>
      <c r="FO155" s="164" t="s">
        <v>873</v>
      </c>
      <c r="FP155" s="164" t="s">
        <v>759</v>
      </c>
    </row>
    <row r="156" spans="2:172" s="115" customFormat="1" ht="11.25" x14ac:dyDescent="0.2">
      <c r="B156" s="148"/>
      <c r="C156" s="148"/>
      <c r="D156" s="148"/>
      <c r="E156" s="148"/>
      <c r="F156" s="148"/>
      <c r="G156" s="148"/>
      <c r="H156" s="148"/>
      <c r="I156" s="148"/>
      <c r="J156" s="148"/>
      <c r="K156" s="148"/>
      <c r="L156" s="148"/>
      <c r="M156" s="160"/>
      <c r="N156" s="160"/>
      <c r="O156" s="148"/>
      <c r="P156" s="161">
        <f>SUM(Q156:AP156)</f>
      </c>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f>SUM(AR156:AU156)</f>
      </c>
      <c r="AR156" s="161"/>
      <c r="AS156" s="161"/>
      <c r="AT156" s="161"/>
      <c r="AU156" s="161"/>
      <c r="AV156" s="161">
        <f>SUM(AW156:BH156)</f>
      </c>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f>SUM(BT156:BV156)</f>
      </c>
      <c r="BT156" s="161"/>
      <c r="BU156" s="161"/>
      <c r="BV156" s="161"/>
      <c r="BW156" s="161">
        <f>SUM(BX156:CC156)</f>
      </c>
      <c r="BX156" s="161"/>
      <c r="BY156" s="161"/>
      <c r="BZ156" s="161"/>
      <c r="CA156" s="161"/>
      <c r="CB156" s="161"/>
      <c r="CC156" s="161"/>
      <c r="CD156" s="161"/>
      <c r="CE156" s="161"/>
      <c r="CF156" s="161"/>
      <c r="CG156" s="161"/>
      <c r="CH156" s="161"/>
      <c r="CI156" s="161"/>
      <c r="CJ156" s="161">
        <f>SUM(CK156:CM156)</f>
      </c>
      <c r="CK156" s="161"/>
      <c r="CL156" s="161"/>
      <c r="CM156" s="161"/>
      <c r="CN156" s="161">
        <f>SUM(CO156:CS156)</f>
      </c>
      <c r="CO156" s="161"/>
      <c r="CP156" s="161"/>
      <c r="CQ156" s="161"/>
      <c r="CR156" s="161"/>
      <c r="CS156" s="161"/>
      <c r="CT156" s="161"/>
      <c r="CU156" s="161"/>
      <c r="CV156" s="161"/>
      <c r="CW156" s="161"/>
      <c r="CX156" s="161"/>
      <c r="CY156" s="161"/>
      <c r="CZ156" s="161"/>
      <c r="DA156" s="161"/>
      <c r="DB156" s="161"/>
      <c r="DC156" s="161"/>
      <c r="DD156" s="161"/>
      <c r="DE156" s="161"/>
      <c r="DF156" s="161">
        <f>SUM(DG156:DG156)</f>
      </c>
      <c r="DG156" s="161"/>
      <c r="DH156" s="161"/>
      <c r="DI156" s="161"/>
      <c r="DJ156" s="161">
        <f>SUM(DK156:DP156)</f>
      </c>
      <c r="DK156" s="161"/>
      <c r="DL156" s="161"/>
      <c r="DM156" s="161"/>
      <c r="DN156" s="161"/>
      <c r="DO156" s="161"/>
      <c r="DP156" s="161"/>
      <c r="DQ156" s="161"/>
      <c r="DR156" s="161"/>
      <c r="DS156" s="161"/>
      <c r="DT156" s="161"/>
      <c r="DU156" s="161"/>
      <c r="DV156" s="161"/>
      <c r="DW156" s="161"/>
      <c r="DX156" s="161"/>
      <c r="DY156" s="161"/>
      <c r="DZ156" s="161"/>
      <c r="EA156" s="161"/>
      <c r="EB156" s="161"/>
      <c r="EC156" s="161"/>
      <c r="ED156" s="161"/>
      <c r="EE156" s="161"/>
      <c r="EF156" s="161">
        <f>SUM(EG156:EP156)</f>
      </c>
      <c r="EG156" s="161"/>
      <c r="EH156" s="161"/>
      <c r="EI156" s="161"/>
      <c r="EJ156" s="161"/>
      <c r="EK156" s="161"/>
      <c r="EL156" s="161"/>
      <c r="EM156" s="161"/>
      <c r="EN156" s="161"/>
      <c r="EO156" s="161"/>
      <c r="EP156" s="161"/>
      <c r="EQ156" s="161">
        <f>SUM(ER156:ES156)</f>
      </c>
      <c r="ER156" s="161"/>
      <c r="ES156" s="161"/>
      <c r="ET156" s="161"/>
      <c r="EU156" s="161"/>
      <c r="EV156" s="161"/>
      <c r="EW156" s="161"/>
      <c r="EX156" s="161"/>
      <c r="EY156" s="161"/>
      <c r="EZ156" s="161"/>
      <c r="FA156" s="161"/>
      <c r="FB156" s="161"/>
      <c r="FC156" s="161"/>
      <c r="FD156" s="161"/>
      <c r="FE156" s="161"/>
      <c r="FF156" s="161"/>
      <c r="FG156" s="161"/>
      <c r="FH156" s="163" cm="1">
        <f t="array" ref="FH156">ROW()-ROW(Ongoing[#Headers])</f>
        <v>150</v>
      </c>
      <c r="FI156" s="164" t="s">
        <v>754</v>
      </c>
      <c r="FJ156" s="164" t="s">
        <v>755</v>
      </c>
      <c r="FK156" s="164">
        <v>0</v>
      </c>
      <c r="FL156" s="164" t="s">
        <v>756</v>
      </c>
      <c r="FM156" s="164">
        <v>0</v>
      </c>
      <c r="FN156" s="164" t="s">
        <v>757</v>
      </c>
      <c r="FO156" s="164" t="s">
        <v>758</v>
      </c>
      <c r="FP156" s="164" t="s">
        <v>759</v>
      </c>
    </row>
    <row r="157" spans="2:172" s="115" customFormat="1" ht="11.25" x14ac:dyDescent="0.2">
      <c r="B157" s="148"/>
      <c r="C157" s="148"/>
      <c r="D157" s="148"/>
      <c r="E157" s="148"/>
      <c r="F157" s="148"/>
      <c r="G157" s="148"/>
      <c r="H157" s="148"/>
      <c r="I157" s="148"/>
      <c r="J157" s="148"/>
      <c r="K157" s="148"/>
      <c r="L157" s="148"/>
      <c r="M157" s="160"/>
      <c r="N157" s="160"/>
      <c r="O157" s="148"/>
      <c r="P157" s="161">
        <f>SUM(Q157:AP157)</f>
      </c>
      <c r="Q157" s="161"/>
      <c r="R157" s="161"/>
      <c r="S157" s="161"/>
      <c r="T157" s="161"/>
      <c r="U157" s="161"/>
      <c r="V157" s="161"/>
      <c r="W157" s="161"/>
      <c r="X157" s="161"/>
      <c r="Y157" s="161"/>
      <c r="Z157" s="161"/>
      <c r="AA157" s="161"/>
      <c r="AB157" s="161"/>
      <c r="AC157" s="161"/>
      <c r="AD157" s="161"/>
      <c r="AE157" s="161"/>
      <c r="AF157" s="161"/>
      <c r="AG157" s="161"/>
      <c r="AH157" s="161"/>
      <c r="AI157" s="161"/>
      <c r="AJ157" s="161"/>
      <c r="AK157" s="161"/>
      <c r="AL157" s="161"/>
      <c r="AM157" s="161"/>
      <c r="AN157" s="161"/>
      <c r="AO157" s="161"/>
      <c r="AP157" s="161"/>
      <c r="AQ157" s="161">
        <f>SUM(AR157:AU157)</f>
      </c>
      <c r="AR157" s="161"/>
      <c r="AS157" s="161"/>
      <c r="AT157" s="161"/>
      <c r="AU157" s="161"/>
      <c r="AV157" s="161">
        <f>SUM(AW157:BH157)</f>
      </c>
      <c r="AW157" s="161"/>
      <c r="AX157" s="161"/>
      <c r="AY157" s="161"/>
      <c r="AZ157" s="161"/>
      <c r="BA157" s="161"/>
      <c r="BB157" s="161"/>
      <c r="BC157" s="161"/>
      <c r="BD157" s="161"/>
      <c r="BE157" s="161"/>
      <c r="BF157" s="161"/>
      <c r="BG157" s="161"/>
      <c r="BH157" s="161"/>
      <c r="BI157" s="161"/>
      <c r="BJ157" s="161"/>
      <c r="BK157" s="161"/>
      <c r="BL157" s="161"/>
      <c r="BM157" s="161"/>
      <c r="BN157" s="161"/>
      <c r="BO157" s="161"/>
      <c r="BP157" s="161"/>
      <c r="BQ157" s="161"/>
      <c r="BR157" s="161"/>
      <c r="BS157" s="161">
        <f>SUM(BT157:BV157)</f>
      </c>
      <c r="BT157" s="161"/>
      <c r="BU157" s="161"/>
      <c r="BV157" s="161"/>
      <c r="BW157" s="161">
        <f>SUM(BX157:CC157)</f>
      </c>
      <c r="BX157" s="161"/>
      <c r="BY157" s="161"/>
      <c r="BZ157" s="161"/>
      <c r="CA157" s="161"/>
      <c r="CB157" s="161"/>
      <c r="CC157" s="161"/>
      <c r="CD157" s="161"/>
      <c r="CE157" s="161"/>
      <c r="CF157" s="161"/>
      <c r="CG157" s="161"/>
      <c r="CH157" s="161"/>
      <c r="CI157" s="161"/>
      <c r="CJ157" s="161">
        <f>SUM(CK157:CM157)</f>
      </c>
      <c r="CK157" s="161"/>
      <c r="CL157" s="161"/>
      <c r="CM157" s="161"/>
      <c r="CN157" s="161">
        <f>SUM(CO157:CS157)</f>
      </c>
      <c r="CO157" s="161"/>
      <c r="CP157" s="161"/>
      <c r="CQ157" s="161"/>
      <c r="CR157" s="161"/>
      <c r="CS157" s="161"/>
      <c r="CT157" s="161"/>
      <c r="CU157" s="161"/>
      <c r="CV157" s="161"/>
      <c r="CW157" s="161"/>
      <c r="CX157" s="161"/>
      <c r="CY157" s="161"/>
      <c r="CZ157" s="161"/>
      <c r="DA157" s="161"/>
      <c r="DB157" s="161"/>
      <c r="DC157" s="161"/>
      <c r="DD157" s="161"/>
      <c r="DE157" s="161"/>
      <c r="DF157" s="161">
        <f>SUM(DG157:DG157)</f>
      </c>
      <c r="DG157" s="161"/>
      <c r="DH157" s="161"/>
      <c r="DI157" s="161"/>
      <c r="DJ157" s="161">
        <f>SUM(DK157:DP157)</f>
      </c>
      <c r="DK157" s="161"/>
      <c r="DL157" s="161"/>
      <c r="DM157" s="161"/>
      <c r="DN157" s="161"/>
      <c r="DO157" s="161"/>
      <c r="DP157" s="161"/>
      <c r="DQ157" s="161"/>
      <c r="DR157" s="161"/>
      <c r="DS157" s="161"/>
      <c r="DT157" s="161"/>
      <c r="DU157" s="161"/>
      <c r="DV157" s="161"/>
      <c r="DW157" s="161"/>
      <c r="DX157" s="161"/>
      <c r="DY157" s="161"/>
      <c r="DZ157" s="161"/>
      <c r="EA157" s="161"/>
      <c r="EB157" s="161"/>
      <c r="EC157" s="161"/>
      <c r="ED157" s="161"/>
      <c r="EE157" s="161"/>
      <c r="EF157" s="161">
        <f>SUM(EG157:EP157)</f>
      </c>
      <c r="EG157" s="161"/>
      <c r="EH157" s="161"/>
      <c r="EI157" s="161"/>
      <c r="EJ157" s="161"/>
      <c r="EK157" s="161"/>
      <c r="EL157" s="161"/>
      <c r="EM157" s="161"/>
      <c r="EN157" s="161"/>
      <c r="EO157" s="161"/>
      <c r="EP157" s="161"/>
      <c r="EQ157" s="161">
        <f>SUM(ER157:ES157)</f>
      </c>
      <c r="ER157" s="161"/>
      <c r="ES157" s="161"/>
      <c r="ET157" s="161"/>
      <c r="EU157" s="161"/>
      <c r="EV157" s="161"/>
      <c r="EW157" s="161"/>
      <c r="EX157" s="161"/>
      <c r="EY157" s="161"/>
      <c r="EZ157" s="161"/>
      <c r="FA157" s="161"/>
      <c r="FB157" s="161"/>
      <c r="FC157" s="161"/>
      <c r="FD157" s="161"/>
      <c r="FE157" s="161"/>
      <c r="FF157" s="161"/>
      <c r="FG157" s="161"/>
      <c r="FH157" s="163" cm="1">
        <f t="array" ref="FH157">ROW()-ROW(Ongoing[#Headers])</f>
        <v>151</v>
      </c>
      <c r="FI157" s="164" t="s">
        <v>768</v>
      </c>
      <c r="FJ157" s="164" t="s">
        <v>755</v>
      </c>
      <c r="FK157" s="164">
        <v>0</v>
      </c>
      <c r="FL157" s="164" t="s">
        <v>769</v>
      </c>
      <c r="FM157" s="164">
        <v>0</v>
      </c>
      <c r="FN157" s="164" t="s">
        <v>770</v>
      </c>
      <c r="FO157" s="164" t="s">
        <v>771</v>
      </c>
      <c r="FP157" s="164" t="s">
        <v>759</v>
      </c>
    </row>
    <row r="158" spans="2:172" s="115" customFormat="1" ht="11.25" x14ac:dyDescent="0.2">
      <c r="B158" s="148"/>
      <c r="C158" s="148"/>
      <c r="D158" s="148"/>
      <c r="E158" s="148"/>
      <c r="F158" s="148"/>
      <c r="G158" s="148"/>
      <c r="H158" s="148"/>
      <c r="I158" s="148"/>
      <c r="J158" s="148"/>
      <c r="K158" s="148"/>
      <c r="L158" s="148"/>
      <c r="M158" s="160"/>
      <c r="N158" s="160"/>
      <c r="O158" s="148"/>
      <c r="P158" s="161">
        <f>SUM(Q158:AP158)</f>
      </c>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f>SUM(AR158:AU158)</f>
      </c>
      <c r="AR158" s="161"/>
      <c r="AS158" s="161"/>
      <c r="AT158" s="161"/>
      <c r="AU158" s="161"/>
      <c r="AV158" s="161">
        <f>SUM(AW158:BH158)</f>
      </c>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f>SUM(BT158:BV158)</f>
      </c>
      <c r="BT158" s="161"/>
      <c r="BU158" s="161"/>
      <c r="BV158" s="161"/>
      <c r="BW158" s="161">
        <f>SUM(BX158:CC158)</f>
      </c>
      <c r="BX158" s="161"/>
      <c r="BY158" s="161"/>
      <c r="BZ158" s="161"/>
      <c r="CA158" s="161"/>
      <c r="CB158" s="161"/>
      <c r="CC158" s="161"/>
      <c r="CD158" s="161"/>
      <c r="CE158" s="161"/>
      <c r="CF158" s="161"/>
      <c r="CG158" s="161"/>
      <c r="CH158" s="161"/>
      <c r="CI158" s="161"/>
      <c r="CJ158" s="161">
        <f>SUM(CK158:CM158)</f>
      </c>
      <c r="CK158" s="161"/>
      <c r="CL158" s="161"/>
      <c r="CM158" s="161"/>
      <c r="CN158" s="161">
        <f>SUM(CO158:CS158)</f>
      </c>
      <c r="CO158" s="161"/>
      <c r="CP158" s="161"/>
      <c r="CQ158" s="161"/>
      <c r="CR158" s="161"/>
      <c r="CS158" s="161"/>
      <c r="CT158" s="161"/>
      <c r="CU158" s="161"/>
      <c r="CV158" s="161"/>
      <c r="CW158" s="161"/>
      <c r="CX158" s="161"/>
      <c r="CY158" s="161"/>
      <c r="CZ158" s="161"/>
      <c r="DA158" s="161"/>
      <c r="DB158" s="161"/>
      <c r="DC158" s="161"/>
      <c r="DD158" s="161"/>
      <c r="DE158" s="161"/>
      <c r="DF158" s="161">
        <f>SUM(DG158:DG158)</f>
      </c>
      <c r="DG158" s="161"/>
      <c r="DH158" s="161"/>
      <c r="DI158" s="161"/>
      <c r="DJ158" s="161">
        <f>SUM(DK158:DP158)</f>
      </c>
      <c r="DK158" s="161"/>
      <c r="DL158" s="161"/>
      <c r="DM158" s="161"/>
      <c r="DN158" s="161"/>
      <c r="DO158" s="161"/>
      <c r="DP158" s="161"/>
      <c r="DQ158" s="161"/>
      <c r="DR158" s="161"/>
      <c r="DS158" s="161"/>
      <c r="DT158" s="161"/>
      <c r="DU158" s="161"/>
      <c r="DV158" s="161"/>
      <c r="DW158" s="161"/>
      <c r="DX158" s="161"/>
      <c r="DY158" s="161"/>
      <c r="DZ158" s="161"/>
      <c r="EA158" s="161"/>
      <c r="EB158" s="161"/>
      <c r="EC158" s="161"/>
      <c r="ED158" s="161"/>
      <c r="EE158" s="161"/>
      <c r="EF158" s="161">
        <f>SUM(EG158:EP158)</f>
      </c>
      <c r="EG158" s="161"/>
      <c r="EH158" s="161"/>
      <c r="EI158" s="161"/>
      <c r="EJ158" s="161"/>
      <c r="EK158" s="161"/>
      <c r="EL158" s="161"/>
      <c r="EM158" s="161"/>
      <c r="EN158" s="161"/>
      <c r="EO158" s="161"/>
      <c r="EP158" s="161"/>
      <c r="EQ158" s="161">
        <f>SUM(ER158:ES158)</f>
      </c>
      <c r="ER158" s="161"/>
      <c r="ES158" s="161"/>
      <c r="ET158" s="161"/>
      <c r="EU158" s="161"/>
      <c r="EV158" s="161"/>
      <c r="EW158" s="161"/>
      <c r="EX158" s="161"/>
      <c r="EY158" s="161"/>
      <c r="EZ158" s="161"/>
      <c r="FA158" s="161"/>
      <c r="FB158" s="161"/>
      <c r="FC158" s="161"/>
      <c r="FD158" s="161"/>
      <c r="FE158" s="161"/>
      <c r="FF158" s="161"/>
      <c r="FG158" s="161"/>
      <c r="FH158" s="163" cm="1">
        <f t="array" ref="FH158">ROW()-ROW(Ongoing[#Headers])</f>
        <v>152</v>
      </c>
      <c r="FI158" s="164" t="s">
        <v>754</v>
      </c>
      <c r="FJ158" s="164" t="s">
        <v>755</v>
      </c>
      <c r="FK158" s="164">
        <v>0</v>
      </c>
      <c r="FL158" s="164" t="s">
        <v>756</v>
      </c>
      <c r="FM158" s="164">
        <v>0</v>
      </c>
      <c r="FN158" s="164" t="s">
        <v>757</v>
      </c>
      <c r="FO158" s="164" t="s">
        <v>758</v>
      </c>
      <c r="FP158" s="164" t="s">
        <v>759</v>
      </c>
    </row>
    <row r="159" spans="2:172" s="115" customFormat="1" ht="11.25" x14ac:dyDescent="0.2">
      <c r="B159" s="148"/>
      <c r="C159" s="148"/>
      <c r="D159" s="148"/>
      <c r="E159" s="148"/>
      <c r="F159" s="148"/>
      <c r="G159" s="148"/>
      <c r="H159" s="148"/>
      <c r="I159" s="148"/>
      <c r="J159" s="148"/>
      <c r="K159" s="148"/>
      <c r="L159" s="148"/>
      <c r="M159" s="160"/>
      <c r="N159" s="160"/>
      <c r="O159" s="148"/>
      <c r="P159" s="161">
        <f>SUM(Q159:AP159)</f>
      </c>
      <c r="Q159" s="161"/>
      <c r="R159" s="161"/>
      <c r="S159" s="161"/>
      <c r="T159" s="161"/>
      <c r="U159" s="161"/>
      <c r="V159" s="161"/>
      <c r="W159" s="161"/>
      <c r="X159" s="161"/>
      <c r="Y159" s="161"/>
      <c r="Z159" s="161"/>
      <c r="AA159" s="161"/>
      <c r="AB159" s="161"/>
      <c r="AC159" s="161"/>
      <c r="AD159" s="161"/>
      <c r="AE159" s="161"/>
      <c r="AF159" s="161"/>
      <c r="AG159" s="161"/>
      <c r="AH159" s="161"/>
      <c r="AI159" s="161"/>
      <c r="AJ159" s="161"/>
      <c r="AK159" s="161"/>
      <c r="AL159" s="161"/>
      <c r="AM159" s="161"/>
      <c r="AN159" s="161"/>
      <c r="AO159" s="161"/>
      <c r="AP159" s="161"/>
      <c r="AQ159" s="161">
        <f>SUM(AR159:AU159)</f>
      </c>
      <c r="AR159" s="161"/>
      <c r="AS159" s="161"/>
      <c r="AT159" s="161"/>
      <c r="AU159" s="161"/>
      <c r="AV159" s="161">
        <f>SUM(AW159:BH159)</f>
      </c>
      <c r="AW159" s="161"/>
      <c r="AX159" s="161"/>
      <c r="AY159" s="161"/>
      <c r="AZ159" s="161"/>
      <c r="BA159" s="161"/>
      <c r="BB159" s="161"/>
      <c r="BC159" s="161"/>
      <c r="BD159" s="161"/>
      <c r="BE159" s="161"/>
      <c r="BF159" s="161"/>
      <c r="BG159" s="161"/>
      <c r="BH159" s="161"/>
      <c r="BI159" s="161"/>
      <c r="BJ159" s="161"/>
      <c r="BK159" s="161"/>
      <c r="BL159" s="161"/>
      <c r="BM159" s="161"/>
      <c r="BN159" s="161"/>
      <c r="BO159" s="161"/>
      <c r="BP159" s="161"/>
      <c r="BQ159" s="161"/>
      <c r="BR159" s="161"/>
      <c r="BS159" s="161">
        <f>SUM(BT159:BV159)</f>
      </c>
      <c r="BT159" s="161"/>
      <c r="BU159" s="161"/>
      <c r="BV159" s="161"/>
      <c r="BW159" s="161">
        <f>SUM(BX159:CC159)</f>
      </c>
      <c r="BX159" s="161"/>
      <c r="BY159" s="161"/>
      <c r="BZ159" s="161"/>
      <c r="CA159" s="161"/>
      <c r="CB159" s="161"/>
      <c r="CC159" s="161"/>
      <c r="CD159" s="161"/>
      <c r="CE159" s="161"/>
      <c r="CF159" s="161"/>
      <c r="CG159" s="161"/>
      <c r="CH159" s="161"/>
      <c r="CI159" s="161"/>
      <c r="CJ159" s="161">
        <f>SUM(CK159:CM159)</f>
      </c>
      <c r="CK159" s="161"/>
      <c r="CL159" s="161"/>
      <c r="CM159" s="161"/>
      <c r="CN159" s="161">
        <f>SUM(CO159:CS159)</f>
      </c>
      <c r="CO159" s="161"/>
      <c r="CP159" s="161"/>
      <c r="CQ159" s="161"/>
      <c r="CR159" s="161"/>
      <c r="CS159" s="161"/>
      <c r="CT159" s="161"/>
      <c r="CU159" s="161"/>
      <c r="CV159" s="161"/>
      <c r="CW159" s="161"/>
      <c r="CX159" s="161"/>
      <c r="CY159" s="161"/>
      <c r="CZ159" s="161"/>
      <c r="DA159" s="161"/>
      <c r="DB159" s="161"/>
      <c r="DC159" s="161"/>
      <c r="DD159" s="161"/>
      <c r="DE159" s="161"/>
      <c r="DF159" s="161">
        <f>SUM(DG159:DG159)</f>
      </c>
      <c r="DG159" s="161"/>
      <c r="DH159" s="161"/>
      <c r="DI159" s="161"/>
      <c r="DJ159" s="161">
        <f>SUM(DK159:DP159)</f>
      </c>
      <c r="DK159" s="161"/>
      <c r="DL159" s="161"/>
      <c r="DM159" s="161"/>
      <c r="DN159" s="161"/>
      <c r="DO159" s="161"/>
      <c r="DP159" s="161"/>
      <c r="DQ159" s="161"/>
      <c r="DR159" s="161"/>
      <c r="DS159" s="161"/>
      <c r="DT159" s="161"/>
      <c r="DU159" s="161"/>
      <c r="DV159" s="161"/>
      <c r="DW159" s="161"/>
      <c r="DX159" s="161"/>
      <c r="DY159" s="161"/>
      <c r="DZ159" s="161"/>
      <c r="EA159" s="161"/>
      <c r="EB159" s="161"/>
      <c r="EC159" s="161"/>
      <c r="ED159" s="161"/>
      <c r="EE159" s="161"/>
      <c r="EF159" s="161">
        <f>SUM(EG159:EP159)</f>
      </c>
      <c r="EG159" s="161"/>
      <c r="EH159" s="161"/>
      <c r="EI159" s="161"/>
      <c r="EJ159" s="161"/>
      <c r="EK159" s="161"/>
      <c r="EL159" s="161"/>
      <c r="EM159" s="161"/>
      <c r="EN159" s="161"/>
      <c r="EO159" s="161"/>
      <c r="EP159" s="161"/>
      <c r="EQ159" s="161">
        <f>SUM(ER159:ES159)</f>
      </c>
      <c r="ER159" s="161"/>
      <c r="ES159" s="161"/>
      <c r="ET159" s="161"/>
      <c r="EU159" s="161"/>
      <c r="EV159" s="161"/>
      <c r="EW159" s="161"/>
      <c r="EX159" s="161"/>
      <c r="EY159" s="161"/>
      <c r="EZ159" s="161"/>
      <c r="FA159" s="161"/>
      <c r="FB159" s="161"/>
      <c r="FC159" s="161"/>
      <c r="FD159" s="161"/>
      <c r="FE159" s="161"/>
      <c r="FF159" s="161"/>
      <c r="FG159" s="161"/>
      <c r="FH159" s="163" cm="1">
        <f t="array" ref="FH159">ROW()-ROW(Ongoing[#Headers])</f>
        <v>153</v>
      </c>
      <c r="FI159" s="164" t="s">
        <v>754</v>
      </c>
      <c r="FJ159" s="164" t="s">
        <v>755</v>
      </c>
      <c r="FK159" s="164">
        <v>0</v>
      </c>
      <c r="FL159" s="164" t="s">
        <v>756</v>
      </c>
      <c r="FM159" s="164">
        <v>0</v>
      </c>
      <c r="FN159" s="164" t="s">
        <v>757</v>
      </c>
      <c r="FO159" s="164" t="s">
        <v>758</v>
      </c>
      <c r="FP159" s="164" t="s">
        <v>759</v>
      </c>
    </row>
    <row r="160" spans="2:172" s="115" customFormat="1" ht="11.25" x14ac:dyDescent="0.2">
      <c r="B160" s="148"/>
      <c r="C160" s="148"/>
      <c r="D160" s="148"/>
      <c r="E160" s="148"/>
      <c r="F160" s="148"/>
      <c r="G160" s="148"/>
      <c r="H160" s="148"/>
      <c r="I160" s="148"/>
      <c r="J160" s="148"/>
      <c r="K160" s="148"/>
      <c r="L160" s="148"/>
      <c r="M160" s="160"/>
      <c r="N160" s="160"/>
      <c r="O160" s="148"/>
      <c r="P160" s="161">
        <f>SUM(Q160:AP160)</f>
      </c>
      <c r="Q160" s="161"/>
      <c r="R160" s="161"/>
      <c r="S160" s="161"/>
      <c r="T160" s="161"/>
      <c r="U160" s="161"/>
      <c r="V160" s="161"/>
      <c r="W160" s="161"/>
      <c r="X160" s="161"/>
      <c r="Y160" s="161"/>
      <c r="Z160" s="161"/>
      <c r="AA160" s="161"/>
      <c r="AB160" s="161"/>
      <c r="AC160" s="161"/>
      <c r="AD160" s="161"/>
      <c r="AE160" s="161"/>
      <c r="AF160" s="161"/>
      <c r="AG160" s="161"/>
      <c r="AH160" s="161"/>
      <c r="AI160" s="161"/>
      <c r="AJ160" s="161"/>
      <c r="AK160" s="161"/>
      <c r="AL160" s="161"/>
      <c r="AM160" s="161"/>
      <c r="AN160" s="161"/>
      <c r="AO160" s="161"/>
      <c r="AP160" s="161"/>
      <c r="AQ160" s="161">
        <f>SUM(AR160:AU160)</f>
      </c>
      <c r="AR160" s="161"/>
      <c r="AS160" s="161"/>
      <c r="AT160" s="161"/>
      <c r="AU160" s="161"/>
      <c r="AV160" s="161">
        <f>SUM(AW160:BH160)</f>
      </c>
      <c r="AW160" s="161"/>
      <c r="AX160" s="161"/>
      <c r="AY160" s="161"/>
      <c r="AZ160" s="161"/>
      <c r="BA160" s="161"/>
      <c r="BB160" s="161"/>
      <c r="BC160" s="161"/>
      <c r="BD160" s="161"/>
      <c r="BE160" s="161"/>
      <c r="BF160" s="161"/>
      <c r="BG160" s="161"/>
      <c r="BH160" s="161"/>
      <c r="BI160" s="161"/>
      <c r="BJ160" s="161"/>
      <c r="BK160" s="161"/>
      <c r="BL160" s="161"/>
      <c r="BM160" s="161"/>
      <c r="BN160" s="161"/>
      <c r="BO160" s="161"/>
      <c r="BP160" s="161"/>
      <c r="BQ160" s="161"/>
      <c r="BR160" s="161"/>
      <c r="BS160" s="161">
        <f>SUM(BT160:BV160)</f>
      </c>
      <c r="BT160" s="161"/>
      <c r="BU160" s="161"/>
      <c r="BV160" s="161"/>
      <c r="BW160" s="161">
        <f>SUM(BX160:CC160)</f>
      </c>
      <c r="BX160" s="161"/>
      <c r="BY160" s="161"/>
      <c r="BZ160" s="161"/>
      <c r="CA160" s="161"/>
      <c r="CB160" s="161"/>
      <c r="CC160" s="161"/>
      <c r="CD160" s="161"/>
      <c r="CE160" s="161"/>
      <c r="CF160" s="161"/>
      <c r="CG160" s="161"/>
      <c r="CH160" s="161"/>
      <c r="CI160" s="161"/>
      <c r="CJ160" s="161">
        <f>SUM(CK160:CM160)</f>
      </c>
      <c r="CK160" s="161"/>
      <c r="CL160" s="161"/>
      <c r="CM160" s="161"/>
      <c r="CN160" s="161">
        <f>SUM(CO160:CS160)</f>
      </c>
      <c r="CO160" s="161"/>
      <c r="CP160" s="161"/>
      <c r="CQ160" s="161"/>
      <c r="CR160" s="161"/>
      <c r="CS160" s="161"/>
      <c r="CT160" s="161"/>
      <c r="CU160" s="161"/>
      <c r="CV160" s="161"/>
      <c r="CW160" s="161"/>
      <c r="CX160" s="161"/>
      <c r="CY160" s="161"/>
      <c r="CZ160" s="161"/>
      <c r="DA160" s="161"/>
      <c r="DB160" s="161"/>
      <c r="DC160" s="161"/>
      <c r="DD160" s="161"/>
      <c r="DE160" s="161"/>
      <c r="DF160" s="161">
        <f>SUM(DG160:DG160)</f>
      </c>
      <c r="DG160" s="161"/>
      <c r="DH160" s="161"/>
      <c r="DI160" s="161"/>
      <c r="DJ160" s="161">
        <f>SUM(DK160:DP160)</f>
      </c>
      <c r="DK160" s="161"/>
      <c r="DL160" s="161"/>
      <c r="DM160" s="161"/>
      <c r="DN160" s="161"/>
      <c r="DO160" s="161"/>
      <c r="DP160" s="161"/>
      <c r="DQ160" s="161"/>
      <c r="DR160" s="161"/>
      <c r="DS160" s="161"/>
      <c r="DT160" s="161"/>
      <c r="DU160" s="161"/>
      <c r="DV160" s="161"/>
      <c r="DW160" s="161"/>
      <c r="DX160" s="161"/>
      <c r="DY160" s="161"/>
      <c r="DZ160" s="161"/>
      <c r="EA160" s="161"/>
      <c r="EB160" s="161"/>
      <c r="EC160" s="161"/>
      <c r="ED160" s="161"/>
      <c r="EE160" s="161"/>
      <c r="EF160" s="161">
        <f>SUM(EG160:EP160)</f>
      </c>
      <c r="EG160" s="161"/>
      <c r="EH160" s="161"/>
      <c r="EI160" s="161"/>
      <c r="EJ160" s="161"/>
      <c r="EK160" s="161"/>
      <c r="EL160" s="161"/>
      <c r="EM160" s="161"/>
      <c r="EN160" s="161"/>
      <c r="EO160" s="161"/>
      <c r="EP160" s="161"/>
      <c r="EQ160" s="161">
        <f>SUM(ER160:ES160)</f>
      </c>
      <c r="ER160" s="161"/>
      <c r="ES160" s="161"/>
      <c r="ET160" s="161"/>
      <c r="EU160" s="161"/>
      <c r="EV160" s="161"/>
      <c r="EW160" s="161"/>
      <c r="EX160" s="161"/>
      <c r="EY160" s="161"/>
      <c r="EZ160" s="161"/>
      <c r="FA160" s="161"/>
      <c r="FB160" s="161"/>
      <c r="FC160" s="161"/>
      <c r="FD160" s="161"/>
      <c r="FE160" s="161"/>
      <c r="FF160" s="161"/>
      <c r="FG160" s="161"/>
      <c r="FH160" s="163" cm="1">
        <f t="array" ref="FH160">ROW()-ROW(Ongoing[#Headers])</f>
        <v>154</v>
      </c>
      <c r="FI160" s="164" t="s">
        <v>768</v>
      </c>
      <c r="FJ160" s="164" t="s">
        <v>755</v>
      </c>
      <c r="FK160" s="164">
        <v>0</v>
      </c>
      <c r="FL160" s="164" t="s">
        <v>769</v>
      </c>
      <c r="FM160" s="164">
        <v>0</v>
      </c>
      <c r="FN160" s="164" t="s">
        <v>770</v>
      </c>
      <c r="FO160" s="164" t="s">
        <v>771</v>
      </c>
      <c r="FP160" s="164" t="s">
        <v>759</v>
      </c>
    </row>
    <row r="161" spans="2:172" s="115" customFormat="1" ht="11.25" x14ac:dyDescent="0.2">
      <c r="B161" s="148"/>
      <c r="C161" s="148"/>
      <c r="D161" s="148"/>
      <c r="E161" s="148"/>
      <c r="F161" s="148"/>
      <c r="G161" s="148"/>
      <c r="H161" s="148"/>
      <c r="I161" s="148"/>
      <c r="J161" s="148"/>
      <c r="K161" s="148"/>
      <c r="L161" s="148"/>
      <c r="M161" s="160"/>
      <c r="N161" s="160"/>
      <c r="O161" s="148"/>
      <c r="P161" s="161">
        <f>SUM(Q161:AP161)</f>
      </c>
      <c r="Q161" s="161"/>
      <c r="R161" s="161"/>
      <c r="S161" s="161"/>
      <c r="T161" s="161"/>
      <c r="U161" s="161"/>
      <c r="V161" s="161"/>
      <c r="W161" s="161"/>
      <c r="X161" s="161"/>
      <c r="Y161" s="161"/>
      <c r="Z161" s="161"/>
      <c r="AA161" s="161"/>
      <c r="AB161" s="161"/>
      <c r="AC161" s="161"/>
      <c r="AD161" s="161"/>
      <c r="AE161" s="161"/>
      <c r="AF161" s="161"/>
      <c r="AG161" s="161"/>
      <c r="AH161" s="161"/>
      <c r="AI161" s="161"/>
      <c r="AJ161" s="161"/>
      <c r="AK161" s="161"/>
      <c r="AL161" s="161"/>
      <c r="AM161" s="161"/>
      <c r="AN161" s="161"/>
      <c r="AO161" s="161"/>
      <c r="AP161" s="161"/>
      <c r="AQ161" s="161">
        <f>SUM(AR161:AU161)</f>
      </c>
      <c r="AR161" s="161"/>
      <c r="AS161" s="161"/>
      <c r="AT161" s="161"/>
      <c r="AU161" s="161"/>
      <c r="AV161" s="161">
        <f>SUM(AW161:BH161)</f>
      </c>
      <c r="AW161" s="161"/>
      <c r="AX161" s="161"/>
      <c r="AY161" s="161"/>
      <c r="AZ161" s="161"/>
      <c r="BA161" s="161"/>
      <c r="BB161" s="161"/>
      <c r="BC161" s="161"/>
      <c r="BD161" s="161"/>
      <c r="BE161" s="161"/>
      <c r="BF161" s="161"/>
      <c r="BG161" s="161"/>
      <c r="BH161" s="161"/>
      <c r="BI161" s="161"/>
      <c r="BJ161" s="161"/>
      <c r="BK161" s="161"/>
      <c r="BL161" s="161"/>
      <c r="BM161" s="161"/>
      <c r="BN161" s="161"/>
      <c r="BO161" s="161"/>
      <c r="BP161" s="161"/>
      <c r="BQ161" s="161"/>
      <c r="BR161" s="161"/>
      <c r="BS161" s="161">
        <f>SUM(BT161:BV161)</f>
      </c>
      <c r="BT161" s="161"/>
      <c r="BU161" s="161"/>
      <c r="BV161" s="161"/>
      <c r="BW161" s="161">
        <f>SUM(BX161:CC161)</f>
      </c>
      <c r="BX161" s="161"/>
      <c r="BY161" s="161"/>
      <c r="BZ161" s="161"/>
      <c r="CA161" s="161"/>
      <c r="CB161" s="161"/>
      <c r="CC161" s="161"/>
      <c r="CD161" s="161"/>
      <c r="CE161" s="161"/>
      <c r="CF161" s="161"/>
      <c r="CG161" s="161"/>
      <c r="CH161" s="161"/>
      <c r="CI161" s="161"/>
      <c r="CJ161" s="161">
        <f>SUM(CK161:CM161)</f>
      </c>
      <c r="CK161" s="161"/>
      <c r="CL161" s="161"/>
      <c r="CM161" s="161"/>
      <c r="CN161" s="161">
        <f>SUM(CO161:CS161)</f>
      </c>
      <c r="CO161" s="161"/>
      <c r="CP161" s="161"/>
      <c r="CQ161" s="161"/>
      <c r="CR161" s="161"/>
      <c r="CS161" s="161"/>
      <c r="CT161" s="161"/>
      <c r="CU161" s="161"/>
      <c r="CV161" s="161"/>
      <c r="CW161" s="161"/>
      <c r="CX161" s="161"/>
      <c r="CY161" s="161"/>
      <c r="CZ161" s="161"/>
      <c r="DA161" s="161"/>
      <c r="DB161" s="161"/>
      <c r="DC161" s="161"/>
      <c r="DD161" s="161"/>
      <c r="DE161" s="161"/>
      <c r="DF161" s="161">
        <f>SUM(DG161:DG161)</f>
      </c>
      <c r="DG161" s="161"/>
      <c r="DH161" s="161"/>
      <c r="DI161" s="161"/>
      <c r="DJ161" s="161">
        <f>SUM(DK161:DP161)</f>
      </c>
      <c r="DK161" s="161"/>
      <c r="DL161" s="161"/>
      <c r="DM161" s="161"/>
      <c r="DN161" s="161"/>
      <c r="DO161" s="161"/>
      <c r="DP161" s="161"/>
      <c r="DQ161" s="161"/>
      <c r="DR161" s="161"/>
      <c r="DS161" s="161"/>
      <c r="DT161" s="161"/>
      <c r="DU161" s="161"/>
      <c r="DV161" s="161"/>
      <c r="DW161" s="161"/>
      <c r="DX161" s="161"/>
      <c r="DY161" s="161"/>
      <c r="DZ161" s="161"/>
      <c r="EA161" s="161"/>
      <c r="EB161" s="161"/>
      <c r="EC161" s="161"/>
      <c r="ED161" s="161"/>
      <c r="EE161" s="161"/>
      <c r="EF161" s="161">
        <f>SUM(EG161:EP161)</f>
      </c>
      <c r="EG161" s="161"/>
      <c r="EH161" s="161"/>
      <c r="EI161" s="161"/>
      <c r="EJ161" s="161"/>
      <c r="EK161" s="161"/>
      <c r="EL161" s="161"/>
      <c r="EM161" s="161"/>
      <c r="EN161" s="161"/>
      <c r="EO161" s="161"/>
      <c r="EP161" s="161"/>
      <c r="EQ161" s="161">
        <f>SUM(ER161:ES161)</f>
      </c>
      <c r="ER161" s="161"/>
      <c r="ES161" s="161"/>
      <c r="ET161" s="161"/>
      <c r="EU161" s="161"/>
      <c r="EV161" s="161"/>
      <c r="EW161" s="161"/>
      <c r="EX161" s="161"/>
      <c r="EY161" s="161"/>
      <c r="EZ161" s="161"/>
      <c r="FA161" s="161"/>
      <c r="FB161" s="161"/>
      <c r="FC161" s="161"/>
      <c r="FD161" s="161"/>
      <c r="FE161" s="161"/>
      <c r="FF161" s="161"/>
      <c r="FG161" s="161"/>
      <c r="FH161" s="163" cm="1">
        <f t="array" ref="FH161">ROW()-ROW(Ongoing[#Headers])</f>
        <v>155</v>
      </c>
      <c r="FI161" s="164" t="s">
        <v>768</v>
      </c>
      <c r="FJ161" s="164" t="s">
        <v>755</v>
      </c>
      <c r="FK161" s="164">
        <v>0</v>
      </c>
      <c r="FL161" s="164" t="s">
        <v>769</v>
      </c>
      <c r="FM161" s="164">
        <v>0</v>
      </c>
      <c r="FN161" s="164" t="s">
        <v>770</v>
      </c>
      <c r="FO161" s="164" t="s">
        <v>771</v>
      </c>
      <c r="FP161" s="164" t="s">
        <v>759</v>
      </c>
    </row>
    <row r="162" spans="2:172" s="115" customFormat="1" ht="11.25" x14ac:dyDescent="0.2">
      <c r="B162" s="148"/>
      <c r="C162" s="148"/>
      <c r="D162" s="148"/>
      <c r="E162" s="148"/>
      <c r="F162" s="148"/>
      <c r="G162" s="148"/>
      <c r="H162" s="148"/>
      <c r="I162" s="148"/>
      <c r="J162" s="148"/>
      <c r="K162" s="148"/>
      <c r="L162" s="148"/>
      <c r="M162" s="160"/>
      <c r="N162" s="160"/>
      <c r="O162" s="148"/>
      <c r="P162" s="161">
        <f>SUM(Q162:AP162)</f>
      </c>
      <c r="Q162" s="161"/>
      <c r="R162" s="161"/>
      <c r="S162" s="161"/>
      <c r="T162" s="161"/>
      <c r="U162" s="161"/>
      <c r="V162" s="161"/>
      <c r="W162" s="161"/>
      <c r="X162" s="161"/>
      <c r="Y162" s="161"/>
      <c r="Z162" s="161"/>
      <c r="AA162" s="161"/>
      <c r="AB162" s="161"/>
      <c r="AC162" s="161"/>
      <c r="AD162" s="161"/>
      <c r="AE162" s="161"/>
      <c r="AF162" s="161"/>
      <c r="AG162" s="161"/>
      <c r="AH162" s="161"/>
      <c r="AI162" s="161"/>
      <c r="AJ162" s="161"/>
      <c r="AK162" s="161"/>
      <c r="AL162" s="161"/>
      <c r="AM162" s="161"/>
      <c r="AN162" s="161"/>
      <c r="AO162" s="161"/>
      <c r="AP162" s="161"/>
      <c r="AQ162" s="161">
        <f>SUM(AR162:AU162)</f>
      </c>
      <c r="AR162" s="161"/>
      <c r="AS162" s="161"/>
      <c r="AT162" s="161"/>
      <c r="AU162" s="161"/>
      <c r="AV162" s="161">
        <f>SUM(AW162:BH162)</f>
      </c>
      <c r="AW162" s="161"/>
      <c r="AX162" s="161"/>
      <c r="AY162" s="161"/>
      <c r="AZ162" s="161"/>
      <c r="BA162" s="161"/>
      <c r="BB162" s="161"/>
      <c r="BC162" s="161"/>
      <c r="BD162" s="161"/>
      <c r="BE162" s="161"/>
      <c r="BF162" s="161"/>
      <c r="BG162" s="161"/>
      <c r="BH162" s="161"/>
      <c r="BI162" s="161"/>
      <c r="BJ162" s="161"/>
      <c r="BK162" s="161"/>
      <c r="BL162" s="161"/>
      <c r="BM162" s="161"/>
      <c r="BN162" s="161"/>
      <c r="BO162" s="161"/>
      <c r="BP162" s="161"/>
      <c r="BQ162" s="161"/>
      <c r="BR162" s="161"/>
      <c r="BS162" s="161">
        <f>SUM(BT162:BV162)</f>
      </c>
      <c r="BT162" s="161"/>
      <c r="BU162" s="161"/>
      <c r="BV162" s="161"/>
      <c r="BW162" s="161">
        <f>SUM(BX162:CC162)</f>
      </c>
      <c r="BX162" s="161"/>
      <c r="BY162" s="161"/>
      <c r="BZ162" s="161"/>
      <c r="CA162" s="161"/>
      <c r="CB162" s="161"/>
      <c r="CC162" s="161"/>
      <c r="CD162" s="161"/>
      <c r="CE162" s="161"/>
      <c r="CF162" s="161"/>
      <c r="CG162" s="161"/>
      <c r="CH162" s="161"/>
      <c r="CI162" s="161"/>
      <c r="CJ162" s="161">
        <f>SUM(CK162:CM162)</f>
      </c>
      <c r="CK162" s="161"/>
      <c r="CL162" s="161"/>
      <c r="CM162" s="161"/>
      <c r="CN162" s="161">
        <f>SUM(CO162:CS162)</f>
      </c>
      <c r="CO162" s="161"/>
      <c r="CP162" s="161"/>
      <c r="CQ162" s="161"/>
      <c r="CR162" s="161"/>
      <c r="CS162" s="161"/>
      <c r="CT162" s="161"/>
      <c r="CU162" s="161"/>
      <c r="CV162" s="161"/>
      <c r="CW162" s="161"/>
      <c r="CX162" s="161"/>
      <c r="CY162" s="161"/>
      <c r="CZ162" s="161"/>
      <c r="DA162" s="161"/>
      <c r="DB162" s="161"/>
      <c r="DC162" s="161"/>
      <c r="DD162" s="161"/>
      <c r="DE162" s="161"/>
      <c r="DF162" s="161">
        <f>SUM(DG162:DG162)</f>
      </c>
      <c r="DG162" s="161"/>
      <c r="DH162" s="161"/>
      <c r="DI162" s="161"/>
      <c r="DJ162" s="161">
        <f>SUM(DK162:DP162)</f>
      </c>
      <c r="DK162" s="161"/>
      <c r="DL162" s="161"/>
      <c r="DM162" s="161"/>
      <c r="DN162" s="161"/>
      <c r="DO162" s="161"/>
      <c r="DP162" s="161"/>
      <c r="DQ162" s="161"/>
      <c r="DR162" s="161"/>
      <c r="DS162" s="161"/>
      <c r="DT162" s="161"/>
      <c r="DU162" s="161"/>
      <c r="DV162" s="161"/>
      <c r="DW162" s="161"/>
      <c r="DX162" s="161"/>
      <c r="DY162" s="161"/>
      <c r="DZ162" s="161"/>
      <c r="EA162" s="161"/>
      <c r="EB162" s="161"/>
      <c r="EC162" s="161"/>
      <c r="ED162" s="161"/>
      <c r="EE162" s="161"/>
      <c r="EF162" s="161">
        <f>SUM(EG162:EP162)</f>
      </c>
      <c r="EG162" s="161"/>
      <c r="EH162" s="161"/>
      <c r="EI162" s="161"/>
      <c r="EJ162" s="161"/>
      <c r="EK162" s="161"/>
      <c r="EL162" s="161"/>
      <c r="EM162" s="161"/>
      <c r="EN162" s="161"/>
      <c r="EO162" s="161"/>
      <c r="EP162" s="161"/>
      <c r="EQ162" s="161">
        <f>SUM(ER162:ES162)</f>
      </c>
      <c r="ER162" s="161"/>
      <c r="ES162" s="161"/>
      <c r="ET162" s="161"/>
      <c r="EU162" s="161"/>
      <c r="EV162" s="161"/>
      <c r="EW162" s="161"/>
      <c r="EX162" s="161"/>
      <c r="EY162" s="161"/>
      <c r="EZ162" s="161"/>
      <c r="FA162" s="161"/>
      <c r="FB162" s="161"/>
      <c r="FC162" s="161"/>
      <c r="FD162" s="161"/>
      <c r="FE162" s="161"/>
      <c r="FF162" s="161"/>
      <c r="FG162" s="161"/>
      <c r="FH162" s="163" cm="1">
        <f t="array" ref="FH162">ROW()-ROW(Ongoing[#Headers])</f>
        <v>156</v>
      </c>
      <c r="FI162" s="164" t="s">
        <v>768</v>
      </c>
      <c r="FJ162" s="164" t="s">
        <v>755</v>
      </c>
      <c r="FK162" s="164">
        <v>0</v>
      </c>
      <c r="FL162" s="164" t="s">
        <v>769</v>
      </c>
      <c r="FM162" s="164">
        <v>0</v>
      </c>
      <c r="FN162" s="164" t="s">
        <v>770</v>
      </c>
      <c r="FO162" s="164" t="s">
        <v>771</v>
      </c>
      <c r="FP162" s="164" t="s">
        <v>759</v>
      </c>
    </row>
    <row r="163" spans="2:172" s="115" customFormat="1" ht="11.25" x14ac:dyDescent="0.2">
      <c r="B163" s="148"/>
      <c r="C163" s="148"/>
      <c r="D163" s="148"/>
      <c r="E163" s="148"/>
      <c r="F163" s="148"/>
      <c r="G163" s="148"/>
      <c r="H163" s="148"/>
      <c r="I163" s="148"/>
      <c r="J163" s="148"/>
      <c r="K163" s="148"/>
      <c r="L163" s="148"/>
      <c r="M163" s="160"/>
      <c r="N163" s="160"/>
      <c r="O163" s="148"/>
      <c r="P163" s="161">
        <f>SUM(Q163:AP163)</f>
      </c>
      <c r="Q163" s="161"/>
      <c r="R163" s="161"/>
      <c r="S163" s="161"/>
      <c r="T163" s="161"/>
      <c r="U163" s="161"/>
      <c r="V163" s="161"/>
      <c r="W163" s="161"/>
      <c r="X163" s="161"/>
      <c r="Y163" s="161"/>
      <c r="Z163" s="161"/>
      <c r="AA163" s="161"/>
      <c r="AB163" s="161"/>
      <c r="AC163" s="161"/>
      <c r="AD163" s="161"/>
      <c r="AE163" s="161"/>
      <c r="AF163" s="161"/>
      <c r="AG163" s="161"/>
      <c r="AH163" s="161"/>
      <c r="AI163" s="161"/>
      <c r="AJ163" s="161"/>
      <c r="AK163" s="161"/>
      <c r="AL163" s="161"/>
      <c r="AM163" s="161"/>
      <c r="AN163" s="161"/>
      <c r="AO163" s="161"/>
      <c r="AP163" s="161"/>
      <c r="AQ163" s="161">
        <f>SUM(AR163:AU163)</f>
      </c>
      <c r="AR163" s="161"/>
      <c r="AS163" s="161"/>
      <c r="AT163" s="161"/>
      <c r="AU163" s="161"/>
      <c r="AV163" s="161">
        <f>SUM(AW163:BH163)</f>
      </c>
      <c r="AW163" s="161"/>
      <c r="AX163" s="161"/>
      <c r="AY163" s="161"/>
      <c r="AZ163" s="161"/>
      <c r="BA163" s="161"/>
      <c r="BB163" s="161"/>
      <c r="BC163" s="161"/>
      <c r="BD163" s="161"/>
      <c r="BE163" s="161"/>
      <c r="BF163" s="161"/>
      <c r="BG163" s="161"/>
      <c r="BH163" s="161"/>
      <c r="BI163" s="161"/>
      <c r="BJ163" s="161"/>
      <c r="BK163" s="161"/>
      <c r="BL163" s="161"/>
      <c r="BM163" s="161"/>
      <c r="BN163" s="161"/>
      <c r="BO163" s="161"/>
      <c r="BP163" s="161"/>
      <c r="BQ163" s="161"/>
      <c r="BR163" s="161"/>
      <c r="BS163" s="161">
        <f>SUM(BT163:BV163)</f>
      </c>
      <c r="BT163" s="161"/>
      <c r="BU163" s="161"/>
      <c r="BV163" s="161"/>
      <c r="BW163" s="161">
        <f>SUM(BX163:CC163)</f>
      </c>
      <c r="BX163" s="161"/>
      <c r="BY163" s="161"/>
      <c r="BZ163" s="161"/>
      <c r="CA163" s="161"/>
      <c r="CB163" s="161"/>
      <c r="CC163" s="161"/>
      <c r="CD163" s="161"/>
      <c r="CE163" s="161"/>
      <c r="CF163" s="161"/>
      <c r="CG163" s="161"/>
      <c r="CH163" s="161"/>
      <c r="CI163" s="161"/>
      <c r="CJ163" s="161">
        <f>SUM(CK163:CM163)</f>
      </c>
      <c r="CK163" s="161"/>
      <c r="CL163" s="161"/>
      <c r="CM163" s="161"/>
      <c r="CN163" s="161">
        <f>SUM(CO163:CS163)</f>
      </c>
      <c r="CO163" s="161"/>
      <c r="CP163" s="161"/>
      <c r="CQ163" s="161"/>
      <c r="CR163" s="161"/>
      <c r="CS163" s="161"/>
      <c r="CT163" s="161"/>
      <c r="CU163" s="161"/>
      <c r="CV163" s="161"/>
      <c r="CW163" s="161"/>
      <c r="CX163" s="161"/>
      <c r="CY163" s="161"/>
      <c r="CZ163" s="161"/>
      <c r="DA163" s="161"/>
      <c r="DB163" s="161"/>
      <c r="DC163" s="161"/>
      <c r="DD163" s="161"/>
      <c r="DE163" s="161"/>
      <c r="DF163" s="161">
        <f>SUM(DG163:DG163)</f>
      </c>
      <c r="DG163" s="161"/>
      <c r="DH163" s="161"/>
      <c r="DI163" s="161"/>
      <c r="DJ163" s="161">
        <f>SUM(DK163:DP163)</f>
      </c>
      <c r="DK163" s="161"/>
      <c r="DL163" s="161"/>
      <c r="DM163" s="161"/>
      <c r="DN163" s="161"/>
      <c r="DO163" s="161"/>
      <c r="DP163" s="161"/>
      <c r="DQ163" s="161"/>
      <c r="DR163" s="161"/>
      <c r="DS163" s="161"/>
      <c r="DT163" s="161"/>
      <c r="DU163" s="161"/>
      <c r="DV163" s="161"/>
      <c r="DW163" s="161"/>
      <c r="DX163" s="161"/>
      <c r="DY163" s="161"/>
      <c r="DZ163" s="161"/>
      <c r="EA163" s="161"/>
      <c r="EB163" s="161"/>
      <c r="EC163" s="161"/>
      <c r="ED163" s="161"/>
      <c r="EE163" s="161"/>
      <c r="EF163" s="161">
        <f>SUM(EG163:EP163)</f>
      </c>
      <c r="EG163" s="161"/>
      <c r="EH163" s="161"/>
      <c r="EI163" s="161"/>
      <c r="EJ163" s="161"/>
      <c r="EK163" s="161"/>
      <c r="EL163" s="161"/>
      <c r="EM163" s="161"/>
      <c r="EN163" s="161"/>
      <c r="EO163" s="161"/>
      <c r="EP163" s="161"/>
      <c r="EQ163" s="161">
        <f>SUM(ER163:ES163)</f>
      </c>
      <c r="ER163" s="161"/>
      <c r="ES163" s="161"/>
      <c r="ET163" s="161"/>
      <c r="EU163" s="161"/>
      <c r="EV163" s="161"/>
      <c r="EW163" s="161"/>
      <c r="EX163" s="161"/>
      <c r="EY163" s="161"/>
      <c r="EZ163" s="161"/>
      <c r="FA163" s="161"/>
      <c r="FB163" s="161"/>
      <c r="FC163" s="161"/>
      <c r="FD163" s="161"/>
      <c r="FE163" s="161"/>
      <c r="FF163" s="161"/>
      <c r="FG163" s="161"/>
      <c r="FH163" s="163" cm="1">
        <f t="array" ref="FH163">ROW()-ROW(Ongoing[#Headers])</f>
        <v>157</v>
      </c>
      <c r="FI163" s="164" t="s">
        <v>768</v>
      </c>
      <c r="FJ163" s="164" t="s">
        <v>755</v>
      </c>
      <c r="FK163" s="164">
        <v>0</v>
      </c>
      <c r="FL163" s="164" t="s">
        <v>769</v>
      </c>
      <c r="FM163" s="164">
        <v>0</v>
      </c>
      <c r="FN163" s="164" t="s">
        <v>770</v>
      </c>
      <c r="FO163" s="164" t="s">
        <v>771</v>
      </c>
      <c r="FP163" s="164" t="s">
        <v>759</v>
      </c>
    </row>
    <row r="164" spans="2:172" s="115" customFormat="1" ht="11.25" x14ac:dyDescent="0.2">
      <c r="B164" s="148"/>
      <c r="C164" s="148"/>
      <c r="D164" s="148"/>
      <c r="E164" s="148"/>
      <c r="F164" s="148"/>
      <c r="G164" s="148"/>
      <c r="H164" s="148"/>
      <c r="I164" s="148"/>
      <c r="J164" s="148"/>
      <c r="K164" s="148"/>
      <c r="L164" s="148"/>
      <c r="M164" s="160"/>
      <c r="N164" s="160"/>
      <c r="O164" s="148"/>
      <c r="P164" s="161">
        <f>SUM(Q164:AP164)</f>
      </c>
      <c r="Q164" s="161"/>
      <c r="R164" s="161"/>
      <c r="S164" s="161"/>
      <c r="T164" s="161"/>
      <c r="U164" s="161"/>
      <c r="V164" s="161"/>
      <c r="W164" s="161"/>
      <c r="X164" s="161"/>
      <c r="Y164" s="161"/>
      <c r="Z164" s="161"/>
      <c r="AA164" s="161"/>
      <c r="AB164" s="161"/>
      <c r="AC164" s="161"/>
      <c r="AD164" s="161"/>
      <c r="AE164" s="161"/>
      <c r="AF164" s="161"/>
      <c r="AG164" s="161"/>
      <c r="AH164" s="161"/>
      <c r="AI164" s="161"/>
      <c r="AJ164" s="161"/>
      <c r="AK164" s="161"/>
      <c r="AL164" s="161"/>
      <c r="AM164" s="161"/>
      <c r="AN164" s="161"/>
      <c r="AO164" s="161"/>
      <c r="AP164" s="161"/>
      <c r="AQ164" s="161">
        <f>SUM(AR164:AU164)</f>
      </c>
      <c r="AR164" s="161"/>
      <c r="AS164" s="161"/>
      <c r="AT164" s="161"/>
      <c r="AU164" s="161"/>
      <c r="AV164" s="161">
        <f>SUM(AW164:BH164)</f>
      </c>
      <c r="AW164" s="161"/>
      <c r="AX164" s="161"/>
      <c r="AY164" s="161"/>
      <c r="AZ164" s="161"/>
      <c r="BA164" s="161"/>
      <c r="BB164" s="161"/>
      <c r="BC164" s="161"/>
      <c r="BD164" s="161"/>
      <c r="BE164" s="161"/>
      <c r="BF164" s="161"/>
      <c r="BG164" s="161"/>
      <c r="BH164" s="161"/>
      <c r="BI164" s="161"/>
      <c r="BJ164" s="161"/>
      <c r="BK164" s="161"/>
      <c r="BL164" s="161"/>
      <c r="BM164" s="161"/>
      <c r="BN164" s="161"/>
      <c r="BO164" s="161"/>
      <c r="BP164" s="161"/>
      <c r="BQ164" s="161"/>
      <c r="BR164" s="161"/>
      <c r="BS164" s="161">
        <f>SUM(BT164:BV164)</f>
      </c>
      <c r="BT164" s="161"/>
      <c r="BU164" s="161"/>
      <c r="BV164" s="161"/>
      <c r="BW164" s="161">
        <f>SUM(BX164:CC164)</f>
      </c>
      <c r="BX164" s="161"/>
      <c r="BY164" s="161"/>
      <c r="BZ164" s="161"/>
      <c r="CA164" s="161"/>
      <c r="CB164" s="161"/>
      <c r="CC164" s="161"/>
      <c r="CD164" s="161"/>
      <c r="CE164" s="161"/>
      <c r="CF164" s="161"/>
      <c r="CG164" s="161"/>
      <c r="CH164" s="161"/>
      <c r="CI164" s="161"/>
      <c r="CJ164" s="161">
        <f>SUM(CK164:CM164)</f>
      </c>
      <c r="CK164" s="161"/>
      <c r="CL164" s="161"/>
      <c r="CM164" s="161"/>
      <c r="CN164" s="161">
        <f>SUM(CO164:CS164)</f>
      </c>
      <c r="CO164" s="161"/>
      <c r="CP164" s="161"/>
      <c r="CQ164" s="161"/>
      <c r="CR164" s="161"/>
      <c r="CS164" s="161"/>
      <c r="CT164" s="161"/>
      <c r="CU164" s="161"/>
      <c r="CV164" s="161"/>
      <c r="CW164" s="161"/>
      <c r="CX164" s="161"/>
      <c r="CY164" s="161"/>
      <c r="CZ164" s="161"/>
      <c r="DA164" s="161"/>
      <c r="DB164" s="161"/>
      <c r="DC164" s="161"/>
      <c r="DD164" s="161"/>
      <c r="DE164" s="161"/>
      <c r="DF164" s="161">
        <f>SUM(DG164:DG164)</f>
      </c>
      <c r="DG164" s="161"/>
      <c r="DH164" s="161"/>
      <c r="DI164" s="161"/>
      <c r="DJ164" s="161">
        <f>SUM(DK164:DP164)</f>
      </c>
      <c r="DK164" s="161"/>
      <c r="DL164" s="161"/>
      <c r="DM164" s="161"/>
      <c r="DN164" s="161"/>
      <c r="DO164" s="161"/>
      <c r="DP164" s="161"/>
      <c r="DQ164" s="161"/>
      <c r="DR164" s="161"/>
      <c r="DS164" s="161"/>
      <c r="DT164" s="161"/>
      <c r="DU164" s="161"/>
      <c r="DV164" s="161"/>
      <c r="DW164" s="161"/>
      <c r="DX164" s="161"/>
      <c r="DY164" s="161"/>
      <c r="DZ164" s="161"/>
      <c r="EA164" s="161"/>
      <c r="EB164" s="161"/>
      <c r="EC164" s="161"/>
      <c r="ED164" s="161"/>
      <c r="EE164" s="161"/>
      <c r="EF164" s="161">
        <f>SUM(EG164:EP164)</f>
      </c>
      <c r="EG164" s="161"/>
      <c r="EH164" s="161"/>
      <c r="EI164" s="161"/>
      <c r="EJ164" s="161"/>
      <c r="EK164" s="161"/>
      <c r="EL164" s="161"/>
      <c r="EM164" s="161"/>
      <c r="EN164" s="161"/>
      <c r="EO164" s="161"/>
      <c r="EP164" s="161"/>
      <c r="EQ164" s="161">
        <f>SUM(ER164:ES164)</f>
      </c>
      <c r="ER164" s="161"/>
      <c r="ES164" s="161"/>
      <c r="ET164" s="161"/>
      <c r="EU164" s="161"/>
      <c r="EV164" s="161"/>
      <c r="EW164" s="161"/>
      <c r="EX164" s="161"/>
      <c r="EY164" s="161"/>
      <c r="EZ164" s="161"/>
      <c r="FA164" s="161"/>
      <c r="FB164" s="161"/>
      <c r="FC164" s="161"/>
      <c r="FD164" s="161"/>
      <c r="FE164" s="161"/>
      <c r="FF164" s="161"/>
      <c r="FG164" s="161"/>
      <c r="FH164" s="163" cm="1">
        <f t="array" ref="FH164">ROW()-ROW(Ongoing[#Headers])</f>
        <v>158</v>
      </c>
      <c r="FI164" s="164" t="s">
        <v>754</v>
      </c>
      <c r="FJ164" s="164" t="s">
        <v>737</v>
      </c>
      <c r="FK164" s="164">
        <v>0</v>
      </c>
      <c r="FL164" s="164" t="s">
        <v>756</v>
      </c>
      <c r="FM164" s="164">
        <v>0</v>
      </c>
      <c r="FN164" s="164" t="s">
        <v>757</v>
      </c>
      <c r="FO164" s="164" t="s">
        <v>758</v>
      </c>
      <c r="FP164" s="164" t="s">
        <v>759</v>
      </c>
    </row>
    <row r="165" spans="2:172" s="115" customFormat="1" ht="11.25" x14ac:dyDescent="0.2">
      <c r="B165" s="148"/>
      <c r="C165" s="148"/>
      <c r="D165" s="148"/>
      <c r="E165" s="148"/>
      <c r="F165" s="148"/>
      <c r="G165" s="148"/>
      <c r="H165" s="148"/>
      <c r="I165" s="148"/>
      <c r="J165" s="148"/>
      <c r="K165" s="148"/>
      <c r="L165" s="148"/>
      <c r="M165" s="160"/>
      <c r="N165" s="160"/>
      <c r="O165" s="148"/>
      <c r="P165" s="161">
        <f>SUM(Q165:AP165)</f>
      </c>
      <c r="Q165" s="161"/>
      <c r="R165" s="161"/>
      <c r="S165" s="161"/>
      <c r="T165" s="161"/>
      <c r="U165" s="161"/>
      <c r="V165" s="161"/>
      <c r="W165" s="161"/>
      <c r="X165" s="161"/>
      <c r="Y165" s="161"/>
      <c r="Z165" s="161"/>
      <c r="AA165" s="161"/>
      <c r="AB165" s="161"/>
      <c r="AC165" s="161"/>
      <c r="AD165" s="161"/>
      <c r="AE165" s="161"/>
      <c r="AF165" s="161"/>
      <c r="AG165" s="161"/>
      <c r="AH165" s="161"/>
      <c r="AI165" s="161"/>
      <c r="AJ165" s="161"/>
      <c r="AK165" s="161"/>
      <c r="AL165" s="161"/>
      <c r="AM165" s="161"/>
      <c r="AN165" s="161"/>
      <c r="AO165" s="161"/>
      <c r="AP165" s="161"/>
      <c r="AQ165" s="161">
        <f>SUM(AR165:AU165)</f>
      </c>
      <c r="AR165" s="161"/>
      <c r="AS165" s="161"/>
      <c r="AT165" s="161"/>
      <c r="AU165" s="161"/>
      <c r="AV165" s="161">
        <f>SUM(AW165:BH165)</f>
      </c>
      <c r="AW165" s="161"/>
      <c r="AX165" s="161"/>
      <c r="AY165" s="161"/>
      <c r="AZ165" s="161"/>
      <c r="BA165" s="161"/>
      <c r="BB165" s="161"/>
      <c r="BC165" s="161"/>
      <c r="BD165" s="161"/>
      <c r="BE165" s="161"/>
      <c r="BF165" s="161"/>
      <c r="BG165" s="161"/>
      <c r="BH165" s="161"/>
      <c r="BI165" s="161"/>
      <c r="BJ165" s="161"/>
      <c r="BK165" s="161"/>
      <c r="BL165" s="161"/>
      <c r="BM165" s="161"/>
      <c r="BN165" s="161"/>
      <c r="BO165" s="161"/>
      <c r="BP165" s="161"/>
      <c r="BQ165" s="161"/>
      <c r="BR165" s="161"/>
      <c r="BS165" s="161">
        <f>SUM(BT165:BV165)</f>
      </c>
      <c r="BT165" s="161"/>
      <c r="BU165" s="161"/>
      <c r="BV165" s="161"/>
      <c r="BW165" s="161">
        <f>SUM(BX165:CC165)</f>
      </c>
      <c r="BX165" s="161"/>
      <c r="BY165" s="161"/>
      <c r="BZ165" s="161"/>
      <c r="CA165" s="161"/>
      <c r="CB165" s="161"/>
      <c r="CC165" s="161"/>
      <c r="CD165" s="161"/>
      <c r="CE165" s="161"/>
      <c r="CF165" s="161"/>
      <c r="CG165" s="161"/>
      <c r="CH165" s="161"/>
      <c r="CI165" s="161"/>
      <c r="CJ165" s="161">
        <f>SUM(CK165:CM165)</f>
      </c>
      <c r="CK165" s="161"/>
      <c r="CL165" s="161"/>
      <c r="CM165" s="161"/>
      <c r="CN165" s="161">
        <f>SUM(CO165:CS165)</f>
      </c>
      <c r="CO165" s="161"/>
      <c r="CP165" s="161"/>
      <c r="CQ165" s="161"/>
      <c r="CR165" s="161"/>
      <c r="CS165" s="161"/>
      <c r="CT165" s="161"/>
      <c r="CU165" s="161"/>
      <c r="CV165" s="161"/>
      <c r="CW165" s="161"/>
      <c r="CX165" s="161"/>
      <c r="CY165" s="161"/>
      <c r="CZ165" s="161"/>
      <c r="DA165" s="161"/>
      <c r="DB165" s="161"/>
      <c r="DC165" s="161"/>
      <c r="DD165" s="161"/>
      <c r="DE165" s="161"/>
      <c r="DF165" s="161">
        <f>SUM(DG165:DG165)</f>
      </c>
      <c r="DG165" s="161"/>
      <c r="DH165" s="161"/>
      <c r="DI165" s="161"/>
      <c r="DJ165" s="161">
        <f>SUM(DK165:DP165)</f>
      </c>
      <c r="DK165" s="161"/>
      <c r="DL165" s="161"/>
      <c r="DM165" s="161"/>
      <c r="DN165" s="161"/>
      <c r="DO165" s="161"/>
      <c r="DP165" s="161"/>
      <c r="DQ165" s="161"/>
      <c r="DR165" s="161"/>
      <c r="DS165" s="161"/>
      <c r="DT165" s="161"/>
      <c r="DU165" s="161"/>
      <c r="DV165" s="161"/>
      <c r="DW165" s="161"/>
      <c r="DX165" s="161"/>
      <c r="DY165" s="161"/>
      <c r="DZ165" s="161"/>
      <c r="EA165" s="161"/>
      <c r="EB165" s="161"/>
      <c r="EC165" s="161"/>
      <c r="ED165" s="161"/>
      <c r="EE165" s="161"/>
      <c r="EF165" s="161">
        <f>SUM(EG165:EP165)</f>
      </c>
      <c r="EG165" s="161"/>
      <c r="EH165" s="161"/>
      <c r="EI165" s="161"/>
      <c r="EJ165" s="161"/>
      <c r="EK165" s="161"/>
      <c r="EL165" s="161"/>
      <c r="EM165" s="161"/>
      <c r="EN165" s="161"/>
      <c r="EO165" s="161"/>
      <c r="EP165" s="161"/>
      <c r="EQ165" s="161">
        <f>SUM(ER165:ES165)</f>
      </c>
      <c r="ER165" s="161"/>
      <c r="ES165" s="161"/>
      <c r="ET165" s="161"/>
      <c r="EU165" s="161"/>
      <c r="EV165" s="161"/>
      <c r="EW165" s="161"/>
      <c r="EX165" s="161"/>
      <c r="EY165" s="161"/>
      <c r="EZ165" s="161"/>
      <c r="FA165" s="161"/>
      <c r="FB165" s="161"/>
      <c r="FC165" s="161"/>
      <c r="FD165" s="161"/>
      <c r="FE165" s="161"/>
      <c r="FF165" s="161"/>
      <c r="FG165" s="161"/>
      <c r="FH165" s="163" cm="1">
        <f t="array" ref="FH165">ROW()-ROW(Ongoing[#Headers])</f>
        <v>159</v>
      </c>
      <c r="FI165" s="164"/>
      <c r="FJ165" s="164"/>
      <c r="FK165" s="164"/>
      <c r="FL165" s="164"/>
      <c r="FM165" s="164"/>
      <c r="FN165" s="164"/>
      <c r="FO165" s="164"/>
      <c r="FP165" s="164"/>
    </row>
    <row r="166" spans="2:172" s="115" customFormat="1" ht="11.25" x14ac:dyDescent="0.2">
      <c r="B166" s="148"/>
      <c r="C166" s="148"/>
      <c r="D166" s="148"/>
      <c r="E166" s="148"/>
      <c r="F166" s="148"/>
      <c r="G166" s="148"/>
      <c r="H166" s="148"/>
      <c r="I166" s="148"/>
      <c r="J166" s="148"/>
      <c r="K166" s="148"/>
      <c r="L166" s="148"/>
      <c r="M166" s="160"/>
      <c r="N166" s="160"/>
      <c r="O166" s="148"/>
      <c r="P166" s="161">
        <f>SUM(Q166:AP166)</f>
      </c>
      <c r="Q166" s="161"/>
      <c r="R166" s="161"/>
      <c r="S166" s="161"/>
      <c r="T166" s="161"/>
      <c r="U166" s="161"/>
      <c r="V166" s="161"/>
      <c r="W166" s="161"/>
      <c r="X166" s="161"/>
      <c r="Y166" s="161"/>
      <c r="Z166" s="161"/>
      <c r="AA166" s="161"/>
      <c r="AB166" s="161"/>
      <c r="AC166" s="161"/>
      <c r="AD166" s="161"/>
      <c r="AE166" s="161"/>
      <c r="AF166" s="161"/>
      <c r="AG166" s="161"/>
      <c r="AH166" s="161"/>
      <c r="AI166" s="161"/>
      <c r="AJ166" s="161"/>
      <c r="AK166" s="161"/>
      <c r="AL166" s="161"/>
      <c r="AM166" s="161"/>
      <c r="AN166" s="161"/>
      <c r="AO166" s="161"/>
      <c r="AP166" s="161"/>
      <c r="AQ166" s="161">
        <f>SUM(AR166:AU166)</f>
      </c>
      <c r="AR166" s="161"/>
      <c r="AS166" s="161"/>
      <c r="AT166" s="161"/>
      <c r="AU166" s="161"/>
      <c r="AV166" s="161">
        <f>SUM(AW166:BH166)</f>
      </c>
      <c r="AW166" s="161"/>
      <c r="AX166" s="161"/>
      <c r="AY166" s="161"/>
      <c r="AZ166" s="161"/>
      <c r="BA166" s="161"/>
      <c r="BB166" s="161"/>
      <c r="BC166" s="161"/>
      <c r="BD166" s="161"/>
      <c r="BE166" s="161"/>
      <c r="BF166" s="161"/>
      <c r="BG166" s="161"/>
      <c r="BH166" s="161"/>
      <c r="BI166" s="161"/>
      <c r="BJ166" s="161"/>
      <c r="BK166" s="161"/>
      <c r="BL166" s="161"/>
      <c r="BM166" s="161"/>
      <c r="BN166" s="161"/>
      <c r="BO166" s="161"/>
      <c r="BP166" s="161"/>
      <c r="BQ166" s="161"/>
      <c r="BR166" s="161"/>
      <c r="BS166" s="161">
        <f>SUM(BT166:BV166)</f>
      </c>
      <c r="BT166" s="161"/>
      <c r="BU166" s="161"/>
      <c r="BV166" s="161"/>
      <c r="BW166" s="161">
        <f>SUM(BX166:CC166)</f>
      </c>
      <c r="BX166" s="161"/>
      <c r="BY166" s="161"/>
      <c r="BZ166" s="161"/>
      <c r="CA166" s="161"/>
      <c r="CB166" s="161"/>
      <c r="CC166" s="161"/>
      <c r="CD166" s="161"/>
      <c r="CE166" s="161"/>
      <c r="CF166" s="161"/>
      <c r="CG166" s="161"/>
      <c r="CH166" s="161"/>
      <c r="CI166" s="161"/>
      <c r="CJ166" s="161">
        <f>SUM(CK166:CM166)</f>
      </c>
      <c r="CK166" s="161"/>
      <c r="CL166" s="161"/>
      <c r="CM166" s="161"/>
      <c r="CN166" s="161">
        <f>SUM(CO166:CS166)</f>
      </c>
      <c r="CO166" s="161"/>
      <c r="CP166" s="161"/>
      <c r="CQ166" s="161"/>
      <c r="CR166" s="161"/>
      <c r="CS166" s="161"/>
      <c r="CT166" s="161"/>
      <c r="CU166" s="161"/>
      <c r="CV166" s="161"/>
      <c r="CW166" s="161"/>
      <c r="CX166" s="161"/>
      <c r="CY166" s="161"/>
      <c r="CZ166" s="161"/>
      <c r="DA166" s="161"/>
      <c r="DB166" s="161"/>
      <c r="DC166" s="161"/>
      <c r="DD166" s="161"/>
      <c r="DE166" s="161"/>
      <c r="DF166" s="161">
        <f>SUM(DG166:DG166)</f>
      </c>
      <c r="DG166" s="161"/>
      <c r="DH166" s="161"/>
      <c r="DI166" s="161"/>
      <c r="DJ166" s="161">
        <f>SUM(DK166:DP166)</f>
      </c>
      <c r="DK166" s="161"/>
      <c r="DL166" s="161"/>
      <c r="DM166" s="161"/>
      <c r="DN166" s="161"/>
      <c r="DO166" s="161"/>
      <c r="DP166" s="161"/>
      <c r="DQ166" s="161"/>
      <c r="DR166" s="161"/>
      <c r="DS166" s="161"/>
      <c r="DT166" s="161"/>
      <c r="DU166" s="161"/>
      <c r="DV166" s="161"/>
      <c r="DW166" s="161"/>
      <c r="DX166" s="161"/>
      <c r="DY166" s="161"/>
      <c r="DZ166" s="161"/>
      <c r="EA166" s="161"/>
      <c r="EB166" s="161"/>
      <c r="EC166" s="161"/>
      <c r="ED166" s="161"/>
      <c r="EE166" s="161"/>
      <c r="EF166" s="161">
        <f>SUM(EG166:EP166)</f>
      </c>
      <c r="EG166" s="161"/>
      <c r="EH166" s="161"/>
      <c r="EI166" s="161"/>
      <c r="EJ166" s="161"/>
      <c r="EK166" s="161"/>
      <c r="EL166" s="161"/>
      <c r="EM166" s="161"/>
      <c r="EN166" s="161"/>
      <c r="EO166" s="161"/>
      <c r="EP166" s="161"/>
      <c r="EQ166" s="161">
        <f>SUM(ER166:ES166)</f>
      </c>
      <c r="ER166" s="161"/>
      <c r="ES166" s="161"/>
      <c r="ET166" s="161"/>
      <c r="EU166" s="161"/>
      <c r="EV166" s="161"/>
      <c r="EW166" s="161"/>
      <c r="EX166" s="161"/>
      <c r="EY166" s="161"/>
      <c r="EZ166" s="161"/>
      <c r="FA166" s="161"/>
      <c r="FB166" s="161"/>
      <c r="FC166" s="161"/>
      <c r="FD166" s="161"/>
      <c r="FE166" s="161"/>
      <c r="FF166" s="161"/>
      <c r="FG166" s="161"/>
      <c r="FH166" s="163" cm="1">
        <f t="array" ref="FH166">ROW()-ROW(Ongoing[#Headers])</f>
        <v>160</v>
      </c>
      <c r="FI166" s="164" t="s">
        <v>1110</v>
      </c>
      <c r="FJ166" s="164" t="s">
        <v>755</v>
      </c>
      <c r="FK166" s="164">
        <v>0</v>
      </c>
      <c r="FL166" s="164" t="s">
        <v>789</v>
      </c>
      <c r="FM166" s="164">
        <v>0</v>
      </c>
      <c r="FN166" s="164" t="s">
        <v>770</v>
      </c>
      <c r="FO166" s="164" t="s">
        <v>1111</v>
      </c>
      <c r="FP166" s="164" t="s">
        <v>759</v>
      </c>
    </row>
    <row r="167" spans="2:172" s="115" customFormat="1" ht="11.25" x14ac:dyDescent="0.2">
      <c r="B167" s="148"/>
      <c r="C167" s="148"/>
      <c r="D167" s="148"/>
      <c r="E167" s="148"/>
      <c r="F167" s="148"/>
      <c r="G167" s="148"/>
      <c r="H167" s="148"/>
      <c r="I167" s="148"/>
      <c r="J167" s="148"/>
      <c r="K167" s="148"/>
      <c r="L167" s="148"/>
      <c r="M167" s="160"/>
      <c r="N167" s="160"/>
      <c r="O167" s="148"/>
      <c r="P167" s="161">
        <f>SUM(Q167:AP167)</f>
      </c>
      <c r="Q167" s="161"/>
      <c r="R167" s="161"/>
      <c r="S167" s="161"/>
      <c r="T167" s="161"/>
      <c r="U167" s="161"/>
      <c r="V167" s="161"/>
      <c r="W167" s="161"/>
      <c r="X167" s="161"/>
      <c r="Y167" s="161"/>
      <c r="Z167" s="161"/>
      <c r="AA167" s="161"/>
      <c r="AB167" s="161"/>
      <c r="AC167" s="161"/>
      <c r="AD167" s="161"/>
      <c r="AE167" s="161"/>
      <c r="AF167" s="161"/>
      <c r="AG167" s="161"/>
      <c r="AH167" s="161"/>
      <c r="AI167" s="161"/>
      <c r="AJ167" s="161"/>
      <c r="AK167" s="161"/>
      <c r="AL167" s="161"/>
      <c r="AM167" s="161"/>
      <c r="AN167" s="161"/>
      <c r="AO167" s="161"/>
      <c r="AP167" s="161"/>
      <c r="AQ167" s="161">
        <f>SUM(AR167:AU167)</f>
      </c>
      <c r="AR167" s="161"/>
      <c r="AS167" s="161"/>
      <c r="AT167" s="161"/>
      <c r="AU167" s="161"/>
      <c r="AV167" s="161">
        <f>SUM(AW167:BH167)</f>
      </c>
      <c r="AW167" s="161"/>
      <c r="AX167" s="161"/>
      <c r="AY167" s="161"/>
      <c r="AZ167" s="161"/>
      <c r="BA167" s="161"/>
      <c r="BB167" s="161"/>
      <c r="BC167" s="161"/>
      <c r="BD167" s="161"/>
      <c r="BE167" s="161"/>
      <c r="BF167" s="161"/>
      <c r="BG167" s="161"/>
      <c r="BH167" s="161"/>
      <c r="BI167" s="161"/>
      <c r="BJ167" s="161"/>
      <c r="BK167" s="161"/>
      <c r="BL167" s="161"/>
      <c r="BM167" s="161"/>
      <c r="BN167" s="161"/>
      <c r="BO167" s="161"/>
      <c r="BP167" s="161"/>
      <c r="BQ167" s="161"/>
      <c r="BR167" s="161"/>
      <c r="BS167" s="161">
        <f>SUM(BT167:BV167)</f>
      </c>
      <c r="BT167" s="161"/>
      <c r="BU167" s="161"/>
      <c r="BV167" s="161"/>
      <c r="BW167" s="161">
        <f>SUM(BX167:CC167)</f>
      </c>
      <c r="BX167" s="161"/>
      <c r="BY167" s="161"/>
      <c r="BZ167" s="161"/>
      <c r="CA167" s="161"/>
      <c r="CB167" s="161"/>
      <c r="CC167" s="161"/>
      <c r="CD167" s="161"/>
      <c r="CE167" s="161"/>
      <c r="CF167" s="161"/>
      <c r="CG167" s="161"/>
      <c r="CH167" s="161"/>
      <c r="CI167" s="161"/>
      <c r="CJ167" s="161">
        <f>SUM(CK167:CM167)</f>
      </c>
      <c r="CK167" s="161"/>
      <c r="CL167" s="161"/>
      <c r="CM167" s="161"/>
      <c r="CN167" s="161">
        <f>SUM(CO167:CS167)</f>
      </c>
      <c r="CO167" s="161"/>
      <c r="CP167" s="161"/>
      <c r="CQ167" s="161"/>
      <c r="CR167" s="161"/>
      <c r="CS167" s="161"/>
      <c r="CT167" s="161"/>
      <c r="CU167" s="161"/>
      <c r="CV167" s="161"/>
      <c r="CW167" s="161"/>
      <c r="CX167" s="161"/>
      <c r="CY167" s="161"/>
      <c r="CZ167" s="161"/>
      <c r="DA167" s="161"/>
      <c r="DB167" s="161"/>
      <c r="DC167" s="161"/>
      <c r="DD167" s="161"/>
      <c r="DE167" s="161"/>
      <c r="DF167" s="161">
        <f>SUM(DG167:DG167)</f>
      </c>
      <c r="DG167" s="161"/>
      <c r="DH167" s="161"/>
      <c r="DI167" s="161"/>
      <c r="DJ167" s="161">
        <f>SUM(DK167:DP167)</f>
      </c>
      <c r="DK167" s="161"/>
      <c r="DL167" s="161"/>
      <c r="DM167" s="161"/>
      <c r="DN167" s="161"/>
      <c r="DO167" s="161"/>
      <c r="DP167" s="161"/>
      <c r="DQ167" s="161"/>
      <c r="DR167" s="161"/>
      <c r="DS167" s="161"/>
      <c r="DT167" s="161"/>
      <c r="DU167" s="161"/>
      <c r="DV167" s="161"/>
      <c r="DW167" s="161"/>
      <c r="DX167" s="161"/>
      <c r="DY167" s="161"/>
      <c r="DZ167" s="161"/>
      <c r="EA167" s="161"/>
      <c r="EB167" s="161"/>
      <c r="EC167" s="161"/>
      <c r="ED167" s="161"/>
      <c r="EE167" s="161"/>
      <c r="EF167" s="161">
        <f>SUM(EG167:EP167)</f>
      </c>
      <c r="EG167" s="161"/>
      <c r="EH167" s="161"/>
      <c r="EI167" s="161"/>
      <c r="EJ167" s="161"/>
      <c r="EK167" s="161"/>
      <c r="EL167" s="161"/>
      <c r="EM167" s="161"/>
      <c r="EN167" s="161"/>
      <c r="EO167" s="161"/>
      <c r="EP167" s="161"/>
      <c r="EQ167" s="161">
        <f>SUM(ER167:ES167)</f>
      </c>
      <c r="ER167" s="161"/>
      <c r="ES167" s="161"/>
      <c r="ET167" s="161"/>
      <c r="EU167" s="161"/>
      <c r="EV167" s="161"/>
      <c r="EW167" s="161"/>
      <c r="EX167" s="161"/>
      <c r="EY167" s="161"/>
      <c r="EZ167" s="161"/>
      <c r="FA167" s="161"/>
      <c r="FB167" s="161"/>
      <c r="FC167" s="161"/>
      <c r="FD167" s="161"/>
      <c r="FE167" s="161"/>
      <c r="FF167" s="161"/>
      <c r="FG167" s="161"/>
      <c r="FH167" s="163" cm="1">
        <f t="array" ref="FH167">ROW()-ROW(Ongoing[#Headers])</f>
        <v>161</v>
      </c>
      <c r="FI167" s="164" t="s">
        <v>754</v>
      </c>
      <c r="FJ167" s="164" t="s">
        <v>737</v>
      </c>
      <c r="FK167" s="164">
        <v>0</v>
      </c>
      <c r="FL167" s="164" t="s">
        <v>756</v>
      </c>
      <c r="FM167" s="164">
        <v>0</v>
      </c>
      <c r="FN167" s="164" t="s">
        <v>757</v>
      </c>
      <c r="FO167" s="164" t="s">
        <v>758</v>
      </c>
      <c r="FP167" s="164" t="s">
        <v>759</v>
      </c>
    </row>
    <row r="168" spans="2:172" s="115" customFormat="1" ht="11.25" x14ac:dyDescent="0.2">
      <c r="B168" s="148"/>
      <c r="C168" s="148"/>
      <c r="D168" s="148"/>
      <c r="E168" s="148"/>
      <c r="F168" s="148"/>
      <c r="G168" s="148"/>
      <c r="H168" s="148"/>
      <c r="I168" s="148"/>
      <c r="J168" s="148"/>
      <c r="K168" s="148"/>
      <c r="L168" s="148"/>
      <c r="M168" s="160"/>
      <c r="N168" s="160"/>
      <c r="O168" s="148"/>
      <c r="P168" s="161">
        <f>SUM(Q168:AP168)</f>
      </c>
      <c r="Q168" s="161"/>
      <c r="R168" s="161"/>
      <c r="S168" s="161"/>
      <c r="T168" s="161"/>
      <c r="U168" s="161"/>
      <c r="V168" s="161"/>
      <c r="W168" s="161"/>
      <c r="X168" s="161"/>
      <c r="Y168" s="161"/>
      <c r="Z168" s="161"/>
      <c r="AA168" s="161"/>
      <c r="AB168" s="161"/>
      <c r="AC168" s="161"/>
      <c r="AD168" s="161"/>
      <c r="AE168" s="161"/>
      <c r="AF168" s="161"/>
      <c r="AG168" s="161"/>
      <c r="AH168" s="161"/>
      <c r="AI168" s="161"/>
      <c r="AJ168" s="161"/>
      <c r="AK168" s="161"/>
      <c r="AL168" s="161"/>
      <c r="AM168" s="161"/>
      <c r="AN168" s="161"/>
      <c r="AO168" s="161"/>
      <c r="AP168" s="161"/>
      <c r="AQ168" s="161">
        <f>SUM(AR168:AU168)</f>
      </c>
      <c r="AR168" s="161"/>
      <c r="AS168" s="161"/>
      <c r="AT168" s="161"/>
      <c r="AU168" s="161"/>
      <c r="AV168" s="161">
        <f>SUM(AW168:BH168)</f>
      </c>
      <c r="AW168" s="161"/>
      <c r="AX168" s="161"/>
      <c r="AY168" s="161"/>
      <c r="AZ168" s="161"/>
      <c r="BA168" s="161"/>
      <c r="BB168" s="161"/>
      <c r="BC168" s="161"/>
      <c r="BD168" s="161"/>
      <c r="BE168" s="161"/>
      <c r="BF168" s="161"/>
      <c r="BG168" s="161"/>
      <c r="BH168" s="161"/>
      <c r="BI168" s="161"/>
      <c r="BJ168" s="161"/>
      <c r="BK168" s="161"/>
      <c r="BL168" s="161"/>
      <c r="BM168" s="161"/>
      <c r="BN168" s="161"/>
      <c r="BO168" s="161"/>
      <c r="BP168" s="161"/>
      <c r="BQ168" s="161"/>
      <c r="BR168" s="161"/>
      <c r="BS168" s="161">
        <f>SUM(BT168:BV168)</f>
      </c>
      <c r="BT168" s="161"/>
      <c r="BU168" s="161"/>
      <c r="BV168" s="161"/>
      <c r="BW168" s="161">
        <f>SUM(BX168:CC168)</f>
      </c>
      <c r="BX168" s="161"/>
      <c r="BY168" s="161"/>
      <c r="BZ168" s="161"/>
      <c r="CA168" s="161"/>
      <c r="CB168" s="161"/>
      <c r="CC168" s="161"/>
      <c r="CD168" s="161"/>
      <c r="CE168" s="161"/>
      <c r="CF168" s="161"/>
      <c r="CG168" s="161"/>
      <c r="CH168" s="161"/>
      <c r="CI168" s="161"/>
      <c r="CJ168" s="161">
        <f>SUM(CK168:CM168)</f>
      </c>
      <c r="CK168" s="161"/>
      <c r="CL168" s="161"/>
      <c r="CM168" s="161"/>
      <c r="CN168" s="161">
        <f>SUM(CO168:CS168)</f>
      </c>
      <c r="CO168" s="161"/>
      <c r="CP168" s="161"/>
      <c r="CQ168" s="161"/>
      <c r="CR168" s="161"/>
      <c r="CS168" s="161"/>
      <c r="CT168" s="161"/>
      <c r="CU168" s="161"/>
      <c r="CV168" s="161"/>
      <c r="CW168" s="161"/>
      <c r="CX168" s="161"/>
      <c r="CY168" s="161"/>
      <c r="CZ168" s="161"/>
      <c r="DA168" s="161"/>
      <c r="DB168" s="161"/>
      <c r="DC168" s="161"/>
      <c r="DD168" s="161"/>
      <c r="DE168" s="161"/>
      <c r="DF168" s="161">
        <f>SUM(DG168:DG168)</f>
      </c>
      <c r="DG168" s="161"/>
      <c r="DH168" s="161"/>
      <c r="DI168" s="161"/>
      <c r="DJ168" s="161">
        <f>SUM(DK168:DP168)</f>
      </c>
      <c r="DK168" s="161"/>
      <c r="DL168" s="161"/>
      <c r="DM168" s="161"/>
      <c r="DN168" s="161"/>
      <c r="DO168" s="161"/>
      <c r="DP168" s="161"/>
      <c r="DQ168" s="161"/>
      <c r="DR168" s="161"/>
      <c r="DS168" s="161"/>
      <c r="DT168" s="161"/>
      <c r="DU168" s="161"/>
      <c r="DV168" s="161"/>
      <c r="DW168" s="161"/>
      <c r="DX168" s="161"/>
      <c r="DY168" s="161"/>
      <c r="DZ168" s="161"/>
      <c r="EA168" s="161"/>
      <c r="EB168" s="161"/>
      <c r="EC168" s="161"/>
      <c r="ED168" s="161"/>
      <c r="EE168" s="161"/>
      <c r="EF168" s="161">
        <f>SUM(EG168:EP168)</f>
      </c>
      <c r="EG168" s="161"/>
      <c r="EH168" s="161"/>
      <c r="EI168" s="161"/>
      <c r="EJ168" s="161"/>
      <c r="EK168" s="161"/>
      <c r="EL168" s="161"/>
      <c r="EM168" s="161"/>
      <c r="EN168" s="161"/>
      <c r="EO168" s="161"/>
      <c r="EP168" s="161"/>
      <c r="EQ168" s="161">
        <f>SUM(ER168:ES168)</f>
      </c>
      <c r="ER168" s="161"/>
      <c r="ES168" s="161"/>
      <c r="ET168" s="161"/>
      <c r="EU168" s="161"/>
      <c r="EV168" s="161"/>
      <c r="EW168" s="161"/>
      <c r="EX168" s="161"/>
      <c r="EY168" s="161"/>
      <c r="EZ168" s="161"/>
      <c r="FA168" s="161"/>
      <c r="FB168" s="161"/>
      <c r="FC168" s="161"/>
      <c r="FD168" s="161"/>
      <c r="FE168" s="161"/>
      <c r="FF168" s="161"/>
      <c r="FG168" s="161"/>
      <c r="FH168" s="163" cm="1">
        <f t="array" ref="FH168">ROW()-ROW(Ongoing[#Headers])</f>
        <v>162</v>
      </c>
      <c r="FI168" s="164" t="s">
        <v>104</v>
      </c>
      <c r="FJ168" s="164" t="s">
        <v>1117</v>
      </c>
      <c r="FK168" s="164">
        <v>0</v>
      </c>
      <c r="FL168" s="164" t="s">
        <v>789</v>
      </c>
      <c r="FM168" s="164">
        <v>0</v>
      </c>
      <c r="FN168" s="164" t="s">
        <v>770</v>
      </c>
      <c r="FO168" s="164" t="s">
        <v>1118</v>
      </c>
      <c r="FP168" s="164" t="s">
        <v>759</v>
      </c>
    </row>
    <row r="169" spans="2:172" s="115" customFormat="1" ht="11.25" x14ac:dyDescent="0.2">
      <c r="B169" s="148"/>
      <c r="C169" s="148"/>
      <c r="D169" s="148"/>
      <c r="E169" s="148"/>
      <c r="F169" s="148"/>
      <c r="G169" s="148"/>
      <c r="H169" s="148"/>
      <c r="I169" s="148"/>
      <c r="J169" s="148"/>
      <c r="K169" s="148"/>
      <c r="L169" s="148"/>
      <c r="M169" s="160"/>
      <c r="N169" s="160"/>
      <c r="O169" s="148"/>
      <c r="P169" s="161">
        <f>SUM(Q169:AP169)</f>
      </c>
      <c r="Q169" s="161"/>
      <c r="R169" s="161"/>
      <c r="S169" s="161"/>
      <c r="T169" s="161"/>
      <c r="U169" s="161"/>
      <c r="V169" s="161"/>
      <c r="W169" s="161"/>
      <c r="X169" s="161"/>
      <c r="Y169" s="161"/>
      <c r="Z169" s="161"/>
      <c r="AA169" s="161"/>
      <c r="AB169" s="161"/>
      <c r="AC169" s="161"/>
      <c r="AD169" s="161"/>
      <c r="AE169" s="161"/>
      <c r="AF169" s="161"/>
      <c r="AG169" s="161"/>
      <c r="AH169" s="161"/>
      <c r="AI169" s="161"/>
      <c r="AJ169" s="161"/>
      <c r="AK169" s="161"/>
      <c r="AL169" s="161"/>
      <c r="AM169" s="161"/>
      <c r="AN169" s="161"/>
      <c r="AO169" s="161"/>
      <c r="AP169" s="161"/>
      <c r="AQ169" s="161">
        <f>SUM(AR169:AU169)</f>
      </c>
      <c r="AR169" s="161"/>
      <c r="AS169" s="161"/>
      <c r="AT169" s="161"/>
      <c r="AU169" s="161"/>
      <c r="AV169" s="161">
        <f>SUM(AW169:BH169)</f>
      </c>
      <c r="AW169" s="161"/>
      <c r="AX169" s="161"/>
      <c r="AY169" s="161"/>
      <c r="AZ169" s="161"/>
      <c r="BA169" s="161"/>
      <c r="BB169" s="161"/>
      <c r="BC169" s="161"/>
      <c r="BD169" s="161"/>
      <c r="BE169" s="161"/>
      <c r="BF169" s="161"/>
      <c r="BG169" s="161"/>
      <c r="BH169" s="161"/>
      <c r="BI169" s="161"/>
      <c r="BJ169" s="161"/>
      <c r="BK169" s="161"/>
      <c r="BL169" s="161"/>
      <c r="BM169" s="161"/>
      <c r="BN169" s="161"/>
      <c r="BO169" s="161"/>
      <c r="BP169" s="161"/>
      <c r="BQ169" s="161"/>
      <c r="BR169" s="161"/>
      <c r="BS169" s="161">
        <f>SUM(BT169:BV169)</f>
      </c>
      <c r="BT169" s="161"/>
      <c r="BU169" s="161"/>
      <c r="BV169" s="161"/>
      <c r="BW169" s="161">
        <f>SUM(BX169:CC169)</f>
      </c>
      <c r="BX169" s="161"/>
      <c r="BY169" s="161"/>
      <c r="BZ169" s="161"/>
      <c r="CA169" s="161"/>
      <c r="CB169" s="161"/>
      <c r="CC169" s="161"/>
      <c r="CD169" s="161"/>
      <c r="CE169" s="161"/>
      <c r="CF169" s="161"/>
      <c r="CG169" s="161"/>
      <c r="CH169" s="161"/>
      <c r="CI169" s="161"/>
      <c r="CJ169" s="161">
        <f>SUM(CK169:CM169)</f>
      </c>
      <c r="CK169" s="161"/>
      <c r="CL169" s="161"/>
      <c r="CM169" s="161"/>
      <c r="CN169" s="161">
        <f>SUM(CO169:CS169)</f>
      </c>
      <c r="CO169" s="161"/>
      <c r="CP169" s="161"/>
      <c r="CQ169" s="161"/>
      <c r="CR169" s="161"/>
      <c r="CS169" s="161"/>
      <c r="CT169" s="161"/>
      <c r="CU169" s="161"/>
      <c r="CV169" s="161"/>
      <c r="CW169" s="161"/>
      <c r="CX169" s="161"/>
      <c r="CY169" s="161"/>
      <c r="CZ169" s="161"/>
      <c r="DA169" s="161"/>
      <c r="DB169" s="161"/>
      <c r="DC169" s="161"/>
      <c r="DD169" s="161"/>
      <c r="DE169" s="161"/>
      <c r="DF169" s="161">
        <f>SUM(DG169:DG169)</f>
      </c>
      <c r="DG169" s="161"/>
      <c r="DH169" s="161"/>
      <c r="DI169" s="161"/>
      <c r="DJ169" s="161">
        <f>SUM(DK169:DP169)</f>
      </c>
      <c r="DK169" s="161"/>
      <c r="DL169" s="161"/>
      <c r="DM169" s="161"/>
      <c r="DN169" s="161"/>
      <c r="DO169" s="161"/>
      <c r="DP169" s="161"/>
      <c r="DQ169" s="161"/>
      <c r="DR169" s="161"/>
      <c r="DS169" s="161"/>
      <c r="DT169" s="161"/>
      <c r="DU169" s="161"/>
      <c r="DV169" s="161"/>
      <c r="DW169" s="161"/>
      <c r="DX169" s="161"/>
      <c r="DY169" s="161"/>
      <c r="DZ169" s="161"/>
      <c r="EA169" s="161"/>
      <c r="EB169" s="161"/>
      <c r="EC169" s="161"/>
      <c r="ED169" s="161"/>
      <c r="EE169" s="161"/>
      <c r="EF169" s="161">
        <f>SUM(EG169:EP169)</f>
      </c>
      <c r="EG169" s="161"/>
      <c r="EH169" s="161"/>
      <c r="EI169" s="161"/>
      <c r="EJ169" s="161"/>
      <c r="EK169" s="161"/>
      <c r="EL169" s="161"/>
      <c r="EM169" s="161"/>
      <c r="EN169" s="161"/>
      <c r="EO169" s="161"/>
      <c r="EP169" s="161"/>
      <c r="EQ169" s="161">
        <f>SUM(ER169:ES169)</f>
      </c>
      <c r="ER169" s="161"/>
      <c r="ES169" s="161"/>
      <c r="ET169" s="161"/>
      <c r="EU169" s="161"/>
      <c r="EV169" s="161"/>
      <c r="EW169" s="161"/>
      <c r="EX169" s="161"/>
      <c r="EY169" s="161"/>
      <c r="EZ169" s="161"/>
      <c r="FA169" s="161"/>
      <c r="FB169" s="161"/>
      <c r="FC169" s="161"/>
      <c r="FD169" s="161"/>
      <c r="FE169" s="161"/>
      <c r="FF169" s="161"/>
      <c r="FG169" s="161"/>
      <c r="FH169" s="163" cm="1">
        <f t="array" ref="FH169">ROW()-ROW(Ongoing[#Headers])</f>
        <v>163</v>
      </c>
      <c r="FI169" s="164" t="s">
        <v>104</v>
      </c>
      <c r="FJ169" s="164" t="s">
        <v>755</v>
      </c>
      <c r="FK169" s="164">
        <v>0</v>
      </c>
      <c r="FL169" s="164" t="s">
        <v>789</v>
      </c>
      <c r="FM169" s="164">
        <v>0</v>
      </c>
      <c r="FN169" s="164" t="s">
        <v>770</v>
      </c>
      <c r="FO169" s="164" t="s">
        <v>1118</v>
      </c>
      <c r="FP169" s="164" t="s">
        <v>759</v>
      </c>
    </row>
    <row r="170" spans="2:172" s="115" customFormat="1" ht="11.25" x14ac:dyDescent="0.2">
      <c r="B170" s="148"/>
      <c r="C170" s="148"/>
      <c r="D170" s="148"/>
      <c r="E170" s="148"/>
      <c r="F170" s="148"/>
      <c r="G170" s="148"/>
      <c r="H170" s="148"/>
      <c r="I170" s="148"/>
      <c r="J170" s="148"/>
      <c r="K170" s="148"/>
      <c r="L170" s="148"/>
      <c r="M170" s="160"/>
      <c r="N170" s="160"/>
      <c r="O170" s="148"/>
      <c r="P170" s="161">
        <f>SUM(Q170:AP170)</f>
      </c>
      <c r="Q170" s="161"/>
      <c r="R170" s="161"/>
      <c r="S170" s="161"/>
      <c r="T170" s="161"/>
      <c r="U170" s="161"/>
      <c r="V170" s="161"/>
      <c r="W170" s="161"/>
      <c r="X170" s="161"/>
      <c r="Y170" s="161"/>
      <c r="Z170" s="161"/>
      <c r="AA170" s="161"/>
      <c r="AB170" s="161"/>
      <c r="AC170" s="161"/>
      <c r="AD170" s="161"/>
      <c r="AE170" s="161"/>
      <c r="AF170" s="161"/>
      <c r="AG170" s="161"/>
      <c r="AH170" s="161"/>
      <c r="AI170" s="161"/>
      <c r="AJ170" s="161"/>
      <c r="AK170" s="161"/>
      <c r="AL170" s="161"/>
      <c r="AM170" s="161"/>
      <c r="AN170" s="161"/>
      <c r="AO170" s="161"/>
      <c r="AP170" s="161"/>
      <c r="AQ170" s="161">
        <f>SUM(AR170:AU170)</f>
      </c>
      <c r="AR170" s="161"/>
      <c r="AS170" s="161"/>
      <c r="AT170" s="161"/>
      <c r="AU170" s="161"/>
      <c r="AV170" s="161">
        <f>SUM(AW170:BH170)</f>
      </c>
      <c r="AW170" s="161"/>
      <c r="AX170" s="161"/>
      <c r="AY170" s="161"/>
      <c r="AZ170" s="161"/>
      <c r="BA170" s="161"/>
      <c r="BB170" s="161"/>
      <c r="BC170" s="161"/>
      <c r="BD170" s="161"/>
      <c r="BE170" s="161"/>
      <c r="BF170" s="161"/>
      <c r="BG170" s="161"/>
      <c r="BH170" s="161"/>
      <c r="BI170" s="161"/>
      <c r="BJ170" s="161"/>
      <c r="BK170" s="161"/>
      <c r="BL170" s="161"/>
      <c r="BM170" s="161"/>
      <c r="BN170" s="161"/>
      <c r="BO170" s="161"/>
      <c r="BP170" s="161"/>
      <c r="BQ170" s="161"/>
      <c r="BR170" s="161"/>
      <c r="BS170" s="161">
        <f>SUM(BT170:BV170)</f>
      </c>
      <c r="BT170" s="161"/>
      <c r="BU170" s="161"/>
      <c r="BV170" s="161"/>
      <c r="BW170" s="161">
        <f>SUM(BX170:CC170)</f>
      </c>
      <c r="BX170" s="161"/>
      <c r="BY170" s="161"/>
      <c r="BZ170" s="161"/>
      <c r="CA170" s="161"/>
      <c r="CB170" s="161"/>
      <c r="CC170" s="161"/>
      <c r="CD170" s="161"/>
      <c r="CE170" s="161"/>
      <c r="CF170" s="161"/>
      <c r="CG170" s="161"/>
      <c r="CH170" s="161"/>
      <c r="CI170" s="161"/>
      <c r="CJ170" s="161">
        <f>SUM(CK170:CM170)</f>
      </c>
      <c r="CK170" s="161"/>
      <c r="CL170" s="161"/>
      <c r="CM170" s="161"/>
      <c r="CN170" s="161">
        <f>SUM(CO170:CS170)</f>
      </c>
      <c r="CO170" s="161"/>
      <c r="CP170" s="161"/>
      <c r="CQ170" s="161"/>
      <c r="CR170" s="161"/>
      <c r="CS170" s="161"/>
      <c r="CT170" s="161"/>
      <c r="CU170" s="161"/>
      <c r="CV170" s="161"/>
      <c r="CW170" s="161"/>
      <c r="CX170" s="161"/>
      <c r="CY170" s="161"/>
      <c r="CZ170" s="161"/>
      <c r="DA170" s="161"/>
      <c r="DB170" s="161"/>
      <c r="DC170" s="161"/>
      <c r="DD170" s="161"/>
      <c r="DE170" s="161"/>
      <c r="DF170" s="161">
        <f>SUM(DG170:DG170)</f>
      </c>
      <c r="DG170" s="161"/>
      <c r="DH170" s="161"/>
      <c r="DI170" s="161"/>
      <c r="DJ170" s="161">
        <f>SUM(DK170:DP170)</f>
      </c>
      <c r="DK170" s="161"/>
      <c r="DL170" s="161"/>
      <c r="DM170" s="161"/>
      <c r="DN170" s="161"/>
      <c r="DO170" s="161"/>
      <c r="DP170" s="161"/>
      <c r="DQ170" s="161"/>
      <c r="DR170" s="161"/>
      <c r="DS170" s="161"/>
      <c r="DT170" s="161"/>
      <c r="DU170" s="161"/>
      <c r="DV170" s="161"/>
      <c r="DW170" s="161"/>
      <c r="DX170" s="161"/>
      <c r="DY170" s="161"/>
      <c r="DZ170" s="161"/>
      <c r="EA170" s="161"/>
      <c r="EB170" s="161"/>
      <c r="EC170" s="161"/>
      <c r="ED170" s="161"/>
      <c r="EE170" s="161"/>
      <c r="EF170" s="161">
        <f>SUM(EG170:EP170)</f>
      </c>
      <c r="EG170" s="161"/>
      <c r="EH170" s="161"/>
      <c r="EI170" s="161"/>
      <c r="EJ170" s="161"/>
      <c r="EK170" s="161"/>
      <c r="EL170" s="161"/>
      <c r="EM170" s="161"/>
      <c r="EN170" s="161"/>
      <c r="EO170" s="161"/>
      <c r="EP170" s="161"/>
      <c r="EQ170" s="161">
        <f>SUM(ER170:ES170)</f>
      </c>
      <c r="ER170" s="161"/>
      <c r="ES170" s="161"/>
      <c r="ET170" s="161"/>
      <c r="EU170" s="161"/>
      <c r="EV170" s="161"/>
      <c r="EW170" s="161"/>
      <c r="EX170" s="161"/>
      <c r="EY170" s="161"/>
      <c r="EZ170" s="161"/>
      <c r="FA170" s="161"/>
      <c r="FB170" s="161"/>
      <c r="FC170" s="161"/>
      <c r="FD170" s="161"/>
      <c r="FE170" s="161"/>
      <c r="FF170" s="161"/>
      <c r="FG170" s="161"/>
      <c r="FH170" s="163" cm="1">
        <f t="array" ref="FH170">ROW()-ROW(Ongoing[#Headers])</f>
        <v>164</v>
      </c>
      <c r="FI170" s="164" t="s">
        <v>754</v>
      </c>
      <c r="FJ170" s="164" t="s">
        <v>755</v>
      </c>
      <c r="FK170" s="164">
        <v>0</v>
      </c>
      <c r="FL170" s="164" t="s">
        <v>756</v>
      </c>
      <c r="FM170" s="164">
        <v>0</v>
      </c>
      <c r="FN170" s="164" t="s">
        <v>757</v>
      </c>
      <c r="FO170" s="164" t="s">
        <v>758</v>
      </c>
      <c r="FP170" s="164" t="s">
        <v>759</v>
      </c>
    </row>
    <row r="171" spans="2:172" s="115" customFormat="1" ht="11.25" x14ac:dyDescent="0.2">
      <c r="B171" s="148"/>
      <c r="C171" s="148"/>
      <c r="D171" s="148"/>
      <c r="E171" s="148"/>
      <c r="F171" s="148"/>
      <c r="G171" s="148"/>
      <c r="H171" s="148"/>
      <c r="I171" s="148"/>
      <c r="J171" s="148"/>
      <c r="K171" s="148"/>
      <c r="L171" s="148"/>
      <c r="M171" s="160"/>
      <c r="N171" s="160"/>
      <c r="O171" s="148"/>
      <c r="P171" s="161">
        <f>SUM(Q171:AP171)</f>
      </c>
      <c r="Q171" s="161"/>
      <c r="R171" s="161"/>
      <c r="S171" s="161"/>
      <c r="T171" s="161"/>
      <c r="U171" s="161"/>
      <c r="V171" s="161"/>
      <c r="W171" s="161"/>
      <c r="X171" s="161"/>
      <c r="Y171" s="161"/>
      <c r="Z171" s="161"/>
      <c r="AA171" s="161"/>
      <c r="AB171" s="161"/>
      <c r="AC171" s="161"/>
      <c r="AD171" s="161"/>
      <c r="AE171" s="161"/>
      <c r="AF171" s="161"/>
      <c r="AG171" s="161"/>
      <c r="AH171" s="161"/>
      <c r="AI171" s="161"/>
      <c r="AJ171" s="161"/>
      <c r="AK171" s="161"/>
      <c r="AL171" s="161"/>
      <c r="AM171" s="161"/>
      <c r="AN171" s="161"/>
      <c r="AO171" s="161"/>
      <c r="AP171" s="161"/>
      <c r="AQ171" s="161">
        <f>SUM(AR171:AU171)</f>
      </c>
      <c r="AR171" s="161"/>
      <c r="AS171" s="161"/>
      <c r="AT171" s="161"/>
      <c r="AU171" s="161"/>
      <c r="AV171" s="161">
        <f>SUM(AW171:BH171)</f>
      </c>
      <c r="AW171" s="161"/>
      <c r="AX171" s="161"/>
      <c r="AY171" s="161"/>
      <c r="AZ171" s="161"/>
      <c r="BA171" s="161"/>
      <c r="BB171" s="161"/>
      <c r="BC171" s="161"/>
      <c r="BD171" s="161"/>
      <c r="BE171" s="161"/>
      <c r="BF171" s="161"/>
      <c r="BG171" s="161"/>
      <c r="BH171" s="161"/>
      <c r="BI171" s="161"/>
      <c r="BJ171" s="161"/>
      <c r="BK171" s="161"/>
      <c r="BL171" s="161"/>
      <c r="BM171" s="161"/>
      <c r="BN171" s="161"/>
      <c r="BO171" s="161"/>
      <c r="BP171" s="161"/>
      <c r="BQ171" s="161"/>
      <c r="BR171" s="161"/>
      <c r="BS171" s="161">
        <f>SUM(BT171:BV171)</f>
      </c>
      <c r="BT171" s="161"/>
      <c r="BU171" s="161"/>
      <c r="BV171" s="161"/>
      <c r="BW171" s="161">
        <f>SUM(BX171:CC171)</f>
      </c>
      <c r="BX171" s="161"/>
      <c r="BY171" s="161"/>
      <c r="BZ171" s="161"/>
      <c r="CA171" s="161"/>
      <c r="CB171" s="161"/>
      <c r="CC171" s="161"/>
      <c r="CD171" s="161"/>
      <c r="CE171" s="161"/>
      <c r="CF171" s="161"/>
      <c r="CG171" s="161"/>
      <c r="CH171" s="161"/>
      <c r="CI171" s="161"/>
      <c r="CJ171" s="161">
        <f>SUM(CK171:CM171)</f>
      </c>
      <c r="CK171" s="161"/>
      <c r="CL171" s="161"/>
      <c r="CM171" s="161"/>
      <c r="CN171" s="161">
        <f>SUM(CO171:CS171)</f>
      </c>
      <c r="CO171" s="161"/>
      <c r="CP171" s="161"/>
      <c r="CQ171" s="161"/>
      <c r="CR171" s="161"/>
      <c r="CS171" s="161"/>
      <c r="CT171" s="161"/>
      <c r="CU171" s="161"/>
      <c r="CV171" s="161"/>
      <c r="CW171" s="161"/>
      <c r="CX171" s="161"/>
      <c r="CY171" s="161"/>
      <c r="CZ171" s="161"/>
      <c r="DA171" s="161"/>
      <c r="DB171" s="161"/>
      <c r="DC171" s="161"/>
      <c r="DD171" s="161"/>
      <c r="DE171" s="161"/>
      <c r="DF171" s="161">
        <f>SUM(DG171:DG171)</f>
      </c>
      <c r="DG171" s="161"/>
      <c r="DH171" s="161"/>
      <c r="DI171" s="161"/>
      <c r="DJ171" s="161">
        <f>SUM(DK171:DP171)</f>
      </c>
      <c r="DK171" s="161"/>
      <c r="DL171" s="161"/>
      <c r="DM171" s="161"/>
      <c r="DN171" s="161"/>
      <c r="DO171" s="161"/>
      <c r="DP171" s="161"/>
      <c r="DQ171" s="161"/>
      <c r="DR171" s="161"/>
      <c r="DS171" s="161"/>
      <c r="DT171" s="161"/>
      <c r="DU171" s="161"/>
      <c r="DV171" s="161"/>
      <c r="DW171" s="161"/>
      <c r="DX171" s="161"/>
      <c r="DY171" s="161"/>
      <c r="DZ171" s="161"/>
      <c r="EA171" s="161"/>
      <c r="EB171" s="161"/>
      <c r="EC171" s="161"/>
      <c r="ED171" s="161"/>
      <c r="EE171" s="161"/>
      <c r="EF171" s="161">
        <f>SUM(EG171:EP171)</f>
      </c>
      <c r="EG171" s="161"/>
      <c r="EH171" s="161"/>
      <c r="EI171" s="161"/>
      <c r="EJ171" s="161"/>
      <c r="EK171" s="161"/>
      <c r="EL171" s="161"/>
      <c r="EM171" s="161"/>
      <c r="EN171" s="161"/>
      <c r="EO171" s="161"/>
      <c r="EP171" s="161"/>
      <c r="EQ171" s="161">
        <f>SUM(ER171:ES171)</f>
      </c>
      <c r="ER171" s="161"/>
      <c r="ES171" s="161"/>
      <c r="ET171" s="161"/>
      <c r="EU171" s="161"/>
      <c r="EV171" s="161"/>
      <c r="EW171" s="161"/>
      <c r="EX171" s="161"/>
      <c r="EY171" s="161"/>
      <c r="EZ171" s="161"/>
      <c r="FA171" s="161"/>
      <c r="FB171" s="161"/>
      <c r="FC171" s="161"/>
      <c r="FD171" s="161"/>
      <c r="FE171" s="161"/>
      <c r="FF171" s="161"/>
      <c r="FG171" s="161"/>
      <c r="FH171" s="163" cm="1">
        <f t="array" ref="FH171">ROW()-ROW(Ongoing[#Headers])</f>
        <v>165</v>
      </c>
      <c r="FI171" s="164" t="s">
        <v>104</v>
      </c>
      <c r="FJ171" s="164" t="s">
        <v>755</v>
      </c>
      <c r="FK171" s="164">
        <v>0</v>
      </c>
      <c r="FL171" s="164" t="s">
        <v>789</v>
      </c>
      <c r="FM171" s="164">
        <v>0</v>
      </c>
      <c r="FN171" s="164" t="s">
        <v>770</v>
      </c>
      <c r="FO171" s="164" t="s">
        <v>1118</v>
      </c>
      <c r="FP171" s="164" t="s">
        <v>759</v>
      </c>
    </row>
    <row r="172" spans="2:172" s="115" customFormat="1" ht="11.25" x14ac:dyDescent="0.2">
      <c r="B172" s="148"/>
      <c r="C172" s="148"/>
      <c r="D172" s="148"/>
      <c r="E172" s="148"/>
      <c r="F172" s="148"/>
      <c r="G172" s="148"/>
      <c r="H172" s="148"/>
      <c r="I172" s="148"/>
      <c r="J172" s="148"/>
      <c r="K172" s="148"/>
      <c r="L172" s="148"/>
      <c r="M172" s="160"/>
      <c r="N172" s="160"/>
      <c r="O172" s="148"/>
      <c r="P172" s="161">
        <f>SUM(Q172:AP172)</f>
      </c>
      <c r="Q172" s="161"/>
      <c r="R172" s="161"/>
      <c r="S172" s="161"/>
      <c r="T172" s="161"/>
      <c r="U172" s="161"/>
      <c r="V172" s="161"/>
      <c r="W172" s="161"/>
      <c r="X172" s="161"/>
      <c r="Y172" s="161"/>
      <c r="Z172" s="161"/>
      <c r="AA172" s="161"/>
      <c r="AB172" s="161"/>
      <c r="AC172" s="161"/>
      <c r="AD172" s="161"/>
      <c r="AE172" s="161"/>
      <c r="AF172" s="161"/>
      <c r="AG172" s="161"/>
      <c r="AH172" s="161"/>
      <c r="AI172" s="161"/>
      <c r="AJ172" s="161"/>
      <c r="AK172" s="161"/>
      <c r="AL172" s="161"/>
      <c r="AM172" s="161"/>
      <c r="AN172" s="161"/>
      <c r="AO172" s="161"/>
      <c r="AP172" s="161"/>
      <c r="AQ172" s="161">
        <f>SUM(AR172:AU172)</f>
      </c>
      <c r="AR172" s="161"/>
      <c r="AS172" s="161"/>
      <c r="AT172" s="161"/>
      <c r="AU172" s="161"/>
      <c r="AV172" s="161">
        <f>SUM(AW172:BH172)</f>
      </c>
      <c r="AW172" s="161"/>
      <c r="AX172" s="161"/>
      <c r="AY172" s="161"/>
      <c r="AZ172" s="161"/>
      <c r="BA172" s="161"/>
      <c r="BB172" s="161"/>
      <c r="BC172" s="161"/>
      <c r="BD172" s="161"/>
      <c r="BE172" s="161"/>
      <c r="BF172" s="161"/>
      <c r="BG172" s="161"/>
      <c r="BH172" s="161"/>
      <c r="BI172" s="161"/>
      <c r="BJ172" s="161"/>
      <c r="BK172" s="161"/>
      <c r="BL172" s="161"/>
      <c r="BM172" s="161"/>
      <c r="BN172" s="161"/>
      <c r="BO172" s="161"/>
      <c r="BP172" s="161"/>
      <c r="BQ172" s="161"/>
      <c r="BR172" s="161"/>
      <c r="BS172" s="161">
        <f>SUM(BT172:BV172)</f>
      </c>
      <c r="BT172" s="161"/>
      <c r="BU172" s="161"/>
      <c r="BV172" s="161"/>
      <c r="BW172" s="161">
        <f>SUM(BX172:CC172)</f>
      </c>
      <c r="BX172" s="161"/>
      <c r="BY172" s="161"/>
      <c r="BZ172" s="161"/>
      <c r="CA172" s="161"/>
      <c r="CB172" s="161"/>
      <c r="CC172" s="161"/>
      <c r="CD172" s="161"/>
      <c r="CE172" s="161"/>
      <c r="CF172" s="161"/>
      <c r="CG172" s="161"/>
      <c r="CH172" s="161"/>
      <c r="CI172" s="161"/>
      <c r="CJ172" s="161">
        <f>SUM(CK172:CM172)</f>
      </c>
      <c r="CK172" s="161"/>
      <c r="CL172" s="161"/>
      <c r="CM172" s="161"/>
      <c r="CN172" s="161">
        <f>SUM(CO172:CS172)</f>
      </c>
      <c r="CO172" s="161"/>
      <c r="CP172" s="161"/>
      <c r="CQ172" s="161"/>
      <c r="CR172" s="161"/>
      <c r="CS172" s="161"/>
      <c r="CT172" s="161"/>
      <c r="CU172" s="161"/>
      <c r="CV172" s="161"/>
      <c r="CW172" s="161"/>
      <c r="CX172" s="161"/>
      <c r="CY172" s="161"/>
      <c r="CZ172" s="161"/>
      <c r="DA172" s="161"/>
      <c r="DB172" s="161"/>
      <c r="DC172" s="161"/>
      <c r="DD172" s="161"/>
      <c r="DE172" s="161"/>
      <c r="DF172" s="161">
        <f>SUM(DG172:DG172)</f>
      </c>
      <c r="DG172" s="161"/>
      <c r="DH172" s="161"/>
      <c r="DI172" s="161"/>
      <c r="DJ172" s="161">
        <f>SUM(DK172:DP172)</f>
      </c>
      <c r="DK172" s="161"/>
      <c r="DL172" s="161"/>
      <c r="DM172" s="161"/>
      <c r="DN172" s="161"/>
      <c r="DO172" s="161"/>
      <c r="DP172" s="161"/>
      <c r="DQ172" s="161"/>
      <c r="DR172" s="161"/>
      <c r="DS172" s="161"/>
      <c r="DT172" s="161"/>
      <c r="DU172" s="161"/>
      <c r="DV172" s="161"/>
      <c r="DW172" s="161"/>
      <c r="DX172" s="161"/>
      <c r="DY172" s="161"/>
      <c r="DZ172" s="161"/>
      <c r="EA172" s="161"/>
      <c r="EB172" s="161"/>
      <c r="EC172" s="161"/>
      <c r="ED172" s="161"/>
      <c r="EE172" s="161"/>
      <c r="EF172" s="161">
        <f>SUM(EG172:EP172)</f>
      </c>
      <c r="EG172" s="161"/>
      <c r="EH172" s="161"/>
      <c r="EI172" s="161"/>
      <c r="EJ172" s="161"/>
      <c r="EK172" s="161"/>
      <c r="EL172" s="161"/>
      <c r="EM172" s="161"/>
      <c r="EN172" s="161"/>
      <c r="EO172" s="161"/>
      <c r="EP172" s="161"/>
      <c r="EQ172" s="161">
        <f>SUM(ER172:ES172)</f>
      </c>
      <c r="ER172" s="161"/>
      <c r="ES172" s="161"/>
      <c r="ET172" s="161"/>
      <c r="EU172" s="161"/>
      <c r="EV172" s="161"/>
      <c r="EW172" s="161"/>
      <c r="EX172" s="161"/>
      <c r="EY172" s="161"/>
      <c r="EZ172" s="161"/>
      <c r="FA172" s="161"/>
      <c r="FB172" s="161"/>
      <c r="FC172" s="161"/>
      <c r="FD172" s="161"/>
      <c r="FE172" s="161"/>
      <c r="FF172" s="161"/>
      <c r="FG172" s="161"/>
      <c r="FH172" s="163" cm="1">
        <f t="array" ref="FH172">ROW()-ROW(Ongoing[#Headers])</f>
        <v>166</v>
      </c>
      <c r="FI172" s="164" t="e">
        <v>#N/A</v>
      </c>
      <c r="FJ172" s="164" t="s">
        <v>788</v>
      </c>
      <c r="FK172" s="164" t="e">
        <v>#N/A</v>
      </c>
      <c r="FL172" s="164" t="e">
        <v>#N/A</v>
      </c>
      <c r="FM172" s="164" t="e">
        <v>#N/A</v>
      </c>
      <c r="FN172" s="164" t="e">
        <v>#N/A</v>
      </c>
      <c r="FO172" s="164" t="e">
        <v>#N/A</v>
      </c>
      <c r="FP172" s="164" t="e">
        <v>#N/A</v>
      </c>
    </row>
    <row r="173" spans="2:172" s="115" customFormat="1" ht="11.25" x14ac:dyDescent="0.2">
      <c r="B173" s="148"/>
      <c r="C173" s="148"/>
      <c r="D173" s="148"/>
      <c r="E173" s="148"/>
      <c r="F173" s="148"/>
      <c r="G173" s="148"/>
      <c r="H173" s="148"/>
      <c r="I173" s="148"/>
      <c r="J173" s="148"/>
      <c r="K173" s="148"/>
      <c r="L173" s="148"/>
      <c r="M173" s="160"/>
      <c r="N173" s="160"/>
      <c r="O173" s="148"/>
      <c r="P173" s="161">
        <f>SUM(Q173:AP173)</f>
      </c>
      <c r="Q173" s="161"/>
      <c r="R173" s="161"/>
      <c r="S173" s="161"/>
      <c r="T173" s="161"/>
      <c r="U173" s="161"/>
      <c r="V173" s="161"/>
      <c r="W173" s="161"/>
      <c r="X173" s="161"/>
      <c r="Y173" s="161"/>
      <c r="Z173" s="161"/>
      <c r="AA173" s="161"/>
      <c r="AB173" s="161"/>
      <c r="AC173" s="161"/>
      <c r="AD173" s="161"/>
      <c r="AE173" s="161"/>
      <c r="AF173" s="161"/>
      <c r="AG173" s="161"/>
      <c r="AH173" s="161"/>
      <c r="AI173" s="161"/>
      <c r="AJ173" s="161"/>
      <c r="AK173" s="161"/>
      <c r="AL173" s="161"/>
      <c r="AM173" s="161"/>
      <c r="AN173" s="161"/>
      <c r="AO173" s="161"/>
      <c r="AP173" s="161"/>
      <c r="AQ173" s="161">
        <f>SUM(AR173:AU173)</f>
      </c>
      <c r="AR173" s="161"/>
      <c r="AS173" s="161"/>
      <c r="AT173" s="161"/>
      <c r="AU173" s="161"/>
      <c r="AV173" s="161">
        <f>SUM(AW173:BH173)</f>
      </c>
      <c r="AW173" s="161"/>
      <c r="AX173" s="161"/>
      <c r="AY173" s="161"/>
      <c r="AZ173" s="161"/>
      <c r="BA173" s="161"/>
      <c r="BB173" s="161"/>
      <c r="BC173" s="161"/>
      <c r="BD173" s="161"/>
      <c r="BE173" s="161"/>
      <c r="BF173" s="161"/>
      <c r="BG173" s="161"/>
      <c r="BH173" s="161"/>
      <c r="BI173" s="161"/>
      <c r="BJ173" s="161"/>
      <c r="BK173" s="161"/>
      <c r="BL173" s="161"/>
      <c r="BM173" s="161"/>
      <c r="BN173" s="161"/>
      <c r="BO173" s="161"/>
      <c r="BP173" s="161"/>
      <c r="BQ173" s="161"/>
      <c r="BR173" s="161"/>
      <c r="BS173" s="161">
        <f>SUM(BT173:BV173)</f>
      </c>
      <c r="BT173" s="161"/>
      <c r="BU173" s="161"/>
      <c r="BV173" s="161"/>
      <c r="BW173" s="161">
        <f>SUM(BX173:CC173)</f>
      </c>
      <c r="BX173" s="161"/>
      <c r="BY173" s="161"/>
      <c r="BZ173" s="161"/>
      <c r="CA173" s="161"/>
      <c r="CB173" s="161"/>
      <c r="CC173" s="161"/>
      <c r="CD173" s="161"/>
      <c r="CE173" s="161"/>
      <c r="CF173" s="161"/>
      <c r="CG173" s="161"/>
      <c r="CH173" s="161"/>
      <c r="CI173" s="161"/>
      <c r="CJ173" s="161">
        <f>SUM(CK173:CM173)</f>
      </c>
      <c r="CK173" s="161"/>
      <c r="CL173" s="161"/>
      <c r="CM173" s="161"/>
      <c r="CN173" s="161">
        <f>SUM(CO173:CS173)</f>
      </c>
      <c r="CO173" s="161"/>
      <c r="CP173" s="161"/>
      <c r="CQ173" s="161"/>
      <c r="CR173" s="161"/>
      <c r="CS173" s="161"/>
      <c r="CT173" s="161"/>
      <c r="CU173" s="161"/>
      <c r="CV173" s="161"/>
      <c r="CW173" s="161"/>
      <c r="CX173" s="161"/>
      <c r="CY173" s="161"/>
      <c r="CZ173" s="161"/>
      <c r="DA173" s="161"/>
      <c r="DB173" s="161"/>
      <c r="DC173" s="161"/>
      <c r="DD173" s="161"/>
      <c r="DE173" s="161"/>
      <c r="DF173" s="161">
        <f>SUM(DG173:DG173)</f>
      </c>
      <c r="DG173" s="161"/>
      <c r="DH173" s="161"/>
      <c r="DI173" s="161"/>
      <c r="DJ173" s="161">
        <f>SUM(DK173:DP173)</f>
      </c>
      <c r="DK173" s="161"/>
      <c r="DL173" s="161"/>
      <c r="DM173" s="161"/>
      <c r="DN173" s="161"/>
      <c r="DO173" s="161"/>
      <c r="DP173" s="161"/>
      <c r="DQ173" s="161"/>
      <c r="DR173" s="161"/>
      <c r="DS173" s="161"/>
      <c r="DT173" s="161"/>
      <c r="DU173" s="161"/>
      <c r="DV173" s="161"/>
      <c r="DW173" s="161"/>
      <c r="DX173" s="161"/>
      <c r="DY173" s="161"/>
      <c r="DZ173" s="161"/>
      <c r="EA173" s="161"/>
      <c r="EB173" s="161"/>
      <c r="EC173" s="161"/>
      <c r="ED173" s="161"/>
      <c r="EE173" s="161"/>
      <c r="EF173" s="161">
        <f>SUM(EG173:EP173)</f>
      </c>
      <c r="EG173" s="161"/>
      <c r="EH173" s="161"/>
      <c r="EI173" s="161"/>
      <c r="EJ173" s="161"/>
      <c r="EK173" s="161"/>
      <c r="EL173" s="161"/>
      <c r="EM173" s="161"/>
      <c r="EN173" s="161"/>
      <c r="EO173" s="161"/>
      <c r="EP173" s="161"/>
      <c r="EQ173" s="161">
        <f>SUM(ER173:ES173)</f>
      </c>
      <c r="ER173" s="161"/>
      <c r="ES173" s="161"/>
      <c r="ET173" s="161"/>
      <c r="EU173" s="161"/>
      <c r="EV173" s="161"/>
      <c r="EW173" s="161"/>
      <c r="EX173" s="161"/>
      <c r="EY173" s="161"/>
      <c r="EZ173" s="161"/>
      <c r="FA173" s="161"/>
      <c r="FB173" s="161"/>
      <c r="FC173" s="161"/>
      <c r="FD173" s="161"/>
      <c r="FE173" s="161"/>
      <c r="FF173" s="161"/>
      <c r="FG173" s="161"/>
      <c r="FH173" s="163" cm="1">
        <f t="array" ref="FH173">ROW()-ROW(Ongoing[#Headers])</f>
        <v>167</v>
      </c>
      <c r="FI173" s="164" t="s">
        <v>1130</v>
      </c>
      <c r="FJ173" s="164" t="s">
        <v>755</v>
      </c>
      <c r="FK173" s="164">
        <v>0</v>
      </c>
      <c r="FL173" s="164" t="s">
        <v>769</v>
      </c>
      <c r="FM173" s="164">
        <v>0</v>
      </c>
      <c r="FN173" s="164" t="s">
        <v>770</v>
      </c>
      <c r="FO173" s="164" t="s">
        <v>873</v>
      </c>
      <c r="FP173" s="164" t="s">
        <v>759</v>
      </c>
    </row>
    <row r="174" spans="2:172" s="115" customFormat="1" ht="11.25" x14ac:dyDescent="0.2">
      <c r="B174" s="148"/>
      <c r="C174" s="148"/>
      <c r="D174" s="148"/>
      <c r="E174" s="148"/>
      <c r="F174" s="148"/>
      <c r="G174" s="148"/>
      <c r="H174" s="148"/>
      <c r="I174" s="148"/>
      <c r="J174" s="148"/>
      <c r="K174" s="148"/>
      <c r="L174" s="148"/>
      <c r="M174" s="160"/>
      <c r="N174" s="160"/>
      <c r="O174" s="148"/>
      <c r="P174" s="161">
        <f>SUM(Q174:AP174)</f>
      </c>
      <c r="Q174" s="161"/>
      <c r="R174" s="161"/>
      <c r="S174" s="161"/>
      <c r="T174" s="161"/>
      <c r="U174" s="161"/>
      <c r="V174" s="161"/>
      <c r="W174" s="161"/>
      <c r="X174" s="161"/>
      <c r="Y174" s="161"/>
      <c r="Z174" s="161"/>
      <c r="AA174" s="161"/>
      <c r="AB174" s="161"/>
      <c r="AC174" s="161"/>
      <c r="AD174" s="161"/>
      <c r="AE174" s="161"/>
      <c r="AF174" s="161"/>
      <c r="AG174" s="161"/>
      <c r="AH174" s="161"/>
      <c r="AI174" s="161"/>
      <c r="AJ174" s="161"/>
      <c r="AK174" s="161"/>
      <c r="AL174" s="161"/>
      <c r="AM174" s="161"/>
      <c r="AN174" s="161"/>
      <c r="AO174" s="161"/>
      <c r="AP174" s="161"/>
      <c r="AQ174" s="161">
        <f>SUM(AR174:AU174)</f>
      </c>
      <c r="AR174" s="161"/>
      <c r="AS174" s="161"/>
      <c r="AT174" s="161"/>
      <c r="AU174" s="161"/>
      <c r="AV174" s="161">
        <f>SUM(AW174:BH174)</f>
      </c>
      <c r="AW174" s="161"/>
      <c r="AX174" s="161"/>
      <c r="AY174" s="161"/>
      <c r="AZ174" s="161"/>
      <c r="BA174" s="161"/>
      <c r="BB174" s="161"/>
      <c r="BC174" s="161"/>
      <c r="BD174" s="161"/>
      <c r="BE174" s="161"/>
      <c r="BF174" s="161"/>
      <c r="BG174" s="161"/>
      <c r="BH174" s="161"/>
      <c r="BI174" s="161"/>
      <c r="BJ174" s="161"/>
      <c r="BK174" s="161"/>
      <c r="BL174" s="161"/>
      <c r="BM174" s="161"/>
      <c r="BN174" s="161"/>
      <c r="BO174" s="161"/>
      <c r="BP174" s="161"/>
      <c r="BQ174" s="161"/>
      <c r="BR174" s="161"/>
      <c r="BS174" s="161">
        <f>SUM(BT174:BV174)</f>
      </c>
      <c r="BT174" s="161"/>
      <c r="BU174" s="161"/>
      <c r="BV174" s="161"/>
      <c r="BW174" s="161">
        <f>SUM(BX174:CC174)</f>
      </c>
      <c r="BX174" s="161"/>
      <c r="BY174" s="161"/>
      <c r="BZ174" s="161"/>
      <c r="CA174" s="161"/>
      <c r="CB174" s="161"/>
      <c r="CC174" s="161"/>
      <c r="CD174" s="161"/>
      <c r="CE174" s="161"/>
      <c r="CF174" s="161"/>
      <c r="CG174" s="161"/>
      <c r="CH174" s="161"/>
      <c r="CI174" s="161"/>
      <c r="CJ174" s="161">
        <f>SUM(CK174:CM174)</f>
      </c>
      <c r="CK174" s="161"/>
      <c r="CL174" s="161"/>
      <c r="CM174" s="161"/>
      <c r="CN174" s="161">
        <f>SUM(CO174:CS174)</f>
      </c>
      <c r="CO174" s="161"/>
      <c r="CP174" s="161"/>
      <c r="CQ174" s="161"/>
      <c r="CR174" s="161"/>
      <c r="CS174" s="161"/>
      <c r="CT174" s="161"/>
      <c r="CU174" s="161"/>
      <c r="CV174" s="161"/>
      <c r="CW174" s="161"/>
      <c r="CX174" s="161"/>
      <c r="CY174" s="161"/>
      <c r="CZ174" s="161"/>
      <c r="DA174" s="161"/>
      <c r="DB174" s="161"/>
      <c r="DC174" s="161"/>
      <c r="DD174" s="161"/>
      <c r="DE174" s="161"/>
      <c r="DF174" s="161">
        <f>SUM(DG174:DG174)</f>
      </c>
      <c r="DG174" s="161"/>
      <c r="DH174" s="161"/>
      <c r="DI174" s="161"/>
      <c r="DJ174" s="161">
        <f>SUM(DK174:DP174)</f>
      </c>
      <c r="DK174" s="161"/>
      <c r="DL174" s="161"/>
      <c r="DM174" s="161"/>
      <c r="DN174" s="161"/>
      <c r="DO174" s="161"/>
      <c r="DP174" s="161"/>
      <c r="DQ174" s="161"/>
      <c r="DR174" s="161"/>
      <c r="DS174" s="161"/>
      <c r="DT174" s="161"/>
      <c r="DU174" s="161"/>
      <c r="DV174" s="161"/>
      <c r="DW174" s="161"/>
      <c r="DX174" s="161"/>
      <c r="DY174" s="161"/>
      <c r="DZ174" s="161"/>
      <c r="EA174" s="161"/>
      <c r="EB174" s="161"/>
      <c r="EC174" s="161"/>
      <c r="ED174" s="161"/>
      <c r="EE174" s="161"/>
      <c r="EF174" s="161">
        <f>SUM(EG174:EP174)</f>
      </c>
      <c r="EG174" s="161"/>
      <c r="EH174" s="161"/>
      <c r="EI174" s="161"/>
      <c r="EJ174" s="161"/>
      <c r="EK174" s="161"/>
      <c r="EL174" s="161"/>
      <c r="EM174" s="161"/>
      <c r="EN174" s="161"/>
      <c r="EO174" s="161"/>
      <c r="EP174" s="161"/>
      <c r="EQ174" s="161">
        <f>SUM(ER174:ES174)</f>
      </c>
      <c r="ER174" s="161"/>
      <c r="ES174" s="161"/>
      <c r="ET174" s="161"/>
      <c r="EU174" s="161"/>
      <c r="EV174" s="161"/>
      <c r="EW174" s="161"/>
      <c r="EX174" s="161"/>
      <c r="EY174" s="161"/>
      <c r="EZ174" s="161"/>
      <c r="FA174" s="161"/>
      <c r="FB174" s="161"/>
      <c r="FC174" s="161"/>
      <c r="FD174" s="161"/>
      <c r="FE174" s="161"/>
      <c r="FF174" s="161"/>
      <c r="FG174" s="161"/>
      <c r="FH174" s="163" cm="1">
        <f t="array" ref="FH174">ROW()-ROW(Ongoing[#Headers])</f>
        <v>168</v>
      </c>
      <c r="FI174" s="164"/>
      <c r="FJ174" s="164"/>
      <c r="FK174" s="164"/>
      <c r="FL174" s="164"/>
      <c r="FM174" s="164"/>
      <c r="FN174" s="164"/>
      <c r="FO174" s="164"/>
      <c r="FP174" s="164"/>
    </row>
    <row r="175" spans="2:172" s="115" customFormat="1" ht="11.25" x14ac:dyDescent="0.2">
      <c r="B175" s="148"/>
      <c r="C175" s="148"/>
      <c r="D175" s="148"/>
      <c r="E175" s="148"/>
      <c r="F175" s="148"/>
      <c r="G175" s="148"/>
      <c r="H175" s="148"/>
      <c r="I175" s="148"/>
      <c r="J175" s="148"/>
      <c r="K175" s="148"/>
      <c r="L175" s="148"/>
      <c r="M175" s="160"/>
      <c r="N175" s="160"/>
      <c r="O175" s="148"/>
      <c r="P175" s="161">
        <f>SUM(Q175:AP175)</f>
      </c>
      <c r="Q175" s="161"/>
      <c r="R175" s="161"/>
      <c r="S175" s="161"/>
      <c r="T175" s="161"/>
      <c r="U175" s="161"/>
      <c r="V175" s="161"/>
      <c r="W175" s="161"/>
      <c r="X175" s="161"/>
      <c r="Y175" s="161"/>
      <c r="Z175" s="161"/>
      <c r="AA175" s="161"/>
      <c r="AB175" s="161"/>
      <c r="AC175" s="161"/>
      <c r="AD175" s="161"/>
      <c r="AE175" s="161"/>
      <c r="AF175" s="161"/>
      <c r="AG175" s="161"/>
      <c r="AH175" s="161"/>
      <c r="AI175" s="161"/>
      <c r="AJ175" s="161"/>
      <c r="AK175" s="161"/>
      <c r="AL175" s="161"/>
      <c r="AM175" s="161"/>
      <c r="AN175" s="161"/>
      <c r="AO175" s="161"/>
      <c r="AP175" s="161"/>
      <c r="AQ175" s="161">
        <f>SUM(AR175:AU175)</f>
      </c>
      <c r="AR175" s="161"/>
      <c r="AS175" s="161"/>
      <c r="AT175" s="161"/>
      <c r="AU175" s="161"/>
      <c r="AV175" s="161">
        <f>SUM(AW175:BH175)</f>
      </c>
      <c r="AW175" s="161"/>
      <c r="AX175" s="161"/>
      <c r="AY175" s="161"/>
      <c r="AZ175" s="161"/>
      <c r="BA175" s="161"/>
      <c r="BB175" s="161"/>
      <c r="BC175" s="161"/>
      <c r="BD175" s="161"/>
      <c r="BE175" s="161"/>
      <c r="BF175" s="161"/>
      <c r="BG175" s="161"/>
      <c r="BH175" s="161"/>
      <c r="BI175" s="161"/>
      <c r="BJ175" s="161"/>
      <c r="BK175" s="161"/>
      <c r="BL175" s="161"/>
      <c r="BM175" s="161"/>
      <c r="BN175" s="161"/>
      <c r="BO175" s="161"/>
      <c r="BP175" s="161"/>
      <c r="BQ175" s="161"/>
      <c r="BR175" s="161"/>
      <c r="BS175" s="161">
        <f>SUM(BT175:BV175)</f>
      </c>
      <c r="BT175" s="161"/>
      <c r="BU175" s="161"/>
      <c r="BV175" s="161"/>
      <c r="BW175" s="161">
        <f>SUM(BX175:CC175)</f>
      </c>
      <c r="BX175" s="161"/>
      <c r="BY175" s="161"/>
      <c r="BZ175" s="161"/>
      <c r="CA175" s="161"/>
      <c r="CB175" s="161"/>
      <c r="CC175" s="161"/>
      <c r="CD175" s="161"/>
      <c r="CE175" s="161"/>
      <c r="CF175" s="161"/>
      <c r="CG175" s="161"/>
      <c r="CH175" s="161"/>
      <c r="CI175" s="161"/>
      <c r="CJ175" s="161">
        <f>SUM(CK175:CM175)</f>
      </c>
      <c r="CK175" s="161"/>
      <c r="CL175" s="161"/>
      <c r="CM175" s="161"/>
      <c r="CN175" s="161">
        <f>SUM(CO175:CS175)</f>
      </c>
      <c r="CO175" s="161"/>
      <c r="CP175" s="161"/>
      <c r="CQ175" s="161"/>
      <c r="CR175" s="161"/>
      <c r="CS175" s="161"/>
      <c r="CT175" s="161"/>
      <c r="CU175" s="161"/>
      <c r="CV175" s="161"/>
      <c r="CW175" s="161"/>
      <c r="CX175" s="161"/>
      <c r="CY175" s="161"/>
      <c r="CZ175" s="161"/>
      <c r="DA175" s="161"/>
      <c r="DB175" s="161"/>
      <c r="DC175" s="161"/>
      <c r="DD175" s="161"/>
      <c r="DE175" s="161"/>
      <c r="DF175" s="161">
        <f>SUM(DG175:DG175)</f>
      </c>
      <c r="DG175" s="161"/>
      <c r="DH175" s="161"/>
      <c r="DI175" s="161"/>
      <c r="DJ175" s="161">
        <f>SUM(DK175:DP175)</f>
      </c>
      <c r="DK175" s="161"/>
      <c r="DL175" s="161"/>
      <c r="DM175" s="161"/>
      <c r="DN175" s="161"/>
      <c r="DO175" s="161"/>
      <c r="DP175" s="161"/>
      <c r="DQ175" s="161"/>
      <c r="DR175" s="161"/>
      <c r="DS175" s="161"/>
      <c r="DT175" s="161"/>
      <c r="DU175" s="161"/>
      <c r="DV175" s="161"/>
      <c r="DW175" s="161"/>
      <c r="DX175" s="161"/>
      <c r="DY175" s="161"/>
      <c r="DZ175" s="161"/>
      <c r="EA175" s="161"/>
      <c r="EB175" s="161"/>
      <c r="EC175" s="161"/>
      <c r="ED175" s="161"/>
      <c r="EE175" s="161"/>
      <c r="EF175" s="161">
        <f>SUM(EG175:EP175)</f>
      </c>
      <c r="EG175" s="161"/>
      <c r="EH175" s="161"/>
      <c r="EI175" s="161"/>
      <c r="EJ175" s="161"/>
      <c r="EK175" s="161"/>
      <c r="EL175" s="161"/>
      <c r="EM175" s="161"/>
      <c r="EN175" s="161"/>
      <c r="EO175" s="161"/>
      <c r="EP175" s="161"/>
      <c r="EQ175" s="161">
        <f>SUM(ER175:ES175)</f>
      </c>
      <c r="ER175" s="161"/>
      <c r="ES175" s="161"/>
      <c r="ET175" s="161"/>
      <c r="EU175" s="161"/>
      <c r="EV175" s="161"/>
      <c r="EW175" s="161"/>
      <c r="EX175" s="161"/>
      <c r="EY175" s="161"/>
      <c r="EZ175" s="161"/>
      <c r="FA175" s="161"/>
      <c r="FB175" s="161"/>
      <c r="FC175" s="161"/>
      <c r="FD175" s="161"/>
      <c r="FE175" s="161"/>
      <c r="FF175" s="161"/>
      <c r="FG175" s="161"/>
      <c r="FH175" s="163" cm="1">
        <f t="array" ref="FH175">ROW()-ROW(Ongoing[#Headers])</f>
        <v>169</v>
      </c>
      <c r="FI175" s="164" t="s">
        <v>780</v>
      </c>
      <c r="FJ175" s="164" t="s">
        <v>755</v>
      </c>
      <c r="FK175" s="164">
        <v>0</v>
      </c>
      <c r="FL175" s="164" t="s">
        <v>781</v>
      </c>
      <c r="FM175" s="164" t="s">
        <v>790</v>
      </c>
      <c r="FN175" s="164" t="s">
        <v>782</v>
      </c>
      <c r="FO175" s="164" t="s">
        <v>783</v>
      </c>
      <c r="FP175" s="164" t="s">
        <v>759</v>
      </c>
    </row>
    <row r="176" spans="2:172" s="115" customFormat="1" ht="11.25" x14ac:dyDescent="0.2">
      <c r="B176" s="148"/>
      <c r="C176" s="148"/>
      <c r="D176" s="148"/>
      <c r="E176" s="148"/>
      <c r="F176" s="148"/>
      <c r="G176" s="148"/>
      <c r="H176" s="148"/>
      <c r="I176" s="148"/>
      <c r="J176" s="148"/>
      <c r="K176" s="148"/>
      <c r="L176" s="148"/>
      <c r="M176" s="160"/>
      <c r="N176" s="160"/>
      <c r="O176" s="148"/>
      <c r="P176" s="161">
        <f>SUM(Q176:AP176)</f>
      </c>
      <c r="Q176" s="161"/>
      <c r="R176" s="161"/>
      <c r="S176" s="161"/>
      <c r="T176" s="161"/>
      <c r="U176" s="161"/>
      <c r="V176" s="161"/>
      <c r="W176" s="161"/>
      <c r="X176" s="161"/>
      <c r="Y176" s="161"/>
      <c r="Z176" s="161"/>
      <c r="AA176" s="161"/>
      <c r="AB176" s="161"/>
      <c r="AC176" s="161"/>
      <c r="AD176" s="161"/>
      <c r="AE176" s="161"/>
      <c r="AF176" s="161"/>
      <c r="AG176" s="161"/>
      <c r="AH176" s="161"/>
      <c r="AI176" s="161"/>
      <c r="AJ176" s="161"/>
      <c r="AK176" s="161"/>
      <c r="AL176" s="161"/>
      <c r="AM176" s="161"/>
      <c r="AN176" s="161"/>
      <c r="AO176" s="161"/>
      <c r="AP176" s="161"/>
      <c r="AQ176" s="161">
        <f>SUM(AR176:AU176)</f>
      </c>
      <c r="AR176" s="161"/>
      <c r="AS176" s="161"/>
      <c r="AT176" s="161"/>
      <c r="AU176" s="161"/>
      <c r="AV176" s="161">
        <f>SUM(AW176:BH176)</f>
      </c>
      <c r="AW176" s="161"/>
      <c r="AX176" s="161"/>
      <c r="AY176" s="161"/>
      <c r="AZ176" s="161"/>
      <c r="BA176" s="161"/>
      <c r="BB176" s="161"/>
      <c r="BC176" s="161"/>
      <c r="BD176" s="161"/>
      <c r="BE176" s="161"/>
      <c r="BF176" s="161"/>
      <c r="BG176" s="161"/>
      <c r="BH176" s="161"/>
      <c r="BI176" s="161"/>
      <c r="BJ176" s="161"/>
      <c r="BK176" s="161"/>
      <c r="BL176" s="161"/>
      <c r="BM176" s="161"/>
      <c r="BN176" s="161"/>
      <c r="BO176" s="161"/>
      <c r="BP176" s="161"/>
      <c r="BQ176" s="161"/>
      <c r="BR176" s="161"/>
      <c r="BS176" s="161">
        <f>SUM(BT176:BV176)</f>
      </c>
      <c r="BT176" s="161"/>
      <c r="BU176" s="161"/>
      <c r="BV176" s="161"/>
      <c r="BW176" s="161">
        <f>SUM(BX176:CC176)</f>
      </c>
      <c r="BX176" s="161"/>
      <c r="BY176" s="161"/>
      <c r="BZ176" s="161"/>
      <c r="CA176" s="161"/>
      <c r="CB176" s="161"/>
      <c r="CC176" s="161"/>
      <c r="CD176" s="161"/>
      <c r="CE176" s="161"/>
      <c r="CF176" s="161"/>
      <c r="CG176" s="161"/>
      <c r="CH176" s="161"/>
      <c r="CI176" s="161"/>
      <c r="CJ176" s="161">
        <f>SUM(CK176:CM176)</f>
      </c>
      <c r="CK176" s="161"/>
      <c r="CL176" s="161"/>
      <c r="CM176" s="161"/>
      <c r="CN176" s="161">
        <f>SUM(CO176:CS176)</f>
      </c>
      <c r="CO176" s="161"/>
      <c r="CP176" s="161"/>
      <c r="CQ176" s="161"/>
      <c r="CR176" s="161"/>
      <c r="CS176" s="161"/>
      <c r="CT176" s="161"/>
      <c r="CU176" s="161"/>
      <c r="CV176" s="161"/>
      <c r="CW176" s="161"/>
      <c r="CX176" s="161"/>
      <c r="CY176" s="161"/>
      <c r="CZ176" s="161"/>
      <c r="DA176" s="161"/>
      <c r="DB176" s="161"/>
      <c r="DC176" s="161"/>
      <c r="DD176" s="161"/>
      <c r="DE176" s="161"/>
      <c r="DF176" s="161">
        <f>SUM(DG176:DG176)</f>
      </c>
      <c r="DG176" s="161"/>
      <c r="DH176" s="161"/>
      <c r="DI176" s="161"/>
      <c r="DJ176" s="161">
        <f>SUM(DK176:DP176)</f>
      </c>
      <c r="DK176" s="161"/>
      <c r="DL176" s="161"/>
      <c r="DM176" s="161"/>
      <c r="DN176" s="161"/>
      <c r="DO176" s="161"/>
      <c r="DP176" s="161"/>
      <c r="DQ176" s="161"/>
      <c r="DR176" s="161"/>
      <c r="DS176" s="161"/>
      <c r="DT176" s="161"/>
      <c r="DU176" s="161"/>
      <c r="DV176" s="161"/>
      <c r="DW176" s="161"/>
      <c r="DX176" s="161"/>
      <c r="DY176" s="161"/>
      <c r="DZ176" s="161"/>
      <c r="EA176" s="161"/>
      <c r="EB176" s="161"/>
      <c r="EC176" s="161"/>
      <c r="ED176" s="161"/>
      <c r="EE176" s="161"/>
      <c r="EF176" s="161">
        <f>SUM(EG176:EP176)</f>
      </c>
      <c r="EG176" s="161"/>
      <c r="EH176" s="161"/>
      <c r="EI176" s="161"/>
      <c r="EJ176" s="161"/>
      <c r="EK176" s="161"/>
      <c r="EL176" s="161"/>
      <c r="EM176" s="161"/>
      <c r="EN176" s="161"/>
      <c r="EO176" s="161"/>
      <c r="EP176" s="161"/>
      <c r="EQ176" s="161">
        <f>SUM(ER176:ES176)</f>
      </c>
      <c r="ER176" s="161"/>
      <c r="ES176" s="161"/>
      <c r="ET176" s="161"/>
      <c r="EU176" s="161"/>
      <c r="EV176" s="161"/>
      <c r="EW176" s="161"/>
      <c r="EX176" s="161"/>
      <c r="EY176" s="161"/>
      <c r="EZ176" s="161"/>
      <c r="FA176" s="161"/>
      <c r="FB176" s="161"/>
      <c r="FC176" s="161"/>
      <c r="FD176" s="161"/>
      <c r="FE176" s="161"/>
      <c r="FF176" s="161"/>
      <c r="FG176" s="161"/>
      <c r="FH176" s="163" cm="1">
        <f t="array" ref="FH176">ROW()-ROW(Ongoing[#Headers])</f>
        <v>170</v>
      </c>
      <c r="FI176" s="164" t="s">
        <v>780</v>
      </c>
      <c r="FJ176" s="164" t="s">
        <v>755</v>
      </c>
      <c r="FK176" s="164">
        <v>0</v>
      </c>
      <c r="FL176" s="164" t="s">
        <v>781</v>
      </c>
      <c r="FM176" s="164" t="s">
        <v>790</v>
      </c>
      <c r="FN176" s="164" t="s">
        <v>782</v>
      </c>
      <c r="FO176" s="164" t="s">
        <v>783</v>
      </c>
      <c r="FP176" s="164" t="s">
        <v>759</v>
      </c>
    </row>
    <row r="177" spans="2:172" s="115" customFormat="1" ht="11.25" x14ac:dyDescent="0.2">
      <c r="B177" s="148"/>
      <c r="C177" s="148"/>
      <c r="D177" s="148"/>
      <c r="E177" s="148"/>
      <c r="F177" s="148"/>
      <c r="G177" s="148"/>
      <c r="H177" s="148"/>
      <c r="I177" s="148"/>
      <c r="J177" s="148"/>
      <c r="K177" s="148"/>
      <c r="L177" s="148"/>
      <c r="M177" s="160"/>
      <c r="N177" s="160"/>
      <c r="O177" s="148"/>
      <c r="P177" s="161">
        <f>SUM(Q177:AP177)</f>
      </c>
      <c r="Q177" s="161"/>
      <c r="R177" s="161"/>
      <c r="S177" s="161"/>
      <c r="T177" s="161"/>
      <c r="U177" s="161"/>
      <c r="V177" s="161"/>
      <c r="W177" s="161"/>
      <c r="X177" s="161"/>
      <c r="Y177" s="161"/>
      <c r="Z177" s="161"/>
      <c r="AA177" s="161"/>
      <c r="AB177" s="161"/>
      <c r="AC177" s="161"/>
      <c r="AD177" s="161"/>
      <c r="AE177" s="161"/>
      <c r="AF177" s="161"/>
      <c r="AG177" s="161"/>
      <c r="AH177" s="161"/>
      <c r="AI177" s="161"/>
      <c r="AJ177" s="161"/>
      <c r="AK177" s="161"/>
      <c r="AL177" s="161"/>
      <c r="AM177" s="161"/>
      <c r="AN177" s="161"/>
      <c r="AO177" s="161"/>
      <c r="AP177" s="161"/>
      <c r="AQ177" s="161">
        <f>SUM(AR177:AU177)</f>
      </c>
      <c r="AR177" s="161"/>
      <c r="AS177" s="161"/>
      <c r="AT177" s="161"/>
      <c r="AU177" s="161"/>
      <c r="AV177" s="161">
        <f>SUM(AW177:BH177)</f>
      </c>
      <c r="AW177" s="161"/>
      <c r="AX177" s="161"/>
      <c r="AY177" s="161"/>
      <c r="AZ177" s="161"/>
      <c r="BA177" s="161"/>
      <c r="BB177" s="161"/>
      <c r="BC177" s="161"/>
      <c r="BD177" s="161"/>
      <c r="BE177" s="161"/>
      <c r="BF177" s="161"/>
      <c r="BG177" s="161"/>
      <c r="BH177" s="161"/>
      <c r="BI177" s="161"/>
      <c r="BJ177" s="161"/>
      <c r="BK177" s="161"/>
      <c r="BL177" s="161"/>
      <c r="BM177" s="161"/>
      <c r="BN177" s="161"/>
      <c r="BO177" s="161"/>
      <c r="BP177" s="161"/>
      <c r="BQ177" s="161"/>
      <c r="BR177" s="161"/>
      <c r="BS177" s="161">
        <f>SUM(BT177:BV177)</f>
      </c>
      <c r="BT177" s="161"/>
      <c r="BU177" s="161"/>
      <c r="BV177" s="161"/>
      <c r="BW177" s="161">
        <f>SUM(BX177:CC177)</f>
      </c>
      <c r="BX177" s="161"/>
      <c r="BY177" s="161"/>
      <c r="BZ177" s="161"/>
      <c r="CA177" s="161"/>
      <c r="CB177" s="161"/>
      <c r="CC177" s="161"/>
      <c r="CD177" s="161"/>
      <c r="CE177" s="161"/>
      <c r="CF177" s="161"/>
      <c r="CG177" s="161"/>
      <c r="CH177" s="161"/>
      <c r="CI177" s="161"/>
      <c r="CJ177" s="161">
        <f>SUM(CK177:CM177)</f>
      </c>
      <c r="CK177" s="161"/>
      <c r="CL177" s="161"/>
      <c r="CM177" s="161"/>
      <c r="CN177" s="161">
        <f>SUM(CO177:CS177)</f>
      </c>
      <c r="CO177" s="161"/>
      <c r="CP177" s="161"/>
      <c r="CQ177" s="161"/>
      <c r="CR177" s="161"/>
      <c r="CS177" s="161"/>
      <c r="CT177" s="161"/>
      <c r="CU177" s="161"/>
      <c r="CV177" s="161"/>
      <c r="CW177" s="161"/>
      <c r="CX177" s="161"/>
      <c r="CY177" s="161"/>
      <c r="CZ177" s="161"/>
      <c r="DA177" s="161"/>
      <c r="DB177" s="161"/>
      <c r="DC177" s="161"/>
      <c r="DD177" s="161"/>
      <c r="DE177" s="161"/>
      <c r="DF177" s="161">
        <f>SUM(DG177:DG177)</f>
      </c>
      <c r="DG177" s="161"/>
      <c r="DH177" s="161"/>
      <c r="DI177" s="161"/>
      <c r="DJ177" s="161">
        <f>SUM(DK177:DP177)</f>
      </c>
      <c r="DK177" s="161"/>
      <c r="DL177" s="161"/>
      <c r="DM177" s="161"/>
      <c r="DN177" s="161"/>
      <c r="DO177" s="161"/>
      <c r="DP177" s="161"/>
      <c r="DQ177" s="161"/>
      <c r="DR177" s="161"/>
      <c r="DS177" s="161"/>
      <c r="DT177" s="161"/>
      <c r="DU177" s="161"/>
      <c r="DV177" s="161"/>
      <c r="DW177" s="161"/>
      <c r="DX177" s="161"/>
      <c r="DY177" s="161"/>
      <c r="DZ177" s="161"/>
      <c r="EA177" s="161"/>
      <c r="EB177" s="161"/>
      <c r="EC177" s="161"/>
      <c r="ED177" s="161"/>
      <c r="EE177" s="161"/>
      <c r="EF177" s="161">
        <f>SUM(EG177:EP177)</f>
      </c>
      <c r="EG177" s="161"/>
      <c r="EH177" s="161"/>
      <c r="EI177" s="161"/>
      <c r="EJ177" s="161"/>
      <c r="EK177" s="161"/>
      <c r="EL177" s="161"/>
      <c r="EM177" s="161"/>
      <c r="EN177" s="161"/>
      <c r="EO177" s="161"/>
      <c r="EP177" s="161"/>
      <c r="EQ177" s="161">
        <f>SUM(ER177:ES177)</f>
      </c>
      <c r="ER177" s="161"/>
      <c r="ES177" s="161"/>
      <c r="ET177" s="161"/>
      <c r="EU177" s="161"/>
      <c r="EV177" s="161"/>
      <c r="EW177" s="161"/>
      <c r="EX177" s="161"/>
      <c r="EY177" s="161"/>
      <c r="EZ177" s="161"/>
      <c r="FA177" s="161"/>
      <c r="FB177" s="161"/>
      <c r="FC177" s="161"/>
      <c r="FD177" s="161"/>
      <c r="FE177" s="161"/>
      <c r="FF177" s="161"/>
      <c r="FG177" s="161"/>
      <c r="FH177" s="163" cm="1">
        <f t="array" ref="FH177">ROW()-ROW(Ongoing[#Headers])</f>
        <v>171</v>
      </c>
      <c r="FI177" s="164" t="s">
        <v>780</v>
      </c>
      <c r="FJ177" s="164" t="s">
        <v>755</v>
      </c>
      <c r="FK177" s="164">
        <v>0</v>
      </c>
      <c r="FL177" s="164" t="s">
        <v>781</v>
      </c>
      <c r="FM177" s="164" t="s">
        <v>790</v>
      </c>
      <c r="FN177" s="164" t="s">
        <v>782</v>
      </c>
      <c r="FO177" s="164" t="s">
        <v>783</v>
      </c>
      <c r="FP177" s="164" t="s">
        <v>759</v>
      </c>
    </row>
    <row r="178" spans="2:172" s="115" customFormat="1" ht="11.25" x14ac:dyDescent="0.2">
      <c r="B178" s="148"/>
      <c r="C178" s="148"/>
      <c r="D178" s="148"/>
      <c r="E178" s="148"/>
      <c r="F178" s="148"/>
      <c r="G178" s="148"/>
      <c r="H178" s="148"/>
      <c r="I178" s="148"/>
      <c r="J178" s="148"/>
      <c r="K178" s="148"/>
      <c r="L178" s="148"/>
      <c r="M178" s="160"/>
      <c r="N178" s="160"/>
      <c r="O178" s="148"/>
      <c r="P178" s="161">
        <f>SUM(Q178:AP178)</f>
      </c>
      <c r="Q178" s="161"/>
      <c r="R178" s="161"/>
      <c r="S178" s="161"/>
      <c r="T178" s="161"/>
      <c r="U178" s="161"/>
      <c r="V178" s="161"/>
      <c r="W178" s="161"/>
      <c r="X178" s="161"/>
      <c r="Y178" s="161"/>
      <c r="Z178" s="161"/>
      <c r="AA178" s="161"/>
      <c r="AB178" s="161"/>
      <c r="AC178" s="161"/>
      <c r="AD178" s="161"/>
      <c r="AE178" s="161"/>
      <c r="AF178" s="161"/>
      <c r="AG178" s="161"/>
      <c r="AH178" s="161"/>
      <c r="AI178" s="161"/>
      <c r="AJ178" s="161"/>
      <c r="AK178" s="161"/>
      <c r="AL178" s="161"/>
      <c r="AM178" s="161"/>
      <c r="AN178" s="161"/>
      <c r="AO178" s="161"/>
      <c r="AP178" s="161"/>
      <c r="AQ178" s="161">
        <f>SUM(AR178:AU178)</f>
      </c>
      <c r="AR178" s="161"/>
      <c r="AS178" s="161"/>
      <c r="AT178" s="161"/>
      <c r="AU178" s="161"/>
      <c r="AV178" s="161">
        <f>SUM(AW178:BH178)</f>
      </c>
      <c r="AW178" s="161"/>
      <c r="AX178" s="161"/>
      <c r="AY178" s="161"/>
      <c r="AZ178" s="161"/>
      <c r="BA178" s="161"/>
      <c r="BB178" s="161"/>
      <c r="BC178" s="161"/>
      <c r="BD178" s="161"/>
      <c r="BE178" s="161"/>
      <c r="BF178" s="161"/>
      <c r="BG178" s="161"/>
      <c r="BH178" s="161"/>
      <c r="BI178" s="161"/>
      <c r="BJ178" s="161"/>
      <c r="BK178" s="161"/>
      <c r="BL178" s="161"/>
      <c r="BM178" s="161"/>
      <c r="BN178" s="161"/>
      <c r="BO178" s="161"/>
      <c r="BP178" s="161"/>
      <c r="BQ178" s="161"/>
      <c r="BR178" s="161"/>
      <c r="BS178" s="161">
        <f>SUM(BT178:BV178)</f>
      </c>
      <c r="BT178" s="161"/>
      <c r="BU178" s="161"/>
      <c r="BV178" s="161"/>
      <c r="BW178" s="161">
        <f>SUM(BX178:CC178)</f>
      </c>
      <c r="BX178" s="161"/>
      <c r="BY178" s="161"/>
      <c r="BZ178" s="161"/>
      <c r="CA178" s="161"/>
      <c r="CB178" s="161"/>
      <c r="CC178" s="161"/>
      <c r="CD178" s="161"/>
      <c r="CE178" s="161"/>
      <c r="CF178" s="161"/>
      <c r="CG178" s="161"/>
      <c r="CH178" s="161"/>
      <c r="CI178" s="161"/>
      <c r="CJ178" s="161">
        <f>SUM(CK178:CM178)</f>
      </c>
      <c r="CK178" s="161"/>
      <c r="CL178" s="161"/>
      <c r="CM178" s="161"/>
      <c r="CN178" s="161">
        <f>SUM(CO178:CS178)</f>
      </c>
      <c r="CO178" s="161"/>
      <c r="CP178" s="161"/>
      <c r="CQ178" s="161"/>
      <c r="CR178" s="161"/>
      <c r="CS178" s="161"/>
      <c r="CT178" s="161"/>
      <c r="CU178" s="161"/>
      <c r="CV178" s="161"/>
      <c r="CW178" s="161"/>
      <c r="CX178" s="161"/>
      <c r="CY178" s="161"/>
      <c r="CZ178" s="161"/>
      <c r="DA178" s="161"/>
      <c r="DB178" s="161"/>
      <c r="DC178" s="161"/>
      <c r="DD178" s="161"/>
      <c r="DE178" s="161"/>
      <c r="DF178" s="161">
        <f>SUM(DG178:DG178)</f>
      </c>
      <c r="DG178" s="161"/>
      <c r="DH178" s="161"/>
      <c r="DI178" s="161"/>
      <c r="DJ178" s="161">
        <f>SUM(DK178:DP178)</f>
      </c>
      <c r="DK178" s="161"/>
      <c r="DL178" s="161"/>
      <c r="DM178" s="161"/>
      <c r="DN178" s="161"/>
      <c r="DO178" s="161"/>
      <c r="DP178" s="161"/>
      <c r="DQ178" s="161"/>
      <c r="DR178" s="161"/>
      <c r="DS178" s="161"/>
      <c r="DT178" s="161"/>
      <c r="DU178" s="161"/>
      <c r="DV178" s="161"/>
      <c r="DW178" s="161"/>
      <c r="DX178" s="161"/>
      <c r="DY178" s="161"/>
      <c r="DZ178" s="161"/>
      <c r="EA178" s="161"/>
      <c r="EB178" s="161"/>
      <c r="EC178" s="161"/>
      <c r="ED178" s="161"/>
      <c r="EE178" s="161"/>
      <c r="EF178" s="161">
        <f>SUM(EG178:EP178)</f>
      </c>
      <c r="EG178" s="161"/>
      <c r="EH178" s="161"/>
      <c r="EI178" s="161"/>
      <c r="EJ178" s="161"/>
      <c r="EK178" s="161"/>
      <c r="EL178" s="161"/>
      <c r="EM178" s="161"/>
      <c r="EN178" s="161"/>
      <c r="EO178" s="161"/>
      <c r="EP178" s="161"/>
      <c r="EQ178" s="161">
        <f>SUM(ER178:ES178)</f>
      </c>
      <c r="ER178" s="161"/>
      <c r="ES178" s="161"/>
      <c r="ET178" s="161"/>
      <c r="EU178" s="161"/>
      <c r="EV178" s="161"/>
      <c r="EW178" s="161"/>
      <c r="EX178" s="161"/>
      <c r="EY178" s="161"/>
      <c r="EZ178" s="161"/>
      <c r="FA178" s="161"/>
      <c r="FB178" s="161"/>
      <c r="FC178" s="161"/>
      <c r="FD178" s="161"/>
      <c r="FE178" s="161"/>
      <c r="FF178" s="161"/>
      <c r="FG178" s="161"/>
      <c r="FH178" s="163" cm="1">
        <f t="array" ref="FH178">ROW()-ROW(Ongoing[#Headers])</f>
        <v>172</v>
      </c>
      <c r="FI178" s="164"/>
      <c r="FJ178" s="164"/>
      <c r="FK178" s="164"/>
      <c r="FL178" s="164"/>
      <c r="FM178" s="164"/>
      <c r="FN178" s="164"/>
      <c r="FO178" s="164"/>
      <c r="FP178" s="164"/>
    </row>
    <row r="179" spans="2:172" s="115" customFormat="1" ht="11.25" x14ac:dyDescent="0.2">
      <c r="B179" s="148"/>
      <c r="C179" s="148"/>
      <c r="D179" s="148"/>
      <c r="E179" s="148"/>
      <c r="F179" s="148"/>
      <c r="G179" s="148"/>
      <c r="H179" s="148"/>
      <c r="I179" s="148"/>
      <c r="J179" s="148"/>
      <c r="K179" s="148"/>
      <c r="L179" s="148"/>
      <c r="M179" s="160"/>
      <c r="N179" s="160"/>
      <c r="O179" s="148"/>
      <c r="P179" s="161">
        <f>SUM(Q179:AP179)</f>
      </c>
      <c r="Q179" s="161"/>
      <c r="R179" s="161"/>
      <c r="S179" s="161"/>
      <c r="T179" s="161"/>
      <c r="U179" s="161"/>
      <c r="V179" s="161"/>
      <c r="W179" s="161"/>
      <c r="X179" s="161"/>
      <c r="Y179" s="161"/>
      <c r="Z179" s="161"/>
      <c r="AA179" s="161"/>
      <c r="AB179" s="161"/>
      <c r="AC179" s="161"/>
      <c r="AD179" s="161"/>
      <c r="AE179" s="161"/>
      <c r="AF179" s="161"/>
      <c r="AG179" s="161"/>
      <c r="AH179" s="161"/>
      <c r="AI179" s="161"/>
      <c r="AJ179" s="161"/>
      <c r="AK179" s="161"/>
      <c r="AL179" s="161"/>
      <c r="AM179" s="161"/>
      <c r="AN179" s="161"/>
      <c r="AO179" s="161"/>
      <c r="AP179" s="161"/>
      <c r="AQ179" s="161">
        <f>SUM(AR179:AU179)</f>
      </c>
      <c r="AR179" s="161"/>
      <c r="AS179" s="161"/>
      <c r="AT179" s="161"/>
      <c r="AU179" s="161"/>
      <c r="AV179" s="161">
        <f>SUM(AW179:BH179)</f>
      </c>
      <c r="AW179" s="161"/>
      <c r="AX179" s="161"/>
      <c r="AY179" s="161"/>
      <c r="AZ179" s="161"/>
      <c r="BA179" s="161"/>
      <c r="BB179" s="161"/>
      <c r="BC179" s="161"/>
      <c r="BD179" s="161"/>
      <c r="BE179" s="161"/>
      <c r="BF179" s="161"/>
      <c r="BG179" s="161"/>
      <c r="BH179" s="161"/>
      <c r="BI179" s="161"/>
      <c r="BJ179" s="161"/>
      <c r="BK179" s="161"/>
      <c r="BL179" s="161"/>
      <c r="BM179" s="161"/>
      <c r="BN179" s="161"/>
      <c r="BO179" s="161"/>
      <c r="BP179" s="161"/>
      <c r="BQ179" s="161"/>
      <c r="BR179" s="161"/>
      <c r="BS179" s="161">
        <f>SUM(BT179:BV179)</f>
      </c>
      <c r="BT179" s="161"/>
      <c r="BU179" s="161"/>
      <c r="BV179" s="161"/>
      <c r="BW179" s="161">
        <f>SUM(BX179:CC179)</f>
      </c>
      <c r="BX179" s="161"/>
      <c r="BY179" s="161"/>
      <c r="BZ179" s="161"/>
      <c r="CA179" s="161"/>
      <c r="CB179" s="161"/>
      <c r="CC179" s="161"/>
      <c r="CD179" s="161"/>
      <c r="CE179" s="161"/>
      <c r="CF179" s="161"/>
      <c r="CG179" s="161"/>
      <c r="CH179" s="161"/>
      <c r="CI179" s="161"/>
      <c r="CJ179" s="161">
        <f>SUM(CK179:CM179)</f>
      </c>
      <c r="CK179" s="161"/>
      <c r="CL179" s="161"/>
      <c r="CM179" s="161"/>
      <c r="CN179" s="161">
        <f>SUM(CO179:CS179)</f>
      </c>
      <c r="CO179" s="161"/>
      <c r="CP179" s="161"/>
      <c r="CQ179" s="161"/>
      <c r="CR179" s="161"/>
      <c r="CS179" s="161"/>
      <c r="CT179" s="161"/>
      <c r="CU179" s="161"/>
      <c r="CV179" s="161"/>
      <c r="CW179" s="161"/>
      <c r="CX179" s="161"/>
      <c r="CY179" s="161"/>
      <c r="CZ179" s="161"/>
      <c r="DA179" s="161"/>
      <c r="DB179" s="161"/>
      <c r="DC179" s="161"/>
      <c r="DD179" s="161"/>
      <c r="DE179" s="161"/>
      <c r="DF179" s="161">
        <f>SUM(DG179:DG179)</f>
      </c>
      <c r="DG179" s="161"/>
      <c r="DH179" s="161"/>
      <c r="DI179" s="161"/>
      <c r="DJ179" s="161">
        <f>SUM(DK179:DP179)</f>
      </c>
      <c r="DK179" s="161"/>
      <c r="DL179" s="161"/>
      <c r="DM179" s="161"/>
      <c r="DN179" s="161"/>
      <c r="DO179" s="161"/>
      <c r="DP179" s="161"/>
      <c r="DQ179" s="161"/>
      <c r="DR179" s="161"/>
      <c r="DS179" s="161"/>
      <c r="DT179" s="161"/>
      <c r="DU179" s="161"/>
      <c r="DV179" s="161"/>
      <c r="DW179" s="161"/>
      <c r="DX179" s="161"/>
      <c r="DY179" s="161"/>
      <c r="DZ179" s="161"/>
      <c r="EA179" s="161"/>
      <c r="EB179" s="161"/>
      <c r="EC179" s="161"/>
      <c r="ED179" s="161"/>
      <c r="EE179" s="161"/>
      <c r="EF179" s="161">
        <f>SUM(EG179:EP179)</f>
      </c>
      <c r="EG179" s="161"/>
      <c r="EH179" s="161"/>
      <c r="EI179" s="161"/>
      <c r="EJ179" s="161"/>
      <c r="EK179" s="161"/>
      <c r="EL179" s="161"/>
      <c r="EM179" s="161"/>
      <c r="EN179" s="161"/>
      <c r="EO179" s="161"/>
      <c r="EP179" s="161"/>
      <c r="EQ179" s="161">
        <f>SUM(ER179:ES179)</f>
      </c>
      <c r="ER179" s="161"/>
      <c r="ES179" s="161"/>
      <c r="ET179" s="161"/>
      <c r="EU179" s="161"/>
      <c r="EV179" s="161"/>
      <c r="EW179" s="161"/>
      <c r="EX179" s="161"/>
      <c r="EY179" s="161"/>
      <c r="EZ179" s="161"/>
      <c r="FA179" s="161"/>
      <c r="FB179" s="161"/>
      <c r="FC179" s="161"/>
      <c r="FD179" s="161"/>
      <c r="FE179" s="161"/>
      <c r="FF179" s="161"/>
      <c r="FG179" s="161"/>
      <c r="FH179" s="163" cm="1">
        <f t="array" ref="FH179">ROW()-ROW(Ongoing[#Headers])</f>
        <v>173</v>
      </c>
      <c r="FI179" s="164"/>
      <c r="FJ179" s="164" t="s">
        <v>755</v>
      </c>
      <c r="FK179" s="164">
        <v>0</v>
      </c>
      <c r="FL179" s="164" t="s">
        <v>781</v>
      </c>
      <c r="FM179" s="164" t="s">
        <v>790</v>
      </c>
      <c r="FN179" s="164" t="s">
        <v>782</v>
      </c>
      <c r="FO179" s="164" t="s">
        <v>811</v>
      </c>
      <c r="FP179" s="164" t="s">
        <v>759</v>
      </c>
    </row>
    <row r="180" spans="2:172" s="115" customFormat="1" ht="11.25" x14ac:dyDescent="0.2">
      <c r="B180" s="148"/>
      <c r="C180" s="148"/>
      <c r="D180" s="148"/>
      <c r="E180" s="148"/>
      <c r="F180" s="148"/>
      <c r="G180" s="148"/>
      <c r="H180" s="148"/>
      <c r="I180" s="148"/>
      <c r="J180" s="148"/>
      <c r="K180" s="148"/>
      <c r="L180" s="148"/>
      <c r="M180" s="160"/>
      <c r="N180" s="160"/>
      <c r="O180" s="148"/>
      <c r="P180" s="161">
        <f>SUM(Q180:AP180)</f>
      </c>
      <c r="Q180" s="161"/>
      <c r="R180" s="161"/>
      <c r="S180" s="161"/>
      <c r="T180" s="161"/>
      <c r="U180" s="161"/>
      <c r="V180" s="161"/>
      <c r="W180" s="161"/>
      <c r="X180" s="161"/>
      <c r="Y180" s="161"/>
      <c r="Z180" s="161"/>
      <c r="AA180" s="161"/>
      <c r="AB180" s="161"/>
      <c r="AC180" s="161"/>
      <c r="AD180" s="161"/>
      <c r="AE180" s="161"/>
      <c r="AF180" s="161"/>
      <c r="AG180" s="161"/>
      <c r="AH180" s="161"/>
      <c r="AI180" s="161"/>
      <c r="AJ180" s="161"/>
      <c r="AK180" s="161"/>
      <c r="AL180" s="161"/>
      <c r="AM180" s="161"/>
      <c r="AN180" s="161"/>
      <c r="AO180" s="161"/>
      <c r="AP180" s="161"/>
      <c r="AQ180" s="161">
        <f>SUM(AR180:AU180)</f>
      </c>
      <c r="AR180" s="161"/>
      <c r="AS180" s="161"/>
      <c r="AT180" s="161"/>
      <c r="AU180" s="161"/>
      <c r="AV180" s="161">
        <f>SUM(AW180:BH180)</f>
      </c>
      <c r="AW180" s="161"/>
      <c r="AX180" s="161"/>
      <c r="AY180" s="161"/>
      <c r="AZ180" s="161"/>
      <c r="BA180" s="161"/>
      <c r="BB180" s="161"/>
      <c r="BC180" s="161"/>
      <c r="BD180" s="161"/>
      <c r="BE180" s="161"/>
      <c r="BF180" s="161"/>
      <c r="BG180" s="161"/>
      <c r="BH180" s="161"/>
      <c r="BI180" s="161"/>
      <c r="BJ180" s="161"/>
      <c r="BK180" s="161"/>
      <c r="BL180" s="161"/>
      <c r="BM180" s="161"/>
      <c r="BN180" s="161"/>
      <c r="BO180" s="161"/>
      <c r="BP180" s="161"/>
      <c r="BQ180" s="161"/>
      <c r="BR180" s="161"/>
      <c r="BS180" s="161">
        <f>SUM(BT180:BV180)</f>
      </c>
      <c r="BT180" s="161"/>
      <c r="BU180" s="161"/>
      <c r="BV180" s="161"/>
      <c r="BW180" s="161">
        <f>SUM(BX180:CC180)</f>
      </c>
      <c r="BX180" s="161"/>
      <c r="BY180" s="161"/>
      <c r="BZ180" s="161"/>
      <c r="CA180" s="161"/>
      <c r="CB180" s="161"/>
      <c r="CC180" s="161"/>
      <c r="CD180" s="161"/>
      <c r="CE180" s="161"/>
      <c r="CF180" s="161"/>
      <c r="CG180" s="161"/>
      <c r="CH180" s="161"/>
      <c r="CI180" s="161"/>
      <c r="CJ180" s="161">
        <f>SUM(CK180:CM180)</f>
      </c>
      <c r="CK180" s="161"/>
      <c r="CL180" s="161"/>
      <c r="CM180" s="161"/>
      <c r="CN180" s="161">
        <f>SUM(CO180:CS180)</f>
      </c>
      <c r="CO180" s="161"/>
      <c r="CP180" s="161"/>
      <c r="CQ180" s="161"/>
      <c r="CR180" s="161"/>
      <c r="CS180" s="161"/>
      <c r="CT180" s="161"/>
      <c r="CU180" s="161"/>
      <c r="CV180" s="161"/>
      <c r="CW180" s="161"/>
      <c r="CX180" s="161"/>
      <c r="CY180" s="161"/>
      <c r="CZ180" s="161"/>
      <c r="DA180" s="161"/>
      <c r="DB180" s="161"/>
      <c r="DC180" s="161"/>
      <c r="DD180" s="161"/>
      <c r="DE180" s="161"/>
      <c r="DF180" s="161">
        <f>SUM(DG180:DG180)</f>
      </c>
      <c r="DG180" s="161"/>
      <c r="DH180" s="161"/>
      <c r="DI180" s="161"/>
      <c r="DJ180" s="161">
        <f>SUM(DK180:DP180)</f>
      </c>
      <c r="DK180" s="161"/>
      <c r="DL180" s="161"/>
      <c r="DM180" s="161"/>
      <c r="DN180" s="161"/>
      <c r="DO180" s="161"/>
      <c r="DP180" s="161"/>
      <c r="DQ180" s="161"/>
      <c r="DR180" s="161"/>
      <c r="DS180" s="161"/>
      <c r="DT180" s="161"/>
      <c r="DU180" s="161"/>
      <c r="DV180" s="161"/>
      <c r="DW180" s="161"/>
      <c r="DX180" s="161"/>
      <c r="DY180" s="161"/>
      <c r="DZ180" s="161"/>
      <c r="EA180" s="161"/>
      <c r="EB180" s="161"/>
      <c r="EC180" s="161"/>
      <c r="ED180" s="161"/>
      <c r="EE180" s="161"/>
      <c r="EF180" s="161">
        <f>SUM(EG180:EP180)</f>
      </c>
      <c r="EG180" s="161"/>
      <c r="EH180" s="161"/>
      <c r="EI180" s="161"/>
      <c r="EJ180" s="161"/>
      <c r="EK180" s="161"/>
      <c r="EL180" s="161"/>
      <c r="EM180" s="161"/>
      <c r="EN180" s="161"/>
      <c r="EO180" s="161"/>
      <c r="EP180" s="161"/>
      <c r="EQ180" s="161">
        <f>SUM(ER180:ES180)</f>
      </c>
      <c r="ER180" s="161"/>
      <c r="ES180" s="161"/>
      <c r="ET180" s="161"/>
      <c r="EU180" s="161"/>
      <c r="EV180" s="161"/>
      <c r="EW180" s="161"/>
      <c r="EX180" s="161"/>
      <c r="EY180" s="161"/>
      <c r="EZ180" s="161"/>
      <c r="FA180" s="161"/>
      <c r="FB180" s="161"/>
      <c r="FC180" s="161"/>
      <c r="FD180" s="161"/>
      <c r="FE180" s="161"/>
      <c r="FF180" s="161"/>
      <c r="FG180" s="161"/>
      <c r="FH180" s="163" cm="1">
        <f t="array" ref="FH180">ROW()-ROW(Ongoing[#Headers])</f>
        <v>174</v>
      </c>
      <c r="FI180" s="164" t="s">
        <v>116</v>
      </c>
      <c r="FJ180" s="164" t="s">
        <v>755</v>
      </c>
      <c r="FK180" s="164">
        <v>0</v>
      </c>
      <c r="FL180" s="164" t="s">
        <v>781</v>
      </c>
      <c r="FM180" s="164" t="s">
        <v>790</v>
      </c>
      <c r="FN180" s="164" t="s">
        <v>782</v>
      </c>
      <c r="FO180" s="164" t="s">
        <v>791</v>
      </c>
      <c r="FP180" s="164" t="s">
        <v>759</v>
      </c>
    </row>
    <row r="181" spans="2:172" s="115" customFormat="1" ht="11.25" x14ac:dyDescent="0.2">
      <c r="B181" s="148"/>
      <c r="C181" s="148"/>
      <c r="D181" s="148"/>
      <c r="E181" s="148"/>
      <c r="F181" s="148"/>
      <c r="G181" s="148"/>
      <c r="H181" s="148"/>
      <c r="I181" s="148"/>
      <c r="J181" s="148"/>
      <c r="K181" s="148"/>
      <c r="L181" s="148"/>
      <c r="M181" s="160"/>
      <c r="N181" s="160"/>
      <c r="O181" s="148"/>
      <c r="P181" s="161">
        <f>SUM(Q181:AP181)</f>
      </c>
      <c r="Q181" s="161"/>
      <c r="R181" s="161"/>
      <c r="S181" s="161"/>
      <c r="T181" s="161"/>
      <c r="U181" s="161"/>
      <c r="V181" s="161"/>
      <c r="W181" s="161"/>
      <c r="X181" s="161"/>
      <c r="Y181" s="161"/>
      <c r="Z181" s="161"/>
      <c r="AA181" s="161"/>
      <c r="AB181" s="161"/>
      <c r="AC181" s="161"/>
      <c r="AD181" s="161"/>
      <c r="AE181" s="161"/>
      <c r="AF181" s="161"/>
      <c r="AG181" s="161"/>
      <c r="AH181" s="161"/>
      <c r="AI181" s="161"/>
      <c r="AJ181" s="161"/>
      <c r="AK181" s="161"/>
      <c r="AL181" s="161"/>
      <c r="AM181" s="161"/>
      <c r="AN181" s="161"/>
      <c r="AO181" s="161"/>
      <c r="AP181" s="161"/>
      <c r="AQ181" s="161">
        <f>SUM(AR181:AU181)</f>
      </c>
      <c r="AR181" s="161"/>
      <c r="AS181" s="161"/>
      <c r="AT181" s="161"/>
      <c r="AU181" s="161"/>
      <c r="AV181" s="161">
        <f>SUM(AW181:BH181)</f>
      </c>
      <c r="AW181" s="161"/>
      <c r="AX181" s="161"/>
      <c r="AY181" s="161"/>
      <c r="AZ181" s="161"/>
      <c r="BA181" s="161"/>
      <c r="BB181" s="161"/>
      <c r="BC181" s="161"/>
      <c r="BD181" s="161"/>
      <c r="BE181" s="161"/>
      <c r="BF181" s="161"/>
      <c r="BG181" s="161"/>
      <c r="BH181" s="161"/>
      <c r="BI181" s="161"/>
      <c r="BJ181" s="161"/>
      <c r="BK181" s="161"/>
      <c r="BL181" s="161"/>
      <c r="BM181" s="161"/>
      <c r="BN181" s="161"/>
      <c r="BO181" s="161"/>
      <c r="BP181" s="161"/>
      <c r="BQ181" s="161"/>
      <c r="BR181" s="161"/>
      <c r="BS181" s="161">
        <f>SUM(BT181:BV181)</f>
      </c>
      <c r="BT181" s="161"/>
      <c r="BU181" s="161"/>
      <c r="BV181" s="161"/>
      <c r="BW181" s="161">
        <f>SUM(BX181:CC181)</f>
      </c>
      <c r="BX181" s="161"/>
      <c r="BY181" s="161"/>
      <c r="BZ181" s="161"/>
      <c r="CA181" s="161"/>
      <c r="CB181" s="161"/>
      <c r="CC181" s="161"/>
      <c r="CD181" s="161"/>
      <c r="CE181" s="161"/>
      <c r="CF181" s="161"/>
      <c r="CG181" s="161"/>
      <c r="CH181" s="161"/>
      <c r="CI181" s="161"/>
      <c r="CJ181" s="161">
        <f>SUM(CK181:CM181)</f>
      </c>
      <c r="CK181" s="161"/>
      <c r="CL181" s="161"/>
      <c r="CM181" s="161"/>
      <c r="CN181" s="161">
        <f>SUM(CO181:CS181)</f>
      </c>
      <c r="CO181" s="161"/>
      <c r="CP181" s="161"/>
      <c r="CQ181" s="161"/>
      <c r="CR181" s="161"/>
      <c r="CS181" s="161"/>
      <c r="CT181" s="161"/>
      <c r="CU181" s="161"/>
      <c r="CV181" s="161"/>
      <c r="CW181" s="161"/>
      <c r="CX181" s="161"/>
      <c r="CY181" s="161"/>
      <c r="CZ181" s="161"/>
      <c r="DA181" s="161"/>
      <c r="DB181" s="161"/>
      <c r="DC181" s="161"/>
      <c r="DD181" s="161"/>
      <c r="DE181" s="161"/>
      <c r="DF181" s="161">
        <f>SUM(DG181:DG181)</f>
      </c>
      <c r="DG181" s="161"/>
      <c r="DH181" s="161"/>
      <c r="DI181" s="161"/>
      <c r="DJ181" s="161">
        <f>SUM(DK181:DP181)</f>
      </c>
      <c r="DK181" s="161"/>
      <c r="DL181" s="161"/>
      <c r="DM181" s="161"/>
      <c r="DN181" s="161"/>
      <c r="DO181" s="161"/>
      <c r="DP181" s="161"/>
      <c r="DQ181" s="161"/>
      <c r="DR181" s="161"/>
      <c r="DS181" s="161"/>
      <c r="DT181" s="161"/>
      <c r="DU181" s="161"/>
      <c r="DV181" s="161"/>
      <c r="DW181" s="161"/>
      <c r="DX181" s="161"/>
      <c r="DY181" s="161"/>
      <c r="DZ181" s="161"/>
      <c r="EA181" s="161"/>
      <c r="EB181" s="161"/>
      <c r="EC181" s="161"/>
      <c r="ED181" s="161"/>
      <c r="EE181" s="161"/>
      <c r="EF181" s="161">
        <f>SUM(EG181:EP181)</f>
      </c>
      <c r="EG181" s="161"/>
      <c r="EH181" s="161"/>
      <c r="EI181" s="161"/>
      <c r="EJ181" s="161"/>
      <c r="EK181" s="161"/>
      <c r="EL181" s="161"/>
      <c r="EM181" s="161"/>
      <c r="EN181" s="161"/>
      <c r="EO181" s="161"/>
      <c r="EP181" s="161"/>
      <c r="EQ181" s="161">
        <f>SUM(ER181:ES181)</f>
      </c>
      <c r="ER181" s="161"/>
      <c r="ES181" s="161"/>
      <c r="ET181" s="161"/>
      <c r="EU181" s="161"/>
      <c r="EV181" s="161"/>
      <c r="EW181" s="161"/>
      <c r="EX181" s="161"/>
      <c r="EY181" s="161"/>
      <c r="EZ181" s="161"/>
      <c r="FA181" s="161"/>
      <c r="FB181" s="161"/>
      <c r="FC181" s="161"/>
      <c r="FD181" s="161"/>
      <c r="FE181" s="161"/>
      <c r="FF181" s="161"/>
      <c r="FG181" s="161"/>
      <c r="FH181" s="163" cm="1">
        <f t="array" ref="FH181">ROW()-ROW(Ongoing[#Headers])</f>
        <v>175</v>
      </c>
      <c r="FI181" s="164" t="s">
        <v>754</v>
      </c>
      <c r="FJ181" s="164" t="s">
        <v>755</v>
      </c>
      <c r="FK181" s="164">
        <v>0</v>
      </c>
      <c r="FL181" s="164" t="s">
        <v>756</v>
      </c>
      <c r="FM181" s="164">
        <v>0</v>
      </c>
      <c r="FN181" s="164" t="s">
        <v>757</v>
      </c>
      <c r="FO181" s="164" t="s">
        <v>758</v>
      </c>
      <c r="FP181" s="164" t="s">
        <v>759</v>
      </c>
    </row>
    <row r="182" spans="2:172" s="115" customFormat="1" ht="11.25" x14ac:dyDescent="0.2">
      <c r="B182" s="148"/>
      <c r="C182" s="148"/>
      <c r="D182" s="148"/>
      <c r="E182" s="148"/>
      <c r="F182" s="148"/>
      <c r="G182" s="148"/>
      <c r="H182" s="148"/>
      <c r="I182" s="148"/>
      <c r="J182" s="148"/>
      <c r="K182" s="148"/>
      <c r="L182" s="148"/>
      <c r="M182" s="160"/>
      <c r="N182" s="160"/>
      <c r="O182" s="148"/>
      <c r="P182" s="161">
        <f>SUM(Q182:AP182)</f>
      </c>
      <c r="Q182" s="161"/>
      <c r="R182" s="161"/>
      <c r="S182" s="161"/>
      <c r="T182" s="161"/>
      <c r="U182" s="161"/>
      <c r="V182" s="161"/>
      <c r="W182" s="161"/>
      <c r="X182" s="161"/>
      <c r="Y182" s="161"/>
      <c r="Z182" s="161"/>
      <c r="AA182" s="161"/>
      <c r="AB182" s="161"/>
      <c r="AC182" s="161"/>
      <c r="AD182" s="161"/>
      <c r="AE182" s="161"/>
      <c r="AF182" s="161"/>
      <c r="AG182" s="161"/>
      <c r="AH182" s="161"/>
      <c r="AI182" s="161"/>
      <c r="AJ182" s="161"/>
      <c r="AK182" s="161"/>
      <c r="AL182" s="161"/>
      <c r="AM182" s="161"/>
      <c r="AN182" s="161"/>
      <c r="AO182" s="161"/>
      <c r="AP182" s="161"/>
      <c r="AQ182" s="161">
        <f>SUM(AR182:AU182)</f>
      </c>
      <c r="AR182" s="161"/>
      <c r="AS182" s="161"/>
      <c r="AT182" s="161"/>
      <c r="AU182" s="161"/>
      <c r="AV182" s="161">
        <f>SUM(AW182:BH182)</f>
      </c>
      <c r="AW182" s="161"/>
      <c r="AX182" s="161"/>
      <c r="AY182" s="161"/>
      <c r="AZ182" s="161"/>
      <c r="BA182" s="161"/>
      <c r="BB182" s="161"/>
      <c r="BC182" s="161"/>
      <c r="BD182" s="161"/>
      <c r="BE182" s="161"/>
      <c r="BF182" s="161"/>
      <c r="BG182" s="161"/>
      <c r="BH182" s="161"/>
      <c r="BI182" s="161"/>
      <c r="BJ182" s="161"/>
      <c r="BK182" s="161"/>
      <c r="BL182" s="161"/>
      <c r="BM182" s="161"/>
      <c r="BN182" s="161"/>
      <c r="BO182" s="161"/>
      <c r="BP182" s="161"/>
      <c r="BQ182" s="161"/>
      <c r="BR182" s="161"/>
      <c r="BS182" s="161">
        <f>SUM(BT182:BV182)</f>
      </c>
      <c r="BT182" s="161"/>
      <c r="BU182" s="161"/>
      <c r="BV182" s="161"/>
      <c r="BW182" s="161">
        <f>SUM(BX182:CC182)</f>
      </c>
      <c r="BX182" s="161"/>
      <c r="BY182" s="161"/>
      <c r="BZ182" s="161"/>
      <c r="CA182" s="161"/>
      <c r="CB182" s="161"/>
      <c r="CC182" s="161"/>
      <c r="CD182" s="161"/>
      <c r="CE182" s="161"/>
      <c r="CF182" s="161"/>
      <c r="CG182" s="161"/>
      <c r="CH182" s="161"/>
      <c r="CI182" s="161"/>
      <c r="CJ182" s="161">
        <f>SUM(CK182:CM182)</f>
      </c>
      <c r="CK182" s="161"/>
      <c r="CL182" s="161"/>
      <c r="CM182" s="161"/>
      <c r="CN182" s="161">
        <f>SUM(CO182:CS182)</f>
      </c>
      <c r="CO182" s="161"/>
      <c r="CP182" s="161"/>
      <c r="CQ182" s="161"/>
      <c r="CR182" s="161"/>
      <c r="CS182" s="161"/>
      <c r="CT182" s="161"/>
      <c r="CU182" s="161"/>
      <c r="CV182" s="161"/>
      <c r="CW182" s="161"/>
      <c r="CX182" s="161"/>
      <c r="CY182" s="161"/>
      <c r="CZ182" s="161"/>
      <c r="DA182" s="161"/>
      <c r="DB182" s="161"/>
      <c r="DC182" s="161"/>
      <c r="DD182" s="161"/>
      <c r="DE182" s="161"/>
      <c r="DF182" s="161">
        <f>SUM(DG182:DG182)</f>
      </c>
      <c r="DG182" s="161"/>
      <c r="DH182" s="161"/>
      <c r="DI182" s="161"/>
      <c r="DJ182" s="161">
        <f>SUM(DK182:DP182)</f>
      </c>
      <c r="DK182" s="161"/>
      <c r="DL182" s="161"/>
      <c r="DM182" s="161"/>
      <c r="DN182" s="161"/>
      <c r="DO182" s="161"/>
      <c r="DP182" s="161"/>
      <c r="DQ182" s="161"/>
      <c r="DR182" s="161"/>
      <c r="DS182" s="161"/>
      <c r="DT182" s="161"/>
      <c r="DU182" s="161"/>
      <c r="DV182" s="161"/>
      <c r="DW182" s="161"/>
      <c r="DX182" s="161"/>
      <c r="DY182" s="161"/>
      <c r="DZ182" s="161"/>
      <c r="EA182" s="161"/>
      <c r="EB182" s="161"/>
      <c r="EC182" s="161"/>
      <c r="ED182" s="161"/>
      <c r="EE182" s="161"/>
      <c r="EF182" s="161">
        <f>SUM(EG182:EP182)</f>
      </c>
      <c r="EG182" s="161"/>
      <c r="EH182" s="161"/>
      <c r="EI182" s="161"/>
      <c r="EJ182" s="161"/>
      <c r="EK182" s="161"/>
      <c r="EL182" s="161"/>
      <c r="EM182" s="161"/>
      <c r="EN182" s="161"/>
      <c r="EO182" s="161"/>
      <c r="EP182" s="161"/>
      <c r="EQ182" s="161">
        <f>SUM(ER182:ES182)</f>
      </c>
      <c r="ER182" s="161"/>
      <c r="ES182" s="161"/>
      <c r="ET182" s="161"/>
      <c r="EU182" s="161"/>
      <c r="EV182" s="161"/>
      <c r="EW182" s="161"/>
      <c r="EX182" s="161"/>
      <c r="EY182" s="161"/>
      <c r="EZ182" s="161"/>
      <c r="FA182" s="161"/>
      <c r="FB182" s="161"/>
      <c r="FC182" s="161"/>
      <c r="FD182" s="161"/>
      <c r="FE182" s="161"/>
      <c r="FF182" s="161"/>
      <c r="FG182" s="161"/>
      <c r="FH182" s="163" cm="1">
        <f t="array" ref="FH182">ROW()-ROW(Ongoing[#Headers])</f>
        <v>176</v>
      </c>
      <c r="FI182" s="164" t="s">
        <v>754</v>
      </c>
      <c r="FJ182" s="164" t="s">
        <v>755</v>
      </c>
      <c r="FK182" s="164">
        <v>0</v>
      </c>
      <c r="FL182" s="164" t="s">
        <v>781</v>
      </c>
      <c r="FM182" s="164">
        <v>0</v>
      </c>
      <c r="FN182" s="164" t="s">
        <v>757</v>
      </c>
      <c r="FO182" s="164" t="s">
        <v>758</v>
      </c>
      <c r="FP182" s="164" t="s">
        <v>1048</v>
      </c>
    </row>
    <row r="183" spans="2:172" s="115" customFormat="1" ht="11.25" x14ac:dyDescent="0.2">
      <c r="B183" s="148"/>
      <c r="C183" s="148"/>
      <c r="D183" s="148"/>
      <c r="E183" s="148"/>
      <c r="F183" s="148"/>
      <c r="G183" s="148"/>
      <c r="H183" s="148"/>
      <c r="I183" s="148"/>
      <c r="J183" s="148"/>
      <c r="K183" s="148"/>
      <c r="L183" s="148"/>
      <c r="M183" s="160"/>
      <c r="N183" s="160"/>
      <c r="O183" s="148"/>
      <c r="P183" s="161">
        <f>SUM(Q183:AP183)</f>
      </c>
      <c r="Q183" s="161"/>
      <c r="R183" s="161"/>
      <c r="S183" s="161"/>
      <c r="T183" s="161"/>
      <c r="U183" s="161"/>
      <c r="V183" s="161"/>
      <c r="W183" s="161"/>
      <c r="X183" s="161"/>
      <c r="Y183" s="161"/>
      <c r="Z183" s="161"/>
      <c r="AA183" s="161"/>
      <c r="AB183" s="161"/>
      <c r="AC183" s="161"/>
      <c r="AD183" s="161"/>
      <c r="AE183" s="161"/>
      <c r="AF183" s="161"/>
      <c r="AG183" s="161"/>
      <c r="AH183" s="161"/>
      <c r="AI183" s="161"/>
      <c r="AJ183" s="161"/>
      <c r="AK183" s="161"/>
      <c r="AL183" s="161"/>
      <c r="AM183" s="161"/>
      <c r="AN183" s="161"/>
      <c r="AO183" s="161"/>
      <c r="AP183" s="161"/>
      <c r="AQ183" s="161">
        <f>SUM(AR183:AU183)</f>
      </c>
      <c r="AR183" s="161"/>
      <c r="AS183" s="161"/>
      <c r="AT183" s="161"/>
      <c r="AU183" s="161"/>
      <c r="AV183" s="161">
        <f>SUM(AW183:BH183)</f>
      </c>
      <c r="AW183" s="161"/>
      <c r="AX183" s="161"/>
      <c r="AY183" s="161"/>
      <c r="AZ183" s="161"/>
      <c r="BA183" s="161"/>
      <c r="BB183" s="161"/>
      <c r="BC183" s="161"/>
      <c r="BD183" s="161"/>
      <c r="BE183" s="161"/>
      <c r="BF183" s="161"/>
      <c r="BG183" s="161"/>
      <c r="BH183" s="161"/>
      <c r="BI183" s="161"/>
      <c r="BJ183" s="161"/>
      <c r="BK183" s="161"/>
      <c r="BL183" s="161"/>
      <c r="BM183" s="161"/>
      <c r="BN183" s="161"/>
      <c r="BO183" s="161"/>
      <c r="BP183" s="161"/>
      <c r="BQ183" s="161"/>
      <c r="BR183" s="161"/>
      <c r="BS183" s="161">
        <f>SUM(BT183:BV183)</f>
      </c>
      <c r="BT183" s="161"/>
      <c r="BU183" s="161"/>
      <c r="BV183" s="161"/>
      <c r="BW183" s="161">
        <f>SUM(BX183:CC183)</f>
      </c>
      <c r="BX183" s="161"/>
      <c r="BY183" s="161"/>
      <c r="BZ183" s="161"/>
      <c r="CA183" s="161"/>
      <c r="CB183" s="161"/>
      <c r="CC183" s="161"/>
      <c r="CD183" s="161"/>
      <c r="CE183" s="161"/>
      <c r="CF183" s="161"/>
      <c r="CG183" s="161"/>
      <c r="CH183" s="161"/>
      <c r="CI183" s="161"/>
      <c r="CJ183" s="161">
        <f>SUM(CK183:CM183)</f>
      </c>
      <c r="CK183" s="161"/>
      <c r="CL183" s="161"/>
      <c r="CM183" s="161"/>
      <c r="CN183" s="161">
        <f>SUM(CO183:CS183)</f>
      </c>
      <c r="CO183" s="161"/>
      <c r="CP183" s="161"/>
      <c r="CQ183" s="161"/>
      <c r="CR183" s="161"/>
      <c r="CS183" s="161"/>
      <c r="CT183" s="161"/>
      <c r="CU183" s="161"/>
      <c r="CV183" s="161"/>
      <c r="CW183" s="161"/>
      <c r="CX183" s="161"/>
      <c r="CY183" s="161"/>
      <c r="CZ183" s="161"/>
      <c r="DA183" s="161"/>
      <c r="DB183" s="161"/>
      <c r="DC183" s="161"/>
      <c r="DD183" s="161"/>
      <c r="DE183" s="161"/>
      <c r="DF183" s="161">
        <f>SUM(DG183:DG183)</f>
      </c>
      <c r="DG183" s="161"/>
      <c r="DH183" s="161"/>
      <c r="DI183" s="161"/>
      <c r="DJ183" s="161">
        <f>SUM(DK183:DP183)</f>
      </c>
      <c r="DK183" s="161"/>
      <c r="DL183" s="161"/>
      <c r="DM183" s="161"/>
      <c r="DN183" s="161"/>
      <c r="DO183" s="161"/>
      <c r="DP183" s="161"/>
      <c r="DQ183" s="161"/>
      <c r="DR183" s="161"/>
      <c r="DS183" s="161"/>
      <c r="DT183" s="161"/>
      <c r="DU183" s="161"/>
      <c r="DV183" s="161"/>
      <c r="DW183" s="161"/>
      <c r="DX183" s="161"/>
      <c r="DY183" s="161"/>
      <c r="DZ183" s="161"/>
      <c r="EA183" s="161"/>
      <c r="EB183" s="161"/>
      <c r="EC183" s="161"/>
      <c r="ED183" s="161"/>
      <c r="EE183" s="161"/>
      <c r="EF183" s="161">
        <f>SUM(EG183:EP183)</f>
      </c>
      <c r="EG183" s="161"/>
      <c r="EH183" s="161"/>
      <c r="EI183" s="161"/>
      <c r="EJ183" s="161"/>
      <c r="EK183" s="161"/>
      <c r="EL183" s="161"/>
      <c r="EM183" s="161"/>
      <c r="EN183" s="161"/>
      <c r="EO183" s="161"/>
      <c r="EP183" s="161"/>
      <c r="EQ183" s="161">
        <f>SUM(ER183:ES183)</f>
      </c>
      <c r="ER183" s="161"/>
      <c r="ES183" s="161"/>
      <c r="ET183" s="161"/>
      <c r="EU183" s="161"/>
      <c r="EV183" s="161"/>
      <c r="EW183" s="161"/>
      <c r="EX183" s="161"/>
      <c r="EY183" s="161"/>
      <c r="EZ183" s="161"/>
      <c r="FA183" s="161"/>
      <c r="FB183" s="161"/>
      <c r="FC183" s="161"/>
      <c r="FD183" s="161"/>
      <c r="FE183" s="161"/>
      <c r="FF183" s="161"/>
      <c r="FG183" s="161"/>
      <c r="FH183" s="163" cm="1">
        <f t="array" ref="FH183">ROW()-ROW(Ongoing[#Headers])</f>
        <v>177</v>
      </c>
      <c r="FI183" s="164" t="s">
        <v>754</v>
      </c>
      <c r="FJ183" s="164" t="s">
        <v>755</v>
      </c>
      <c r="FK183" s="164">
        <v>0</v>
      </c>
      <c r="FL183" s="164" t="s">
        <v>756</v>
      </c>
      <c r="FM183" s="164">
        <v>0</v>
      </c>
      <c r="FN183" s="164" t="s">
        <v>757</v>
      </c>
      <c r="FO183" s="164" t="s">
        <v>758</v>
      </c>
      <c r="FP183" s="164" t="s">
        <v>759</v>
      </c>
    </row>
    <row r="184" spans="2:172" s="115" customFormat="1" ht="11.25" x14ac:dyDescent="0.2">
      <c r="B184" s="148"/>
      <c r="C184" s="148"/>
      <c r="D184" s="148"/>
      <c r="E184" s="148"/>
      <c r="F184" s="148"/>
      <c r="G184" s="148"/>
      <c r="H184" s="148"/>
      <c r="I184" s="148"/>
      <c r="J184" s="148"/>
      <c r="K184" s="148"/>
      <c r="L184" s="148"/>
      <c r="M184" s="160"/>
      <c r="N184" s="160"/>
      <c r="O184" s="148"/>
      <c r="P184" s="161">
        <f>SUM(Q184:AP184)</f>
      </c>
      <c r="Q184" s="161"/>
      <c r="R184" s="161"/>
      <c r="S184" s="161"/>
      <c r="T184" s="161"/>
      <c r="U184" s="161"/>
      <c r="V184" s="161"/>
      <c r="W184" s="161"/>
      <c r="X184" s="161"/>
      <c r="Y184" s="161"/>
      <c r="Z184" s="161"/>
      <c r="AA184" s="161"/>
      <c r="AB184" s="161"/>
      <c r="AC184" s="161"/>
      <c r="AD184" s="161"/>
      <c r="AE184" s="161"/>
      <c r="AF184" s="161"/>
      <c r="AG184" s="161"/>
      <c r="AH184" s="161"/>
      <c r="AI184" s="161"/>
      <c r="AJ184" s="161"/>
      <c r="AK184" s="161"/>
      <c r="AL184" s="161"/>
      <c r="AM184" s="161"/>
      <c r="AN184" s="161"/>
      <c r="AO184" s="161"/>
      <c r="AP184" s="161"/>
      <c r="AQ184" s="161">
        <f>SUM(AR184:AU184)</f>
      </c>
      <c r="AR184" s="161"/>
      <c r="AS184" s="161"/>
      <c r="AT184" s="161"/>
      <c r="AU184" s="161"/>
      <c r="AV184" s="161">
        <f>SUM(AW184:BH184)</f>
      </c>
      <c r="AW184" s="161"/>
      <c r="AX184" s="161"/>
      <c r="AY184" s="161"/>
      <c r="AZ184" s="161"/>
      <c r="BA184" s="161"/>
      <c r="BB184" s="161"/>
      <c r="BC184" s="161"/>
      <c r="BD184" s="161"/>
      <c r="BE184" s="161"/>
      <c r="BF184" s="161"/>
      <c r="BG184" s="161"/>
      <c r="BH184" s="161"/>
      <c r="BI184" s="161"/>
      <c r="BJ184" s="161"/>
      <c r="BK184" s="161"/>
      <c r="BL184" s="161"/>
      <c r="BM184" s="161"/>
      <c r="BN184" s="161"/>
      <c r="BO184" s="161"/>
      <c r="BP184" s="161"/>
      <c r="BQ184" s="161"/>
      <c r="BR184" s="161"/>
      <c r="BS184" s="161">
        <f>SUM(BT184:BV184)</f>
      </c>
      <c r="BT184" s="161"/>
      <c r="BU184" s="161"/>
      <c r="BV184" s="161"/>
      <c r="BW184" s="161">
        <f>SUM(BX184:CC184)</f>
      </c>
      <c r="BX184" s="161"/>
      <c r="BY184" s="161"/>
      <c r="BZ184" s="161"/>
      <c r="CA184" s="161"/>
      <c r="CB184" s="161"/>
      <c r="CC184" s="161"/>
      <c r="CD184" s="161"/>
      <c r="CE184" s="161"/>
      <c r="CF184" s="161"/>
      <c r="CG184" s="161"/>
      <c r="CH184" s="161"/>
      <c r="CI184" s="161"/>
      <c r="CJ184" s="161">
        <f>SUM(CK184:CM184)</f>
      </c>
      <c r="CK184" s="161"/>
      <c r="CL184" s="161"/>
      <c r="CM184" s="161"/>
      <c r="CN184" s="161">
        <f>SUM(CO184:CS184)</f>
      </c>
      <c r="CO184" s="161"/>
      <c r="CP184" s="161"/>
      <c r="CQ184" s="161"/>
      <c r="CR184" s="161"/>
      <c r="CS184" s="161"/>
      <c r="CT184" s="161"/>
      <c r="CU184" s="161"/>
      <c r="CV184" s="161"/>
      <c r="CW184" s="161"/>
      <c r="CX184" s="161"/>
      <c r="CY184" s="161"/>
      <c r="CZ184" s="161"/>
      <c r="DA184" s="161"/>
      <c r="DB184" s="161"/>
      <c r="DC184" s="161"/>
      <c r="DD184" s="161"/>
      <c r="DE184" s="161"/>
      <c r="DF184" s="161">
        <f>SUM(DG184:DG184)</f>
      </c>
      <c r="DG184" s="161"/>
      <c r="DH184" s="161"/>
      <c r="DI184" s="161"/>
      <c r="DJ184" s="161">
        <f>SUM(DK184:DP184)</f>
      </c>
      <c r="DK184" s="161"/>
      <c r="DL184" s="161"/>
      <c r="DM184" s="161"/>
      <c r="DN184" s="161"/>
      <c r="DO184" s="161"/>
      <c r="DP184" s="161"/>
      <c r="DQ184" s="161"/>
      <c r="DR184" s="161"/>
      <c r="DS184" s="161"/>
      <c r="DT184" s="161"/>
      <c r="DU184" s="161"/>
      <c r="DV184" s="161"/>
      <c r="DW184" s="161"/>
      <c r="DX184" s="161"/>
      <c r="DY184" s="161"/>
      <c r="DZ184" s="161"/>
      <c r="EA184" s="161"/>
      <c r="EB184" s="161"/>
      <c r="EC184" s="161"/>
      <c r="ED184" s="161"/>
      <c r="EE184" s="161"/>
      <c r="EF184" s="161">
        <f>SUM(EG184:EP184)</f>
      </c>
      <c r="EG184" s="161"/>
      <c r="EH184" s="161"/>
      <c r="EI184" s="161"/>
      <c r="EJ184" s="161"/>
      <c r="EK184" s="161"/>
      <c r="EL184" s="161"/>
      <c r="EM184" s="161"/>
      <c r="EN184" s="161"/>
      <c r="EO184" s="161"/>
      <c r="EP184" s="161"/>
      <c r="EQ184" s="161">
        <f>SUM(ER184:ES184)</f>
      </c>
      <c r="ER184" s="161"/>
      <c r="ES184" s="161"/>
      <c r="ET184" s="161"/>
      <c r="EU184" s="161"/>
      <c r="EV184" s="161"/>
      <c r="EW184" s="161"/>
      <c r="EX184" s="161"/>
      <c r="EY184" s="161"/>
      <c r="EZ184" s="161"/>
      <c r="FA184" s="161"/>
      <c r="FB184" s="161"/>
      <c r="FC184" s="161"/>
      <c r="FD184" s="161"/>
      <c r="FE184" s="161"/>
      <c r="FF184" s="161"/>
      <c r="FG184" s="161"/>
      <c r="FH184" s="163" cm="1">
        <f t="array" ref="FH184">ROW()-ROW(Ongoing[#Headers])</f>
        <v>178</v>
      </c>
      <c r="FI184" s="164" t="s">
        <v>754</v>
      </c>
      <c r="FJ184" s="164" t="s">
        <v>755</v>
      </c>
      <c r="FK184" s="164">
        <v>0</v>
      </c>
      <c r="FL184" s="164" t="s">
        <v>756</v>
      </c>
      <c r="FM184" s="164">
        <v>0</v>
      </c>
      <c r="FN184" s="164" t="s">
        <v>757</v>
      </c>
      <c r="FO184" s="164" t="s">
        <v>758</v>
      </c>
      <c r="FP184" s="164" t="s">
        <v>759</v>
      </c>
    </row>
    <row r="185" spans="2:172" s="115" customFormat="1" ht="11.25" x14ac:dyDescent="0.2">
      <c r="B185" s="148"/>
      <c r="C185" s="148"/>
      <c r="D185" s="148"/>
      <c r="E185" s="148"/>
      <c r="F185" s="148"/>
      <c r="G185" s="148"/>
      <c r="H185" s="148"/>
      <c r="I185" s="148"/>
      <c r="J185" s="148"/>
      <c r="K185" s="148"/>
      <c r="L185" s="148"/>
      <c r="M185" s="160"/>
      <c r="N185" s="160"/>
      <c r="O185" s="148"/>
      <c r="P185" s="161">
        <f>SUM(Q185:AP185)</f>
      </c>
      <c r="Q185" s="161"/>
      <c r="R185" s="161"/>
      <c r="S185" s="161"/>
      <c r="T185" s="161"/>
      <c r="U185" s="161"/>
      <c r="V185" s="161"/>
      <c r="W185" s="161"/>
      <c r="X185" s="161"/>
      <c r="Y185" s="161"/>
      <c r="Z185" s="161"/>
      <c r="AA185" s="161"/>
      <c r="AB185" s="161"/>
      <c r="AC185" s="161"/>
      <c r="AD185" s="161"/>
      <c r="AE185" s="161"/>
      <c r="AF185" s="161"/>
      <c r="AG185" s="161"/>
      <c r="AH185" s="161"/>
      <c r="AI185" s="161"/>
      <c r="AJ185" s="161"/>
      <c r="AK185" s="161"/>
      <c r="AL185" s="161"/>
      <c r="AM185" s="161"/>
      <c r="AN185" s="161"/>
      <c r="AO185" s="161"/>
      <c r="AP185" s="161"/>
      <c r="AQ185" s="161">
        <f>SUM(AR185:AU185)</f>
      </c>
      <c r="AR185" s="161"/>
      <c r="AS185" s="161"/>
      <c r="AT185" s="161"/>
      <c r="AU185" s="161"/>
      <c r="AV185" s="161">
        <f>SUM(AW185:BH185)</f>
      </c>
      <c r="AW185" s="161"/>
      <c r="AX185" s="161"/>
      <c r="AY185" s="161"/>
      <c r="AZ185" s="161"/>
      <c r="BA185" s="161"/>
      <c r="BB185" s="161"/>
      <c r="BC185" s="161"/>
      <c r="BD185" s="161"/>
      <c r="BE185" s="161"/>
      <c r="BF185" s="161"/>
      <c r="BG185" s="161"/>
      <c r="BH185" s="161"/>
      <c r="BI185" s="161"/>
      <c r="BJ185" s="161"/>
      <c r="BK185" s="161"/>
      <c r="BL185" s="161"/>
      <c r="BM185" s="161"/>
      <c r="BN185" s="161"/>
      <c r="BO185" s="161"/>
      <c r="BP185" s="161"/>
      <c r="BQ185" s="161"/>
      <c r="BR185" s="161"/>
      <c r="BS185" s="161">
        <f>SUM(BT185:BV185)</f>
      </c>
      <c r="BT185" s="161"/>
      <c r="BU185" s="161"/>
      <c r="BV185" s="161"/>
      <c r="BW185" s="161">
        <f>SUM(BX185:CC185)</f>
      </c>
      <c r="BX185" s="161"/>
      <c r="BY185" s="161"/>
      <c r="BZ185" s="161"/>
      <c r="CA185" s="161"/>
      <c r="CB185" s="161"/>
      <c r="CC185" s="161"/>
      <c r="CD185" s="161"/>
      <c r="CE185" s="161"/>
      <c r="CF185" s="161"/>
      <c r="CG185" s="161"/>
      <c r="CH185" s="161"/>
      <c r="CI185" s="161"/>
      <c r="CJ185" s="161">
        <f>SUM(CK185:CM185)</f>
      </c>
      <c r="CK185" s="161"/>
      <c r="CL185" s="161"/>
      <c r="CM185" s="161"/>
      <c r="CN185" s="161">
        <f>SUM(CO185:CS185)</f>
      </c>
      <c r="CO185" s="161"/>
      <c r="CP185" s="161"/>
      <c r="CQ185" s="161"/>
      <c r="CR185" s="161"/>
      <c r="CS185" s="161"/>
      <c r="CT185" s="161"/>
      <c r="CU185" s="161"/>
      <c r="CV185" s="161"/>
      <c r="CW185" s="161"/>
      <c r="CX185" s="161"/>
      <c r="CY185" s="161"/>
      <c r="CZ185" s="161"/>
      <c r="DA185" s="161"/>
      <c r="DB185" s="161"/>
      <c r="DC185" s="161"/>
      <c r="DD185" s="161"/>
      <c r="DE185" s="161"/>
      <c r="DF185" s="161">
        <f>SUM(DG185:DG185)</f>
      </c>
      <c r="DG185" s="161"/>
      <c r="DH185" s="161"/>
      <c r="DI185" s="161"/>
      <c r="DJ185" s="161">
        <f>SUM(DK185:DP185)</f>
      </c>
      <c r="DK185" s="161"/>
      <c r="DL185" s="161"/>
      <c r="DM185" s="161"/>
      <c r="DN185" s="161"/>
      <c r="DO185" s="161"/>
      <c r="DP185" s="161"/>
      <c r="DQ185" s="161"/>
      <c r="DR185" s="161"/>
      <c r="DS185" s="161"/>
      <c r="DT185" s="161"/>
      <c r="DU185" s="161"/>
      <c r="DV185" s="161"/>
      <c r="DW185" s="161"/>
      <c r="DX185" s="161"/>
      <c r="DY185" s="161"/>
      <c r="DZ185" s="161"/>
      <c r="EA185" s="161"/>
      <c r="EB185" s="161"/>
      <c r="EC185" s="161"/>
      <c r="ED185" s="161"/>
      <c r="EE185" s="161"/>
      <c r="EF185" s="161">
        <f>SUM(EG185:EP185)</f>
      </c>
      <c r="EG185" s="161"/>
      <c r="EH185" s="161"/>
      <c r="EI185" s="161"/>
      <c r="EJ185" s="161"/>
      <c r="EK185" s="161"/>
      <c r="EL185" s="161"/>
      <c r="EM185" s="161"/>
      <c r="EN185" s="161"/>
      <c r="EO185" s="161"/>
      <c r="EP185" s="161"/>
      <c r="EQ185" s="161">
        <f>SUM(ER185:ES185)</f>
      </c>
      <c r="ER185" s="161"/>
      <c r="ES185" s="161"/>
      <c r="ET185" s="161"/>
      <c r="EU185" s="161"/>
      <c r="EV185" s="161"/>
      <c r="EW185" s="161"/>
      <c r="EX185" s="161"/>
      <c r="EY185" s="161"/>
      <c r="EZ185" s="161"/>
      <c r="FA185" s="161"/>
      <c r="FB185" s="161"/>
      <c r="FC185" s="161"/>
      <c r="FD185" s="161"/>
      <c r="FE185" s="161"/>
      <c r="FF185" s="161"/>
      <c r="FG185" s="161"/>
      <c r="FH185" s="163" cm="1">
        <f t="array" ref="FH185">ROW()-ROW(Ongoing[#Headers])</f>
        <v>179</v>
      </c>
      <c r="FI185" s="164" t="s">
        <v>754</v>
      </c>
      <c r="FJ185" s="164" t="s">
        <v>755</v>
      </c>
      <c r="FK185" s="164">
        <v>0</v>
      </c>
      <c r="FL185" s="164" t="s">
        <v>756</v>
      </c>
      <c r="FM185" s="164">
        <v>0</v>
      </c>
      <c r="FN185" s="164" t="s">
        <v>757</v>
      </c>
      <c r="FO185" s="164" t="s">
        <v>758</v>
      </c>
      <c r="FP185" s="164" t="s">
        <v>759</v>
      </c>
    </row>
    <row r="186" spans="2:172" s="115" customFormat="1" ht="11.25" x14ac:dyDescent="0.2">
      <c r="B186" s="148"/>
      <c r="C186" s="148"/>
      <c r="D186" s="148"/>
      <c r="E186" s="148"/>
      <c r="F186" s="148"/>
      <c r="G186" s="148"/>
      <c r="H186" s="148"/>
      <c r="I186" s="148"/>
      <c r="J186" s="148"/>
      <c r="K186" s="148"/>
      <c r="L186" s="148"/>
      <c r="M186" s="160"/>
      <c r="N186" s="160"/>
      <c r="O186" s="148"/>
      <c r="P186" s="161">
        <f>SUM(Q186:AP186)</f>
      </c>
      <c r="Q186" s="161"/>
      <c r="R186" s="161"/>
      <c r="S186" s="161"/>
      <c r="T186" s="161"/>
      <c r="U186" s="161"/>
      <c r="V186" s="161"/>
      <c r="W186" s="161"/>
      <c r="X186" s="161"/>
      <c r="Y186" s="161"/>
      <c r="Z186" s="161"/>
      <c r="AA186" s="161"/>
      <c r="AB186" s="161"/>
      <c r="AC186" s="161"/>
      <c r="AD186" s="161"/>
      <c r="AE186" s="161"/>
      <c r="AF186" s="161"/>
      <c r="AG186" s="161"/>
      <c r="AH186" s="161"/>
      <c r="AI186" s="161"/>
      <c r="AJ186" s="161"/>
      <c r="AK186" s="161"/>
      <c r="AL186" s="161"/>
      <c r="AM186" s="161"/>
      <c r="AN186" s="161"/>
      <c r="AO186" s="161"/>
      <c r="AP186" s="161"/>
      <c r="AQ186" s="161">
        <f>SUM(AR186:AU186)</f>
      </c>
      <c r="AR186" s="161"/>
      <c r="AS186" s="161"/>
      <c r="AT186" s="161"/>
      <c r="AU186" s="161"/>
      <c r="AV186" s="161">
        <f>SUM(AW186:BH186)</f>
      </c>
      <c r="AW186" s="161"/>
      <c r="AX186" s="161"/>
      <c r="AY186" s="161"/>
      <c r="AZ186" s="161"/>
      <c r="BA186" s="161"/>
      <c r="BB186" s="161"/>
      <c r="BC186" s="161"/>
      <c r="BD186" s="161"/>
      <c r="BE186" s="161"/>
      <c r="BF186" s="161"/>
      <c r="BG186" s="161"/>
      <c r="BH186" s="161"/>
      <c r="BI186" s="161"/>
      <c r="BJ186" s="161"/>
      <c r="BK186" s="161"/>
      <c r="BL186" s="161"/>
      <c r="BM186" s="161"/>
      <c r="BN186" s="161"/>
      <c r="BO186" s="161"/>
      <c r="BP186" s="161"/>
      <c r="BQ186" s="161"/>
      <c r="BR186" s="161"/>
      <c r="BS186" s="161">
        <f>SUM(BT186:BV186)</f>
      </c>
      <c r="BT186" s="161"/>
      <c r="BU186" s="161"/>
      <c r="BV186" s="161"/>
      <c r="BW186" s="161">
        <f>SUM(BX186:CC186)</f>
      </c>
      <c r="BX186" s="161"/>
      <c r="BY186" s="161"/>
      <c r="BZ186" s="161"/>
      <c r="CA186" s="161"/>
      <c r="CB186" s="161"/>
      <c r="CC186" s="161"/>
      <c r="CD186" s="161"/>
      <c r="CE186" s="161"/>
      <c r="CF186" s="161"/>
      <c r="CG186" s="161"/>
      <c r="CH186" s="161"/>
      <c r="CI186" s="161"/>
      <c r="CJ186" s="161">
        <f>SUM(CK186:CM186)</f>
      </c>
      <c r="CK186" s="161"/>
      <c r="CL186" s="161"/>
      <c r="CM186" s="161"/>
      <c r="CN186" s="161">
        <f>SUM(CO186:CS186)</f>
      </c>
      <c r="CO186" s="161"/>
      <c r="CP186" s="161"/>
      <c r="CQ186" s="161"/>
      <c r="CR186" s="161"/>
      <c r="CS186" s="161"/>
      <c r="CT186" s="161"/>
      <c r="CU186" s="161"/>
      <c r="CV186" s="161"/>
      <c r="CW186" s="161"/>
      <c r="CX186" s="161"/>
      <c r="CY186" s="161"/>
      <c r="CZ186" s="161"/>
      <c r="DA186" s="161"/>
      <c r="DB186" s="161"/>
      <c r="DC186" s="161"/>
      <c r="DD186" s="161"/>
      <c r="DE186" s="161"/>
      <c r="DF186" s="161">
        <f>SUM(DG186:DG186)</f>
      </c>
      <c r="DG186" s="161"/>
      <c r="DH186" s="161"/>
      <c r="DI186" s="161"/>
      <c r="DJ186" s="161">
        <f>SUM(DK186:DP186)</f>
      </c>
      <c r="DK186" s="161"/>
      <c r="DL186" s="161"/>
      <c r="DM186" s="161"/>
      <c r="DN186" s="161"/>
      <c r="DO186" s="161"/>
      <c r="DP186" s="161"/>
      <c r="DQ186" s="161"/>
      <c r="DR186" s="161"/>
      <c r="DS186" s="161"/>
      <c r="DT186" s="161"/>
      <c r="DU186" s="161"/>
      <c r="DV186" s="161"/>
      <c r="DW186" s="161"/>
      <c r="DX186" s="161"/>
      <c r="DY186" s="161"/>
      <c r="DZ186" s="161"/>
      <c r="EA186" s="161"/>
      <c r="EB186" s="161"/>
      <c r="EC186" s="161"/>
      <c r="ED186" s="161"/>
      <c r="EE186" s="161"/>
      <c r="EF186" s="161">
        <f>SUM(EG186:EP186)</f>
      </c>
      <c r="EG186" s="161"/>
      <c r="EH186" s="161"/>
      <c r="EI186" s="161"/>
      <c r="EJ186" s="161"/>
      <c r="EK186" s="161"/>
      <c r="EL186" s="161"/>
      <c r="EM186" s="161"/>
      <c r="EN186" s="161"/>
      <c r="EO186" s="161"/>
      <c r="EP186" s="161"/>
      <c r="EQ186" s="161">
        <f>SUM(ER186:ES186)</f>
      </c>
      <c r="ER186" s="161"/>
      <c r="ES186" s="161"/>
      <c r="ET186" s="161"/>
      <c r="EU186" s="161"/>
      <c r="EV186" s="161"/>
      <c r="EW186" s="161"/>
      <c r="EX186" s="161"/>
      <c r="EY186" s="161"/>
      <c r="EZ186" s="161"/>
      <c r="FA186" s="161"/>
      <c r="FB186" s="161"/>
      <c r="FC186" s="161"/>
      <c r="FD186" s="161"/>
      <c r="FE186" s="161"/>
      <c r="FF186" s="161"/>
      <c r="FG186" s="161"/>
      <c r="FH186" s="163" cm="1">
        <f t="array" ref="FH186">ROW()-ROW(Ongoing[#Headers])</f>
        <v>180</v>
      </c>
      <c r="FI186" s="164" t="s">
        <v>754</v>
      </c>
      <c r="FJ186" s="164" t="s">
        <v>755</v>
      </c>
      <c r="FK186" s="164">
        <v>0</v>
      </c>
      <c r="FL186" s="164" t="s">
        <v>756</v>
      </c>
      <c r="FM186" s="164">
        <v>0</v>
      </c>
      <c r="FN186" s="164" t="s">
        <v>757</v>
      </c>
      <c r="FO186" s="164" t="s">
        <v>758</v>
      </c>
      <c r="FP186" s="164" t="s">
        <v>759</v>
      </c>
    </row>
    <row r="187" spans="2:172" s="115" customFormat="1" ht="11.25" x14ac:dyDescent="0.2">
      <c r="B187" s="148"/>
      <c r="C187" s="148"/>
      <c r="D187" s="148"/>
      <c r="E187" s="148"/>
      <c r="F187" s="148"/>
      <c r="G187" s="148"/>
      <c r="H187" s="148"/>
      <c r="I187" s="148"/>
      <c r="J187" s="148"/>
      <c r="K187" s="148"/>
      <c r="L187" s="148"/>
      <c r="M187" s="160"/>
      <c r="N187" s="160"/>
      <c r="O187" s="148"/>
      <c r="P187" s="161">
        <f>SUM(Q187:AP187)</f>
      </c>
      <c r="Q187" s="161"/>
      <c r="R187" s="161"/>
      <c r="S187" s="161"/>
      <c r="T187" s="161"/>
      <c r="U187" s="161"/>
      <c r="V187" s="161"/>
      <c r="W187" s="161"/>
      <c r="X187" s="161"/>
      <c r="Y187" s="161"/>
      <c r="Z187" s="161"/>
      <c r="AA187" s="161"/>
      <c r="AB187" s="161"/>
      <c r="AC187" s="161"/>
      <c r="AD187" s="161"/>
      <c r="AE187" s="161"/>
      <c r="AF187" s="161"/>
      <c r="AG187" s="161"/>
      <c r="AH187" s="161"/>
      <c r="AI187" s="161"/>
      <c r="AJ187" s="161"/>
      <c r="AK187" s="161"/>
      <c r="AL187" s="161"/>
      <c r="AM187" s="161"/>
      <c r="AN187" s="161"/>
      <c r="AO187" s="161"/>
      <c r="AP187" s="161"/>
      <c r="AQ187" s="161">
        <f>SUM(AR187:AU187)</f>
      </c>
      <c r="AR187" s="161"/>
      <c r="AS187" s="161"/>
      <c r="AT187" s="161"/>
      <c r="AU187" s="161"/>
      <c r="AV187" s="161">
        <f>SUM(AW187:BH187)</f>
      </c>
      <c r="AW187" s="161"/>
      <c r="AX187" s="161"/>
      <c r="AY187" s="161"/>
      <c r="AZ187" s="161"/>
      <c r="BA187" s="161"/>
      <c r="BB187" s="161"/>
      <c r="BC187" s="161"/>
      <c r="BD187" s="161"/>
      <c r="BE187" s="161"/>
      <c r="BF187" s="161"/>
      <c r="BG187" s="161"/>
      <c r="BH187" s="161"/>
      <c r="BI187" s="161"/>
      <c r="BJ187" s="161"/>
      <c r="BK187" s="161"/>
      <c r="BL187" s="161"/>
      <c r="BM187" s="161"/>
      <c r="BN187" s="161"/>
      <c r="BO187" s="161"/>
      <c r="BP187" s="161"/>
      <c r="BQ187" s="161"/>
      <c r="BR187" s="161"/>
      <c r="BS187" s="161">
        <f>SUM(BT187:BV187)</f>
      </c>
      <c r="BT187" s="161"/>
      <c r="BU187" s="161"/>
      <c r="BV187" s="161"/>
      <c r="BW187" s="161">
        <f>SUM(BX187:CC187)</f>
      </c>
      <c r="BX187" s="161"/>
      <c r="BY187" s="161"/>
      <c r="BZ187" s="161"/>
      <c r="CA187" s="161"/>
      <c r="CB187" s="161"/>
      <c r="CC187" s="161"/>
      <c r="CD187" s="161"/>
      <c r="CE187" s="161"/>
      <c r="CF187" s="161"/>
      <c r="CG187" s="161"/>
      <c r="CH187" s="161"/>
      <c r="CI187" s="161"/>
      <c r="CJ187" s="161">
        <f>SUM(CK187:CM187)</f>
      </c>
      <c r="CK187" s="161"/>
      <c r="CL187" s="161"/>
      <c r="CM187" s="161"/>
      <c r="CN187" s="161">
        <f>SUM(CO187:CS187)</f>
      </c>
      <c r="CO187" s="161"/>
      <c r="CP187" s="161"/>
      <c r="CQ187" s="161"/>
      <c r="CR187" s="161"/>
      <c r="CS187" s="161"/>
      <c r="CT187" s="161"/>
      <c r="CU187" s="161"/>
      <c r="CV187" s="161"/>
      <c r="CW187" s="161"/>
      <c r="CX187" s="161"/>
      <c r="CY187" s="161"/>
      <c r="CZ187" s="161"/>
      <c r="DA187" s="161"/>
      <c r="DB187" s="161"/>
      <c r="DC187" s="161"/>
      <c r="DD187" s="161"/>
      <c r="DE187" s="161"/>
      <c r="DF187" s="161">
        <f>SUM(DG187:DG187)</f>
      </c>
      <c r="DG187" s="161"/>
      <c r="DH187" s="161"/>
      <c r="DI187" s="161"/>
      <c r="DJ187" s="161">
        <f>SUM(DK187:DP187)</f>
      </c>
      <c r="DK187" s="161"/>
      <c r="DL187" s="161"/>
      <c r="DM187" s="161"/>
      <c r="DN187" s="161"/>
      <c r="DO187" s="161"/>
      <c r="DP187" s="161"/>
      <c r="DQ187" s="161"/>
      <c r="DR187" s="161"/>
      <c r="DS187" s="161"/>
      <c r="DT187" s="161"/>
      <c r="DU187" s="161"/>
      <c r="DV187" s="161"/>
      <c r="DW187" s="161"/>
      <c r="DX187" s="161"/>
      <c r="DY187" s="161"/>
      <c r="DZ187" s="161"/>
      <c r="EA187" s="161"/>
      <c r="EB187" s="161"/>
      <c r="EC187" s="161"/>
      <c r="ED187" s="161"/>
      <c r="EE187" s="161"/>
      <c r="EF187" s="161">
        <f>SUM(EG187:EP187)</f>
      </c>
      <c r="EG187" s="161"/>
      <c r="EH187" s="161"/>
      <c r="EI187" s="161"/>
      <c r="EJ187" s="161"/>
      <c r="EK187" s="161"/>
      <c r="EL187" s="161"/>
      <c r="EM187" s="161"/>
      <c r="EN187" s="161"/>
      <c r="EO187" s="161"/>
      <c r="EP187" s="161"/>
      <c r="EQ187" s="161">
        <f>SUM(ER187:ES187)</f>
      </c>
      <c r="ER187" s="161"/>
      <c r="ES187" s="161"/>
      <c r="ET187" s="161"/>
      <c r="EU187" s="161"/>
      <c r="EV187" s="161"/>
      <c r="EW187" s="161"/>
      <c r="EX187" s="161"/>
      <c r="EY187" s="161"/>
      <c r="EZ187" s="161"/>
      <c r="FA187" s="161"/>
      <c r="FB187" s="161"/>
      <c r="FC187" s="161"/>
      <c r="FD187" s="161"/>
      <c r="FE187" s="161"/>
      <c r="FF187" s="161"/>
      <c r="FG187" s="161"/>
      <c r="FH187" s="163" cm="1">
        <f t="array" ref="FH187">ROW()-ROW(Ongoing[#Headers])</f>
        <v>181</v>
      </c>
      <c r="FI187" s="164" t="e">
        <v>#N/A</v>
      </c>
      <c r="FJ187" s="164" t="s">
        <v>788</v>
      </c>
      <c r="FK187" s="164">
        <v>0</v>
      </c>
      <c r="FL187" s="164" t="s">
        <v>789</v>
      </c>
      <c r="FM187" s="164" t="s">
        <v>790</v>
      </c>
      <c r="FN187" s="164" t="s">
        <v>782</v>
      </c>
      <c r="FO187" s="164" t="s">
        <v>791</v>
      </c>
      <c r="FP187" s="164" t="s">
        <v>792</v>
      </c>
    </row>
    <row r="188" spans="2:172" s="115" customFormat="1" ht="11.25" x14ac:dyDescent="0.2">
      <c r="B188" s="148"/>
      <c r="C188" s="148"/>
      <c r="D188" s="148"/>
      <c r="E188" s="148"/>
      <c r="F188" s="148"/>
      <c r="G188" s="148"/>
      <c r="H188" s="148"/>
      <c r="I188" s="148"/>
      <c r="J188" s="148"/>
      <c r="K188" s="148"/>
      <c r="L188" s="148"/>
      <c r="M188" s="160"/>
      <c r="N188" s="160"/>
      <c r="O188" s="148"/>
      <c r="P188" s="161">
        <f>SUM(Q188:AP188)</f>
      </c>
      <c r="Q188" s="161"/>
      <c r="R188" s="161"/>
      <c r="S188" s="161"/>
      <c r="T188" s="161"/>
      <c r="U188" s="161"/>
      <c r="V188" s="161"/>
      <c r="W188" s="161"/>
      <c r="X188" s="161"/>
      <c r="Y188" s="161"/>
      <c r="Z188" s="161"/>
      <c r="AA188" s="161"/>
      <c r="AB188" s="161"/>
      <c r="AC188" s="161"/>
      <c r="AD188" s="161"/>
      <c r="AE188" s="161"/>
      <c r="AF188" s="161"/>
      <c r="AG188" s="161"/>
      <c r="AH188" s="161"/>
      <c r="AI188" s="161"/>
      <c r="AJ188" s="161"/>
      <c r="AK188" s="161"/>
      <c r="AL188" s="161"/>
      <c r="AM188" s="161"/>
      <c r="AN188" s="161"/>
      <c r="AO188" s="161"/>
      <c r="AP188" s="161"/>
      <c r="AQ188" s="161">
        <f>SUM(AR188:AU188)</f>
      </c>
      <c r="AR188" s="161"/>
      <c r="AS188" s="161"/>
      <c r="AT188" s="161"/>
      <c r="AU188" s="161"/>
      <c r="AV188" s="161">
        <f>SUM(AW188:BH188)</f>
      </c>
      <c r="AW188" s="161"/>
      <c r="AX188" s="161"/>
      <c r="AY188" s="161"/>
      <c r="AZ188" s="161"/>
      <c r="BA188" s="161"/>
      <c r="BB188" s="161"/>
      <c r="BC188" s="161"/>
      <c r="BD188" s="161"/>
      <c r="BE188" s="161"/>
      <c r="BF188" s="161"/>
      <c r="BG188" s="161"/>
      <c r="BH188" s="161"/>
      <c r="BI188" s="161"/>
      <c r="BJ188" s="161"/>
      <c r="BK188" s="161"/>
      <c r="BL188" s="161"/>
      <c r="BM188" s="161"/>
      <c r="BN188" s="161"/>
      <c r="BO188" s="161"/>
      <c r="BP188" s="161"/>
      <c r="BQ188" s="161"/>
      <c r="BR188" s="161"/>
      <c r="BS188" s="161">
        <f>SUM(BT188:BV188)</f>
      </c>
      <c r="BT188" s="161"/>
      <c r="BU188" s="161"/>
      <c r="BV188" s="161"/>
      <c r="BW188" s="161">
        <f>SUM(BX188:CC188)</f>
      </c>
      <c r="BX188" s="161"/>
      <c r="BY188" s="161"/>
      <c r="BZ188" s="161"/>
      <c r="CA188" s="161"/>
      <c r="CB188" s="161"/>
      <c r="CC188" s="161"/>
      <c r="CD188" s="161"/>
      <c r="CE188" s="161"/>
      <c r="CF188" s="161"/>
      <c r="CG188" s="161"/>
      <c r="CH188" s="161"/>
      <c r="CI188" s="161"/>
      <c r="CJ188" s="161">
        <f>SUM(CK188:CM188)</f>
      </c>
      <c r="CK188" s="161"/>
      <c r="CL188" s="161"/>
      <c r="CM188" s="161"/>
      <c r="CN188" s="161">
        <f>SUM(CO188:CS188)</f>
      </c>
      <c r="CO188" s="161"/>
      <c r="CP188" s="161"/>
      <c r="CQ188" s="161"/>
      <c r="CR188" s="161"/>
      <c r="CS188" s="161"/>
      <c r="CT188" s="161"/>
      <c r="CU188" s="161"/>
      <c r="CV188" s="161"/>
      <c r="CW188" s="161"/>
      <c r="CX188" s="161"/>
      <c r="CY188" s="161"/>
      <c r="CZ188" s="161"/>
      <c r="DA188" s="161"/>
      <c r="DB188" s="161"/>
      <c r="DC188" s="161"/>
      <c r="DD188" s="161"/>
      <c r="DE188" s="161"/>
      <c r="DF188" s="161">
        <f>SUM(DG188:DG188)</f>
      </c>
      <c r="DG188" s="161"/>
      <c r="DH188" s="161"/>
      <c r="DI188" s="161"/>
      <c r="DJ188" s="161">
        <f>SUM(DK188:DP188)</f>
      </c>
      <c r="DK188" s="161"/>
      <c r="DL188" s="161"/>
      <c r="DM188" s="161"/>
      <c r="DN188" s="161"/>
      <c r="DO188" s="161"/>
      <c r="DP188" s="161"/>
      <c r="DQ188" s="161"/>
      <c r="DR188" s="161"/>
      <c r="DS188" s="161"/>
      <c r="DT188" s="161"/>
      <c r="DU188" s="161"/>
      <c r="DV188" s="161"/>
      <c r="DW188" s="161"/>
      <c r="DX188" s="161"/>
      <c r="DY188" s="161"/>
      <c r="DZ188" s="161"/>
      <c r="EA188" s="161"/>
      <c r="EB188" s="161"/>
      <c r="EC188" s="161"/>
      <c r="ED188" s="161"/>
      <c r="EE188" s="161"/>
      <c r="EF188" s="161">
        <f>SUM(EG188:EP188)</f>
      </c>
      <c r="EG188" s="161"/>
      <c r="EH188" s="161"/>
      <c r="EI188" s="161"/>
      <c r="EJ188" s="161"/>
      <c r="EK188" s="161"/>
      <c r="EL188" s="161"/>
      <c r="EM188" s="161"/>
      <c r="EN188" s="161"/>
      <c r="EO188" s="161"/>
      <c r="EP188" s="161"/>
      <c r="EQ188" s="161">
        <f>SUM(ER188:ES188)</f>
      </c>
      <c r="ER188" s="161"/>
      <c r="ES188" s="161"/>
      <c r="ET188" s="161"/>
      <c r="EU188" s="161"/>
      <c r="EV188" s="161"/>
      <c r="EW188" s="161"/>
      <c r="EX188" s="161"/>
      <c r="EY188" s="161"/>
      <c r="EZ188" s="161"/>
      <c r="FA188" s="161"/>
      <c r="FB188" s="161"/>
      <c r="FC188" s="161"/>
      <c r="FD188" s="161"/>
      <c r="FE188" s="161"/>
      <c r="FF188" s="161"/>
      <c r="FG188" s="161"/>
      <c r="FH188" s="163" cm="1">
        <f t="array" ref="FH188">ROW()-ROW(Ongoing[#Headers])</f>
        <v>182</v>
      </c>
      <c r="FI188" s="164" t="e">
        <v>#N/A</v>
      </c>
      <c r="FJ188" s="164" t="s">
        <v>788</v>
      </c>
      <c r="FK188" s="164">
        <v>0</v>
      </c>
      <c r="FL188" s="164" t="s">
        <v>789</v>
      </c>
      <c r="FM188" s="164" t="s">
        <v>790</v>
      </c>
      <c r="FN188" s="164" t="s">
        <v>782</v>
      </c>
      <c r="FO188" s="164" t="s">
        <v>811</v>
      </c>
      <c r="FP188" s="164" t="s">
        <v>792</v>
      </c>
    </row>
    <row r="189" spans="2:172" s="115" customFormat="1" ht="11.25" x14ac:dyDescent="0.2">
      <c r="B189" s="148"/>
      <c r="C189" s="148"/>
      <c r="D189" s="148"/>
      <c r="E189" s="148"/>
      <c r="F189" s="148"/>
      <c r="G189" s="148"/>
      <c r="H189" s="148"/>
      <c r="I189" s="148"/>
      <c r="J189" s="148"/>
      <c r="K189" s="148"/>
      <c r="L189" s="148"/>
      <c r="M189" s="160"/>
      <c r="N189" s="160"/>
      <c r="O189" s="148"/>
      <c r="P189" s="161">
        <f>SUM(Q189:AP189)</f>
      </c>
      <c r="Q189" s="161"/>
      <c r="R189" s="161"/>
      <c r="S189" s="161"/>
      <c r="T189" s="161"/>
      <c r="U189" s="161"/>
      <c r="V189" s="161"/>
      <c r="W189" s="161"/>
      <c r="X189" s="161"/>
      <c r="Y189" s="161"/>
      <c r="Z189" s="161"/>
      <c r="AA189" s="161"/>
      <c r="AB189" s="161"/>
      <c r="AC189" s="161"/>
      <c r="AD189" s="161"/>
      <c r="AE189" s="161"/>
      <c r="AF189" s="161"/>
      <c r="AG189" s="161"/>
      <c r="AH189" s="161"/>
      <c r="AI189" s="161"/>
      <c r="AJ189" s="161"/>
      <c r="AK189" s="161"/>
      <c r="AL189" s="161"/>
      <c r="AM189" s="161"/>
      <c r="AN189" s="161"/>
      <c r="AO189" s="161"/>
      <c r="AP189" s="161"/>
      <c r="AQ189" s="161">
        <f>SUM(AR189:AU189)</f>
      </c>
      <c r="AR189" s="161"/>
      <c r="AS189" s="161"/>
      <c r="AT189" s="161"/>
      <c r="AU189" s="161"/>
      <c r="AV189" s="161">
        <f>SUM(AW189:BH189)</f>
      </c>
      <c r="AW189" s="161"/>
      <c r="AX189" s="161"/>
      <c r="AY189" s="161"/>
      <c r="AZ189" s="161"/>
      <c r="BA189" s="161"/>
      <c r="BB189" s="161"/>
      <c r="BC189" s="161"/>
      <c r="BD189" s="161"/>
      <c r="BE189" s="161"/>
      <c r="BF189" s="161"/>
      <c r="BG189" s="161"/>
      <c r="BH189" s="161"/>
      <c r="BI189" s="161"/>
      <c r="BJ189" s="161"/>
      <c r="BK189" s="161"/>
      <c r="BL189" s="161"/>
      <c r="BM189" s="161"/>
      <c r="BN189" s="161"/>
      <c r="BO189" s="161"/>
      <c r="BP189" s="161"/>
      <c r="BQ189" s="161"/>
      <c r="BR189" s="161"/>
      <c r="BS189" s="161">
        <f>SUM(BT189:BV189)</f>
      </c>
      <c r="BT189" s="161"/>
      <c r="BU189" s="161"/>
      <c r="BV189" s="161"/>
      <c r="BW189" s="161">
        <f>SUM(BX189:CC189)</f>
      </c>
      <c r="BX189" s="161"/>
      <c r="BY189" s="161"/>
      <c r="BZ189" s="161"/>
      <c r="CA189" s="161"/>
      <c r="CB189" s="161"/>
      <c r="CC189" s="161"/>
      <c r="CD189" s="161"/>
      <c r="CE189" s="161"/>
      <c r="CF189" s="161"/>
      <c r="CG189" s="161"/>
      <c r="CH189" s="161"/>
      <c r="CI189" s="161"/>
      <c r="CJ189" s="161">
        <f>SUM(CK189:CM189)</f>
      </c>
      <c r="CK189" s="161"/>
      <c r="CL189" s="161"/>
      <c r="CM189" s="161"/>
      <c r="CN189" s="161">
        <f>SUM(CO189:CS189)</f>
      </c>
      <c r="CO189" s="161"/>
      <c r="CP189" s="161"/>
      <c r="CQ189" s="161"/>
      <c r="CR189" s="161"/>
      <c r="CS189" s="161"/>
      <c r="CT189" s="161"/>
      <c r="CU189" s="161"/>
      <c r="CV189" s="161"/>
      <c r="CW189" s="161"/>
      <c r="CX189" s="161"/>
      <c r="CY189" s="161"/>
      <c r="CZ189" s="161"/>
      <c r="DA189" s="161"/>
      <c r="DB189" s="161"/>
      <c r="DC189" s="161"/>
      <c r="DD189" s="161"/>
      <c r="DE189" s="161"/>
      <c r="DF189" s="161">
        <f>SUM(DG189:DG189)</f>
      </c>
      <c r="DG189" s="161"/>
      <c r="DH189" s="161"/>
      <c r="DI189" s="161"/>
      <c r="DJ189" s="161">
        <f>SUM(DK189:DP189)</f>
      </c>
      <c r="DK189" s="161"/>
      <c r="DL189" s="161"/>
      <c r="DM189" s="161"/>
      <c r="DN189" s="161"/>
      <c r="DO189" s="161"/>
      <c r="DP189" s="161"/>
      <c r="DQ189" s="161"/>
      <c r="DR189" s="161"/>
      <c r="DS189" s="161"/>
      <c r="DT189" s="161"/>
      <c r="DU189" s="161"/>
      <c r="DV189" s="161"/>
      <c r="DW189" s="161"/>
      <c r="DX189" s="161"/>
      <c r="DY189" s="161"/>
      <c r="DZ189" s="161"/>
      <c r="EA189" s="161"/>
      <c r="EB189" s="161"/>
      <c r="EC189" s="161"/>
      <c r="ED189" s="161"/>
      <c r="EE189" s="161"/>
      <c r="EF189" s="161">
        <f>SUM(EG189:EP189)</f>
      </c>
      <c r="EG189" s="161"/>
      <c r="EH189" s="161"/>
      <c r="EI189" s="161"/>
      <c r="EJ189" s="161"/>
      <c r="EK189" s="161"/>
      <c r="EL189" s="161"/>
      <c r="EM189" s="161"/>
      <c r="EN189" s="161"/>
      <c r="EO189" s="161"/>
      <c r="EP189" s="161"/>
      <c r="EQ189" s="161">
        <f>SUM(ER189:ES189)</f>
      </c>
      <c r="ER189" s="161"/>
      <c r="ES189" s="161"/>
      <c r="ET189" s="161"/>
      <c r="EU189" s="161"/>
      <c r="EV189" s="161"/>
      <c r="EW189" s="161"/>
      <c r="EX189" s="161"/>
      <c r="EY189" s="161"/>
      <c r="EZ189" s="161"/>
      <c r="FA189" s="161"/>
      <c r="FB189" s="161"/>
      <c r="FC189" s="161"/>
      <c r="FD189" s="161"/>
      <c r="FE189" s="161"/>
      <c r="FF189" s="161"/>
      <c r="FG189" s="161"/>
      <c r="FH189" s="163" cm="1">
        <f t="array" ref="FH189">ROW()-ROW(Ongoing[#Headers])</f>
        <v>183</v>
      </c>
      <c r="FI189" s="164" t="e">
        <v>#N/A</v>
      </c>
      <c r="FJ189" s="164" t="s">
        <v>788</v>
      </c>
      <c r="FK189" s="164">
        <v>0</v>
      </c>
      <c r="FL189" s="164" t="s">
        <v>789</v>
      </c>
      <c r="FM189" s="164" t="s">
        <v>790</v>
      </c>
      <c r="FN189" s="164" t="s">
        <v>782</v>
      </c>
      <c r="FO189" s="164" t="s">
        <v>791</v>
      </c>
      <c r="FP189" s="164" t="s">
        <v>792</v>
      </c>
    </row>
    <row r="190" spans="2:172" s="115" customFormat="1" ht="11.25" x14ac:dyDescent="0.2">
      <c r="B190" s="148"/>
      <c r="C190" s="148"/>
      <c r="D190" s="148"/>
      <c r="E190" s="148"/>
      <c r="F190" s="148"/>
      <c r="G190" s="148"/>
      <c r="H190" s="148"/>
      <c r="I190" s="148"/>
      <c r="J190" s="148"/>
      <c r="K190" s="148"/>
      <c r="L190" s="148"/>
      <c r="M190" s="160"/>
      <c r="N190" s="160"/>
      <c r="O190" s="148"/>
      <c r="P190" s="161">
        <f>SUM(Q190:AP190)</f>
      </c>
      <c r="Q190" s="161"/>
      <c r="R190" s="161"/>
      <c r="S190" s="161"/>
      <c r="T190" s="161"/>
      <c r="U190" s="161"/>
      <c r="V190" s="161"/>
      <c r="W190" s="161"/>
      <c r="X190" s="161"/>
      <c r="Y190" s="161"/>
      <c r="Z190" s="161"/>
      <c r="AA190" s="161"/>
      <c r="AB190" s="161"/>
      <c r="AC190" s="161"/>
      <c r="AD190" s="161"/>
      <c r="AE190" s="161"/>
      <c r="AF190" s="161"/>
      <c r="AG190" s="161"/>
      <c r="AH190" s="161"/>
      <c r="AI190" s="161"/>
      <c r="AJ190" s="161"/>
      <c r="AK190" s="161"/>
      <c r="AL190" s="161"/>
      <c r="AM190" s="161"/>
      <c r="AN190" s="161"/>
      <c r="AO190" s="161"/>
      <c r="AP190" s="161"/>
      <c r="AQ190" s="161">
        <f>SUM(AR190:AU190)</f>
      </c>
      <c r="AR190" s="161"/>
      <c r="AS190" s="161"/>
      <c r="AT190" s="161"/>
      <c r="AU190" s="161"/>
      <c r="AV190" s="161">
        <f>SUM(AW190:BH190)</f>
      </c>
      <c r="AW190" s="161"/>
      <c r="AX190" s="161"/>
      <c r="AY190" s="161"/>
      <c r="AZ190" s="161"/>
      <c r="BA190" s="161"/>
      <c r="BB190" s="161"/>
      <c r="BC190" s="161"/>
      <c r="BD190" s="161"/>
      <c r="BE190" s="161"/>
      <c r="BF190" s="161"/>
      <c r="BG190" s="161"/>
      <c r="BH190" s="161"/>
      <c r="BI190" s="161"/>
      <c r="BJ190" s="161"/>
      <c r="BK190" s="161"/>
      <c r="BL190" s="161"/>
      <c r="BM190" s="161"/>
      <c r="BN190" s="161"/>
      <c r="BO190" s="161"/>
      <c r="BP190" s="161"/>
      <c r="BQ190" s="161"/>
      <c r="BR190" s="161"/>
      <c r="BS190" s="161">
        <f>SUM(BT190:BV190)</f>
      </c>
      <c r="BT190" s="161"/>
      <c r="BU190" s="161"/>
      <c r="BV190" s="161"/>
      <c r="BW190" s="161">
        <f>SUM(BX190:CC190)</f>
      </c>
      <c r="BX190" s="161"/>
      <c r="BY190" s="161"/>
      <c r="BZ190" s="161"/>
      <c r="CA190" s="161"/>
      <c r="CB190" s="161"/>
      <c r="CC190" s="161"/>
      <c r="CD190" s="161"/>
      <c r="CE190" s="161"/>
      <c r="CF190" s="161"/>
      <c r="CG190" s="161"/>
      <c r="CH190" s="161"/>
      <c r="CI190" s="161"/>
      <c r="CJ190" s="161">
        <f>SUM(CK190:CM190)</f>
      </c>
      <c r="CK190" s="161"/>
      <c r="CL190" s="161"/>
      <c r="CM190" s="161"/>
      <c r="CN190" s="161">
        <f>SUM(CO190:CS190)</f>
      </c>
      <c r="CO190" s="161"/>
      <c r="CP190" s="161"/>
      <c r="CQ190" s="161"/>
      <c r="CR190" s="161"/>
      <c r="CS190" s="161"/>
      <c r="CT190" s="161"/>
      <c r="CU190" s="161"/>
      <c r="CV190" s="161"/>
      <c r="CW190" s="161"/>
      <c r="CX190" s="161"/>
      <c r="CY190" s="161"/>
      <c r="CZ190" s="161"/>
      <c r="DA190" s="161"/>
      <c r="DB190" s="161"/>
      <c r="DC190" s="161"/>
      <c r="DD190" s="161"/>
      <c r="DE190" s="161"/>
      <c r="DF190" s="161">
        <f>SUM(DG190:DG190)</f>
      </c>
      <c r="DG190" s="161"/>
      <c r="DH190" s="161"/>
      <c r="DI190" s="161"/>
      <c r="DJ190" s="161">
        <f>SUM(DK190:DP190)</f>
      </c>
      <c r="DK190" s="161"/>
      <c r="DL190" s="161"/>
      <c r="DM190" s="161"/>
      <c r="DN190" s="161"/>
      <c r="DO190" s="161"/>
      <c r="DP190" s="161"/>
      <c r="DQ190" s="161"/>
      <c r="DR190" s="161"/>
      <c r="DS190" s="161"/>
      <c r="DT190" s="161"/>
      <c r="DU190" s="161"/>
      <c r="DV190" s="161"/>
      <c r="DW190" s="161"/>
      <c r="DX190" s="161"/>
      <c r="DY190" s="161"/>
      <c r="DZ190" s="161"/>
      <c r="EA190" s="161"/>
      <c r="EB190" s="161"/>
      <c r="EC190" s="161"/>
      <c r="ED190" s="161"/>
      <c r="EE190" s="161"/>
      <c r="EF190" s="161">
        <f>SUM(EG190:EP190)</f>
      </c>
      <c r="EG190" s="161"/>
      <c r="EH190" s="161"/>
      <c r="EI190" s="161"/>
      <c r="EJ190" s="161"/>
      <c r="EK190" s="161"/>
      <c r="EL190" s="161"/>
      <c r="EM190" s="161"/>
      <c r="EN190" s="161"/>
      <c r="EO190" s="161"/>
      <c r="EP190" s="161"/>
      <c r="EQ190" s="161">
        <f>SUM(ER190:ES190)</f>
      </c>
      <c r="ER190" s="161"/>
      <c r="ES190" s="161"/>
      <c r="ET190" s="161"/>
      <c r="EU190" s="161"/>
      <c r="EV190" s="161"/>
      <c r="EW190" s="161"/>
      <c r="EX190" s="161"/>
      <c r="EY190" s="161"/>
      <c r="EZ190" s="161"/>
      <c r="FA190" s="161"/>
      <c r="FB190" s="161"/>
      <c r="FC190" s="161"/>
      <c r="FD190" s="161"/>
      <c r="FE190" s="161"/>
      <c r="FF190" s="161"/>
      <c r="FG190" s="161"/>
      <c r="FH190" s="163" cm="1">
        <f t="array" ref="FH190">ROW()-ROW(Ongoing[#Headers])</f>
        <v>184</v>
      </c>
      <c r="FI190" s="164" t="e">
        <v>#N/A</v>
      </c>
      <c r="FJ190" s="164" t="s">
        <v>788</v>
      </c>
      <c r="FK190" s="164">
        <v>0</v>
      </c>
      <c r="FL190" s="164" t="s">
        <v>781</v>
      </c>
      <c r="FM190" s="164" t="s">
        <v>790</v>
      </c>
      <c r="FN190" s="164" t="s">
        <v>782</v>
      </c>
      <c r="FO190" s="164" t="s">
        <v>791</v>
      </c>
      <c r="FP190" s="164" t="s">
        <v>759</v>
      </c>
    </row>
    <row r="191" spans="2:172" s="115" customFormat="1" ht="11.25" x14ac:dyDescent="0.2">
      <c r="B191" s="148"/>
      <c r="C191" s="148"/>
      <c r="D191" s="148"/>
      <c r="E191" s="148"/>
      <c r="F191" s="148"/>
      <c r="G191" s="148"/>
      <c r="H191" s="148"/>
      <c r="I191" s="148"/>
      <c r="J191" s="148"/>
      <c r="K191" s="148"/>
      <c r="L191" s="148"/>
      <c r="M191" s="160"/>
      <c r="N191" s="160"/>
      <c r="O191" s="148"/>
      <c r="P191" s="161">
        <f>SUM(Q191:AP191)</f>
      </c>
      <c r="Q191" s="161"/>
      <c r="R191" s="161"/>
      <c r="S191" s="161"/>
      <c r="T191" s="161"/>
      <c r="U191" s="161"/>
      <c r="V191" s="161"/>
      <c r="W191" s="161"/>
      <c r="X191" s="161"/>
      <c r="Y191" s="161"/>
      <c r="Z191" s="161"/>
      <c r="AA191" s="161"/>
      <c r="AB191" s="161"/>
      <c r="AC191" s="161"/>
      <c r="AD191" s="161"/>
      <c r="AE191" s="161"/>
      <c r="AF191" s="161"/>
      <c r="AG191" s="161"/>
      <c r="AH191" s="161"/>
      <c r="AI191" s="161"/>
      <c r="AJ191" s="161"/>
      <c r="AK191" s="161"/>
      <c r="AL191" s="161"/>
      <c r="AM191" s="161"/>
      <c r="AN191" s="161"/>
      <c r="AO191" s="161"/>
      <c r="AP191" s="161"/>
      <c r="AQ191" s="161">
        <f>SUM(AR191:AU191)</f>
      </c>
      <c r="AR191" s="161"/>
      <c r="AS191" s="161"/>
      <c r="AT191" s="161"/>
      <c r="AU191" s="161"/>
      <c r="AV191" s="161">
        <f>SUM(AW191:BH191)</f>
      </c>
      <c r="AW191" s="161"/>
      <c r="AX191" s="161"/>
      <c r="AY191" s="161"/>
      <c r="AZ191" s="161"/>
      <c r="BA191" s="161"/>
      <c r="BB191" s="161"/>
      <c r="BC191" s="161"/>
      <c r="BD191" s="161"/>
      <c r="BE191" s="161"/>
      <c r="BF191" s="161"/>
      <c r="BG191" s="161"/>
      <c r="BH191" s="161"/>
      <c r="BI191" s="161"/>
      <c r="BJ191" s="161"/>
      <c r="BK191" s="161"/>
      <c r="BL191" s="161"/>
      <c r="BM191" s="161"/>
      <c r="BN191" s="161"/>
      <c r="BO191" s="161"/>
      <c r="BP191" s="161"/>
      <c r="BQ191" s="161"/>
      <c r="BR191" s="161"/>
      <c r="BS191" s="161">
        <f>SUM(BT191:BV191)</f>
      </c>
      <c r="BT191" s="161"/>
      <c r="BU191" s="161"/>
      <c r="BV191" s="161"/>
      <c r="BW191" s="161">
        <f>SUM(BX191:CC191)</f>
      </c>
      <c r="BX191" s="161"/>
      <c r="BY191" s="161"/>
      <c r="BZ191" s="161"/>
      <c r="CA191" s="161"/>
      <c r="CB191" s="161"/>
      <c r="CC191" s="161"/>
      <c r="CD191" s="161"/>
      <c r="CE191" s="161"/>
      <c r="CF191" s="161"/>
      <c r="CG191" s="161"/>
      <c r="CH191" s="161"/>
      <c r="CI191" s="161"/>
      <c r="CJ191" s="161">
        <f>SUM(CK191:CM191)</f>
      </c>
      <c r="CK191" s="161"/>
      <c r="CL191" s="161"/>
      <c r="CM191" s="161"/>
      <c r="CN191" s="161">
        <f>SUM(CO191:CS191)</f>
      </c>
      <c r="CO191" s="161"/>
      <c r="CP191" s="161"/>
      <c r="CQ191" s="161"/>
      <c r="CR191" s="161"/>
      <c r="CS191" s="161"/>
      <c r="CT191" s="161"/>
      <c r="CU191" s="161"/>
      <c r="CV191" s="161"/>
      <c r="CW191" s="161"/>
      <c r="CX191" s="161"/>
      <c r="CY191" s="161"/>
      <c r="CZ191" s="161"/>
      <c r="DA191" s="161"/>
      <c r="DB191" s="161"/>
      <c r="DC191" s="161"/>
      <c r="DD191" s="161"/>
      <c r="DE191" s="161"/>
      <c r="DF191" s="161">
        <f>SUM(DG191:DG191)</f>
      </c>
      <c r="DG191" s="161"/>
      <c r="DH191" s="161"/>
      <c r="DI191" s="161"/>
      <c r="DJ191" s="161">
        <f>SUM(DK191:DP191)</f>
      </c>
      <c r="DK191" s="161"/>
      <c r="DL191" s="161"/>
      <c r="DM191" s="161"/>
      <c r="DN191" s="161"/>
      <c r="DO191" s="161"/>
      <c r="DP191" s="161"/>
      <c r="DQ191" s="161"/>
      <c r="DR191" s="161"/>
      <c r="DS191" s="161"/>
      <c r="DT191" s="161"/>
      <c r="DU191" s="161"/>
      <c r="DV191" s="161"/>
      <c r="DW191" s="161"/>
      <c r="DX191" s="161"/>
      <c r="DY191" s="161"/>
      <c r="DZ191" s="161"/>
      <c r="EA191" s="161"/>
      <c r="EB191" s="161"/>
      <c r="EC191" s="161"/>
      <c r="ED191" s="161"/>
      <c r="EE191" s="161"/>
      <c r="EF191" s="161">
        <f>SUM(EG191:EP191)</f>
      </c>
      <c r="EG191" s="161"/>
      <c r="EH191" s="161"/>
      <c r="EI191" s="161"/>
      <c r="EJ191" s="161"/>
      <c r="EK191" s="161"/>
      <c r="EL191" s="161"/>
      <c r="EM191" s="161"/>
      <c r="EN191" s="161"/>
      <c r="EO191" s="161"/>
      <c r="EP191" s="161"/>
      <c r="EQ191" s="161">
        <f>SUM(ER191:ES191)</f>
      </c>
      <c r="ER191" s="161"/>
      <c r="ES191" s="161"/>
      <c r="ET191" s="161"/>
      <c r="EU191" s="161"/>
      <c r="EV191" s="161"/>
      <c r="EW191" s="161"/>
      <c r="EX191" s="161"/>
      <c r="EY191" s="161"/>
      <c r="EZ191" s="161"/>
      <c r="FA191" s="161"/>
      <c r="FB191" s="161"/>
      <c r="FC191" s="161"/>
      <c r="FD191" s="161"/>
      <c r="FE191" s="161"/>
      <c r="FF191" s="161"/>
      <c r="FG191" s="161"/>
      <c r="FH191" s="163" cm="1">
        <f t="array" ref="FH191">ROW()-ROW(Ongoing[#Headers])</f>
        <v>185</v>
      </c>
      <c r="FI191" s="164" t="e">
        <v>#N/A</v>
      </c>
      <c r="FJ191" s="164" t="s">
        <v>788</v>
      </c>
      <c r="FK191" s="164">
        <v>0</v>
      </c>
      <c r="FL191" s="164" t="s">
        <v>789</v>
      </c>
      <c r="FM191" s="164" t="s">
        <v>790</v>
      </c>
      <c r="FN191" s="164" t="s">
        <v>782</v>
      </c>
      <c r="FO191" s="164" t="s">
        <v>791</v>
      </c>
      <c r="FP191" s="164" t="s">
        <v>792</v>
      </c>
    </row>
    <row r="192" spans="2:172" s="115" customFormat="1" ht="11.25" x14ac:dyDescent="0.2">
      <c r="B192" s="148"/>
      <c r="C192" s="148"/>
      <c r="D192" s="148"/>
      <c r="E192" s="148"/>
      <c r="F192" s="148"/>
      <c r="G192" s="148"/>
      <c r="H192" s="148"/>
      <c r="I192" s="148"/>
      <c r="J192" s="148"/>
      <c r="K192" s="148"/>
      <c r="L192" s="148"/>
      <c r="M192" s="160"/>
      <c r="N192" s="160"/>
      <c r="O192" s="148"/>
      <c r="P192" s="161">
        <f>SUM(Q192:AP192)</f>
      </c>
      <c r="Q192" s="161"/>
      <c r="R192" s="161"/>
      <c r="S192" s="161"/>
      <c r="T192" s="161"/>
      <c r="U192" s="161"/>
      <c r="V192" s="161"/>
      <c r="W192" s="161"/>
      <c r="X192" s="161"/>
      <c r="Y192" s="161"/>
      <c r="Z192" s="161"/>
      <c r="AA192" s="161"/>
      <c r="AB192" s="161"/>
      <c r="AC192" s="161"/>
      <c r="AD192" s="161"/>
      <c r="AE192" s="161"/>
      <c r="AF192" s="161"/>
      <c r="AG192" s="161"/>
      <c r="AH192" s="161"/>
      <c r="AI192" s="161"/>
      <c r="AJ192" s="161"/>
      <c r="AK192" s="161"/>
      <c r="AL192" s="161"/>
      <c r="AM192" s="161"/>
      <c r="AN192" s="161"/>
      <c r="AO192" s="161"/>
      <c r="AP192" s="161"/>
      <c r="AQ192" s="161">
        <f>SUM(AR192:AU192)</f>
      </c>
      <c r="AR192" s="161"/>
      <c r="AS192" s="161"/>
      <c r="AT192" s="161"/>
      <c r="AU192" s="161"/>
      <c r="AV192" s="161">
        <f>SUM(AW192:BH192)</f>
      </c>
      <c r="AW192" s="161"/>
      <c r="AX192" s="161"/>
      <c r="AY192" s="161"/>
      <c r="AZ192" s="161"/>
      <c r="BA192" s="161"/>
      <c r="BB192" s="161"/>
      <c r="BC192" s="161"/>
      <c r="BD192" s="161"/>
      <c r="BE192" s="161"/>
      <c r="BF192" s="161"/>
      <c r="BG192" s="161"/>
      <c r="BH192" s="161"/>
      <c r="BI192" s="161"/>
      <c r="BJ192" s="161"/>
      <c r="BK192" s="161"/>
      <c r="BL192" s="161"/>
      <c r="BM192" s="161"/>
      <c r="BN192" s="161"/>
      <c r="BO192" s="161"/>
      <c r="BP192" s="161"/>
      <c r="BQ192" s="161"/>
      <c r="BR192" s="161"/>
      <c r="BS192" s="161">
        <f>SUM(BT192:BV192)</f>
      </c>
      <c r="BT192" s="161"/>
      <c r="BU192" s="161"/>
      <c r="BV192" s="161"/>
      <c r="BW192" s="161">
        <f>SUM(BX192:CC192)</f>
      </c>
      <c r="BX192" s="161"/>
      <c r="BY192" s="161"/>
      <c r="BZ192" s="161"/>
      <c r="CA192" s="161"/>
      <c r="CB192" s="161"/>
      <c r="CC192" s="161"/>
      <c r="CD192" s="161"/>
      <c r="CE192" s="161"/>
      <c r="CF192" s="161"/>
      <c r="CG192" s="161"/>
      <c r="CH192" s="161"/>
      <c r="CI192" s="161"/>
      <c r="CJ192" s="161">
        <f>SUM(CK192:CM192)</f>
      </c>
      <c r="CK192" s="161"/>
      <c r="CL192" s="161"/>
      <c r="CM192" s="161"/>
      <c r="CN192" s="161">
        <f>SUM(CO192:CS192)</f>
      </c>
      <c r="CO192" s="161"/>
      <c r="CP192" s="161"/>
      <c r="CQ192" s="161"/>
      <c r="CR192" s="161"/>
      <c r="CS192" s="161"/>
      <c r="CT192" s="161"/>
      <c r="CU192" s="161"/>
      <c r="CV192" s="161"/>
      <c r="CW192" s="161"/>
      <c r="CX192" s="161"/>
      <c r="CY192" s="161"/>
      <c r="CZ192" s="161"/>
      <c r="DA192" s="161"/>
      <c r="DB192" s="161"/>
      <c r="DC192" s="161"/>
      <c r="DD192" s="161"/>
      <c r="DE192" s="161"/>
      <c r="DF192" s="161">
        <f>SUM(DG192:DG192)</f>
      </c>
      <c r="DG192" s="161"/>
      <c r="DH192" s="161"/>
      <c r="DI192" s="161"/>
      <c r="DJ192" s="161">
        <f>SUM(DK192:DP192)</f>
      </c>
      <c r="DK192" s="161"/>
      <c r="DL192" s="161"/>
      <c r="DM192" s="161"/>
      <c r="DN192" s="161"/>
      <c r="DO192" s="161"/>
      <c r="DP192" s="161"/>
      <c r="DQ192" s="161"/>
      <c r="DR192" s="161"/>
      <c r="DS192" s="161"/>
      <c r="DT192" s="161"/>
      <c r="DU192" s="161"/>
      <c r="DV192" s="161"/>
      <c r="DW192" s="161"/>
      <c r="DX192" s="161"/>
      <c r="DY192" s="161"/>
      <c r="DZ192" s="161"/>
      <c r="EA192" s="161"/>
      <c r="EB192" s="161"/>
      <c r="EC192" s="161"/>
      <c r="ED192" s="161"/>
      <c r="EE192" s="161"/>
      <c r="EF192" s="161">
        <f>SUM(EG192:EP192)</f>
      </c>
      <c r="EG192" s="161"/>
      <c r="EH192" s="161"/>
      <c r="EI192" s="161"/>
      <c r="EJ192" s="161"/>
      <c r="EK192" s="161"/>
      <c r="EL192" s="161"/>
      <c r="EM192" s="161"/>
      <c r="EN192" s="161"/>
      <c r="EO192" s="161"/>
      <c r="EP192" s="161"/>
      <c r="EQ192" s="161">
        <f>SUM(ER192:ES192)</f>
      </c>
      <c r="ER192" s="161"/>
      <c r="ES192" s="161"/>
      <c r="ET192" s="161"/>
      <c r="EU192" s="161"/>
      <c r="EV192" s="161"/>
      <c r="EW192" s="161"/>
      <c r="EX192" s="161"/>
      <c r="EY192" s="161"/>
      <c r="EZ192" s="161"/>
      <c r="FA192" s="161"/>
      <c r="FB192" s="161"/>
      <c r="FC192" s="161"/>
      <c r="FD192" s="161"/>
      <c r="FE192" s="161"/>
      <c r="FF192" s="161"/>
      <c r="FG192" s="161"/>
      <c r="FH192" s="163" cm="1">
        <f t="array" ref="FH192">ROW()-ROW(Ongoing[#Headers])</f>
        <v>186</v>
      </c>
      <c r="FI192" s="164" t="e">
        <v>#N/A</v>
      </c>
      <c r="FJ192" s="164" t="s">
        <v>788</v>
      </c>
      <c r="FK192" s="164">
        <v>0</v>
      </c>
      <c r="FL192" s="164" t="s">
        <v>789</v>
      </c>
      <c r="FM192" s="164" t="s">
        <v>790</v>
      </c>
      <c r="FN192" s="164" t="s">
        <v>782</v>
      </c>
      <c r="FO192" s="164" t="s">
        <v>791</v>
      </c>
      <c r="FP192" s="164" t="s">
        <v>792</v>
      </c>
    </row>
    <row r="193" spans="2:172" s="115" customFormat="1" ht="11.25" x14ac:dyDescent="0.2">
      <c r="B193" s="148"/>
      <c r="C193" s="148"/>
      <c r="D193" s="148"/>
      <c r="E193" s="148"/>
      <c r="F193" s="148"/>
      <c r="G193" s="148"/>
      <c r="H193" s="148"/>
      <c r="I193" s="148"/>
      <c r="J193" s="148"/>
      <c r="K193" s="148"/>
      <c r="L193" s="148"/>
      <c r="M193" s="160"/>
      <c r="N193" s="160"/>
      <c r="O193" s="148"/>
      <c r="P193" s="161">
        <f>SUM(Q193:AP193)</f>
      </c>
      <c r="Q193" s="161"/>
      <c r="R193" s="161"/>
      <c r="S193" s="161"/>
      <c r="T193" s="161"/>
      <c r="U193" s="161"/>
      <c r="V193" s="161"/>
      <c r="W193" s="161"/>
      <c r="X193" s="161"/>
      <c r="Y193" s="161"/>
      <c r="Z193" s="161"/>
      <c r="AA193" s="161"/>
      <c r="AB193" s="161"/>
      <c r="AC193" s="161"/>
      <c r="AD193" s="161"/>
      <c r="AE193" s="161"/>
      <c r="AF193" s="161"/>
      <c r="AG193" s="161"/>
      <c r="AH193" s="161"/>
      <c r="AI193" s="161"/>
      <c r="AJ193" s="161"/>
      <c r="AK193" s="161"/>
      <c r="AL193" s="161"/>
      <c r="AM193" s="161"/>
      <c r="AN193" s="161"/>
      <c r="AO193" s="161"/>
      <c r="AP193" s="161"/>
      <c r="AQ193" s="161">
        <f>SUM(AR193:AU193)</f>
      </c>
      <c r="AR193" s="161"/>
      <c r="AS193" s="161"/>
      <c r="AT193" s="161"/>
      <c r="AU193" s="161"/>
      <c r="AV193" s="161">
        <f>SUM(AW193:BH193)</f>
      </c>
      <c r="AW193" s="161"/>
      <c r="AX193" s="161"/>
      <c r="AY193" s="161"/>
      <c r="AZ193" s="161"/>
      <c r="BA193" s="161"/>
      <c r="BB193" s="161"/>
      <c r="BC193" s="161"/>
      <c r="BD193" s="161"/>
      <c r="BE193" s="161"/>
      <c r="BF193" s="161"/>
      <c r="BG193" s="161"/>
      <c r="BH193" s="161"/>
      <c r="BI193" s="161"/>
      <c r="BJ193" s="161"/>
      <c r="BK193" s="161"/>
      <c r="BL193" s="161"/>
      <c r="BM193" s="161"/>
      <c r="BN193" s="161"/>
      <c r="BO193" s="161"/>
      <c r="BP193" s="161"/>
      <c r="BQ193" s="161"/>
      <c r="BR193" s="161"/>
      <c r="BS193" s="161">
        <f>SUM(BT193:BV193)</f>
      </c>
      <c r="BT193" s="161"/>
      <c r="BU193" s="161"/>
      <c r="BV193" s="161"/>
      <c r="BW193" s="161">
        <f>SUM(BX193:CC193)</f>
      </c>
      <c r="BX193" s="161"/>
      <c r="BY193" s="161"/>
      <c r="BZ193" s="161"/>
      <c r="CA193" s="161"/>
      <c r="CB193" s="161"/>
      <c r="CC193" s="161"/>
      <c r="CD193" s="161"/>
      <c r="CE193" s="161"/>
      <c r="CF193" s="161"/>
      <c r="CG193" s="161"/>
      <c r="CH193" s="161"/>
      <c r="CI193" s="161"/>
      <c r="CJ193" s="161">
        <f>SUM(CK193:CM193)</f>
      </c>
      <c r="CK193" s="161"/>
      <c r="CL193" s="161"/>
      <c r="CM193" s="161"/>
      <c r="CN193" s="161">
        <f>SUM(CO193:CS193)</f>
      </c>
      <c r="CO193" s="161"/>
      <c r="CP193" s="161"/>
      <c r="CQ193" s="161"/>
      <c r="CR193" s="161"/>
      <c r="CS193" s="161"/>
      <c r="CT193" s="161"/>
      <c r="CU193" s="161"/>
      <c r="CV193" s="161"/>
      <c r="CW193" s="161"/>
      <c r="CX193" s="161"/>
      <c r="CY193" s="161"/>
      <c r="CZ193" s="161"/>
      <c r="DA193" s="161"/>
      <c r="DB193" s="161"/>
      <c r="DC193" s="161"/>
      <c r="DD193" s="161"/>
      <c r="DE193" s="161"/>
      <c r="DF193" s="161">
        <f>SUM(DG193:DG193)</f>
      </c>
      <c r="DG193" s="161"/>
      <c r="DH193" s="161"/>
      <c r="DI193" s="161"/>
      <c r="DJ193" s="161">
        <f>SUM(DK193:DP193)</f>
      </c>
      <c r="DK193" s="161"/>
      <c r="DL193" s="161"/>
      <c r="DM193" s="161"/>
      <c r="DN193" s="161"/>
      <c r="DO193" s="161"/>
      <c r="DP193" s="161"/>
      <c r="DQ193" s="161"/>
      <c r="DR193" s="161"/>
      <c r="DS193" s="161"/>
      <c r="DT193" s="161"/>
      <c r="DU193" s="161"/>
      <c r="DV193" s="161"/>
      <c r="DW193" s="161"/>
      <c r="DX193" s="161"/>
      <c r="DY193" s="161"/>
      <c r="DZ193" s="161"/>
      <c r="EA193" s="161"/>
      <c r="EB193" s="161"/>
      <c r="EC193" s="161"/>
      <c r="ED193" s="161"/>
      <c r="EE193" s="161"/>
      <c r="EF193" s="161">
        <f>SUM(EG193:EP193)</f>
      </c>
      <c r="EG193" s="161"/>
      <c r="EH193" s="161"/>
      <c r="EI193" s="161"/>
      <c r="EJ193" s="161"/>
      <c r="EK193" s="161"/>
      <c r="EL193" s="161"/>
      <c r="EM193" s="161"/>
      <c r="EN193" s="161"/>
      <c r="EO193" s="161"/>
      <c r="EP193" s="161"/>
      <c r="EQ193" s="161">
        <f>SUM(ER193:ES193)</f>
      </c>
      <c r="ER193" s="161"/>
      <c r="ES193" s="161"/>
      <c r="ET193" s="161"/>
      <c r="EU193" s="161"/>
      <c r="EV193" s="161"/>
      <c r="EW193" s="161"/>
      <c r="EX193" s="161"/>
      <c r="EY193" s="161"/>
      <c r="EZ193" s="161"/>
      <c r="FA193" s="161"/>
      <c r="FB193" s="161"/>
      <c r="FC193" s="161"/>
      <c r="FD193" s="161"/>
      <c r="FE193" s="161"/>
      <c r="FF193" s="161"/>
      <c r="FG193" s="161"/>
      <c r="FH193" s="163" cm="1">
        <f t="array" ref="FH193">ROW()-ROW(Ongoing[#Headers])</f>
        <v>187</v>
      </c>
      <c r="FI193" s="164" t="e">
        <v>#N/A</v>
      </c>
      <c r="FJ193" s="164" t="s">
        <v>788</v>
      </c>
      <c r="FK193" s="164">
        <v>0</v>
      </c>
      <c r="FL193" s="164" t="s">
        <v>789</v>
      </c>
      <c r="FM193" s="164" t="s">
        <v>790</v>
      </c>
      <c r="FN193" s="164" t="s">
        <v>782</v>
      </c>
      <c r="FO193" s="164" t="s">
        <v>791</v>
      </c>
      <c r="FP193" s="164" t="s">
        <v>792</v>
      </c>
    </row>
    <row r="194" spans="2:172" s="115" customFormat="1" ht="11.25" x14ac:dyDescent="0.2">
      <c r="B194" s="148"/>
      <c r="C194" s="148"/>
      <c r="D194" s="148"/>
      <c r="E194" s="148"/>
      <c r="F194" s="148"/>
      <c r="G194" s="148"/>
      <c r="H194" s="148"/>
      <c r="I194" s="148"/>
      <c r="J194" s="148"/>
      <c r="K194" s="148"/>
      <c r="L194" s="148"/>
      <c r="M194" s="160"/>
      <c r="N194" s="160"/>
      <c r="O194" s="148"/>
      <c r="P194" s="161">
        <f>SUM(Q194:AP194)</f>
      </c>
      <c r="Q194" s="161"/>
      <c r="R194" s="161"/>
      <c r="S194" s="161"/>
      <c r="T194" s="161"/>
      <c r="U194" s="161"/>
      <c r="V194" s="161"/>
      <c r="W194" s="161"/>
      <c r="X194" s="161"/>
      <c r="Y194" s="161"/>
      <c r="Z194" s="161"/>
      <c r="AA194" s="161"/>
      <c r="AB194" s="161"/>
      <c r="AC194" s="161"/>
      <c r="AD194" s="161"/>
      <c r="AE194" s="161"/>
      <c r="AF194" s="161"/>
      <c r="AG194" s="161"/>
      <c r="AH194" s="161"/>
      <c r="AI194" s="161"/>
      <c r="AJ194" s="161"/>
      <c r="AK194" s="161"/>
      <c r="AL194" s="161"/>
      <c r="AM194" s="161"/>
      <c r="AN194" s="161"/>
      <c r="AO194" s="161"/>
      <c r="AP194" s="161"/>
      <c r="AQ194" s="161">
        <f>SUM(AR194:AU194)</f>
      </c>
      <c r="AR194" s="161"/>
      <c r="AS194" s="161"/>
      <c r="AT194" s="161"/>
      <c r="AU194" s="161"/>
      <c r="AV194" s="161">
        <f>SUM(AW194:BH194)</f>
      </c>
      <c r="AW194" s="161"/>
      <c r="AX194" s="161"/>
      <c r="AY194" s="161"/>
      <c r="AZ194" s="161"/>
      <c r="BA194" s="161"/>
      <c r="BB194" s="161"/>
      <c r="BC194" s="161"/>
      <c r="BD194" s="161"/>
      <c r="BE194" s="161"/>
      <c r="BF194" s="161"/>
      <c r="BG194" s="161"/>
      <c r="BH194" s="161"/>
      <c r="BI194" s="161"/>
      <c r="BJ194" s="161"/>
      <c r="BK194" s="161"/>
      <c r="BL194" s="161"/>
      <c r="BM194" s="161"/>
      <c r="BN194" s="161"/>
      <c r="BO194" s="161"/>
      <c r="BP194" s="161"/>
      <c r="BQ194" s="161"/>
      <c r="BR194" s="161"/>
      <c r="BS194" s="161">
        <f>SUM(BT194:BV194)</f>
      </c>
      <c r="BT194" s="161"/>
      <c r="BU194" s="161"/>
      <c r="BV194" s="161"/>
      <c r="BW194" s="161">
        <f>SUM(BX194:CC194)</f>
      </c>
      <c r="BX194" s="161"/>
      <c r="BY194" s="161"/>
      <c r="BZ194" s="161"/>
      <c r="CA194" s="161"/>
      <c r="CB194" s="161"/>
      <c r="CC194" s="161"/>
      <c r="CD194" s="161"/>
      <c r="CE194" s="161"/>
      <c r="CF194" s="161"/>
      <c r="CG194" s="161"/>
      <c r="CH194" s="161"/>
      <c r="CI194" s="161"/>
      <c r="CJ194" s="161">
        <f>SUM(CK194:CM194)</f>
      </c>
      <c r="CK194" s="161"/>
      <c r="CL194" s="161"/>
      <c r="CM194" s="161"/>
      <c r="CN194" s="161">
        <f>SUM(CO194:CS194)</f>
      </c>
      <c r="CO194" s="161"/>
      <c r="CP194" s="161"/>
      <c r="CQ194" s="161"/>
      <c r="CR194" s="161"/>
      <c r="CS194" s="161"/>
      <c r="CT194" s="161"/>
      <c r="CU194" s="161"/>
      <c r="CV194" s="161"/>
      <c r="CW194" s="161"/>
      <c r="CX194" s="161"/>
      <c r="CY194" s="161"/>
      <c r="CZ194" s="161"/>
      <c r="DA194" s="161"/>
      <c r="DB194" s="161"/>
      <c r="DC194" s="161"/>
      <c r="DD194" s="161"/>
      <c r="DE194" s="161"/>
      <c r="DF194" s="161">
        <f>SUM(DG194:DG194)</f>
      </c>
      <c r="DG194" s="161"/>
      <c r="DH194" s="161"/>
      <c r="DI194" s="161"/>
      <c r="DJ194" s="161">
        <f>SUM(DK194:DP194)</f>
      </c>
      <c r="DK194" s="161"/>
      <c r="DL194" s="161"/>
      <c r="DM194" s="161"/>
      <c r="DN194" s="161"/>
      <c r="DO194" s="161"/>
      <c r="DP194" s="161"/>
      <c r="DQ194" s="161"/>
      <c r="DR194" s="161"/>
      <c r="DS194" s="161"/>
      <c r="DT194" s="161"/>
      <c r="DU194" s="161"/>
      <c r="DV194" s="161"/>
      <c r="DW194" s="161"/>
      <c r="DX194" s="161"/>
      <c r="DY194" s="161"/>
      <c r="DZ194" s="161"/>
      <c r="EA194" s="161"/>
      <c r="EB194" s="161"/>
      <c r="EC194" s="161"/>
      <c r="ED194" s="161"/>
      <c r="EE194" s="161"/>
      <c r="EF194" s="161">
        <f>SUM(EG194:EP194)</f>
      </c>
      <c r="EG194" s="161"/>
      <c r="EH194" s="161"/>
      <c r="EI194" s="161"/>
      <c r="EJ194" s="161"/>
      <c r="EK194" s="161"/>
      <c r="EL194" s="161"/>
      <c r="EM194" s="161"/>
      <c r="EN194" s="161"/>
      <c r="EO194" s="161"/>
      <c r="EP194" s="161"/>
      <c r="EQ194" s="161">
        <f>SUM(ER194:ES194)</f>
      </c>
      <c r="ER194" s="161"/>
      <c r="ES194" s="161"/>
      <c r="ET194" s="161"/>
      <c r="EU194" s="161"/>
      <c r="EV194" s="161"/>
      <c r="EW194" s="161"/>
      <c r="EX194" s="161"/>
      <c r="EY194" s="161"/>
      <c r="EZ194" s="161"/>
      <c r="FA194" s="161"/>
      <c r="FB194" s="161"/>
      <c r="FC194" s="161"/>
      <c r="FD194" s="161"/>
      <c r="FE194" s="161"/>
      <c r="FF194" s="161"/>
      <c r="FG194" s="161"/>
      <c r="FH194" s="163" cm="1">
        <f t="array" ref="FH194">ROW()-ROW(Ongoing[#Headers])</f>
        <v>188</v>
      </c>
      <c r="FI194" s="164" t="e">
        <v>#N/A</v>
      </c>
      <c r="FJ194" s="164" t="s">
        <v>788</v>
      </c>
      <c r="FK194" s="164">
        <v>0</v>
      </c>
      <c r="FL194" s="164" t="s">
        <v>789</v>
      </c>
      <c r="FM194" s="164" t="s">
        <v>790</v>
      </c>
      <c r="FN194" s="164" t="s">
        <v>782</v>
      </c>
      <c r="FO194" s="164" t="s">
        <v>791</v>
      </c>
      <c r="FP194" s="164" t="s">
        <v>792</v>
      </c>
    </row>
    <row r="195" spans="2:172" s="115" customFormat="1" ht="11.25" x14ac:dyDescent="0.2">
      <c r="B195" s="148"/>
      <c r="C195" s="148"/>
      <c r="D195" s="148"/>
      <c r="E195" s="148"/>
      <c r="F195" s="148"/>
      <c r="G195" s="148"/>
      <c r="H195" s="148"/>
      <c r="I195" s="148"/>
      <c r="J195" s="148"/>
      <c r="K195" s="148"/>
      <c r="L195" s="148"/>
      <c r="M195" s="160"/>
      <c r="N195" s="160"/>
      <c r="O195" s="148"/>
      <c r="P195" s="161">
        <f>SUM(Q195:AP195)</f>
      </c>
      <c r="Q195" s="161"/>
      <c r="R195" s="161"/>
      <c r="S195" s="161"/>
      <c r="T195" s="161"/>
      <c r="U195" s="161"/>
      <c r="V195" s="161"/>
      <c r="W195" s="161"/>
      <c r="X195" s="161"/>
      <c r="Y195" s="161"/>
      <c r="Z195" s="161"/>
      <c r="AA195" s="161"/>
      <c r="AB195" s="161"/>
      <c r="AC195" s="161"/>
      <c r="AD195" s="161"/>
      <c r="AE195" s="161"/>
      <c r="AF195" s="161"/>
      <c r="AG195" s="161"/>
      <c r="AH195" s="161"/>
      <c r="AI195" s="161"/>
      <c r="AJ195" s="161"/>
      <c r="AK195" s="161"/>
      <c r="AL195" s="161"/>
      <c r="AM195" s="161"/>
      <c r="AN195" s="161"/>
      <c r="AO195" s="161"/>
      <c r="AP195" s="161"/>
      <c r="AQ195" s="161">
        <f>SUM(AR195:AU195)</f>
      </c>
      <c r="AR195" s="161"/>
      <c r="AS195" s="161"/>
      <c r="AT195" s="161"/>
      <c r="AU195" s="161"/>
      <c r="AV195" s="161">
        <f>SUM(AW195:BH195)</f>
      </c>
      <c r="AW195" s="161"/>
      <c r="AX195" s="161"/>
      <c r="AY195" s="161"/>
      <c r="AZ195" s="161"/>
      <c r="BA195" s="161"/>
      <c r="BB195" s="161"/>
      <c r="BC195" s="161"/>
      <c r="BD195" s="161"/>
      <c r="BE195" s="161"/>
      <c r="BF195" s="161"/>
      <c r="BG195" s="161"/>
      <c r="BH195" s="161"/>
      <c r="BI195" s="161"/>
      <c r="BJ195" s="161"/>
      <c r="BK195" s="161"/>
      <c r="BL195" s="161"/>
      <c r="BM195" s="161"/>
      <c r="BN195" s="161"/>
      <c r="BO195" s="161"/>
      <c r="BP195" s="161"/>
      <c r="BQ195" s="161"/>
      <c r="BR195" s="161"/>
      <c r="BS195" s="161">
        <f>SUM(BT195:BV195)</f>
      </c>
      <c r="BT195" s="161"/>
      <c r="BU195" s="161"/>
      <c r="BV195" s="161"/>
      <c r="BW195" s="161">
        <f>SUM(BX195:CC195)</f>
      </c>
      <c r="BX195" s="161"/>
      <c r="BY195" s="161"/>
      <c r="BZ195" s="161"/>
      <c r="CA195" s="161"/>
      <c r="CB195" s="161"/>
      <c r="CC195" s="161"/>
      <c r="CD195" s="161"/>
      <c r="CE195" s="161"/>
      <c r="CF195" s="161"/>
      <c r="CG195" s="161"/>
      <c r="CH195" s="161"/>
      <c r="CI195" s="161"/>
      <c r="CJ195" s="161">
        <f>SUM(CK195:CM195)</f>
      </c>
      <c r="CK195" s="161"/>
      <c r="CL195" s="161"/>
      <c r="CM195" s="161"/>
      <c r="CN195" s="161">
        <f>SUM(CO195:CS195)</f>
      </c>
      <c r="CO195" s="161"/>
      <c r="CP195" s="161"/>
      <c r="CQ195" s="161"/>
      <c r="CR195" s="161"/>
      <c r="CS195" s="161"/>
      <c r="CT195" s="161"/>
      <c r="CU195" s="161"/>
      <c r="CV195" s="161"/>
      <c r="CW195" s="161"/>
      <c r="CX195" s="161"/>
      <c r="CY195" s="161"/>
      <c r="CZ195" s="161"/>
      <c r="DA195" s="161"/>
      <c r="DB195" s="161"/>
      <c r="DC195" s="161"/>
      <c r="DD195" s="161"/>
      <c r="DE195" s="161"/>
      <c r="DF195" s="161">
        <f>SUM(DG195:DG195)</f>
      </c>
      <c r="DG195" s="161"/>
      <c r="DH195" s="161"/>
      <c r="DI195" s="161"/>
      <c r="DJ195" s="161">
        <f>SUM(DK195:DP195)</f>
      </c>
      <c r="DK195" s="161"/>
      <c r="DL195" s="161"/>
      <c r="DM195" s="161"/>
      <c r="DN195" s="161"/>
      <c r="DO195" s="161"/>
      <c r="DP195" s="161"/>
      <c r="DQ195" s="161"/>
      <c r="DR195" s="161"/>
      <c r="DS195" s="161"/>
      <c r="DT195" s="161"/>
      <c r="DU195" s="161"/>
      <c r="DV195" s="161"/>
      <c r="DW195" s="161"/>
      <c r="DX195" s="161"/>
      <c r="DY195" s="161"/>
      <c r="DZ195" s="161"/>
      <c r="EA195" s="161"/>
      <c r="EB195" s="161"/>
      <c r="EC195" s="161"/>
      <c r="ED195" s="161"/>
      <c r="EE195" s="161"/>
      <c r="EF195" s="161">
        <f>SUM(EG195:EP195)</f>
      </c>
      <c r="EG195" s="161"/>
      <c r="EH195" s="161"/>
      <c r="EI195" s="161"/>
      <c r="EJ195" s="161"/>
      <c r="EK195" s="161"/>
      <c r="EL195" s="161"/>
      <c r="EM195" s="161"/>
      <c r="EN195" s="161"/>
      <c r="EO195" s="161"/>
      <c r="EP195" s="161"/>
      <c r="EQ195" s="161">
        <f>SUM(ER195:ES195)</f>
      </c>
      <c r="ER195" s="161"/>
      <c r="ES195" s="161"/>
      <c r="ET195" s="161"/>
      <c r="EU195" s="161"/>
      <c r="EV195" s="161"/>
      <c r="EW195" s="161"/>
      <c r="EX195" s="161"/>
      <c r="EY195" s="161"/>
      <c r="EZ195" s="161"/>
      <c r="FA195" s="161"/>
      <c r="FB195" s="161"/>
      <c r="FC195" s="161"/>
      <c r="FD195" s="161"/>
      <c r="FE195" s="161"/>
      <c r="FF195" s="161"/>
      <c r="FG195" s="161"/>
      <c r="FH195" s="163" cm="1">
        <f t="array" ref="FH195">ROW()-ROW(Ongoing[#Headers])</f>
        <v>189</v>
      </c>
      <c r="FI195" s="164" t="e">
        <v>#N/A</v>
      </c>
      <c r="FJ195" s="164" t="s">
        <v>788</v>
      </c>
      <c r="FK195" s="164">
        <v>0</v>
      </c>
      <c r="FL195" s="164" t="s">
        <v>789</v>
      </c>
      <c r="FM195" s="164" t="s">
        <v>790</v>
      </c>
      <c r="FN195" s="164" t="s">
        <v>782</v>
      </c>
      <c r="FO195" s="164" t="s">
        <v>811</v>
      </c>
      <c r="FP195" s="164" t="s">
        <v>792</v>
      </c>
    </row>
    <row r="196" spans="2:172" s="115" customFormat="1" ht="11.25" x14ac:dyDescent="0.2">
      <c r="B196" s="148"/>
      <c r="C196" s="148"/>
      <c r="D196" s="148"/>
      <c r="E196" s="148"/>
      <c r="F196" s="148"/>
      <c r="G196" s="148"/>
      <c r="H196" s="148"/>
      <c r="I196" s="148"/>
      <c r="J196" s="148"/>
      <c r="K196" s="148"/>
      <c r="L196" s="148"/>
      <c r="M196" s="160"/>
      <c r="N196" s="160"/>
      <c r="O196" s="148"/>
      <c r="P196" s="161">
        <f>SUM(Q196:AP196)</f>
      </c>
      <c r="Q196" s="161"/>
      <c r="R196" s="161"/>
      <c r="S196" s="161"/>
      <c r="T196" s="161"/>
      <c r="U196" s="161"/>
      <c r="V196" s="161"/>
      <c r="W196" s="161"/>
      <c r="X196" s="161"/>
      <c r="Y196" s="161"/>
      <c r="Z196" s="161"/>
      <c r="AA196" s="161"/>
      <c r="AB196" s="161"/>
      <c r="AC196" s="161"/>
      <c r="AD196" s="161"/>
      <c r="AE196" s="161"/>
      <c r="AF196" s="161"/>
      <c r="AG196" s="161"/>
      <c r="AH196" s="161"/>
      <c r="AI196" s="161"/>
      <c r="AJ196" s="161"/>
      <c r="AK196" s="161"/>
      <c r="AL196" s="161"/>
      <c r="AM196" s="161"/>
      <c r="AN196" s="161"/>
      <c r="AO196" s="161"/>
      <c r="AP196" s="161"/>
      <c r="AQ196" s="161">
        <f>SUM(AR196:AU196)</f>
      </c>
      <c r="AR196" s="161"/>
      <c r="AS196" s="161"/>
      <c r="AT196" s="161"/>
      <c r="AU196" s="161"/>
      <c r="AV196" s="161">
        <f>SUM(AW196:BH196)</f>
      </c>
      <c r="AW196" s="161"/>
      <c r="AX196" s="161"/>
      <c r="AY196" s="161"/>
      <c r="AZ196" s="161"/>
      <c r="BA196" s="161"/>
      <c r="BB196" s="161"/>
      <c r="BC196" s="161"/>
      <c r="BD196" s="161"/>
      <c r="BE196" s="161"/>
      <c r="BF196" s="161"/>
      <c r="BG196" s="161"/>
      <c r="BH196" s="161"/>
      <c r="BI196" s="161"/>
      <c r="BJ196" s="161"/>
      <c r="BK196" s="161"/>
      <c r="BL196" s="161"/>
      <c r="BM196" s="161"/>
      <c r="BN196" s="161"/>
      <c r="BO196" s="161"/>
      <c r="BP196" s="161"/>
      <c r="BQ196" s="161"/>
      <c r="BR196" s="161"/>
      <c r="BS196" s="161">
        <f>SUM(BT196:BV196)</f>
      </c>
      <c r="BT196" s="161"/>
      <c r="BU196" s="161"/>
      <c r="BV196" s="161"/>
      <c r="BW196" s="161">
        <f>SUM(BX196:CC196)</f>
      </c>
      <c r="BX196" s="161"/>
      <c r="BY196" s="161"/>
      <c r="BZ196" s="161"/>
      <c r="CA196" s="161"/>
      <c r="CB196" s="161"/>
      <c r="CC196" s="161"/>
      <c r="CD196" s="161"/>
      <c r="CE196" s="161"/>
      <c r="CF196" s="161"/>
      <c r="CG196" s="161"/>
      <c r="CH196" s="161"/>
      <c r="CI196" s="161"/>
      <c r="CJ196" s="161">
        <f>SUM(CK196:CM196)</f>
      </c>
      <c r="CK196" s="161"/>
      <c r="CL196" s="161"/>
      <c r="CM196" s="161"/>
      <c r="CN196" s="161">
        <f>SUM(CO196:CS196)</f>
      </c>
      <c r="CO196" s="161"/>
      <c r="CP196" s="161"/>
      <c r="CQ196" s="161"/>
      <c r="CR196" s="161"/>
      <c r="CS196" s="161"/>
      <c r="CT196" s="161"/>
      <c r="CU196" s="161"/>
      <c r="CV196" s="161"/>
      <c r="CW196" s="161"/>
      <c r="CX196" s="161"/>
      <c r="CY196" s="161"/>
      <c r="CZ196" s="161"/>
      <c r="DA196" s="161"/>
      <c r="DB196" s="161"/>
      <c r="DC196" s="161"/>
      <c r="DD196" s="161"/>
      <c r="DE196" s="161"/>
      <c r="DF196" s="161">
        <f>SUM(DG196:DG196)</f>
      </c>
      <c r="DG196" s="161"/>
      <c r="DH196" s="161"/>
      <c r="DI196" s="161"/>
      <c r="DJ196" s="161">
        <f>SUM(DK196:DP196)</f>
      </c>
      <c r="DK196" s="161"/>
      <c r="DL196" s="161"/>
      <c r="DM196" s="161"/>
      <c r="DN196" s="161"/>
      <c r="DO196" s="161"/>
      <c r="DP196" s="161"/>
      <c r="DQ196" s="161"/>
      <c r="DR196" s="161"/>
      <c r="DS196" s="161"/>
      <c r="DT196" s="161"/>
      <c r="DU196" s="161"/>
      <c r="DV196" s="161"/>
      <c r="DW196" s="161"/>
      <c r="DX196" s="161"/>
      <c r="DY196" s="161"/>
      <c r="DZ196" s="161"/>
      <c r="EA196" s="161"/>
      <c r="EB196" s="161"/>
      <c r="EC196" s="161"/>
      <c r="ED196" s="161"/>
      <c r="EE196" s="161"/>
      <c r="EF196" s="161">
        <f>SUM(EG196:EP196)</f>
      </c>
      <c r="EG196" s="161"/>
      <c r="EH196" s="161"/>
      <c r="EI196" s="161"/>
      <c r="EJ196" s="161"/>
      <c r="EK196" s="161"/>
      <c r="EL196" s="161"/>
      <c r="EM196" s="161"/>
      <c r="EN196" s="161"/>
      <c r="EO196" s="161"/>
      <c r="EP196" s="161"/>
      <c r="EQ196" s="161">
        <f>SUM(ER196:ES196)</f>
      </c>
      <c r="ER196" s="161"/>
      <c r="ES196" s="161"/>
      <c r="ET196" s="161"/>
      <c r="EU196" s="161"/>
      <c r="EV196" s="161"/>
      <c r="EW196" s="161"/>
      <c r="EX196" s="161"/>
      <c r="EY196" s="161"/>
      <c r="EZ196" s="161"/>
      <c r="FA196" s="161"/>
      <c r="FB196" s="161"/>
      <c r="FC196" s="161"/>
      <c r="FD196" s="161"/>
      <c r="FE196" s="161"/>
      <c r="FF196" s="161"/>
      <c r="FG196" s="161"/>
      <c r="FH196" s="163" cm="1">
        <f t="array" ref="FH196">ROW()-ROW(Ongoing[#Headers])</f>
        <v>190</v>
      </c>
      <c r="FI196" s="164" t="e">
        <v>#N/A</v>
      </c>
      <c r="FJ196" s="164" t="s">
        <v>788</v>
      </c>
      <c r="FK196" s="164">
        <v>0</v>
      </c>
      <c r="FL196" s="164" t="s">
        <v>789</v>
      </c>
      <c r="FM196" s="164" t="s">
        <v>790</v>
      </c>
      <c r="FN196" s="164" t="s">
        <v>782</v>
      </c>
      <c r="FO196" s="164" t="s">
        <v>811</v>
      </c>
      <c r="FP196" s="164" t="s">
        <v>792</v>
      </c>
    </row>
    <row r="197" spans="2:172" s="115" customFormat="1" ht="11.25" x14ac:dyDescent="0.2">
      <c r="B197" s="148"/>
      <c r="C197" s="148"/>
      <c r="D197" s="148"/>
      <c r="E197" s="148"/>
      <c r="F197" s="148"/>
      <c r="G197" s="148"/>
      <c r="H197" s="148"/>
      <c r="I197" s="148"/>
      <c r="J197" s="148"/>
      <c r="K197" s="148"/>
      <c r="L197" s="148"/>
      <c r="M197" s="160"/>
      <c r="N197" s="160"/>
      <c r="O197" s="148"/>
      <c r="P197" s="161">
        <f>SUM(Q197:AP197)</f>
      </c>
      <c r="Q197" s="161"/>
      <c r="R197" s="161"/>
      <c r="S197" s="161"/>
      <c r="T197" s="161"/>
      <c r="U197" s="161"/>
      <c r="V197" s="161"/>
      <c r="W197" s="161"/>
      <c r="X197" s="161"/>
      <c r="Y197" s="161"/>
      <c r="Z197" s="161"/>
      <c r="AA197" s="161"/>
      <c r="AB197" s="161"/>
      <c r="AC197" s="161"/>
      <c r="AD197" s="161"/>
      <c r="AE197" s="161"/>
      <c r="AF197" s="161"/>
      <c r="AG197" s="161"/>
      <c r="AH197" s="161"/>
      <c r="AI197" s="161"/>
      <c r="AJ197" s="161"/>
      <c r="AK197" s="161"/>
      <c r="AL197" s="161"/>
      <c r="AM197" s="161"/>
      <c r="AN197" s="161"/>
      <c r="AO197" s="161"/>
      <c r="AP197" s="161"/>
      <c r="AQ197" s="161">
        <f>SUM(AR197:AU197)</f>
      </c>
      <c r="AR197" s="161"/>
      <c r="AS197" s="161"/>
      <c r="AT197" s="161"/>
      <c r="AU197" s="161"/>
      <c r="AV197" s="161">
        <f>SUM(AW197:BH197)</f>
      </c>
      <c r="AW197" s="161"/>
      <c r="AX197" s="161"/>
      <c r="AY197" s="161"/>
      <c r="AZ197" s="161"/>
      <c r="BA197" s="161"/>
      <c r="BB197" s="161"/>
      <c r="BC197" s="161"/>
      <c r="BD197" s="161"/>
      <c r="BE197" s="161"/>
      <c r="BF197" s="161"/>
      <c r="BG197" s="161"/>
      <c r="BH197" s="161"/>
      <c r="BI197" s="161"/>
      <c r="BJ197" s="161"/>
      <c r="BK197" s="161"/>
      <c r="BL197" s="161"/>
      <c r="BM197" s="161"/>
      <c r="BN197" s="161"/>
      <c r="BO197" s="161"/>
      <c r="BP197" s="161"/>
      <c r="BQ197" s="161"/>
      <c r="BR197" s="161"/>
      <c r="BS197" s="161">
        <f>SUM(BT197:BV197)</f>
      </c>
      <c r="BT197" s="161"/>
      <c r="BU197" s="161"/>
      <c r="BV197" s="161"/>
      <c r="BW197" s="161">
        <f>SUM(BX197:CC197)</f>
      </c>
      <c r="BX197" s="161"/>
      <c r="BY197" s="161"/>
      <c r="BZ197" s="161"/>
      <c r="CA197" s="161"/>
      <c r="CB197" s="161"/>
      <c r="CC197" s="161"/>
      <c r="CD197" s="161"/>
      <c r="CE197" s="161"/>
      <c r="CF197" s="161"/>
      <c r="CG197" s="161"/>
      <c r="CH197" s="161"/>
      <c r="CI197" s="161"/>
      <c r="CJ197" s="161">
        <f>SUM(CK197:CM197)</f>
      </c>
      <c r="CK197" s="161"/>
      <c r="CL197" s="161"/>
      <c r="CM197" s="161"/>
      <c r="CN197" s="161">
        <f>SUM(CO197:CS197)</f>
      </c>
      <c r="CO197" s="161"/>
      <c r="CP197" s="161"/>
      <c r="CQ197" s="161"/>
      <c r="CR197" s="161"/>
      <c r="CS197" s="161"/>
      <c r="CT197" s="161"/>
      <c r="CU197" s="161"/>
      <c r="CV197" s="161"/>
      <c r="CW197" s="161"/>
      <c r="CX197" s="161"/>
      <c r="CY197" s="161"/>
      <c r="CZ197" s="161"/>
      <c r="DA197" s="161"/>
      <c r="DB197" s="161"/>
      <c r="DC197" s="161"/>
      <c r="DD197" s="161"/>
      <c r="DE197" s="161"/>
      <c r="DF197" s="161">
        <f>SUM(DG197:DG197)</f>
      </c>
      <c r="DG197" s="161"/>
      <c r="DH197" s="161"/>
      <c r="DI197" s="161"/>
      <c r="DJ197" s="161">
        <f>SUM(DK197:DP197)</f>
      </c>
      <c r="DK197" s="161"/>
      <c r="DL197" s="161"/>
      <c r="DM197" s="161"/>
      <c r="DN197" s="161"/>
      <c r="DO197" s="161"/>
      <c r="DP197" s="161"/>
      <c r="DQ197" s="161"/>
      <c r="DR197" s="161"/>
      <c r="DS197" s="161"/>
      <c r="DT197" s="161"/>
      <c r="DU197" s="161"/>
      <c r="DV197" s="161"/>
      <c r="DW197" s="161"/>
      <c r="DX197" s="161"/>
      <c r="DY197" s="161"/>
      <c r="DZ197" s="161"/>
      <c r="EA197" s="161"/>
      <c r="EB197" s="161"/>
      <c r="EC197" s="161"/>
      <c r="ED197" s="161"/>
      <c r="EE197" s="161"/>
      <c r="EF197" s="161">
        <f>SUM(EG197:EP197)</f>
      </c>
      <c r="EG197" s="161"/>
      <c r="EH197" s="161"/>
      <c r="EI197" s="161"/>
      <c r="EJ197" s="161"/>
      <c r="EK197" s="161"/>
      <c r="EL197" s="161"/>
      <c r="EM197" s="161"/>
      <c r="EN197" s="161"/>
      <c r="EO197" s="161"/>
      <c r="EP197" s="161"/>
      <c r="EQ197" s="161">
        <f>SUM(ER197:ES197)</f>
      </c>
      <c r="ER197" s="161"/>
      <c r="ES197" s="161"/>
      <c r="ET197" s="161"/>
      <c r="EU197" s="161"/>
      <c r="EV197" s="161"/>
      <c r="EW197" s="161"/>
      <c r="EX197" s="161"/>
      <c r="EY197" s="161"/>
      <c r="EZ197" s="161"/>
      <c r="FA197" s="161"/>
      <c r="FB197" s="161"/>
      <c r="FC197" s="161"/>
      <c r="FD197" s="161"/>
      <c r="FE197" s="161"/>
      <c r="FF197" s="161"/>
      <c r="FG197" s="161"/>
      <c r="FH197" s="163" cm="1">
        <f t="array" ref="FH197">ROW()-ROW(Ongoing[#Headers])</f>
        <v>191</v>
      </c>
      <c r="FI197" s="164" t="e">
        <v>#N/A</v>
      </c>
      <c r="FJ197" s="164" t="s">
        <v>788</v>
      </c>
      <c r="FK197" s="164">
        <v>0</v>
      </c>
      <c r="FL197" s="164" t="s">
        <v>789</v>
      </c>
      <c r="FM197" s="164" t="s">
        <v>790</v>
      </c>
      <c r="FN197" s="164" t="s">
        <v>782</v>
      </c>
      <c r="FO197" s="164" t="s">
        <v>811</v>
      </c>
      <c r="FP197" s="164" t="s">
        <v>792</v>
      </c>
    </row>
    <row r="198" spans="2:172" s="115" customFormat="1" ht="11.25" x14ac:dyDescent="0.2">
      <c r="B198" s="148"/>
      <c r="C198" s="148"/>
      <c r="D198" s="148"/>
      <c r="E198" s="148"/>
      <c r="F198" s="148"/>
      <c r="G198" s="148"/>
      <c r="H198" s="148"/>
      <c r="I198" s="148"/>
      <c r="J198" s="148"/>
      <c r="K198" s="148"/>
      <c r="L198" s="148"/>
      <c r="M198" s="160"/>
      <c r="N198" s="160"/>
      <c r="O198" s="148"/>
      <c r="P198" s="161">
        <f>SUM(Q198:AP198)</f>
      </c>
      <c r="Q198" s="161"/>
      <c r="R198" s="161"/>
      <c r="S198" s="161"/>
      <c r="T198" s="161"/>
      <c r="U198" s="161"/>
      <c r="V198" s="161"/>
      <c r="W198" s="161"/>
      <c r="X198" s="161"/>
      <c r="Y198" s="161"/>
      <c r="Z198" s="161"/>
      <c r="AA198" s="161"/>
      <c r="AB198" s="161"/>
      <c r="AC198" s="161"/>
      <c r="AD198" s="161"/>
      <c r="AE198" s="161"/>
      <c r="AF198" s="161"/>
      <c r="AG198" s="161"/>
      <c r="AH198" s="161"/>
      <c r="AI198" s="161"/>
      <c r="AJ198" s="161"/>
      <c r="AK198" s="161"/>
      <c r="AL198" s="161"/>
      <c r="AM198" s="161"/>
      <c r="AN198" s="161"/>
      <c r="AO198" s="161"/>
      <c r="AP198" s="161"/>
      <c r="AQ198" s="161">
        <f>SUM(AR198:AU198)</f>
      </c>
      <c r="AR198" s="161"/>
      <c r="AS198" s="161"/>
      <c r="AT198" s="161"/>
      <c r="AU198" s="161"/>
      <c r="AV198" s="161">
        <f>SUM(AW198:BH198)</f>
      </c>
      <c r="AW198" s="161"/>
      <c r="AX198" s="161"/>
      <c r="AY198" s="161"/>
      <c r="AZ198" s="161"/>
      <c r="BA198" s="161"/>
      <c r="BB198" s="161"/>
      <c r="BC198" s="161"/>
      <c r="BD198" s="161"/>
      <c r="BE198" s="161"/>
      <c r="BF198" s="161"/>
      <c r="BG198" s="161"/>
      <c r="BH198" s="161"/>
      <c r="BI198" s="161"/>
      <c r="BJ198" s="161"/>
      <c r="BK198" s="161"/>
      <c r="BL198" s="161"/>
      <c r="BM198" s="161"/>
      <c r="BN198" s="161"/>
      <c r="BO198" s="161"/>
      <c r="BP198" s="161"/>
      <c r="BQ198" s="161"/>
      <c r="BR198" s="161"/>
      <c r="BS198" s="161">
        <f>SUM(BT198:BV198)</f>
      </c>
      <c r="BT198" s="161"/>
      <c r="BU198" s="161"/>
      <c r="BV198" s="161"/>
      <c r="BW198" s="161">
        <f>SUM(BX198:CC198)</f>
      </c>
      <c r="BX198" s="161"/>
      <c r="BY198" s="161"/>
      <c r="BZ198" s="161"/>
      <c r="CA198" s="161"/>
      <c r="CB198" s="161"/>
      <c r="CC198" s="161"/>
      <c r="CD198" s="161"/>
      <c r="CE198" s="161"/>
      <c r="CF198" s="161"/>
      <c r="CG198" s="161"/>
      <c r="CH198" s="161"/>
      <c r="CI198" s="161"/>
      <c r="CJ198" s="161">
        <f>SUM(CK198:CM198)</f>
      </c>
      <c r="CK198" s="161"/>
      <c r="CL198" s="161"/>
      <c r="CM198" s="161"/>
      <c r="CN198" s="161">
        <f>SUM(CO198:CS198)</f>
      </c>
      <c r="CO198" s="161"/>
      <c r="CP198" s="161"/>
      <c r="CQ198" s="161"/>
      <c r="CR198" s="161"/>
      <c r="CS198" s="161"/>
      <c r="CT198" s="161"/>
      <c r="CU198" s="161"/>
      <c r="CV198" s="161"/>
      <c r="CW198" s="161"/>
      <c r="CX198" s="161"/>
      <c r="CY198" s="161"/>
      <c r="CZ198" s="161"/>
      <c r="DA198" s="161"/>
      <c r="DB198" s="161"/>
      <c r="DC198" s="161"/>
      <c r="DD198" s="161"/>
      <c r="DE198" s="161"/>
      <c r="DF198" s="161">
        <f>SUM(DG198:DG198)</f>
      </c>
      <c r="DG198" s="161"/>
      <c r="DH198" s="161"/>
      <c r="DI198" s="161"/>
      <c r="DJ198" s="161">
        <f>SUM(DK198:DP198)</f>
      </c>
      <c r="DK198" s="161"/>
      <c r="DL198" s="161"/>
      <c r="DM198" s="161"/>
      <c r="DN198" s="161"/>
      <c r="DO198" s="161"/>
      <c r="DP198" s="161"/>
      <c r="DQ198" s="161"/>
      <c r="DR198" s="161"/>
      <c r="DS198" s="161"/>
      <c r="DT198" s="161"/>
      <c r="DU198" s="161"/>
      <c r="DV198" s="161"/>
      <c r="DW198" s="161"/>
      <c r="DX198" s="161"/>
      <c r="DY198" s="161"/>
      <c r="DZ198" s="161"/>
      <c r="EA198" s="161"/>
      <c r="EB198" s="161"/>
      <c r="EC198" s="161"/>
      <c r="ED198" s="161"/>
      <c r="EE198" s="161"/>
      <c r="EF198" s="161">
        <f>SUM(EG198:EP198)</f>
      </c>
      <c r="EG198" s="161"/>
      <c r="EH198" s="161"/>
      <c r="EI198" s="161"/>
      <c r="EJ198" s="161"/>
      <c r="EK198" s="161"/>
      <c r="EL198" s="161"/>
      <c r="EM198" s="161"/>
      <c r="EN198" s="161"/>
      <c r="EO198" s="161"/>
      <c r="EP198" s="161"/>
      <c r="EQ198" s="161">
        <f>SUM(ER198:ES198)</f>
      </c>
      <c r="ER198" s="161"/>
      <c r="ES198" s="161"/>
      <c r="ET198" s="161"/>
      <c r="EU198" s="161"/>
      <c r="EV198" s="161"/>
      <c r="EW198" s="161"/>
      <c r="EX198" s="161"/>
      <c r="EY198" s="161"/>
      <c r="EZ198" s="161"/>
      <c r="FA198" s="161"/>
      <c r="FB198" s="161"/>
      <c r="FC198" s="161"/>
      <c r="FD198" s="161"/>
      <c r="FE198" s="161"/>
      <c r="FF198" s="161"/>
      <c r="FG198" s="161"/>
      <c r="FH198" s="163" cm="1">
        <f t="array" ref="FH198">ROW()-ROW(Ongoing[#Headers])</f>
        <v>192</v>
      </c>
      <c r="FI198" s="164" t="e">
        <v>#N/A</v>
      </c>
      <c r="FJ198" s="164" t="s">
        <v>788</v>
      </c>
      <c r="FK198" s="164">
        <v>0</v>
      </c>
      <c r="FL198" s="164" t="s">
        <v>781</v>
      </c>
      <c r="FM198" s="164" t="s">
        <v>790</v>
      </c>
      <c r="FN198" s="164" t="s">
        <v>782</v>
      </c>
      <c r="FO198" s="164" t="s">
        <v>811</v>
      </c>
      <c r="FP198" s="164" t="s">
        <v>759</v>
      </c>
    </row>
    <row r="199" spans="2:172" s="115" customFormat="1" ht="11.25" x14ac:dyDescent="0.2">
      <c r="B199" s="148"/>
      <c r="C199" s="148"/>
      <c r="D199" s="148"/>
      <c r="E199" s="148"/>
      <c r="F199" s="148"/>
      <c r="G199" s="148"/>
      <c r="H199" s="148"/>
      <c r="I199" s="148"/>
      <c r="J199" s="148"/>
      <c r="K199" s="148"/>
      <c r="L199" s="148"/>
      <c r="M199" s="160"/>
      <c r="N199" s="160"/>
      <c r="O199" s="148"/>
      <c r="P199" s="161">
        <f>SUM(Q199:AP199)</f>
      </c>
      <c r="Q199" s="161"/>
      <c r="R199" s="161"/>
      <c r="S199" s="161"/>
      <c r="T199" s="161"/>
      <c r="U199" s="161"/>
      <c r="V199" s="161"/>
      <c r="W199" s="161"/>
      <c r="X199" s="161"/>
      <c r="Y199" s="161"/>
      <c r="Z199" s="161"/>
      <c r="AA199" s="161"/>
      <c r="AB199" s="161"/>
      <c r="AC199" s="161"/>
      <c r="AD199" s="161"/>
      <c r="AE199" s="161"/>
      <c r="AF199" s="161"/>
      <c r="AG199" s="161"/>
      <c r="AH199" s="161"/>
      <c r="AI199" s="161"/>
      <c r="AJ199" s="161"/>
      <c r="AK199" s="161"/>
      <c r="AL199" s="161"/>
      <c r="AM199" s="161"/>
      <c r="AN199" s="161"/>
      <c r="AO199" s="161"/>
      <c r="AP199" s="161"/>
      <c r="AQ199" s="161">
        <f>SUM(AR199:AU199)</f>
      </c>
      <c r="AR199" s="161"/>
      <c r="AS199" s="161"/>
      <c r="AT199" s="161"/>
      <c r="AU199" s="161"/>
      <c r="AV199" s="161">
        <f>SUM(AW199:BH199)</f>
      </c>
      <c r="AW199" s="161"/>
      <c r="AX199" s="161"/>
      <c r="AY199" s="161"/>
      <c r="AZ199" s="161"/>
      <c r="BA199" s="161"/>
      <c r="BB199" s="161"/>
      <c r="BC199" s="161"/>
      <c r="BD199" s="161"/>
      <c r="BE199" s="161"/>
      <c r="BF199" s="161"/>
      <c r="BG199" s="161"/>
      <c r="BH199" s="161"/>
      <c r="BI199" s="161"/>
      <c r="BJ199" s="161"/>
      <c r="BK199" s="161"/>
      <c r="BL199" s="161"/>
      <c r="BM199" s="161"/>
      <c r="BN199" s="161"/>
      <c r="BO199" s="161"/>
      <c r="BP199" s="161"/>
      <c r="BQ199" s="161"/>
      <c r="BR199" s="161"/>
      <c r="BS199" s="161">
        <f>SUM(BT199:BV199)</f>
      </c>
      <c r="BT199" s="161"/>
      <c r="BU199" s="161"/>
      <c r="BV199" s="161"/>
      <c r="BW199" s="161">
        <f>SUM(BX199:CC199)</f>
      </c>
      <c r="BX199" s="161"/>
      <c r="BY199" s="161"/>
      <c r="BZ199" s="161"/>
      <c r="CA199" s="161"/>
      <c r="CB199" s="161"/>
      <c r="CC199" s="161"/>
      <c r="CD199" s="161"/>
      <c r="CE199" s="161"/>
      <c r="CF199" s="161"/>
      <c r="CG199" s="161"/>
      <c r="CH199" s="161"/>
      <c r="CI199" s="161"/>
      <c r="CJ199" s="161">
        <f>SUM(CK199:CM199)</f>
      </c>
      <c r="CK199" s="161"/>
      <c r="CL199" s="161"/>
      <c r="CM199" s="161"/>
      <c r="CN199" s="161">
        <f>SUM(CO199:CS199)</f>
      </c>
      <c r="CO199" s="161"/>
      <c r="CP199" s="161"/>
      <c r="CQ199" s="161"/>
      <c r="CR199" s="161"/>
      <c r="CS199" s="161"/>
      <c r="CT199" s="161"/>
      <c r="CU199" s="161"/>
      <c r="CV199" s="161"/>
      <c r="CW199" s="161"/>
      <c r="CX199" s="161"/>
      <c r="CY199" s="161"/>
      <c r="CZ199" s="161"/>
      <c r="DA199" s="161"/>
      <c r="DB199" s="161"/>
      <c r="DC199" s="161"/>
      <c r="DD199" s="161"/>
      <c r="DE199" s="161"/>
      <c r="DF199" s="161">
        <f>SUM(DG199:DG199)</f>
      </c>
      <c r="DG199" s="161"/>
      <c r="DH199" s="161"/>
      <c r="DI199" s="161"/>
      <c r="DJ199" s="161">
        <f>SUM(DK199:DP199)</f>
      </c>
      <c r="DK199" s="161"/>
      <c r="DL199" s="161"/>
      <c r="DM199" s="161"/>
      <c r="DN199" s="161"/>
      <c r="DO199" s="161"/>
      <c r="DP199" s="161"/>
      <c r="DQ199" s="161"/>
      <c r="DR199" s="161"/>
      <c r="DS199" s="161"/>
      <c r="DT199" s="161"/>
      <c r="DU199" s="161"/>
      <c r="DV199" s="161"/>
      <c r="DW199" s="161"/>
      <c r="DX199" s="161"/>
      <c r="DY199" s="161"/>
      <c r="DZ199" s="161"/>
      <c r="EA199" s="161"/>
      <c r="EB199" s="161"/>
      <c r="EC199" s="161"/>
      <c r="ED199" s="161"/>
      <c r="EE199" s="161"/>
      <c r="EF199" s="161">
        <f>SUM(EG199:EP199)</f>
      </c>
      <c r="EG199" s="161"/>
      <c r="EH199" s="161"/>
      <c r="EI199" s="161"/>
      <c r="EJ199" s="161"/>
      <c r="EK199" s="161"/>
      <c r="EL199" s="161"/>
      <c r="EM199" s="161"/>
      <c r="EN199" s="161"/>
      <c r="EO199" s="161"/>
      <c r="EP199" s="161"/>
      <c r="EQ199" s="161">
        <f>SUM(ER199:ES199)</f>
      </c>
      <c r="ER199" s="161"/>
      <c r="ES199" s="161"/>
      <c r="ET199" s="161"/>
      <c r="EU199" s="161"/>
      <c r="EV199" s="161"/>
      <c r="EW199" s="161"/>
      <c r="EX199" s="161"/>
      <c r="EY199" s="161"/>
      <c r="EZ199" s="161"/>
      <c r="FA199" s="161"/>
      <c r="FB199" s="161"/>
      <c r="FC199" s="161"/>
      <c r="FD199" s="161"/>
      <c r="FE199" s="161"/>
      <c r="FF199" s="161"/>
      <c r="FG199" s="161"/>
      <c r="FH199" s="163" cm="1">
        <f t="array" ref="FH199">ROW()-ROW(Ongoing[#Headers])</f>
        <v>193</v>
      </c>
      <c r="FI199" s="164" t="e">
        <v>#N/A</v>
      </c>
      <c r="FJ199" s="164" t="s">
        <v>788</v>
      </c>
      <c r="FK199" s="164">
        <v>0</v>
      </c>
      <c r="FL199" s="164" t="s">
        <v>789</v>
      </c>
      <c r="FM199" s="164" t="s">
        <v>790</v>
      </c>
      <c r="FN199" s="164" t="s">
        <v>782</v>
      </c>
      <c r="FO199" s="164" t="s">
        <v>811</v>
      </c>
      <c r="FP199" s="164" t="s">
        <v>792</v>
      </c>
    </row>
    <row r="200" spans="2:172" s="115" customFormat="1" ht="11.25" x14ac:dyDescent="0.2">
      <c r="B200" s="148"/>
      <c r="C200" s="148"/>
      <c r="D200" s="148"/>
      <c r="E200" s="148"/>
      <c r="F200" s="148"/>
      <c r="G200" s="148"/>
      <c r="H200" s="148"/>
      <c r="I200" s="148"/>
      <c r="J200" s="148"/>
      <c r="K200" s="148"/>
      <c r="L200" s="148"/>
      <c r="M200" s="160"/>
      <c r="N200" s="160"/>
      <c r="O200" s="148"/>
      <c r="P200" s="161">
        <f>SUM(Q200:AP200)</f>
      </c>
      <c r="Q200" s="161"/>
      <c r="R200" s="161"/>
      <c r="S200" s="161"/>
      <c r="T200" s="161"/>
      <c r="U200" s="161"/>
      <c r="V200" s="161"/>
      <c r="W200" s="161"/>
      <c r="X200" s="161"/>
      <c r="Y200" s="161"/>
      <c r="Z200" s="161"/>
      <c r="AA200" s="161"/>
      <c r="AB200" s="161"/>
      <c r="AC200" s="161"/>
      <c r="AD200" s="161"/>
      <c r="AE200" s="161"/>
      <c r="AF200" s="161"/>
      <c r="AG200" s="161"/>
      <c r="AH200" s="161"/>
      <c r="AI200" s="161"/>
      <c r="AJ200" s="161"/>
      <c r="AK200" s="161"/>
      <c r="AL200" s="161"/>
      <c r="AM200" s="161"/>
      <c r="AN200" s="161"/>
      <c r="AO200" s="161"/>
      <c r="AP200" s="161"/>
      <c r="AQ200" s="161">
        <f>SUM(AR200:AU200)</f>
      </c>
      <c r="AR200" s="161"/>
      <c r="AS200" s="161"/>
      <c r="AT200" s="161"/>
      <c r="AU200" s="161"/>
      <c r="AV200" s="161">
        <f>SUM(AW200:BH200)</f>
      </c>
      <c r="AW200" s="161"/>
      <c r="AX200" s="161"/>
      <c r="AY200" s="161"/>
      <c r="AZ200" s="161"/>
      <c r="BA200" s="161"/>
      <c r="BB200" s="161"/>
      <c r="BC200" s="161"/>
      <c r="BD200" s="161"/>
      <c r="BE200" s="161"/>
      <c r="BF200" s="161"/>
      <c r="BG200" s="161"/>
      <c r="BH200" s="161"/>
      <c r="BI200" s="161"/>
      <c r="BJ200" s="161"/>
      <c r="BK200" s="161"/>
      <c r="BL200" s="161"/>
      <c r="BM200" s="161"/>
      <c r="BN200" s="161"/>
      <c r="BO200" s="161"/>
      <c r="BP200" s="161"/>
      <c r="BQ200" s="161"/>
      <c r="BR200" s="161"/>
      <c r="BS200" s="161">
        <f>SUM(BT200:BV200)</f>
      </c>
      <c r="BT200" s="161"/>
      <c r="BU200" s="161"/>
      <c r="BV200" s="161"/>
      <c r="BW200" s="161">
        <f>SUM(BX200:CC200)</f>
      </c>
      <c r="BX200" s="161"/>
      <c r="BY200" s="161"/>
      <c r="BZ200" s="161"/>
      <c r="CA200" s="161"/>
      <c r="CB200" s="161"/>
      <c r="CC200" s="161"/>
      <c r="CD200" s="161"/>
      <c r="CE200" s="161"/>
      <c r="CF200" s="161"/>
      <c r="CG200" s="161"/>
      <c r="CH200" s="161"/>
      <c r="CI200" s="161"/>
      <c r="CJ200" s="161">
        <f>SUM(CK200:CM200)</f>
      </c>
      <c r="CK200" s="161"/>
      <c r="CL200" s="161"/>
      <c r="CM200" s="161"/>
      <c r="CN200" s="161">
        <f>SUM(CO200:CS200)</f>
      </c>
      <c r="CO200" s="161"/>
      <c r="CP200" s="161"/>
      <c r="CQ200" s="161"/>
      <c r="CR200" s="161"/>
      <c r="CS200" s="161"/>
      <c r="CT200" s="161"/>
      <c r="CU200" s="161"/>
      <c r="CV200" s="161"/>
      <c r="CW200" s="161"/>
      <c r="CX200" s="161"/>
      <c r="CY200" s="161"/>
      <c r="CZ200" s="161"/>
      <c r="DA200" s="161"/>
      <c r="DB200" s="161"/>
      <c r="DC200" s="161"/>
      <c r="DD200" s="161"/>
      <c r="DE200" s="161"/>
      <c r="DF200" s="161">
        <f>SUM(DG200:DG200)</f>
      </c>
      <c r="DG200" s="161"/>
      <c r="DH200" s="161"/>
      <c r="DI200" s="161"/>
      <c r="DJ200" s="161">
        <f>SUM(DK200:DP200)</f>
      </c>
      <c r="DK200" s="161"/>
      <c r="DL200" s="161"/>
      <c r="DM200" s="161"/>
      <c r="DN200" s="161"/>
      <c r="DO200" s="161"/>
      <c r="DP200" s="161"/>
      <c r="DQ200" s="161"/>
      <c r="DR200" s="161"/>
      <c r="DS200" s="161"/>
      <c r="DT200" s="161"/>
      <c r="DU200" s="161"/>
      <c r="DV200" s="161"/>
      <c r="DW200" s="161"/>
      <c r="DX200" s="161"/>
      <c r="DY200" s="161"/>
      <c r="DZ200" s="161"/>
      <c r="EA200" s="161"/>
      <c r="EB200" s="161"/>
      <c r="EC200" s="161"/>
      <c r="ED200" s="161"/>
      <c r="EE200" s="161"/>
      <c r="EF200" s="161">
        <f>SUM(EG200:EP200)</f>
      </c>
      <c r="EG200" s="161"/>
      <c r="EH200" s="161"/>
      <c r="EI200" s="161"/>
      <c r="EJ200" s="161"/>
      <c r="EK200" s="161"/>
      <c r="EL200" s="161"/>
      <c r="EM200" s="161"/>
      <c r="EN200" s="161"/>
      <c r="EO200" s="161"/>
      <c r="EP200" s="161"/>
      <c r="EQ200" s="161">
        <f>SUM(ER200:ES200)</f>
      </c>
      <c r="ER200" s="161"/>
      <c r="ES200" s="161"/>
      <c r="ET200" s="161"/>
      <c r="EU200" s="161"/>
      <c r="EV200" s="161"/>
      <c r="EW200" s="161"/>
      <c r="EX200" s="161"/>
      <c r="EY200" s="161"/>
      <c r="EZ200" s="161"/>
      <c r="FA200" s="161"/>
      <c r="FB200" s="161"/>
      <c r="FC200" s="161"/>
      <c r="FD200" s="161"/>
      <c r="FE200" s="161"/>
      <c r="FF200" s="161"/>
      <c r="FG200" s="161"/>
      <c r="FH200" s="163" cm="1">
        <f t="array" ref="FH200">ROW()-ROW(Ongoing[#Headers])</f>
        <v>194</v>
      </c>
      <c r="FI200" s="164" t="e">
        <v>#N/A</v>
      </c>
      <c r="FJ200" s="164" t="s">
        <v>788</v>
      </c>
      <c r="FK200" s="164">
        <v>0</v>
      </c>
      <c r="FL200" s="164" t="s">
        <v>936</v>
      </c>
      <c r="FM200" s="164">
        <v>0</v>
      </c>
      <c r="FN200" s="164" t="s">
        <v>757</v>
      </c>
      <c r="FO200" s="164" t="s">
        <v>937</v>
      </c>
      <c r="FP200" s="164" t="s">
        <v>759</v>
      </c>
    </row>
    <row r="201" spans="2:172" s="115" customFormat="1" ht="11.25" x14ac:dyDescent="0.2">
      <c r="B201" s="148"/>
      <c r="C201" s="148"/>
      <c r="D201" s="148"/>
      <c r="E201" s="148"/>
      <c r="F201" s="148"/>
      <c r="G201" s="148"/>
      <c r="H201" s="148"/>
      <c r="I201" s="148"/>
      <c r="J201" s="148"/>
      <c r="K201" s="148"/>
      <c r="L201" s="148"/>
      <c r="M201" s="160"/>
      <c r="N201" s="160"/>
      <c r="O201" s="148"/>
      <c r="P201" s="161">
        <f>SUM(Q201:AP201)</f>
      </c>
      <c r="Q201" s="161"/>
      <c r="R201" s="161"/>
      <c r="S201" s="161"/>
      <c r="T201" s="161"/>
      <c r="U201" s="161"/>
      <c r="V201" s="161"/>
      <c r="W201" s="161"/>
      <c r="X201" s="161"/>
      <c r="Y201" s="161"/>
      <c r="Z201" s="161"/>
      <c r="AA201" s="161"/>
      <c r="AB201" s="161"/>
      <c r="AC201" s="161"/>
      <c r="AD201" s="161"/>
      <c r="AE201" s="161"/>
      <c r="AF201" s="161"/>
      <c r="AG201" s="161"/>
      <c r="AH201" s="161"/>
      <c r="AI201" s="161"/>
      <c r="AJ201" s="161"/>
      <c r="AK201" s="161"/>
      <c r="AL201" s="161"/>
      <c r="AM201" s="161"/>
      <c r="AN201" s="161"/>
      <c r="AO201" s="161"/>
      <c r="AP201" s="161"/>
      <c r="AQ201" s="161">
        <f>SUM(AR201:AU201)</f>
      </c>
      <c r="AR201" s="161"/>
      <c r="AS201" s="161"/>
      <c r="AT201" s="161"/>
      <c r="AU201" s="161"/>
      <c r="AV201" s="161">
        <f>SUM(AW201:BH201)</f>
      </c>
      <c r="AW201" s="161"/>
      <c r="AX201" s="161"/>
      <c r="AY201" s="161"/>
      <c r="AZ201" s="161"/>
      <c r="BA201" s="161"/>
      <c r="BB201" s="161"/>
      <c r="BC201" s="161"/>
      <c r="BD201" s="161"/>
      <c r="BE201" s="161"/>
      <c r="BF201" s="161"/>
      <c r="BG201" s="161"/>
      <c r="BH201" s="161"/>
      <c r="BI201" s="161"/>
      <c r="BJ201" s="161"/>
      <c r="BK201" s="161"/>
      <c r="BL201" s="161"/>
      <c r="BM201" s="161"/>
      <c r="BN201" s="161"/>
      <c r="BO201" s="161"/>
      <c r="BP201" s="161"/>
      <c r="BQ201" s="161"/>
      <c r="BR201" s="161"/>
      <c r="BS201" s="161">
        <f>SUM(BT201:BV201)</f>
      </c>
      <c r="BT201" s="161"/>
      <c r="BU201" s="161"/>
      <c r="BV201" s="161"/>
      <c r="BW201" s="161">
        <f>SUM(BX201:CC201)</f>
      </c>
      <c r="BX201" s="161"/>
      <c r="BY201" s="161"/>
      <c r="BZ201" s="161"/>
      <c r="CA201" s="161"/>
      <c r="CB201" s="161"/>
      <c r="CC201" s="161"/>
      <c r="CD201" s="161"/>
      <c r="CE201" s="161"/>
      <c r="CF201" s="161"/>
      <c r="CG201" s="161"/>
      <c r="CH201" s="161"/>
      <c r="CI201" s="161"/>
      <c r="CJ201" s="161">
        <f>SUM(CK201:CM201)</f>
      </c>
      <c r="CK201" s="161"/>
      <c r="CL201" s="161"/>
      <c r="CM201" s="161"/>
      <c r="CN201" s="161">
        <f>SUM(CO201:CS201)</f>
      </c>
      <c r="CO201" s="161"/>
      <c r="CP201" s="161"/>
      <c r="CQ201" s="161"/>
      <c r="CR201" s="161"/>
      <c r="CS201" s="161"/>
      <c r="CT201" s="161"/>
      <c r="CU201" s="161"/>
      <c r="CV201" s="161"/>
      <c r="CW201" s="161"/>
      <c r="CX201" s="161"/>
      <c r="CY201" s="161"/>
      <c r="CZ201" s="161"/>
      <c r="DA201" s="161"/>
      <c r="DB201" s="161"/>
      <c r="DC201" s="161"/>
      <c r="DD201" s="161"/>
      <c r="DE201" s="161"/>
      <c r="DF201" s="161">
        <f>SUM(DG201:DG201)</f>
      </c>
      <c r="DG201" s="161"/>
      <c r="DH201" s="161"/>
      <c r="DI201" s="161"/>
      <c r="DJ201" s="161">
        <f>SUM(DK201:DP201)</f>
      </c>
      <c r="DK201" s="161"/>
      <c r="DL201" s="161"/>
      <c r="DM201" s="161"/>
      <c r="DN201" s="161"/>
      <c r="DO201" s="161"/>
      <c r="DP201" s="161"/>
      <c r="DQ201" s="161"/>
      <c r="DR201" s="161"/>
      <c r="DS201" s="161"/>
      <c r="DT201" s="161"/>
      <c r="DU201" s="161"/>
      <c r="DV201" s="161"/>
      <c r="DW201" s="161"/>
      <c r="DX201" s="161"/>
      <c r="DY201" s="161"/>
      <c r="DZ201" s="161"/>
      <c r="EA201" s="161"/>
      <c r="EB201" s="161"/>
      <c r="EC201" s="161"/>
      <c r="ED201" s="161"/>
      <c r="EE201" s="161"/>
      <c r="EF201" s="161">
        <f>SUM(EG201:EP201)</f>
      </c>
      <c r="EG201" s="161"/>
      <c r="EH201" s="161"/>
      <c r="EI201" s="161"/>
      <c r="EJ201" s="161"/>
      <c r="EK201" s="161"/>
      <c r="EL201" s="161"/>
      <c r="EM201" s="161"/>
      <c r="EN201" s="161"/>
      <c r="EO201" s="161"/>
      <c r="EP201" s="161"/>
      <c r="EQ201" s="161">
        <f>SUM(ER201:ES201)</f>
      </c>
      <c r="ER201" s="161"/>
      <c r="ES201" s="161"/>
      <c r="ET201" s="161"/>
      <c r="EU201" s="161"/>
      <c r="EV201" s="161"/>
      <c r="EW201" s="161"/>
      <c r="EX201" s="161"/>
      <c r="EY201" s="161"/>
      <c r="EZ201" s="161"/>
      <c r="FA201" s="161"/>
      <c r="FB201" s="161"/>
      <c r="FC201" s="161"/>
      <c r="FD201" s="161"/>
      <c r="FE201" s="161"/>
      <c r="FF201" s="161"/>
      <c r="FG201" s="161"/>
      <c r="FH201" s="163" cm="1">
        <f t="array" ref="FH201">ROW()-ROW(Ongoing[#Headers])</f>
        <v>195</v>
      </c>
      <c r="FI201" s="164" t="e">
        <v>#N/A</v>
      </c>
      <c r="FJ201" s="164" t="s">
        <v>788</v>
      </c>
      <c r="FK201" s="164">
        <v>0</v>
      </c>
      <c r="FL201" s="164" t="s">
        <v>936</v>
      </c>
      <c r="FM201" s="164">
        <v>0</v>
      </c>
      <c r="FN201" s="164" t="s">
        <v>757</v>
      </c>
      <c r="FO201" s="164" t="s">
        <v>985</v>
      </c>
      <c r="FP201" s="164" t="s">
        <v>759</v>
      </c>
    </row>
    <row r="202" spans="2:172" s="115" customFormat="1" ht="11.25" x14ac:dyDescent="0.2">
      <c r="B202" s="148"/>
      <c r="C202" s="148"/>
      <c r="D202" s="148"/>
      <c r="E202" s="148"/>
      <c r="F202" s="148"/>
      <c r="G202" s="148"/>
      <c r="H202" s="148"/>
      <c r="I202" s="148"/>
      <c r="J202" s="148"/>
      <c r="K202" s="148"/>
      <c r="L202" s="148"/>
      <c r="M202" s="160"/>
      <c r="N202" s="160"/>
      <c r="O202" s="148"/>
      <c r="P202" s="161">
        <f>SUM(Q202:AP202)</f>
      </c>
      <c r="Q202" s="161"/>
      <c r="R202" s="161"/>
      <c r="S202" s="161"/>
      <c r="T202" s="161"/>
      <c r="U202" s="161"/>
      <c r="V202" s="161"/>
      <c r="W202" s="161"/>
      <c r="X202" s="161"/>
      <c r="Y202" s="161"/>
      <c r="Z202" s="161"/>
      <c r="AA202" s="161"/>
      <c r="AB202" s="161"/>
      <c r="AC202" s="161"/>
      <c r="AD202" s="161"/>
      <c r="AE202" s="161"/>
      <c r="AF202" s="161"/>
      <c r="AG202" s="161"/>
      <c r="AH202" s="161"/>
      <c r="AI202" s="161"/>
      <c r="AJ202" s="161"/>
      <c r="AK202" s="161"/>
      <c r="AL202" s="161"/>
      <c r="AM202" s="161"/>
      <c r="AN202" s="161"/>
      <c r="AO202" s="161"/>
      <c r="AP202" s="161"/>
      <c r="AQ202" s="161">
        <f>SUM(AR202:AU202)</f>
      </c>
      <c r="AR202" s="161"/>
      <c r="AS202" s="161"/>
      <c r="AT202" s="161"/>
      <c r="AU202" s="161"/>
      <c r="AV202" s="161">
        <f>SUM(AW202:BH202)</f>
      </c>
      <c r="AW202" s="161"/>
      <c r="AX202" s="161"/>
      <c r="AY202" s="161"/>
      <c r="AZ202" s="161"/>
      <c r="BA202" s="161"/>
      <c r="BB202" s="161"/>
      <c r="BC202" s="161"/>
      <c r="BD202" s="161"/>
      <c r="BE202" s="161"/>
      <c r="BF202" s="161"/>
      <c r="BG202" s="161"/>
      <c r="BH202" s="161"/>
      <c r="BI202" s="161"/>
      <c r="BJ202" s="161"/>
      <c r="BK202" s="161"/>
      <c r="BL202" s="161"/>
      <c r="BM202" s="161"/>
      <c r="BN202" s="161"/>
      <c r="BO202" s="161"/>
      <c r="BP202" s="161"/>
      <c r="BQ202" s="161"/>
      <c r="BR202" s="161"/>
      <c r="BS202" s="161">
        <f>SUM(BT202:BV202)</f>
      </c>
      <c r="BT202" s="161"/>
      <c r="BU202" s="161"/>
      <c r="BV202" s="161"/>
      <c r="BW202" s="161">
        <f>SUM(BX202:CC202)</f>
      </c>
      <c r="BX202" s="161"/>
      <c r="BY202" s="161"/>
      <c r="BZ202" s="161"/>
      <c r="CA202" s="161"/>
      <c r="CB202" s="161"/>
      <c r="CC202" s="161"/>
      <c r="CD202" s="161"/>
      <c r="CE202" s="161"/>
      <c r="CF202" s="161"/>
      <c r="CG202" s="161"/>
      <c r="CH202" s="161"/>
      <c r="CI202" s="161"/>
      <c r="CJ202" s="161">
        <f>SUM(CK202:CM202)</f>
      </c>
      <c r="CK202" s="161"/>
      <c r="CL202" s="161"/>
      <c r="CM202" s="161"/>
      <c r="CN202" s="161">
        <f>SUM(CO202:CS202)</f>
      </c>
      <c r="CO202" s="161"/>
      <c r="CP202" s="161"/>
      <c r="CQ202" s="161"/>
      <c r="CR202" s="161"/>
      <c r="CS202" s="161"/>
      <c r="CT202" s="161"/>
      <c r="CU202" s="161"/>
      <c r="CV202" s="161"/>
      <c r="CW202" s="161"/>
      <c r="CX202" s="161"/>
      <c r="CY202" s="161"/>
      <c r="CZ202" s="161"/>
      <c r="DA202" s="161"/>
      <c r="DB202" s="161"/>
      <c r="DC202" s="161"/>
      <c r="DD202" s="161"/>
      <c r="DE202" s="161"/>
      <c r="DF202" s="161">
        <f>SUM(DG202:DG202)</f>
      </c>
      <c r="DG202" s="161"/>
      <c r="DH202" s="161"/>
      <c r="DI202" s="161"/>
      <c r="DJ202" s="161">
        <f>SUM(DK202:DP202)</f>
      </c>
      <c r="DK202" s="161"/>
      <c r="DL202" s="161"/>
      <c r="DM202" s="161"/>
      <c r="DN202" s="161"/>
      <c r="DO202" s="161"/>
      <c r="DP202" s="161"/>
      <c r="DQ202" s="161"/>
      <c r="DR202" s="161"/>
      <c r="DS202" s="161"/>
      <c r="DT202" s="161"/>
      <c r="DU202" s="161"/>
      <c r="DV202" s="161"/>
      <c r="DW202" s="161"/>
      <c r="DX202" s="161"/>
      <c r="DY202" s="161"/>
      <c r="DZ202" s="161"/>
      <c r="EA202" s="161"/>
      <c r="EB202" s="161"/>
      <c r="EC202" s="161"/>
      <c r="ED202" s="161"/>
      <c r="EE202" s="161"/>
      <c r="EF202" s="161">
        <f>SUM(EG202:EP202)</f>
      </c>
      <c r="EG202" s="161"/>
      <c r="EH202" s="161"/>
      <c r="EI202" s="161"/>
      <c r="EJ202" s="161"/>
      <c r="EK202" s="161"/>
      <c r="EL202" s="161"/>
      <c r="EM202" s="161"/>
      <c r="EN202" s="161"/>
      <c r="EO202" s="161"/>
      <c r="EP202" s="161"/>
      <c r="EQ202" s="161">
        <f>SUM(ER202:ES202)</f>
      </c>
      <c r="ER202" s="161"/>
      <c r="ES202" s="161"/>
      <c r="ET202" s="161"/>
      <c r="EU202" s="161"/>
      <c r="EV202" s="161"/>
      <c r="EW202" s="161"/>
      <c r="EX202" s="161"/>
      <c r="EY202" s="161"/>
      <c r="EZ202" s="161"/>
      <c r="FA202" s="161"/>
      <c r="FB202" s="161"/>
      <c r="FC202" s="161"/>
      <c r="FD202" s="161"/>
      <c r="FE202" s="161"/>
      <c r="FF202" s="161"/>
      <c r="FG202" s="161"/>
      <c r="FH202" s="163" cm="1">
        <f t="array" ref="FH202">ROW()-ROW(Ongoing[#Headers])</f>
        <v>196</v>
      </c>
      <c r="FI202" s="164">
        <v>0</v>
      </c>
      <c r="FJ202" s="164">
        <v>0</v>
      </c>
      <c r="FK202" s="164">
        <v>0</v>
      </c>
      <c r="FL202" s="164" t="s">
        <v>789</v>
      </c>
      <c r="FM202" s="164">
        <v>0</v>
      </c>
      <c r="FN202" s="164" t="s">
        <v>757</v>
      </c>
      <c r="FO202" s="164" t="s">
        <v>937</v>
      </c>
      <c r="FP202" s="164">
        <v>0</v>
      </c>
    </row>
    <row r="203" spans="2:172" s="115" customFormat="1" ht="11.25" x14ac:dyDescent="0.2">
      <c r="B203" s="148"/>
      <c r="C203" s="148"/>
      <c r="D203" s="148"/>
      <c r="E203" s="148"/>
      <c r="F203" s="148"/>
      <c r="G203" s="148"/>
      <c r="H203" s="148"/>
      <c r="I203" s="148"/>
      <c r="J203" s="148"/>
      <c r="K203" s="148"/>
      <c r="L203" s="148"/>
      <c r="M203" s="160"/>
      <c r="N203" s="160"/>
      <c r="O203" s="148"/>
      <c r="P203" s="161">
        <f>SUM(Q203:AP203)</f>
      </c>
      <c r="Q203" s="161"/>
      <c r="R203" s="161"/>
      <c r="S203" s="161"/>
      <c r="T203" s="161"/>
      <c r="U203" s="161"/>
      <c r="V203" s="161"/>
      <c r="W203" s="161"/>
      <c r="X203" s="161"/>
      <c r="Y203" s="161"/>
      <c r="Z203" s="161"/>
      <c r="AA203" s="161"/>
      <c r="AB203" s="161"/>
      <c r="AC203" s="161"/>
      <c r="AD203" s="161"/>
      <c r="AE203" s="161"/>
      <c r="AF203" s="161"/>
      <c r="AG203" s="161"/>
      <c r="AH203" s="161"/>
      <c r="AI203" s="161"/>
      <c r="AJ203" s="161"/>
      <c r="AK203" s="161"/>
      <c r="AL203" s="161"/>
      <c r="AM203" s="161"/>
      <c r="AN203" s="161"/>
      <c r="AO203" s="161"/>
      <c r="AP203" s="161"/>
      <c r="AQ203" s="161">
        <f>SUM(AR203:AU203)</f>
      </c>
      <c r="AR203" s="161"/>
      <c r="AS203" s="161"/>
      <c r="AT203" s="161"/>
      <c r="AU203" s="161"/>
      <c r="AV203" s="161">
        <f>SUM(AW203:BH203)</f>
      </c>
      <c r="AW203" s="161"/>
      <c r="AX203" s="161"/>
      <c r="AY203" s="161"/>
      <c r="AZ203" s="161"/>
      <c r="BA203" s="161"/>
      <c r="BB203" s="161"/>
      <c r="BC203" s="161"/>
      <c r="BD203" s="161"/>
      <c r="BE203" s="161"/>
      <c r="BF203" s="161"/>
      <c r="BG203" s="161"/>
      <c r="BH203" s="161"/>
      <c r="BI203" s="161"/>
      <c r="BJ203" s="161"/>
      <c r="BK203" s="161"/>
      <c r="BL203" s="161"/>
      <c r="BM203" s="161"/>
      <c r="BN203" s="161"/>
      <c r="BO203" s="161"/>
      <c r="BP203" s="161"/>
      <c r="BQ203" s="161"/>
      <c r="BR203" s="161"/>
      <c r="BS203" s="161">
        <f>SUM(BT203:BV203)</f>
      </c>
      <c r="BT203" s="161"/>
      <c r="BU203" s="161"/>
      <c r="BV203" s="161"/>
      <c r="BW203" s="161">
        <f>SUM(BX203:CC203)</f>
      </c>
      <c r="BX203" s="161"/>
      <c r="BY203" s="161"/>
      <c r="BZ203" s="161"/>
      <c r="CA203" s="161"/>
      <c r="CB203" s="161"/>
      <c r="CC203" s="161"/>
      <c r="CD203" s="161"/>
      <c r="CE203" s="161"/>
      <c r="CF203" s="161"/>
      <c r="CG203" s="161"/>
      <c r="CH203" s="161"/>
      <c r="CI203" s="161"/>
      <c r="CJ203" s="161">
        <f>SUM(CK203:CM203)</f>
      </c>
      <c r="CK203" s="161"/>
      <c r="CL203" s="161"/>
      <c r="CM203" s="161"/>
      <c r="CN203" s="161">
        <f>SUM(CO203:CS203)</f>
      </c>
      <c r="CO203" s="161"/>
      <c r="CP203" s="161"/>
      <c r="CQ203" s="161"/>
      <c r="CR203" s="161"/>
      <c r="CS203" s="161"/>
      <c r="CT203" s="161"/>
      <c r="CU203" s="161"/>
      <c r="CV203" s="161"/>
      <c r="CW203" s="161"/>
      <c r="CX203" s="161"/>
      <c r="CY203" s="161"/>
      <c r="CZ203" s="161"/>
      <c r="DA203" s="161"/>
      <c r="DB203" s="161"/>
      <c r="DC203" s="161"/>
      <c r="DD203" s="161"/>
      <c r="DE203" s="161"/>
      <c r="DF203" s="161">
        <f>SUM(DG203:DG203)</f>
      </c>
      <c r="DG203" s="161"/>
      <c r="DH203" s="161"/>
      <c r="DI203" s="161"/>
      <c r="DJ203" s="161">
        <f>SUM(DK203:DP203)</f>
      </c>
      <c r="DK203" s="161"/>
      <c r="DL203" s="161"/>
      <c r="DM203" s="161"/>
      <c r="DN203" s="161"/>
      <c r="DO203" s="161"/>
      <c r="DP203" s="161"/>
      <c r="DQ203" s="161"/>
      <c r="DR203" s="161"/>
      <c r="DS203" s="161"/>
      <c r="DT203" s="161"/>
      <c r="DU203" s="161"/>
      <c r="DV203" s="161"/>
      <c r="DW203" s="161"/>
      <c r="DX203" s="161"/>
      <c r="DY203" s="161"/>
      <c r="DZ203" s="161"/>
      <c r="EA203" s="161"/>
      <c r="EB203" s="161"/>
      <c r="EC203" s="161"/>
      <c r="ED203" s="161"/>
      <c r="EE203" s="161"/>
      <c r="EF203" s="161">
        <f>SUM(EG203:EP203)</f>
      </c>
      <c r="EG203" s="161"/>
      <c r="EH203" s="161"/>
      <c r="EI203" s="161"/>
      <c r="EJ203" s="161"/>
      <c r="EK203" s="161"/>
      <c r="EL203" s="161"/>
      <c r="EM203" s="161"/>
      <c r="EN203" s="161"/>
      <c r="EO203" s="161"/>
      <c r="EP203" s="161"/>
      <c r="EQ203" s="161">
        <f>SUM(ER203:ES203)</f>
      </c>
      <c r="ER203" s="161"/>
      <c r="ES203" s="161"/>
      <c r="ET203" s="161"/>
      <c r="EU203" s="161"/>
      <c r="EV203" s="161"/>
      <c r="EW203" s="161"/>
      <c r="EX203" s="161"/>
      <c r="EY203" s="161"/>
      <c r="EZ203" s="161"/>
      <c r="FA203" s="161"/>
      <c r="FB203" s="161"/>
      <c r="FC203" s="161"/>
      <c r="FD203" s="161"/>
      <c r="FE203" s="161"/>
      <c r="FF203" s="161"/>
      <c r="FG203" s="161"/>
      <c r="FH203" s="163" cm="1">
        <f t="array" ref="FH203">ROW()-ROW(Ongoing[#Headers])</f>
        <v>197</v>
      </c>
      <c r="FI203" s="164">
        <v>0</v>
      </c>
      <c r="FJ203" s="164">
        <v>0</v>
      </c>
      <c r="FK203" s="164">
        <v>0</v>
      </c>
      <c r="FL203" s="164" t="s">
        <v>789</v>
      </c>
      <c r="FM203" s="164">
        <v>0</v>
      </c>
      <c r="FN203" s="164" t="s">
        <v>757</v>
      </c>
      <c r="FO203" s="164" t="s">
        <v>937</v>
      </c>
      <c r="FP203" s="164">
        <v>0</v>
      </c>
    </row>
    <row r="204" spans="2:172" s="115" customFormat="1" ht="11.25" x14ac:dyDescent="0.2">
      <c r="B204" s="148"/>
      <c r="C204" s="148"/>
      <c r="D204" s="148"/>
      <c r="E204" s="148"/>
      <c r="F204" s="148"/>
      <c r="G204" s="148"/>
      <c r="H204" s="148"/>
      <c r="I204" s="148"/>
      <c r="J204" s="148"/>
      <c r="K204" s="148"/>
      <c r="L204" s="148"/>
      <c r="M204" s="160"/>
      <c r="N204" s="160"/>
      <c r="O204" s="148"/>
      <c r="P204" s="161">
        <f>SUM(Q204:AP204)</f>
      </c>
      <c r="Q204" s="161"/>
      <c r="R204" s="161"/>
      <c r="S204" s="161"/>
      <c r="T204" s="161"/>
      <c r="U204" s="161"/>
      <c r="V204" s="161"/>
      <c r="W204" s="161"/>
      <c r="X204" s="161"/>
      <c r="Y204" s="161"/>
      <c r="Z204" s="161"/>
      <c r="AA204" s="161"/>
      <c r="AB204" s="161"/>
      <c r="AC204" s="161"/>
      <c r="AD204" s="161"/>
      <c r="AE204" s="161"/>
      <c r="AF204" s="161"/>
      <c r="AG204" s="161"/>
      <c r="AH204" s="161"/>
      <c r="AI204" s="161"/>
      <c r="AJ204" s="161"/>
      <c r="AK204" s="161"/>
      <c r="AL204" s="161"/>
      <c r="AM204" s="161"/>
      <c r="AN204" s="161"/>
      <c r="AO204" s="161"/>
      <c r="AP204" s="161"/>
      <c r="AQ204" s="161">
        <f>SUM(AR204:AU204)</f>
      </c>
      <c r="AR204" s="161"/>
      <c r="AS204" s="161"/>
      <c r="AT204" s="161"/>
      <c r="AU204" s="161"/>
      <c r="AV204" s="161">
        <f>SUM(AW204:BH204)</f>
      </c>
      <c r="AW204" s="161"/>
      <c r="AX204" s="161"/>
      <c r="AY204" s="161"/>
      <c r="AZ204" s="161"/>
      <c r="BA204" s="161"/>
      <c r="BB204" s="161"/>
      <c r="BC204" s="161"/>
      <c r="BD204" s="161"/>
      <c r="BE204" s="161"/>
      <c r="BF204" s="161"/>
      <c r="BG204" s="161"/>
      <c r="BH204" s="161"/>
      <c r="BI204" s="161"/>
      <c r="BJ204" s="161"/>
      <c r="BK204" s="161"/>
      <c r="BL204" s="161"/>
      <c r="BM204" s="161"/>
      <c r="BN204" s="161"/>
      <c r="BO204" s="161"/>
      <c r="BP204" s="161"/>
      <c r="BQ204" s="161"/>
      <c r="BR204" s="161"/>
      <c r="BS204" s="161">
        <f>SUM(BT204:BV204)</f>
      </c>
      <c r="BT204" s="161"/>
      <c r="BU204" s="161"/>
      <c r="BV204" s="161"/>
      <c r="BW204" s="161">
        <f>SUM(BX204:CC204)</f>
      </c>
      <c r="BX204" s="161"/>
      <c r="BY204" s="161"/>
      <c r="BZ204" s="161"/>
      <c r="CA204" s="161"/>
      <c r="CB204" s="161"/>
      <c r="CC204" s="161"/>
      <c r="CD204" s="161"/>
      <c r="CE204" s="161"/>
      <c r="CF204" s="161"/>
      <c r="CG204" s="161"/>
      <c r="CH204" s="161"/>
      <c r="CI204" s="161"/>
      <c r="CJ204" s="161">
        <f>SUM(CK204:CM204)</f>
      </c>
      <c r="CK204" s="161"/>
      <c r="CL204" s="161"/>
      <c r="CM204" s="161"/>
      <c r="CN204" s="161">
        <f>SUM(CO204:CS204)</f>
      </c>
      <c r="CO204" s="161"/>
      <c r="CP204" s="161"/>
      <c r="CQ204" s="161"/>
      <c r="CR204" s="161"/>
      <c r="CS204" s="161"/>
      <c r="CT204" s="161"/>
      <c r="CU204" s="161"/>
      <c r="CV204" s="161"/>
      <c r="CW204" s="161"/>
      <c r="CX204" s="161"/>
      <c r="CY204" s="161"/>
      <c r="CZ204" s="161"/>
      <c r="DA204" s="161"/>
      <c r="DB204" s="161"/>
      <c r="DC204" s="161"/>
      <c r="DD204" s="161"/>
      <c r="DE204" s="161"/>
      <c r="DF204" s="161">
        <f>SUM(DG204:DG204)</f>
      </c>
      <c r="DG204" s="161"/>
      <c r="DH204" s="161"/>
      <c r="DI204" s="161"/>
      <c r="DJ204" s="161">
        <f>SUM(DK204:DP204)</f>
      </c>
      <c r="DK204" s="161"/>
      <c r="DL204" s="161"/>
      <c r="DM204" s="161"/>
      <c r="DN204" s="161"/>
      <c r="DO204" s="161"/>
      <c r="DP204" s="161"/>
      <c r="DQ204" s="161"/>
      <c r="DR204" s="161"/>
      <c r="DS204" s="161"/>
      <c r="DT204" s="161"/>
      <c r="DU204" s="161"/>
      <c r="DV204" s="161"/>
      <c r="DW204" s="161"/>
      <c r="DX204" s="161"/>
      <c r="DY204" s="161"/>
      <c r="DZ204" s="161"/>
      <c r="EA204" s="161"/>
      <c r="EB204" s="161"/>
      <c r="EC204" s="161"/>
      <c r="ED204" s="161"/>
      <c r="EE204" s="161"/>
      <c r="EF204" s="161">
        <f>SUM(EG204:EP204)</f>
      </c>
      <c r="EG204" s="161"/>
      <c r="EH204" s="161"/>
      <c r="EI204" s="161"/>
      <c r="EJ204" s="161"/>
      <c r="EK204" s="161"/>
      <c r="EL204" s="161"/>
      <c r="EM204" s="161"/>
      <c r="EN204" s="161"/>
      <c r="EO204" s="161"/>
      <c r="EP204" s="161"/>
      <c r="EQ204" s="161">
        <f>SUM(ER204:ES204)</f>
      </c>
      <c r="ER204" s="161"/>
      <c r="ES204" s="161"/>
      <c r="ET204" s="161"/>
      <c r="EU204" s="161"/>
      <c r="EV204" s="161"/>
      <c r="EW204" s="161"/>
      <c r="EX204" s="161"/>
      <c r="EY204" s="161"/>
      <c r="EZ204" s="161"/>
      <c r="FA204" s="161"/>
      <c r="FB204" s="161"/>
      <c r="FC204" s="161"/>
      <c r="FD204" s="161"/>
      <c r="FE204" s="161"/>
      <c r="FF204" s="161"/>
      <c r="FG204" s="161"/>
      <c r="FH204" s="163" cm="1">
        <f t="array" ref="FH204">ROW()-ROW(Ongoing[#Headers])</f>
        <v>198</v>
      </c>
      <c r="FI204" s="164" t="s">
        <v>754</v>
      </c>
      <c r="FJ204" s="164" t="s">
        <v>755</v>
      </c>
      <c r="FK204" s="164">
        <v>0</v>
      </c>
      <c r="FL204" s="164" t="s">
        <v>756</v>
      </c>
      <c r="FM204" s="164">
        <v>0</v>
      </c>
      <c r="FN204" s="164" t="s">
        <v>757</v>
      </c>
      <c r="FO204" s="164" t="s">
        <v>758</v>
      </c>
      <c r="FP204" s="164" t="s">
        <v>759</v>
      </c>
    </row>
    <row r="205" spans="2:172" s="115" customFormat="1" ht="11.25" x14ac:dyDescent="0.2">
      <c r="B205" s="148"/>
      <c r="C205" s="148"/>
      <c r="D205" s="148"/>
      <c r="E205" s="148"/>
      <c r="F205" s="148"/>
      <c r="G205" s="148"/>
      <c r="H205" s="148"/>
      <c r="I205" s="148"/>
      <c r="J205" s="148"/>
      <c r="K205" s="148"/>
      <c r="L205" s="148"/>
      <c r="M205" s="160"/>
      <c r="N205" s="160"/>
      <c r="O205" s="148"/>
      <c r="P205" s="161">
        <f>SUM(Q205:AP205)</f>
      </c>
      <c r="Q205" s="161"/>
      <c r="R205" s="161"/>
      <c r="S205" s="161"/>
      <c r="T205" s="161"/>
      <c r="U205" s="161"/>
      <c r="V205" s="161"/>
      <c r="W205" s="161"/>
      <c r="X205" s="161"/>
      <c r="Y205" s="161"/>
      <c r="Z205" s="161"/>
      <c r="AA205" s="161"/>
      <c r="AB205" s="161"/>
      <c r="AC205" s="161"/>
      <c r="AD205" s="161"/>
      <c r="AE205" s="161"/>
      <c r="AF205" s="161"/>
      <c r="AG205" s="161"/>
      <c r="AH205" s="161"/>
      <c r="AI205" s="161"/>
      <c r="AJ205" s="161"/>
      <c r="AK205" s="161"/>
      <c r="AL205" s="161"/>
      <c r="AM205" s="161"/>
      <c r="AN205" s="161"/>
      <c r="AO205" s="161"/>
      <c r="AP205" s="161"/>
      <c r="AQ205" s="161">
        <f>SUM(AR205:AU205)</f>
      </c>
      <c r="AR205" s="161"/>
      <c r="AS205" s="161"/>
      <c r="AT205" s="161"/>
      <c r="AU205" s="161"/>
      <c r="AV205" s="161">
        <f>SUM(AW205:BH205)</f>
      </c>
      <c r="AW205" s="161"/>
      <c r="AX205" s="161"/>
      <c r="AY205" s="161"/>
      <c r="AZ205" s="161"/>
      <c r="BA205" s="161"/>
      <c r="BB205" s="161"/>
      <c r="BC205" s="161"/>
      <c r="BD205" s="161"/>
      <c r="BE205" s="161"/>
      <c r="BF205" s="161"/>
      <c r="BG205" s="161"/>
      <c r="BH205" s="161"/>
      <c r="BI205" s="161"/>
      <c r="BJ205" s="161"/>
      <c r="BK205" s="161"/>
      <c r="BL205" s="161"/>
      <c r="BM205" s="161"/>
      <c r="BN205" s="161"/>
      <c r="BO205" s="161"/>
      <c r="BP205" s="161"/>
      <c r="BQ205" s="161"/>
      <c r="BR205" s="161"/>
      <c r="BS205" s="161">
        <f>SUM(BT205:BV205)</f>
      </c>
      <c r="BT205" s="161"/>
      <c r="BU205" s="161"/>
      <c r="BV205" s="161"/>
      <c r="BW205" s="161">
        <f>SUM(BX205:CC205)</f>
      </c>
      <c r="BX205" s="161"/>
      <c r="BY205" s="161"/>
      <c r="BZ205" s="161"/>
      <c r="CA205" s="161"/>
      <c r="CB205" s="161"/>
      <c r="CC205" s="161"/>
      <c r="CD205" s="161"/>
      <c r="CE205" s="161"/>
      <c r="CF205" s="161"/>
      <c r="CG205" s="161"/>
      <c r="CH205" s="161"/>
      <c r="CI205" s="161"/>
      <c r="CJ205" s="161">
        <f>SUM(CK205:CM205)</f>
      </c>
      <c r="CK205" s="161"/>
      <c r="CL205" s="161"/>
      <c r="CM205" s="161"/>
      <c r="CN205" s="161">
        <f>SUM(CO205:CS205)</f>
      </c>
      <c r="CO205" s="161"/>
      <c r="CP205" s="161"/>
      <c r="CQ205" s="161"/>
      <c r="CR205" s="161"/>
      <c r="CS205" s="161"/>
      <c r="CT205" s="161"/>
      <c r="CU205" s="161"/>
      <c r="CV205" s="161"/>
      <c r="CW205" s="161"/>
      <c r="CX205" s="161"/>
      <c r="CY205" s="161"/>
      <c r="CZ205" s="161"/>
      <c r="DA205" s="161"/>
      <c r="DB205" s="161"/>
      <c r="DC205" s="161"/>
      <c r="DD205" s="161"/>
      <c r="DE205" s="161"/>
      <c r="DF205" s="161">
        <f>SUM(DG205:DG205)</f>
      </c>
      <c r="DG205" s="161"/>
      <c r="DH205" s="161"/>
      <c r="DI205" s="161"/>
      <c r="DJ205" s="161">
        <f>SUM(DK205:DP205)</f>
      </c>
      <c r="DK205" s="161"/>
      <c r="DL205" s="161"/>
      <c r="DM205" s="161"/>
      <c r="DN205" s="161"/>
      <c r="DO205" s="161"/>
      <c r="DP205" s="161"/>
      <c r="DQ205" s="161"/>
      <c r="DR205" s="161"/>
      <c r="DS205" s="161"/>
      <c r="DT205" s="161"/>
      <c r="DU205" s="161"/>
      <c r="DV205" s="161"/>
      <c r="DW205" s="161"/>
      <c r="DX205" s="161"/>
      <c r="DY205" s="161"/>
      <c r="DZ205" s="161"/>
      <c r="EA205" s="161"/>
      <c r="EB205" s="161"/>
      <c r="EC205" s="161"/>
      <c r="ED205" s="161"/>
      <c r="EE205" s="161"/>
      <c r="EF205" s="161">
        <f>SUM(EG205:EP205)</f>
      </c>
      <c r="EG205" s="161"/>
      <c r="EH205" s="161"/>
      <c r="EI205" s="161"/>
      <c r="EJ205" s="161"/>
      <c r="EK205" s="161"/>
      <c r="EL205" s="161"/>
      <c r="EM205" s="161"/>
      <c r="EN205" s="161"/>
      <c r="EO205" s="161"/>
      <c r="EP205" s="161"/>
      <c r="EQ205" s="161">
        <f>SUM(ER205:ES205)</f>
      </c>
      <c r="ER205" s="161"/>
      <c r="ES205" s="161"/>
      <c r="ET205" s="161"/>
      <c r="EU205" s="161"/>
      <c r="EV205" s="161"/>
      <c r="EW205" s="161"/>
      <c r="EX205" s="161"/>
      <c r="EY205" s="161"/>
      <c r="EZ205" s="161"/>
      <c r="FA205" s="161"/>
      <c r="FB205" s="161"/>
      <c r="FC205" s="161"/>
      <c r="FD205" s="161"/>
      <c r="FE205" s="161"/>
      <c r="FF205" s="161"/>
      <c r="FG205" s="161"/>
      <c r="FH205" s="163" cm="1">
        <f t="array" ref="FH205">ROW()-ROW(Ongoing[#Headers])</f>
        <v>199</v>
      </c>
      <c r="FI205" s="164">
        <v>0</v>
      </c>
      <c r="FJ205" s="164">
        <v>0</v>
      </c>
      <c r="FK205" s="164">
        <v>0</v>
      </c>
      <c r="FL205" s="164" t="s">
        <v>789</v>
      </c>
      <c r="FM205" s="164">
        <v>0</v>
      </c>
      <c r="FN205" s="164" t="s">
        <v>757</v>
      </c>
      <c r="FO205" s="164" t="s">
        <v>937</v>
      </c>
      <c r="FP205" s="164">
        <v>0</v>
      </c>
    </row>
    <row r="206" spans="2:172" s="115" customFormat="1" ht="11.25" x14ac:dyDescent="0.2">
      <c r="B206" s="148"/>
      <c r="C206" s="148"/>
      <c r="D206" s="148"/>
      <c r="E206" s="148"/>
      <c r="F206" s="148"/>
      <c r="G206" s="148"/>
      <c r="H206" s="148"/>
      <c r="I206" s="148"/>
      <c r="J206" s="148"/>
      <c r="K206" s="148"/>
      <c r="L206" s="148"/>
      <c r="M206" s="160"/>
      <c r="N206" s="160"/>
      <c r="O206" s="148"/>
      <c r="P206" s="161">
        <f>SUM(Q206:AP206)</f>
      </c>
      <c r="Q206" s="161"/>
      <c r="R206" s="161"/>
      <c r="S206" s="161"/>
      <c r="T206" s="161"/>
      <c r="U206" s="161"/>
      <c r="V206" s="161"/>
      <c r="W206" s="161"/>
      <c r="X206" s="161"/>
      <c r="Y206" s="161"/>
      <c r="Z206" s="161"/>
      <c r="AA206" s="161"/>
      <c r="AB206" s="161"/>
      <c r="AC206" s="161"/>
      <c r="AD206" s="161"/>
      <c r="AE206" s="161"/>
      <c r="AF206" s="161"/>
      <c r="AG206" s="161"/>
      <c r="AH206" s="161"/>
      <c r="AI206" s="161"/>
      <c r="AJ206" s="161"/>
      <c r="AK206" s="161"/>
      <c r="AL206" s="161"/>
      <c r="AM206" s="161"/>
      <c r="AN206" s="161"/>
      <c r="AO206" s="161"/>
      <c r="AP206" s="161"/>
      <c r="AQ206" s="161">
        <f>SUM(AR206:AU206)</f>
      </c>
      <c r="AR206" s="161"/>
      <c r="AS206" s="161"/>
      <c r="AT206" s="161"/>
      <c r="AU206" s="161"/>
      <c r="AV206" s="161">
        <f>SUM(AW206:BH206)</f>
      </c>
      <c r="AW206" s="161"/>
      <c r="AX206" s="161"/>
      <c r="AY206" s="161"/>
      <c r="AZ206" s="161"/>
      <c r="BA206" s="161"/>
      <c r="BB206" s="161"/>
      <c r="BC206" s="161"/>
      <c r="BD206" s="161"/>
      <c r="BE206" s="161"/>
      <c r="BF206" s="161"/>
      <c r="BG206" s="161"/>
      <c r="BH206" s="161"/>
      <c r="BI206" s="161"/>
      <c r="BJ206" s="161"/>
      <c r="BK206" s="161"/>
      <c r="BL206" s="161"/>
      <c r="BM206" s="161"/>
      <c r="BN206" s="161"/>
      <c r="BO206" s="161"/>
      <c r="BP206" s="161"/>
      <c r="BQ206" s="161"/>
      <c r="BR206" s="161"/>
      <c r="BS206" s="161">
        <f>SUM(BT206:BV206)</f>
      </c>
      <c r="BT206" s="161"/>
      <c r="BU206" s="161"/>
      <c r="BV206" s="161"/>
      <c r="BW206" s="161">
        <f>SUM(BX206:CC206)</f>
      </c>
      <c r="BX206" s="161"/>
      <c r="BY206" s="161"/>
      <c r="BZ206" s="161"/>
      <c r="CA206" s="161"/>
      <c r="CB206" s="161"/>
      <c r="CC206" s="161"/>
      <c r="CD206" s="161"/>
      <c r="CE206" s="161"/>
      <c r="CF206" s="161"/>
      <c r="CG206" s="161"/>
      <c r="CH206" s="161"/>
      <c r="CI206" s="161"/>
      <c r="CJ206" s="161">
        <f>SUM(CK206:CM206)</f>
      </c>
      <c r="CK206" s="161"/>
      <c r="CL206" s="161"/>
      <c r="CM206" s="161"/>
      <c r="CN206" s="161">
        <f>SUM(CO206:CS206)</f>
      </c>
      <c r="CO206" s="161"/>
      <c r="CP206" s="161"/>
      <c r="CQ206" s="161"/>
      <c r="CR206" s="161"/>
      <c r="CS206" s="161"/>
      <c r="CT206" s="161"/>
      <c r="CU206" s="161"/>
      <c r="CV206" s="161"/>
      <c r="CW206" s="161"/>
      <c r="CX206" s="161"/>
      <c r="CY206" s="161"/>
      <c r="CZ206" s="161"/>
      <c r="DA206" s="161"/>
      <c r="DB206" s="161"/>
      <c r="DC206" s="161"/>
      <c r="DD206" s="161"/>
      <c r="DE206" s="161"/>
      <c r="DF206" s="161">
        <f>SUM(DG206:DG206)</f>
      </c>
      <c r="DG206" s="161"/>
      <c r="DH206" s="161"/>
      <c r="DI206" s="161"/>
      <c r="DJ206" s="161">
        <f>SUM(DK206:DP206)</f>
      </c>
      <c r="DK206" s="161"/>
      <c r="DL206" s="161"/>
      <c r="DM206" s="161"/>
      <c r="DN206" s="161"/>
      <c r="DO206" s="161"/>
      <c r="DP206" s="161"/>
      <c r="DQ206" s="161"/>
      <c r="DR206" s="161"/>
      <c r="DS206" s="161"/>
      <c r="DT206" s="161"/>
      <c r="DU206" s="161"/>
      <c r="DV206" s="161"/>
      <c r="DW206" s="161"/>
      <c r="DX206" s="161"/>
      <c r="DY206" s="161"/>
      <c r="DZ206" s="161"/>
      <c r="EA206" s="161"/>
      <c r="EB206" s="161"/>
      <c r="EC206" s="161"/>
      <c r="ED206" s="161"/>
      <c r="EE206" s="161"/>
      <c r="EF206" s="161">
        <f>SUM(EG206:EP206)</f>
      </c>
      <c r="EG206" s="161"/>
      <c r="EH206" s="161"/>
      <c r="EI206" s="161"/>
      <c r="EJ206" s="161"/>
      <c r="EK206" s="161"/>
      <c r="EL206" s="161"/>
      <c r="EM206" s="161"/>
      <c r="EN206" s="161"/>
      <c r="EO206" s="161"/>
      <c r="EP206" s="161"/>
      <c r="EQ206" s="161">
        <f>SUM(ER206:ES206)</f>
      </c>
      <c r="ER206" s="161"/>
      <c r="ES206" s="161"/>
      <c r="ET206" s="161"/>
      <c r="EU206" s="161"/>
      <c r="EV206" s="161"/>
      <c r="EW206" s="161"/>
      <c r="EX206" s="161"/>
      <c r="EY206" s="161"/>
      <c r="EZ206" s="161"/>
      <c r="FA206" s="161"/>
      <c r="FB206" s="161"/>
      <c r="FC206" s="161"/>
      <c r="FD206" s="161"/>
      <c r="FE206" s="161"/>
      <c r="FF206" s="161"/>
      <c r="FG206" s="161"/>
      <c r="FH206" s="163" cm="1">
        <f t="array" ref="FH206">ROW()-ROW(Ongoing[#Headers])</f>
        <v>200</v>
      </c>
      <c r="FI206" s="164">
        <v>0</v>
      </c>
      <c r="FJ206" s="164">
        <v>0</v>
      </c>
      <c r="FK206" s="164">
        <v>0</v>
      </c>
      <c r="FL206" s="164" t="s">
        <v>789</v>
      </c>
      <c r="FM206" s="164">
        <v>0</v>
      </c>
      <c r="FN206" s="164" t="s">
        <v>757</v>
      </c>
      <c r="FO206" s="164" t="s">
        <v>937</v>
      </c>
      <c r="FP206" s="164">
        <v>0</v>
      </c>
    </row>
    <row r="207" spans="2:172" s="115" customFormat="1" ht="11.25" x14ac:dyDescent="0.2">
      <c r="B207" s="148"/>
      <c r="C207" s="148"/>
      <c r="D207" s="148"/>
      <c r="E207" s="148"/>
      <c r="F207" s="148"/>
      <c r="G207" s="148"/>
      <c r="H207" s="148"/>
      <c r="I207" s="148"/>
      <c r="J207" s="148"/>
      <c r="K207" s="148"/>
      <c r="L207" s="148"/>
      <c r="M207" s="160"/>
      <c r="N207" s="160"/>
      <c r="O207" s="148"/>
      <c r="P207" s="161">
        <f>SUM(Q207:AP207)</f>
      </c>
      <c r="Q207" s="161"/>
      <c r="R207" s="161"/>
      <c r="S207" s="161"/>
      <c r="T207" s="161"/>
      <c r="U207" s="161"/>
      <c r="V207" s="161"/>
      <c r="W207" s="161"/>
      <c r="X207" s="161"/>
      <c r="Y207" s="161"/>
      <c r="Z207" s="161"/>
      <c r="AA207" s="161"/>
      <c r="AB207" s="161"/>
      <c r="AC207" s="161"/>
      <c r="AD207" s="161"/>
      <c r="AE207" s="161"/>
      <c r="AF207" s="161"/>
      <c r="AG207" s="161"/>
      <c r="AH207" s="161"/>
      <c r="AI207" s="161"/>
      <c r="AJ207" s="161"/>
      <c r="AK207" s="161"/>
      <c r="AL207" s="161"/>
      <c r="AM207" s="161"/>
      <c r="AN207" s="161"/>
      <c r="AO207" s="161"/>
      <c r="AP207" s="161"/>
      <c r="AQ207" s="161">
        <f>SUM(AR207:AU207)</f>
      </c>
      <c r="AR207" s="161"/>
      <c r="AS207" s="161"/>
      <c r="AT207" s="161"/>
      <c r="AU207" s="161"/>
      <c r="AV207" s="161">
        <f>SUM(AW207:BH207)</f>
      </c>
      <c r="AW207" s="161"/>
      <c r="AX207" s="161"/>
      <c r="AY207" s="161"/>
      <c r="AZ207" s="161"/>
      <c r="BA207" s="161"/>
      <c r="BB207" s="161"/>
      <c r="BC207" s="161"/>
      <c r="BD207" s="161"/>
      <c r="BE207" s="161"/>
      <c r="BF207" s="161"/>
      <c r="BG207" s="161"/>
      <c r="BH207" s="161"/>
      <c r="BI207" s="161"/>
      <c r="BJ207" s="161"/>
      <c r="BK207" s="161"/>
      <c r="BL207" s="161"/>
      <c r="BM207" s="161"/>
      <c r="BN207" s="161"/>
      <c r="BO207" s="161"/>
      <c r="BP207" s="161"/>
      <c r="BQ207" s="161"/>
      <c r="BR207" s="161"/>
      <c r="BS207" s="161">
        <f>SUM(BT207:BV207)</f>
      </c>
      <c r="BT207" s="161"/>
      <c r="BU207" s="161"/>
      <c r="BV207" s="161"/>
      <c r="BW207" s="161">
        <f>SUM(BX207:CC207)</f>
      </c>
      <c r="BX207" s="161"/>
      <c r="BY207" s="161"/>
      <c r="BZ207" s="161"/>
      <c r="CA207" s="161"/>
      <c r="CB207" s="161"/>
      <c r="CC207" s="161"/>
      <c r="CD207" s="161"/>
      <c r="CE207" s="161"/>
      <c r="CF207" s="161"/>
      <c r="CG207" s="161"/>
      <c r="CH207" s="161"/>
      <c r="CI207" s="161"/>
      <c r="CJ207" s="161">
        <f>SUM(CK207:CM207)</f>
      </c>
      <c r="CK207" s="161"/>
      <c r="CL207" s="161"/>
      <c r="CM207" s="161"/>
      <c r="CN207" s="161">
        <f>SUM(CO207:CS207)</f>
      </c>
      <c r="CO207" s="161"/>
      <c r="CP207" s="161"/>
      <c r="CQ207" s="161"/>
      <c r="CR207" s="161"/>
      <c r="CS207" s="161"/>
      <c r="CT207" s="161"/>
      <c r="CU207" s="161"/>
      <c r="CV207" s="161"/>
      <c r="CW207" s="161"/>
      <c r="CX207" s="161"/>
      <c r="CY207" s="161"/>
      <c r="CZ207" s="161"/>
      <c r="DA207" s="161"/>
      <c r="DB207" s="161"/>
      <c r="DC207" s="161"/>
      <c r="DD207" s="161"/>
      <c r="DE207" s="161"/>
      <c r="DF207" s="161">
        <f>SUM(DG207:DG207)</f>
      </c>
      <c r="DG207" s="161"/>
      <c r="DH207" s="161"/>
      <c r="DI207" s="161"/>
      <c r="DJ207" s="161">
        <f>SUM(DK207:DP207)</f>
      </c>
      <c r="DK207" s="161"/>
      <c r="DL207" s="161"/>
      <c r="DM207" s="161"/>
      <c r="DN207" s="161"/>
      <c r="DO207" s="161"/>
      <c r="DP207" s="161"/>
      <c r="DQ207" s="161"/>
      <c r="DR207" s="161"/>
      <c r="DS207" s="161"/>
      <c r="DT207" s="161"/>
      <c r="DU207" s="161"/>
      <c r="DV207" s="161"/>
      <c r="DW207" s="161"/>
      <c r="DX207" s="161"/>
      <c r="DY207" s="161"/>
      <c r="DZ207" s="161"/>
      <c r="EA207" s="161"/>
      <c r="EB207" s="161"/>
      <c r="EC207" s="161"/>
      <c r="ED207" s="161"/>
      <c r="EE207" s="161"/>
      <c r="EF207" s="161">
        <f>SUM(EG207:EP207)</f>
      </c>
      <c r="EG207" s="161"/>
      <c r="EH207" s="161"/>
      <c r="EI207" s="161"/>
      <c r="EJ207" s="161"/>
      <c r="EK207" s="161"/>
      <c r="EL207" s="161"/>
      <c r="EM207" s="161"/>
      <c r="EN207" s="161"/>
      <c r="EO207" s="161"/>
      <c r="EP207" s="161"/>
      <c r="EQ207" s="161">
        <f>SUM(ER207:ES207)</f>
      </c>
      <c r="ER207" s="161"/>
      <c r="ES207" s="161"/>
      <c r="ET207" s="161"/>
      <c r="EU207" s="161"/>
      <c r="EV207" s="161"/>
      <c r="EW207" s="161"/>
      <c r="EX207" s="161"/>
      <c r="EY207" s="161"/>
      <c r="EZ207" s="161"/>
      <c r="FA207" s="161"/>
      <c r="FB207" s="161"/>
      <c r="FC207" s="161"/>
      <c r="FD207" s="161"/>
      <c r="FE207" s="161"/>
      <c r="FF207" s="161"/>
      <c r="FG207" s="161"/>
      <c r="FH207" s="163" cm="1">
        <f t="array" ref="FH207">ROW()-ROW(Ongoing[#Headers])</f>
        <v>201</v>
      </c>
      <c r="FI207" s="164">
        <v>0</v>
      </c>
      <c r="FJ207" s="164">
        <v>0</v>
      </c>
      <c r="FK207" s="164">
        <v>0</v>
      </c>
      <c r="FL207" s="164" t="s">
        <v>789</v>
      </c>
      <c r="FM207" s="164">
        <v>0</v>
      </c>
      <c r="FN207" s="164" t="s">
        <v>757</v>
      </c>
      <c r="FO207" s="164" t="s">
        <v>937</v>
      </c>
      <c r="FP207" s="164">
        <v>0</v>
      </c>
    </row>
    <row r="208" spans="2:172" s="115" customFormat="1" ht="11.25" x14ac:dyDescent="0.2">
      <c r="B208" s="148"/>
      <c r="C208" s="148"/>
      <c r="D208" s="148"/>
      <c r="E208" s="148"/>
      <c r="F208" s="148"/>
      <c r="G208" s="148"/>
      <c r="H208" s="148"/>
      <c r="I208" s="148"/>
      <c r="J208" s="148"/>
      <c r="K208" s="148"/>
      <c r="L208" s="148"/>
      <c r="M208" s="160"/>
      <c r="N208" s="160"/>
      <c r="O208" s="148"/>
      <c r="P208" s="161">
        <f>SUM(Q208:AP208)</f>
      </c>
      <c r="Q208" s="161"/>
      <c r="R208" s="161"/>
      <c r="S208" s="161"/>
      <c r="T208" s="161"/>
      <c r="U208" s="161"/>
      <c r="V208" s="161"/>
      <c r="W208" s="161"/>
      <c r="X208" s="161"/>
      <c r="Y208" s="161"/>
      <c r="Z208" s="161"/>
      <c r="AA208" s="161"/>
      <c r="AB208" s="161"/>
      <c r="AC208" s="161"/>
      <c r="AD208" s="161"/>
      <c r="AE208" s="161"/>
      <c r="AF208" s="161"/>
      <c r="AG208" s="161"/>
      <c r="AH208" s="161"/>
      <c r="AI208" s="161"/>
      <c r="AJ208" s="161"/>
      <c r="AK208" s="161"/>
      <c r="AL208" s="161"/>
      <c r="AM208" s="161"/>
      <c r="AN208" s="161"/>
      <c r="AO208" s="161"/>
      <c r="AP208" s="161"/>
      <c r="AQ208" s="161">
        <f>SUM(AR208:AU208)</f>
      </c>
      <c r="AR208" s="161"/>
      <c r="AS208" s="161"/>
      <c r="AT208" s="161"/>
      <c r="AU208" s="161"/>
      <c r="AV208" s="161">
        <f>SUM(AW208:BH208)</f>
      </c>
      <c r="AW208" s="161"/>
      <c r="AX208" s="161"/>
      <c r="AY208" s="161"/>
      <c r="AZ208" s="161"/>
      <c r="BA208" s="161"/>
      <c r="BB208" s="161"/>
      <c r="BC208" s="161"/>
      <c r="BD208" s="161"/>
      <c r="BE208" s="161"/>
      <c r="BF208" s="161"/>
      <c r="BG208" s="161"/>
      <c r="BH208" s="161"/>
      <c r="BI208" s="161"/>
      <c r="BJ208" s="161"/>
      <c r="BK208" s="161"/>
      <c r="BL208" s="161"/>
      <c r="BM208" s="161"/>
      <c r="BN208" s="161"/>
      <c r="BO208" s="161"/>
      <c r="BP208" s="161"/>
      <c r="BQ208" s="161"/>
      <c r="BR208" s="161"/>
      <c r="BS208" s="161">
        <f>SUM(BT208:BV208)</f>
      </c>
      <c r="BT208" s="161"/>
      <c r="BU208" s="161"/>
      <c r="BV208" s="161"/>
      <c r="BW208" s="161">
        <f>SUM(BX208:CC208)</f>
      </c>
      <c r="BX208" s="161"/>
      <c r="BY208" s="161"/>
      <c r="BZ208" s="161"/>
      <c r="CA208" s="161"/>
      <c r="CB208" s="161"/>
      <c r="CC208" s="161"/>
      <c r="CD208" s="161"/>
      <c r="CE208" s="161"/>
      <c r="CF208" s="161"/>
      <c r="CG208" s="161"/>
      <c r="CH208" s="161"/>
      <c r="CI208" s="161"/>
      <c r="CJ208" s="161">
        <f>SUM(CK208:CM208)</f>
      </c>
      <c r="CK208" s="161"/>
      <c r="CL208" s="161"/>
      <c r="CM208" s="161"/>
      <c r="CN208" s="161">
        <f>SUM(CO208:CS208)</f>
      </c>
      <c r="CO208" s="161"/>
      <c r="CP208" s="161"/>
      <c r="CQ208" s="161"/>
      <c r="CR208" s="161"/>
      <c r="CS208" s="161"/>
      <c r="CT208" s="161"/>
      <c r="CU208" s="161"/>
      <c r="CV208" s="161"/>
      <c r="CW208" s="161"/>
      <c r="CX208" s="161"/>
      <c r="CY208" s="161"/>
      <c r="CZ208" s="161"/>
      <c r="DA208" s="161"/>
      <c r="DB208" s="161"/>
      <c r="DC208" s="161"/>
      <c r="DD208" s="161"/>
      <c r="DE208" s="161"/>
      <c r="DF208" s="161">
        <f>SUM(DG208:DG208)</f>
      </c>
      <c r="DG208" s="161"/>
      <c r="DH208" s="161"/>
      <c r="DI208" s="161"/>
      <c r="DJ208" s="161">
        <f>SUM(DK208:DP208)</f>
      </c>
      <c r="DK208" s="161"/>
      <c r="DL208" s="161"/>
      <c r="DM208" s="161"/>
      <c r="DN208" s="161"/>
      <c r="DO208" s="161"/>
      <c r="DP208" s="161"/>
      <c r="DQ208" s="161"/>
      <c r="DR208" s="161"/>
      <c r="DS208" s="161"/>
      <c r="DT208" s="161"/>
      <c r="DU208" s="161"/>
      <c r="DV208" s="161"/>
      <c r="DW208" s="161"/>
      <c r="DX208" s="161"/>
      <c r="DY208" s="161"/>
      <c r="DZ208" s="161"/>
      <c r="EA208" s="161"/>
      <c r="EB208" s="161"/>
      <c r="EC208" s="161"/>
      <c r="ED208" s="161"/>
      <c r="EE208" s="161"/>
      <c r="EF208" s="161">
        <f>SUM(EG208:EP208)</f>
      </c>
      <c r="EG208" s="161"/>
      <c r="EH208" s="161"/>
      <c r="EI208" s="161"/>
      <c r="EJ208" s="161"/>
      <c r="EK208" s="161"/>
      <c r="EL208" s="161"/>
      <c r="EM208" s="161"/>
      <c r="EN208" s="161"/>
      <c r="EO208" s="161"/>
      <c r="EP208" s="161"/>
      <c r="EQ208" s="161">
        <f>SUM(ER208:ES208)</f>
      </c>
      <c r="ER208" s="161"/>
      <c r="ES208" s="161"/>
      <c r="ET208" s="161"/>
      <c r="EU208" s="161"/>
      <c r="EV208" s="161"/>
      <c r="EW208" s="161"/>
      <c r="EX208" s="161"/>
      <c r="EY208" s="161"/>
      <c r="EZ208" s="161"/>
      <c r="FA208" s="161"/>
      <c r="FB208" s="161"/>
      <c r="FC208" s="161"/>
      <c r="FD208" s="161"/>
      <c r="FE208" s="161"/>
      <c r="FF208" s="161"/>
      <c r="FG208" s="161"/>
      <c r="FH208" s="163" cm="1">
        <f t="array" ref="FH208">ROW()-ROW(Ongoing[#Headers])</f>
        <v>202</v>
      </c>
      <c r="FI208" s="164" t="s">
        <v>754</v>
      </c>
      <c r="FJ208" s="164" t="s">
        <v>755</v>
      </c>
      <c r="FK208" s="164">
        <v>0</v>
      </c>
      <c r="FL208" s="164" t="s">
        <v>756</v>
      </c>
      <c r="FM208" s="164">
        <v>0</v>
      </c>
      <c r="FN208" s="164" t="s">
        <v>757</v>
      </c>
      <c r="FO208" s="164" t="s">
        <v>758</v>
      </c>
      <c r="FP208" s="164" t="s">
        <v>759</v>
      </c>
    </row>
    <row r="209" spans="2:172" s="115" customFormat="1" ht="11.25" x14ac:dyDescent="0.2">
      <c r="B209" s="148"/>
      <c r="C209" s="148"/>
      <c r="D209" s="148"/>
      <c r="E209" s="148"/>
      <c r="F209" s="148"/>
      <c r="G209" s="148"/>
      <c r="H209" s="148"/>
      <c r="I209" s="148"/>
      <c r="J209" s="148"/>
      <c r="K209" s="148"/>
      <c r="L209" s="148"/>
      <c r="M209" s="160"/>
      <c r="N209" s="160"/>
      <c r="O209" s="148"/>
      <c r="P209" s="161">
        <f>SUM(Q209:AP209)</f>
      </c>
      <c r="Q209" s="161"/>
      <c r="R209" s="161"/>
      <c r="S209" s="161"/>
      <c r="T209" s="161"/>
      <c r="U209" s="161"/>
      <c r="V209" s="161"/>
      <c r="W209" s="161"/>
      <c r="X209" s="161"/>
      <c r="Y209" s="161"/>
      <c r="Z209" s="161"/>
      <c r="AA209" s="161"/>
      <c r="AB209" s="161"/>
      <c r="AC209" s="161"/>
      <c r="AD209" s="161"/>
      <c r="AE209" s="161"/>
      <c r="AF209" s="161"/>
      <c r="AG209" s="161"/>
      <c r="AH209" s="161"/>
      <c r="AI209" s="161"/>
      <c r="AJ209" s="161"/>
      <c r="AK209" s="161"/>
      <c r="AL209" s="161"/>
      <c r="AM209" s="161"/>
      <c r="AN209" s="161"/>
      <c r="AO209" s="161"/>
      <c r="AP209" s="161"/>
      <c r="AQ209" s="161">
        <f>SUM(AR209:AU209)</f>
      </c>
      <c r="AR209" s="161"/>
      <c r="AS209" s="161"/>
      <c r="AT209" s="161"/>
      <c r="AU209" s="161"/>
      <c r="AV209" s="161">
        <f>SUM(AW209:BH209)</f>
      </c>
      <c r="AW209" s="161"/>
      <c r="AX209" s="161"/>
      <c r="AY209" s="161"/>
      <c r="AZ209" s="161"/>
      <c r="BA209" s="161"/>
      <c r="BB209" s="161"/>
      <c r="BC209" s="161"/>
      <c r="BD209" s="161"/>
      <c r="BE209" s="161"/>
      <c r="BF209" s="161"/>
      <c r="BG209" s="161"/>
      <c r="BH209" s="161"/>
      <c r="BI209" s="161"/>
      <c r="BJ209" s="161"/>
      <c r="BK209" s="161"/>
      <c r="BL209" s="161"/>
      <c r="BM209" s="161"/>
      <c r="BN209" s="161"/>
      <c r="BO209" s="161"/>
      <c r="BP209" s="161"/>
      <c r="BQ209" s="161"/>
      <c r="BR209" s="161"/>
      <c r="BS209" s="161">
        <f>SUM(BT209:BV209)</f>
      </c>
      <c r="BT209" s="161"/>
      <c r="BU209" s="161"/>
      <c r="BV209" s="161"/>
      <c r="BW209" s="161">
        <f>SUM(BX209:CC209)</f>
      </c>
      <c r="BX209" s="161"/>
      <c r="BY209" s="161"/>
      <c r="BZ209" s="161"/>
      <c r="CA209" s="161"/>
      <c r="CB209" s="161"/>
      <c r="CC209" s="161"/>
      <c r="CD209" s="161"/>
      <c r="CE209" s="161"/>
      <c r="CF209" s="161"/>
      <c r="CG209" s="161"/>
      <c r="CH209" s="161"/>
      <c r="CI209" s="161"/>
      <c r="CJ209" s="161">
        <f>SUM(CK209:CM209)</f>
      </c>
      <c r="CK209" s="161"/>
      <c r="CL209" s="161"/>
      <c r="CM209" s="161"/>
      <c r="CN209" s="161">
        <f>SUM(CO209:CS209)</f>
      </c>
      <c r="CO209" s="161"/>
      <c r="CP209" s="161"/>
      <c r="CQ209" s="161"/>
      <c r="CR209" s="161"/>
      <c r="CS209" s="161"/>
      <c r="CT209" s="161"/>
      <c r="CU209" s="161"/>
      <c r="CV209" s="161"/>
      <c r="CW209" s="161"/>
      <c r="CX209" s="161"/>
      <c r="CY209" s="161"/>
      <c r="CZ209" s="161"/>
      <c r="DA209" s="161"/>
      <c r="DB209" s="161"/>
      <c r="DC209" s="161"/>
      <c r="DD209" s="161"/>
      <c r="DE209" s="161"/>
      <c r="DF209" s="161">
        <f>SUM(DG209:DG209)</f>
      </c>
      <c r="DG209" s="161"/>
      <c r="DH209" s="161"/>
      <c r="DI209" s="161"/>
      <c r="DJ209" s="161">
        <f>SUM(DK209:DP209)</f>
      </c>
      <c r="DK209" s="161"/>
      <c r="DL209" s="161"/>
      <c r="DM209" s="161"/>
      <c r="DN209" s="161"/>
      <c r="DO209" s="161"/>
      <c r="DP209" s="161"/>
      <c r="DQ209" s="161"/>
      <c r="DR209" s="161"/>
      <c r="DS209" s="161"/>
      <c r="DT209" s="161"/>
      <c r="DU209" s="161"/>
      <c r="DV209" s="161"/>
      <c r="DW209" s="161"/>
      <c r="DX209" s="161"/>
      <c r="DY209" s="161"/>
      <c r="DZ209" s="161"/>
      <c r="EA209" s="161"/>
      <c r="EB209" s="161"/>
      <c r="EC209" s="161"/>
      <c r="ED209" s="161"/>
      <c r="EE209" s="161"/>
      <c r="EF209" s="161">
        <f>SUM(EG209:EP209)</f>
      </c>
      <c r="EG209" s="161"/>
      <c r="EH209" s="161"/>
      <c r="EI209" s="161"/>
      <c r="EJ209" s="161"/>
      <c r="EK209" s="161"/>
      <c r="EL209" s="161"/>
      <c r="EM209" s="161"/>
      <c r="EN209" s="161"/>
      <c r="EO209" s="161"/>
      <c r="EP209" s="161"/>
      <c r="EQ209" s="161">
        <f>SUM(ER209:ES209)</f>
      </c>
      <c r="ER209" s="161"/>
      <c r="ES209" s="161"/>
      <c r="ET209" s="161"/>
      <c r="EU209" s="161"/>
      <c r="EV209" s="161"/>
      <c r="EW209" s="161"/>
      <c r="EX209" s="161"/>
      <c r="EY209" s="161"/>
      <c r="EZ209" s="161"/>
      <c r="FA209" s="161"/>
      <c r="FB209" s="161"/>
      <c r="FC209" s="161"/>
      <c r="FD209" s="161"/>
      <c r="FE209" s="161"/>
      <c r="FF209" s="161"/>
      <c r="FG209" s="161"/>
      <c r="FH209" s="163" cm="1">
        <f t="array" ref="FH209">ROW()-ROW(Ongoing[#Headers])</f>
        <v>203</v>
      </c>
      <c r="FI209" s="164" t="s">
        <v>825</v>
      </c>
      <c r="FJ209" s="164" t="s">
        <v>755</v>
      </c>
      <c r="FK209" s="164">
        <v>0</v>
      </c>
      <c r="FL209" s="164" t="s">
        <v>756</v>
      </c>
      <c r="FM209" s="164" t="s">
        <v>790</v>
      </c>
      <c r="FN209" s="164" t="s">
        <v>757</v>
      </c>
      <c r="FO209" s="164" t="s">
        <v>758</v>
      </c>
      <c r="FP209" s="164" t="s">
        <v>759</v>
      </c>
    </row>
    <row r="210" spans="2:172" s="115" customFormat="1" ht="11.25" x14ac:dyDescent="0.2">
      <c r="B210" s="148"/>
      <c r="C210" s="148"/>
      <c r="D210" s="148"/>
      <c r="E210" s="148"/>
      <c r="F210" s="148"/>
      <c r="G210" s="148"/>
      <c r="H210" s="148"/>
      <c r="I210" s="148"/>
      <c r="J210" s="148"/>
      <c r="K210" s="148"/>
      <c r="L210" s="148"/>
      <c r="M210" s="160"/>
      <c r="N210" s="160"/>
      <c r="O210" s="148"/>
      <c r="P210" s="161">
        <f>SUM(Q210:AP210)</f>
      </c>
      <c r="Q210" s="161"/>
      <c r="R210" s="161"/>
      <c r="S210" s="161"/>
      <c r="T210" s="161"/>
      <c r="U210" s="161"/>
      <c r="V210" s="161"/>
      <c r="W210" s="161"/>
      <c r="X210" s="161"/>
      <c r="Y210" s="161"/>
      <c r="Z210" s="161"/>
      <c r="AA210" s="161"/>
      <c r="AB210" s="161"/>
      <c r="AC210" s="161"/>
      <c r="AD210" s="161"/>
      <c r="AE210" s="161"/>
      <c r="AF210" s="161"/>
      <c r="AG210" s="161"/>
      <c r="AH210" s="161"/>
      <c r="AI210" s="161"/>
      <c r="AJ210" s="161"/>
      <c r="AK210" s="161"/>
      <c r="AL210" s="161"/>
      <c r="AM210" s="161"/>
      <c r="AN210" s="161"/>
      <c r="AO210" s="161"/>
      <c r="AP210" s="161"/>
      <c r="AQ210" s="161">
        <f>SUM(AR210:AU210)</f>
      </c>
      <c r="AR210" s="161"/>
      <c r="AS210" s="161"/>
      <c r="AT210" s="161"/>
      <c r="AU210" s="161"/>
      <c r="AV210" s="161">
        <f>SUM(AW210:BH210)</f>
      </c>
      <c r="AW210" s="161"/>
      <c r="AX210" s="161"/>
      <c r="AY210" s="161"/>
      <c r="AZ210" s="161"/>
      <c r="BA210" s="161"/>
      <c r="BB210" s="161"/>
      <c r="BC210" s="161"/>
      <c r="BD210" s="161"/>
      <c r="BE210" s="161"/>
      <c r="BF210" s="161"/>
      <c r="BG210" s="161"/>
      <c r="BH210" s="161"/>
      <c r="BI210" s="161"/>
      <c r="BJ210" s="161"/>
      <c r="BK210" s="161"/>
      <c r="BL210" s="161"/>
      <c r="BM210" s="161"/>
      <c r="BN210" s="161"/>
      <c r="BO210" s="161"/>
      <c r="BP210" s="161"/>
      <c r="BQ210" s="161"/>
      <c r="BR210" s="161"/>
      <c r="BS210" s="161">
        <f>SUM(BT210:BV210)</f>
      </c>
      <c r="BT210" s="161"/>
      <c r="BU210" s="161"/>
      <c r="BV210" s="161"/>
      <c r="BW210" s="161">
        <f>SUM(BX210:CC210)</f>
      </c>
      <c r="BX210" s="161"/>
      <c r="BY210" s="161"/>
      <c r="BZ210" s="161"/>
      <c r="CA210" s="161"/>
      <c r="CB210" s="161"/>
      <c r="CC210" s="161"/>
      <c r="CD210" s="161"/>
      <c r="CE210" s="161"/>
      <c r="CF210" s="161"/>
      <c r="CG210" s="161"/>
      <c r="CH210" s="161"/>
      <c r="CI210" s="161"/>
      <c r="CJ210" s="161">
        <f>SUM(CK210:CM210)</f>
      </c>
      <c r="CK210" s="161"/>
      <c r="CL210" s="161"/>
      <c r="CM210" s="161"/>
      <c r="CN210" s="161">
        <f>SUM(CO210:CS210)</f>
      </c>
      <c r="CO210" s="161"/>
      <c r="CP210" s="161"/>
      <c r="CQ210" s="161"/>
      <c r="CR210" s="161"/>
      <c r="CS210" s="161"/>
      <c r="CT210" s="161"/>
      <c r="CU210" s="161"/>
      <c r="CV210" s="161"/>
      <c r="CW210" s="161"/>
      <c r="CX210" s="161"/>
      <c r="CY210" s="161"/>
      <c r="CZ210" s="161"/>
      <c r="DA210" s="161"/>
      <c r="DB210" s="161"/>
      <c r="DC210" s="161"/>
      <c r="DD210" s="161"/>
      <c r="DE210" s="161"/>
      <c r="DF210" s="161">
        <f>SUM(DG210:DG210)</f>
      </c>
      <c r="DG210" s="161"/>
      <c r="DH210" s="161"/>
      <c r="DI210" s="161"/>
      <c r="DJ210" s="161">
        <f>SUM(DK210:DP210)</f>
      </c>
      <c r="DK210" s="161"/>
      <c r="DL210" s="161"/>
      <c r="DM210" s="161"/>
      <c r="DN210" s="161"/>
      <c r="DO210" s="161"/>
      <c r="DP210" s="161"/>
      <c r="DQ210" s="161"/>
      <c r="DR210" s="161"/>
      <c r="DS210" s="161"/>
      <c r="DT210" s="161"/>
      <c r="DU210" s="161"/>
      <c r="DV210" s="161"/>
      <c r="DW210" s="161"/>
      <c r="DX210" s="161"/>
      <c r="DY210" s="161"/>
      <c r="DZ210" s="161"/>
      <c r="EA210" s="161"/>
      <c r="EB210" s="161"/>
      <c r="EC210" s="161"/>
      <c r="ED210" s="161"/>
      <c r="EE210" s="161"/>
      <c r="EF210" s="161">
        <f>SUM(EG210:EP210)</f>
      </c>
      <c r="EG210" s="161"/>
      <c r="EH210" s="161"/>
      <c r="EI210" s="161"/>
      <c r="EJ210" s="161"/>
      <c r="EK210" s="161"/>
      <c r="EL210" s="161"/>
      <c r="EM210" s="161"/>
      <c r="EN210" s="161"/>
      <c r="EO210" s="161"/>
      <c r="EP210" s="161"/>
      <c r="EQ210" s="161">
        <f>SUM(ER210:ES210)</f>
      </c>
      <c r="ER210" s="161"/>
      <c r="ES210" s="161"/>
      <c r="ET210" s="161"/>
      <c r="EU210" s="161"/>
      <c r="EV210" s="161"/>
      <c r="EW210" s="161"/>
      <c r="EX210" s="161"/>
      <c r="EY210" s="161"/>
      <c r="EZ210" s="161"/>
      <c r="FA210" s="161"/>
      <c r="FB210" s="161"/>
      <c r="FC210" s="161"/>
      <c r="FD210" s="161"/>
      <c r="FE210" s="161"/>
      <c r="FF210" s="161"/>
      <c r="FG210" s="161"/>
      <c r="FH210" s="163" cm="1">
        <f t="array" ref="FH210">ROW()-ROW(Ongoing[#Headers])</f>
        <v>204</v>
      </c>
      <c r="FI210" s="164" t="s">
        <v>825</v>
      </c>
      <c r="FJ210" s="164" t="s">
        <v>755</v>
      </c>
      <c r="FK210" s="164">
        <v>0</v>
      </c>
      <c r="FL210" s="164" t="s">
        <v>756</v>
      </c>
      <c r="FM210" s="164" t="s">
        <v>790</v>
      </c>
      <c r="FN210" s="164" t="s">
        <v>757</v>
      </c>
      <c r="FO210" s="164" t="s">
        <v>758</v>
      </c>
      <c r="FP210" s="164" t="s">
        <v>759</v>
      </c>
    </row>
    <row r="211" spans="2:172" s="115" customFormat="1" ht="11.25" x14ac:dyDescent="0.2">
      <c r="B211" s="148"/>
      <c r="C211" s="148"/>
      <c r="D211" s="148"/>
      <c r="E211" s="148"/>
      <c r="F211" s="148"/>
      <c r="G211" s="148"/>
      <c r="H211" s="148"/>
      <c r="I211" s="148"/>
      <c r="J211" s="148"/>
      <c r="K211" s="148"/>
      <c r="L211" s="148"/>
      <c r="M211" s="160"/>
      <c r="N211" s="160"/>
      <c r="O211" s="148"/>
      <c r="P211" s="161">
        <f>SUM(Q211:AP211)</f>
      </c>
      <c r="Q211" s="161"/>
      <c r="R211" s="161"/>
      <c r="S211" s="161"/>
      <c r="T211" s="161"/>
      <c r="U211" s="161"/>
      <c r="V211" s="161"/>
      <c r="W211" s="161"/>
      <c r="X211" s="161"/>
      <c r="Y211" s="161"/>
      <c r="Z211" s="161"/>
      <c r="AA211" s="161"/>
      <c r="AB211" s="161"/>
      <c r="AC211" s="161"/>
      <c r="AD211" s="161"/>
      <c r="AE211" s="161"/>
      <c r="AF211" s="161"/>
      <c r="AG211" s="161"/>
      <c r="AH211" s="161"/>
      <c r="AI211" s="161"/>
      <c r="AJ211" s="161"/>
      <c r="AK211" s="161"/>
      <c r="AL211" s="161"/>
      <c r="AM211" s="161"/>
      <c r="AN211" s="161"/>
      <c r="AO211" s="161"/>
      <c r="AP211" s="161"/>
      <c r="AQ211" s="161">
        <f>SUM(AR211:AU211)</f>
      </c>
      <c r="AR211" s="161"/>
      <c r="AS211" s="161"/>
      <c r="AT211" s="161"/>
      <c r="AU211" s="161"/>
      <c r="AV211" s="161">
        <f>SUM(AW211:BH211)</f>
      </c>
      <c r="AW211" s="161"/>
      <c r="AX211" s="161"/>
      <c r="AY211" s="161"/>
      <c r="AZ211" s="161"/>
      <c r="BA211" s="161"/>
      <c r="BB211" s="161"/>
      <c r="BC211" s="161"/>
      <c r="BD211" s="161"/>
      <c r="BE211" s="161"/>
      <c r="BF211" s="161"/>
      <c r="BG211" s="161"/>
      <c r="BH211" s="161"/>
      <c r="BI211" s="161"/>
      <c r="BJ211" s="161"/>
      <c r="BK211" s="161"/>
      <c r="BL211" s="161"/>
      <c r="BM211" s="161"/>
      <c r="BN211" s="161"/>
      <c r="BO211" s="161"/>
      <c r="BP211" s="161"/>
      <c r="BQ211" s="161"/>
      <c r="BR211" s="161"/>
      <c r="BS211" s="161">
        <f>SUM(BT211:BV211)</f>
      </c>
      <c r="BT211" s="161"/>
      <c r="BU211" s="161"/>
      <c r="BV211" s="161"/>
      <c r="BW211" s="161">
        <f>SUM(BX211:CC211)</f>
      </c>
      <c r="BX211" s="161"/>
      <c r="BY211" s="161"/>
      <c r="BZ211" s="161"/>
      <c r="CA211" s="161"/>
      <c r="CB211" s="161"/>
      <c r="CC211" s="161"/>
      <c r="CD211" s="161"/>
      <c r="CE211" s="161"/>
      <c r="CF211" s="161"/>
      <c r="CG211" s="161"/>
      <c r="CH211" s="161"/>
      <c r="CI211" s="161"/>
      <c r="CJ211" s="161">
        <f>SUM(CK211:CM211)</f>
      </c>
      <c r="CK211" s="161"/>
      <c r="CL211" s="161"/>
      <c r="CM211" s="161"/>
      <c r="CN211" s="161">
        <f>SUM(CO211:CS211)</f>
      </c>
      <c r="CO211" s="161"/>
      <c r="CP211" s="161"/>
      <c r="CQ211" s="161"/>
      <c r="CR211" s="161"/>
      <c r="CS211" s="161"/>
      <c r="CT211" s="161"/>
      <c r="CU211" s="161"/>
      <c r="CV211" s="161"/>
      <c r="CW211" s="161"/>
      <c r="CX211" s="161"/>
      <c r="CY211" s="161"/>
      <c r="CZ211" s="161"/>
      <c r="DA211" s="161"/>
      <c r="DB211" s="161"/>
      <c r="DC211" s="161"/>
      <c r="DD211" s="161"/>
      <c r="DE211" s="161"/>
      <c r="DF211" s="161">
        <f>SUM(DG211:DG211)</f>
      </c>
      <c r="DG211" s="161"/>
      <c r="DH211" s="161"/>
      <c r="DI211" s="161"/>
      <c r="DJ211" s="161">
        <f>SUM(DK211:DP211)</f>
      </c>
      <c r="DK211" s="161"/>
      <c r="DL211" s="161"/>
      <c r="DM211" s="161"/>
      <c r="DN211" s="161"/>
      <c r="DO211" s="161"/>
      <c r="DP211" s="161"/>
      <c r="DQ211" s="161"/>
      <c r="DR211" s="161"/>
      <c r="DS211" s="161"/>
      <c r="DT211" s="161"/>
      <c r="DU211" s="161"/>
      <c r="DV211" s="161"/>
      <c r="DW211" s="161"/>
      <c r="DX211" s="161"/>
      <c r="DY211" s="161"/>
      <c r="DZ211" s="161"/>
      <c r="EA211" s="161"/>
      <c r="EB211" s="161"/>
      <c r="EC211" s="161"/>
      <c r="ED211" s="161"/>
      <c r="EE211" s="161"/>
      <c r="EF211" s="161">
        <f>SUM(EG211:EP211)</f>
      </c>
      <c r="EG211" s="161"/>
      <c r="EH211" s="161"/>
      <c r="EI211" s="161"/>
      <c r="EJ211" s="161"/>
      <c r="EK211" s="161"/>
      <c r="EL211" s="161"/>
      <c r="EM211" s="161"/>
      <c r="EN211" s="161"/>
      <c r="EO211" s="161"/>
      <c r="EP211" s="161"/>
      <c r="EQ211" s="161">
        <f>SUM(ER211:ES211)</f>
      </c>
      <c r="ER211" s="161"/>
      <c r="ES211" s="161"/>
      <c r="ET211" s="161"/>
      <c r="EU211" s="161"/>
      <c r="EV211" s="161"/>
      <c r="EW211" s="161"/>
      <c r="EX211" s="161"/>
      <c r="EY211" s="161"/>
      <c r="EZ211" s="161"/>
      <c r="FA211" s="161"/>
      <c r="FB211" s="161"/>
      <c r="FC211" s="161"/>
      <c r="FD211" s="161"/>
      <c r="FE211" s="161"/>
      <c r="FF211" s="161"/>
      <c r="FG211" s="161"/>
      <c r="FH211" s="163" cm="1">
        <f t="array" ref="FH211">ROW()-ROW(Ongoing[#Headers])</f>
        <v>205</v>
      </c>
      <c r="FI211" s="164" t="s">
        <v>825</v>
      </c>
      <c r="FJ211" s="164" t="s">
        <v>755</v>
      </c>
      <c r="FK211" s="164">
        <v>0</v>
      </c>
      <c r="FL211" s="164" t="s">
        <v>756</v>
      </c>
      <c r="FM211" s="164" t="s">
        <v>790</v>
      </c>
      <c r="FN211" s="164" t="s">
        <v>757</v>
      </c>
      <c r="FO211" s="164" t="s">
        <v>758</v>
      </c>
      <c r="FP211" s="164" t="s">
        <v>759</v>
      </c>
    </row>
    <row r="212" spans="2:172" s="115" customFormat="1" ht="11.25" x14ac:dyDescent="0.2">
      <c r="B212" s="148"/>
      <c r="C212" s="148"/>
      <c r="D212" s="148"/>
      <c r="E212" s="148"/>
      <c r="F212" s="148"/>
      <c r="G212" s="148"/>
      <c r="H212" s="148"/>
      <c r="I212" s="148"/>
      <c r="J212" s="148"/>
      <c r="K212" s="148"/>
      <c r="L212" s="148"/>
      <c r="M212" s="160"/>
      <c r="N212" s="160"/>
      <c r="O212" s="148"/>
      <c r="P212" s="161">
        <f>SUM(Q212:AP212)</f>
      </c>
      <c r="Q212" s="161"/>
      <c r="R212" s="161"/>
      <c r="S212" s="161"/>
      <c r="T212" s="161"/>
      <c r="U212" s="161"/>
      <c r="V212" s="161"/>
      <c r="W212" s="161"/>
      <c r="X212" s="161"/>
      <c r="Y212" s="161"/>
      <c r="Z212" s="161"/>
      <c r="AA212" s="161"/>
      <c r="AB212" s="161"/>
      <c r="AC212" s="161"/>
      <c r="AD212" s="161"/>
      <c r="AE212" s="161"/>
      <c r="AF212" s="161"/>
      <c r="AG212" s="161"/>
      <c r="AH212" s="161"/>
      <c r="AI212" s="161"/>
      <c r="AJ212" s="161"/>
      <c r="AK212" s="161"/>
      <c r="AL212" s="161"/>
      <c r="AM212" s="161"/>
      <c r="AN212" s="161"/>
      <c r="AO212" s="161"/>
      <c r="AP212" s="161"/>
      <c r="AQ212" s="161">
        <f>SUM(AR212:AU212)</f>
      </c>
      <c r="AR212" s="161"/>
      <c r="AS212" s="161"/>
      <c r="AT212" s="161"/>
      <c r="AU212" s="161"/>
      <c r="AV212" s="161">
        <f>SUM(AW212:BH212)</f>
      </c>
      <c r="AW212" s="161"/>
      <c r="AX212" s="161"/>
      <c r="AY212" s="161"/>
      <c r="AZ212" s="161"/>
      <c r="BA212" s="161"/>
      <c r="BB212" s="161"/>
      <c r="BC212" s="161"/>
      <c r="BD212" s="161"/>
      <c r="BE212" s="161"/>
      <c r="BF212" s="161"/>
      <c r="BG212" s="161"/>
      <c r="BH212" s="161"/>
      <c r="BI212" s="161"/>
      <c r="BJ212" s="161"/>
      <c r="BK212" s="161"/>
      <c r="BL212" s="161"/>
      <c r="BM212" s="161"/>
      <c r="BN212" s="161"/>
      <c r="BO212" s="161"/>
      <c r="BP212" s="161"/>
      <c r="BQ212" s="161"/>
      <c r="BR212" s="161"/>
      <c r="BS212" s="161">
        <f>SUM(BT212:BV212)</f>
      </c>
      <c r="BT212" s="161"/>
      <c r="BU212" s="161"/>
      <c r="BV212" s="161"/>
      <c r="BW212" s="161">
        <f>SUM(BX212:CC212)</f>
      </c>
      <c r="BX212" s="161"/>
      <c r="BY212" s="161"/>
      <c r="BZ212" s="161"/>
      <c r="CA212" s="161"/>
      <c r="CB212" s="161"/>
      <c r="CC212" s="161"/>
      <c r="CD212" s="161"/>
      <c r="CE212" s="161"/>
      <c r="CF212" s="161"/>
      <c r="CG212" s="161"/>
      <c r="CH212" s="161"/>
      <c r="CI212" s="161"/>
      <c r="CJ212" s="161">
        <f>SUM(CK212:CM212)</f>
      </c>
      <c r="CK212" s="161"/>
      <c r="CL212" s="161"/>
      <c r="CM212" s="161"/>
      <c r="CN212" s="161">
        <f>SUM(CO212:CS212)</f>
      </c>
      <c r="CO212" s="161"/>
      <c r="CP212" s="161"/>
      <c r="CQ212" s="161"/>
      <c r="CR212" s="161"/>
      <c r="CS212" s="161"/>
      <c r="CT212" s="161"/>
      <c r="CU212" s="161"/>
      <c r="CV212" s="161"/>
      <c r="CW212" s="161"/>
      <c r="CX212" s="161"/>
      <c r="CY212" s="161"/>
      <c r="CZ212" s="161"/>
      <c r="DA212" s="161"/>
      <c r="DB212" s="161"/>
      <c r="DC212" s="161"/>
      <c r="DD212" s="161"/>
      <c r="DE212" s="161"/>
      <c r="DF212" s="161">
        <f>SUM(DG212:DG212)</f>
      </c>
      <c r="DG212" s="161"/>
      <c r="DH212" s="161"/>
      <c r="DI212" s="161"/>
      <c r="DJ212" s="161">
        <f>SUM(DK212:DP212)</f>
      </c>
      <c r="DK212" s="161"/>
      <c r="DL212" s="161"/>
      <c r="DM212" s="161"/>
      <c r="DN212" s="161"/>
      <c r="DO212" s="161"/>
      <c r="DP212" s="161"/>
      <c r="DQ212" s="161"/>
      <c r="DR212" s="161"/>
      <c r="DS212" s="161"/>
      <c r="DT212" s="161"/>
      <c r="DU212" s="161"/>
      <c r="DV212" s="161"/>
      <c r="DW212" s="161"/>
      <c r="DX212" s="161"/>
      <c r="DY212" s="161"/>
      <c r="DZ212" s="161"/>
      <c r="EA212" s="161"/>
      <c r="EB212" s="161"/>
      <c r="EC212" s="161"/>
      <c r="ED212" s="161"/>
      <c r="EE212" s="161"/>
      <c r="EF212" s="161">
        <f>SUM(EG212:EP212)</f>
      </c>
      <c r="EG212" s="161"/>
      <c r="EH212" s="161"/>
      <c r="EI212" s="161"/>
      <c r="EJ212" s="161"/>
      <c r="EK212" s="161"/>
      <c r="EL212" s="161"/>
      <c r="EM212" s="161"/>
      <c r="EN212" s="161"/>
      <c r="EO212" s="161"/>
      <c r="EP212" s="161"/>
      <c r="EQ212" s="161">
        <f>SUM(ER212:ES212)</f>
      </c>
      <c r="ER212" s="161"/>
      <c r="ES212" s="161"/>
      <c r="ET212" s="161"/>
      <c r="EU212" s="161"/>
      <c r="EV212" s="161"/>
      <c r="EW212" s="161"/>
      <c r="EX212" s="161"/>
      <c r="EY212" s="161"/>
      <c r="EZ212" s="161"/>
      <c r="FA212" s="161"/>
      <c r="FB212" s="161"/>
      <c r="FC212" s="161"/>
      <c r="FD212" s="161"/>
      <c r="FE212" s="161"/>
      <c r="FF212" s="161"/>
      <c r="FG212" s="161"/>
      <c r="FH212" s="163" cm="1">
        <f t="array" ref="FH212">ROW()-ROW(Ongoing[#Headers])</f>
        <v>206</v>
      </c>
      <c r="FI212" s="164" t="s">
        <v>838</v>
      </c>
      <c r="FJ212" s="164" t="s">
        <v>755</v>
      </c>
      <c r="FK212" s="164">
        <v>0</v>
      </c>
      <c r="FL212" s="164" t="s">
        <v>769</v>
      </c>
      <c r="FM212" s="164">
        <v>0</v>
      </c>
      <c r="FN212" s="164" t="s">
        <v>757</v>
      </c>
      <c r="FO212" s="164" t="s">
        <v>758</v>
      </c>
      <c r="FP212" s="164" t="s">
        <v>759</v>
      </c>
    </row>
    <row r="213" spans="2:172" s="115" customFormat="1" ht="11.25" x14ac:dyDescent="0.2">
      <c r="B213" s="148"/>
      <c r="C213" s="148"/>
      <c r="D213" s="148"/>
      <c r="E213" s="148"/>
      <c r="F213" s="148"/>
      <c r="G213" s="148"/>
      <c r="H213" s="148"/>
      <c r="I213" s="148"/>
      <c r="J213" s="148"/>
      <c r="K213" s="148"/>
      <c r="L213" s="148"/>
      <c r="M213" s="160"/>
      <c r="N213" s="160"/>
      <c r="O213" s="148"/>
      <c r="P213" s="161">
        <f>SUM(Q213:AP213)</f>
      </c>
      <c r="Q213" s="161"/>
      <c r="R213" s="161"/>
      <c r="S213" s="161"/>
      <c r="T213" s="161"/>
      <c r="U213" s="161"/>
      <c r="V213" s="161"/>
      <c r="W213" s="161"/>
      <c r="X213" s="161"/>
      <c r="Y213" s="161"/>
      <c r="Z213" s="161"/>
      <c r="AA213" s="161"/>
      <c r="AB213" s="161"/>
      <c r="AC213" s="161"/>
      <c r="AD213" s="161"/>
      <c r="AE213" s="161"/>
      <c r="AF213" s="161"/>
      <c r="AG213" s="161"/>
      <c r="AH213" s="161"/>
      <c r="AI213" s="161"/>
      <c r="AJ213" s="161"/>
      <c r="AK213" s="161"/>
      <c r="AL213" s="161"/>
      <c r="AM213" s="161"/>
      <c r="AN213" s="161"/>
      <c r="AO213" s="161"/>
      <c r="AP213" s="161"/>
      <c r="AQ213" s="161">
        <f>SUM(AR213:AU213)</f>
      </c>
      <c r="AR213" s="161"/>
      <c r="AS213" s="161"/>
      <c r="AT213" s="161"/>
      <c r="AU213" s="161"/>
      <c r="AV213" s="161">
        <f>SUM(AW213:BH213)</f>
      </c>
      <c r="AW213" s="161"/>
      <c r="AX213" s="161"/>
      <c r="AY213" s="161"/>
      <c r="AZ213" s="161"/>
      <c r="BA213" s="161"/>
      <c r="BB213" s="161"/>
      <c r="BC213" s="161"/>
      <c r="BD213" s="161"/>
      <c r="BE213" s="161"/>
      <c r="BF213" s="161"/>
      <c r="BG213" s="161"/>
      <c r="BH213" s="161"/>
      <c r="BI213" s="161"/>
      <c r="BJ213" s="161"/>
      <c r="BK213" s="161"/>
      <c r="BL213" s="161"/>
      <c r="BM213" s="161"/>
      <c r="BN213" s="161"/>
      <c r="BO213" s="161"/>
      <c r="BP213" s="161"/>
      <c r="BQ213" s="161"/>
      <c r="BR213" s="161"/>
      <c r="BS213" s="161">
        <f>SUM(BT213:BV213)</f>
      </c>
      <c r="BT213" s="161"/>
      <c r="BU213" s="161"/>
      <c r="BV213" s="161"/>
      <c r="BW213" s="161">
        <f>SUM(BX213:CC213)</f>
      </c>
      <c r="BX213" s="161"/>
      <c r="BY213" s="161"/>
      <c r="BZ213" s="161"/>
      <c r="CA213" s="161"/>
      <c r="CB213" s="161"/>
      <c r="CC213" s="161"/>
      <c r="CD213" s="161"/>
      <c r="CE213" s="161"/>
      <c r="CF213" s="161"/>
      <c r="CG213" s="161"/>
      <c r="CH213" s="161"/>
      <c r="CI213" s="161"/>
      <c r="CJ213" s="161">
        <f>SUM(CK213:CM213)</f>
      </c>
      <c r="CK213" s="161"/>
      <c r="CL213" s="161"/>
      <c r="CM213" s="161"/>
      <c r="CN213" s="161">
        <f>SUM(CO213:CS213)</f>
      </c>
      <c r="CO213" s="161"/>
      <c r="CP213" s="161"/>
      <c r="CQ213" s="161"/>
      <c r="CR213" s="161"/>
      <c r="CS213" s="161"/>
      <c r="CT213" s="161"/>
      <c r="CU213" s="161"/>
      <c r="CV213" s="161"/>
      <c r="CW213" s="161"/>
      <c r="CX213" s="161"/>
      <c r="CY213" s="161"/>
      <c r="CZ213" s="161"/>
      <c r="DA213" s="161"/>
      <c r="DB213" s="161"/>
      <c r="DC213" s="161"/>
      <c r="DD213" s="161"/>
      <c r="DE213" s="161"/>
      <c r="DF213" s="161">
        <f>SUM(DG213:DG213)</f>
      </c>
      <c r="DG213" s="161"/>
      <c r="DH213" s="161"/>
      <c r="DI213" s="161"/>
      <c r="DJ213" s="161">
        <f>SUM(DK213:DP213)</f>
      </c>
      <c r="DK213" s="161"/>
      <c r="DL213" s="161"/>
      <c r="DM213" s="161"/>
      <c r="DN213" s="161"/>
      <c r="DO213" s="161"/>
      <c r="DP213" s="161"/>
      <c r="DQ213" s="161"/>
      <c r="DR213" s="161"/>
      <c r="DS213" s="161"/>
      <c r="DT213" s="161"/>
      <c r="DU213" s="161"/>
      <c r="DV213" s="161"/>
      <c r="DW213" s="161"/>
      <c r="DX213" s="161"/>
      <c r="DY213" s="161"/>
      <c r="DZ213" s="161"/>
      <c r="EA213" s="161"/>
      <c r="EB213" s="161"/>
      <c r="EC213" s="161"/>
      <c r="ED213" s="161"/>
      <c r="EE213" s="161"/>
      <c r="EF213" s="161">
        <f>SUM(EG213:EP213)</f>
      </c>
      <c r="EG213" s="161"/>
      <c r="EH213" s="161"/>
      <c r="EI213" s="161"/>
      <c r="EJ213" s="161"/>
      <c r="EK213" s="161"/>
      <c r="EL213" s="161"/>
      <c r="EM213" s="161"/>
      <c r="EN213" s="161"/>
      <c r="EO213" s="161"/>
      <c r="EP213" s="161"/>
      <c r="EQ213" s="161">
        <f>SUM(ER213:ES213)</f>
      </c>
      <c r="ER213" s="161"/>
      <c r="ES213" s="161"/>
      <c r="ET213" s="161"/>
      <c r="EU213" s="161"/>
      <c r="EV213" s="161"/>
      <c r="EW213" s="161"/>
      <c r="EX213" s="161"/>
      <c r="EY213" s="161"/>
      <c r="EZ213" s="161"/>
      <c r="FA213" s="161"/>
      <c r="FB213" s="161"/>
      <c r="FC213" s="161"/>
      <c r="FD213" s="161"/>
      <c r="FE213" s="161"/>
      <c r="FF213" s="161"/>
      <c r="FG213" s="161"/>
      <c r="FH213" s="163" cm="1">
        <f t="array" ref="FH213">ROW()-ROW(Ongoing[#Headers])</f>
        <v>207</v>
      </c>
      <c r="FI213" s="164" t="s">
        <v>838</v>
      </c>
      <c r="FJ213" s="164" t="s">
        <v>755</v>
      </c>
      <c r="FK213" s="164">
        <v>0</v>
      </c>
      <c r="FL213" s="164" t="s">
        <v>769</v>
      </c>
      <c r="FM213" s="164">
        <v>0</v>
      </c>
      <c r="FN213" s="164" t="s">
        <v>757</v>
      </c>
      <c r="FO213" s="164" t="s">
        <v>839</v>
      </c>
      <c r="FP213" s="164" t="s">
        <v>759</v>
      </c>
    </row>
    <row r="214" spans="2:172" s="115" customFormat="1" ht="11.25" x14ac:dyDescent="0.2">
      <c r="B214" s="148"/>
      <c r="C214" s="148"/>
      <c r="D214" s="148"/>
      <c r="E214" s="148"/>
      <c r="F214" s="148"/>
      <c r="G214" s="148"/>
      <c r="H214" s="148"/>
      <c r="I214" s="148"/>
      <c r="J214" s="148"/>
      <c r="K214" s="148"/>
      <c r="L214" s="148"/>
      <c r="M214" s="160"/>
      <c r="N214" s="160"/>
      <c r="O214" s="148"/>
      <c r="P214" s="161">
        <f>SUM(Q214:AP214)</f>
      </c>
      <c r="Q214" s="161"/>
      <c r="R214" s="161"/>
      <c r="S214" s="161"/>
      <c r="T214" s="161"/>
      <c r="U214" s="161"/>
      <c r="V214" s="161"/>
      <c r="W214" s="161"/>
      <c r="X214" s="161"/>
      <c r="Y214" s="161"/>
      <c r="Z214" s="161"/>
      <c r="AA214" s="161"/>
      <c r="AB214" s="161"/>
      <c r="AC214" s="161"/>
      <c r="AD214" s="161"/>
      <c r="AE214" s="161"/>
      <c r="AF214" s="161"/>
      <c r="AG214" s="161"/>
      <c r="AH214" s="161"/>
      <c r="AI214" s="161"/>
      <c r="AJ214" s="161"/>
      <c r="AK214" s="161"/>
      <c r="AL214" s="161"/>
      <c r="AM214" s="161"/>
      <c r="AN214" s="161"/>
      <c r="AO214" s="161"/>
      <c r="AP214" s="161"/>
      <c r="AQ214" s="161">
        <f>SUM(AR214:AU214)</f>
      </c>
      <c r="AR214" s="161"/>
      <c r="AS214" s="161"/>
      <c r="AT214" s="161"/>
      <c r="AU214" s="161"/>
      <c r="AV214" s="161">
        <f>SUM(AW214:BH214)</f>
      </c>
      <c r="AW214" s="161"/>
      <c r="AX214" s="161"/>
      <c r="AY214" s="161"/>
      <c r="AZ214" s="161"/>
      <c r="BA214" s="161"/>
      <c r="BB214" s="161"/>
      <c r="BC214" s="161"/>
      <c r="BD214" s="161"/>
      <c r="BE214" s="161"/>
      <c r="BF214" s="161"/>
      <c r="BG214" s="161"/>
      <c r="BH214" s="161"/>
      <c r="BI214" s="161"/>
      <c r="BJ214" s="161"/>
      <c r="BK214" s="161"/>
      <c r="BL214" s="161"/>
      <c r="BM214" s="161"/>
      <c r="BN214" s="161"/>
      <c r="BO214" s="161"/>
      <c r="BP214" s="161"/>
      <c r="BQ214" s="161"/>
      <c r="BR214" s="161"/>
      <c r="BS214" s="161">
        <f>SUM(BT214:BV214)</f>
      </c>
      <c r="BT214" s="161"/>
      <c r="BU214" s="161"/>
      <c r="BV214" s="161"/>
      <c r="BW214" s="161">
        <f>SUM(BX214:CC214)</f>
      </c>
      <c r="BX214" s="161"/>
      <c r="BY214" s="161"/>
      <c r="BZ214" s="161"/>
      <c r="CA214" s="161"/>
      <c r="CB214" s="161"/>
      <c r="CC214" s="161"/>
      <c r="CD214" s="161"/>
      <c r="CE214" s="161"/>
      <c r="CF214" s="161"/>
      <c r="CG214" s="161"/>
      <c r="CH214" s="161"/>
      <c r="CI214" s="161"/>
      <c r="CJ214" s="161">
        <f>SUM(CK214:CM214)</f>
      </c>
      <c r="CK214" s="161"/>
      <c r="CL214" s="161"/>
      <c r="CM214" s="161"/>
      <c r="CN214" s="161">
        <f>SUM(CO214:CS214)</f>
      </c>
      <c r="CO214" s="161"/>
      <c r="CP214" s="161"/>
      <c r="CQ214" s="161"/>
      <c r="CR214" s="161"/>
      <c r="CS214" s="161"/>
      <c r="CT214" s="161"/>
      <c r="CU214" s="161"/>
      <c r="CV214" s="161"/>
      <c r="CW214" s="161"/>
      <c r="CX214" s="161"/>
      <c r="CY214" s="161"/>
      <c r="CZ214" s="161"/>
      <c r="DA214" s="161"/>
      <c r="DB214" s="161"/>
      <c r="DC214" s="161"/>
      <c r="DD214" s="161"/>
      <c r="DE214" s="161"/>
      <c r="DF214" s="161">
        <f>SUM(DG214:DG214)</f>
      </c>
      <c r="DG214" s="161"/>
      <c r="DH214" s="161"/>
      <c r="DI214" s="161"/>
      <c r="DJ214" s="161">
        <f>SUM(DK214:DP214)</f>
      </c>
      <c r="DK214" s="161"/>
      <c r="DL214" s="161"/>
      <c r="DM214" s="161"/>
      <c r="DN214" s="161"/>
      <c r="DO214" s="161"/>
      <c r="DP214" s="161"/>
      <c r="DQ214" s="161"/>
      <c r="DR214" s="161"/>
      <c r="DS214" s="161"/>
      <c r="DT214" s="161"/>
      <c r="DU214" s="161"/>
      <c r="DV214" s="161"/>
      <c r="DW214" s="161"/>
      <c r="DX214" s="161"/>
      <c r="DY214" s="161"/>
      <c r="DZ214" s="161"/>
      <c r="EA214" s="161"/>
      <c r="EB214" s="161"/>
      <c r="EC214" s="161"/>
      <c r="ED214" s="161"/>
      <c r="EE214" s="161"/>
      <c r="EF214" s="161">
        <f>SUM(EG214:EP214)</f>
      </c>
      <c r="EG214" s="161"/>
      <c r="EH214" s="161"/>
      <c r="EI214" s="161"/>
      <c r="EJ214" s="161"/>
      <c r="EK214" s="161"/>
      <c r="EL214" s="161"/>
      <c r="EM214" s="161"/>
      <c r="EN214" s="161"/>
      <c r="EO214" s="161"/>
      <c r="EP214" s="161"/>
      <c r="EQ214" s="161">
        <f>SUM(ER214:ES214)</f>
      </c>
      <c r="ER214" s="161"/>
      <c r="ES214" s="161"/>
      <c r="ET214" s="161"/>
      <c r="EU214" s="161"/>
      <c r="EV214" s="161"/>
      <c r="EW214" s="161"/>
      <c r="EX214" s="161"/>
      <c r="EY214" s="161"/>
      <c r="EZ214" s="161"/>
      <c r="FA214" s="161"/>
      <c r="FB214" s="161"/>
      <c r="FC214" s="161"/>
      <c r="FD214" s="161"/>
      <c r="FE214" s="161"/>
      <c r="FF214" s="161"/>
      <c r="FG214" s="161"/>
      <c r="FH214" s="163" cm="1">
        <f t="array" ref="FH214">ROW()-ROW(Ongoing[#Headers])</f>
        <v>208</v>
      </c>
      <c r="FI214" s="164" t="s">
        <v>838</v>
      </c>
      <c r="FJ214" s="164" t="s">
        <v>755</v>
      </c>
      <c r="FK214" s="164">
        <v>0</v>
      </c>
      <c r="FL214" s="164" t="s">
        <v>769</v>
      </c>
      <c r="FM214" s="164">
        <v>0</v>
      </c>
      <c r="FN214" s="164" t="s">
        <v>757</v>
      </c>
      <c r="FO214" s="164" t="s">
        <v>839</v>
      </c>
      <c r="FP214" s="164" t="s">
        <v>759</v>
      </c>
    </row>
    <row r="215" spans="2:172" s="115" customFormat="1" ht="11.25" x14ac:dyDescent="0.2">
      <c r="B215" s="148"/>
      <c r="C215" s="148"/>
      <c r="D215" s="148"/>
      <c r="E215" s="148"/>
      <c r="F215" s="148"/>
      <c r="G215" s="148"/>
      <c r="H215" s="148"/>
      <c r="I215" s="148"/>
      <c r="J215" s="148"/>
      <c r="K215" s="148"/>
      <c r="L215" s="148"/>
      <c r="M215" s="160"/>
      <c r="N215" s="160"/>
      <c r="O215" s="148"/>
      <c r="P215" s="161">
        <f>SUM(Q215:AP215)</f>
      </c>
      <c r="Q215" s="161"/>
      <c r="R215" s="161"/>
      <c r="S215" s="161"/>
      <c r="T215" s="161"/>
      <c r="U215" s="161"/>
      <c r="V215" s="161"/>
      <c r="W215" s="161"/>
      <c r="X215" s="161"/>
      <c r="Y215" s="161"/>
      <c r="Z215" s="161"/>
      <c r="AA215" s="161"/>
      <c r="AB215" s="161"/>
      <c r="AC215" s="161"/>
      <c r="AD215" s="161"/>
      <c r="AE215" s="161"/>
      <c r="AF215" s="161"/>
      <c r="AG215" s="161"/>
      <c r="AH215" s="161"/>
      <c r="AI215" s="161"/>
      <c r="AJ215" s="161"/>
      <c r="AK215" s="161"/>
      <c r="AL215" s="161"/>
      <c r="AM215" s="161"/>
      <c r="AN215" s="161"/>
      <c r="AO215" s="161"/>
      <c r="AP215" s="161"/>
      <c r="AQ215" s="161">
        <f>SUM(AR215:AU215)</f>
      </c>
      <c r="AR215" s="161"/>
      <c r="AS215" s="161"/>
      <c r="AT215" s="161"/>
      <c r="AU215" s="161"/>
      <c r="AV215" s="161">
        <f>SUM(AW215:BH215)</f>
      </c>
      <c r="AW215" s="161"/>
      <c r="AX215" s="161"/>
      <c r="AY215" s="161"/>
      <c r="AZ215" s="161"/>
      <c r="BA215" s="161"/>
      <c r="BB215" s="161"/>
      <c r="BC215" s="161"/>
      <c r="BD215" s="161"/>
      <c r="BE215" s="161"/>
      <c r="BF215" s="161"/>
      <c r="BG215" s="161"/>
      <c r="BH215" s="161"/>
      <c r="BI215" s="161"/>
      <c r="BJ215" s="161"/>
      <c r="BK215" s="161"/>
      <c r="BL215" s="161"/>
      <c r="BM215" s="161"/>
      <c r="BN215" s="161"/>
      <c r="BO215" s="161"/>
      <c r="BP215" s="161"/>
      <c r="BQ215" s="161"/>
      <c r="BR215" s="161"/>
      <c r="BS215" s="161">
        <f>SUM(BT215:BV215)</f>
      </c>
      <c r="BT215" s="161"/>
      <c r="BU215" s="161"/>
      <c r="BV215" s="161"/>
      <c r="BW215" s="161">
        <f>SUM(BX215:CC215)</f>
      </c>
      <c r="BX215" s="161"/>
      <c r="BY215" s="161"/>
      <c r="BZ215" s="161"/>
      <c r="CA215" s="161"/>
      <c r="CB215" s="161"/>
      <c r="CC215" s="161"/>
      <c r="CD215" s="161"/>
      <c r="CE215" s="161"/>
      <c r="CF215" s="161"/>
      <c r="CG215" s="161"/>
      <c r="CH215" s="161"/>
      <c r="CI215" s="161"/>
      <c r="CJ215" s="161">
        <f>SUM(CK215:CM215)</f>
      </c>
      <c r="CK215" s="161"/>
      <c r="CL215" s="161"/>
      <c r="CM215" s="161"/>
      <c r="CN215" s="161">
        <f>SUM(CO215:CS215)</f>
      </c>
      <c r="CO215" s="161"/>
      <c r="CP215" s="161"/>
      <c r="CQ215" s="161"/>
      <c r="CR215" s="161"/>
      <c r="CS215" s="161"/>
      <c r="CT215" s="161"/>
      <c r="CU215" s="161"/>
      <c r="CV215" s="161"/>
      <c r="CW215" s="161"/>
      <c r="CX215" s="161"/>
      <c r="CY215" s="161"/>
      <c r="CZ215" s="161"/>
      <c r="DA215" s="161"/>
      <c r="DB215" s="161"/>
      <c r="DC215" s="161"/>
      <c r="DD215" s="161"/>
      <c r="DE215" s="161"/>
      <c r="DF215" s="161">
        <f>SUM(DG215:DG215)</f>
      </c>
      <c r="DG215" s="161"/>
      <c r="DH215" s="161"/>
      <c r="DI215" s="161"/>
      <c r="DJ215" s="161">
        <f>SUM(DK215:DP215)</f>
      </c>
      <c r="DK215" s="161"/>
      <c r="DL215" s="161"/>
      <c r="DM215" s="161"/>
      <c r="DN215" s="161"/>
      <c r="DO215" s="161"/>
      <c r="DP215" s="161"/>
      <c r="DQ215" s="161"/>
      <c r="DR215" s="161"/>
      <c r="DS215" s="161"/>
      <c r="DT215" s="161"/>
      <c r="DU215" s="161"/>
      <c r="DV215" s="161"/>
      <c r="DW215" s="161"/>
      <c r="DX215" s="161"/>
      <c r="DY215" s="161"/>
      <c r="DZ215" s="161"/>
      <c r="EA215" s="161"/>
      <c r="EB215" s="161"/>
      <c r="EC215" s="161"/>
      <c r="ED215" s="161"/>
      <c r="EE215" s="161"/>
      <c r="EF215" s="161">
        <f>SUM(EG215:EP215)</f>
      </c>
      <c r="EG215" s="161"/>
      <c r="EH215" s="161"/>
      <c r="EI215" s="161"/>
      <c r="EJ215" s="161"/>
      <c r="EK215" s="161"/>
      <c r="EL215" s="161"/>
      <c r="EM215" s="161"/>
      <c r="EN215" s="161"/>
      <c r="EO215" s="161"/>
      <c r="EP215" s="161"/>
      <c r="EQ215" s="161">
        <f>SUM(ER215:ES215)</f>
      </c>
      <c r="ER215" s="161"/>
      <c r="ES215" s="161"/>
      <c r="ET215" s="161"/>
      <c r="EU215" s="161"/>
      <c r="EV215" s="161"/>
      <c r="EW215" s="161"/>
      <c r="EX215" s="161"/>
      <c r="EY215" s="161"/>
      <c r="EZ215" s="161"/>
      <c r="FA215" s="161"/>
      <c r="FB215" s="161"/>
      <c r="FC215" s="161"/>
      <c r="FD215" s="161"/>
      <c r="FE215" s="161"/>
      <c r="FF215" s="161"/>
      <c r="FG215" s="161"/>
      <c r="FH215" s="163" cm="1">
        <f t="array" ref="FH215">ROW()-ROW(Ongoing[#Headers])</f>
        <v>209</v>
      </c>
      <c r="FI215" s="164" t="s">
        <v>838</v>
      </c>
      <c r="FJ215" s="164" t="s">
        <v>755</v>
      </c>
      <c r="FK215" s="164">
        <v>0</v>
      </c>
      <c r="FL215" s="164" t="s">
        <v>769</v>
      </c>
      <c r="FM215" s="164">
        <v>0</v>
      </c>
      <c r="FN215" s="164" t="s">
        <v>757</v>
      </c>
      <c r="FO215" s="164" t="s">
        <v>839</v>
      </c>
      <c r="FP215" s="164" t="s">
        <v>759</v>
      </c>
    </row>
    <row r="216" spans="2:172" s="115" customFormat="1" ht="11.25" x14ac:dyDescent="0.2">
      <c r="B216" s="148"/>
      <c r="C216" s="148"/>
      <c r="D216" s="148"/>
      <c r="E216" s="148"/>
      <c r="F216" s="148"/>
      <c r="G216" s="148"/>
      <c r="H216" s="148"/>
      <c r="I216" s="148"/>
      <c r="J216" s="148"/>
      <c r="K216" s="148"/>
      <c r="L216" s="148"/>
      <c r="M216" s="160"/>
      <c r="N216" s="160"/>
      <c r="O216" s="148"/>
      <c r="P216" s="161">
        <f>SUM(Q216:AP216)</f>
      </c>
      <c r="Q216" s="161"/>
      <c r="R216" s="161"/>
      <c r="S216" s="161"/>
      <c r="T216" s="161"/>
      <c r="U216" s="161"/>
      <c r="V216" s="161"/>
      <c r="W216" s="161"/>
      <c r="X216" s="161"/>
      <c r="Y216" s="161"/>
      <c r="Z216" s="161"/>
      <c r="AA216" s="161"/>
      <c r="AB216" s="161"/>
      <c r="AC216" s="161"/>
      <c r="AD216" s="161"/>
      <c r="AE216" s="161"/>
      <c r="AF216" s="161"/>
      <c r="AG216" s="161"/>
      <c r="AH216" s="161"/>
      <c r="AI216" s="161"/>
      <c r="AJ216" s="161"/>
      <c r="AK216" s="161"/>
      <c r="AL216" s="161"/>
      <c r="AM216" s="161"/>
      <c r="AN216" s="161"/>
      <c r="AO216" s="161"/>
      <c r="AP216" s="161"/>
      <c r="AQ216" s="161">
        <f>SUM(AR216:AU216)</f>
      </c>
      <c r="AR216" s="161"/>
      <c r="AS216" s="161"/>
      <c r="AT216" s="161"/>
      <c r="AU216" s="161"/>
      <c r="AV216" s="161">
        <f>SUM(AW216:BH216)</f>
      </c>
      <c r="AW216" s="161"/>
      <c r="AX216" s="161"/>
      <c r="AY216" s="161"/>
      <c r="AZ216" s="161"/>
      <c r="BA216" s="161"/>
      <c r="BB216" s="161"/>
      <c r="BC216" s="161"/>
      <c r="BD216" s="161"/>
      <c r="BE216" s="161"/>
      <c r="BF216" s="161"/>
      <c r="BG216" s="161"/>
      <c r="BH216" s="161"/>
      <c r="BI216" s="161"/>
      <c r="BJ216" s="161"/>
      <c r="BK216" s="161"/>
      <c r="BL216" s="161"/>
      <c r="BM216" s="161"/>
      <c r="BN216" s="161"/>
      <c r="BO216" s="161"/>
      <c r="BP216" s="161"/>
      <c r="BQ216" s="161"/>
      <c r="BR216" s="161"/>
      <c r="BS216" s="161">
        <f>SUM(BT216:BV216)</f>
      </c>
      <c r="BT216" s="161"/>
      <c r="BU216" s="161"/>
      <c r="BV216" s="161"/>
      <c r="BW216" s="161">
        <f>SUM(BX216:CC216)</f>
      </c>
      <c r="BX216" s="161"/>
      <c r="BY216" s="161"/>
      <c r="BZ216" s="161"/>
      <c r="CA216" s="161"/>
      <c r="CB216" s="161"/>
      <c r="CC216" s="161"/>
      <c r="CD216" s="161"/>
      <c r="CE216" s="161"/>
      <c r="CF216" s="161"/>
      <c r="CG216" s="161"/>
      <c r="CH216" s="161"/>
      <c r="CI216" s="161"/>
      <c r="CJ216" s="161">
        <f>SUM(CK216:CM216)</f>
      </c>
      <c r="CK216" s="161"/>
      <c r="CL216" s="161"/>
      <c r="CM216" s="161"/>
      <c r="CN216" s="161">
        <f>SUM(CO216:CS216)</f>
      </c>
      <c r="CO216" s="161"/>
      <c r="CP216" s="161"/>
      <c r="CQ216" s="161"/>
      <c r="CR216" s="161"/>
      <c r="CS216" s="161"/>
      <c r="CT216" s="161"/>
      <c r="CU216" s="161"/>
      <c r="CV216" s="161"/>
      <c r="CW216" s="161"/>
      <c r="CX216" s="161"/>
      <c r="CY216" s="161"/>
      <c r="CZ216" s="161"/>
      <c r="DA216" s="161"/>
      <c r="DB216" s="161"/>
      <c r="DC216" s="161"/>
      <c r="DD216" s="161"/>
      <c r="DE216" s="161"/>
      <c r="DF216" s="161">
        <f>SUM(DG216:DG216)</f>
      </c>
      <c r="DG216" s="161"/>
      <c r="DH216" s="161"/>
      <c r="DI216" s="161"/>
      <c r="DJ216" s="161">
        <f>SUM(DK216:DP216)</f>
      </c>
      <c r="DK216" s="161"/>
      <c r="DL216" s="161"/>
      <c r="DM216" s="161"/>
      <c r="DN216" s="161"/>
      <c r="DO216" s="161"/>
      <c r="DP216" s="161"/>
      <c r="DQ216" s="161"/>
      <c r="DR216" s="161"/>
      <c r="DS216" s="161"/>
      <c r="DT216" s="161"/>
      <c r="DU216" s="161"/>
      <c r="DV216" s="161"/>
      <c r="DW216" s="161"/>
      <c r="DX216" s="161"/>
      <c r="DY216" s="161"/>
      <c r="DZ216" s="161"/>
      <c r="EA216" s="161"/>
      <c r="EB216" s="161"/>
      <c r="EC216" s="161"/>
      <c r="ED216" s="161"/>
      <c r="EE216" s="161"/>
      <c r="EF216" s="161">
        <f>SUM(EG216:EP216)</f>
      </c>
      <c r="EG216" s="161"/>
      <c r="EH216" s="161"/>
      <c r="EI216" s="161"/>
      <c r="EJ216" s="161"/>
      <c r="EK216" s="161"/>
      <c r="EL216" s="161"/>
      <c r="EM216" s="161"/>
      <c r="EN216" s="161"/>
      <c r="EO216" s="161"/>
      <c r="EP216" s="161"/>
      <c r="EQ216" s="161">
        <f>SUM(ER216:ES216)</f>
      </c>
      <c r="ER216" s="161"/>
      <c r="ES216" s="161"/>
      <c r="ET216" s="161"/>
      <c r="EU216" s="161"/>
      <c r="EV216" s="161"/>
      <c r="EW216" s="161"/>
      <c r="EX216" s="161"/>
      <c r="EY216" s="161"/>
      <c r="EZ216" s="161"/>
      <c r="FA216" s="161"/>
      <c r="FB216" s="161"/>
      <c r="FC216" s="161"/>
      <c r="FD216" s="161"/>
      <c r="FE216" s="161"/>
      <c r="FF216" s="161"/>
      <c r="FG216" s="161"/>
      <c r="FH216" s="163" cm="1">
        <f t="array" ref="FH216">ROW()-ROW(Ongoing[#Headers])</f>
        <v>210</v>
      </c>
      <c r="FI216" s="164" t="s">
        <v>838</v>
      </c>
      <c r="FJ216" s="164" t="s">
        <v>755</v>
      </c>
      <c r="FK216" s="164">
        <v>0</v>
      </c>
      <c r="FL216" s="164" t="s">
        <v>769</v>
      </c>
      <c r="FM216" s="164">
        <v>0</v>
      </c>
      <c r="FN216" s="164" t="s">
        <v>757</v>
      </c>
      <c r="FO216" s="164" t="s">
        <v>839</v>
      </c>
      <c r="FP216" s="164" t="s">
        <v>759</v>
      </c>
    </row>
    <row r="217" spans="2:172" s="115" customFormat="1" ht="11.25" x14ac:dyDescent="0.2">
      <c r="B217" s="148"/>
      <c r="C217" s="148"/>
      <c r="D217" s="148"/>
      <c r="E217" s="148"/>
      <c r="F217" s="148"/>
      <c r="G217" s="148"/>
      <c r="H217" s="148"/>
      <c r="I217" s="148"/>
      <c r="J217" s="148"/>
      <c r="K217" s="148"/>
      <c r="L217" s="148"/>
      <c r="M217" s="160"/>
      <c r="N217" s="160"/>
      <c r="O217" s="148"/>
      <c r="P217" s="161">
        <f>SUM(Q217:AP217)</f>
      </c>
      <c r="Q217" s="161"/>
      <c r="R217" s="161"/>
      <c r="S217" s="161"/>
      <c r="T217" s="161"/>
      <c r="U217" s="161"/>
      <c r="V217" s="161"/>
      <c r="W217" s="161"/>
      <c r="X217" s="161"/>
      <c r="Y217" s="161"/>
      <c r="Z217" s="161"/>
      <c r="AA217" s="161"/>
      <c r="AB217" s="161"/>
      <c r="AC217" s="161"/>
      <c r="AD217" s="161"/>
      <c r="AE217" s="161"/>
      <c r="AF217" s="161"/>
      <c r="AG217" s="161"/>
      <c r="AH217" s="161"/>
      <c r="AI217" s="161"/>
      <c r="AJ217" s="161"/>
      <c r="AK217" s="161"/>
      <c r="AL217" s="161"/>
      <c r="AM217" s="161"/>
      <c r="AN217" s="161"/>
      <c r="AO217" s="161"/>
      <c r="AP217" s="161"/>
      <c r="AQ217" s="161">
        <f>SUM(AR217:AU217)</f>
      </c>
      <c r="AR217" s="161"/>
      <c r="AS217" s="161"/>
      <c r="AT217" s="161"/>
      <c r="AU217" s="161"/>
      <c r="AV217" s="161">
        <f>SUM(AW217:BH217)</f>
      </c>
      <c r="AW217" s="161"/>
      <c r="AX217" s="161"/>
      <c r="AY217" s="161"/>
      <c r="AZ217" s="161"/>
      <c r="BA217" s="161"/>
      <c r="BB217" s="161"/>
      <c r="BC217" s="161"/>
      <c r="BD217" s="161"/>
      <c r="BE217" s="161"/>
      <c r="BF217" s="161"/>
      <c r="BG217" s="161"/>
      <c r="BH217" s="161"/>
      <c r="BI217" s="161"/>
      <c r="BJ217" s="161"/>
      <c r="BK217" s="161"/>
      <c r="BL217" s="161"/>
      <c r="BM217" s="161"/>
      <c r="BN217" s="161"/>
      <c r="BO217" s="161"/>
      <c r="BP217" s="161"/>
      <c r="BQ217" s="161"/>
      <c r="BR217" s="161"/>
      <c r="BS217" s="161">
        <f>SUM(BT217:BV217)</f>
      </c>
      <c r="BT217" s="161"/>
      <c r="BU217" s="161"/>
      <c r="BV217" s="161"/>
      <c r="BW217" s="161">
        <f>SUM(BX217:CC217)</f>
      </c>
      <c r="BX217" s="161"/>
      <c r="BY217" s="161"/>
      <c r="BZ217" s="161"/>
      <c r="CA217" s="161"/>
      <c r="CB217" s="161"/>
      <c r="CC217" s="161"/>
      <c r="CD217" s="161"/>
      <c r="CE217" s="161"/>
      <c r="CF217" s="161"/>
      <c r="CG217" s="161"/>
      <c r="CH217" s="161"/>
      <c r="CI217" s="161"/>
      <c r="CJ217" s="161">
        <f>SUM(CK217:CM217)</f>
      </c>
      <c r="CK217" s="161"/>
      <c r="CL217" s="161"/>
      <c r="CM217" s="161"/>
      <c r="CN217" s="161">
        <f>SUM(CO217:CS217)</f>
      </c>
      <c r="CO217" s="161"/>
      <c r="CP217" s="161"/>
      <c r="CQ217" s="161"/>
      <c r="CR217" s="161"/>
      <c r="CS217" s="161"/>
      <c r="CT217" s="161"/>
      <c r="CU217" s="161"/>
      <c r="CV217" s="161"/>
      <c r="CW217" s="161"/>
      <c r="CX217" s="161"/>
      <c r="CY217" s="161"/>
      <c r="CZ217" s="161"/>
      <c r="DA217" s="161"/>
      <c r="DB217" s="161"/>
      <c r="DC217" s="161"/>
      <c r="DD217" s="161"/>
      <c r="DE217" s="161"/>
      <c r="DF217" s="161">
        <f>SUM(DG217:DG217)</f>
      </c>
      <c r="DG217" s="161"/>
      <c r="DH217" s="161"/>
      <c r="DI217" s="161"/>
      <c r="DJ217" s="161">
        <f>SUM(DK217:DP217)</f>
      </c>
      <c r="DK217" s="161"/>
      <c r="DL217" s="161"/>
      <c r="DM217" s="161"/>
      <c r="DN217" s="161"/>
      <c r="DO217" s="161"/>
      <c r="DP217" s="161"/>
      <c r="DQ217" s="161"/>
      <c r="DR217" s="161"/>
      <c r="DS217" s="161"/>
      <c r="DT217" s="161"/>
      <c r="DU217" s="161"/>
      <c r="DV217" s="161"/>
      <c r="DW217" s="161"/>
      <c r="DX217" s="161"/>
      <c r="DY217" s="161"/>
      <c r="DZ217" s="161"/>
      <c r="EA217" s="161"/>
      <c r="EB217" s="161"/>
      <c r="EC217" s="161"/>
      <c r="ED217" s="161"/>
      <c r="EE217" s="161"/>
      <c r="EF217" s="161">
        <f>SUM(EG217:EP217)</f>
      </c>
      <c r="EG217" s="161"/>
      <c r="EH217" s="161"/>
      <c r="EI217" s="161"/>
      <c r="EJ217" s="161"/>
      <c r="EK217" s="161"/>
      <c r="EL217" s="161"/>
      <c r="EM217" s="161"/>
      <c r="EN217" s="161"/>
      <c r="EO217" s="161"/>
      <c r="EP217" s="161"/>
      <c r="EQ217" s="161">
        <f>SUM(ER217:ES217)</f>
      </c>
      <c r="ER217" s="161"/>
      <c r="ES217" s="161"/>
      <c r="ET217" s="161"/>
      <c r="EU217" s="161"/>
      <c r="EV217" s="161"/>
      <c r="EW217" s="161"/>
      <c r="EX217" s="161"/>
      <c r="EY217" s="161"/>
      <c r="EZ217" s="161"/>
      <c r="FA217" s="161"/>
      <c r="FB217" s="161"/>
      <c r="FC217" s="161"/>
      <c r="FD217" s="161"/>
      <c r="FE217" s="161"/>
      <c r="FF217" s="161"/>
      <c r="FG217" s="161"/>
      <c r="FH217" s="163" cm="1">
        <f t="array" ref="FH217">ROW()-ROW(Ongoing[#Headers])</f>
        <v>211</v>
      </c>
      <c r="FI217" s="164" t="s">
        <v>838</v>
      </c>
      <c r="FJ217" s="164" t="s">
        <v>755</v>
      </c>
      <c r="FK217" s="164">
        <v>0</v>
      </c>
      <c r="FL217" s="164" t="s">
        <v>769</v>
      </c>
      <c r="FM217" s="164">
        <v>0</v>
      </c>
      <c r="FN217" s="164" t="s">
        <v>757</v>
      </c>
      <c r="FO217" s="164" t="s">
        <v>839</v>
      </c>
      <c r="FP217" s="164" t="s">
        <v>759</v>
      </c>
    </row>
    <row r="218" spans="2:172" s="115" customFormat="1" ht="11.25" x14ac:dyDescent="0.2">
      <c r="B218" s="148"/>
      <c r="C218" s="148"/>
      <c r="D218" s="148"/>
      <c r="E218" s="148"/>
      <c r="F218" s="148"/>
      <c r="G218" s="148"/>
      <c r="H218" s="148"/>
      <c r="I218" s="148"/>
      <c r="J218" s="148"/>
      <c r="K218" s="148"/>
      <c r="L218" s="148"/>
      <c r="M218" s="160"/>
      <c r="N218" s="160"/>
      <c r="O218" s="148"/>
      <c r="P218" s="161">
        <f>SUM(Q218:AP218)</f>
      </c>
      <c r="Q218" s="161"/>
      <c r="R218" s="161"/>
      <c r="S218" s="161"/>
      <c r="T218" s="161"/>
      <c r="U218" s="161"/>
      <c r="V218" s="161"/>
      <c r="W218" s="161"/>
      <c r="X218" s="161"/>
      <c r="Y218" s="161"/>
      <c r="Z218" s="161"/>
      <c r="AA218" s="161"/>
      <c r="AB218" s="161"/>
      <c r="AC218" s="161"/>
      <c r="AD218" s="161"/>
      <c r="AE218" s="161"/>
      <c r="AF218" s="161"/>
      <c r="AG218" s="161"/>
      <c r="AH218" s="161"/>
      <c r="AI218" s="161"/>
      <c r="AJ218" s="161"/>
      <c r="AK218" s="161"/>
      <c r="AL218" s="161"/>
      <c r="AM218" s="161"/>
      <c r="AN218" s="161"/>
      <c r="AO218" s="161"/>
      <c r="AP218" s="161"/>
      <c r="AQ218" s="161">
        <f>SUM(AR218:AU218)</f>
      </c>
      <c r="AR218" s="161"/>
      <c r="AS218" s="161"/>
      <c r="AT218" s="161"/>
      <c r="AU218" s="161"/>
      <c r="AV218" s="161">
        <f>SUM(AW218:BH218)</f>
      </c>
      <c r="AW218" s="161"/>
      <c r="AX218" s="161"/>
      <c r="AY218" s="161"/>
      <c r="AZ218" s="161"/>
      <c r="BA218" s="161"/>
      <c r="BB218" s="161"/>
      <c r="BC218" s="161"/>
      <c r="BD218" s="161"/>
      <c r="BE218" s="161"/>
      <c r="BF218" s="161"/>
      <c r="BG218" s="161"/>
      <c r="BH218" s="161"/>
      <c r="BI218" s="161"/>
      <c r="BJ218" s="161"/>
      <c r="BK218" s="161"/>
      <c r="BL218" s="161"/>
      <c r="BM218" s="161"/>
      <c r="BN218" s="161"/>
      <c r="BO218" s="161"/>
      <c r="BP218" s="161"/>
      <c r="BQ218" s="161"/>
      <c r="BR218" s="161"/>
      <c r="BS218" s="161">
        <f>SUM(BT218:BV218)</f>
      </c>
      <c r="BT218" s="161"/>
      <c r="BU218" s="161"/>
      <c r="BV218" s="161"/>
      <c r="BW218" s="161">
        <f>SUM(BX218:CC218)</f>
      </c>
      <c r="BX218" s="161"/>
      <c r="BY218" s="161"/>
      <c r="BZ218" s="161"/>
      <c r="CA218" s="161"/>
      <c r="CB218" s="161"/>
      <c r="CC218" s="161"/>
      <c r="CD218" s="161"/>
      <c r="CE218" s="161"/>
      <c r="CF218" s="161"/>
      <c r="CG218" s="161"/>
      <c r="CH218" s="161"/>
      <c r="CI218" s="161"/>
      <c r="CJ218" s="161">
        <f>SUM(CK218:CM218)</f>
      </c>
      <c r="CK218" s="161"/>
      <c r="CL218" s="161"/>
      <c r="CM218" s="161"/>
      <c r="CN218" s="161">
        <f>SUM(CO218:CS218)</f>
      </c>
      <c r="CO218" s="161"/>
      <c r="CP218" s="161"/>
      <c r="CQ218" s="161"/>
      <c r="CR218" s="161"/>
      <c r="CS218" s="161"/>
      <c r="CT218" s="161"/>
      <c r="CU218" s="161"/>
      <c r="CV218" s="161"/>
      <c r="CW218" s="161"/>
      <c r="CX218" s="161"/>
      <c r="CY218" s="161"/>
      <c r="CZ218" s="161"/>
      <c r="DA218" s="161"/>
      <c r="DB218" s="161"/>
      <c r="DC218" s="161"/>
      <c r="DD218" s="161"/>
      <c r="DE218" s="161"/>
      <c r="DF218" s="161">
        <f>SUM(DG218:DG218)</f>
      </c>
      <c r="DG218" s="161"/>
      <c r="DH218" s="161"/>
      <c r="DI218" s="161"/>
      <c r="DJ218" s="161">
        <f>SUM(DK218:DP218)</f>
      </c>
      <c r="DK218" s="161"/>
      <c r="DL218" s="161"/>
      <c r="DM218" s="161"/>
      <c r="DN218" s="161"/>
      <c r="DO218" s="161"/>
      <c r="DP218" s="161"/>
      <c r="DQ218" s="161"/>
      <c r="DR218" s="161"/>
      <c r="DS218" s="161"/>
      <c r="DT218" s="161"/>
      <c r="DU218" s="161"/>
      <c r="DV218" s="161"/>
      <c r="DW218" s="161"/>
      <c r="DX218" s="161"/>
      <c r="DY218" s="161"/>
      <c r="DZ218" s="161"/>
      <c r="EA218" s="161"/>
      <c r="EB218" s="161"/>
      <c r="EC218" s="161"/>
      <c r="ED218" s="161"/>
      <c r="EE218" s="161"/>
      <c r="EF218" s="161">
        <f>SUM(EG218:EP218)</f>
      </c>
      <c r="EG218" s="161"/>
      <c r="EH218" s="161"/>
      <c r="EI218" s="161"/>
      <c r="EJ218" s="161"/>
      <c r="EK218" s="161"/>
      <c r="EL218" s="161"/>
      <c r="EM218" s="161"/>
      <c r="EN218" s="161"/>
      <c r="EO218" s="161"/>
      <c r="EP218" s="161"/>
      <c r="EQ218" s="161">
        <f>SUM(ER218:ES218)</f>
      </c>
      <c r="ER218" s="161"/>
      <c r="ES218" s="161"/>
      <c r="ET218" s="161"/>
      <c r="EU218" s="161"/>
      <c r="EV218" s="161"/>
      <c r="EW218" s="161"/>
      <c r="EX218" s="161"/>
      <c r="EY218" s="161"/>
      <c r="EZ218" s="161"/>
      <c r="FA218" s="161"/>
      <c r="FB218" s="161"/>
      <c r="FC218" s="161"/>
      <c r="FD218" s="161"/>
      <c r="FE218" s="161"/>
      <c r="FF218" s="161"/>
      <c r="FG218" s="161"/>
      <c r="FH218" s="163" cm="1">
        <f t="array" ref="FH218">ROW()-ROW(Ongoing[#Headers])</f>
        <v>212</v>
      </c>
      <c r="FI218" s="164" t="s">
        <v>838</v>
      </c>
      <c r="FJ218" s="164" t="s">
        <v>755</v>
      </c>
      <c r="FK218" s="164">
        <v>0</v>
      </c>
      <c r="FL218" s="164" t="s">
        <v>769</v>
      </c>
      <c r="FM218" s="164">
        <v>0</v>
      </c>
      <c r="FN218" s="164" t="s">
        <v>757</v>
      </c>
      <c r="FO218" s="164" t="s">
        <v>839</v>
      </c>
      <c r="FP218" s="164" t="s">
        <v>759</v>
      </c>
    </row>
    <row r="219" spans="2:172" s="115" customFormat="1" ht="11.25" x14ac:dyDescent="0.2">
      <c r="B219" s="148"/>
      <c r="C219" s="148"/>
      <c r="D219" s="148"/>
      <c r="E219" s="148"/>
      <c r="F219" s="148"/>
      <c r="G219" s="148"/>
      <c r="H219" s="148"/>
      <c r="I219" s="148"/>
      <c r="J219" s="148"/>
      <c r="K219" s="148"/>
      <c r="L219" s="148"/>
      <c r="M219" s="160"/>
      <c r="N219" s="160"/>
      <c r="O219" s="148"/>
      <c r="P219" s="161">
        <f>SUM(Q219:AP219)</f>
      </c>
      <c r="Q219" s="161"/>
      <c r="R219" s="161"/>
      <c r="S219" s="161"/>
      <c r="T219" s="161"/>
      <c r="U219" s="161"/>
      <c r="V219" s="161"/>
      <c r="W219" s="161"/>
      <c r="X219" s="161"/>
      <c r="Y219" s="161"/>
      <c r="Z219" s="161"/>
      <c r="AA219" s="161"/>
      <c r="AB219" s="161"/>
      <c r="AC219" s="161"/>
      <c r="AD219" s="161"/>
      <c r="AE219" s="161"/>
      <c r="AF219" s="161"/>
      <c r="AG219" s="161"/>
      <c r="AH219" s="161"/>
      <c r="AI219" s="161"/>
      <c r="AJ219" s="161"/>
      <c r="AK219" s="161"/>
      <c r="AL219" s="161"/>
      <c r="AM219" s="161"/>
      <c r="AN219" s="161"/>
      <c r="AO219" s="161"/>
      <c r="AP219" s="161"/>
      <c r="AQ219" s="161">
        <f>SUM(AR219:AU219)</f>
      </c>
      <c r="AR219" s="161"/>
      <c r="AS219" s="161"/>
      <c r="AT219" s="161"/>
      <c r="AU219" s="161"/>
      <c r="AV219" s="161">
        <f>SUM(AW219:BH219)</f>
      </c>
      <c r="AW219" s="161"/>
      <c r="AX219" s="161"/>
      <c r="AY219" s="161"/>
      <c r="AZ219" s="161"/>
      <c r="BA219" s="161"/>
      <c r="BB219" s="161"/>
      <c r="BC219" s="161"/>
      <c r="BD219" s="161"/>
      <c r="BE219" s="161"/>
      <c r="BF219" s="161"/>
      <c r="BG219" s="161"/>
      <c r="BH219" s="161"/>
      <c r="BI219" s="161"/>
      <c r="BJ219" s="161"/>
      <c r="BK219" s="161"/>
      <c r="BL219" s="161"/>
      <c r="BM219" s="161"/>
      <c r="BN219" s="161"/>
      <c r="BO219" s="161"/>
      <c r="BP219" s="161"/>
      <c r="BQ219" s="161"/>
      <c r="BR219" s="161"/>
      <c r="BS219" s="161">
        <f>SUM(BT219:BV219)</f>
      </c>
      <c r="BT219" s="161"/>
      <c r="BU219" s="161"/>
      <c r="BV219" s="161"/>
      <c r="BW219" s="161">
        <f>SUM(BX219:CC219)</f>
      </c>
      <c r="BX219" s="161"/>
      <c r="BY219" s="161"/>
      <c r="BZ219" s="161"/>
      <c r="CA219" s="161"/>
      <c r="CB219" s="161"/>
      <c r="CC219" s="161"/>
      <c r="CD219" s="161"/>
      <c r="CE219" s="161"/>
      <c r="CF219" s="161"/>
      <c r="CG219" s="161"/>
      <c r="CH219" s="161"/>
      <c r="CI219" s="161"/>
      <c r="CJ219" s="161">
        <f>SUM(CK219:CM219)</f>
      </c>
      <c r="CK219" s="161"/>
      <c r="CL219" s="161"/>
      <c r="CM219" s="161"/>
      <c r="CN219" s="161">
        <f>SUM(CO219:CS219)</f>
      </c>
      <c r="CO219" s="161"/>
      <c r="CP219" s="161"/>
      <c r="CQ219" s="161"/>
      <c r="CR219" s="161"/>
      <c r="CS219" s="161"/>
      <c r="CT219" s="161"/>
      <c r="CU219" s="161"/>
      <c r="CV219" s="161"/>
      <c r="CW219" s="161"/>
      <c r="CX219" s="161"/>
      <c r="CY219" s="161"/>
      <c r="CZ219" s="161"/>
      <c r="DA219" s="161"/>
      <c r="DB219" s="161"/>
      <c r="DC219" s="161"/>
      <c r="DD219" s="161"/>
      <c r="DE219" s="161"/>
      <c r="DF219" s="161">
        <f>SUM(DG219:DG219)</f>
      </c>
      <c r="DG219" s="161"/>
      <c r="DH219" s="161"/>
      <c r="DI219" s="161"/>
      <c r="DJ219" s="161">
        <f>SUM(DK219:DP219)</f>
      </c>
      <c r="DK219" s="161"/>
      <c r="DL219" s="161"/>
      <c r="DM219" s="161"/>
      <c r="DN219" s="161"/>
      <c r="DO219" s="161"/>
      <c r="DP219" s="161"/>
      <c r="DQ219" s="161"/>
      <c r="DR219" s="161"/>
      <c r="DS219" s="161"/>
      <c r="DT219" s="161"/>
      <c r="DU219" s="161"/>
      <c r="DV219" s="161"/>
      <c r="DW219" s="161"/>
      <c r="DX219" s="161"/>
      <c r="DY219" s="161"/>
      <c r="DZ219" s="161"/>
      <c r="EA219" s="161"/>
      <c r="EB219" s="161"/>
      <c r="EC219" s="161"/>
      <c r="ED219" s="161"/>
      <c r="EE219" s="161"/>
      <c r="EF219" s="161">
        <f>SUM(EG219:EP219)</f>
      </c>
      <c r="EG219" s="161"/>
      <c r="EH219" s="161"/>
      <c r="EI219" s="161"/>
      <c r="EJ219" s="161"/>
      <c r="EK219" s="161"/>
      <c r="EL219" s="161"/>
      <c r="EM219" s="161"/>
      <c r="EN219" s="161"/>
      <c r="EO219" s="161"/>
      <c r="EP219" s="161"/>
      <c r="EQ219" s="161">
        <f>SUM(ER219:ES219)</f>
      </c>
      <c r="ER219" s="161"/>
      <c r="ES219" s="161"/>
      <c r="ET219" s="161"/>
      <c r="EU219" s="161"/>
      <c r="EV219" s="161"/>
      <c r="EW219" s="161"/>
      <c r="EX219" s="161"/>
      <c r="EY219" s="161"/>
      <c r="EZ219" s="161"/>
      <c r="FA219" s="161"/>
      <c r="FB219" s="161"/>
      <c r="FC219" s="161"/>
      <c r="FD219" s="161"/>
      <c r="FE219" s="161"/>
      <c r="FF219" s="161"/>
      <c r="FG219" s="161"/>
      <c r="FH219" s="163" cm="1">
        <f t="array" ref="FH219">ROW()-ROW(Ongoing[#Headers])</f>
        <v>213</v>
      </c>
      <c r="FI219" s="164" t="s">
        <v>1225</v>
      </c>
      <c r="FJ219" s="164" t="s">
        <v>1226</v>
      </c>
      <c r="FK219" s="164" t="s">
        <v>1227</v>
      </c>
      <c r="FL219" s="164" t="s">
        <v>789</v>
      </c>
      <c r="FM219" s="164" t="s">
        <v>790</v>
      </c>
      <c r="FN219" s="164">
        <v>0</v>
      </c>
      <c r="FO219" s="164">
        <v>0</v>
      </c>
      <c r="FP219" s="164">
        <v>0</v>
      </c>
    </row>
    <row r="220" spans="2:172" s="115" customFormat="1" ht="11.25" x14ac:dyDescent="0.2">
      <c r="B220" s="148"/>
      <c r="C220" s="148"/>
      <c r="D220" s="148"/>
      <c r="E220" s="148"/>
      <c r="F220" s="148"/>
      <c r="G220" s="148"/>
      <c r="H220" s="148"/>
      <c r="I220" s="148"/>
      <c r="J220" s="148"/>
      <c r="K220" s="148"/>
      <c r="L220" s="148"/>
      <c r="M220" s="160"/>
      <c r="N220" s="160"/>
      <c r="O220" s="148"/>
      <c r="P220" s="161">
        <f>SUM(Q220:AP220)</f>
      </c>
      <c r="Q220" s="161"/>
      <c r="R220" s="161"/>
      <c r="S220" s="161"/>
      <c r="T220" s="161"/>
      <c r="U220" s="161"/>
      <c r="V220" s="161"/>
      <c r="W220" s="161"/>
      <c r="X220" s="161"/>
      <c r="Y220" s="161"/>
      <c r="Z220" s="161"/>
      <c r="AA220" s="161"/>
      <c r="AB220" s="161"/>
      <c r="AC220" s="161"/>
      <c r="AD220" s="161"/>
      <c r="AE220" s="161"/>
      <c r="AF220" s="161"/>
      <c r="AG220" s="161"/>
      <c r="AH220" s="161"/>
      <c r="AI220" s="161"/>
      <c r="AJ220" s="161"/>
      <c r="AK220" s="161"/>
      <c r="AL220" s="161"/>
      <c r="AM220" s="161"/>
      <c r="AN220" s="161"/>
      <c r="AO220" s="161"/>
      <c r="AP220" s="161"/>
      <c r="AQ220" s="161">
        <f>SUM(AR220:AU220)</f>
      </c>
      <c r="AR220" s="161"/>
      <c r="AS220" s="161"/>
      <c r="AT220" s="161"/>
      <c r="AU220" s="161"/>
      <c r="AV220" s="161">
        <f>SUM(AW220:BH220)</f>
      </c>
      <c r="AW220" s="161"/>
      <c r="AX220" s="161"/>
      <c r="AY220" s="161"/>
      <c r="AZ220" s="161"/>
      <c r="BA220" s="161"/>
      <c r="BB220" s="161"/>
      <c r="BC220" s="161"/>
      <c r="BD220" s="161"/>
      <c r="BE220" s="161"/>
      <c r="BF220" s="161"/>
      <c r="BG220" s="161"/>
      <c r="BH220" s="161"/>
      <c r="BI220" s="161"/>
      <c r="BJ220" s="161"/>
      <c r="BK220" s="161"/>
      <c r="BL220" s="161"/>
      <c r="BM220" s="161"/>
      <c r="BN220" s="161"/>
      <c r="BO220" s="161"/>
      <c r="BP220" s="161"/>
      <c r="BQ220" s="161"/>
      <c r="BR220" s="161"/>
      <c r="BS220" s="161">
        <f>SUM(BT220:BV220)</f>
      </c>
      <c r="BT220" s="161"/>
      <c r="BU220" s="161"/>
      <c r="BV220" s="161"/>
      <c r="BW220" s="161">
        <f>SUM(BX220:CC220)</f>
      </c>
      <c r="BX220" s="161"/>
      <c r="BY220" s="161"/>
      <c r="BZ220" s="161"/>
      <c r="CA220" s="161"/>
      <c r="CB220" s="161"/>
      <c r="CC220" s="161"/>
      <c r="CD220" s="161"/>
      <c r="CE220" s="161"/>
      <c r="CF220" s="161"/>
      <c r="CG220" s="161"/>
      <c r="CH220" s="161"/>
      <c r="CI220" s="161"/>
      <c r="CJ220" s="161">
        <f>SUM(CK220:CM220)</f>
      </c>
      <c r="CK220" s="161"/>
      <c r="CL220" s="161"/>
      <c r="CM220" s="161"/>
      <c r="CN220" s="161">
        <f>SUM(CO220:CS220)</f>
      </c>
      <c r="CO220" s="161"/>
      <c r="CP220" s="161"/>
      <c r="CQ220" s="161"/>
      <c r="CR220" s="161"/>
      <c r="CS220" s="161"/>
      <c r="CT220" s="161"/>
      <c r="CU220" s="161"/>
      <c r="CV220" s="161"/>
      <c r="CW220" s="161"/>
      <c r="CX220" s="161"/>
      <c r="CY220" s="161"/>
      <c r="CZ220" s="161"/>
      <c r="DA220" s="161"/>
      <c r="DB220" s="161"/>
      <c r="DC220" s="161"/>
      <c r="DD220" s="161"/>
      <c r="DE220" s="161"/>
      <c r="DF220" s="161">
        <f>SUM(DG220:DG220)</f>
      </c>
      <c r="DG220" s="161"/>
      <c r="DH220" s="161"/>
      <c r="DI220" s="161"/>
      <c r="DJ220" s="161">
        <f>SUM(DK220:DP220)</f>
      </c>
      <c r="DK220" s="161"/>
      <c r="DL220" s="161"/>
      <c r="DM220" s="161"/>
      <c r="DN220" s="161"/>
      <c r="DO220" s="161"/>
      <c r="DP220" s="161"/>
      <c r="DQ220" s="161"/>
      <c r="DR220" s="161"/>
      <c r="DS220" s="161"/>
      <c r="DT220" s="161"/>
      <c r="DU220" s="161"/>
      <c r="DV220" s="161"/>
      <c r="DW220" s="161"/>
      <c r="DX220" s="161"/>
      <c r="DY220" s="161"/>
      <c r="DZ220" s="161"/>
      <c r="EA220" s="161"/>
      <c r="EB220" s="161"/>
      <c r="EC220" s="161"/>
      <c r="ED220" s="161"/>
      <c r="EE220" s="161"/>
      <c r="EF220" s="161">
        <f>SUM(EG220:EP220)</f>
      </c>
      <c r="EG220" s="161"/>
      <c r="EH220" s="161"/>
      <c r="EI220" s="161"/>
      <c r="EJ220" s="161"/>
      <c r="EK220" s="161"/>
      <c r="EL220" s="161"/>
      <c r="EM220" s="161"/>
      <c r="EN220" s="161"/>
      <c r="EO220" s="161"/>
      <c r="EP220" s="161"/>
      <c r="EQ220" s="161">
        <f>SUM(ER220:ES220)</f>
      </c>
      <c r="ER220" s="161"/>
      <c r="ES220" s="161"/>
      <c r="ET220" s="161"/>
      <c r="EU220" s="161"/>
      <c r="EV220" s="161"/>
      <c r="EW220" s="161"/>
      <c r="EX220" s="161"/>
      <c r="EY220" s="161"/>
      <c r="EZ220" s="161"/>
      <c r="FA220" s="161"/>
      <c r="FB220" s="161"/>
      <c r="FC220" s="161"/>
      <c r="FD220" s="161"/>
      <c r="FE220" s="161"/>
      <c r="FF220" s="161"/>
      <c r="FG220" s="161"/>
      <c r="FH220" s="163" cm="1">
        <f t="array" ref="FH220">ROW()-ROW(Ongoing[#Headers])</f>
        <v>214</v>
      </c>
      <c r="FI220" s="164" t="s">
        <v>1231</v>
      </c>
      <c r="FJ220" s="164" t="s">
        <v>1117</v>
      </c>
      <c r="FK220" s="164">
        <v>0</v>
      </c>
      <c r="FL220" s="164" t="s">
        <v>936</v>
      </c>
      <c r="FM220" s="164" t="s">
        <v>790</v>
      </c>
      <c r="FN220" s="164">
        <v>0</v>
      </c>
      <c r="FO220" s="164" t="s">
        <v>1232</v>
      </c>
      <c r="FP220" s="164" t="s">
        <v>759</v>
      </c>
    </row>
    <row r="221" spans="2:172" s="115" customFormat="1" ht="11.25" x14ac:dyDescent="0.2">
      <c r="B221" s="148"/>
      <c r="C221" s="148"/>
      <c r="D221" s="148"/>
      <c r="E221" s="148"/>
      <c r="F221" s="148"/>
      <c r="G221" s="148"/>
      <c r="H221" s="148"/>
      <c r="I221" s="148"/>
      <c r="J221" s="148"/>
      <c r="K221" s="148"/>
      <c r="L221" s="148"/>
      <c r="M221" s="160"/>
      <c r="N221" s="160"/>
      <c r="O221" s="148"/>
      <c r="P221" s="161">
        <f>SUM(Q221:AP221)</f>
      </c>
      <c r="Q221" s="161"/>
      <c r="R221" s="161"/>
      <c r="S221" s="161"/>
      <c r="T221" s="161"/>
      <c r="U221" s="161"/>
      <c r="V221" s="161"/>
      <c r="W221" s="161"/>
      <c r="X221" s="161"/>
      <c r="Y221" s="161"/>
      <c r="Z221" s="161"/>
      <c r="AA221" s="161"/>
      <c r="AB221" s="161"/>
      <c r="AC221" s="161"/>
      <c r="AD221" s="161"/>
      <c r="AE221" s="161"/>
      <c r="AF221" s="161"/>
      <c r="AG221" s="161"/>
      <c r="AH221" s="161"/>
      <c r="AI221" s="161"/>
      <c r="AJ221" s="161"/>
      <c r="AK221" s="161"/>
      <c r="AL221" s="161"/>
      <c r="AM221" s="161"/>
      <c r="AN221" s="161"/>
      <c r="AO221" s="161"/>
      <c r="AP221" s="161"/>
      <c r="AQ221" s="161">
        <f>SUM(AR221:AU221)</f>
      </c>
      <c r="AR221" s="161"/>
      <c r="AS221" s="161"/>
      <c r="AT221" s="161"/>
      <c r="AU221" s="161"/>
      <c r="AV221" s="161">
        <f>SUM(AW221:BH221)</f>
      </c>
      <c r="AW221" s="161"/>
      <c r="AX221" s="161"/>
      <c r="AY221" s="161"/>
      <c r="AZ221" s="161"/>
      <c r="BA221" s="161"/>
      <c r="BB221" s="161"/>
      <c r="BC221" s="161"/>
      <c r="BD221" s="161"/>
      <c r="BE221" s="161"/>
      <c r="BF221" s="161"/>
      <c r="BG221" s="161"/>
      <c r="BH221" s="161"/>
      <c r="BI221" s="161"/>
      <c r="BJ221" s="161"/>
      <c r="BK221" s="161"/>
      <c r="BL221" s="161"/>
      <c r="BM221" s="161"/>
      <c r="BN221" s="161"/>
      <c r="BO221" s="161"/>
      <c r="BP221" s="161"/>
      <c r="BQ221" s="161"/>
      <c r="BR221" s="161"/>
      <c r="BS221" s="161">
        <f>SUM(BT221:BV221)</f>
      </c>
      <c r="BT221" s="161"/>
      <c r="BU221" s="161"/>
      <c r="BV221" s="161"/>
      <c r="BW221" s="161">
        <f>SUM(BX221:CC221)</f>
      </c>
      <c r="BX221" s="161"/>
      <c r="BY221" s="161"/>
      <c r="BZ221" s="161"/>
      <c r="CA221" s="161"/>
      <c r="CB221" s="161"/>
      <c r="CC221" s="161"/>
      <c r="CD221" s="161"/>
      <c r="CE221" s="161"/>
      <c r="CF221" s="161"/>
      <c r="CG221" s="161"/>
      <c r="CH221" s="161"/>
      <c r="CI221" s="161"/>
      <c r="CJ221" s="161">
        <f>SUM(CK221:CM221)</f>
      </c>
      <c r="CK221" s="161"/>
      <c r="CL221" s="161"/>
      <c r="CM221" s="161"/>
      <c r="CN221" s="161">
        <f>SUM(CO221:CS221)</f>
      </c>
      <c r="CO221" s="161"/>
      <c r="CP221" s="161"/>
      <c r="CQ221" s="161"/>
      <c r="CR221" s="161"/>
      <c r="CS221" s="161"/>
      <c r="CT221" s="161"/>
      <c r="CU221" s="161"/>
      <c r="CV221" s="161"/>
      <c r="CW221" s="161"/>
      <c r="CX221" s="161"/>
      <c r="CY221" s="161"/>
      <c r="CZ221" s="161"/>
      <c r="DA221" s="161"/>
      <c r="DB221" s="161"/>
      <c r="DC221" s="161"/>
      <c r="DD221" s="161"/>
      <c r="DE221" s="161"/>
      <c r="DF221" s="161">
        <f>SUM(DG221:DG221)</f>
      </c>
      <c r="DG221" s="161"/>
      <c r="DH221" s="161"/>
      <c r="DI221" s="161"/>
      <c r="DJ221" s="161">
        <f>SUM(DK221:DP221)</f>
      </c>
      <c r="DK221" s="161"/>
      <c r="DL221" s="161"/>
      <c r="DM221" s="161"/>
      <c r="DN221" s="161"/>
      <c r="DO221" s="161"/>
      <c r="DP221" s="161"/>
      <c r="DQ221" s="161"/>
      <c r="DR221" s="161"/>
      <c r="DS221" s="161"/>
      <c r="DT221" s="161"/>
      <c r="DU221" s="161"/>
      <c r="DV221" s="161"/>
      <c r="DW221" s="161"/>
      <c r="DX221" s="161"/>
      <c r="DY221" s="161"/>
      <c r="DZ221" s="161"/>
      <c r="EA221" s="161"/>
      <c r="EB221" s="161"/>
      <c r="EC221" s="161"/>
      <c r="ED221" s="161"/>
      <c r="EE221" s="161"/>
      <c r="EF221" s="161">
        <f>SUM(EG221:EP221)</f>
      </c>
      <c r="EG221" s="161"/>
      <c r="EH221" s="161"/>
      <c r="EI221" s="161"/>
      <c r="EJ221" s="161"/>
      <c r="EK221" s="161"/>
      <c r="EL221" s="161"/>
      <c r="EM221" s="161"/>
      <c r="EN221" s="161"/>
      <c r="EO221" s="161"/>
      <c r="EP221" s="161"/>
      <c r="EQ221" s="161">
        <f>SUM(ER221:ES221)</f>
      </c>
      <c r="ER221" s="161"/>
      <c r="ES221" s="161"/>
      <c r="ET221" s="161"/>
      <c r="EU221" s="161"/>
      <c r="EV221" s="161"/>
      <c r="EW221" s="161"/>
      <c r="EX221" s="161"/>
      <c r="EY221" s="161"/>
      <c r="EZ221" s="161"/>
      <c r="FA221" s="161"/>
      <c r="FB221" s="161"/>
      <c r="FC221" s="161"/>
      <c r="FD221" s="161"/>
      <c r="FE221" s="161"/>
      <c r="FF221" s="161"/>
      <c r="FG221" s="161"/>
      <c r="FH221" s="163" cm="1">
        <f t="array" ref="FH221">ROW()-ROW(Ongoing[#Headers])</f>
        <v>215</v>
      </c>
      <c r="FI221" s="164" t="s">
        <v>1231</v>
      </c>
      <c r="FJ221" s="164" t="s">
        <v>1117</v>
      </c>
      <c r="FK221" s="164">
        <v>0</v>
      </c>
      <c r="FL221" s="164" t="s">
        <v>789</v>
      </c>
      <c r="FM221" s="164" t="s">
        <v>790</v>
      </c>
      <c r="FN221" s="164">
        <v>0</v>
      </c>
      <c r="FO221" s="164" t="s">
        <v>1232</v>
      </c>
      <c r="FP221" s="164" t="s">
        <v>850</v>
      </c>
    </row>
    <row r="222" spans="2:172" s="115" customFormat="1" ht="11.25" x14ac:dyDescent="0.2">
      <c r="B222" s="148"/>
      <c r="C222" s="148"/>
      <c r="D222" s="148"/>
      <c r="E222" s="148"/>
      <c r="F222" s="148"/>
      <c r="G222" s="148"/>
      <c r="H222" s="148"/>
      <c r="I222" s="148"/>
      <c r="J222" s="165"/>
      <c r="K222" s="148"/>
      <c r="L222" s="148"/>
      <c r="M222" s="160"/>
      <c r="N222" s="160"/>
      <c r="O222" s="148"/>
      <c r="P222" s="161">
        <f>SUM(Q222:AP222)</f>
      </c>
      <c r="Q222" s="161"/>
      <c r="R222" s="161"/>
      <c r="S222" s="161"/>
      <c r="T222" s="161"/>
      <c r="U222" s="161"/>
      <c r="V222" s="161"/>
      <c r="W222" s="161"/>
      <c r="X222" s="161"/>
      <c r="Y222" s="161"/>
      <c r="Z222" s="161"/>
      <c r="AA222" s="161"/>
      <c r="AB222" s="161"/>
      <c r="AC222" s="161"/>
      <c r="AD222" s="161"/>
      <c r="AE222" s="161"/>
      <c r="AF222" s="161"/>
      <c r="AG222" s="161"/>
      <c r="AH222" s="161"/>
      <c r="AI222" s="161"/>
      <c r="AJ222" s="161"/>
      <c r="AK222" s="161"/>
      <c r="AL222" s="161"/>
      <c r="AM222" s="161"/>
      <c r="AN222" s="161"/>
      <c r="AO222" s="161"/>
      <c r="AP222" s="161"/>
      <c r="AQ222" s="161">
        <f>SUM(AR222:AU222)</f>
      </c>
      <c r="AR222" s="161"/>
      <c r="AS222" s="161"/>
      <c r="AT222" s="161"/>
      <c r="AU222" s="161"/>
      <c r="AV222" s="161">
        <f>SUM(AW222:BH222)</f>
      </c>
      <c r="AW222" s="161"/>
      <c r="AX222" s="161"/>
      <c r="AY222" s="161"/>
      <c r="AZ222" s="161"/>
      <c r="BA222" s="161"/>
      <c r="BB222" s="161"/>
      <c r="BC222" s="161"/>
      <c r="BD222" s="161"/>
      <c r="BE222" s="161"/>
      <c r="BF222" s="161"/>
      <c r="BG222" s="161"/>
      <c r="BH222" s="161"/>
      <c r="BI222" s="161"/>
      <c r="BJ222" s="161"/>
      <c r="BK222" s="161"/>
      <c r="BL222" s="161"/>
      <c r="BM222" s="161"/>
      <c r="BN222" s="161"/>
      <c r="BO222" s="161"/>
      <c r="BP222" s="161"/>
      <c r="BQ222" s="161"/>
      <c r="BR222" s="161"/>
      <c r="BS222" s="161">
        <f>SUM(BT222:BV222)</f>
      </c>
      <c r="BT222" s="161"/>
      <c r="BU222" s="161"/>
      <c r="BV222" s="161"/>
      <c r="BW222" s="161">
        <f>SUM(BX222:CC222)</f>
      </c>
      <c r="BX222" s="161"/>
      <c r="BY222" s="161"/>
      <c r="BZ222" s="161"/>
      <c r="CA222" s="161"/>
      <c r="CB222" s="161"/>
      <c r="CC222" s="161"/>
      <c r="CD222" s="161"/>
      <c r="CE222" s="161"/>
      <c r="CF222" s="161"/>
      <c r="CG222" s="161"/>
      <c r="CH222" s="161"/>
      <c r="CI222" s="161"/>
      <c r="CJ222" s="161">
        <f>SUM(CK222:CM222)</f>
      </c>
      <c r="CK222" s="161"/>
      <c r="CL222" s="161"/>
      <c r="CM222" s="161"/>
      <c r="CN222" s="161">
        <f>SUM(CO222:CS222)</f>
      </c>
      <c r="CO222" s="161"/>
      <c r="CP222" s="161"/>
      <c r="CQ222" s="161"/>
      <c r="CR222" s="161"/>
      <c r="CS222" s="161"/>
      <c r="CT222" s="161"/>
      <c r="CU222" s="161"/>
      <c r="CV222" s="161"/>
      <c r="CW222" s="161"/>
      <c r="CX222" s="161"/>
      <c r="CY222" s="161"/>
      <c r="CZ222" s="161"/>
      <c r="DA222" s="161"/>
      <c r="DB222" s="161"/>
      <c r="DC222" s="161"/>
      <c r="DD222" s="161"/>
      <c r="DE222" s="161"/>
      <c r="DF222" s="161">
        <f>SUM(DG222:DG222)</f>
      </c>
      <c r="DG222" s="161"/>
      <c r="DH222" s="161"/>
      <c r="DI222" s="161"/>
      <c r="DJ222" s="161">
        <f>SUM(DK222:DP222)</f>
      </c>
      <c r="DK222" s="161"/>
      <c r="DL222" s="161"/>
      <c r="DM222" s="161"/>
      <c r="DN222" s="161"/>
      <c r="DO222" s="161"/>
      <c r="DP222" s="161"/>
      <c r="DQ222" s="161"/>
      <c r="DR222" s="161"/>
      <c r="DS222" s="161"/>
      <c r="DT222" s="161"/>
      <c r="DU222" s="161"/>
      <c r="DV222" s="161"/>
      <c r="DW222" s="161"/>
      <c r="DX222" s="161"/>
      <c r="DY222" s="161"/>
      <c r="DZ222" s="161"/>
      <c r="EA222" s="161"/>
      <c r="EB222" s="161"/>
      <c r="EC222" s="161"/>
      <c r="ED222" s="161"/>
      <c r="EE222" s="161"/>
      <c r="EF222" s="161">
        <f>SUM(EG222:EP222)</f>
      </c>
      <c r="EG222" s="161"/>
      <c r="EH222" s="161"/>
      <c r="EI222" s="161"/>
      <c r="EJ222" s="161"/>
      <c r="EK222" s="161"/>
      <c r="EL222" s="161"/>
      <c r="EM222" s="161"/>
      <c r="EN222" s="161"/>
      <c r="EO222" s="161"/>
      <c r="EP222" s="161"/>
      <c r="EQ222" s="161">
        <f>SUM(ER222:ES222)</f>
      </c>
      <c r="ER222" s="161"/>
      <c r="ES222" s="161"/>
      <c r="ET222" s="161"/>
      <c r="EU222" s="161"/>
      <c r="EV222" s="161"/>
      <c r="EW222" s="161"/>
      <c r="EX222" s="161"/>
      <c r="EY222" s="161"/>
      <c r="EZ222" s="161"/>
      <c r="FA222" s="161"/>
      <c r="FB222" s="161"/>
      <c r="FC222" s="161"/>
      <c r="FD222" s="161"/>
      <c r="FE222" s="161"/>
      <c r="FF222" s="161"/>
      <c r="FG222" s="161"/>
      <c r="FH222" s="163" cm="1">
        <f t="array" ref="FH222">ROW()-ROW(Ongoing[#Headers])</f>
        <v>216</v>
      </c>
      <c r="FI222" s="164"/>
      <c r="FJ222" s="164"/>
      <c r="FK222" s="164"/>
      <c r="FL222" s="164"/>
      <c r="FM222" s="164"/>
      <c r="FN222" s="164"/>
      <c r="FO222" s="164"/>
      <c r="FP222" s="164"/>
    </row>
    <row r="223" spans="2:172" s="115" customFormat="1" ht="11.25" x14ac:dyDescent="0.2">
      <c r="B223" s="148"/>
      <c r="C223" s="148"/>
      <c r="D223" s="148"/>
      <c r="E223" s="148"/>
      <c r="F223" s="148"/>
      <c r="G223" s="148"/>
      <c r="H223" s="148"/>
      <c r="I223" s="148"/>
      <c r="J223" s="148"/>
      <c r="K223" s="148"/>
      <c r="L223" s="148"/>
      <c r="M223" s="160"/>
      <c r="N223" s="160"/>
      <c r="O223" s="148"/>
      <c r="P223" s="161">
        <f>SUM(Q223:AP223)</f>
      </c>
      <c r="Q223" s="161"/>
      <c r="R223" s="161"/>
      <c r="S223" s="161"/>
      <c r="T223" s="161"/>
      <c r="U223" s="161"/>
      <c r="V223" s="161"/>
      <c r="W223" s="161"/>
      <c r="X223" s="161"/>
      <c r="Y223" s="161"/>
      <c r="Z223" s="161"/>
      <c r="AA223" s="161"/>
      <c r="AB223" s="161"/>
      <c r="AC223" s="161"/>
      <c r="AD223" s="161"/>
      <c r="AE223" s="161"/>
      <c r="AF223" s="161"/>
      <c r="AG223" s="161"/>
      <c r="AH223" s="161"/>
      <c r="AI223" s="161"/>
      <c r="AJ223" s="161"/>
      <c r="AK223" s="161"/>
      <c r="AL223" s="161"/>
      <c r="AM223" s="161"/>
      <c r="AN223" s="161"/>
      <c r="AO223" s="161"/>
      <c r="AP223" s="161"/>
      <c r="AQ223" s="161">
        <f>SUM(AR223:AU223)</f>
      </c>
      <c r="AR223" s="161"/>
      <c r="AS223" s="161"/>
      <c r="AT223" s="161"/>
      <c r="AU223" s="161"/>
      <c r="AV223" s="161">
        <f>SUM(AW223:BH223)</f>
      </c>
      <c r="AW223" s="161"/>
      <c r="AX223" s="161"/>
      <c r="AY223" s="161"/>
      <c r="AZ223" s="161"/>
      <c r="BA223" s="161"/>
      <c r="BB223" s="161"/>
      <c r="BC223" s="161"/>
      <c r="BD223" s="161"/>
      <c r="BE223" s="161"/>
      <c r="BF223" s="161"/>
      <c r="BG223" s="161"/>
      <c r="BH223" s="161"/>
      <c r="BI223" s="161"/>
      <c r="BJ223" s="161"/>
      <c r="BK223" s="161"/>
      <c r="BL223" s="161"/>
      <c r="BM223" s="161"/>
      <c r="BN223" s="161"/>
      <c r="BO223" s="161"/>
      <c r="BP223" s="161"/>
      <c r="BQ223" s="161"/>
      <c r="BR223" s="161"/>
      <c r="BS223" s="161">
        <f>SUM(BT223:BV223)</f>
      </c>
      <c r="BT223" s="161"/>
      <c r="BU223" s="161"/>
      <c r="BV223" s="161"/>
      <c r="BW223" s="161">
        <f>SUM(BX223:CC223)</f>
      </c>
      <c r="BX223" s="161"/>
      <c r="BY223" s="161"/>
      <c r="BZ223" s="161"/>
      <c r="CA223" s="161"/>
      <c r="CB223" s="161"/>
      <c r="CC223" s="161"/>
      <c r="CD223" s="161"/>
      <c r="CE223" s="161"/>
      <c r="CF223" s="161"/>
      <c r="CG223" s="161"/>
      <c r="CH223" s="161"/>
      <c r="CI223" s="161"/>
      <c r="CJ223" s="161">
        <f>SUM(CK223:CM223)</f>
      </c>
      <c r="CK223" s="161"/>
      <c r="CL223" s="161"/>
      <c r="CM223" s="161"/>
      <c r="CN223" s="161">
        <f>SUM(CO223:CS223)</f>
      </c>
      <c r="CO223" s="161"/>
      <c r="CP223" s="161"/>
      <c r="CQ223" s="161"/>
      <c r="CR223" s="161"/>
      <c r="CS223" s="161"/>
      <c r="CT223" s="161"/>
      <c r="CU223" s="161"/>
      <c r="CV223" s="161"/>
      <c r="CW223" s="161"/>
      <c r="CX223" s="161"/>
      <c r="CY223" s="161"/>
      <c r="CZ223" s="161"/>
      <c r="DA223" s="161"/>
      <c r="DB223" s="161"/>
      <c r="DC223" s="161"/>
      <c r="DD223" s="161"/>
      <c r="DE223" s="161"/>
      <c r="DF223" s="161">
        <f>SUM(DG223:DG223)</f>
      </c>
      <c r="DG223" s="161"/>
      <c r="DH223" s="161"/>
      <c r="DI223" s="161"/>
      <c r="DJ223" s="161">
        <f>SUM(DK223:DP223)</f>
      </c>
      <c r="DK223" s="161"/>
      <c r="DL223" s="161"/>
      <c r="DM223" s="161"/>
      <c r="DN223" s="161"/>
      <c r="DO223" s="161"/>
      <c r="DP223" s="161"/>
      <c r="DQ223" s="161"/>
      <c r="DR223" s="161"/>
      <c r="DS223" s="161"/>
      <c r="DT223" s="161"/>
      <c r="DU223" s="161"/>
      <c r="DV223" s="161"/>
      <c r="DW223" s="161"/>
      <c r="DX223" s="161"/>
      <c r="DY223" s="161"/>
      <c r="DZ223" s="161"/>
      <c r="EA223" s="161"/>
      <c r="EB223" s="161"/>
      <c r="EC223" s="161"/>
      <c r="ED223" s="161"/>
      <c r="EE223" s="161"/>
      <c r="EF223" s="161">
        <f>SUM(EG223:EP223)</f>
      </c>
      <c r="EG223" s="161"/>
      <c r="EH223" s="161"/>
      <c r="EI223" s="161"/>
      <c r="EJ223" s="161"/>
      <c r="EK223" s="161"/>
      <c r="EL223" s="161"/>
      <c r="EM223" s="161"/>
      <c r="EN223" s="161"/>
      <c r="EO223" s="161"/>
      <c r="EP223" s="161"/>
      <c r="EQ223" s="161">
        <f>SUM(ER223:ES223)</f>
      </c>
      <c r="ER223" s="161"/>
      <c r="ES223" s="161"/>
      <c r="ET223" s="161"/>
      <c r="EU223" s="161"/>
      <c r="EV223" s="161"/>
      <c r="EW223" s="161"/>
      <c r="EX223" s="161"/>
      <c r="EY223" s="161"/>
      <c r="EZ223" s="161"/>
      <c r="FA223" s="161"/>
      <c r="FB223" s="161"/>
      <c r="FC223" s="161"/>
      <c r="FD223" s="161"/>
      <c r="FE223" s="161"/>
      <c r="FF223" s="161"/>
      <c r="FG223" s="161"/>
      <c r="FH223" s="163" cm="1">
        <f t="array" ref="FH223">ROW()-ROW(Ongoing[#Headers])</f>
        <v>217</v>
      </c>
      <c r="FI223" s="164" t="s">
        <v>1243</v>
      </c>
      <c r="FJ223" s="164" t="s">
        <v>737</v>
      </c>
      <c r="FK223" s="164" t="s">
        <v>1244</v>
      </c>
      <c r="FL223" s="164" t="s">
        <v>1245</v>
      </c>
      <c r="FM223" s="164" t="s">
        <v>790</v>
      </c>
      <c r="FN223" s="164" t="s">
        <v>1243</v>
      </c>
      <c r="FO223" s="164" t="s">
        <v>1246</v>
      </c>
      <c r="FP223" s="164" t="s">
        <v>759</v>
      </c>
    </row>
    <row r="224" spans="2:172" s="115" customFormat="1" ht="11.25" x14ac:dyDescent="0.2">
      <c r="B224" s="148"/>
      <c r="C224" s="148"/>
      <c r="D224" s="148"/>
      <c r="E224" s="148"/>
      <c r="F224" s="148"/>
      <c r="G224" s="148"/>
      <c r="H224" s="148"/>
      <c r="I224" s="148"/>
      <c r="J224" s="148"/>
      <c r="K224" s="148"/>
      <c r="L224" s="148"/>
      <c r="M224" s="160"/>
      <c r="N224" s="160"/>
      <c r="O224" s="148"/>
      <c r="P224" s="161">
        <f>SUM(Q224:AP224)</f>
      </c>
      <c r="Q224" s="161"/>
      <c r="R224" s="161"/>
      <c r="S224" s="161"/>
      <c r="T224" s="161"/>
      <c r="U224" s="161"/>
      <c r="V224" s="161"/>
      <c r="W224" s="161"/>
      <c r="X224" s="161"/>
      <c r="Y224" s="161"/>
      <c r="Z224" s="161"/>
      <c r="AA224" s="161"/>
      <c r="AB224" s="161"/>
      <c r="AC224" s="161"/>
      <c r="AD224" s="161"/>
      <c r="AE224" s="161"/>
      <c r="AF224" s="161"/>
      <c r="AG224" s="161"/>
      <c r="AH224" s="161"/>
      <c r="AI224" s="161"/>
      <c r="AJ224" s="161"/>
      <c r="AK224" s="161"/>
      <c r="AL224" s="161"/>
      <c r="AM224" s="161"/>
      <c r="AN224" s="161"/>
      <c r="AO224" s="161"/>
      <c r="AP224" s="161"/>
      <c r="AQ224" s="161">
        <f>SUM(AR224:AU224)</f>
      </c>
      <c r="AR224" s="161"/>
      <c r="AS224" s="161"/>
      <c r="AT224" s="161"/>
      <c r="AU224" s="161"/>
      <c r="AV224" s="161">
        <f>SUM(AW224:BH224)</f>
      </c>
      <c r="AW224" s="161"/>
      <c r="AX224" s="161"/>
      <c r="AY224" s="161"/>
      <c r="AZ224" s="161"/>
      <c r="BA224" s="161"/>
      <c r="BB224" s="161"/>
      <c r="BC224" s="161"/>
      <c r="BD224" s="161"/>
      <c r="BE224" s="161"/>
      <c r="BF224" s="161"/>
      <c r="BG224" s="161"/>
      <c r="BH224" s="161"/>
      <c r="BI224" s="161"/>
      <c r="BJ224" s="161"/>
      <c r="BK224" s="161"/>
      <c r="BL224" s="161"/>
      <c r="BM224" s="161"/>
      <c r="BN224" s="161"/>
      <c r="BO224" s="161"/>
      <c r="BP224" s="161"/>
      <c r="BQ224" s="161"/>
      <c r="BR224" s="161"/>
      <c r="BS224" s="161">
        <f>SUM(BT224:BV224)</f>
      </c>
      <c r="BT224" s="161"/>
      <c r="BU224" s="161"/>
      <c r="BV224" s="161"/>
      <c r="BW224" s="161">
        <f>SUM(BX224:CC224)</f>
      </c>
      <c r="BX224" s="161"/>
      <c r="BY224" s="161"/>
      <c r="BZ224" s="161"/>
      <c r="CA224" s="161"/>
      <c r="CB224" s="161"/>
      <c r="CC224" s="161"/>
      <c r="CD224" s="161"/>
      <c r="CE224" s="161"/>
      <c r="CF224" s="161"/>
      <c r="CG224" s="161"/>
      <c r="CH224" s="161"/>
      <c r="CI224" s="161"/>
      <c r="CJ224" s="161">
        <f>SUM(CK224:CM224)</f>
      </c>
      <c r="CK224" s="161"/>
      <c r="CL224" s="161"/>
      <c r="CM224" s="161"/>
      <c r="CN224" s="161">
        <f>SUM(CO224:CS224)</f>
      </c>
      <c r="CO224" s="161"/>
      <c r="CP224" s="161"/>
      <c r="CQ224" s="161"/>
      <c r="CR224" s="161"/>
      <c r="CS224" s="161"/>
      <c r="CT224" s="161"/>
      <c r="CU224" s="161"/>
      <c r="CV224" s="161"/>
      <c r="CW224" s="161"/>
      <c r="CX224" s="161"/>
      <c r="CY224" s="161"/>
      <c r="CZ224" s="161"/>
      <c r="DA224" s="161"/>
      <c r="DB224" s="161"/>
      <c r="DC224" s="161"/>
      <c r="DD224" s="161"/>
      <c r="DE224" s="161"/>
      <c r="DF224" s="161">
        <f>SUM(DG224:DG224)</f>
      </c>
      <c r="DG224" s="161"/>
      <c r="DH224" s="161"/>
      <c r="DI224" s="161"/>
      <c r="DJ224" s="161">
        <f>SUM(DK224:DP224)</f>
      </c>
      <c r="DK224" s="161"/>
      <c r="DL224" s="161"/>
      <c r="DM224" s="161"/>
      <c r="DN224" s="161"/>
      <c r="DO224" s="161"/>
      <c r="DP224" s="161"/>
      <c r="DQ224" s="161"/>
      <c r="DR224" s="161"/>
      <c r="DS224" s="161"/>
      <c r="DT224" s="161"/>
      <c r="DU224" s="161"/>
      <c r="DV224" s="161"/>
      <c r="DW224" s="161"/>
      <c r="DX224" s="161"/>
      <c r="DY224" s="161"/>
      <c r="DZ224" s="161"/>
      <c r="EA224" s="161"/>
      <c r="EB224" s="161"/>
      <c r="EC224" s="161"/>
      <c r="ED224" s="161"/>
      <c r="EE224" s="161"/>
      <c r="EF224" s="161">
        <f>SUM(EG224:EP224)</f>
      </c>
      <c r="EG224" s="161"/>
      <c r="EH224" s="161"/>
      <c r="EI224" s="161"/>
      <c r="EJ224" s="161"/>
      <c r="EK224" s="161"/>
      <c r="EL224" s="161"/>
      <c r="EM224" s="161"/>
      <c r="EN224" s="161"/>
      <c r="EO224" s="161"/>
      <c r="EP224" s="161"/>
      <c r="EQ224" s="161">
        <f>SUM(ER224:ES224)</f>
      </c>
      <c r="ER224" s="161"/>
      <c r="ES224" s="161"/>
      <c r="ET224" s="161"/>
      <c r="EU224" s="161"/>
      <c r="EV224" s="161"/>
      <c r="EW224" s="161"/>
      <c r="EX224" s="161"/>
      <c r="EY224" s="161"/>
      <c r="EZ224" s="161"/>
      <c r="FA224" s="161"/>
      <c r="FB224" s="161"/>
      <c r="FC224" s="161"/>
      <c r="FD224" s="161"/>
      <c r="FE224" s="161"/>
      <c r="FF224" s="161"/>
      <c r="FG224" s="161"/>
      <c r="FH224" s="163" cm="1">
        <f t="array" ref="FH224">ROW()-ROW(Ongoing[#Headers])</f>
        <v>218</v>
      </c>
      <c r="FI224" s="164"/>
      <c r="FJ224" s="164"/>
      <c r="FK224" s="164"/>
      <c r="FL224" s="164"/>
      <c r="FM224" s="164"/>
      <c r="FN224" s="164"/>
      <c r="FO224" s="164"/>
      <c r="FP224" s="164"/>
    </row>
    <row r="225" spans="2:172" s="115" customFormat="1" ht="11.25" x14ac:dyDescent="0.2">
      <c r="B225" s="148"/>
      <c r="C225" s="148"/>
      <c r="D225" s="148"/>
      <c r="E225" s="148"/>
      <c r="F225" s="148"/>
      <c r="G225" s="148"/>
      <c r="H225" s="148"/>
      <c r="I225" s="148"/>
      <c r="J225" s="148"/>
      <c r="K225" s="148"/>
      <c r="L225" s="148"/>
      <c r="M225" s="160"/>
      <c r="N225" s="160"/>
      <c r="O225" s="148"/>
      <c r="P225" s="161">
        <f>SUM(Q225:AP225)</f>
      </c>
      <c r="Q225" s="161"/>
      <c r="R225" s="161"/>
      <c r="S225" s="161"/>
      <c r="T225" s="161"/>
      <c r="U225" s="161"/>
      <c r="V225" s="161"/>
      <c r="W225" s="161"/>
      <c r="X225" s="161"/>
      <c r="Y225" s="161"/>
      <c r="Z225" s="161"/>
      <c r="AA225" s="161"/>
      <c r="AB225" s="161"/>
      <c r="AC225" s="161"/>
      <c r="AD225" s="161"/>
      <c r="AE225" s="161"/>
      <c r="AF225" s="161"/>
      <c r="AG225" s="161"/>
      <c r="AH225" s="161"/>
      <c r="AI225" s="161"/>
      <c r="AJ225" s="161"/>
      <c r="AK225" s="161"/>
      <c r="AL225" s="161"/>
      <c r="AM225" s="161"/>
      <c r="AN225" s="161"/>
      <c r="AO225" s="161"/>
      <c r="AP225" s="161"/>
      <c r="AQ225" s="161">
        <f>SUM(AR225:AU225)</f>
      </c>
      <c r="AR225" s="161"/>
      <c r="AS225" s="161"/>
      <c r="AT225" s="161"/>
      <c r="AU225" s="161"/>
      <c r="AV225" s="161">
        <f>SUM(AW225:BH225)</f>
      </c>
      <c r="AW225" s="161"/>
      <c r="AX225" s="161"/>
      <c r="AY225" s="161"/>
      <c r="AZ225" s="161"/>
      <c r="BA225" s="161"/>
      <c r="BB225" s="161"/>
      <c r="BC225" s="161"/>
      <c r="BD225" s="161"/>
      <c r="BE225" s="161"/>
      <c r="BF225" s="161"/>
      <c r="BG225" s="161"/>
      <c r="BH225" s="161"/>
      <c r="BI225" s="161"/>
      <c r="BJ225" s="161"/>
      <c r="BK225" s="161"/>
      <c r="BL225" s="161"/>
      <c r="BM225" s="161"/>
      <c r="BN225" s="161"/>
      <c r="BO225" s="161"/>
      <c r="BP225" s="161"/>
      <c r="BQ225" s="161"/>
      <c r="BR225" s="161"/>
      <c r="BS225" s="161">
        <f>SUM(BT225:BV225)</f>
      </c>
      <c r="BT225" s="161"/>
      <c r="BU225" s="161"/>
      <c r="BV225" s="161"/>
      <c r="BW225" s="161">
        <f>SUM(BX225:CC225)</f>
      </c>
      <c r="BX225" s="161"/>
      <c r="BY225" s="161"/>
      <c r="BZ225" s="161"/>
      <c r="CA225" s="161"/>
      <c r="CB225" s="161"/>
      <c r="CC225" s="161"/>
      <c r="CD225" s="161"/>
      <c r="CE225" s="161"/>
      <c r="CF225" s="161"/>
      <c r="CG225" s="161"/>
      <c r="CH225" s="161"/>
      <c r="CI225" s="161"/>
      <c r="CJ225" s="161">
        <f>SUM(CK225:CM225)</f>
      </c>
      <c r="CK225" s="161"/>
      <c r="CL225" s="161"/>
      <c r="CM225" s="161"/>
      <c r="CN225" s="161">
        <f>SUM(CO225:CS225)</f>
      </c>
      <c r="CO225" s="161"/>
      <c r="CP225" s="161"/>
      <c r="CQ225" s="161"/>
      <c r="CR225" s="161"/>
      <c r="CS225" s="161"/>
      <c r="CT225" s="161"/>
      <c r="CU225" s="161"/>
      <c r="CV225" s="161"/>
      <c r="CW225" s="161"/>
      <c r="CX225" s="161"/>
      <c r="CY225" s="161"/>
      <c r="CZ225" s="161"/>
      <c r="DA225" s="161"/>
      <c r="DB225" s="161"/>
      <c r="DC225" s="161"/>
      <c r="DD225" s="161"/>
      <c r="DE225" s="161"/>
      <c r="DF225" s="161">
        <f>SUM(DG225:DG225)</f>
      </c>
      <c r="DG225" s="161"/>
      <c r="DH225" s="161"/>
      <c r="DI225" s="161"/>
      <c r="DJ225" s="161">
        <f>SUM(DK225:DP225)</f>
      </c>
      <c r="DK225" s="161"/>
      <c r="DL225" s="161"/>
      <c r="DM225" s="161"/>
      <c r="DN225" s="161"/>
      <c r="DO225" s="161"/>
      <c r="DP225" s="161"/>
      <c r="DQ225" s="161"/>
      <c r="DR225" s="161"/>
      <c r="DS225" s="161"/>
      <c r="DT225" s="161"/>
      <c r="DU225" s="161"/>
      <c r="DV225" s="161"/>
      <c r="DW225" s="161"/>
      <c r="DX225" s="161"/>
      <c r="DY225" s="161"/>
      <c r="DZ225" s="161"/>
      <c r="EA225" s="161"/>
      <c r="EB225" s="161"/>
      <c r="EC225" s="161"/>
      <c r="ED225" s="161"/>
      <c r="EE225" s="161"/>
      <c r="EF225" s="161">
        <f>SUM(EG225:EP225)</f>
      </c>
      <c r="EG225" s="161"/>
      <c r="EH225" s="161"/>
      <c r="EI225" s="161"/>
      <c r="EJ225" s="161"/>
      <c r="EK225" s="161"/>
      <c r="EL225" s="161"/>
      <c r="EM225" s="161"/>
      <c r="EN225" s="161"/>
      <c r="EO225" s="161"/>
      <c r="EP225" s="161"/>
      <c r="EQ225" s="161">
        <f>SUM(ER225:ES225)</f>
      </c>
      <c r="ER225" s="161"/>
      <c r="ES225" s="161"/>
      <c r="ET225" s="161"/>
      <c r="EU225" s="161"/>
      <c r="EV225" s="161"/>
      <c r="EW225" s="161"/>
      <c r="EX225" s="161"/>
      <c r="EY225" s="161"/>
      <c r="EZ225" s="161"/>
      <c r="FA225" s="161"/>
      <c r="FB225" s="161"/>
      <c r="FC225" s="161"/>
      <c r="FD225" s="161"/>
      <c r="FE225" s="161"/>
      <c r="FF225" s="161"/>
      <c r="FG225" s="161"/>
      <c r="FH225" s="163" cm="1">
        <f t="array" ref="FH225">ROW()-ROW(Ongoing[#Headers])</f>
        <v>219</v>
      </c>
      <c r="FI225" s="164" t="s">
        <v>1243</v>
      </c>
      <c r="FJ225" s="164" t="s">
        <v>737</v>
      </c>
      <c r="FK225" s="164" t="s">
        <v>1244</v>
      </c>
      <c r="FL225" s="164" t="s">
        <v>1245</v>
      </c>
      <c r="FM225" s="164">
        <v>0</v>
      </c>
      <c r="FN225" s="164" t="s">
        <v>1243</v>
      </c>
      <c r="FO225" s="164" t="s">
        <v>1246</v>
      </c>
      <c r="FP225" s="164" t="s">
        <v>850</v>
      </c>
    </row>
    <row r="226" spans="2:172" s="115" customFormat="1" ht="11.25" x14ac:dyDescent="0.2">
      <c r="B226" s="148"/>
      <c r="C226" s="148"/>
      <c r="D226" s="148"/>
      <c r="E226" s="148"/>
      <c r="F226" s="148"/>
      <c r="G226" s="148"/>
      <c r="H226" s="148"/>
      <c r="I226" s="148"/>
      <c r="J226" s="148"/>
      <c r="K226" s="148"/>
      <c r="L226" s="148"/>
      <c r="M226" s="160"/>
      <c r="N226" s="160"/>
      <c r="O226" s="148"/>
      <c r="P226" s="161">
        <f>SUM(Q226:AP226)</f>
      </c>
      <c r="Q226" s="161"/>
      <c r="R226" s="161"/>
      <c r="S226" s="161"/>
      <c r="T226" s="161"/>
      <c r="U226" s="161"/>
      <c r="V226" s="161"/>
      <c r="W226" s="161"/>
      <c r="X226" s="161"/>
      <c r="Y226" s="161"/>
      <c r="Z226" s="161"/>
      <c r="AA226" s="161"/>
      <c r="AB226" s="161"/>
      <c r="AC226" s="161"/>
      <c r="AD226" s="161"/>
      <c r="AE226" s="161"/>
      <c r="AF226" s="161"/>
      <c r="AG226" s="161"/>
      <c r="AH226" s="161"/>
      <c r="AI226" s="161"/>
      <c r="AJ226" s="161"/>
      <c r="AK226" s="161"/>
      <c r="AL226" s="161"/>
      <c r="AM226" s="161"/>
      <c r="AN226" s="161"/>
      <c r="AO226" s="161"/>
      <c r="AP226" s="161"/>
      <c r="AQ226" s="161">
        <f>SUM(AR226:AU226)</f>
      </c>
      <c r="AR226" s="161"/>
      <c r="AS226" s="161"/>
      <c r="AT226" s="161"/>
      <c r="AU226" s="161"/>
      <c r="AV226" s="161">
        <f>SUM(AW226:BH226)</f>
      </c>
      <c r="AW226" s="161"/>
      <c r="AX226" s="161"/>
      <c r="AY226" s="161"/>
      <c r="AZ226" s="161"/>
      <c r="BA226" s="161"/>
      <c r="BB226" s="161"/>
      <c r="BC226" s="161"/>
      <c r="BD226" s="161"/>
      <c r="BE226" s="161"/>
      <c r="BF226" s="161"/>
      <c r="BG226" s="161"/>
      <c r="BH226" s="161"/>
      <c r="BI226" s="161"/>
      <c r="BJ226" s="161"/>
      <c r="BK226" s="161"/>
      <c r="BL226" s="161"/>
      <c r="BM226" s="161"/>
      <c r="BN226" s="161"/>
      <c r="BO226" s="161"/>
      <c r="BP226" s="161"/>
      <c r="BQ226" s="161"/>
      <c r="BR226" s="161"/>
      <c r="BS226" s="161">
        <f>SUM(BT226:BV226)</f>
      </c>
      <c r="BT226" s="161"/>
      <c r="BU226" s="161"/>
      <c r="BV226" s="161"/>
      <c r="BW226" s="161">
        <f>SUM(BX226:CC226)</f>
      </c>
      <c r="BX226" s="161"/>
      <c r="BY226" s="161"/>
      <c r="BZ226" s="161"/>
      <c r="CA226" s="161"/>
      <c r="CB226" s="161"/>
      <c r="CC226" s="161"/>
      <c r="CD226" s="161"/>
      <c r="CE226" s="161"/>
      <c r="CF226" s="161"/>
      <c r="CG226" s="161"/>
      <c r="CH226" s="161"/>
      <c r="CI226" s="161"/>
      <c r="CJ226" s="161">
        <f>SUM(CK226:CM226)</f>
      </c>
      <c r="CK226" s="161"/>
      <c r="CL226" s="161"/>
      <c r="CM226" s="161"/>
      <c r="CN226" s="161">
        <f>SUM(CO226:CS226)</f>
      </c>
      <c r="CO226" s="161"/>
      <c r="CP226" s="161"/>
      <c r="CQ226" s="161"/>
      <c r="CR226" s="161"/>
      <c r="CS226" s="161"/>
      <c r="CT226" s="161"/>
      <c r="CU226" s="161"/>
      <c r="CV226" s="161"/>
      <c r="CW226" s="161"/>
      <c r="CX226" s="161"/>
      <c r="CY226" s="161"/>
      <c r="CZ226" s="161"/>
      <c r="DA226" s="161"/>
      <c r="DB226" s="161"/>
      <c r="DC226" s="161"/>
      <c r="DD226" s="161"/>
      <c r="DE226" s="161"/>
      <c r="DF226" s="161">
        <f>SUM(DG226:DG226)</f>
      </c>
      <c r="DG226" s="161"/>
      <c r="DH226" s="161"/>
      <c r="DI226" s="161"/>
      <c r="DJ226" s="161">
        <f>SUM(DK226:DP226)</f>
      </c>
      <c r="DK226" s="161"/>
      <c r="DL226" s="161"/>
      <c r="DM226" s="161"/>
      <c r="DN226" s="161"/>
      <c r="DO226" s="161"/>
      <c r="DP226" s="161"/>
      <c r="DQ226" s="161"/>
      <c r="DR226" s="161"/>
      <c r="DS226" s="161"/>
      <c r="DT226" s="161"/>
      <c r="DU226" s="161"/>
      <c r="DV226" s="161"/>
      <c r="DW226" s="161"/>
      <c r="DX226" s="161"/>
      <c r="DY226" s="161"/>
      <c r="DZ226" s="161"/>
      <c r="EA226" s="161"/>
      <c r="EB226" s="161"/>
      <c r="EC226" s="161"/>
      <c r="ED226" s="161"/>
      <c r="EE226" s="161"/>
      <c r="EF226" s="161">
        <f>SUM(EG226:EP226)</f>
      </c>
      <c r="EG226" s="161"/>
      <c r="EH226" s="161"/>
      <c r="EI226" s="161"/>
      <c r="EJ226" s="161"/>
      <c r="EK226" s="161"/>
      <c r="EL226" s="161"/>
      <c r="EM226" s="161"/>
      <c r="EN226" s="161"/>
      <c r="EO226" s="161"/>
      <c r="EP226" s="161"/>
      <c r="EQ226" s="161">
        <f>SUM(ER226:ES226)</f>
      </c>
      <c r="ER226" s="161"/>
      <c r="ES226" s="161"/>
      <c r="ET226" s="161"/>
      <c r="EU226" s="161"/>
      <c r="EV226" s="161"/>
      <c r="EW226" s="161"/>
      <c r="EX226" s="161"/>
      <c r="EY226" s="161"/>
      <c r="EZ226" s="161"/>
      <c r="FA226" s="161"/>
      <c r="FB226" s="161"/>
      <c r="FC226" s="161"/>
      <c r="FD226" s="161"/>
      <c r="FE226" s="161"/>
      <c r="FF226" s="161"/>
      <c r="FG226" s="161"/>
      <c r="FH226" s="163" cm="1">
        <f t="array" ref="FH226">ROW()-ROW(Ongoing[#Headers])</f>
        <v>220</v>
      </c>
      <c r="FI226" s="164" t="s">
        <v>1243</v>
      </c>
      <c r="FJ226" s="164" t="s">
        <v>737</v>
      </c>
      <c r="FK226" s="164" t="s">
        <v>1244</v>
      </c>
      <c r="FL226" s="164" t="s">
        <v>1245</v>
      </c>
      <c r="FM226" s="164" t="s">
        <v>790</v>
      </c>
      <c r="FN226" s="164" t="s">
        <v>1243</v>
      </c>
      <c r="FO226" s="164" t="s">
        <v>1246</v>
      </c>
      <c r="FP226" s="164" t="s">
        <v>759</v>
      </c>
    </row>
    <row r="227" spans="2:172" s="115" customFormat="1" ht="11.25" x14ac:dyDescent="0.2">
      <c r="B227" s="148"/>
      <c r="C227" s="148"/>
      <c r="D227" s="148"/>
      <c r="E227" s="148"/>
      <c r="F227" s="148"/>
      <c r="G227" s="148"/>
      <c r="H227" s="148"/>
      <c r="I227" s="148"/>
      <c r="J227" s="148"/>
      <c r="K227" s="148"/>
      <c r="L227" s="148"/>
      <c r="M227" s="160"/>
      <c r="N227" s="160"/>
      <c r="O227" s="148"/>
      <c r="P227" s="161">
        <f>SUM(Q227:AP227)</f>
      </c>
      <c r="Q227" s="161"/>
      <c r="R227" s="161"/>
      <c r="S227" s="161"/>
      <c r="T227" s="161"/>
      <c r="U227" s="161"/>
      <c r="V227" s="161"/>
      <c r="W227" s="161"/>
      <c r="X227" s="161"/>
      <c r="Y227" s="161"/>
      <c r="Z227" s="161"/>
      <c r="AA227" s="161"/>
      <c r="AB227" s="161"/>
      <c r="AC227" s="161"/>
      <c r="AD227" s="161"/>
      <c r="AE227" s="161"/>
      <c r="AF227" s="161"/>
      <c r="AG227" s="161"/>
      <c r="AH227" s="161"/>
      <c r="AI227" s="161"/>
      <c r="AJ227" s="161"/>
      <c r="AK227" s="161"/>
      <c r="AL227" s="161"/>
      <c r="AM227" s="161"/>
      <c r="AN227" s="161"/>
      <c r="AO227" s="161"/>
      <c r="AP227" s="161"/>
      <c r="AQ227" s="161">
        <f>SUM(AR227:AU227)</f>
      </c>
      <c r="AR227" s="161"/>
      <c r="AS227" s="161"/>
      <c r="AT227" s="161"/>
      <c r="AU227" s="161"/>
      <c r="AV227" s="161">
        <f>SUM(AW227:BH227)</f>
      </c>
      <c r="AW227" s="161"/>
      <c r="AX227" s="161"/>
      <c r="AY227" s="161"/>
      <c r="AZ227" s="161"/>
      <c r="BA227" s="161"/>
      <c r="BB227" s="161"/>
      <c r="BC227" s="161"/>
      <c r="BD227" s="161"/>
      <c r="BE227" s="161"/>
      <c r="BF227" s="161"/>
      <c r="BG227" s="161"/>
      <c r="BH227" s="161"/>
      <c r="BI227" s="161"/>
      <c r="BJ227" s="161"/>
      <c r="BK227" s="161"/>
      <c r="BL227" s="161"/>
      <c r="BM227" s="161"/>
      <c r="BN227" s="161"/>
      <c r="BO227" s="161"/>
      <c r="BP227" s="161"/>
      <c r="BQ227" s="161"/>
      <c r="BR227" s="161"/>
      <c r="BS227" s="161">
        <f>SUM(BT227:BV227)</f>
      </c>
      <c r="BT227" s="161"/>
      <c r="BU227" s="161"/>
      <c r="BV227" s="161"/>
      <c r="BW227" s="161">
        <f>SUM(BX227:CC227)</f>
      </c>
      <c r="BX227" s="161"/>
      <c r="BY227" s="161"/>
      <c r="BZ227" s="161"/>
      <c r="CA227" s="161"/>
      <c r="CB227" s="161"/>
      <c r="CC227" s="161"/>
      <c r="CD227" s="161"/>
      <c r="CE227" s="161"/>
      <c r="CF227" s="161"/>
      <c r="CG227" s="161"/>
      <c r="CH227" s="161"/>
      <c r="CI227" s="161"/>
      <c r="CJ227" s="161">
        <f>SUM(CK227:CM227)</f>
      </c>
      <c r="CK227" s="161"/>
      <c r="CL227" s="161"/>
      <c r="CM227" s="161"/>
      <c r="CN227" s="161">
        <f>SUM(CO227:CS227)</f>
      </c>
      <c r="CO227" s="161"/>
      <c r="CP227" s="161"/>
      <c r="CQ227" s="161"/>
      <c r="CR227" s="161"/>
      <c r="CS227" s="161"/>
      <c r="CT227" s="161"/>
      <c r="CU227" s="161"/>
      <c r="CV227" s="161"/>
      <c r="CW227" s="161"/>
      <c r="CX227" s="161"/>
      <c r="CY227" s="161"/>
      <c r="CZ227" s="161"/>
      <c r="DA227" s="161"/>
      <c r="DB227" s="161"/>
      <c r="DC227" s="161"/>
      <c r="DD227" s="161"/>
      <c r="DE227" s="161"/>
      <c r="DF227" s="161">
        <f>SUM(DG227:DG227)</f>
      </c>
      <c r="DG227" s="161"/>
      <c r="DH227" s="161"/>
      <c r="DI227" s="161"/>
      <c r="DJ227" s="161">
        <f>SUM(DK227:DP227)</f>
      </c>
      <c r="DK227" s="161"/>
      <c r="DL227" s="161"/>
      <c r="DM227" s="161"/>
      <c r="DN227" s="161"/>
      <c r="DO227" s="161"/>
      <c r="DP227" s="161"/>
      <c r="DQ227" s="161"/>
      <c r="DR227" s="161"/>
      <c r="DS227" s="161"/>
      <c r="DT227" s="161"/>
      <c r="DU227" s="161"/>
      <c r="DV227" s="161"/>
      <c r="DW227" s="161"/>
      <c r="DX227" s="161"/>
      <c r="DY227" s="161"/>
      <c r="DZ227" s="161"/>
      <c r="EA227" s="161"/>
      <c r="EB227" s="161"/>
      <c r="EC227" s="161"/>
      <c r="ED227" s="161"/>
      <c r="EE227" s="161"/>
      <c r="EF227" s="161">
        <f>SUM(EG227:EP227)</f>
      </c>
      <c r="EG227" s="161"/>
      <c r="EH227" s="161"/>
      <c r="EI227" s="161"/>
      <c r="EJ227" s="161"/>
      <c r="EK227" s="161"/>
      <c r="EL227" s="161"/>
      <c r="EM227" s="161"/>
      <c r="EN227" s="161"/>
      <c r="EO227" s="161"/>
      <c r="EP227" s="161"/>
      <c r="EQ227" s="161">
        <f>SUM(ER227:ES227)</f>
      </c>
      <c r="ER227" s="161"/>
      <c r="ES227" s="161"/>
      <c r="ET227" s="161"/>
      <c r="EU227" s="161"/>
      <c r="EV227" s="161"/>
      <c r="EW227" s="161"/>
      <c r="EX227" s="161"/>
      <c r="EY227" s="161"/>
      <c r="EZ227" s="161"/>
      <c r="FA227" s="161"/>
      <c r="FB227" s="161"/>
      <c r="FC227" s="161"/>
      <c r="FD227" s="161"/>
      <c r="FE227" s="161"/>
      <c r="FF227" s="161"/>
      <c r="FG227" s="161"/>
      <c r="FH227" s="163" cm="1">
        <f t="array" ref="FH227">ROW()-ROW(Ongoing[#Headers])</f>
        <v>221</v>
      </c>
      <c r="FI227" s="164" t="s">
        <v>1243</v>
      </c>
      <c r="FJ227" s="164" t="s">
        <v>737</v>
      </c>
      <c r="FK227" s="164" t="s">
        <v>1244</v>
      </c>
      <c r="FL227" s="164" t="s">
        <v>789</v>
      </c>
      <c r="FM227" s="164" t="s">
        <v>790</v>
      </c>
      <c r="FN227" s="164" t="s">
        <v>1243</v>
      </c>
      <c r="FO227" s="164" t="s">
        <v>1246</v>
      </c>
      <c r="FP227" s="164" t="s">
        <v>850</v>
      </c>
    </row>
    <row r="228" spans="2:172" s="115" customFormat="1" ht="11.25" x14ac:dyDescent="0.2">
      <c r="B228" s="148"/>
      <c r="C228" s="148"/>
      <c r="D228" s="148"/>
      <c r="E228" s="148"/>
      <c r="F228" s="148"/>
      <c r="G228" s="148"/>
      <c r="H228" s="148"/>
      <c r="I228" s="148"/>
      <c r="J228" s="148"/>
      <c r="K228" s="148"/>
      <c r="L228" s="148"/>
      <c r="M228" s="160"/>
      <c r="N228" s="160"/>
      <c r="O228" s="148"/>
      <c r="P228" s="161">
        <f>SUM(Q228:AP228)</f>
      </c>
      <c r="Q228" s="161"/>
      <c r="R228" s="161"/>
      <c r="S228" s="161"/>
      <c r="T228" s="161"/>
      <c r="U228" s="161"/>
      <c r="V228" s="161"/>
      <c r="W228" s="161"/>
      <c r="X228" s="161"/>
      <c r="Y228" s="161"/>
      <c r="Z228" s="161"/>
      <c r="AA228" s="161"/>
      <c r="AB228" s="161"/>
      <c r="AC228" s="161"/>
      <c r="AD228" s="161"/>
      <c r="AE228" s="161"/>
      <c r="AF228" s="161"/>
      <c r="AG228" s="161"/>
      <c r="AH228" s="161"/>
      <c r="AI228" s="161"/>
      <c r="AJ228" s="161"/>
      <c r="AK228" s="161"/>
      <c r="AL228" s="161"/>
      <c r="AM228" s="161"/>
      <c r="AN228" s="161"/>
      <c r="AO228" s="161"/>
      <c r="AP228" s="161"/>
      <c r="AQ228" s="161">
        <f>SUM(AR228:AU228)</f>
      </c>
      <c r="AR228" s="161"/>
      <c r="AS228" s="161"/>
      <c r="AT228" s="161"/>
      <c r="AU228" s="161"/>
      <c r="AV228" s="161">
        <f>SUM(AW228:BH228)</f>
      </c>
      <c r="AW228" s="161"/>
      <c r="AX228" s="161"/>
      <c r="AY228" s="161"/>
      <c r="AZ228" s="161"/>
      <c r="BA228" s="161"/>
      <c r="BB228" s="161"/>
      <c r="BC228" s="161"/>
      <c r="BD228" s="161"/>
      <c r="BE228" s="161"/>
      <c r="BF228" s="161"/>
      <c r="BG228" s="161"/>
      <c r="BH228" s="161"/>
      <c r="BI228" s="161"/>
      <c r="BJ228" s="161"/>
      <c r="BK228" s="161"/>
      <c r="BL228" s="161"/>
      <c r="BM228" s="161"/>
      <c r="BN228" s="161"/>
      <c r="BO228" s="161"/>
      <c r="BP228" s="161"/>
      <c r="BQ228" s="161"/>
      <c r="BR228" s="161"/>
      <c r="BS228" s="161">
        <f>SUM(BT228:BV228)</f>
      </c>
      <c r="BT228" s="161"/>
      <c r="BU228" s="161"/>
      <c r="BV228" s="161"/>
      <c r="BW228" s="161">
        <f>SUM(BX228:CC228)</f>
      </c>
      <c r="BX228" s="161"/>
      <c r="BY228" s="161"/>
      <c r="BZ228" s="161"/>
      <c r="CA228" s="161"/>
      <c r="CB228" s="161"/>
      <c r="CC228" s="161"/>
      <c r="CD228" s="161"/>
      <c r="CE228" s="161"/>
      <c r="CF228" s="161"/>
      <c r="CG228" s="161"/>
      <c r="CH228" s="161"/>
      <c r="CI228" s="161"/>
      <c r="CJ228" s="161">
        <f>SUM(CK228:CM228)</f>
      </c>
      <c r="CK228" s="161"/>
      <c r="CL228" s="161"/>
      <c r="CM228" s="161"/>
      <c r="CN228" s="161">
        <f>SUM(CO228:CS228)</f>
      </c>
      <c r="CO228" s="161"/>
      <c r="CP228" s="161"/>
      <c r="CQ228" s="161"/>
      <c r="CR228" s="161"/>
      <c r="CS228" s="161"/>
      <c r="CT228" s="161"/>
      <c r="CU228" s="161"/>
      <c r="CV228" s="161"/>
      <c r="CW228" s="161"/>
      <c r="CX228" s="161"/>
      <c r="CY228" s="161"/>
      <c r="CZ228" s="161"/>
      <c r="DA228" s="161"/>
      <c r="DB228" s="161"/>
      <c r="DC228" s="161"/>
      <c r="DD228" s="161"/>
      <c r="DE228" s="161"/>
      <c r="DF228" s="161">
        <f>SUM(DG228:DG228)</f>
      </c>
      <c r="DG228" s="161"/>
      <c r="DH228" s="161"/>
      <c r="DI228" s="161"/>
      <c r="DJ228" s="161">
        <f>SUM(DK228:DP228)</f>
      </c>
      <c r="DK228" s="161"/>
      <c r="DL228" s="161"/>
      <c r="DM228" s="161"/>
      <c r="DN228" s="161"/>
      <c r="DO228" s="161"/>
      <c r="DP228" s="161"/>
      <c r="DQ228" s="161"/>
      <c r="DR228" s="161"/>
      <c r="DS228" s="161"/>
      <c r="DT228" s="161"/>
      <c r="DU228" s="161"/>
      <c r="DV228" s="161"/>
      <c r="DW228" s="161"/>
      <c r="DX228" s="161"/>
      <c r="DY228" s="161"/>
      <c r="DZ228" s="161"/>
      <c r="EA228" s="161"/>
      <c r="EB228" s="161"/>
      <c r="EC228" s="161"/>
      <c r="ED228" s="161"/>
      <c r="EE228" s="161"/>
      <c r="EF228" s="161">
        <f>SUM(EG228:EP228)</f>
      </c>
      <c r="EG228" s="161"/>
      <c r="EH228" s="161"/>
      <c r="EI228" s="161"/>
      <c r="EJ228" s="161"/>
      <c r="EK228" s="161"/>
      <c r="EL228" s="161"/>
      <c r="EM228" s="161"/>
      <c r="EN228" s="161"/>
      <c r="EO228" s="161"/>
      <c r="EP228" s="161"/>
      <c r="EQ228" s="161">
        <f>SUM(ER228:ES228)</f>
      </c>
      <c r="ER228" s="161"/>
      <c r="ES228" s="161"/>
      <c r="ET228" s="161"/>
      <c r="EU228" s="161"/>
      <c r="EV228" s="161"/>
      <c r="EW228" s="161"/>
      <c r="EX228" s="161"/>
      <c r="EY228" s="161"/>
      <c r="EZ228" s="161"/>
      <c r="FA228" s="161"/>
      <c r="FB228" s="161"/>
      <c r="FC228" s="161"/>
      <c r="FD228" s="161"/>
      <c r="FE228" s="161"/>
      <c r="FF228" s="161"/>
      <c r="FG228" s="161"/>
      <c r="FH228" s="163" cm="1">
        <f t="array" ref="FH228">ROW()-ROW(Ongoing[#Headers])</f>
        <v>222</v>
      </c>
      <c r="FI228" s="164" t="s">
        <v>1243</v>
      </c>
      <c r="FJ228" s="164" t="s">
        <v>737</v>
      </c>
      <c r="FK228" s="164" t="s">
        <v>1244</v>
      </c>
      <c r="FL228" s="164" t="s">
        <v>1245</v>
      </c>
      <c r="FM228" s="164" t="s">
        <v>790</v>
      </c>
      <c r="FN228" s="164" t="s">
        <v>1243</v>
      </c>
      <c r="FO228" s="164" t="s">
        <v>1246</v>
      </c>
      <c r="FP228" s="164" t="s">
        <v>759</v>
      </c>
    </row>
    <row r="229" spans="2:172" s="115" customFormat="1" ht="11.25" x14ac:dyDescent="0.2">
      <c r="B229" s="148"/>
      <c r="C229" s="148"/>
      <c r="D229" s="148"/>
      <c r="E229" s="148"/>
      <c r="F229" s="148"/>
      <c r="G229" s="148"/>
      <c r="H229" s="148"/>
      <c r="I229" s="148"/>
      <c r="J229" s="148"/>
      <c r="K229" s="148"/>
      <c r="L229" s="148"/>
      <c r="M229" s="160"/>
      <c r="N229" s="160"/>
      <c r="O229" s="148"/>
      <c r="P229" s="161">
        <f>SUM(Q229:AP229)</f>
      </c>
      <c r="Q229" s="161"/>
      <c r="R229" s="161"/>
      <c r="S229" s="161"/>
      <c r="T229" s="161"/>
      <c r="U229" s="161"/>
      <c r="V229" s="161"/>
      <c r="W229" s="161"/>
      <c r="X229" s="161"/>
      <c r="Y229" s="161"/>
      <c r="Z229" s="161"/>
      <c r="AA229" s="161"/>
      <c r="AB229" s="161"/>
      <c r="AC229" s="161"/>
      <c r="AD229" s="161"/>
      <c r="AE229" s="161"/>
      <c r="AF229" s="161"/>
      <c r="AG229" s="161"/>
      <c r="AH229" s="161"/>
      <c r="AI229" s="161"/>
      <c r="AJ229" s="161"/>
      <c r="AK229" s="161"/>
      <c r="AL229" s="161"/>
      <c r="AM229" s="161"/>
      <c r="AN229" s="161"/>
      <c r="AO229" s="161"/>
      <c r="AP229" s="161"/>
      <c r="AQ229" s="161">
        <f>SUM(AR229:AU229)</f>
      </c>
      <c r="AR229" s="161"/>
      <c r="AS229" s="161"/>
      <c r="AT229" s="161"/>
      <c r="AU229" s="161"/>
      <c r="AV229" s="161">
        <f>SUM(AW229:BH229)</f>
      </c>
      <c r="AW229" s="161"/>
      <c r="AX229" s="161"/>
      <c r="AY229" s="161"/>
      <c r="AZ229" s="161"/>
      <c r="BA229" s="161"/>
      <c r="BB229" s="161"/>
      <c r="BC229" s="161"/>
      <c r="BD229" s="161"/>
      <c r="BE229" s="161"/>
      <c r="BF229" s="161"/>
      <c r="BG229" s="161"/>
      <c r="BH229" s="161"/>
      <c r="BI229" s="161"/>
      <c r="BJ229" s="161"/>
      <c r="BK229" s="161"/>
      <c r="BL229" s="161"/>
      <c r="BM229" s="161"/>
      <c r="BN229" s="161"/>
      <c r="BO229" s="161"/>
      <c r="BP229" s="161"/>
      <c r="BQ229" s="161"/>
      <c r="BR229" s="161"/>
      <c r="BS229" s="161">
        <f>SUM(BT229:BV229)</f>
      </c>
      <c r="BT229" s="161"/>
      <c r="BU229" s="161"/>
      <c r="BV229" s="161"/>
      <c r="BW229" s="161">
        <f>SUM(BX229:CC229)</f>
      </c>
      <c r="BX229" s="161"/>
      <c r="BY229" s="161"/>
      <c r="BZ229" s="161"/>
      <c r="CA229" s="161"/>
      <c r="CB229" s="161"/>
      <c r="CC229" s="161"/>
      <c r="CD229" s="161"/>
      <c r="CE229" s="161"/>
      <c r="CF229" s="161"/>
      <c r="CG229" s="161"/>
      <c r="CH229" s="161"/>
      <c r="CI229" s="161"/>
      <c r="CJ229" s="161">
        <f>SUM(CK229:CM229)</f>
      </c>
      <c r="CK229" s="161"/>
      <c r="CL229" s="161"/>
      <c r="CM229" s="161"/>
      <c r="CN229" s="161">
        <f>SUM(CO229:CS229)</f>
      </c>
      <c r="CO229" s="161"/>
      <c r="CP229" s="161"/>
      <c r="CQ229" s="161"/>
      <c r="CR229" s="161"/>
      <c r="CS229" s="161"/>
      <c r="CT229" s="161"/>
      <c r="CU229" s="161"/>
      <c r="CV229" s="161"/>
      <c r="CW229" s="161"/>
      <c r="CX229" s="161"/>
      <c r="CY229" s="161"/>
      <c r="CZ229" s="161"/>
      <c r="DA229" s="161"/>
      <c r="DB229" s="161"/>
      <c r="DC229" s="161"/>
      <c r="DD229" s="161"/>
      <c r="DE229" s="161"/>
      <c r="DF229" s="161">
        <f>SUM(DG229:DG229)</f>
      </c>
      <c r="DG229" s="161"/>
      <c r="DH229" s="161"/>
      <c r="DI229" s="161"/>
      <c r="DJ229" s="161">
        <f>SUM(DK229:DP229)</f>
      </c>
      <c r="DK229" s="161"/>
      <c r="DL229" s="161"/>
      <c r="DM229" s="161"/>
      <c r="DN229" s="161"/>
      <c r="DO229" s="161"/>
      <c r="DP229" s="161"/>
      <c r="DQ229" s="161"/>
      <c r="DR229" s="161"/>
      <c r="DS229" s="161"/>
      <c r="DT229" s="161"/>
      <c r="DU229" s="161"/>
      <c r="DV229" s="161"/>
      <c r="DW229" s="161"/>
      <c r="DX229" s="161"/>
      <c r="DY229" s="161"/>
      <c r="DZ229" s="161"/>
      <c r="EA229" s="161"/>
      <c r="EB229" s="161"/>
      <c r="EC229" s="161"/>
      <c r="ED229" s="161"/>
      <c r="EE229" s="161"/>
      <c r="EF229" s="161">
        <f>SUM(EG229:EP229)</f>
      </c>
      <c r="EG229" s="161"/>
      <c r="EH229" s="161"/>
      <c r="EI229" s="161"/>
      <c r="EJ229" s="161"/>
      <c r="EK229" s="161"/>
      <c r="EL229" s="161"/>
      <c r="EM229" s="161"/>
      <c r="EN229" s="161"/>
      <c r="EO229" s="161"/>
      <c r="EP229" s="161"/>
      <c r="EQ229" s="161">
        <f>SUM(ER229:ES229)</f>
      </c>
      <c r="ER229" s="161"/>
      <c r="ES229" s="161"/>
      <c r="ET229" s="161"/>
      <c r="EU229" s="161"/>
      <c r="EV229" s="161"/>
      <c r="EW229" s="161"/>
      <c r="EX229" s="161"/>
      <c r="EY229" s="161"/>
      <c r="EZ229" s="161"/>
      <c r="FA229" s="161"/>
      <c r="FB229" s="161"/>
      <c r="FC229" s="161"/>
      <c r="FD229" s="161"/>
      <c r="FE229" s="161"/>
      <c r="FF229" s="161"/>
      <c r="FG229" s="161"/>
      <c r="FH229" s="163" cm="1">
        <f t="array" ref="FH229">ROW()-ROW(Ongoing[#Headers])</f>
        <v>223</v>
      </c>
      <c r="FI229" s="164" t="s">
        <v>1243</v>
      </c>
      <c r="FJ229" s="164" t="s">
        <v>737</v>
      </c>
      <c r="FK229" s="164" t="s">
        <v>1244</v>
      </c>
      <c r="FL229" s="164" t="s">
        <v>1245</v>
      </c>
      <c r="FM229" s="164">
        <v>0</v>
      </c>
      <c r="FN229" s="164" t="s">
        <v>1243</v>
      </c>
      <c r="FO229" s="164" t="s">
        <v>1246</v>
      </c>
      <c r="FP229" s="164" t="s">
        <v>850</v>
      </c>
    </row>
    <row r="230" spans="2:172" s="115" customFormat="1" ht="11.25" x14ac:dyDescent="0.2">
      <c r="B230" s="148"/>
      <c r="C230" s="148"/>
      <c r="D230" s="148"/>
      <c r="E230" s="148"/>
      <c r="F230" s="148"/>
      <c r="G230" s="148"/>
      <c r="H230" s="148"/>
      <c r="I230" s="148"/>
      <c r="J230" s="148"/>
      <c r="K230" s="148"/>
      <c r="L230" s="148"/>
      <c r="M230" s="160"/>
      <c r="N230" s="160"/>
      <c r="O230" s="148"/>
      <c r="P230" s="161">
        <f>SUM(Q230:AP230)</f>
      </c>
      <c r="Q230" s="161"/>
      <c r="R230" s="161"/>
      <c r="S230" s="161"/>
      <c r="T230" s="161"/>
      <c r="U230" s="161"/>
      <c r="V230" s="161"/>
      <c r="W230" s="161"/>
      <c r="X230" s="161"/>
      <c r="Y230" s="161"/>
      <c r="Z230" s="161"/>
      <c r="AA230" s="161"/>
      <c r="AB230" s="161"/>
      <c r="AC230" s="161"/>
      <c r="AD230" s="161"/>
      <c r="AE230" s="161"/>
      <c r="AF230" s="161"/>
      <c r="AG230" s="161"/>
      <c r="AH230" s="161"/>
      <c r="AI230" s="161"/>
      <c r="AJ230" s="161"/>
      <c r="AK230" s="161"/>
      <c r="AL230" s="161"/>
      <c r="AM230" s="161"/>
      <c r="AN230" s="161"/>
      <c r="AO230" s="161"/>
      <c r="AP230" s="161"/>
      <c r="AQ230" s="161">
        <f>SUM(AR230:AU230)</f>
      </c>
      <c r="AR230" s="161"/>
      <c r="AS230" s="161"/>
      <c r="AT230" s="161"/>
      <c r="AU230" s="161"/>
      <c r="AV230" s="161">
        <f>SUM(AW230:BH230)</f>
      </c>
      <c r="AW230" s="161"/>
      <c r="AX230" s="161"/>
      <c r="AY230" s="161"/>
      <c r="AZ230" s="161"/>
      <c r="BA230" s="161"/>
      <c r="BB230" s="161"/>
      <c r="BC230" s="161"/>
      <c r="BD230" s="161"/>
      <c r="BE230" s="161"/>
      <c r="BF230" s="161"/>
      <c r="BG230" s="161"/>
      <c r="BH230" s="161"/>
      <c r="BI230" s="161"/>
      <c r="BJ230" s="161"/>
      <c r="BK230" s="161"/>
      <c r="BL230" s="161"/>
      <c r="BM230" s="161"/>
      <c r="BN230" s="161"/>
      <c r="BO230" s="161"/>
      <c r="BP230" s="161"/>
      <c r="BQ230" s="161"/>
      <c r="BR230" s="161"/>
      <c r="BS230" s="161">
        <f>SUM(BT230:BV230)</f>
      </c>
      <c r="BT230" s="161"/>
      <c r="BU230" s="161"/>
      <c r="BV230" s="161"/>
      <c r="BW230" s="161">
        <f>SUM(BX230:CC230)</f>
      </c>
      <c r="BX230" s="161"/>
      <c r="BY230" s="161"/>
      <c r="BZ230" s="161"/>
      <c r="CA230" s="161"/>
      <c r="CB230" s="161"/>
      <c r="CC230" s="161"/>
      <c r="CD230" s="161"/>
      <c r="CE230" s="161"/>
      <c r="CF230" s="161"/>
      <c r="CG230" s="161"/>
      <c r="CH230" s="161"/>
      <c r="CI230" s="161"/>
      <c r="CJ230" s="161">
        <f>SUM(CK230:CM230)</f>
      </c>
      <c r="CK230" s="161"/>
      <c r="CL230" s="161"/>
      <c r="CM230" s="161"/>
      <c r="CN230" s="161">
        <f>SUM(CO230:CS230)</f>
      </c>
      <c r="CO230" s="161"/>
      <c r="CP230" s="161"/>
      <c r="CQ230" s="161"/>
      <c r="CR230" s="161"/>
      <c r="CS230" s="161"/>
      <c r="CT230" s="161"/>
      <c r="CU230" s="161"/>
      <c r="CV230" s="161"/>
      <c r="CW230" s="161"/>
      <c r="CX230" s="161"/>
      <c r="CY230" s="161"/>
      <c r="CZ230" s="161"/>
      <c r="DA230" s="161"/>
      <c r="DB230" s="161"/>
      <c r="DC230" s="161"/>
      <c r="DD230" s="161"/>
      <c r="DE230" s="161"/>
      <c r="DF230" s="161">
        <f>SUM(DG230:DG230)</f>
      </c>
      <c r="DG230" s="161"/>
      <c r="DH230" s="161"/>
      <c r="DI230" s="161"/>
      <c r="DJ230" s="161">
        <f>SUM(DK230:DP230)</f>
      </c>
      <c r="DK230" s="161"/>
      <c r="DL230" s="161"/>
      <c r="DM230" s="161"/>
      <c r="DN230" s="161"/>
      <c r="DO230" s="161"/>
      <c r="DP230" s="161"/>
      <c r="DQ230" s="161"/>
      <c r="DR230" s="161"/>
      <c r="DS230" s="161"/>
      <c r="DT230" s="161"/>
      <c r="DU230" s="161"/>
      <c r="DV230" s="161"/>
      <c r="DW230" s="161"/>
      <c r="DX230" s="161"/>
      <c r="DY230" s="161"/>
      <c r="DZ230" s="161"/>
      <c r="EA230" s="161"/>
      <c r="EB230" s="161"/>
      <c r="EC230" s="161"/>
      <c r="ED230" s="161"/>
      <c r="EE230" s="161"/>
      <c r="EF230" s="161">
        <f>SUM(EG230:EP230)</f>
      </c>
      <c r="EG230" s="161"/>
      <c r="EH230" s="161"/>
      <c r="EI230" s="161"/>
      <c r="EJ230" s="161"/>
      <c r="EK230" s="161"/>
      <c r="EL230" s="161"/>
      <c r="EM230" s="161"/>
      <c r="EN230" s="161"/>
      <c r="EO230" s="161"/>
      <c r="EP230" s="161"/>
      <c r="EQ230" s="161">
        <f>SUM(ER230:ES230)</f>
      </c>
      <c r="ER230" s="161"/>
      <c r="ES230" s="161"/>
      <c r="ET230" s="161"/>
      <c r="EU230" s="161"/>
      <c r="EV230" s="161"/>
      <c r="EW230" s="161"/>
      <c r="EX230" s="161"/>
      <c r="EY230" s="161"/>
      <c r="EZ230" s="161"/>
      <c r="FA230" s="161"/>
      <c r="FB230" s="161"/>
      <c r="FC230" s="161"/>
      <c r="FD230" s="161"/>
      <c r="FE230" s="161"/>
      <c r="FF230" s="161"/>
      <c r="FG230" s="161"/>
      <c r="FH230" s="163" cm="1">
        <f t="array" ref="FH230">ROW()-ROW(Ongoing[#Headers])</f>
        <v>224</v>
      </c>
      <c r="FI230" s="164" t="e">
        <v>#N/A</v>
      </c>
      <c r="FJ230" s="164" t="s">
        <v>1259</v>
      </c>
      <c r="FK230" s="164" t="e">
        <v>#N/A</v>
      </c>
      <c r="FL230" s="164" t="e">
        <v>#N/A</v>
      </c>
      <c r="FM230" s="164" t="e">
        <v>#N/A</v>
      </c>
      <c r="FN230" s="164" t="e">
        <v>#N/A</v>
      </c>
      <c r="FO230" s="164" t="e">
        <v>#N/A</v>
      </c>
      <c r="FP230" s="164" t="e">
        <v>#N/A</v>
      </c>
    </row>
    <row r="231" spans="2:172" s="115" customFormat="1" ht="11.25" x14ac:dyDescent="0.2">
      <c r="B231" s="148"/>
      <c r="C231" s="148"/>
      <c r="D231" s="148"/>
      <c r="E231" s="148"/>
      <c r="F231" s="148"/>
      <c r="G231" s="148"/>
      <c r="H231" s="148"/>
      <c r="I231" s="148"/>
      <c r="J231" s="148"/>
      <c r="K231" s="148"/>
      <c r="L231" s="148"/>
      <c r="M231" s="160"/>
      <c r="N231" s="160"/>
      <c r="O231" s="148"/>
      <c r="P231" s="161">
        <f>SUM(Q231:AP231)</f>
      </c>
      <c r="Q231" s="161"/>
      <c r="R231" s="161"/>
      <c r="S231" s="161"/>
      <c r="T231" s="161"/>
      <c r="U231" s="161"/>
      <c r="V231" s="161"/>
      <c r="W231" s="161"/>
      <c r="X231" s="161"/>
      <c r="Y231" s="161"/>
      <c r="Z231" s="161"/>
      <c r="AA231" s="161"/>
      <c r="AB231" s="161"/>
      <c r="AC231" s="161"/>
      <c r="AD231" s="161"/>
      <c r="AE231" s="161"/>
      <c r="AF231" s="161"/>
      <c r="AG231" s="161"/>
      <c r="AH231" s="161"/>
      <c r="AI231" s="161"/>
      <c r="AJ231" s="161"/>
      <c r="AK231" s="161"/>
      <c r="AL231" s="161"/>
      <c r="AM231" s="161"/>
      <c r="AN231" s="161"/>
      <c r="AO231" s="161"/>
      <c r="AP231" s="161"/>
      <c r="AQ231" s="161">
        <f>SUM(AR231:AU231)</f>
      </c>
      <c r="AR231" s="161"/>
      <c r="AS231" s="161"/>
      <c r="AT231" s="161"/>
      <c r="AU231" s="161"/>
      <c r="AV231" s="161">
        <f>SUM(AW231:BH231)</f>
      </c>
      <c r="AW231" s="161"/>
      <c r="AX231" s="161"/>
      <c r="AY231" s="161"/>
      <c r="AZ231" s="161"/>
      <c r="BA231" s="161"/>
      <c r="BB231" s="161"/>
      <c r="BC231" s="161"/>
      <c r="BD231" s="161"/>
      <c r="BE231" s="161"/>
      <c r="BF231" s="161"/>
      <c r="BG231" s="161"/>
      <c r="BH231" s="161"/>
      <c r="BI231" s="161"/>
      <c r="BJ231" s="161"/>
      <c r="BK231" s="161"/>
      <c r="BL231" s="161"/>
      <c r="BM231" s="161"/>
      <c r="BN231" s="161"/>
      <c r="BO231" s="161"/>
      <c r="BP231" s="161"/>
      <c r="BQ231" s="161"/>
      <c r="BR231" s="161"/>
      <c r="BS231" s="161">
        <f>SUM(BT231:BV231)</f>
      </c>
      <c r="BT231" s="161"/>
      <c r="BU231" s="161"/>
      <c r="BV231" s="161"/>
      <c r="BW231" s="161">
        <f>SUM(BX231:CC231)</f>
      </c>
      <c r="BX231" s="161"/>
      <c r="BY231" s="161"/>
      <c r="BZ231" s="161"/>
      <c r="CA231" s="161"/>
      <c r="CB231" s="161"/>
      <c r="CC231" s="161"/>
      <c r="CD231" s="161"/>
      <c r="CE231" s="161"/>
      <c r="CF231" s="161"/>
      <c r="CG231" s="161"/>
      <c r="CH231" s="161"/>
      <c r="CI231" s="161"/>
      <c r="CJ231" s="161">
        <f>SUM(CK231:CM231)</f>
      </c>
      <c r="CK231" s="161"/>
      <c r="CL231" s="161"/>
      <c r="CM231" s="161"/>
      <c r="CN231" s="161">
        <f>SUM(CO231:CS231)</f>
      </c>
      <c r="CO231" s="161"/>
      <c r="CP231" s="161"/>
      <c r="CQ231" s="161"/>
      <c r="CR231" s="161"/>
      <c r="CS231" s="161"/>
      <c r="CT231" s="161"/>
      <c r="CU231" s="161"/>
      <c r="CV231" s="161"/>
      <c r="CW231" s="161"/>
      <c r="CX231" s="161"/>
      <c r="CY231" s="161"/>
      <c r="CZ231" s="161"/>
      <c r="DA231" s="161"/>
      <c r="DB231" s="161"/>
      <c r="DC231" s="161"/>
      <c r="DD231" s="161"/>
      <c r="DE231" s="161"/>
      <c r="DF231" s="161">
        <f>SUM(DG231:DG231)</f>
      </c>
      <c r="DG231" s="161"/>
      <c r="DH231" s="161"/>
      <c r="DI231" s="161"/>
      <c r="DJ231" s="161">
        <f>SUM(DK231:DP231)</f>
      </c>
      <c r="DK231" s="161"/>
      <c r="DL231" s="161"/>
      <c r="DM231" s="161"/>
      <c r="DN231" s="161"/>
      <c r="DO231" s="161"/>
      <c r="DP231" s="161"/>
      <c r="DQ231" s="161"/>
      <c r="DR231" s="161"/>
      <c r="DS231" s="161"/>
      <c r="DT231" s="161"/>
      <c r="DU231" s="161"/>
      <c r="DV231" s="161"/>
      <c r="DW231" s="161"/>
      <c r="DX231" s="161"/>
      <c r="DY231" s="161"/>
      <c r="DZ231" s="161"/>
      <c r="EA231" s="161"/>
      <c r="EB231" s="161"/>
      <c r="EC231" s="161"/>
      <c r="ED231" s="161"/>
      <c r="EE231" s="161"/>
      <c r="EF231" s="161">
        <f>SUM(EG231:EP231)</f>
      </c>
      <c r="EG231" s="161"/>
      <c r="EH231" s="161"/>
      <c r="EI231" s="161"/>
      <c r="EJ231" s="161"/>
      <c r="EK231" s="161"/>
      <c r="EL231" s="161"/>
      <c r="EM231" s="161"/>
      <c r="EN231" s="161"/>
      <c r="EO231" s="161"/>
      <c r="EP231" s="161"/>
      <c r="EQ231" s="161">
        <f>SUM(ER231:ES231)</f>
      </c>
      <c r="ER231" s="161"/>
      <c r="ES231" s="161"/>
      <c r="ET231" s="161"/>
      <c r="EU231" s="161"/>
      <c r="EV231" s="161"/>
      <c r="EW231" s="161"/>
      <c r="EX231" s="161"/>
      <c r="EY231" s="161"/>
      <c r="EZ231" s="161"/>
      <c r="FA231" s="161"/>
      <c r="FB231" s="161"/>
      <c r="FC231" s="161"/>
      <c r="FD231" s="161"/>
      <c r="FE231" s="161"/>
      <c r="FF231" s="161"/>
      <c r="FG231" s="161"/>
      <c r="FH231" s="163" cm="1">
        <f t="array" ref="FH231">ROW()-ROW(Ongoing[#Headers])</f>
        <v>225</v>
      </c>
      <c r="FI231" s="164" t="s">
        <v>107</v>
      </c>
      <c r="FJ231" s="164" t="s">
        <v>1259</v>
      </c>
      <c r="FK231" s="164" t="s">
        <v>1263</v>
      </c>
      <c r="FL231" s="164" t="s">
        <v>789</v>
      </c>
      <c r="FM231" s="164" t="s">
        <v>790</v>
      </c>
      <c r="FN231" s="164">
        <v>0</v>
      </c>
      <c r="FO231" s="164">
        <v>0</v>
      </c>
      <c r="FP231" s="164">
        <v>0</v>
      </c>
    </row>
    <row r="232" spans="2:172" s="115" customFormat="1" ht="11.25" x14ac:dyDescent="0.2">
      <c r="B232" s="148"/>
      <c r="C232" s="148"/>
      <c r="D232" s="148"/>
      <c r="E232" s="148"/>
      <c r="F232" s="148"/>
      <c r="G232" s="148"/>
      <c r="H232" s="148"/>
      <c r="I232" s="148"/>
      <c r="J232" s="148"/>
      <c r="K232" s="148"/>
      <c r="L232" s="148"/>
      <c r="M232" s="160"/>
      <c r="N232" s="160"/>
      <c r="O232" s="148"/>
      <c r="P232" s="161">
        <f>SUM(Q232:AP232)</f>
      </c>
      <c r="Q232" s="161"/>
      <c r="R232" s="161"/>
      <c r="S232" s="161"/>
      <c r="T232" s="161"/>
      <c r="U232" s="161"/>
      <c r="V232" s="161"/>
      <c r="W232" s="161"/>
      <c r="X232" s="161"/>
      <c r="Y232" s="161"/>
      <c r="Z232" s="161"/>
      <c r="AA232" s="161"/>
      <c r="AB232" s="161"/>
      <c r="AC232" s="161"/>
      <c r="AD232" s="161"/>
      <c r="AE232" s="161"/>
      <c r="AF232" s="161"/>
      <c r="AG232" s="161"/>
      <c r="AH232" s="161"/>
      <c r="AI232" s="161"/>
      <c r="AJ232" s="161"/>
      <c r="AK232" s="161"/>
      <c r="AL232" s="161"/>
      <c r="AM232" s="161"/>
      <c r="AN232" s="161"/>
      <c r="AO232" s="161"/>
      <c r="AP232" s="161"/>
      <c r="AQ232" s="161">
        <f>SUM(AR232:AU232)</f>
      </c>
      <c r="AR232" s="161"/>
      <c r="AS232" s="161"/>
      <c r="AT232" s="161"/>
      <c r="AU232" s="161"/>
      <c r="AV232" s="161">
        <f>SUM(AW232:BH232)</f>
      </c>
      <c r="AW232" s="161"/>
      <c r="AX232" s="161"/>
      <c r="AY232" s="161"/>
      <c r="AZ232" s="161"/>
      <c r="BA232" s="161"/>
      <c r="BB232" s="161"/>
      <c r="BC232" s="161"/>
      <c r="BD232" s="161"/>
      <c r="BE232" s="161"/>
      <c r="BF232" s="161"/>
      <c r="BG232" s="161"/>
      <c r="BH232" s="161"/>
      <c r="BI232" s="161"/>
      <c r="BJ232" s="161"/>
      <c r="BK232" s="161"/>
      <c r="BL232" s="161"/>
      <c r="BM232" s="161"/>
      <c r="BN232" s="161"/>
      <c r="BO232" s="161"/>
      <c r="BP232" s="161"/>
      <c r="BQ232" s="161"/>
      <c r="BR232" s="161"/>
      <c r="BS232" s="161">
        <f>SUM(BT232:BV232)</f>
      </c>
      <c r="BT232" s="161"/>
      <c r="BU232" s="161"/>
      <c r="BV232" s="161"/>
      <c r="BW232" s="161">
        <f>SUM(BX232:CC232)</f>
      </c>
      <c r="BX232" s="161"/>
      <c r="BY232" s="161"/>
      <c r="BZ232" s="161"/>
      <c r="CA232" s="161"/>
      <c r="CB232" s="161"/>
      <c r="CC232" s="161"/>
      <c r="CD232" s="161"/>
      <c r="CE232" s="161"/>
      <c r="CF232" s="161"/>
      <c r="CG232" s="161"/>
      <c r="CH232" s="161"/>
      <c r="CI232" s="161"/>
      <c r="CJ232" s="161">
        <f>SUM(CK232:CM232)</f>
      </c>
      <c r="CK232" s="161"/>
      <c r="CL232" s="161"/>
      <c r="CM232" s="161"/>
      <c r="CN232" s="161">
        <f>SUM(CO232:CS232)</f>
      </c>
      <c r="CO232" s="161"/>
      <c r="CP232" s="161"/>
      <c r="CQ232" s="161"/>
      <c r="CR232" s="161"/>
      <c r="CS232" s="161"/>
      <c r="CT232" s="161"/>
      <c r="CU232" s="161"/>
      <c r="CV232" s="161"/>
      <c r="CW232" s="161"/>
      <c r="CX232" s="161"/>
      <c r="CY232" s="161"/>
      <c r="CZ232" s="161"/>
      <c r="DA232" s="161"/>
      <c r="DB232" s="161"/>
      <c r="DC232" s="161"/>
      <c r="DD232" s="161"/>
      <c r="DE232" s="161"/>
      <c r="DF232" s="161">
        <f>SUM(DG232:DG232)</f>
      </c>
      <c r="DG232" s="161"/>
      <c r="DH232" s="161"/>
      <c r="DI232" s="161"/>
      <c r="DJ232" s="161">
        <f>SUM(DK232:DP232)</f>
      </c>
      <c r="DK232" s="161"/>
      <c r="DL232" s="161"/>
      <c r="DM232" s="161"/>
      <c r="DN232" s="161"/>
      <c r="DO232" s="161"/>
      <c r="DP232" s="161"/>
      <c r="DQ232" s="161"/>
      <c r="DR232" s="161"/>
      <c r="DS232" s="161"/>
      <c r="DT232" s="161"/>
      <c r="DU232" s="161"/>
      <c r="DV232" s="161"/>
      <c r="DW232" s="161"/>
      <c r="DX232" s="161"/>
      <c r="DY232" s="161"/>
      <c r="DZ232" s="161"/>
      <c r="EA232" s="161"/>
      <c r="EB232" s="161"/>
      <c r="EC232" s="161"/>
      <c r="ED232" s="161"/>
      <c r="EE232" s="161"/>
      <c r="EF232" s="161">
        <f>SUM(EG232:EP232)</f>
      </c>
      <c r="EG232" s="161"/>
      <c r="EH232" s="161"/>
      <c r="EI232" s="161"/>
      <c r="EJ232" s="161"/>
      <c r="EK232" s="161"/>
      <c r="EL232" s="161"/>
      <c r="EM232" s="161"/>
      <c r="EN232" s="161"/>
      <c r="EO232" s="161"/>
      <c r="EP232" s="161"/>
      <c r="EQ232" s="161">
        <f>SUM(ER232:ES232)</f>
      </c>
      <c r="ER232" s="161"/>
      <c r="ES232" s="161"/>
      <c r="ET232" s="161"/>
      <c r="EU232" s="161"/>
      <c r="EV232" s="161"/>
      <c r="EW232" s="161"/>
      <c r="EX232" s="161"/>
      <c r="EY232" s="161"/>
      <c r="EZ232" s="161"/>
      <c r="FA232" s="161"/>
      <c r="FB232" s="161"/>
      <c r="FC232" s="161"/>
      <c r="FD232" s="161"/>
      <c r="FE232" s="161"/>
      <c r="FF232" s="161"/>
      <c r="FG232" s="161"/>
      <c r="FH232" s="163" cm="1">
        <f t="array" ref="FH232">ROW()-ROW(Ongoing[#Headers])</f>
        <v>226</v>
      </c>
      <c r="FI232" s="164" t="s">
        <v>107</v>
      </c>
      <c r="FJ232" s="164" t="s">
        <v>1259</v>
      </c>
      <c r="FK232" s="164" t="s">
        <v>1263</v>
      </c>
      <c r="FL232" s="164" t="s">
        <v>756</v>
      </c>
      <c r="FM232" s="164" t="s">
        <v>790</v>
      </c>
      <c r="FN232" s="164">
        <v>0</v>
      </c>
      <c r="FO232" s="164" t="s">
        <v>1266</v>
      </c>
      <c r="FP232" s="164" t="s">
        <v>759</v>
      </c>
    </row>
    <row r="233" spans="2:172" s="115" customFormat="1" ht="11.25" x14ac:dyDescent="0.2">
      <c r="B233" s="148"/>
      <c r="C233" s="148"/>
      <c r="D233" s="148"/>
      <c r="E233" s="148"/>
      <c r="F233" s="148"/>
      <c r="G233" s="148"/>
      <c r="H233" s="148"/>
      <c r="I233" s="148"/>
      <c r="J233" s="148"/>
      <c r="K233" s="148"/>
      <c r="L233" s="148"/>
      <c r="M233" s="160"/>
      <c r="N233" s="160"/>
      <c r="O233" s="148"/>
      <c r="P233" s="161">
        <f>SUM(Q233:AP233)</f>
      </c>
      <c r="Q233" s="161"/>
      <c r="R233" s="161"/>
      <c r="S233" s="161"/>
      <c r="T233" s="161"/>
      <c r="U233" s="161"/>
      <c r="V233" s="161"/>
      <c r="W233" s="161"/>
      <c r="X233" s="161"/>
      <c r="Y233" s="161"/>
      <c r="Z233" s="161"/>
      <c r="AA233" s="161"/>
      <c r="AB233" s="161"/>
      <c r="AC233" s="161"/>
      <c r="AD233" s="161"/>
      <c r="AE233" s="161"/>
      <c r="AF233" s="161"/>
      <c r="AG233" s="161"/>
      <c r="AH233" s="161"/>
      <c r="AI233" s="161"/>
      <c r="AJ233" s="161"/>
      <c r="AK233" s="161"/>
      <c r="AL233" s="161"/>
      <c r="AM233" s="161"/>
      <c r="AN233" s="161"/>
      <c r="AO233" s="161"/>
      <c r="AP233" s="161"/>
      <c r="AQ233" s="161">
        <f>SUM(AR233:AU233)</f>
      </c>
      <c r="AR233" s="161"/>
      <c r="AS233" s="161"/>
      <c r="AT233" s="161"/>
      <c r="AU233" s="161"/>
      <c r="AV233" s="161">
        <f>SUM(AW233:BH233)</f>
      </c>
      <c r="AW233" s="161"/>
      <c r="AX233" s="161"/>
      <c r="AY233" s="161"/>
      <c r="AZ233" s="161"/>
      <c r="BA233" s="161"/>
      <c r="BB233" s="161"/>
      <c r="BC233" s="161"/>
      <c r="BD233" s="161"/>
      <c r="BE233" s="161"/>
      <c r="BF233" s="161"/>
      <c r="BG233" s="161"/>
      <c r="BH233" s="161"/>
      <c r="BI233" s="161"/>
      <c r="BJ233" s="161"/>
      <c r="BK233" s="161"/>
      <c r="BL233" s="161"/>
      <c r="BM233" s="161"/>
      <c r="BN233" s="161"/>
      <c r="BO233" s="161"/>
      <c r="BP233" s="161"/>
      <c r="BQ233" s="161"/>
      <c r="BR233" s="161"/>
      <c r="BS233" s="161">
        <f>SUM(BT233:BV233)</f>
      </c>
      <c r="BT233" s="161"/>
      <c r="BU233" s="161"/>
      <c r="BV233" s="161"/>
      <c r="BW233" s="161">
        <f>SUM(BX233:CC233)</f>
      </c>
      <c r="BX233" s="161"/>
      <c r="BY233" s="161"/>
      <c r="BZ233" s="161"/>
      <c r="CA233" s="161"/>
      <c r="CB233" s="161"/>
      <c r="CC233" s="161"/>
      <c r="CD233" s="161"/>
      <c r="CE233" s="161"/>
      <c r="CF233" s="161"/>
      <c r="CG233" s="161"/>
      <c r="CH233" s="161"/>
      <c r="CI233" s="161"/>
      <c r="CJ233" s="161">
        <f>SUM(CK233:CM233)</f>
      </c>
      <c r="CK233" s="161"/>
      <c r="CL233" s="161"/>
      <c r="CM233" s="161"/>
      <c r="CN233" s="161">
        <f>SUM(CO233:CS233)</f>
      </c>
      <c r="CO233" s="161"/>
      <c r="CP233" s="161"/>
      <c r="CQ233" s="161"/>
      <c r="CR233" s="161"/>
      <c r="CS233" s="161"/>
      <c r="CT233" s="161"/>
      <c r="CU233" s="161"/>
      <c r="CV233" s="161"/>
      <c r="CW233" s="161"/>
      <c r="CX233" s="161"/>
      <c r="CY233" s="161"/>
      <c r="CZ233" s="161"/>
      <c r="DA233" s="161"/>
      <c r="DB233" s="161"/>
      <c r="DC233" s="161"/>
      <c r="DD233" s="161"/>
      <c r="DE233" s="161"/>
      <c r="DF233" s="161">
        <f>SUM(DG233:DG233)</f>
      </c>
      <c r="DG233" s="161"/>
      <c r="DH233" s="161"/>
      <c r="DI233" s="161"/>
      <c r="DJ233" s="161">
        <f>SUM(DK233:DP233)</f>
      </c>
      <c r="DK233" s="161"/>
      <c r="DL233" s="161"/>
      <c r="DM233" s="161"/>
      <c r="DN233" s="161"/>
      <c r="DO233" s="161"/>
      <c r="DP233" s="161"/>
      <c r="DQ233" s="161"/>
      <c r="DR233" s="161"/>
      <c r="DS233" s="161"/>
      <c r="DT233" s="161"/>
      <c r="DU233" s="161"/>
      <c r="DV233" s="161"/>
      <c r="DW233" s="161"/>
      <c r="DX233" s="161"/>
      <c r="DY233" s="161"/>
      <c r="DZ233" s="161"/>
      <c r="EA233" s="161"/>
      <c r="EB233" s="161"/>
      <c r="EC233" s="161"/>
      <c r="ED233" s="161"/>
      <c r="EE233" s="161"/>
      <c r="EF233" s="161">
        <f>SUM(EG233:EP233)</f>
      </c>
      <c r="EG233" s="161"/>
      <c r="EH233" s="161"/>
      <c r="EI233" s="161"/>
      <c r="EJ233" s="161"/>
      <c r="EK233" s="161"/>
      <c r="EL233" s="161"/>
      <c r="EM233" s="161"/>
      <c r="EN233" s="161"/>
      <c r="EO233" s="161"/>
      <c r="EP233" s="161"/>
      <c r="EQ233" s="161">
        <f>SUM(ER233:ES233)</f>
      </c>
      <c r="ER233" s="161"/>
      <c r="ES233" s="161"/>
      <c r="ET233" s="161"/>
      <c r="EU233" s="161"/>
      <c r="EV233" s="161"/>
      <c r="EW233" s="161"/>
      <c r="EX233" s="161"/>
      <c r="EY233" s="161"/>
      <c r="EZ233" s="161"/>
      <c r="FA233" s="161"/>
      <c r="FB233" s="161"/>
      <c r="FC233" s="161"/>
      <c r="FD233" s="161"/>
      <c r="FE233" s="161"/>
      <c r="FF233" s="161"/>
      <c r="FG233" s="161"/>
      <c r="FH233" s="163" cm="1">
        <f t="array" ref="FH233">ROW()-ROW(Ongoing[#Headers])</f>
        <v>227</v>
      </c>
      <c r="FI233" s="164" t="s">
        <v>107</v>
      </c>
      <c r="FJ233" s="164" t="s">
        <v>1259</v>
      </c>
      <c r="FK233" s="164" t="s">
        <v>1263</v>
      </c>
      <c r="FL233" s="164" t="s">
        <v>789</v>
      </c>
      <c r="FM233" s="164" t="s">
        <v>790</v>
      </c>
      <c r="FN233" s="164">
        <v>0</v>
      </c>
      <c r="FO233" s="164">
        <v>0</v>
      </c>
      <c r="FP233" s="164">
        <v>0</v>
      </c>
    </row>
    <row r="234" spans="2:172" s="115" customFormat="1" ht="11.25" x14ac:dyDescent="0.2">
      <c r="B234" s="148"/>
      <c r="C234" s="148"/>
      <c r="D234" s="148"/>
      <c r="E234" s="148"/>
      <c r="F234" s="148"/>
      <c r="G234" s="148"/>
      <c r="H234" s="148"/>
      <c r="I234" s="148"/>
      <c r="J234" s="148"/>
      <c r="K234" s="148"/>
      <c r="L234" s="148"/>
      <c r="M234" s="160"/>
      <c r="N234" s="160"/>
      <c r="O234" s="148"/>
      <c r="P234" s="161">
        <f>SUM(Q234:AP234)</f>
      </c>
      <c r="Q234" s="161"/>
      <c r="R234" s="161"/>
      <c r="S234" s="161"/>
      <c r="T234" s="161"/>
      <c r="U234" s="161"/>
      <c r="V234" s="161"/>
      <c r="W234" s="161"/>
      <c r="X234" s="161"/>
      <c r="Y234" s="161"/>
      <c r="Z234" s="161"/>
      <c r="AA234" s="161"/>
      <c r="AB234" s="161"/>
      <c r="AC234" s="161"/>
      <c r="AD234" s="161"/>
      <c r="AE234" s="161"/>
      <c r="AF234" s="161"/>
      <c r="AG234" s="161"/>
      <c r="AH234" s="161"/>
      <c r="AI234" s="161"/>
      <c r="AJ234" s="161"/>
      <c r="AK234" s="161"/>
      <c r="AL234" s="161"/>
      <c r="AM234" s="161"/>
      <c r="AN234" s="161"/>
      <c r="AO234" s="161"/>
      <c r="AP234" s="161"/>
      <c r="AQ234" s="161">
        <f>SUM(AR234:AU234)</f>
      </c>
      <c r="AR234" s="161"/>
      <c r="AS234" s="161"/>
      <c r="AT234" s="161"/>
      <c r="AU234" s="161"/>
      <c r="AV234" s="161">
        <f>SUM(AW234:BH234)</f>
      </c>
      <c r="AW234" s="161"/>
      <c r="AX234" s="161"/>
      <c r="AY234" s="161"/>
      <c r="AZ234" s="161"/>
      <c r="BA234" s="161"/>
      <c r="BB234" s="161"/>
      <c r="BC234" s="161"/>
      <c r="BD234" s="161"/>
      <c r="BE234" s="161"/>
      <c r="BF234" s="161"/>
      <c r="BG234" s="161"/>
      <c r="BH234" s="161"/>
      <c r="BI234" s="161"/>
      <c r="BJ234" s="161"/>
      <c r="BK234" s="161"/>
      <c r="BL234" s="161"/>
      <c r="BM234" s="161"/>
      <c r="BN234" s="161"/>
      <c r="BO234" s="161"/>
      <c r="BP234" s="161"/>
      <c r="BQ234" s="161"/>
      <c r="BR234" s="161"/>
      <c r="BS234" s="161">
        <f>SUM(BT234:BV234)</f>
      </c>
      <c r="BT234" s="161"/>
      <c r="BU234" s="161"/>
      <c r="BV234" s="161"/>
      <c r="BW234" s="161">
        <f>SUM(BX234:CC234)</f>
      </c>
      <c r="BX234" s="161"/>
      <c r="BY234" s="161"/>
      <c r="BZ234" s="161"/>
      <c r="CA234" s="161"/>
      <c r="CB234" s="161"/>
      <c r="CC234" s="161"/>
      <c r="CD234" s="161"/>
      <c r="CE234" s="161"/>
      <c r="CF234" s="161"/>
      <c r="CG234" s="161"/>
      <c r="CH234" s="161"/>
      <c r="CI234" s="161"/>
      <c r="CJ234" s="161">
        <f>SUM(CK234:CM234)</f>
      </c>
      <c r="CK234" s="161"/>
      <c r="CL234" s="161"/>
      <c r="CM234" s="161"/>
      <c r="CN234" s="161">
        <f>SUM(CO234:CS234)</f>
      </c>
      <c r="CO234" s="161"/>
      <c r="CP234" s="161"/>
      <c r="CQ234" s="161"/>
      <c r="CR234" s="161"/>
      <c r="CS234" s="161"/>
      <c r="CT234" s="161"/>
      <c r="CU234" s="161"/>
      <c r="CV234" s="161"/>
      <c r="CW234" s="161"/>
      <c r="CX234" s="161"/>
      <c r="CY234" s="161"/>
      <c r="CZ234" s="161"/>
      <c r="DA234" s="161"/>
      <c r="DB234" s="161"/>
      <c r="DC234" s="161"/>
      <c r="DD234" s="161"/>
      <c r="DE234" s="161"/>
      <c r="DF234" s="161">
        <f>SUM(DG234:DG234)</f>
      </c>
      <c r="DG234" s="161"/>
      <c r="DH234" s="161"/>
      <c r="DI234" s="161"/>
      <c r="DJ234" s="161">
        <f>SUM(DK234:DP234)</f>
      </c>
      <c r="DK234" s="161"/>
      <c r="DL234" s="161"/>
      <c r="DM234" s="161"/>
      <c r="DN234" s="161"/>
      <c r="DO234" s="161"/>
      <c r="DP234" s="161"/>
      <c r="DQ234" s="161"/>
      <c r="DR234" s="161"/>
      <c r="DS234" s="161"/>
      <c r="DT234" s="161"/>
      <c r="DU234" s="161"/>
      <c r="DV234" s="161"/>
      <c r="DW234" s="161"/>
      <c r="DX234" s="161"/>
      <c r="DY234" s="161"/>
      <c r="DZ234" s="161"/>
      <c r="EA234" s="161"/>
      <c r="EB234" s="161"/>
      <c r="EC234" s="161"/>
      <c r="ED234" s="161"/>
      <c r="EE234" s="161"/>
      <c r="EF234" s="161">
        <f>SUM(EG234:EP234)</f>
      </c>
      <c r="EG234" s="161"/>
      <c r="EH234" s="161"/>
      <c r="EI234" s="161"/>
      <c r="EJ234" s="161"/>
      <c r="EK234" s="161"/>
      <c r="EL234" s="161"/>
      <c r="EM234" s="161"/>
      <c r="EN234" s="161"/>
      <c r="EO234" s="161"/>
      <c r="EP234" s="161"/>
      <c r="EQ234" s="161">
        <f>SUM(ER234:ES234)</f>
      </c>
      <c r="ER234" s="161"/>
      <c r="ES234" s="161"/>
      <c r="ET234" s="161"/>
      <c r="EU234" s="161"/>
      <c r="EV234" s="161"/>
      <c r="EW234" s="161"/>
      <c r="EX234" s="161"/>
      <c r="EY234" s="161"/>
      <c r="EZ234" s="161"/>
      <c r="FA234" s="161"/>
      <c r="FB234" s="161"/>
      <c r="FC234" s="161"/>
      <c r="FD234" s="161"/>
      <c r="FE234" s="161"/>
      <c r="FF234" s="161"/>
      <c r="FG234" s="161"/>
      <c r="FH234" s="163" cm="1">
        <f t="array" ref="FH234">ROW()-ROW(Ongoing[#Headers])</f>
        <v>228</v>
      </c>
      <c r="FI234" s="164" t="s">
        <v>1225</v>
      </c>
      <c r="FJ234" s="164" t="s">
        <v>1226</v>
      </c>
      <c r="FK234" s="164" t="s">
        <v>1227</v>
      </c>
      <c r="FL234" s="164" t="s">
        <v>789</v>
      </c>
      <c r="FM234" s="164" t="s">
        <v>790</v>
      </c>
      <c r="FN234" s="164">
        <v>0</v>
      </c>
      <c r="FO234" s="164">
        <v>0</v>
      </c>
      <c r="FP234" s="164">
        <v>0</v>
      </c>
    </row>
    <row r="235" spans="2:172" s="115" customFormat="1" ht="11.25" x14ac:dyDescent="0.2">
      <c r="B235" s="148"/>
      <c r="C235" s="148"/>
      <c r="D235" s="148"/>
      <c r="E235" s="148"/>
      <c r="F235" s="148"/>
      <c r="G235" s="148"/>
      <c r="H235" s="148"/>
      <c r="I235" s="148"/>
      <c r="J235" s="148"/>
      <c r="K235" s="148"/>
      <c r="L235" s="148"/>
      <c r="M235" s="160"/>
      <c r="N235" s="160"/>
      <c r="O235" s="148"/>
      <c r="P235" s="161">
        <f>SUM(Q235:AP235)</f>
      </c>
      <c r="Q235" s="161"/>
      <c r="R235" s="161"/>
      <c r="S235" s="161"/>
      <c r="T235" s="161"/>
      <c r="U235" s="161"/>
      <c r="V235" s="161"/>
      <c r="W235" s="161"/>
      <c r="X235" s="161"/>
      <c r="Y235" s="161"/>
      <c r="Z235" s="161"/>
      <c r="AA235" s="161"/>
      <c r="AB235" s="161"/>
      <c r="AC235" s="161"/>
      <c r="AD235" s="161"/>
      <c r="AE235" s="161"/>
      <c r="AF235" s="161"/>
      <c r="AG235" s="161"/>
      <c r="AH235" s="161"/>
      <c r="AI235" s="161"/>
      <c r="AJ235" s="161"/>
      <c r="AK235" s="161"/>
      <c r="AL235" s="161"/>
      <c r="AM235" s="161"/>
      <c r="AN235" s="161"/>
      <c r="AO235" s="161"/>
      <c r="AP235" s="161"/>
      <c r="AQ235" s="161">
        <f>SUM(AR235:AU235)</f>
      </c>
      <c r="AR235" s="161"/>
      <c r="AS235" s="161"/>
      <c r="AT235" s="161"/>
      <c r="AU235" s="161"/>
      <c r="AV235" s="161">
        <f>SUM(AW235:BH235)</f>
      </c>
      <c r="AW235" s="161"/>
      <c r="AX235" s="161"/>
      <c r="AY235" s="161"/>
      <c r="AZ235" s="161"/>
      <c r="BA235" s="161"/>
      <c r="BB235" s="161"/>
      <c r="BC235" s="161"/>
      <c r="BD235" s="161"/>
      <c r="BE235" s="161"/>
      <c r="BF235" s="161"/>
      <c r="BG235" s="161"/>
      <c r="BH235" s="161"/>
      <c r="BI235" s="161"/>
      <c r="BJ235" s="161"/>
      <c r="BK235" s="161"/>
      <c r="BL235" s="161"/>
      <c r="BM235" s="161"/>
      <c r="BN235" s="161"/>
      <c r="BO235" s="161"/>
      <c r="BP235" s="161"/>
      <c r="BQ235" s="161"/>
      <c r="BR235" s="161"/>
      <c r="BS235" s="161">
        <f>SUM(BT235:BV235)</f>
      </c>
      <c r="BT235" s="161"/>
      <c r="BU235" s="161"/>
      <c r="BV235" s="161"/>
      <c r="BW235" s="161">
        <f>SUM(BX235:CC235)</f>
      </c>
      <c r="BX235" s="161"/>
      <c r="BY235" s="161"/>
      <c r="BZ235" s="161"/>
      <c r="CA235" s="161"/>
      <c r="CB235" s="161"/>
      <c r="CC235" s="161"/>
      <c r="CD235" s="161"/>
      <c r="CE235" s="161"/>
      <c r="CF235" s="161"/>
      <c r="CG235" s="161"/>
      <c r="CH235" s="161"/>
      <c r="CI235" s="161"/>
      <c r="CJ235" s="161">
        <f>SUM(CK235:CM235)</f>
      </c>
      <c r="CK235" s="161"/>
      <c r="CL235" s="161"/>
      <c r="CM235" s="161"/>
      <c r="CN235" s="161">
        <f>SUM(CO235:CS235)</f>
      </c>
      <c r="CO235" s="161"/>
      <c r="CP235" s="161"/>
      <c r="CQ235" s="161"/>
      <c r="CR235" s="161"/>
      <c r="CS235" s="161"/>
      <c r="CT235" s="161"/>
      <c r="CU235" s="161"/>
      <c r="CV235" s="161"/>
      <c r="CW235" s="161"/>
      <c r="CX235" s="161"/>
      <c r="CY235" s="161"/>
      <c r="CZ235" s="161"/>
      <c r="DA235" s="161"/>
      <c r="DB235" s="161"/>
      <c r="DC235" s="161"/>
      <c r="DD235" s="161"/>
      <c r="DE235" s="161"/>
      <c r="DF235" s="161">
        <f>SUM(DG235:DG235)</f>
      </c>
      <c r="DG235" s="161"/>
      <c r="DH235" s="161"/>
      <c r="DI235" s="161"/>
      <c r="DJ235" s="161">
        <f>SUM(DK235:DP235)</f>
      </c>
      <c r="DK235" s="161"/>
      <c r="DL235" s="161"/>
      <c r="DM235" s="161"/>
      <c r="DN235" s="161"/>
      <c r="DO235" s="161"/>
      <c r="DP235" s="161"/>
      <c r="DQ235" s="161"/>
      <c r="DR235" s="161"/>
      <c r="DS235" s="161"/>
      <c r="DT235" s="161"/>
      <c r="DU235" s="161"/>
      <c r="DV235" s="161"/>
      <c r="DW235" s="161"/>
      <c r="DX235" s="161"/>
      <c r="DY235" s="161"/>
      <c r="DZ235" s="161"/>
      <c r="EA235" s="161"/>
      <c r="EB235" s="161"/>
      <c r="EC235" s="161"/>
      <c r="ED235" s="161"/>
      <c r="EE235" s="161"/>
      <c r="EF235" s="161">
        <f>SUM(EG235:EP235)</f>
      </c>
      <c r="EG235" s="161"/>
      <c r="EH235" s="161"/>
      <c r="EI235" s="161"/>
      <c r="EJ235" s="161"/>
      <c r="EK235" s="161"/>
      <c r="EL235" s="161"/>
      <c r="EM235" s="161"/>
      <c r="EN235" s="161"/>
      <c r="EO235" s="161"/>
      <c r="EP235" s="161"/>
      <c r="EQ235" s="161">
        <f>SUM(ER235:ES235)</f>
      </c>
      <c r="ER235" s="161"/>
      <c r="ES235" s="161"/>
      <c r="ET235" s="161"/>
      <c r="EU235" s="161"/>
      <c r="EV235" s="161"/>
      <c r="EW235" s="161"/>
      <c r="EX235" s="161"/>
      <c r="EY235" s="161"/>
      <c r="EZ235" s="161"/>
      <c r="FA235" s="161"/>
      <c r="FB235" s="161"/>
      <c r="FC235" s="161"/>
      <c r="FD235" s="161"/>
      <c r="FE235" s="161"/>
      <c r="FF235" s="161"/>
      <c r="FG235" s="161"/>
      <c r="FH235" s="163" cm="1">
        <f t="array" ref="FH235">ROW()-ROW(Ongoing[#Headers])</f>
        <v>229</v>
      </c>
      <c r="FI235" s="164" t="s">
        <v>107</v>
      </c>
      <c r="FJ235" s="164" t="s">
        <v>1259</v>
      </c>
      <c r="FK235" s="164" t="s">
        <v>1263</v>
      </c>
      <c r="FL235" s="164" t="s">
        <v>789</v>
      </c>
      <c r="FM235" s="164" t="s">
        <v>790</v>
      </c>
      <c r="FN235" s="164">
        <v>0</v>
      </c>
      <c r="FO235" s="164">
        <v>0</v>
      </c>
      <c r="FP235" s="164">
        <v>0</v>
      </c>
    </row>
    <row r="236" spans="2:172" s="115" customFormat="1" ht="11.25" x14ac:dyDescent="0.2">
      <c r="B236" s="148"/>
      <c r="C236" s="148"/>
      <c r="D236" s="148"/>
      <c r="E236" s="148"/>
      <c r="F236" s="148"/>
      <c r="G236" s="148"/>
      <c r="H236" s="148"/>
      <c r="I236" s="148"/>
      <c r="J236" s="148"/>
      <c r="K236" s="148"/>
      <c r="L236" s="148"/>
      <c r="M236" s="160"/>
      <c r="N236" s="160"/>
      <c r="O236" s="148"/>
      <c r="P236" s="161">
        <f>SUM(Q236:AP236)</f>
      </c>
      <c r="Q236" s="161"/>
      <c r="R236" s="161"/>
      <c r="S236" s="161"/>
      <c r="T236" s="161"/>
      <c r="U236" s="161"/>
      <c r="V236" s="161"/>
      <c r="W236" s="161"/>
      <c r="X236" s="161"/>
      <c r="Y236" s="161"/>
      <c r="Z236" s="161"/>
      <c r="AA236" s="161"/>
      <c r="AB236" s="161"/>
      <c r="AC236" s="161"/>
      <c r="AD236" s="161"/>
      <c r="AE236" s="161"/>
      <c r="AF236" s="161"/>
      <c r="AG236" s="161"/>
      <c r="AH236" s="161"/>
      <c r="AI236" s="161"/>
      <c r="AJ236" s="161"/>
      <c r="AK236" s="161"/>
      <c r="AL236" s="161"/>
      <c r="AM236" s="161"/>
      <c r="AN236" s="161"/>
      <c r="AO236" s="161"/>
      <c r="AP236" s="161"/>
      <c r="AQ236" s="161">
        <f>SUM(AR236:AU236)</f>
      </c>
      <c r="AR236" s="161"/>
      <c r="AS236" s="161"/>
      <c r="AT236" s="161"/>
      <c r="AU236" s="161"/>
      <c r="AV236" s="161">
        <f>SUM(AW236:BH236)</f>
      </c>
      <c r="AW236" s="161"/>
      <c r="AX236" s="161"/>
      <c r="AY236" s="161"/>
      <c r="AZ236" s="161"/>
      <c r="BA236" s="161"/>
      <c r="BB236" s="161"/>
      <c r="BC236" s="161"/>
      <c r="BD236" s="161"/>
      <c r="BE236" s="161"/>
      <c r="BF236" s="161"/>
      <c r="BG236" s="161"/>
      <c r="BH236" s="161"/>
      <c r="BI236" s="161"/>
      <c r="BJ236" s="161"/>
      <c r="BK236" s="161"/>
      <c r="BL236" s="161"/>
      <c r="BM236" s="161"/>
      <c r="BN236" s="161"/>
      <c r="BO236" s="161"/>
      <c r="BP236" s="161"/>
      <c r="BQ236" s="161"/>
      <c r="BR236" s="161"/>
      <c r="BS236" s="161">
        <f>SUM(BT236:BV236)</f>
      </c>
      <c r="BT236" s="161"/>
      <c r="BU236" s="161"/>
      <c r="BV236" s="161"/>
      <c r="BW236" s="161">
        <f>SUM(BX236:CC236)</f>
      </c>
      <c r="BX236" s="161"/>
      <c r="BY236" s="161"/>
      <c r="BZ236" s="161"/>
      <c r="CA236" s="161"/>
      <c r="CB236" s="161"/>
      <c r="CC236" s="161"/>
      <c r="CD236" s="161"/>
      <c r="CE236" s="161"/>
      <c r="CF236" s="161"/>
      <c r="CG236" s="161"/>
      <c r="CH236" s="161"/>
      <c r="CI236" s="161"/>
      <c r="CJ236" s="161">
        <f>SUM(CK236:CM236)</f>
      </c>
      <c r="CK236" s="161"/>
      <c r="CL236" s="161"/>
      <c r="CM236" s="161"/>
      <c r="CN236" s="161">
        <f>SUM(CO236:CS236)</f>
      </c>
      <c r="CO236" s="161"/>
      <c r="CP236" s="161"/>
      <c r="CQ236" s="161"/>
      <c r="CR236" s="161"/>
      <c r="CS236" s="161"/>
      <c r="CT236" s="161"/>
      <c r="CU236" s="161"/>
      <c r="CV236" s="161"/>
      <c r="CW236" s="161"/>
      <c r="CX236" s="161"/>
      <c r="CY236" s="161"/>
      <c r="CZ236" s="161"/>
      <c r="DA236" s="161"/>
      <c r="DB236" s="161"/>
      <c r="DC236" s="161"/>
      <c r="DD236" s="161"/>
      <c r="DE236" s="161"/>
      <c r="DF236" s="161">
        <f>SUM(DG236:DG236)</f>
      </c>
      <c r="DG236" s="161"/>
      <c r="DH236" s="161"/>
      <c r="DI236" s="161"/>
      <c r="DJ236" s="161">
        <f>SUM(DK236:DP236)</f>
      </c>
      <c r="DK236" s="161"/>
      <c r="DL236" s="161"/>
      <c r="DM236" s="161"/>
      <c r="DN236" s="161"/>
      <c r="DO236" s="161"/>
      <c r="DP236" s="161"/>
      <c r="DQ236" s="161"/>
      <c r="DR236" s="161"/>
      <c r="DS236" s="161"/>
      <c r="DT236" s="161"/>
      <c r="DU236" s="161"/>
      <c r="DV236" s="161"/>
      <c r="DW236" s="161"/>
      <c r="DX236" s="161"/>
      <c r="DY236" s="161"/>
      <c r="DZ236" s="161"/>
      <c r="EA236" s="161"/>
      <c r="EB236" s="161"/>
      <c r="EC236" s="161"/>
      <c r="ED236" s="161"/>
      <c r="EE236" s="161"/>
      <c r="EF236" s="161">
        <f>SUM(EG236:EP236)</f>
      </c>
      <c r="EG236" s="161"/>
      <c r="EH236" s="161"/>
      <c r="EI236" s="161"/>
      <c r="EJ236" s="161"/>
      <c r="EK236" s="161"/>
      <c r="EL236" s="161"/>
      <c r="EM236" s="161"/>
      <c r="EN236" s="161"/>
      <c r="EO236" s="161"/>
      <c r="EP236" s="161"/>
      <c r="EQ236" s="161">
        <f>SUM(ER236:ES236)</f>
      </c>
      <c r="ER236" s="161"/>
      <c r="ES236" s="161"/>
      <c r="ET236" s="161"/>
      <c r="EU236" s="161"/>
      <c r="EV236" s="161"/>
      <c r="EW236" s="161"/>
      <c r="EX236" s="161"/>
      <c r="EY236" s="161"/>
      <c r="EZ236" s="161"/>
      <c r="FA236" s="161"/>
      <c r="FB236" s="161"/>
      <c r="FC236" s="161"/>
      <c r="FD236" s="161"/>
      <c r="FE236" s="161"/>
      <c r="FF236" s="161"/>
      <c r="FG236" s="161"/>
      <c r="FH236" s="163" cm="1">
        <f t="array" ref="FH236">ROW()-ROW(Ongoing[#Headers])</f>
        <v>230</v>
      </c>
      <c r="FI236" s="164" t="s">
        <v>1225</v>
      </c>
      <c r="FJ236" s="164" t="s">
        <v>1226</v>
      </c>
      <c r="FK236" s="164" t="s">
        <v>1227</v>
      </c>
      <c r="FL236" s="164" t="s">
        <v>789</v>
      </c>
      <c r="FM236" s="164" t="s">
        <v>790</v>
      </c>
      <c r="FN236" s="164">
        <v>0</v>
      </c>
      <c r="FO236" s="164" t="s">
        <v>1275</v>
      </c>
      <c r="FP236" s="164" t="s">
        <v>792</v>
      </c>
    </row>
    <row r="237" spans="2:172" s="115" customFormat="1" ht="11.25" x14ac:dyDescent="0.2">
      <c r="B237" s="148"/>
      <c r="C237" s="148"/>
      <c r="D237" s="148"/>
      <c r="E237" s="148"/>
      <c r="F237" s="148"/>
      <c r="G237" s="148"/>
      <c r="H237" s="148"/>
      <c r="I237" s="148"/>
      <c r="J237" s="148"/>
      <c r="K237" s="148"/>
      <c r="L237" s="148"/>
      <c r="M237" s="160"/>
      <c r="N237" s="160"/>
      <c r="O237" s="148"/>
      <c r="P237" s="161">
        <f>SUM(Q237:AP237)</f>
      </c>
      <c r="Q237" s="161"/>
      <c r="R237" s="161"/>
      <c r="S237" s="161"/>
      <c r="T237" s="161"/>
      <c r="U237" s="161"/>
      <c r="V237" s="161"/>
      <c r="W237" s="161"/>
      <c r="X237" s="161"/>
      <c r="Y237" s="161"/>
      <c r="Z237" s="161"/>
      <c r="AA237" s="161"/>
      <c r="AB237" s="161"/>
      <c r="AC237" s="161"/>
      <c r="AD237" s="161"/>
      <c r="AE237" s="161"/>
      <c r="AF237" s="161"/>
      <c r="AG237" s="161"/>
      <c r="AH237" s="161"/>
      <c r="AI237" s="161"/>
      <c r="AJ237" s="161"/>
      <c r="AK237" s="161"/>
      <c r="AL237" s="161"/>
      <c r="AM237" s="161"/>
      <c r="AN237" s="161"/>
      <c r="AO237" s="161"/>
      <c r="AP237" s="161"/>
      <c r="AQ237" s="161">
        <f>SUM(AR237:AU237)</f>
      </c>
      <c r="AR237" s="161"/>
      <c r="AS237" s="161"/>
      <c r="AT237" s="161"/>
      <c r="AU237" s="161"/>
      <c r="AV237" s="161">
        <f>SUM(AW237:BH237)</f>
      </c>
      <c r="AW237" s="161"/>
      <c r="AX237" s="161"/>
      <c r="AY237" s="161"/>
      <c r="AZ237" s="161"/>
      <c r="BA237" s="161"/>
      <c r="BB237" s="161"/>
      <c r="BC237" s="161"/>
      <c r="BD237" s="161"/>
      <c r="BE237" s="161"/>
      <c r="BF237" s="161"/>
      <c r="BG237" s="161"/>
      <c r="BH237" s="161"/>
      <c r="BI237" s="161"/>
      <c r="BJ237" s="161"/>
      <c r="BK237" s="161"/>
      <c r="BL237" s="161"/>
      <c r="BM237" s="161"/>
      <c r="BN237" s="161"/>
      <c r="BO237" s="161"/>
      <c r="BP237" s="161"/>
      <c r="BQ237" s="161"/>
      <c r="BR237" s="161"/>
      <c r="BS237" s="161">
        <f>SUM(BT237:BV237)</f>
      </c>
      <c r="BT237" s="161"/>
      <c r="BU237" s="161"/>
      <c r="BV237" s="161"/>
      <c r="BW237" s="161">
        <f>SUM(BX237:CC237)</f>
      </c>
      <c r="BX237" s="161"/>
      <c r="BY237" s="161"/>
      <c r="BZ237" s="161"/>
      <c r="CA237" s="161"/>
      <c r="CB237" s="161"/>
      <c r="CC237" s="161"/>
      <c r="CD237" s="161"/>
      <c r="CE237" s="161"/>
      <c r="CF237" s="161"/>
      <c r="CG237" s="161"/>
      <c r="CH237" s="161"/>
      <c r="CI237" s="161"/>
      <c r="CJ237" s="161">
        <f>SUM(CK237:CM237)</f>
      </c>
      <c r="CK237" s="161"/>
      <c r="CL237" s="161"/>
      <c r="CM237" s="161"/>
      <c r="CN237" s="161">
        <f>SUM(CO237:CS237)</f>
      </c>
      <c r="CO237" s="161"/>
      <c r="CP237" s="161"/>
      <c r="CQ237" s="161"/>
      <c r="CR237" s="161"/>
      <c r="CS237" s="161"/>
      <c r="CT237" s="161"/>
      <c r="CU237" s="161"/>
      <c r="CV237" s="161"/>
      <c r="CW237" s="161"/>
      <c r="CX237" s="161"/>
      <c r="CY237" s="161"/>
      <c r="CZ237" s="161"/>
      <c r="DA237" s="161"/>
      <c r="DB237" s="161"/>
      <c r="DC237" s="161"/>
      <c r="DD237" s="161"/>
      <c r="DE237" s="161"/>
      <c r="DF237" s="161">
        <f>SUM(DG237:DG237)</f>
      </c>
      <c r="DG237" s="161"/>
      <c r="DH237" s="161"/>
      <c r="DI237" s="161"/>
      <c r="DJ237" s="161">
        <f>SUM(DK237:DP237)</f>
      </c>
      <c r="DK237" s="161"/>
      <c r="DL237" s="161"/>
      <c r="DM237" s="161"/>
      <c r="DN237" s="161"/>
      <c r="DO237" s="161"/>
      <c r="DP237" s="161"/>
      <c r="DQ237" s="161"/>
      <c r="DR237" s="161"/>
      <c r="DS237" s="161"/>
      <c r="DT237" s="161"/>
      <c r="DU237" s="161"/>
      <c r="DV237" s="161"/>
      <c r="DW237" s="161"/>
      <c r="DX237" s="161"/>
      <c r="DY237" s="161"/>
      <c r="DZ237" s="161"/>
      <c r="EA237" s="161"/>
      <c r="EB237" s="161"/>
      <c r="EC237" s="161"/>
      <c r="ED237" s="161"/>
      <c r="EE237" s="161"/>
      <c r="EF237" s="161">
        <f>SUM(EG237:EP237)</f>
      </c>
      <c r="EG237" s="161"/>
      <c r="EH237" s="161"/>
      <c r="EI237" s="161"/>
      <c r="EJ237" s="161"/>
      <c r="EK237" s="161"/>
      <c r="EL237" s="161"/>
      <c r="EM237" s="161"/>
      <c r="EN237" s="161"/>
      <c r="EO237" s="161"/>
      <c r="EP237" s="161"/>
      <c r="EQ237" s="161">
        <f>SUM(ER237:ES237)</f>
      </c>
      <c r="ER237" s="161"/>
      <c r="ES237" s="161"/>
      <c r="ET237" s="161"/>
      <c r="EU237" s="161"/>
      <c r="EV237" s="161"/>
      <c r="EW237" s="161"/>
      <c r="EX237" s="161"/>
      <c r="EY237" s="161"/>
      <c r="EZ237" s="161"/>
      <c r="FA237" s="161"/>
      <c r="FB237" s="161"/>
      <c r="FC237" s="161"/>
      <c r="FD237" s="161"/>
      <c r="FE237" s="161"/>
      <c r="FF237" s="161"/>
      <c r="FG237" s="161"/>
      <c r="FH237" s="163" cm="1">
        <f t="array" ref="FH237">ROW()-ROW(Ongoing[#Headers])</f>
        <v>231</v>
      </c>
      <c r="FI237" s="164" t="s">
        <v>107</v>
      </c>
      <c r="FJ237" s="164" t="s">
        <v>1259</v>
      </c>
      <c r="FK237" s="164" t="s">
        <v>1263</v>
      </c>
      <c r="FL237" s="164" t="s">
        <v>789</v>
      </c>
      <c r="FM237" s="164" t="s">
        <v>790</v>
      </c>
      <c r="FN237" s="164">
        <v>0</v>
      </c>
      <c r="FO237" s="164">
        <v>0</v>
      </c>
      <c r="FP237" s="164">
        <v>0</v>
      </c>
    </row>
    <row r="238" spans="2:172" s="115" customFormat="1" ht="11.25" x14ac:dyDescent="0.2">
      <c r="B238" s="148"/>
      <c r="C238" s="148"/>
      <c r="D238" s="148"/>
      <c r="E238" s="148"/>
      <c r="F238" s="148"/>
      <c r="G238" s="148"/>
      <c r="H238" s="148"/>
      <c r="I238" s="148"/>
      <c r="J238" s="148"/>
      <c r="K238" s="148"/>
      <c r="L238" s="148"/>
      <c r="M238" s="160"/>
      <c r="N238" s="160"/>
      <c r="O238" s="148"/>
      <c r="P238" s="161">
        <f>SUM(Q238:AP238)</f>
      </c>
      <c r="Q238" s="161"/>
      <c r="R238" s="161"/>
      <c r="S238" s="161"/>
      <c r="T238" s="161"/>
      <c r="U238" s="161"/>
      <c r="V238" s="161"/>
      <c r="W238" s="161"/>
      <c r="X238" s="161"/>
      <c r="Y238" s="161"/>
      <c r="Z238" s="161"/>
      <c r="AA238" s="161"/>
      <c r="AB238" s="161"/>
      <c r="AC238" s="161"/>
      <c r="AD238" s="161"/>
      <c r="AE238" s="161"/>
      <c r="AF238" s="161"/>
      <c r="AG238" s="161"/>
      <c r="AH238" s="161"/>
      <c r="AI238" s="161"/>
      <c r="AJ238" s="161"/>
      <c r="AK238" s="161"/>
      <c r="AL238" s="161"/>
      <c r="AM238" s="161"/>
      <c r="AN238" s="161"/>
      <c r="AO238" s="161"/>
      <c r="AP238" s="161"/>
      <c r="AQ238" s="161">
        <f>SUM(AR238:AU238)</f>
      </c>
      <c r="AR238" s="161"/>
      <c r="AS238" s="161"/>
      <c r="AT238" s="161"/>
      <c r="AU238" s="161"/>
      <c r="AV238" s="161">
        <f>SUM(AW238:BH238)</f>
      </c>
      <c r="AW238" s="161"/>
      <c r="AX238" s="161"/>
      <c r="AY238" s="161"/>
      <c r="AZ238" s="161"/>
      <c r="BA238" s="161"/>
      <c r="BB238" s="161"/>
      <c r="BC238" s="161"/>
      <c r="BD238" s="161"/>
      <c r="BE238" s="161"/>
      <c r="BF238" s="161"/>
      <c r="BG238" s="161"/>
      <c r="BH238" s="161"/>
      <c r="BI238" s="161"/>
      <c r="BJ238" s="161"/>
      <c r="BK238" s="161"/>
      <c r="BL238" s="161"/>
      <c r="BM238" s="161"/>
      <c r="BN238" s="161"/>
      <c r="BO238" s="161"/>
      <c r="BP238" s="161"/>
      <c r="BQ238" s="161"/>
      <c r="BR238" s="161"/>
      <c r="BS238" s="161">
        <f>SUM(BT238:BV238)</f>
      </c>
      <c r="BT238" s="161"/>
      <c r="BU238" s="161"/>
      <c r="BV238" s="161"/>
      <c r="BW238" s="161">
        <f>SUM(BX238:CC238)</f>
      </c>
      <c r="BX238" s="161"/>
      <c r="BY238" s="161"/>
      <c r="BZ238" s="161"/>
      <c r="CA238" s="161"/>
      <c r="CB238" s="161"/>
      <c r="CC238" s="161"/>
      <c r="CD238" s="161"/>
      <c r="CE238" s="161"/>
      <c r="CF238" s="161"/>
      <c r="CG238" s="161"/>
      <c r="CH238" s="161"/>
      <c r="CI238" s="161"/>
      <c r="CJ238" s="161">
        <f>SUM(CK238:CM238)</f>
      </c>
      <c r="CK238" s="161"/>
      <c r="CL238" s="161"/>
      <c r="CM238" s="161"/>
      <c r="CN238" s="161">
        <f>SUM(CO238:CS238)</f>
      </c>
      <c r="CO238" s="161"/>
      <c r="CP238" s="161"/>
      <c r="CQ238" s="161"/>
      <c r="CR238" s="161"/>
      <c r="CS238" s="161"/>
      <c r="CT238" s="161"/>
      <c r="CU238" s="161"/>
      <c r="CV238" s="161"/>
      <c r="CW238" s="161"/>
      <c r="CX238" s="161"/>
      <c r="CY238" s="161"/>
      <c r="CZ238" s="161"/>
      <c r="DA238" s="161"/>
      <c r="DB238" s="161"/>
      <c r="DC238" s="161"/>
      <c r="DD238" s="161"/>
      <c r="DE238" s="161"/>
      <c r="DF238" s="161">
        <f>SUM(DG238:DG238)</f>
      </c>
      <c r="DG238" s="161"/>
      <c r="DH238" s="161"/>
      <c r="DI238" s="161"/>
      <c r="DJ238" s="161">
        <f>SUM(DK238:DP238)</f>
      </c>
      <c r="DK238" s="161"/>
      <c r="DL238" s="161"/>
      <c r="DM238" s="161"/>
      <c r="DN238" s="161"/>
      <c r="DO238" s="161"/>
      <c r="DP238" s="161"/>
      <c r="DQ238" s="161"/>
      <c r="DR238" s="161"/>
      <c r="DS238" s="161"/>
      <c r="DT238" s="161"/>
      <c r="DU238" s="161"/>
      <c r="DV238" s="161"/>
      <c r="DW238" s="161"/>
      <c r="DX238" s="161"/>
      <c r="DY238" s="161"/>
      <c r="DZ238" s="161"/>
      <c r="EA238" s="161"/>
      <c r="EB238" s="161"/>
      <c r="EC238" s="161"/>
      <c r="ED238" s="161"/>
      <c r="EE238" s="161"/>
      <c r="EF238" s="161">
        <f>SUM(EG238:EP238)</f>
      </c>
      <c r="EG238" s="161"/>
      <c r="EH238" s="161"/>
      <c r="EI238" s="161"/>
      <c r="EJ238" s="161"/>
      <c r="EK238" s="161"/>
      <c r="EL238" s="161"/>
      <c r="EM238" s="161"/>
      <c r="EN238" s="161"/>
      <c r="EO238" s="161"/>
      <c r="EP238" s="161"/>
      <c r="EQ238" s="161">
        <f>SUM(ER238:ES238)</f>
      </c>
      <c r="ER238" s="161"/>
      <c r="ES238" s="161"/>
      <c r="ET238" s="161"/>
      <c r="EU238" s="161"/>
      <c r="EV238" s="161"/>
      <c r="EW238" s="161"/>
      <c r="EX238" s="161"/>
      <c r="EY238" s="161"/>
      <c r="EZ238" s="161"/>
      <c r="FA238" s="161"/>
      <c r="FB238" s="161"/>
      <c r="FC238" s="161"/>
      <c r="FD238" s="161"/>
      <c r="FE238" s="161"/>
      <c r="FF238" s="161"/>
      <c r="FG238" s="161"/>
      <c r="FH238" s="163" cm="1">
        <f t="array" ref="FH238">ROW()-ROW(Ongoing[#Headers])</f>
        <v>232</v>
      </c>
      <c r="FI238" s="164" t="s">
        <v>107</v>
      </c>
      <c r="FJ238" s="164" t="s">
        <v>1259</v>
      </c>
      <c r="FK238" s="164" t="s">
        <v>1263</v>
      </c>
      <c r="FL238" s="164" t="s">
        <v>789</v>
      </c>
      <c r="FM238" s="164" t="s">
        <v>790</v>
      </c>
      <c r="FN238" s="164">
        <v>0</v>
      </c>
      <c r="FO238" s="164">
        <v>0</v>
      </c>
      <c r="FP238" s="164">
        <v>0</v>
      </c>
    </row>
    <row r="239" spans="2:172" s="115" customFormat="1" ht="11.25" x14ac:dyDescent="0.2">
      <c r="B239" s="148"/>
      <c r="C239" s="148"/>
      <c r="D239" s="148"/>
      <c r="E239" s="148"/>
      <c r="F239" s="148"/>
      <c r="G239" s="148"/>
      <c r="H239" s="148"/>
      <c r="I239" s="148"/>
      <c r="J239" s="148"/>
      <c r="K239" s="148"/>
      <c r="L239" s="148"/>
      <c r="M239" s="160"/>
      <c r="N239" s="160"/>
      <c r="O239" s="148"/>
      <c r="P239" s="161">
        <f>SUM(Q239:AP239)</f>
      </c>
      <c r="Q239" s="161"/>
      <c r="R239" s="161"/>
      <c r="S239" s="161"/>
      <c r="T239" s="161"/>
      <c r="U239" s="161"/>
      <c r="V239" s="161"/>
      <c r="W239" s="161"/>
      <c r="X239" s="161"/>
      <c r="Y239" s="161"/>
      <c r="Z239" s="161"/>
      <c r="AA239" s="161"/>
      <c r="AB239" s="161"/>
      <c r="AC239" s="161"/>
      <c r="AD239" s="161"/>
      <c r="AE239" s="161"/>
      <c r="AF239" s="161"/>
      <c r="AG239" s="161"/>
      <c r="AH239" s="161"/>
      <c r="AI239" s="161"/>
      <c r="AJ239" s="161"/>
      <c r="AK239" s="161"/>
      <c r="AL239" s="161"/>
      <c r="AM239" s="161"/>
      <c r="AN239" s="161"/>
      <c r="AO239" s="161"/>
      <c r="AP239" s="161"/>
      <c r="AQ239" s="161">
        <f>SUM(AR239:AU239)</f>
      </c>
      <c r="AR239" s="161"/>
      <c r="AS239" s="161"/>
      <c r="AT239" s="161"/>
      <c r="AU239" s="161"/>
      <c r="AV239" s="161">
        <f>SUM(AW239:BH239)</f>
      </c>
      <c r="AW239" s="161"/>
      <c r="AX239" s="161"/>
      <c r="AY239" s="161"/>
      <c r="AZ239" s="161"/>
      <c r="BA239" s="161"/>
      <c r="BB239" s="161"/>
      <c r="BC239" s="161"/>
      <c r="BD239" s="161"/>
      <c r="BE239" s="161"/>
      <c r="BF239" s="161"/>
      <c r="BG239" s="161"/>
      <c r="BH239" s="161"/>
      <c r="BI239" s="161"/>
      <c r="BJ239" s="161"/>
      <c r="BK239" s="161"/>
      <c r="BL239" s="161"/>
      <c r="BM239" s="161"/>
      <c r="BN239" s="161"/>
      <c r="BO239" s="161"/>
      <c r="BP239" s="161"/>
      <c r="BQ239" s="161"/>
      <c r="BR239" s="161"/>
      <c r="BS239" s="161">
        <f>SUM(BT239:BV239)</f>
      </c>
      <c r="BT239" s="161"/>
      <c r="BU239" s="161"/>
      <c r="BV239" s="161"/>
      <c r="BW239" s="161">
        <f>SUM(BX239:CC239)</f>
      </c>
      <c r="BX239" s="161"/>
      <c r="BY239" s="161"/>
      <c r="BZ239" s="161"/>
      <c r="CA239" s="161"/>
      <c r="CB239" s="161"/>
      <c r="CC239" s="161"/>
      <c r="CD239" s="161"/>
      <c r="CE239" s="161"/>
      <c r="CF239" s="161"/>
      <c r="CG239" s="161"/>
      <c r="CH239" s="161"/>
      <c r="CI239" s="161"/>
      <c r="CJ239" s="161">
        <f>SUM(CK239:CM239)</f>
      </c>
      <c r="CK239" s="161"/>
      <c r="CL239" s="161"/>
      <c r="CM239" s="161"/>
      <c r="CN239" s="161">
        <f>SUM(CO239:CS239)</f>
      </c>
      <c r="CO239" s="161"/>
      <c r="CP239" s="161"/>
      <c r="CQ239" s="161"/>
      <c r="CR239" s="161"/>
      <c r="CS239" s="161"/>
      <c r="CT239" s="161"/>
      <c r="CU239" s="161"/>
      <c r="CV239" s="161"/>
      <c r="CW239" s="161"/>
      <c r="CX239" s="161"/>
      <c r="CY239" s="161"/>
      <c r="CZ239" s="161"/>
      <c r="DA239" s="161"/>
      <c r="DB239" s="161"/>
      <c r="DC239" s="161"/>
      <c r="DD239" s="161"/>
      <c r="DE239" s="161"/>
      <c r="DF239" s="161">
        <f>SUM(DG239:DG239)</f>
      </c>
      <c r="DG239" s="161"/>
      <c r="DH239" s="161"/>
      <c r="DI239" s="161"/>
      <c r="DJ239" s="161">
        <f>SUM(DK239:DP239)</f>
      </c>
      <c r="DK239" s="161"/>
      <c r="DL239" s="161"/>
      <c r="DM239" s="161"/>
      <c r="DN239" s="161"/>
      <c r="DO239" s="161"/>
      <c r="DP239" s="161"/>
      <c r="DQ239" s="161"/>
      <c r="DR239" s="161"/>
      <c r="DS239" s="161"/>
      <c r="DT239" s="161"/>
      <c r="DU239" s="161"/>
      <c r="DV239" s="161"/>
      <c r="DW239" s="161"/>
      <c r="DX239" s="161"/>
      <c r="DY239" s="161"/>
      <c r="DZ239" s="161"/>
      <c r="EA239" s="161"/>
      <c r="EB239" s="161"/>
      <c r="EC239" s="161"/>
      <c r="ED239" s="161"/>
      <c r="EE239" s="161"/>
      <c r="EF239" s="161">
        <f>SUM(EG239:EP239)</f>
      </c>
      <c r="EG239" s="161"/>
      <c r="EH239" s="161"/>
      <c r="EI239" s="161"/>
      <c r="EJ239" s="161"/>
      <c r="EK239" s="161"/>
      <c r="EL239" s="161"/>
      <c r="EM239" s="161"/>
      <c r="EN239" s="161"/>
      <c r="EO239" s="161"/>
      <c r="EP239" s="161"/>
      <c r="EQ239" s="161">
        <f>SUM(ER239:ES239)</f>
      </c>
      <c r="ER239" s="161"/>
      <c r="ES239" s="161"/>
      <c r="ET239" s="161"/>
      <c r="EU239" s="161"/>
      <c r="EV239" s="161"/>
      <c r="EW239" s="161"/>
      <c r="EX239" s="161"/>
      <c r="EY239" s="161"/>
      <c r="EZ239" s="161"/>
      <c r="FA239" s="161"/>
      <c r="FB239" s="161"/>
      <c r="FC239" s="161"/>
      <c r="FD239" s="161"/>
      <c r="FE239" s="161"/>
      <c r="FF239" s="161"/>
      <c r="FG239" s="161"/>
      <c r="FH239" s="163" cm="1">
        <f t="array" ref="FH239">ROW()-ROW(Ongoing[#Headers])</f>
        <v>233</v>
      </c>
      <c r="FI239" s="164" t="s">
        <v>107</v>
      </c>
      <c r="FJ239" s="164" t="s">
        <v>1259</v>
      </c>
      <c r="FK239" s="164" t="s">
        <v>1263</v>
      </c>
      <c r="FL239" s="164" t="s">
        <v>756</v>
      </c>
      <c r="FM239" s="164" t="s">
        <v>790</v>
      </c>
      <c r="FN239" s="164">
        <v>0</v>
      </c>
      <c r="FO239" s="164" t="s">
        <v>1266</v>
      </c>
      <c r="FP239" s="164" t="s">
        <v>759</v>
      </c>
    </row>
    <row r="240" spans="2:172" s="115" customFormat="1" ht="11.25" x14ac:dyDescent="0.2">
      <c r="B240" s="148"/>
      <c r="C240" s="148"/>
      <c r="D240" s="148"/>
      <c r="E240" s="148"/>
      <c r="F240" s="148"/>
      <c r="G240" s="148"/>
      <c r="H240" s="148"/>
      <c r="I240" s="148"/>
      <c r="J240" s="148"/>
      <c r="K240" s="148"/>
      <c r="L240" s="148"/>
      <c r="M240" s="160"/>
      <c r="N240" s="160"/>
      <c r="O240" s="148"/>
      <c r="P240" s="161">
        <f>SUM(Q240:AP240)</f>
      </c>
      <c r="Q240" s="161"/>
      <c r="R240" s="161"/>
      <c r="S240" s="161"/>
      <c r="T240" s="161"/>
      <c r="U240" s="161"/>
      <c r="V240" s="161"/>
      <c r="W240" s="161"/>
      <c r="X240" s="161"/>
      <c r="Y240" s="161"/>
      <c r="Z240" s="161"/>
      <c r="AA240" s="161"/>
      <c r="AB240" s="161"/>
      <c r="AC240" s="161"/>
      <c r="AD240" s="161"/>
      <c r="AE240" s="161"/>
      <c r="AF240" s="161"/>
      <c r="AG240" s="161"/>
      <c r="AH240" s="161"/>
      <c r="AI240" s="161"/>
      <c r="AJ240" s="161"/>
      <c r="AK240" s="161"/>
      <c r="AL240" s="161"/>
      <c r="AM240" s="161"/>
      <c r="AN240" s="161"/>
      <c r="AO240" s="161"/>
      <c r="AP240" s="161"/>
      <c r="AQ240" s="161">
        <f>SUM(AR240:AU240)</f>
      </c>
      <c r="AR240" s="161"/>
      <c r="AS240" s="161"/>
      <c r="AT240" s="161"/>
      <c r="AU240" s="161"/>
      <c r="AV240" s="161">
        <f>SUM(AW240:BH240)</f>
      </c>
      <c r="AW240" s="161"/>
      <c r="AX240" s="161"/>
      <c r="AY240" s="161"/>
      <c r="AZ240" s="161"/>
      <c r="BA240" s="161"/>
      <c r="BB240" s="161"/>
      <c r="BC240" s="161"/>
      <c r="BD240" s="161"/>
      <c r="BE240" s="161"/>
      <c r="BF240" s="161"/>
      <c r="BG240" s="161"/>
      <c r="BH240" s="161"/>
      <c r="BI240" s="161"/>
      <c r="BJ240" s="161"/>
      <c r="BK240" s="161"/>
      <c r="BL240" s="161"/>
      <c r="BM240" s="161"/>
      <c r="BN240" s="161"/>
      <c r="BO240" s="161"/>
      <c r="BP240" s="161"/>
      <c r="BQ240" s="161"/>
      <c r="BR240" s="161"/>
      <c r="BS240" s="161">
        <f>SUM(BT240:BV240)</f>
      </c>
      <c r="BT240" s="161"/>
      <c r="BU240" s="161"/>
      <c r="BV240" s="161"/>
      <c r="BW240" s="161">
        <f>SUM(BX240:CC240)</f>
      </c>
      <c r="BX240" s="161"/>
      <c r="BY240" s="161"/>
      <c r="BZ240" s="161"/>
      <c r="CA240" s="161"/>
      <c r="CB240" s="161"/>
      <c r="CC240" s="161"/>
      <c r="CD240" s="161"/>
      <c r="CE240" s="161"/>
      <c r="CF240" s="161"/>
      <c r="CG240" s="161"/>
      <c r="CH240" s="161"/>
      <c r="CI240" s="161"/>
      <c r="CJ240" s="161">
        <f>SUM(CK240:CM240)</f>
      </c>
      <c r="CK240" s="161"/>
      <c r="CL240" s="161"/>
      <c r="CM240" s="161"/>
      <c r="CN240" s="161">
        <f>SUM(CO240:CS240)</f>
      </c>
      <c r="CO240" s="161"/>
      <c r="CP240" s="161"/>
      <c r="CQ240" s="161"/>
      <c r="CR240" s="161"/>
      <c r="CS240" s="161"/>
      <c r="CT240" s="161"/>
      <c r="CU240" s="161"/>
      <c r="CV240" s="161"/>
      <c r="CW240" s="161"/>
      <c r="CX240" s="161"/>
      <c r="CY240" s="161"/>
      <c r="CZ240" s="161"/>
      <c r="DA240" s="161"/>
      <c r="DB240" s="161"/>
      <c r="DC240" s="161"/>
      <c r="DD240" s="161"/>
      <c r="DE240" s="161"/>
      <c r="DF240" s="161">
        <f>SUM(DG240:DG240)</f>
      </c>
      <c r="DG240" s="161"/>
      <c r="DH240" s="161"/>
      <c r="DI240" s="161"/>
      <c r="DJ240" s="161">
        <f>SUM(DK240:DP240)</f>
      </c>
      <c r="DK240" s="161"/>
      <c r="DL240" s="161"/>
      <c r="DM240" s="161"/>
      <c r="DN240" s="161"/>
      <c r="DO240" s="161"/>
      <c r="DP240" s="161"/>
      <c r="DQ240" s="161"/>
      <c r="DR240" s="161"/>
      <c r="DS240" s="161"/>
      <c r="DT240" s="161"/>
      <c r="DU240" s="161"/>
      <c r="DV240" s="161"/>
      <c r="DW240" s="161"/>
      <c r="DX240" s="161"/>
      <c r="DY240" s="161"/>
      <c r="DZ240" s="161"/>
      <c r="EA240" s="161"/>
      <c r="EB240" s="161"/>
      <c r="EC240" s="161"/>
      <c r="ED240" s="161"/>
      <c r="EE240" s="161"/>
      <c r="EF240" s="161">
        <f>SUM(EG240:EP240)</f>
      </c>
      <c r="EG240" s="161"/>
      <c r="EH240" s="161"/>
      <c r="EI240" s="161"/>
      <c r="EJ240" s="161"/>
      <c r="EK240" s="161"/>
      <c r="EL240" s="161"/>
      <c r="EM240" s="161"/>
      <c r="EN240" s="161"/>
      <c r="EO240" s="161"/>
      <c r="EP240" s="161"/>
      <c r="EQ240" s="161">
        <f>SUM(ER240:ES240)</f>
      </c>
      <c r="ER240" s="161"/>
      <c r="ES240" s="161"/>
      <c r="ET240" s="161"/>
      <c r="EU240" s="161"/>
      <c r="EV240" s="161"/>
      <c r="EW240" s="161"/>
      <c r="EX240" s="161"/>
      <c r="EY240" s="161"/>
      <c r="EZ240" s="161"/>
      <c r="FA240" s="161"/>
      <c r="FB240" s="161"/>
      <c r="FC240" s="161"/>
      <c r="FD240" s="161"/>
      <c r="FE240" s="161"/>
      <c r="FF240" s="161"/>
      <c r="FG240" s="161"/>
      <c r="FH240" s="163" cm="1">
        <f t="array" ref="FH240">ROW()-ROW(Ongoing[#Headers])</f>
        <v>234</v>
      </c>
      <c r="FI240" s="164" t="s">
        <v>1286</v>
      </c>
      <c r="FJ240" s="164" t="s">
        <v>788</v>
      </c>
      <c r="FK240" s="164" t="s">
        <v>1287</v>
      </c>
      <c r="FL240" s="164" t="s">
        <v>1288</v>
      </c>
      <c r="FM240" s="164" t="s">
        <v>790</v>
      </c>
      <c r="FN240" s="164">
        <v>0</v>
      </c>
      <c r="FO240" s="164">
        <v>0</v>
      </c>
      <c r="FP240" s="164" t="s">
        <v>759</v>
      </c>
    </row>
    <row r="241" spans="2:172" s="115" customFormat="1" ht="11.25" x14ac:dyDescent="0.2">
      <c r="B241" s="148"/>
      <c r="C241" s="148"/>
      <c r="D241" s="148"/>
      <c r="E241" s="148"/>
      <c r="F241" s="148"/>
      <c r="G241" s="148"/>
      <c r="H241" s="148"/>
      <c r="I241" s="148"/>
      <c r="J241" s="148"/>
      <c r="K241" s="148"/>
      <c r="L241" s="148"/>
      <c r="M241" s="160"/>
      <c r="N241" s="160"/>
      <c r="O241" s="148"/>
      <c r="P241" s="161">
        <f>SUM(Q241:AP241)</f>
      </c>
      <c r="Q241" s="161"/>
      <c r="R241" s="161"/>
      <c r="S241" s="161"/>
      <c r="T241" s="161"/>
      <c r="U241" s="161"/>
      <c r="V241" s="161"/>
      <c r="W241" s="161"/>
      <c r="X241" s="161"/>
      <c r="Y241" s="161"/>
      <c r="Z241" s="161"/>
      <c r="AA241" s="161"/>
      <c r="AB241" s="161"/>
      <c r="AC241" s="161"/>
      <c r="AD241" s="161"/>
      <c r="AE241" s="161"/>
      <c r="AF241" s="161"/>
      <c r="AG241" s="161"/>
      <c r="AH241" s="161"/>
      <c r="AI241" s="161"/>
      <c r="AJ241" s="161"/>
      <c r="AK241" s="161"/>
      <c r="AL241" s="161"/>
      <c r="AM241" s="161"/>
      <c r="AN241" s="161"/>
      <c r="AO241" s="161"/>
      <c r="AP241" s="161"/>
      <c r="AQ241" s="161">
        <f>SUM(AR241:AU241)</f>
      </c>
      <c r="AR241" s="161"/>
      <c r="AS241" s="161"/>
      <c r="AT241" s="161"/>
      <c r="AU241" s="161"/>
      <c r="AV241" s="161">
        <f>SUM(AW241:BH241)</f>
      </c>
      <c r="AW241" s="161"/>
      <c r="AX241" s="161"/>
      <c r="AY241" s="161"/>
      <c r="AZ241" s="161"/>
      <c r="BA241" s="161"/>
      <c r="BB241" s="161"/>
      <c r="BC241" s="161"/>
      <c r="BD241" s="161"/>
      <c r="BE241" s="161"/>
      <c r="BF241" s="161"/>
      <c r="BG241" s="161"/>
      <c r="BH241" s="161"/>
      <c r="BI241" s="161"/>
      <c r="BJ241" s="161"/>
      <c r="BK241" s="161"/>
      <c r="BL241" s="161"/>
      <c r="BM241" s="161"/>
      <c r="BN241" s="161"/>
      <c r="BO241" s="161"/>
      <c r="BP241" s="161"/>
      <c r="BQ241" s="161"/>
      <c r="BR241" s="161"/>
      <c r="BS241" s="161">
        <f>SUM(BT241:BV241)</f>
      </c>
      <c r="BT241" s="161"/>
      <c r="BU241" s="161"/>
      <c r="BV241" s="161"/>
      <c r="BW241" s="161">
        <f>SUM(BX241:CC241)</f>
      </c>
      <c r="BX241" s="161"/>
      <c r="BY241" s="161"/>
      <c r="BZ241" s="161"/>
      <c r="CA241" s="161"/>
      <c r="CB241" s="161"/>
      <c r="CC241" s="161"/>
      <c r="CD241" s="161"/>
      <c r="CE241" s="161"/>
      <c r="CF241" s="161"/>
      <c r="CG241" s="161"/>
      <c r="CH241" s="161"/>
      <c r="CI241" s="161"/>
      <c r="CJ241" s="161">
        <f>SUM(CK241:CM241)</f>
      </c>
      <c r="CK241" s="161"/>
      <c r="CL241" s="161"/>
      <c r="CM241" s="161"/>
      <c r="CN241" s="161">
        <f>SUM(CO241:CS241)</f>
      </c>
      <c r="CO241" s="161"/>
      <c r="CP241" s="161"/>
      <c r="CQ241" s="161"/>
      <c r="CR241" s="161"/>
      <c r="CS241" s="161"/>
      <c r="CT241" s="161"/>
      <c r="CU241" s="161"/>
      <c r="CV241" s="161"/>
      <c r="CW241" s="161"/>
      <c r="CX241" s="161"/>
      <c r="CY241" s="161"/>
      <c r="CZ241" s="161"/>
      <c r="DA241" s="161"/>
      <c r="DB241" s="161"/>
      <c r="DC241" s="161"/>
      <c r="DD241" s="161"/>
      <c r="DE241" s="161"/>
      <c r="DF241" s="161">
        <f>SUM(DG241:DG241)</f>
      </c>
      <c r="DG241" s="161"/>
      <c r="DH241" s="161"/>
      <c r="DI241" s="161"/>
      <c r="DJ241" s="161">
        <f>SUM(DK241:DP241)</f>
      </c>
      <c r="DK241" s="161"/>
      <c r="DL241" s="161"/>
      <c r="DM241" s="161"/>
      <c r="DN241" s="161"/>
      <c r="DO241" s="161"/>
      <c r="DP241" s="161"/>
      <c r="DQ241" s="161"/>
      <c r="DR241" s="161"/>
      <c r="DS241" s="161"/>
      <c r="DT241" s="161"/>
      <c r="DU241" s="161"/>
      <c r="DV241" s="161"/>
      <c r="DW241" s="161"/>
      <c r="DX241" s="161"/>
      <c r="DY241" s="161"/>
      <c r="DZ241" s="161"/>
      <c r="EA241" s="161"/>
      <c r="EB241" s="161"/>
      <c r="EC241" s="161"/>
      <c r="ED241" s="161"/>
      <c r="EE241" s="161"/>
      <c r="EF241" s="161">
        <f>SUM(EG241:EP241)</f>
      </c>
      <c r="EG241" s="161"/>
      <c r="EH241" s="161"/>
      <c r="EI241" s="161"/>
      <c r="EJ241" s="161"/>
      <c r="EK241" s="161"/>
      <c r="EL241" s="161"/>
      <c r="EM241" s="161"/>
      <c r="EN241" s="161"/>
      <c r="EO241" s="161"/>
      <c r="EP241" s="161"/>
      <c r="EQ241" s="161">
        <f>SUM(ER241:ES241)</f>
      </c>
      <c r="ER241" s="161"/>
      <c r="ES241" s="161"/>
      <c r="ET241" s="161"/>
      <c r="EU241" s="161"/>
      <c r="EV241" s="161"/>
      <c r="EW241" s="161"/>
      <c r="EX241" s="161"/>
      <c r="EY241" s="161"/>
      <c r="EZ241" s="161"/>
      <c r="FA241" s="161"/>
      <c r="FB241" s="161"/>
      <c r="FC241" s="161"/>
      <c r="FD241" s="161"/>
      <c r="FE241" s="161"/>
      <c r="FF241" s="161"/>
      <c r="FG241" s="161"/>
      <c r="FH241" s="163" cm="1">
        <f t="array" ref="FH241">ROW()-ROW(Ongoing[#Headers])</f>
        <v>235</v>
      </c>
      <c r="FI241" s="164" t="s">
        <v>1243</v>
      </c>
      <c r="FJ241" s="164" t="s">
        <v>737</v>
      </c>
      <c r="FK241" s="164" t="s">
        <v>1244</v>
      </c>
      <c r="FL241" s="164" t="s">
        <v>789</v>
      </c>
      <c r="FM241" s="164" t="s">
        <v>790</v>
      </c>
      <c r="FN241" s="164">
        <v>0</v>
      </c>
      <c r="FO241" s="164">
        <v>0</v>
      </c>
      <c r="FP241" s="164">
        <v>0</v>
      </c>
    </row>
    <row r="242" spans="2:172" s="115" customFormat="1" ht="11.25" x14ac:dyDescent="0.2">
      <c r="B242" s="148"/>
      <c r="C242" s="148"/>
      <c r="D242" s="148"/>
      <c r="E242" s="148"/>
      <c r="F242" s="148"/>
      <c r="G242" s="148"/>
      <c r="H242" s="148"/>
      <c r="I242" s="148"/>
      <c r="J242" s="165"/>
      <c r="K242" s="148"/>
      <c r="L242" s="148"/>
      <c r="M242" s="160"/>
      <c r="N242" s="160"/>
      <c r="O242" s="148"/>
      <c r="P242" s="161">
        <f>SUM(Q242:AP242)</f>
      </c>
      <c r="Q242" s="161"/>
      <c r="R242" s="161"/>
      <c r="S242" s="161"/>
      <c r="T242" s="161"/>
      <c r="U242" s="161"/>
      <c r="V242" s="161"/>
      <c r="W242" s="161"/>
      <c r="X242" s="161"/>
      <c r="Y242" s="161"/>
      <c r="Z242" s="161"/>
      <c r="AA242" s="161"/>
      <c r="AB242" s="161"/>
      <c r="AC242" s="161"/>
      <c r="AD242" s="161"/>
      <c r="AE242" s="161"/>
      <c r="AF242" s="161"/>
      <c r="AG242" s="161"/>
      <c r="AH242" s="161"/>
      <c r="AI242" s="161"/>
      <c r="AJ242" s="161"/>
      <c r="AK242" s="161"/>
      <c r="AL242" s="161"/>
      <c r="AM242" s="161"/>
      <c r="AN242" s="161"/>
      <c r="AO242" s="161"/>
      <c r="AP242" s="161"/>
      <c r="AQ242" s="161">
        <f>SUM(AR242:AU242)</f>
      </c>
      <c r="AR242" s="161"/>
      <c r="AS242" s="161"/>
      <c r="AT242" s="161"/>
      <c r="AU242" s="161"/>
      <c r="AV242" s="161">
        <f>SUM(AW242:BH242)</f>
      </c>
      <c r="AW242" s="161"/>
      <c r="AX242" s="161"/>
      <c r="AY242" s="161"/>
      <c r="AZ242" s="161"/>
      <c r="BA242" s="161"/>
      <c r="BB242" s="161"/>
      <c r="BC242" s="161"/>
      <c r="BD242" s="161"/>
      <c r="BE242" s="161"/>
      <c r="BF242" s="161"/>
      <c r="BG242" s="161"/>
      <c r="BH242" s="161"/>
      <c r="BI242" s="161"/>
      <c r="BJ242" s="161"/>
      <c r="BK242" s="161"/>
      <c r="BL242" s="161"/>
      <c r="BM242" s="161"/>
      <c r="BN242" s="161"/>
      <c r="BO242" s="161"/>
      <c r="BP242" s="161"/>
      <c r="BQ242" s="161"/>
      <c r="BR242" s="161"/>
      <c r="BS242" s="161">
        <f>SUM(BT242:BV242)</f>
      </c>
      <c r="BT242" s="161"/>
      <c r="BU242" s="161"/>
      <c r="BV242" s="161"/>
      <c r="BW242" s="161">
        <f>SUM(BX242:CC242)</f>
      </c>
      <c r="BX242" s="161"/>
      <c r="BY242" s="161"/>
      <c r="BZ242" s="161"/>
      <c r="CA242" s="161"/>
      <c r="CB242" s="161"/>
      <c r="CC242" s="161"/>
      <c r="CD242" s="161"/>
      <c r="CE242" s="161"/>
      <c r="CF242" s="161"/>
      <c r="CG242" s="161"/>
      <c r="CH242" s="161"/>
      <c r="CI242" s="161"/>
      <c r="CJ242" s="161">
        <f>SUM(CK242:CM242)</f>
      </c>
      <c r="CK242" s="161"/>
      <c r="CL242" s="161"/>
      <c r="CM242" s="161"/>
      <c r="CN242" s="161">
        <f>SUM(CO242:CS242)</f>
      </c>
      <c r="CO242" s="161"/>
      <c r="CP242" s="161"/>
      <c r="CQ242" s="161"/>
      <c r="CR242" s="161"/>
      <c r="CS242" s="161"/>
      <c r="CT242" s="161"/>
      <c r="CU242" s="161"/>
      <c r="CV242" s="161"/>
      <c r="CW242" s="161"/>
      <c r="CX242" s="161"/>
      <c r="CY242" s="161"/>
      <c r="CZ242" s="161"/>
      <c r="DA242" s="161"/>
      <c r="DB242" s="161"/>
      <c r="DC242" s="161"/>
      <c r="DD242" s="161"/>
      <c r="DE242" s="161"/>
      <c r="DF242" s="161">
        <f>SUM(DG242:DG242)</f>
      </c>
      <c r="DG242" s="161"/>
      <c r="DH242" s="161"/>
      <c r="DI242" s="161"/>
      <c r="DJ242" s="161">
        <f>SUM(DK242:DP242)</f>
      </c>
      <c r="DK242" s="161"/>
      <c r="DL242" s="161"/>
      <c r="DM242" s="161"/>
      <c r="DN242" s="161"/>
      <c r="DO242" s="161"/>
      <c r="DP242" s="161"/>
      <c r="DQ242" s="161"/>
      <c r="DR242" s="161"/>
      <c r="DS242" s="161"/>
      <c r="DT242" s="161"/>
      <c r="DU242" s="161"/>
      <c r="DV242" s="161"/>
      <c r="DW242" s="161"/>
      <c r="DX242" s="161"/>
      <c r="DY242" s="161"/>
      <c r="DZ242" s="161"/>
      <c r="EA242" s="161"/>
      <c r="EB242" s="161"/>
      <c r="EC242" s="161"/>
      <c r="ED242" s="161"/>
      <c r="EE242" s="161"/>
      <c r="EF242" s="161">
        <f>SUM(EG242:EP242)</f>
      </c>
      <c r="EG242" s="161"/>
      <c r="EH242" s="161"/>
      <c r="EI242" s="161"/>
      <c r="EJ242" s="161"/>
      <c r="EK242" s="161"/>
      <c r="EL242" s="161"/>
      <c r="EM242" s="161"/>
      <c r="EN242" s="161"/>
      <c r="EO242" s="161"/>
      <c r="EP242" s="161"/>
      <c r="EQ242" s="161">
        <f>SUM(ER242:ES242)</f>
      </c>
      <c r="ER242" s="161"/>
      <c r="ES242" s="161"/>
      <c r="ET242" s="161"/>
      <c r="EU242" s="161"/>
      <c r="EV242" s="161"/>
      <c r="EW242" s="161"/>
      <c r="EX242" s="161"/>
      <c r="EY242" s="161"/>
      <c r="EZ242" s="161"/>
      <c r="FA242" s="161"/>
      <c r="FB242" s="161"/>
      <c r="FC242" s="161"/>
      <c r="FD242" s="161"/>
      <c r="FE242" s="161"/>
      <c r="FF242" s="161"/>
      <c r="FG242" s="161"/>
      <c r="FH242" s="163" cm="1">
        <f t="array" ref="FH242">ROW()-ROW(Ongoing[#Headers])</f>
        <v>236</v>
      </c>
      <c r="FI242" s="164"/>
      <c r="FJ242" s="164"/>
      <c r="FK242" s="164"/>
      <c r="FL242" s="164"/>
      <c r="FM242" s="164"/>
      <c r="FN242" s="164"/>
      <c r="FO242" s="164"/>
      <c r="FP242" s="164"/>
    </row>
    <row r="243" spans="2:172" s="115" customFormat="1" ht="11.25" x14ac:dyDescent="0.2">
      <c r="B243" s="148"/>
      <c r="C243" s="148"/>
      <c r="D243" s="148"/>
      <c r="E243" s="148"/>
      <c r="F243" s="148"/>
      <c r="G243" s="148"/>
      <c r="H243" s="148"/>
      <c r="I243" s="148"/>
      <c r="J243" s="148"/>
      <c r="K243" s="148"/>
      <c r="L243" s="148"/>
      <c r="M243" s="160"/>
      <c r="N243" s="160"/>
      <c r="O243" s="148"/>
      <c r="P243" s="161">
        <f>SUM(Q243:AP243)</f>
      </c>
      <c r="Q243" s="161"/>
      <c r="R243" s="161"/>
      <c r="S243" s="161"/>
      <c r="T243" s="161"/>
      <c r="U243" s="161"/>
      <c r="V243" s="161"/>
      <c r="W243" s="161"/>
      <c r="X243" s="161"/>
      <c r="Y243" s="161"/>
      <c r="Z243" s="161"/>
      <c r="AA243" s="161"/>
      <c r="AB243" s="161"/>
      <c r="AC243" s="161"/>
      <c r="AD243" s="161"/>
      <c r="AE243" s="161"/>
      <c r="AF243" s="161"/>
      <c r="AG243" s="161"/>
      <c r="AH243" s="161"/>
      <c r="AI243" s="161"/>
      <c r="AJ243" s="161"/>
      <c r="AK243" s="161"/>
      <c r="AL243" s="161"/>
      <c r="AM243" s="161"/>
      <c r="AN243" s="161"/>
      <c r="AO243" s="161"/>
      <c r="AP243" s="161"/>
      <c r="AQ243" s="161">
        <f>SUM(AR243:AU243)</f>
      </c>
      <c r="AR243" s="161"/>
      <c r="AS243" s="161"/>
      <c r="AT243" s="161"/>
      <c r="AU243" s="161"/>
      <c r="AV243" s="161">
        <f>SUM(AW243:BH243)</f>
      </c>
      <c r="AW243" s="161"/>
      <c r="AX243" s="161"/>
      <c r="AY243" s="161"/>
      <c r="AZ243" s="161"/>
      <c r="BA243" s="161"/>
      <c r="BB243" s="161"/>
      <c r="BC243" s="161"/>
      <c r="BD243" s="161"/>
      <c r="BE243" s="161"/>
      <c r="BF243" s="161"/>
      <c r="BG243" s="161"/>
      <c r="BH243" s="161"/>
      <c r="BI243" s="161"/>
      <c r="BJ243" s="161"/>
      <c r="BK243" s="161"/>
      <c r="BL243" s="161"/>
      <c r="BM243" s="161"/>
      <c r="BN243" s="161"/>
      <c r="BO243" s="161"/>
      <c r="BP243" s="161"/>
      <c r="BQ243" s="161"/>
      <c r="BR243" s="161"/>
      <c r="BS243" s="161">
        <f>SUM(BT243:BV243)</f>
      </c>
      <c r="BT243" s="161"/>
      <c r="BU243" s="161"/>
      <c r="BV243" s="161"/>
      <c r="BW243" s="161">
        <f>SUM(BX243:CC243)</f>
      </c>
      <c r="BX243" s="161"/>
      <c r="BY243" s="161"/>
      <c r="BZ243" s="161"/>
      <c r="CA243" s="161"/>
      <c r="CB243" s="161"/>
      <c r="CC243" s="161"/>
      <c r="CD243" s="161"/>
      <c r="CE243" s="161"/>
      <c r="CF243" s="161"/>
      <c r="CG243" s="161"/>
      <c r="CH243" s="161"/>
      <c r="CI243" s="161"/>
      <c r="CJ243" s="161">
        <f>SUM(CK243:CM243)</f>
      </c>
      <c r="CK243" s="161"/>
      <c r="CL243" s="161"/>
      <c r="CM243" s="161"/>
      <c r="CN243" s="161">
        <f>SUM(CO243:CS243)</f>
      </c>
      <c r="CO243" s="161"/>
      <c r="CP243" s="161"/>
      <c r="CQ243" s="161"/>
      <c r="CR243" s="161"/>
      <c r="CS243" s="161"/>
      <c r="CT243" s="161"/>
      <c r="CU243" s="161"/>
      <c r="CV243" s="161"/>
      <c r="CW243" s="161"/>
      <c r="CX243" s="161"/>
      <c r="CY243" s="161"/>
      <c r="CZ243" s="161"/>
      <c r="DA243" s="161"/>
      <c r="DB243" s="161"/>
      <c r="DC243" s="161"/>
      <c r="DD243" s="161"/>
      <c r="DE243" s="161"/>
      <c r="DF243" s="161">
        <f>SUM(DG243:DG243)</f>
      </c>
      <c r="DG243" s="161"/>
      <c r="DH243" s="161"/>
      <c r="DI243" s="161"/>
      <c r="DJ243" s="161">
        <f>SUM(DK243:DP243)</f>
      </c>
      <c r="DK243" s="161"/>
      <c r="DL243" s="161"/>
      <c r="DM243" s="161"/>
      <c r="DN243" s="161"/>
      <c r="DO243" s="161"/>
      <c r="DP243" s="161"/>
      <c r="DQ243" s="161"/>
      <c r="DR243" s="161"/>
      <c r="DS243" s="161"/>
      <c r="DT243" s="161"/>
      <c r="DU243" s="161"/>
      <c r="DV243" s="161"/>
      <c r="DW243" s="161"/>
      <c r="DX243" s="161"/>
      <c r="DY243" s="161"/>
      <c r="DZ243" s="161"/>
      <c r="EA243" s="161"/>
      <c r="EB243" s="161"/>
      <c r="EC243" s="161"/>
      <c r="ED243" s="161"/>
      <c r="EE243" s="161"/>
      <c r="EF243" s="161">
        <f>SUM(EG243:EP243)</f>
      </c>
      <c r="EG243" s="161"/>
      <c r="EH243" s="161"/>
      <c r="EI243" s="161"/>
      <c r="EJ243" s="161"/>
      <c r="EK243" s="161"/>
      <c r="EL243" s="161"/>
      <c r="EM243" s="161"/>
      <c r="EN243" s="161"/>
      <c r="EO243" s="161"/>
      <c r="EP243" s="161"/>
      <c r="EQ243" s="161">
        <f>SUM(ER243:ES243)</f>
      </c>
      <c r="ER243" s="161"/>
      <c r="ES243" s="161"/>
      <c r="ET243" s="161"/>
      <c r="EU243" s="161"/>
      <c r="EV243" s="161"/>
      <c r="EW243" s="161"/>
      <c r="EX243" s="161"/>
      <c r="EY243" s="161"/>
      <c r="EZ243" s="161"/>
      <c r="FA243" s="161"/>
      <c r="FB243" s="161"/>
      <c r="FC243" s="161"/>
      <c r="FD243" s="161"/>
      <c r="FE243" s="161"/>
      <c r="FF243" s="161"/>
      <c r="FG243" s="161"/>
      <c r="FH243" s="163" cm="1">
        <f t="array" ref="FH243">ROW()-ROW(Ongoing[#Headers])</f>
        <v>237</v>
      </c>
      <c r="FI243" s="164" t="s">
        <v>107</v>
      </c>
      <c r="FJ243" s="164" t="s">
        <v>1259</v>
      </c>
      <c r="FK243" s="164" t="s">
        <v>1263</v>
      </c>
      <c r="FL243" s="164" t="s">
        <v>789</v>
      </c>
      <c r="FM243" s="164" t="s">
        <v>790</v>
      </c>
      <c r="FN243" s="164">
        <v>0</v>
      </c>
      <c r="FO243" s="164" t="s">
        <v>1297</v>
      </c>
      <c r="FP243" s="164" t="s">
        <v>850</v>
      </c>
    </row>
    <row r="244" spans="2:172" s="115" customFormat="1" ht="11.25" x14ac:dyDescent="0.2">
      <c r="B244" s="148"/>
      <c r="C244" s="148"/>
      <c r="D244" s="148"/>
      <c r="E244" s="148"/>
      <c r="F244" s="148"/>
      <c r="G244" s="148"/>
      <c r="H244" s="148"/>
      <c r="I244" s="148"/>
      <c r="J244" s="148"/>
      <c r="K244" s="148"/>
      <c r="L244" s="148"/>
      <c r="M244" s="160"/>
      <c r="N244" s="160"/>
      <c r="O244" s="148"/>
      <c r="P244" s="161">
        <f>SUM(Q244:AP244)</f>
      </c>
      <c r="Q244" s="161"/>
      <c r="R244" s="161"/>
      <c r="S244" s="161"/>
      <c r="T244" s="161"/>
      <c r="U244" s="161"/>
      <c r="V244" s="161"/>
      <c r="W244" s="161"/>
      <c r="X244" s="161"/>
      <c r="Y244" s="161"/>
      <c r="Z244" s="161"/>
      <c r="AA244" s="161"/>
      <c r="AB244" s="161"/>
      <c r="AC244" s="161"/>
      <c r="AD244" s="161"/>
      <c r="AE244" s="161"/>
      <c r="AF244" s="161"/>
      <c r="AG244" s="161"/>
      <c r="AH244" s="161"/>
      <c r="AI244" s="161"/>
      <c r="AJ244" s="161"/>
      <c r="AK244" s="161"/>
      <c r="AL244" s="161"/>
      <c r="AM244" s="161"/>
      <c r="AN244" s="161"/>
      <c r="AO244" s="161"/>
      <c r="AP244" s="161"/>
      <c r="AQ244" s="161">
        <f>SUM(AR244:AU244)</f>
      </c>
      <c r="AR244" s="161"/>
      <c r="AS244" s="161"/>
      <c r="AT244" s="161"/>
      <c r="AU244" s="161"/>
      <c r="AV244" s="161">
        <f>SUM(AW244:BH244)</f>
      </c>
      <c r="AW244" s="161"/>
      <c r="AX244" s="161"/>
      <c r="AY244" s="161"/>
      <c r="AZ244" s="161"/>
      <c r="BA244" s="161"/>
      <c r="BB244" s="161"/>
      <c r="BC244" s="161"/>
      <c r="BD244" s="161"/>
      <c r="BE244" s="161"/>
      <c r="BF244" s="161"/>
      <c r="BG244" s="161"/>
      <c r="BH244" s="161"/>
      <c r="BI244" s="161"/>
      <c r="BJ244" s="161"/>
      <c r="BK244" s="161"/>
      <c r="BL244" s="161"/>
      <c r="BM244" s="161"/>
      <c r="BN244" s="161"/>
      <c r="BO244" s="161"/>
      <c r="BP244" s="161"/>
      <c r="BQ244" s="161"/>
      <c r="BR244" s="161"/>
      <c r="BS244" s="161">
        <f>SUM(BT244:BV244)</f>
      </c>
      <c r="BT244" s="161"/>
      <c r="BU244" s="161"/>
      <c r="BV244" s="161"/>
      <c r="BW244" s="161">
        <f>SUM(BX244:CC244)</f>
      </c>
      <c r="BX244" s="161"/>
      <c r="BY244" s="161"/>
      <c r="BZ244" s="161"/>
      <c r="CA244" s="161"/>
      <c r="CB244" s="161"/>
      <c r="CC244" s="161"/>
      <c r="CD244" s="161"/>
      <c r="CE244" s="161"/>
      <c r="CF244" s="161"/>
      <c r="CG244" s="161"/>
      <c r="CH244" s="161"/>
      <c r="CI244" s="161"/>
      <c r="CJ244" s="161">
        <f>SUM(CK244:CM244)</f>
      </c>
      <c r="CK244" s="161"/>
      <c r="CL244" s="161"/>
      <c r="CM244" s="161"/>
      <c r="CN244" s="161">
        <f>SUM(CO244:CS244)</f>
      </c>
      <c r="CO244" s="161"/>
      <c r="CP244" s="161"/>
      <c r="CQ244" s="161"/>
      <c r="CR244" s="161"/>
      <c r="CS244" s="161"/>
      <c r="CT244" s="161"/>
      <c r="CU244" s="161"/>
      <c r="CV244" s="161"/>
      <c r="CW244" s="161"/>
      <c r="CX244" s="161"/>
      <c r="CY244" s="161"/>
      <c r="CZ244" s="161"/>
      <c r="DA244" s="161"/>
      <c r="DB244" s="161"/>
      <c r="DC244" s="161"/>
      <c r="DD244" s="161"/>
      <c r="DE244" s="161"/>
      <c r="DF244" s="161">
        <f>SUM(DG244:DG244)</f>
      </c>
      <c r="DG244" s="161"/>
      <c r="DH244" s="161"/>
      <c r="DI244" s="161"/>
      <c r="DJ244" s="161">
        <f>SUM(DK244:DP244)</f>
      </c>
      <c r="DK244" s="161"/>
      <c r="DL244" s="161"/>
      <c r="DM244" s="161"/>
      <c r="DN244" s="161"/>
      <c r="DO244" s="161"/>
      <c r="DP244" s="161"/>
      <c r="DQ244" s="161"/>
      <c r="DR244" s="161"/>
      <c r="DS244" s="161"/>
      <c r="DT244" s="161"/>
      <c r="DU244" s="161"/>
      <c r="DV244" s="161"/>
      <c r="DW244" s="161"/>
      <c r="DX244" s="161"/>
      <c r="DY244" s="161"/>
      <c r="DZ244" s="161"/>
      <c r="EA244" s="161"/>
      <c r="EB244" s="161"/>
      <c r="EC244" s="161"/>
      <c r="ED244" s="161"/>
      <c r="EE244" s="161"/>
      <c r="EF244" s="161">
        <f>SUM(EG244:EP244)</f>
      </c>
      <c r="EG244" s="161"/>
      <c r="EH244" s="161"/>
      <c r="EI244" s="161"/>
      <c r="EJ244" s="161"/>
      <c r="EK244" s="161"/>
      <c r="EL244" s="161"/>
      <c r="EM244" s="161"/>
      <c r="EN244" s="161"/>
      <c r="EO244" s="161"/>
      <c r="EP244" s="161"/>
      <c r="EQ244" s="161">
        <f>SUM(ER244:ES244)</f>
      </c>
      <c r="ER244" s="161"/>
      <c r="ES244" s="161"/>
      <c r="ET244" s="161"/>
      <c r="EU244" s="161"/>
      <c r="EV244" s="161"/>
      <c r="EW244" s="161"/>
      <c r="EX244" s="161"/>
      <c r="EY244" s="161"/>
      <c r="EZ244" s="161"/>
      <c r="FA244" s="161"/>
      <c r="FB244" s="161"/>
      <c r="FC244" s="161"/>
      <c r="FD244" s="161"/>
      <c r="FE244" s="161"/>
      <c r="FF244" s="161"/>
      <c r="FG244" s="161"/>
      <c r="FH244" s="163" cm="1">
        <f t="array" ref="FH244">ROW()-ROW(Ongoing[#Headers])</f>
        <v>238</v>
      </c>
      <c r="FI244" s="164" t="s">
        <v>768</v>
      </c>
      <c r="FJ244" s="164" t="s">
        <v>1300</v>
      </c>
      <c r="FK244" s="164">
        <v>0</v>
      </c>
      <c r="FL244" s="164" t="s">
        <v>789</v>
      </c>
      <c r="FM244" s="164" t="s">
        <v>790</v>
      </c>
      <c r="FN244" s="164">
        <v>0</v>
      </c>
      <c r="FO244" s="164">
        <v>0</v>
      </c>
      <c r="FP244" s="164">
        <v>0</v>
      </c>
    </row>
    <row r="245" spans="2:172" s="115" customFormat="1" ht="11.25" x14ac:dyDescent="0.2">
      <c r="B245" s="148"/>
      <c r="C245" s="148"/>
      <c r="D245" s="148"/>
      <c r="E245" s="148"/>
      <c r="F245" s="148"/>
      <c r="G245" s="148"/>
      <c r="H245" s="148"/>
      <c r="I245" s="148"/>
      <c r="J245" s="148"/>
      <c r="K245" s="148"/>
      <c r="L245" s="148"/>
      <c r="M245" s="160"/>
      <c r="N245" s="160"/>
      <c r="O245" s="148"/>
      <c r="P245" s="161">
        <f>SUM(Q245:AP245)</f>
      </c>
      <c r="Q245" s="161"/>
      <c r="R245" s="161"/>
      <c r="S245" s="161"/>
      <c r="T245" s="161"/>
      <c r="U245" s="161"/>
      <c r="V245" s="161"/>
      <c r="W245" s="161"/>
      <c r="X245" s="161"/>
      <c r="Y245" s="161"/>
      <c r="Z245" s="161"/>
      <c r="AA245" s="161"/>
      <c r="AB245" s="161"/>
      <c r="AC245" s="161"/>
      <c r="AD245" s="161"/>
      <c r="AE245" s="161"/>
      <c r="AF245" s="161"/>
      <c r="AG245" s="161"/>
      <c r="AH245" s="161"/>
      <c r="AI245" s="161"/>
      <c r="AJ245" s="161"/>
      <c r="AK245" s="161"/>
      <c r="AL245" s="161"/>
      <c r="AM245" s="161"/>
      <c r="AN245" s="161"/>
      <c r="AO245" s="161"/>
      <c r="AP245" s="161"/>
      <c r="AQ245" s="161">
        <f>SUM(AR245:AU245)</f>
      </c>
      <c r="AR245" s="161"/>
      <c r="AS245" s="161"/>
      <c r="AT245" s="161"/>
      <c r="AU245" s="161"/>
      <c r="AV245" s="161">
        <f>SUM(AW245:BH245)</f>
      </c>
      <c r="AW245" s="161"/>
      <c r="AX245" s="161"/>
      <c r="AY245" s="161"/>
      <c r="AZ245" s="161"/>
      <c r="BA245" s="161"/>
      <c r="BB245" s="161"/>
      <c r="BC245" s="161"/>
      <c r="BD245" s="161"/>
      <c r="BE245" s="161"/>
      <c r="BF245" s="161"/>
      <c r="BG245" s="161"/>
      <c r="BH245" s="161"/>
      <c r="BI245" s="161"/>
      <c r="BJ245" s="161"/>
      <c r="BK245" s="161"/>
      <c r="BL245" s="161"/>
      <c r="BM245" s="161"/>
      <c r="BN245" s="161"/>
      <c r="BO245" s="161"/>
      <c r="BP245" s="161"/>
      <c r="BQ245" s="161"/>
      <c r="BR245" s="161"/>
      <c r="BS245" s="161">
        <f>SUM(BT245:BV245)</f>
      </c>
      <c r="BT245" s="161"/>
      <c r="BU245" s="161"/>
      <c r="BV245" s="161"/>
      <c r="BW245" s="161">
        <f>SUM(BX245:CC245)</f>
      </c>
      <c r="BX245" s="161"/>
      <c r="BY245" s="161"/>
      <c r="BZ245" s="161"/>
      <c r="CA245" s="161"/>
      <c r="CB245" s="161"/>
      <c r="CC245" s="161"/>
      <c r="CD245" s="161"/>
      <c r="CE245" s="161"/>
      <c r="CF245" s="161"/>
      <c r="CG245" s="161"/>
      <c r="CH245" s="161"/>
      <c r="CI245" s="161"/>
      <c r="CJ245" s="161">
        <f>SUM(CK245:CM245)</f>
      </c>
      <c r="CK245" s="161"/>
      <c r="CL245" s="161"/>
      <c r="CM245" s="161"/>
      <c r="CN245" s="161">
        <f>SUM(CO245:CS245)</f>
      </c>
      <c r="CO245" s="161"/>
      <c r="CP245" s="161"/>
      <c r="CQ245" s="161"/>
      <c r="CR245" s="161"/>
      <c r="CS245" s="161"/>
      <c r="CT245" s="161"/>
      <c r="CU245" s="161"/>
      <c r="CV245" s="161"/>
      <c r="CW245" s="161"/>
      <c r="CX245" s="161"/>
      <c r="CY245" s="161"/>
      <c r="CZ245" s="161"/>
      <c r="DA245" s="161"/>
      <c r="DB245" s="161"/>
      <c r="DC245" s="161"/>
      <c r="DD245" s="161"/>
      <c r="DE245" s="161"/>
      <c r="DF245" s="161">
        <f>SUM(DG245:DG245)</f>
      </c>
      <c r="DG245" s="161"/>
      <c r="DH245" s="161"/>
      <c r="DI245" s="161"/>
      <c r="DJ245" s="161">
        <f>SUM(DK245:DP245)</f>
      </c>
      <c r="DK245" s="161"/>
      <c r="DL245" s="161"/>
      <c r="DM245" s="161"/>
      <c r="DN245" s="161"/>
      <c r="DO245" s="161"/>
      <c r="DP245" s="161"/>
      <c r="DQ245" s="161"/>
      <c r="DR245" s="161"/>
      <c r="DS245" s="161"/>
      <c r="DT245" s="161"/>
      <c r="DU245" s="161"/>
      <c r="DV245" s="161"/>
      <c r="DW245" s="161"/>
      <c r="DX245" s="161"/>
      <c r="DY245" s="161"/>
      <c r="DZ245" s="161"/>
      <c r="EA245" s="161"/>
      <c r="EB245" s="161"/>
      <c r="EC245" s="161"/>
      <c r="ED245" s="161"/>
      <c r="EE245" s="161"/>
      <c r="EF245" s="161">
        <f>SUM(EG245:EP245)</f>
      </c>
      <c r="EG245" s="161"/>
      <c r="EH245" s="161"/>
      <c r="EI245" s="161"/>
      <c r="EJ245" s="161"/>
      <c r="EK245" s="161"/>
      <c r="EL245" s="161"/>
      <c r="EM245" s="161"/>
      <c r="EN245" s="161"/>
      <c r="EO245" s="161"/>
      <c r="EP245" s="161"/>
      <c r="EQ245" s="161">
        <f>SUM(ER245:ES245)</f>
      </c>
      <c r="ER245" s="161"/>
      <c r="ES245" s="161"/>
      <c r="ET245" s="161"/>
      <c r="EU245" s="161"/>
      <c r="EV245" s="161"/>
      <c r="EW245" s="161"/>
      <c r="EX245" s="161"/>
      <c r="EY245" s="161"/>
      <c r="EZ245" s="161"/>
      <c r="FA245" s="161"/>
      <c r="FB245" s="161"/>
      <c r="FC245" s="161"/>
      <c r="FD245" s="161"/>
      <c r="FE245" s="161"/>
      <c r="FF245" s="161"/>
      <c r="FG245" s="161"/>
      <c r="FH245" s="163" cm="1">
        <f t="array" ref="FH245">ROW()-ROW(Ongoing[#Headers])</f>
        <v>239</v>
      </c>
      <c r="FI245" s="164"/>
      <c r="FJ245" s="164"/>
      <c r="FK245" s="164"/>
      <c r="FL245" s="164"/>
      <c r="FM245" s="164"/>
      <c r="FN245" s="164"/>
      <c r="FO245" s="164"/>
      <c r="FP245" s="164"/>
    </row>
    <row r="246" spans="2:172" s="115" customFormat="1" ht="11.25" x14ac:dyDescent="0.2">
      <c r="B246" s="148"/>
      <c r="C246" s="148"/>
      <c r="D246" s="148"/>
      <c r="E246" s="148"/>
      <c r="F246" s="148"/>
      <c r="G246" s="148"/>
      <c r="H246" s="148"/>
      <c r="I246" s="148"/>
      <c r="J246" s="148"/>
      <c r="K246" s="148"/>
      <c r="L246" s="148"/>
      <c r="M246" s="160"/>
      <c r="N246" s="160"/>
      <c r="O246" s="148"/>
      <c r="P246" s="161">
        <f>SUM(Q246:AP246)</f>
      </c>
      <c r="Q246" s="161"/>
      <c r="R246" s="161"/>
      <c r="S246" s="161"/>
      <c r="T246" s="161"/>
      <c r="U246" s="161"/>
      <c r="V246" s="161"/>
      <c r="W246" s="161"/>
      <c r="X246" s="161"/>
      <c r="Y246" s="161"/>
      <c r="Z246" s="161"/>
      <c r="AA246" s="161"/>
      <c r="AB246" s="161"/>
      <c r="AC246" s="161"/>
      <c r="AD246" s="161"/>
      <c r="AE246" s="161"/>
      <c r="AF246" s="161"/>
      <c r="AG246" s="161"/>
      <c r="AH246" s="161"/>
      <c r="AI246" s="161"/>
      <c r="AJ246" s="161"/>
      <c r="AK246" s="161"/>
      <c r="AL246" s="161"/>
      <c r="AM246" s="161"/>
      <c r="AN246" s="161"/>
      <c r="AO246" s="161"/>
      <c r="AP246" s="161"/>
      <c r="AQ246" s="161">
        <f>SUM(AR246:AU246)</f>
      </c>
      <c r="AR246" s="161"/>
      <c r="AS246" s="161"/>
      <c r="AT246" s="161"/>
      <c r="AU246" s="161"/>
      <c r="AV246" s="161">
        <f>SUM(AW246:BH246)</f>
      </c>
      <c r="AW246" s="161"/>
      <c r="AX246" s="161"/>
      <c r="AY246" s="161"/>
      <c r="AZ246" s="161"/>
      <c r="BA246" s="161"/>
      <c r="BB246" s="161"/>
      <c r="BC246" s="161"/>
      <c r="BD246" s="161"/>
      <c r="BE246" s="161"/>
      <c r="BF246" s="161"/>
      <c r="BG246" s="161"/>
      <c r="BH246" s="161"/>
      <c r="BI246" s="161"/>
      <c r="BJ246" s="161"/>
      <c r="BK246" s="161"/>
      <c r="BL246" s="161"/>
      <c r="BM246" s="161"/>
      <c r="BN246" s="161"/>
      <c r="BO246" s="161"/>
      <c r="BP246" s="161"/>
      <c r="BQ246" s="161"/>
      <c r="BR246" s="161"/>
      <c r="BS246" s="161">
        <f>SUM(BT246:BV246)</f>
      </c>
      <c r="BT246" s="161"/>
      <c r="BU246" s="161"/>
      <c r="BV246" s="161"/>
      <c r="BW246" s="161">
        <f>SUM(BX246:CC246)</f>
      </c>
      <c r="BX246" s="161"/>
      <c r="BY246" s="161"/>
      <c r="BZ246" s="161"/>
      <c r="CA246" s="161"/>
      <c r="CB246" s="161"/>
      <c r="CC246" s="161"/>
      <c r="CD246" s="161"/>
      <c r="CE246" s="161"/>
      <c r="CF246" s="161"/>
      <c r="CG246" s="161"/>
      <c r="CH246" s="161"/>
      <c r="CI246" s="161"/>
      <c r="CJ246" s="161">
        <f>SUM(CK246:CM246)</f>
      </c>
      <c r="CK246" s="161"/>
      <c r="CL246" s="161"/>
      <c r="CM246" s="161"/>
      <c r="CN246" s="161">
        <f>SUM(CO246:CS246)</f>
      </c>
      <c r="CO246" s="161"/>
      <c r="CP246" s="161"/>
      <c r="CQ246" s="161"/>
      <c r="CR246" s="161"/>
      <c r="CS246" s="161"/>
      <c r="CT246" s="161"/>
      <c r="CU246" s="161"/>
      <c r="CV246" s="161"/>
      <c r="CW246" s="161"/>
      <c r="CX246" s="161"/>
      <c r="CY246" s="161"/>
      <c r="CZ246" s="161"/>
      <c r="DA246" s="161"/>
      <c r="DB246" s="161"/>
      <c r="DC246" s="161"/>
      <c r="DD246" s="161"/>
      <c r="DE246" s="161"/>
      <c r="DF246" s="161">
        <f>SUM(DG246:DG246)</f>
      </c>
      <c r="DG246" s="161"/>
      <c r="DH246" s="161"/>
      <c r="DI246" s="161"/>
      <c r="DJ246" s="161">
        <f>SUM(DK246:DP246)</f>
      </c>
      <c r="DK246" s="161"/>
      <c r="DL246" s="161"/>
      <c r="DM246" s="161"/>
      <c r="DN246" s="161"/>
      <c r="DO246" s="161"/>
      <c r="DP246" s="161"/>
      <c r="DQ246" s="161"/>
      <c r="DR246" s="161"/>
      <c r="DS246" s="161"/>
      <c r="DT246" s="161"/>
      <c r="DU246" s="161"/>
      <c r="DV246" s="161"/>
      <c r="DW246" s="161"/>
      <c r="DX246" s="161"/>
      <c r="DY246" s="161"/>
      <c r="DZ246" s="161"/>
      <c r="EA246" s="161"/>
      <c r="EB246" s="161"/>
      <c r="EC246" s="161"/>
      <c r="ED246" s="161"/>
      <c r="EE246" s="161"/>
      <c r="EF246" s="161">
        <f>SUM(EG246:EP246)</f>
      </c>
      <c r="EG246" s="161"/>
      <c r="EH246" s="161"/>
      <c r="EI246" s="161"/>
      <c r="EJ246" s="161"/>
      <c r="EK246" s="161"/>
      <c r="EL246" s="161"/>
      <c r="EM246" s="161"/>
      <c r="EN246" s="161"/>
      <c r="EO246" s="161"/>
      <c r="EP246" s="161"/>
      <c r="EQ246" s="161">
        <f>SUM(ER246:ES246)</f>
      </c>
      <c r="ER246" s="161"/>
      <c r="ES246" s="161"/>
      <c r="ET246" s="161"/>
      <c r="EU246" s="161"/>
      <c r="EV246" s="161"/>
      <c r="EW246" s="161"/>
      <c r="EX246" s="161"/>
      <c r="EY246" s="161"/>
      <c r="EZ246" s="161"/>
      <c r="FA246" s="161"/>
      <c r="FB246" s="161"/>
      <c r="FC246" s="161"/>
      <c r="FD246" s="161"/>
      <c r="FE246" s="161"/>
      <c r="FF246" s="161"/>
      <c r="FG246" s="161"/>
      <c r="FH246" s="163" cm="1">
        <f t="array" ref="FH246">ROW()-ROW(Ongoing[#Headers])</f>
        <v>240</v>
      </c>
      <c r="FI246" s="164"/>
      <c r="FJ246" s="164"/>
      <c r="FK246" s="164"/>
      <c r="FL246" s="164"/>
      <c r="FM246" s="164"/>
      <c r="FN246" s="164"/>
      <c r="FO246" s="164"/>
      <c r="FP246" s="164"/>
    </row>
    <row r="247" spans="2:172" s="115" customFormat="1" ht="11.25" x14ac:dyDescent="0.2">
      <c r="B247" s="148"/>
      <c r="C247" s="148"/>
      <c r="D247" s="148"/>
      <c r="E247" s="148"/>
      <c r="F247" s="148"/>
      <c r="G247" s="148"/>
      <c r="H247" s="148"/>
      <c r="I247" s="148"/>
      <c r="J247" s="165"/>
      <c r="K247" s="148"/>
      <c r="L247" s="148"/>
      <c r="M247" s="160"/>
      <c r="N247" s="160"/>
      <c r="O247" s="148"/>
      <c r="P247" s="161">
        <f>SUM(Q247:AP247)</f>
      </c>
      <c r="Q247" s="161"/>
      <c r="R247" s="161"/>
      <c r="S247" s="161"/>
      <c r="T247" s="161"/>
      <c r="U247" s="161"/>
      <c r="V247" s="161"/>
      <c r="W247" s="161"/>
      <c r="X247" s="161"/>
      <c r="Y247" s="161"/>
      <c r="Z247" s="161"/>
      <c r="AA247" s="161"/>
      <c r="AB247" s="161"/>
      <c r="AC247" s="161"/>
      <c r="AD247" s="161"/>
      <c r="AE247" s="161"/>
      <c r="AF247" s="161"/>
      <c r="AG247" s="161"/>
      <c r="AH247" s="161"/>
      <c r="AI247" s="161"/>
      <c r="AJ247" s="161"/>
      <c r="AK247" s="161"/>
      <c r="AL247" s="161"/>
      <c r="AM247" s="161"/>
      <c r="AN247" s="161"/>
      <c r="AO247" s="161"/>
      <c r="AP247" s="161"/>
      <c r="AQ247" s="161">
        <f>SUM(AR247:AU247)</f>
      </c>
      <c r="AR247" s="161"/>
      <c r="AS247" s="161"/>
      <c r="AT247" s="161"/>
      <c r="AU247" s="161"/>
      <c r="AV247" s="161">
        <f>SUM(AW247:BH247)</f>
      </c>
      <c r="AW247" s="161"/>
      <c r="AX247" s="161"/>
      <c r="AY247" s="161"/>
      <c r="AZ247" s="161"/>
      <c r="BA247" s="161"/>
      <c r="BB247" s="161"/>
      <c r="BC247" s="161"/>
      <c r="BD247" s="161"/>
      <c r="BE247" s="161"/>
      <c r="BF247" s="161"/>
      <c r="BG247" s="161"/>
      <c r="BH247" s="161"/>
      <c r="BI247" s="161"/>
      <c r="BJ247" s="161"/>
      <c r="BK247" s="161"/>
      <c r="BL247" s="161"/>
      <c r="BM247" s="161"/>
      <c r="BN247" s="161"/>
      <c r="BO247" s="161"/>
      <c r="BP247" s="161"/>
      <c r="BQ247" s="161"/>
      <c r="BR247" s="161"/>
      <c r="BS247" s="161">
        <f>SUM(BT247:BV247)</f>
      </c>
      <c r="BT247" s="161"/>
      <c r="BU247" s="161"/>
      <c r="BV247" s="161"/>
      <c r="BW247" s="161">
        <f>SUM(BX247:CC247)</f>
      </c>
      <c r="BX247" s="161"/>
      <c r="BY247" s="161"/>
      <c r="BZ247" s="161"/>
      <c r="CA247" s="161"/>
      <c r="CB247" s="161"/>
      <c r="CC247" s="161"/>
      <c r="CD247" s="161"/>
      <c r="CE247" s="161"/>
      <c r="CF247" s="161"/>
      <c r="CG247" s="161"/>
      <c r="CH247" s="161"/>
      <c r="CI247" s="161"/>
      <c r="CJ247" s="161">
        <f>SUM(CK247:CM247)</f>
      </c>
      <c r="CK247" s="161"/>
      <c r="CL247" s="161"/>
      <c r="CM247" s="161"/>
      <c r="CN247" s="161">
        <f>SUM(CO247:CS247)</f>
      </c>
      <c r="CO247" s="161"/>
      <c r="CP247" s="161"/>
      <c r="CQ247" s="161"/>
      <c r="CR247" s="161"/>
      <c r="CS247" s="161"/>
      <c r="CT247" s="161"/>
      <c r="CU247" s="161"/>
      <c r="CV247" s="161"/>
      <c r="CW247" s="161"/>
      <c r="CX247" s="161"/>
      <c r="CY247" s="161"/>
      <c r="CZ247" s="161"/>
      <c r="DA247" s="161"/>
      <c r="DB247" s="161"/>
      <c r="DC247" s="161"/>
      <c r="DD247" s="161"/>
      <c r="DE247" s="161"/>
      <c r="DF247" s="161">
        <f>SUM(DG247:DG247)</f>
      </c>
      <c r="DG247" s="161"/>
      <c r="DH247" s="161"/>
      <c r="DI247" s="161"/>
      <c r="DJ247" s="161">
        <f>SUM(DK247:DP247)</f>
      </c>
      <c r="DK247" s="161"/>
      <c r="DL247" s="161"/>
      <c r="DM247" s="161"/>
      <c r="DN247" s="161"/>
      <c r="DO247" s="161"/>
      <c r="DP247" s="161"/>
      <c r="DQ247" s="161"/>
      <c r="DR247" s="161"/>
      <c r="DS247" s="161"/>
      <c r="DT247" s="161"/>
      <c r="DU247" s="161"/>
      <c r="DV247" s="161"/>
      <c r="DW247" s="161"/>
      <c r="DX247" s="161"/>
      <c r="DY247" s="161"/>
      <c r="DZ247" s="161"/>
      <c r="EA247" s="161"/>
      <c r="EB247" s="161"/>
      <c r="EC247" s="161"/>
      <c r="ED247" s="161"/>
      <c r="EE247" s="161"/>
      <c r="EF247" s="161">
        <f>SUM(EG247:EP247)</f>
      </c>
      <c r="EG247" s="161"/>
      <c r="EH247" s="161"/>
      <c r="EI247" s="161"/>
      <c r="EJ247" s="161"/>
      <c r="EK247" s="161"/>
      <c r="EL247" s="161"/>
      <c r="EM247" s="161"/>
      <c r="EN247" s="161"/>
      <c r="EO247" s="161"/>
      <c r="EP247" s="161"/>
      <c r="EQ247" s="161">
        <f>SUM(ER247:ES247)</f>
      </c>
      <c r="ER247" s="161"/>
      <c r="ES247" s="161"/>
      <c r="ET247" s="161"/>
      <c r="EU247" s="161"/>
      <c r="EV247" s="161"/>
      <c r="EW247" s="161"/>
      <c r="EX247" s="161"/>
      <c r="EY247" s="161"/>
      <c r="EZ247" s="161"/>
      <c r="FA247" s="161"/>
      <c r="FB247" s="161"/>
      <c r="FC247" s="161"/>
      <c r="FD247" s="161"/>
      <c r="FE247" s="161"/>
      <c r="FF247" s="161"/>
      <c r="FG247" s="161"/>
      <c r="FH247" s="163" cm="1">
        <f t="array" ref="FH247">ROW()-ROW(Ongoing[#Headers])</f>
        <v>241</v>
      </c>
      <c r="FI247" s="164"/>
      <c r="FJ247" s="164"/>
      <c r="FK247" s="164"/>
      <c r="FL247" s="164"/>
      <c r="FM247" s="164"/>
      <c r="FN247" s="164"/>
      <c r="FO247" s="164"/>
      <c r="FP247" s="164"/>
    </row>
    <row r="248" spans="2:172" s="115" customFormat="1" ht="11.25" x14ac:dyDescent="0.2">
      <c r="B248" s="148"/>
      <c r="C248" s="148"/>
      <c r="D248" s="148"/>
      <c r="E248" s="148"/>
      <c r="F248" s="148"/>
      <c r="G248" s="148"/>
      <c r="H248" s="148"/>
      <c r="I248" s="148"/>
      <c r="J248" s="148"/>
      <c r="K248" s="148"/>
      <c r="L248" s="148"/>
      <c r="M248" s="160"/>
      <c r="N248" s="160"/>
      <c r="O248" s="148"/>
      <c r="P248" s="161">
        <f>SUM(Q248:AP248)</f>
      </c>
      <c r="Q248" s="161"/>
      <c r="R248" s="161"/>
      <c r="S248" s="161"/>
      <c r="T248" s="161"/>
      <c r="U248" s="161"/>
      <c r="V248" s="161"/>
      <c r="W248" s="161"/>
      <c r="X248" s="161"/>
      <c r="Y248" s="161"/>
      <c r="Z248" s="161"/>
      <c r="AA248" s="161"/>
      <c r="AB248" s="161"/>
      <c r="AC248" s="161"/>
      <c r="AD248" s="161"/>
      <c r="AE248" s="161"/>
      <c r="AF248" s="161"/>
      <c r="AG248" s="161"/>
      <c r="AH248" s="161"/>
      <c r="AI248" s="161"/>
      <c r="AJ248" s="161"/>
      <c r="AK248" s="161"/>
      <c r="AL248" s="161"/>
      <c r="AM248" s="161"/>
      <c r="AN248" s="161"/>
      <c r="AO248" s="161"/>
      <c r="AP248" s="161"/>
      <c r="AQ248" s="161">
        <f>SUM(AR248:AU248)</f>
      </c>
      <c r="AR248" s="161"/>
      <c r="AS248" s="161"/>
      <c r="AT248" s="161"/>
      <c r="AU248" s="161"/>
      <c r="AV248" s="161">
        <f>SUM(AW248:BH248)</f>
      </c>
      <c r="AW248" s="161"/>
      <c r="AX248" s="161"/>
      <c r="AY248" s="161"/>
      <c r="AZ248" s="161"/>
      <c r="BA248" s="161"/>
      <c r="BB248" s="161"/>
      <c r="BC248" s="161"/>
      <c r="BD248" s="161"/>
      <c r="BE248" s="161"/>
      <c r="BF248" s="161"/>
      <c r="BG248" s="161"/>
      <c r="BH248" s="161"/>
      <c r="BI248" s="161"/>
      <c r="BJ248" s="161"/>
      <c r="BK248" s="161"/>
      <c r="BL248" s="161"/>
      <c r="BM248" s="161"/>
      <c r="BN248" s="161"/>
      <c r="BO248" s="161"/>
      <c r="BP248" s="161"/>
      <c r="BQ248" s="161"/>
      <c r="BR248" s="161"/>
      <c r="BS248" s="161">
        <f>SUM(BT248:BV248)</f>
      </c>
      <c r="BT248" s="161"/>
      <c r="BU248" s="161"/>
      <c r="BV248" s="161"/>
      <c r="BW248" s="161">
        <f>SUM(BX248:CC248)</f>
      </c>
      <c r="BX248" s="161"/>
      <c r="BY248" s="161"/>
      <c r="BZ248" s="161"/>
      <c r="CA248" s="161"/>
      <c r="CB248" s="161"/>
      <c r="CC248" s="161"/>
      <c r="CD248" s="161"/>
      <c r="CE248" s="161"/>
      <c r="CF248" s="161"/>
      <c r="CG248" s="161"/>
      <c r="CH248" s="161"/>
      <c r="CI248" s="161"/>
      <c r="CJ248" s="161">
        <f>SUM(CK248:CM248)</f>
      </c>
      <c r="CK248" s="161"/>
      <c r="CL248" s="161"/>
      <c r="CM248" s="161"/>
      <c r="CN248" s="161">
        <f>SUM(CO248:CS248)</f>
      </c>
      <c r="CO248" s="161"/>
      <c r="CP248" s="161"/>
      <c r="CQ248" s="161"/>
      <c r="CR248" s="161"/>
      <c r="CS248" s="161"/>
      <c r="CT248" s="161"/>
      <c r="CU248" s="161"/>
      <c r="CV248" s="161"/>
      <c r="CW248" s="161"/>
      <c r="CX248" s="161"/>
      <c r="CY248" s="161"/>
      <c r="CZ248" s="161"/>
      <c r="DA248" s="161"/>
      <c r="DB248" s="161"/>
      <c r="DC248" s="161"/>
      <c r="DD248" s="161"/>
      <c r="DE248" s="161"/>
      <c r="DF248" s="161">
        <f>SUM(DG248:DG248)</f>
      </c>
      <c r="DG248" s="161"/>
      <c r="DH248" s="161"/>
      <c r="DI248" s="161"/>
      <c r="DJ248" s="161">
        <f>SUM(DK248:DP248)</f>
      </c>
      <c r="DK248" s="161"/>
      <c r="DL248" s="161"/>
      <c r="DM248" s="161"/>
      <c r="DN248" s="161"/>
      <c r="DO248" s="161"/>
      <c r="DP248" s="161"/>
      <c r="DQ248" s="161"/>
      <c r="DR248" s="161"/>
      <c r="DS248" s="161"/>
      <c r="DT248" s="161"/>
      <c r="DU248" s="161"/>
      <c r="DV248" s="161"/>
      <c r="DW248" s="161"/>
      <c r="DX248" s="161"/>
      <c r="DY248" s="161"/>
      <c r="DZ248" s="161"/>
      <c r="EA248" s="161"/>
      <c r="EB248" s="161"/>
      <c r="EC248" s="161"/>
      <c r="ED248" s="161"/>
      <c r="EE248" s="161"/>
      <c r="EF248" s="161">
        <f>SUM(EG248:EP248)</f>
      </c>
      <c r="EG248" s="161"/>
      <c r="EH248" s="161"/>
      <c r="EI248" s="161"/>
      <c r="EJ248" s="161"/>
      <c r="EK248" s="161"/>
      <c r="EL248" s="161"/>
      <c r="EM248" s="161"/>
      <c r="EN248" s="161"/>
      <c r="EO248" s="161"/>
      <c r="EP248" s="161"/>
      <c r="EQ248" s="161">
        <f>SUM(ER248:ES248)</f>
      </c>
      <c r="ER248" s="161"/>
      <c r="ES248" s="161"/>
      <c r="ET248" s="161"/>
      <c r="EU248" s="161"/>
      <c r="EV248" s="161"/>
      <c r="EW248" s="161"/>
      <c r="EX248" s="161"/>
      <c r="EY248" s="161"/>
      <c r="EZ248" s="161"/>
      <c r="FA248" s="161"/>
      <c r="FB248" s="161"/>
      <c r="FC248" s="161"/>
      <c r="FD248" s="161"/>
      <c r="FE248" s="161"/>
      <c r="FF248" s="161"/>
      <c r="FG248" s="161"/>
      <c r="FH248" s="163" cm="1">
        <f t="array" ref="FH248">ROW()-ROW(Ongoing[#Headers])</f>
        <v>242</v>
      </c>
      <c r="FI248" s="164" t="s">
        <v>107</v>
      </c>
      <c r="FJ248" s="164" t="s">
        <v>1259</v>
      </c>
      <c r="FK248" s="164" t="s">
        <v>1263</v>
      </c>
      <c r="FL248" s="164" t="s">
        <v>756</v>
      </c>
      <c r="FM248" s="164" t="s">
        <v>790</v>
      </c>
      <c r="FN248" s="164">
        <v>0</v>
      </c>
      <c r="FO248" s="164" t="s">
        <v>1297</v>
      </c>
      <c r="FP248" s="164" t="s">
        <v>759</v>
      </c>
    </row>
    <row r="249" spans="2:172" s="115" customFormat="1" ht="11.25" x14ac:dyDescent="0.2">
      <c r="B249" s="148"/>
      <c r="C249" s="148"/>
      <c r="D249" s="148"/>
      <c r="E249" s="148"/>
      <c r="F249" s="148"/>
      <c r="G249" s="148"/>
      <c r="H249" s="148"/>
      <c r="I249" s="148"/>
      <c r="J249" s="165"/>
      <c r="K249" s="148"/>
      <c r="L249" s="148"/>
      <c r="M249" s="160"/>
      <c r="N249" s="160"/>
      <c r="O249" s="148"/>
      <c r="P249" s="161">
        <f>SUM(Q249:AP249)</f>
      </c>
      <c r="Q249" s="161"/>
      <c r="R249" s="161"/>
      <c r="S249" s="161"/>
      <c r="T249" s="161"/>
      <c r="U249" s="161"/>
      <c r="V249" s="161"/>
      <c r="W249" s="161"/>
      <c r="X249" s="161"/>
      <c r="Y249" s="161"/>
      <c r="Z249" s="161"/>
      <c r="AA249" s="161"/>
      <c r="AB249" s="161"/>
      <c r="AC249" s="161"/>
      <c r="AD249" s="161"/>
      <c r="AE249" s="161"/>
      <c r="AF249" s="161"/>
      <c r="AG249" s="161"/>
      <c r="AH249" s="161"/>
      <c r="AI249" s="161"/>
      <c r="AJ249" s="161"/>
      <c r="AK249" s="161"/>
      <c r="AL249" s="161"/>
      <c r="AM249" s="161"/>
      <c r="AN249" s="161"/>
      <c r="AO249" s="161"/>
      <c r="AP249" s="161"/>
      <c r="AQ249" s="161">
        <f>SUM(AR249:AU249)</f>
      </c>
      <c r="AR249" s="161"/>
      <c r="AS249" s="161"/>
      <c r="AT249" s="161"/>
      <c r="AU249" s="161"/>
      <c r="AV249" s="161">
        <f>SUM(AW249:BH249)</f>
      </c>
      <c r="AW249" s="161"/>
      <c r="AX249" s="161"/>
      <c r="AY249" s="161"/>
      <c r="AZ249" s="161"/>
      <c r="BA249" s="161"/>
      <c r="BB249" s="161"/>
      <c r="BC249" s="161"/>
      <c r="BD249" s="161"/>
      <c r="BE249" s="161"/>
      <c r="BF249" s="161"/>
      <c r="BG249" s="161"/>
      <c r="BH249" s="161"/>
      <c r="BI249" s="161"/>
      <c r="BJ249" s="161"/>
      <c r="BK249" s="161"/>
      <c r="BL249" s="161"/>
      <c r="BM249" s="161"/>
      <c r="BN249" s="161"/>
      <c r="BO249" s="161"/>
      <c r="BP249" s="161"/>
      <c r="BQ249" s="161"/>
      <c r="BR249" s="161"/>
      <c r="BS249" s="161">
        <f>SUM(BT249:BV249)</f>
      </c>
      <c r="BT249" s="161"/>
      <c r="BU249" s="161"/>
      <c r="BV249" s="161"/>
      <c r="BW249" s="161">
        <f>SUM(BX249:CC249)</f>
      </c>
      <c r="BX249" s="161"/>
      <c r="BY249" s="161"/>
      <c r="BZ249" s="161"/>
      <c r="CA249" s="161"/>
      <c r="CB249" s="161"/>
      <c r="CC249" s="161"/>
      <c r="CD249" s="161"/>
      <c r="CE249" s="161"/>
      <c r="CF249" s="161"/>
      <c r="CG249" s="161"/>
      <c r="CH249" s="161"/>
      <c r="CI249" s="161"/>
      <c r="CJ249" s="161">
        <f>SUM(CK249:CM249)</f>
      </c>
      <c r="CK249" s="161"/>
      <c r="CL249" s="161"/>
      <c r="CM249" s="161"/>
      <c r="CN249" s="161">
        <f>SUM(CO249:CS249)</f>
      </c>
      <c r="CO249" s="161"/>
      <c r="CP249" s="161"/>
      <c r="CQ249" s="161"/>
      <c r="CR249" s="161"/>
      <c r="CS249" s="161"/>
      <c r="CT249" s="161"/>
      <c r="CU249" s="161"/>
      <c r="CV249" s="161"/>
      <c r="CW249" s="161"/>
      <c r="CX249" s="161"/>
      <c r="CY249" s="161"/>
      <c r="CZ249" s="161"/>
      <c r="DA249" s="161"/>
      <c r="DB249" s="161"/>
      <c r="DC249" s="161"/>
      <c r="DD249" s="161"/>
      <c r="DE249" s="161"/>
      <c r="DF249" s="161">
        <f>SUM(DG249:DG249)</f>
      </c>
      <c r="DG249" s="161"/>
      <c r="DH249" s="161"/>
      <c r="DI249" s="161"/>
      <c r="DJ249" s="161">
        <f>SUM(DK249:DP249)</f>
      </c>
      <c r="DK249" s="161"/>
      <c r="DL249" s="161"/>
      <c r="DM249" s="161"/>
      <c r="DN249" s="161"/>
      <c r="DO249" s="161"/>
      <c r="DP249" s="161"/>
      <c r="DQ249" s="161"/>
      <c r="DR249" s="161"/>
      <c r="DS249" s="161"/>
      <c r="DT249" s="161"/>
      <c r="DU249" s="161"/>
      <c r="DV249" s="161"/>
      <c r="DW249" s="161"/>
      <c r="DX249" s="161"/>
      <c r="DY249" s="161"/>
      <c r="DZ249" s="161"/>
      <c r="EA249" s="161"/>
      <c r="EB249" s="161"/>
      <c r="EC249" s="161"/>
      <c r="ED249" s="161"/>
      <c r="EE249" s="161"/>
      <c r="EF249" s="161">
        <f>SUM(EG249:EP249)</f>
      </c>
      <c r="EG249" s="161"/>
      <c r="EH249" s="161"/>
      <c r="EI249" s="161"/>
      <c r="EJ249" s="161"/>
      <c r="EK249" s="161"/>
      <c r="EL249" s="161"/>
      <c r="EM249" s="161"/>
      <c r="EN249" s="161"/>
      <c r="EO249" s="161"/>
      <c r="EP249" s="161"/>
      <c r="EQ249" s="161">
        <f>SUM(ER249:ES249)</f>
      </c>
      <c r="ER249" s="161"/>
      <c r="ES249" s="161"/>
      <c r="ET249" s="161"/>
      <c r="EU249" s="161"/>
      <c r="EV249" s="161"/>
      <c r="EW249" s="161"/>
      <c r="EX249" s="161"/>
      <c r="EY249" s="161"/>
      <c r="EZ249" s="161"/>
      <c r="FA249" s="161"/>
      <c r="FB249" s="161"/>
      <c r="FC249" s="161"/>
      <c r="FD249" s="161"/>
      <c r="FE249" s="161"/>
      <c r="FF249" s="161"/>
      <c r="FG249" s="161"/>
      <c r="FH249" s="163" cm="1">
        <f t="array" ref="FH249">ROW()-ROW(Ongoing[#Headers])</f>
        <v>243</v>
      </c>
      <c r="FI249" s="164"/>
      <c r="FJ249" s="164"/>
      <c r="FK249" s="164"/>
      <c r="FL249" s="164"/>
      <c r="FM249" s="164"/>
      <c r="FN249" s="164"/>
      <c r="FO249" s="164"/>
      <c r="FP249" s="164"/>
    </row>
    <row r="250" spans="2:172" s="115" customFormat="1" ht="11.25" x14ac:dyDescent="0.2">
      <c r="B250" s="148"/>
      <c r="C250" s="148"/>
      <c r="D250" s="148"/>
      <c r="E250" s="148"/>
      <c r="F250" s="148"/>
      <c r="G250" s="148"/>
      <c r="H250" s="148"/>
      <c r="I250" s="148"/>
      <c r="J250" s="148"/>
      <c r="K250" s="148"/>
      <c r="L250" s="148"/>
      <c r="M250" s="160"/>
      <c r="N250" s="160"/>
      <c r="O250" s="148"/>
      <c r="P250" s="161">
        <f>SUM(Q250:AP250)</f>
      </c>
      <c r="Q250" s="161"/>
      <c r="R250" s="161"/>
      <c r="S250" s="161"/>
      <c r="T250" s="161"/>
      <c r="U250" s="161"/>
      <c r="V250" s="161"/>
      <c r="W250" s="161"/>
      <c r="X250" s="161"/>
      <c r="Y250" s="161"/>
      <c r="Z250" s="161"/>
      <c r="AA250" s="161"/>
      <c r="AB250" s="161"/>
      <c r="AC250" s="161"/>
      <c r="AD250" s="161"/>
      <c r="AE250" s="161"/>
      <c r="AF250" s="161"/>
      <c r="AG250" s="161"/>
      <c r="AH250" s="161"/>
      <c r="AI250" s="161"/>
      <c r="AJ250" s="161"/>
      <c r="AK250" s="161"/>
      <c r="AL250" s="161"/>
      <c r="AM250" s="161"/>
      <c r="AN250" s="161"/>
      <c r="AO250" s="161"/>
      <c r="AP250" s="161"/>
      <c r="AQ250" s="161">
        <f>SUM(AR250:AU250)</f>
      </c>
      <c r="AR250" s="161"/>
      <c r="AS250" s="161"/>
      <c r="AT250" s="161"/>
      <c r="AU250" s="161"/>
      <c r="AV250" s="161">
        <f>SUM(AW250:BH250)</f>
      </c>
      <c r="AW250" s="161"/>
      <c r="AX250" s="161"/>
      <c r="AY250" s="161"/>
      <c r="AZ250" s="161"/>
      <c r="BA250" s="161"/>
      <c r="BB250" s="161"/>
      <c r="BC250" s="161"/>
      <c r="BD250" s="161"/>
      <c r="BE250" s="161"/>
      <c r="BF250" s="161"/>
      <c r="BG250" s="161"/>
      <c r="BH250" s="161"/>
      <c r="BI250" s="161"/>
      <c r="BJ250" s="161"/>
      <c r="BK250" s="161"/>
      <c r="BL250" s="161"/>
      <c r="BM250" s="161"/>
      <c r="BN250" s="161"/>
      <c r="BO250" s="161"/>
      <c r="BP250" s="161"/>
      <c r="BQ250" s="161"/>
      <c r="BR250" s="161"/>
      <c r="BS250" s="161">
        <f>SUM(BT250:BV250)</f>
      </c>
      <c r="BT250" s="161"/>
      <c r="BU250" s="161"/>
      <c r="BV250" s="161"/>
      <c r="BW250" s="161">
        <f>SUM(BX250:CC250)</f>
      </c>
      <c r="BX250" s="161"/>
      <c r="BY250" s="161"/>
      <c r="BZ250" s="161"/>
      <c r="CA250" s="161"/>
      <c r="CB250" s="161"/>
      <c r="CC250" s="161"/>
      <c r="CD250" s="161"/>
      <c r="CE250" s="161"/>
      <c r="CF250" s="161"/>
      <c r="CG250" s="161"/>
      <c r="CH250" s="161"/>
      <c r="CI250" s="161"/>
      <c r="CJ250" s="161">
        <f>SUM(CK250:CM250)</f>
      </c>
      <c r="CK250" s="161"/>
      <c r="CL250" s="161"/>
      <c r="CM250" s="161"/>
      <c r="CN250" s="161">
        <f>SUM(CO250:CS250)</f>
      </c>
      <c r="CO250" s="161"/>
      <c r="CP250" s="161"/>
      <c r="CQ250" s="161"/>
      <c r="CR250" s="161"/>
      <c r="CS250" s="161"/>
      <c r="CT250" s="161"/>
      <c r="CU250" s="161"/>
      <c r="CV250" s="161"/>
      <c r="CW250" s="161"/>
      <c r="CX250" s="161"/>
      <c r="CY250" s="161"/>
      <c r="CZ250" s="161"/>
      <c r="DA250" s="161"/>
      <c r="DB250" s="161"/>
      <c r="DC250" s="161"/>
      <c r="DD250" s="161"/>
      <c r="DE250" s="161"/>
      <c r="DF250" s="161">
        <f>SUM(DG250:DG250)</f>
      </c>
      <c r="DG250" s="161"/>
      <c r="DH250" s="161"/>
      <c r="DI250" s="161"/>
      <c r="DJ250" s="161">
        <f>SUM(DK250:DP250)</f>
      </c>
      <c r="DK250" s="161"/>
      <c r="DL250" s="161"/>
      <c r="DM250" s="161"/>
      <c r="DN250" s="161"/>
      <c r="DO250" s="161"/>
      <c r="DP250" s="161"/>
      <c r="DQ250" s="161"/>
      <c r="DR250" s="161"/>
      <c r="DS250" s="161"/>
      <c r="DT250" s="161"/>
      <c r="DU250" s="161"/>
      <c r="DV250" s="161"/>
      <c r="DW250" s="161"/>
      <c r="DX250" s="161"/>
      <c r="DY250" s="161"/>
      <c r="DZ250" s="161"/>
      <c r="EA250" s="161"/>
      <c r="EB250" s="161"/>
      <c r="EC250" s="161"/>
      <c r="ED250" s="161"/>
      <c r="EE250" s="161"/>
      <c r="EF250" s="161">
        <f>SUM(EG250:EP250)</f>
      </c>
      <c r="EG250" s="161"/>
      <c r="EH250" s="161"/>
      <c r="EI250" s="161"/>
      <c r="EJ250" s="161"/>
      <c r="EK250" s="161"/>
      <c r="EL250" s="161"/>
      <c r="EM250" s="161"/>
      <c r="EN250" s="161"/>
      <c r="EO250" s="161"/>
      <c r="EP250" s="161"/>
      <c r="EQ250" s="161">
        <f>SUM(ER250:ES250)</f>
      </c>
      <c r="ER250" s="161"/>
      <c r="ES250" s="161"/>
      <c r="ET250" s="161"/>
      <c r="EU250" s="161"/>
      <c r="EV250" s="161"/>
      <c r="EW250" s="161"/>
      <c r="EX250" s="161"/>
      <c r="EY250" s="161"/>
      <c r="EZ250" s="161"/>
      <c r="FA250" s="161"/>
      <c r="FB250" s="161"/>
      <c r="FC250" s="161"/>
      <c r="FD250" s="161"/>
      <c r="FE250" s="161"/>
      <c r="FF250" s="161"/>
      <c r="FG250" s="161"/>
      <c r="FH250" s="163" cm="1">
        <f t="array" ref="FH250">ROW()-ROW(Ongoing[#Headers])</f>
        <v>244</v>
      </c>
      <c r="FI250" s="164" t="s">
        <v>1317</v>
      </c>
      <c r="FJ250" s="164" t="s">
        <v>1318</v>
      </c>
      <c r="FK250" s="164" t="s">
        <v>1319</v>
      </c>
      <c r="FL250" s="164" t="s">
        <v>756</v>
      </c>
      <c r="FM250" s="164" t="s">
        <v>790</v>
      </c>
      <c r="FN250" s="164">
        <v>0</v>
      </c>
      <c r="FO250" s="164" t="s">
        <v>1320</v>
      </c>
      <c r="FP250" s="164">
        <v>0</v>
      </c>
    </row>
    <row r="251" spans="2:172" s="115" customFormat="1" ht="11.25" x14ac:dyDescent="0.2">
      <c r="B251" s="148"/>
      <c r="C251" s="148"/>
      <c r="D251" s="148"/>
      <c r="E251" s="148"/>
      <c r="F251" s="148"/>
      <c r="G251" s="148"/>
      <c r="H251" s="148"/>
      <c r="I251" s="148"/>
      <c r="J251" s="148"/>
      <c r="K251" s="148"/>
      <c r="L251" s="148"/>
      <c r="M251" s="160"/>
      <c r="N251" s="160"/>
      <c r="O251" s="148"/>
      <c r="P251" s="161">
        <f>SUM(Q251:AP251)</f>
      </c>
      <c r="Q251" s="161"/>
      <c r="R251" s="161"/>
      <c r="S251" s="161"/>
      <c r="T251" s="161"/>
      <c r="U251" s="161"/>
      <c r="V251" s="161"/>
      <c r="W251" s="161"/>
      <c r="X251" s="161"/>
      <c r="Y251" s="161"/>
      <c r="Z251" s="161"/>
      <c r="AA251" s="161"/>
      <c r="AB251" s="161"/>
      <c r="AC251" s="161"/>
      <c r="AD251" s="161"/>
      <c r="AE251" s="161"/>
      <c r="AF251" s="161"/>
      <c r="AG251" s="161"/>
      <c r="AH251" s="161"/>
      <c r="AI251" s="161"/>
      <c r="AJ251" s="161"/>
      <c r="AK251" s="161"/>
      <c r="AL251" s="161"/>
      <c r="AM251" s="161"/>
      <c r="AN251" s="161"/>
      <c r="AO251" s="161"/>
      <c r="AP251" s="161"/>
      <c r="AQ251" s="161">
        <f>SUM(AR251:AU251)</f>
      </c>
      <c r="AR251" s="161"/>
      <c r="AS251" s="161"/>
      <c r="AT251" s="161"/>
      <c r="AU251" s="161"/>
      <c r="AV251" s="161">
        <f>SUM(AW251:BH251)</f>
      </c>
      <c r="AW251" s="161"/>
      <c r="AX251" s="161"/>
      <c r="AY251" s="161"/>
      <c r="AZ251" s="161"/>
      <c r="BA251" s="161"/>
      <c r="BB251" s="161"/>
      <c r="BC251" s="161"/>
      <c r="BD251" s="161"/>
      <c r="BE251" s="161"/>
      <c r="BF251" s="161"/>
      <c r="BG251" s="161"/>
      <c r="BH251" s="161"/>
      <c r="BI251" s="161"/>
      <c r="BJ251" s="161"/>
      <c r="BK251" s="161"/>
      <c r="BL251" s="161"/>
      <c r="BM251" s="161"/>
      <c r="BN251" s="161"/>
      <c r="BO251" s="161"/>
      <c r="BP251" s="161"/>
      <c r="BQ251" s="161"/>
      <c r="BR251" s="161"/>
      <c r="BS251" s="161">
        <f>SUM(BT251:BV251)</f>
      </c>
      <c r="BT251" s="161"/>
      <c r="BU251" s="161"/>
      <c r="BV251" s="161"/>
      <c r="BW251" s="161">
        <f>SUM(BX251:CC251)</f>
      </c>
      <c r="BX251" s="161"/>
      <c r="BY251" s="161"/>
      <c r="BZ251" s="161"/>
      <c r="CA251" s="161"/>
      <c r="CB251" s="161"/>
      <c r="CC251" s="161"/>
      <c r="CD251" s="161"/>
      <c r="CE251" s="161"/>
      <c r="CF251" s="161"/>
      <c r="CG251" s="161"/>
      <c r="CH251" s="161"/>
      <c r="CI251" s="161"/>
      <c r="CJ251" s="161">
        <f>SUM(CK251:CM251)</f>
      </c>
      <c r="CK251" s="161"/>
      <c r="CL251" s="161"/>
      <c r="CM251" s="161"/>
      <c r="CN251" s="161">
        <f>SUM(CO251:CS251)</f>
      </c>
      <c r="CO251" s="161"/>
      <c r="CP251" s="161"/>
      <c r="CQ251" s="161"/>
      <c r="CR251" s="161"/>
      <c r="CS251" s="161"/>
      <c r="CT251" s="161"/>
      <c r="CU251" s="161"/>
      <c r="CV251" s="161"/>
      <c r="CW251" s="161"/>
      <c r="CX251" s="161"/>
      <c r="CY251" s="161"/>
      <c r="CZ251" s="161"/>
      <c r="DA251" s="161"/>
      <c r="DB251" s="161"/>
      <c r="DC251" s="161"/>
      <c r="DD251" s="161"/>
      <c r="DE251" s="161"/>
      <c r="DF251" s="161">
        <f>SUM(DG251:DG251)</f>
      </c>
      <c r="DG251" s="161"/>
      <c r="DH251" s="161"/>
      <c r="DI251" s="161"/>
      <c r="DJ251" s="161">
        <f>SUM(DK251:DP251)</f>
      </c>
      <c r="DK251" s="161"/>
      <c r="DL251" s="161"/>
      <c r="DM251" s="161"/>
      <c r="DN251" s="161"/>
      <c r="DO251" s="161"/>
      <c r="DP251" s="161"/>
      <c r="DQ251" s="161"/>
      <c r="DR251" s="161"/>
      <c r="DS251" s="161"/>
      <c r="DT251" s="161"/>
      <c r="DU251" s="161"/>
      <c r="DV251" s="161"/>
      <c r="DW251" s="161"/>
      <c r="DX251" s="161"/>
      <c r="DY251" s="161"/>
      <c r="DZ251" s="161"/>
      <c r="EA251" s="161"/>
      <c r="EB251" s="161"/>
      <c r="EC251" s="161"/>
      <c r="ED251" s="161"/>
      <c r="EE251" s="161"/>
      <c r="EF251" s="161">
        <f>SUM(EG251:EP251)</f>
      </c>
      <c r="EG251" s="161"/>
      <c r="EH251" s="161"/>
      <c r="EI251" s="161"/>
      <c r="EJ251" s="161"/>
      <c r="EK251" s="161"/>
      <c r="EL251" s="161"/>
      <c r="EM251" s="161"/>
      <c r="EN251" s="161"/>
      <c r="EO251" s="161"/>
      <c r="EP251" s="161"/>
      <c r="EQ251" s="161">
        <f>SUM(ER251:ES251)</f>
      </c>
      <c r="ER251" s="161"/>
      <c r="ES251" s="161"/>
      <c r="ET251" s="161"/>
      <c r="EU251" s="161"/>
      <c r="EV251" s="161"/>
      <c r="EW251" s="161"/>
      <c r="EX251" s="161"/>
      <c r="EY251" s="161"/>
      <c r="EZ251" s="161"/>
      <c r="FA251" s="161"/>
      <c r="FB251" s="161"/>
      <c r="FC251" s="161"/>
      <c r="FD251" s="161"/>
      <c r="FE251" s="161"/>
      <c r="FF251" s="161"/>
      <c r="FG251" s="161"/>
      <c r="FH251" s="163" cm="1">
        <f t="array" ref="FH251">ROW()-ROW(Ongoing[#Headers])</f>
        <v>245</v>
      </c>
      <c r="FI251" s="164"/>
      <c r="FJ251" s="164"/>
      <c r="FK251" s="164"/>
      <c r="FL251" s="164"/>
      <c r="FM251" s="164"/>
      <c r="FN251" s="164"/>
      <c r="FO251" s="164"/>
      <c r="FP251" s="164"/>
    </row>
    <row r="252" spans="2:172" s="115" customFormat="1" ht="11.25" x14ac:dyDescent="0.2">
      <c r="B252" s="148"/>
      <c r="C252" s="148"/>
      <c r="D252" s="148"/>
      <c r="E252" s="148"/>
      <c r="F252" s="148"/>
      <c r="G252" s="148"/>
      <c r="H252" s="148"/>
      <c r="I252" s="148"/>
      <c r="J252" s="148"/>
      <c r="K252" s="148"/>
      <c r="L252" s="148"/>
      <c r="M252" s="160"/>
      <c r="N252" s="160"/>
      <c r="O252" s="148"/>
      <c r="P252" s="161">
        <f>SUM(Q252:AP252)</f>
      </c>
      <c r="Q252" s="161"/>
      <c r="R252" s="161"/>
      <c r="S252" s="161"/>
      <c r="T252" s="161"/>
      <c r="U252" s="161"/>
      <c r="V252" s="161"/>
      <c r="W252" s="161"/>
      <c r="X252" s="161"/>
      <c r="Y252" s="161"/>
      <c r="Z252" s="161"/>
      <c r="AA252" s="161"/>
      <c r="AB252" s="161"/>
      <c r="AC252" s="161"/>
      <c r="AD252" s="161"/>
      <c r="AE252" s="161"/>
      <c r="AF252" s="161"/>
      <c r="AG252" s="161"/>
      <c r="AH252" s="161"/>
      <c r="AI252" s="161"/>
      <c r="AJ252" s="161"/>
      <c r="AK252" s="161"/>
      <c r="AL252" s="161"/>
      <c r="AM252" s="161"/>
      <c r="AN252" s="161"/>
      <c r="AO252" s="161"/>
      <c r="AP252" s="161"/>
      <c r="AQ252" s="161">
        <f>SUM(AR252:AU252)</f>
      </c>
      <c r="AR252" s="161"/>
      <c r="AS252" s="161"/>
      <c r="AT252" s="161"/>
      <c r="AU252" s="161"/>
      <c r="AV252" s="161">
        <f>SUM(AW252:BH252)</f>
      </c>
      <c r="AW252" s="161"/>
      <c r="AX252" s="161"/>
      <c r="AY252" s="161"/>
      <c r="AZ252" s="161"/>
      <c r="BA252" s="161"/>
      <c r="BB252" s="161"/>
      <c r="BC252" s="161"/>
      <c r="BD252" s="161"/>
      <c r="BE252" s="161"/>
      <c r="BF252" s="161"/>
      <c r="BG252" s="161"/>
      <c r="BH252" s="161"/>
      <c r="BI252" s="161"/>
      <c r="BJ252" s="161"/>
      <c r="BK252" s="161"/>
      <c r="BL252" s="161"/>
      <c r="BM252" s="161"/>
      <c r="BN252" s="161"/>
      <c r="BO252" s="161"/>
      <c r="BP252" s="161"/>
      <c r="BQ252" s="161"/>
      <c r="BR252" s="161"/>
      <c r="BS252" s="161">
        <f>SUM(BT252:BV252)</f>
      </c>
      <c r="BT252" s="161"/>
      <c r="BU252" s="161"/>
      <c r="BV252" s="161"/>
      <c r="BW252" s="161">
        <f>SUM(BX252:CC252)</f>
      </c>
      <c r="BX252" s="161"/>
      <c r="BY252" s="161"/>
      <c r="BZ252" s="161"/>
      <c r="CA252" s="161"/>
      <c r="CB252" s="161"/>
      <c r="CC252" s="161"/>
      <c r="CD252" s="161"/>
      <c r="CE252" s="161"/>
      <c r="CF252" s="161"/>
      <c r="CG252" s="161"/>
      <c r="CH252" s="161"/>
      <c r="CI252" s="161"/>
      <c r="CJ252" s="161">
        <f>SUM(CK252:CM252)</f>
      </c>
      <c r="CK252" s="161"/>
      <c r="CL252" s="161"/>
      <c r="CM252" s="161"/>
      <c r="CN252" s="161">
        <f>SUM(CO252:CS252)</f>
      </c>
      <c r="CO252" s="161"/>
      <c r="CP252" s="161"/>
      <c r="CQ252" s="161"/>
      <c r="CR252" s="161"/>
      <c r="CS252" s="161"/>
      <c r="CT252" s="161"/>
      <c r="CU252" s="161"/>
      <c r="CV252" s="161"/>
      <c r="CW252" s="161"/>
      <c r="CX252" s="161"/>
      <c r="CY252" s="161"/>
      <c r="CZ252" s="161"/>
      <c r="DA252" s="161"/>
      <c r="DB252" s="161"/>
      <c r="DC252" s="161"/>
      <c r="DD252" s="161"/>
      <c r="DE252" s="161"/>
      <c r="DF252" s="161">
        <f>SUM(DG252:DG252)</f>
      </c>
      <c r="DG252" s="161"/>
      <c r="DH252" s="161"/>
      <c r="DI252" s="161"/>
      <c r="DJ252" s="161">
        <f>SUM(DK252:DP252)</f>
      </c>
      <c r="DK252" s="161"/>
      <c r="DL252" s="161"/>
      <c r="DM252" s="161"/>
      <c r="DN252" s="161"/>
      <c r="DO252" s="161"/>
      <c r="DP252" s="161"/>
      <c r="DQ252" s="161"/>
      <c r="DR252" s="161"/>
      <c r="DS252" s="161"/>
      <c r="DT252" s="161"/>
      <c r="DU252" s="161"/>
      <c r="DV252" s="161"/>
      <c r="DW252" s="161"/>
      <c r="DX252" s="161"/>
      <c r="DY252" s="161"/>
      <c r="DZ252" s="161"/>
      <c r="EA252" s="161"/>
      <c r="EB252" s="161"/>
      <c r="EC252" s="161"/>
      <c r="ED252" s="161"/>
      <c r="EE252" s="161"/>
      <c r="EF252" s="161">
        <f>SUM(EG252:EP252)</f>
      </c>
      <c r="EG252" s="161"/>
      <c r="EH252" s="161"/>
      <c r="EI252" s="161"/>
      <c r="EJ252" s="161"/>
      <c r="EK252" s="161"/>
      <c r="EL252" s="161"/>
      <c r="EM252" s="161"/>
      <c r="EN252" s="161"/>
      <c r="EO252" s="161"/>
      <c r="EP252" s="161"/>
      <c r="EQ252" s="161">
        <f>SUM(ER252:ES252)</f>
      </c>
      <c r="ER252" s="161"/>
      <c r="ES252" s="161"/>
      <c r="ET252" s="161"/>
      <c r="EU252" s="161"/>
      <c r="EV252" s="161"/>
      <c r="EW252" s="161"/>
      <c r="EX252" s="161"/>
      <c r="EY252" s="161"/>
      <c r="EZ252" s="161"/>
      <c r="FA252" s="161"/>
      <c r="FB252" s="161"/>
      <c r="FC252" s="161"/>
      <c r="FD252" s="161"/>
      <c r="FE252" s="161"/>
      <c r="FF252" s="161"/>
      <c r="FG252" s="161"/>
      <c r="FH252" s="163" cm="1">
        <f t="array" ref="FH252">ROW()-ROW(Ongoing[#Headers])</f>
        <v>246</v>
      </c>
      <c r="FI252" s="164"/>
      <c r="FJ252" s="164"/>
      <c r="FK252" s="164"/>
      <c r="FL252" s="164"/>
      <c r="FM252" s="164"/>
      <c r="FN252" s="164"/>
      <c r="FO252" s="164"/>
      <c r="FP252" s="164"/>
    </row>
    <row r="253" spans="2:172" s="115" customFormat="1" ht="11.25" x14ac:dyDescent="0.2">
      <c r="B253" s="148"/>
      <c r="C253" s="148"/>
      <c r="D253" s="148"/>
      <c r="E253" s="148"/>
      <c r="F253" s="148"/>
      <c r="G253" s="148"/>
      <c r="H253" s="148"/>
      <c r="I253" s="148"/>
      <c r="J253" s="165"/>
      <c r="K253" s="148"/>
      <c r="L253" s="148"/>
      <c r="M253" s="160"/>
      <c r="N253" s="160"/>
      <c r="O253" s="148"/>
      <c r="P253" s="161">
        <f>SUM(Q253:AP253)</f>
      </c>
      <c r="Q253" s="161"/>
      <c r="R253" s="161"/>
      <c r="S253" s="161"/>
      <c r="T253" s="161"/>
      <c r="U253" s="161"/>
      <c r="V253" s="161"/>
      <c r="W253" s="161"/>
      <c r="X253" s="161"/>
      <c r="Y253" s="161"/>
      <c r="Z253" s="161"/>
      <c r="AA253" s="161"/>
      <c r="AB253" s="161"/>
      <c r="AC253" s="161"/>
      <c r="AD253" s="161"/>
      <c r="AE253" s="161"/>
      <c r="AF253" s="161"/>
      <c r="AG253" s="161"/>
      <c r="AH253" s="161"/>
      <c r="AI253" s="161"/>
      <c r="AJ253" s="161"/>
      <c r="AK253" s="161"/>
      <c r="AL253" s="161"/>
      <c r="AM253" s="161"/>
      <c r="AN253" s="161"/>
      <c r="AO253" s="161"/>
      <c r="AP253" s="161"/>
      <c r="AQ253" s="161">
        <f>SUM(AR253:AU253)</f>
      </c>
      <c r="AR253" s="161"/>
      <c r="AS253" s="161"/>
      <c r="AT253" s="161"/>
      <c r="AU253" s="161"/>
      <c r="AV253" s="161">
        <f>SUM(AW253:BH253)</f>
      </c>
      <c r="AW253" s="161"/>
      <c r="AX253" s="161"/>
      <c r="AY253" s="161"/>
      <c r="AZ253" s="161"/>
      <c r="BA253" s="161"/>
      <c r="BB253" s="161"/>
      <c r="BC253" s="161"/>
      <c r="BD253" s="161"/>
      <c r="BE253" s="161"/>
      <c r="BF253" s="161"/>
      <c r="BG253" s="161"/>
      <c r="BH253" s="161"/>
      <c r="BI253" s="161"/>
      <c r="BJ253" s="161"/>
      <c r="BK253" s="161"/>
      <c r="BL253" s="161"/>
      <c r="BM253" s="161"/>
      <c r="BN253" s="161"/>
      <c r="BO253" s="161"/>
      <c r="BP253" s="161"/>
      <c r="BQ253" s="161"/>
      <c r="BR253" s="161"/>
      <c r="BS253" s="161">
        <f>SUM(BT253:BV253)</f>
      </c>
      <c r="BT253" s="161"/>
      <c r="BU253" s="161"/>
      <c r="BV253" s="161"/>
      <c r="BW253" s="161">
        <f>SUM(BX253:CC253)</f>
      </c>
      <c r="BX253" s="161"/>
      <c r="BY253" s="161"/>
      <c r="BZ253" s="161"/>
      <c r="CA253" s="161"/>
      <c r="CB253" s="161"/>
      <c r="CC253" s="161"/>
      <c r="CD253" s="161"/>
      <c r="CE253" s="161"/>
      <c r="CF253" s="161"/>
      <c r="CG253" s="161"/>
      <c r="CH253" s="161"/>
      <c r="CI253" s="161"/>
      <c r="CJ253" s="161">
        <f>SUM(CK253:CM253)</f>
      </c>
      <c r="CK253" s="161"/>
      <c r="CL253" s="161"/>
      <c r="CM253" s="161"/>
      <c r="CN253" s="161">
        <f>SUM(CO253:CS253)</f>
      </c>
      <c r="CO253" s="161"/>
      <c r="CP253" s="161"/>
      <c r="CQ253" s="161"/>
      <c r="CR253" s="161"/>
      <c r="CS253" s="161"/>
      <c r="CT253" s="161"/>
      <c r="CU253" s="161"/>
      <c r="CV253" s="161"/>
      <c r="CW253" s="161"/>
      <c r="CX253" s="161"/>
      <c r="CY253" s="161"/>
      <c r="CZ253" s="161"/>
      <c r="DA253" s="161"/>
      <c r="DB253" s="161"/>
      <c r="DC253" s="161"/>
      <c r="DD253" s="161"/>
      <c r="DE253" s="161"/>
      <c r="DF253" s="161">
        <f>SUM(DG253:DG253)</f>
      </c>
      <c r="DG253" s="161"/>
      <c r="DH253" s="161"/>
      <c r="DI253" s="161"/>
      <c r="DJ253" s="161">
        <f>SUM(DK253:DP253)</f>
      </c>
      <c r="DK253" s="161"/>
      <c r="DL253" s="161"/>
      <c r="DM253" s="161"/>
      <c r="DN253" s="161"/>
      <c r="DO253" s="161"/>
      <c r="DP253" s="161"/>
      <c r="DQ253" s="161"/>
      <c r="DR253" s="161"/>
      <c r="DS253" s="161"/>
      <c r="DT253" s="161"/>
      <c r="DU253" s="161"/>
      <c r="DV253" s="161"/>
      <c r="DW253" s="161"/>
      <c r="DX253" s="161"/>
      <c r="DY253" s="161"/>
      <c r="DZ253" s="161"/>
      <c r="EA253" s="161"/>
      <c r="EB253" s="161"/>
      <c r="EC253" s="161"/>
      <c r="ED253" s="161"/>
      <c r="EE253" s="161"/>
      <c r="EF253" s="161">
        <f>SUM(EG253:EP253)</f>
      </c>
      <c r="EG253" s="161"/>
      <c r="EH253" s="161"/>
      <c r="EI253" s="161"/>
      <c r="EJ253" s="161"/>
      <c r="EK253" s="161"/>
      <c r="EL253" s="161"/>
      <c r="EM253" s="161"/>
      <c r="EN253" s="161"/>
      <c r="EO253" s="161"/>
      <c r="EP253" s="161"/>
      <c r="EQ253" s="161">
        <f>SUM(ER253:ES253)</f>
      </c>
      <c r="ER253" s="161"/>
      <c r="ES253" s="161"/>
      <c r="ET253" s="161"/>
      <c r="EU253" s="161"/>
      <c r="EV253" s="161"/>
      <c r="EW253" s="161"/>
      <c r="EX253" s="161"/>
      <c r="EY253" s="161"/>
      <c r="EZ253" s="161"/>
      <c r="FA253" s="161"/>
      <c r="FB253" s="161"/>
      <c r="FC253" s="161"/>
      <c r="FD253" s="161"/>
      <c r="FE253" s="161"/>
      <c r="FF253" s="161"/>
      <c r="FG253" s="161"/>
      <c r="FH253" s="163" cm="1">
        <f t="array" ref="FH253">ROW()-ROW(Ongoing[#Headers])</f>
        <v>247</v>
      </c>
      <c r="FI253" s="164"/>
      <c r="FJ253" s="164"/>
      <c r="FK253" s="164"/>
      <c r="FL253" s="164"/>
      <c r="FM253" s="164"/>
      <c r="FN253" s="164"/>
      <c r="FO253" s="164"/>
      <c r="FP253" s="164"/>
    </row>
    <row r="254" spans="2:172" s="115" customFormat="1" ht="11.25" x14ac:dyDescent="0.2">
      <c r="B254" s="148"/>
      <c r="C254" s="148"/>
      <c r="D254" s="148"/>
      <c r="E254" s="148"/>
      <c r="F254" s="148"/>
      <c r="G254" s="148"/>
      <c r="H254" s="148"/>
      <c r="I254" s="148"/>
      <c r="J254" s="148"/>
      <c r="K254" s="148"/>
      <c r="L254" s="148"/>
      <c r="M254" s="160"/>
      <c r="N254" s="160"/>
      <c r="O254" s="148"/>
      <c r="P254" s="161">
        <f>SUM(Q254:AP254)</f>
      </c>
      <c r="Q254" s="161"/>
      <c r="R254" s="161"/>
      <c r="S254" s="161"/>
      <c r="T254" s="161"/>
      <c r="U254" s="161"/>
      <c r="V254" s="161"/>
      <c r="W254" s="161"/>
      <c r="X254" s="161"/>
      <c r="Y254" s="161"/>
      <c r="Z254" s="161"/>
      <c r="AA254" s="161"/>
      <c r="AB254" s="161"/>
      <c r="AC254" s="161"/>
      <c r="AD254" s="161"/>
      <c r="AE254" s="161"/>
      <c r="AF254" s="161"/>
      <c r="AG254" s="161"/>
      <c r="AH254" s="161"/>
      <c r="AI254" s="161"/>
      <c r="AJ254" s="161"/>
      <c r="AK254" s="161"/>
      <c r="AL254" s="161"/>
      <c r="AM254" s="161"/>
      <c r="AN254" s="161"/>
      <c r="AO254" s="161"/>
      <c r="AP254" s="161"/>
      <c r="AQ254" s="161">
        <f>SUM(AR254:AU254)</f>
      </c>
      <c r="AR254" s="161"/>
      <c r="AS254" s="161"/>
      <c r="AT254" s="161"/>
      <c r="AU254" s="161"/>
      <c r="AV254" s="161">
        <f>SUM(AW254:BH254)</f>
      </c>
      <c r="AW254" s="161"/>
      <c r="AX254" s="161"/>
      <c r="AY254" s="161"/>
      <c r="AZ254" s="161"/>
      <c r="BA254" s="161"/>
      <c r="BB254" s="161"/>
      <c r="BC254" s="161"/>
      <c r="BD254" s="161"/>
      <c r="BE254" s="161"/>
      <c r="BF254" s="161"/>
      <c r="BG254" s="161"/>
      <c r="BH254" s="161"/>
      <c r="BI254" s="161"/>
      <c r="BJ254" s="161"/>
      <c r="BK254" s="161"/>
      <c r="BL254" s="161"/>
      <c r="BM254" s="161"/>
      <c r="BN254" s="161"/>
      <c r="BO254" s="161"/>
      <c r="BP254" s="161"/>
      <c r="BQ254" s="161"/>
      <c r="BR254" s="161"/>
      <c r="BS254" s="161">
        <f>SUM(BT254:BV254)</f>
      </c>
      <c r="BT254" s="161"/>
      <c r="BU254" s="161"/>
      <c r="BV254" s="161"/>
      <c r="BW254" s="161">
        <f>SUM(BX254:CC254)</f>
      </c>
      <c r="BX254" s="161"/>
      <c r="BY254" s="161"/>
      <c r="BZ254" s="161"/>
      <c r="CA254" s="161"/>
      <c r="CB254" s="161"/>
      <c r="CC254" s="161"/>
      <c r="CD254" s="161"/>
      <c r="CE254" s="161"/>
      <c r="CF254" s="161"/>
      <c r="CG254" s="161"/>
      <c r="CH254" s="161"/>
      <c r="CI254" s="161"/>
      <c r="CJ254" s="161">
        <f>SUM(CK254:CM254)</f>
      </c>
      <c r="CK254" s="161"/>
      <c r="CL254" s="161"/>
      <c r="CM254" s="161"/>
      <c r="CN254" s="161">
        <f>SUM(CO254:CS254)</f>
      </c>
      <c r="CO254" s="161"/>
      <c r="CP254" s="161"/>
      <c r="CQ254" s="161"/>
      <c r="CR254" s="161"/>
      <c r="CS254" s="161"/>
      <c r="CT254" s="161"/>
      <c r="CU254" s="161"/>
      <c r="CV254" s="161"/>
      <c r="CW254" s="161"/>
      <c r="CX254" s="161"/>
      <c r="CY254" s="161"/>
      <c r="CZ254" s="161"/>
      <c r="DA254" s="161"/>
      <c r="DB254" s="161"/>
      <c r="DC254" s="161"/>
      <c r="DD254" s="161"/>
      <c r="DE254" s="161"/>
      <c r="DF254" s="161">
        <f>SUM(DG254:DG254)</f>
      </c>
      <c r="DG254" s="161"/>
      <c r="DH254" s="161"/>
      <c r="DI254" s="161"/>
      <c r="DJ254" s="161">
        <f>SUM(DK254:DP254)</f>
      </c>
      <c r="DK254" s="161"/>
      <c r="DL254" s="161"/>
      <c r="DM254" s="161"/>
      <c r="DN254" s="161"/>
      <c r="DO254" s="161"/>
      <c r="DP254" s="161"/>
      <c r="DQ254" s="161"/>
      <c r="DR254" s="161"/>
      <c r="DS254" s="161"/>
      <c r="DT254" s="161"/>
      <c r="DU254" s="161"/>
      <c r="DV254" s="161"/>
      <c r="DW254" s="161"/>
      <c r="DX254" s="161"/>
      <c r="DY254" s="161"/>
      <c r="DZ254" s="161"/>
      <c r="EA254" s="161"/>
      <c r="EB254" s="161"/>
      <c r="EC254" s="161"/>
      <c r="ED254" s="161"/>
      <c r="EE254" s="161"/>
      <c r="EF254" s="161">
        <f>SUM(EG254:EP254)</f>
      </c>
      <c r="EG254" s="161"/>
      <c r="EH254" s="161"/>
      <c r="EI254" s="161"/>
      <c r="EJ254" s="161"/>
      <c r="EK254" s="161"/>
      <c r="EL254" s="161"/>
      <c r="EM254" s="161"/>
      <c r="EN254" s="161"/>
      <c r="EO254" s="161"/>
      <c r="EP254" s="161"/>
      <c r="EQ254" s="161">
        <f>SUM(ER254:ES254)</f>
      </c>
      <c r="ER254" s="161"/>
      <c r="ES254" s="161"/>
      <c r="ET254" s="161"/>
      <c r="EU254" s="161"/>
      <c r="EV254" s="161"/>
      <c r="EW254" s="161"/>
      <c r="EX254" s="161"/>
      <c r="EY254" s="161"/>
      <c r="EZ254" s="161"/>
      <c r="FA254" s="161"/>
      <c r="FB254" s="161"/>
      <c r="FC254" s="161"/>
      <c r="FD254" s="161"/>
      <c r="FE254" s="161"/>
      <c r="FF254" s="161"/>
      <c r="FG254" s="161"/>
      <c r="FH254" s="163" cm="1">
        <f t="array" ref="FH254">ROW()-ROW(Ongoing[#Headers])</f>
        <v>248</v>
      </c>
      <c r="FI254" s="164" t="s">
        <v>1332</v>
      </c>
      <c r="FJ254" s="164" t="s">
        <v>755</v>
      </c>
      <c r="FK254" s="164">
        <v>0</v>
      </c>
      <c r="FL254" s="164" t="s">
        <v>1245</v>
      </c>
      <c r="FM254" s="164">
        <v>0</v>
      </c>
      <c r="FN254" s="164" t="s">
        <v>770</v>
      </c>
      <c r="FO254" s="164" t="s">
        <v>1333</v>
      </c>
      <c r="FP254" s="164" t="s">
        <v>759</v>
      </c>
    </row>
    <row r="255" spans="2:172" s="115" customFormat="1" ht="11.25" x14ac:dyDescent="0.2">
      <c r="B255" s="148"/>
      <c r="C255" s="148"/>
      <c r="D255" s="148"/>
      <c r="E255" s="148"/>
      <c r="F255" s="148"/>
      <c r="G255" s="148"/>
      <c r="H255" s="148"/>
      <c r="I255" s="148"/>
      <c r="J255" s="148"/>
      <c r="K255" s="148"/>
      <c r="L255" s="148"/>
      <c r="M255" s="160"/>
      <c r="N255" s="160"/>
      <c r="O255" s="148"/>
      <c r="P255" s="161">
        <f>SUM(Q255:AP255)</f>
      </c>
      <c r="Q255" s="161"/>
      <c r="R255" s="161"/>
      <c r="S255" s="161"/>
      <c r="T255" s="161"/>
      <c r="U255" s="161"/>
      <c r="V255" s="161"/>
      <c r="W255" s="161"/>
      <c r="X255" s="161"/>
      <c r="Y255" s="161"/>
      <c r="Z255" s="161"/>
      <c r="AA255" s="161"/>
      <c r="AB255" s="161"/>
      <c r="AC255" s="161"/>
      <c r="AD255" s="161"/>
      <c r="AE255" s="161"/>
      <c r="AF255" s="161"/>
      <c r="AG255" s="161"/>
      <c r="AH255" s="161"/>
      <c r="AI255" s="161"/>
      <c r="AJ255" s="161"/>
      <c r="AK255" s="161"/>
      <c r="AL255" s="161"/>
      <c r="AM255" s="161"/>
      <c r="AN255" s="161"/>
      <c r="AO255" s="161"/>
      <c r="AP255" s="161"/>
      <c r="AQ255" s="161">
        <f>SUM(AR255:AU255)</f>
      </c>
      <c r="AR255" s="161"/>
      <c r="AS255" s="161"/>
      <c r="AT255" s="161"/>
      <c r="AU255" s="161"/>
      <c r="AV255" s="161">
        <f>SUM(AW255:BH255)</f>
      </c>
      <c r="AW255" s="161"/>
      <c r="AX255" s="161"/>
      <c r="AY255" s="161"/>
      <c r="AZ255" s="161"/>
      <c r="BA255" s="161"/>
      <c r="BB255" s="161"/>
      <c r="BC255" s="161"/>
      <c r="BD255" s="161"/>
      <c r="BE255" s="161"/>
      <c r="BF255" s="161"/>
      <c r="BG255" s="161"/>
      <c r="BH255" s="161"/>
      <c r="BI255" s="161"/>
      <c r="BJ255" s="161"/>
      <c r="BK255" s="161"/>
      <c r="BL255" s="161"/>
      <c r="BM255" s="161"/>
      <c r="BN255" s="161"/>
      <c r="BO255" s="161"/>
      <c r="BP255" s="161"/>
      <c r="BQ255" s="161"/>
      <c r="BR255" s="161"/>
      <c r="BS255" s="161">
        <f>SUM(BT255:BV255)</f>
      </c>
      <c r="BT255" s="161"/>
      <c r="BU255" s="161"/>
      <c r="BV255" s="161"/>
      <c r="BW255" s="161">
        <f>SUM(BX255:CC255)</f>
      </c>
      <c r="BX255" s="161"/>
      <c r="BY255" s="161"/>
      <c r="BZ255" s="161"/>
      <c r="CA255" s="161"/>
      <c r="CB255" s="161"/>
      <c r="CC255" s="161"/>
      <c r="CD255" s="161"/>
      <c r="CE255" s="161"/>
      <c r="CF255" s="161"/>
      <c r="CG255" s="161"/>
      <c r="CH255" s="161"/>
      <c r="CI255" s="161"/>
      <c r="CJ255" s="161">
        <f>SUM(CK255:CM255)</f>
      </c>
      <c r="CK255" s="161"/>
      <c r="CL255" s="161"/>
      <c r="CM255" s="161"/>
      <c r="CN255" s="161">
        <f>SUM(CO255:CS255)</f>
      </c>
      <c r="CO255" s="161"/>
      <c r="CP255" s="161"/>
      <c r="CQ255" s="161"/>
      <c r="CR255" s="161"/>
      <c r="CS255" s="161"/>
      <c r="CT255" s="161"/>
      <c r="CU255" s="161"/>
      <c r="CV255" s="161"/>
      <c r="CW255" s="161"/>
      <c r="CX255" s="161"/>
      <c r="CY255" s="161"/>
      <c r="CZ255" s="161"/>
      <c r="DA255" s="161"/>
      <c r="DB255" s="161"/>
      <c r="DC255" s="161"/>
      <c r="DD255" s="161"/>
      <c r="DE255" s="161"/>
      <c r="DF255" s="161">
        <f>SUM(DG255:DG255)</f>
      </c>
      <c r="DG255" s="161"/>
      <c r="DH255" s="161"/>
      <c r="DI255" s="161"/>
      <c r="DJ255" s="161">
        <f>SUM(DK255:DP255)</f>
      </c>
      <c r="DK255" s="161"/>
      <c r="DL255" s="161"/>
      <c r="DM255" s="161"/>
      <c r="DN255" s="161"/>
      <c r="DO255" s="161"/>
      <c r="DP255" s="161"/>
      <c r="DQ255" s="161"/>
      <c r="DR255" s="161"/>
      <c r="DS255" s="161"/>
      <c r="DT255" s="161"/>
      <c r="DU255" s="161"/>
      <c r="DV255" s="161"/>
      <c r="DW255" s="161"/>
      <c r="DX255" s="161"/>
      <c r="DY255" s="161"/>
      <c r="DZ255" s="161"/>
      <c r="EA255" s="161"/>
      <c r="EB255" s="161"/>
      <c r="EC255" s="161"/>
      <c r="ED255" s="161"/>
      <c r="EE255" s="161"/>
      <c r="EF255" s="161">
        <f>SUM(EG255:EP255)</f>
      </c>
      <c r="EG255" s="161"/>
      <c r="EH255" s="161"/>
      <c r="EI255" s="161"/>
      <c r="EJ255" s="161"/>
      <c r="EK255" s="161"/>
      <c r="EL255" s="161"/>
      <c r="EM255" s="161"/>
      <c r="EN255" s="161"/>
      <c r="EO255" s="161"/>
      <c r="EP255" s="161"/>
      <c r="EQ255" s="161">
        <f>SUM(ER255:ES255)</f>
      </c>
      <c r="ER255" s="161"/>
      <c r="ES255" s="161"/>
      <c r="ET255" s="161"/>
      <c r="EU255" s="161"/>
      <c r="EV255" s="161"/>
      <c r="EW255" s="161"/>
      <c r="EX255" s="161"/>
      <c r="EY255" s="161"/>
      <c r="EZ255" s="161"/>
      <c r="FA255" s="161"/>
      <c r="FB255" s="161"/>
      <c r="FC255" s="161"/>
      <c r="FD255" s="161"/>
      <c r="FE255" s="161"/>
      <c r="FF255" s="161"/>
      <c r="FG255" s="161"/>
      <c r="FH255" s="163" cm="1">
        <f t="array" ref="FH255">ROW()-ROW(Ongoing[#Headers])</f>
        <v>249</v>
      </c>
      <c r="FI255" s="164" t="s">
        <v>1332</v>
      </c>
      <c r="FJ255" s="164" t="s">
        <v>755</v>
      </c>
      <c r="FK255" s="164">
        <v>0</v>
      </c>
      <c r="FL255" s="164" t="s">
        <v>1245</v>
      </c>
      <c r="FM255" s="164">
        <v>0</v>
      </c>
      <c r="FN255" s="164" t="s">
        <v>770</v>
      </c>
      <c r="FO255" s="164" t="s">
        <v>1336</v>
      </c>
      <c r="FP255" s="164" t="s">
        <v>759</v>
      </c>
    </row>
    <row r="256" spans="2:172" s="115" customFormat="1" ht="11.25" x14ac:dyDescent="0.2">
      <c r="B256" s="148"/>
      <c r="C256" s="148"/>
      <c r="D256" s="148"/>
      <c r="E256" s="148"/>
      <c r="F256" s="148"/>
      <c r="G256" s="148"/>
      <c r="H256" s="148"/>
      <c r="I256" s="148"/>
      <c r="J256" s="148"/>
      <c r="K256" s="148"/>
      <c r="L256" s="148"/>
      <c r="M256" s="160"/>
      <c r="N256" s="160"/>
      <c r="O256" s="148"/>
      <c r="P256" s="161">
        <f>SUM(Q256:AP256)</f>
      </c>
      <c r="Q256" s="161"/>
      <c r="R256" s="161"/>
      <c r="S256" s="161"/>
      <c r="T256" s="161"/>
      <c r="U256" s="161"/>
      <c r="V256" s="161"/>
      <c r="W256" s="161"/>
      <c r="X256" s="161"/>
      <c r="Y256" s="161"/>
      <c r="Z256" s="161"/>
      <c r="AA256" s="161"/>
      <c r="AB256" s="161"/>
      <c r="AC256" s="161"/>
      <c r="AD256" s="161"/>
      <c r="AE256" s="161"/>
      <c r="AF256" s="161"/>
      <c r="AG256" s="161"/>
      <c r="AH256" s="161"/>
      <c r="AI256" s="161"/>
      <c r="AJ256" s="161"/>
      <c r="AK256" s="161"/>
      <c r="AL256" s="161"/>
      <c r="AM256" s="161"/>
      <c r="AN256" s="161"/>
      <c r="AO256" s="161"/>
      <c r="AP256" s="161"/>
      <c r="AQ256" s="161">
        <f>SUM(AR256:AU256)</f>
      </c>
      <c r="AR256" s="161"/>
      <c r="AS256" s="161"/>
      <c r="AT256" s="161"/>
      <c r="AU256" s="161"/>
      <c r="AV256" s="161">
        <f>SUM(AW256:BH256)</f>
      </c>
      <c r="AW256" s="161"/>
      <c r="AX256" s="161"/>
      <c r="AY256" s="161"/>
      <c r="AZ256" s="161"/>
      <c r="BA256" s="161"/>
      <c r="BB256" s="161"/>
      <c r="BC256" s="161"/>
      <c r="BD256" s="161"/>
      <c r="BE256" s="161"/>
      <c r="BF256" s="161"/>
      <c r="BG256" s="161"/>
      <c r="BH256" s="161"/>
      <c r="BI256" s="161"/>
      <c r="BJ256" s="161"/>
      <c r="BK256" s="161"/>
      <c r="BL256" s="161"/>
      <c r="BM256" s="161"/>
      <c r="BN256" s="161"/>
      <c r="BO256" s="161"/>
      <c r="BP256" s="161"/>
      <c r="BQ256" s="161"/>
      <c r="BR256" s="161"/>
      <c r="BS256" s="161">
        <f>SUM(BT256:BV256)</f>
      </c>
      <c r="BT256" s="161"/>
      <c r="BU256" s="161"/>
      <c r="BV256" s="161"/>
      <c r="BW256" s="161">
        <f>SUM(BX256:CC256)</f>
      </c>
      <c r="BX256" s="161"/>
      <c r="BY256" s="161"/>
      <c r="BZ256" s="161"/>
      <c r="CA256" s="161"/>
      <c r="CB256" s="161"/>
      <c r="CC256" s="161"/>
      <c r="CD256" s="161"/>
      <c r="CE256" s="161"/>
      <c r="CF256" s="161"/>
      <c r="CG256" s="161"/>
      <c r="CH256" s="161"/>
      <c r="CI256" s="161"/>
      <c r="CJ256" s="161">
        <f>SUM(CK256:CM256)</f>
      </c>
      <c r="CK256" s="161"/>
      <c r="CL256" s="161"/>
      <c r="CM256" s="161"/>
      <c r="CN256" s="161">
        <f>SUM(CO256:CS256)</f>
      </c>
      <c r="CO256" s="161"/>
      <c r="CP256" s="161"/>
      <c r="CQ256" s="161"/>
      <c r="CR256" s="161"/>
      <c r="CS256" s="161"/>
      <c r="CT256" s="161"/>
      <c r="CU256" s="161"/>
      <c r="CV256" s="161"/>
      <c r="CW256" s="161"/>
      <c r="CX256" s="161"/>
      <c r="CY256" s="161"/>
      <c r="CZ256" s="161"/>
      <c r="DA256" s="161"/>
      <c r="DB256" s="161"/>
      <c r="DC256" s="161"/>
      <c r="DD256" s="161"/>
      <c r="DE256" s="161"/>
      <c r="DF256" s="161">
        <f>SUM(DG256:DG256)</f>
      </c>
      <c r="DG256" s="161"/>
      <c r="DH256" s="161"/>
      <c r="DI256" s="161"/>
      <c r="DJ256" s="161">
        <f>SUM(DK256:DP256)</f>
      </c>
      <c r="DK256" s="161"/>
      <c r="DL256" s="161"/>
      <c r="DM256" s="161"/>
      <c r="DN256" s="161"/>
      <c r="DO256" s="161"/>
      <c r="DP256" s="161"/>
      <c r="DQ256" s="161"/>
      <c r="DR256" s="161"/>
      <c r="DS256" s="161"/>
      <c r="DT256" s="161"/>
      <c r="DU256" s="161"/>
      <c r="DV256" s="161"/>
      <c r="DW256" s="161"/>
      <c r="DX256" s="161"/>
      <c r="DY256" s="161"/>
      <c r="DZ256" s="161"/>
      <c r="EA256" s="161"/>
      <c r="EB256" s="161"/>
      <c r="EC256" s="161"/>
      <c r="ED256" s="161"/>
      <c r="EE256" s="161"/>
      <c r="EF256" s="161">
        <f>SUM(EG256:EP256)</f>
      </c>
      <c r="EG256" s="161"/>
      <c r="EH256" s="161"/>
      <c r="EI256" s="161"/>
      <c r="EJ256" s="161"/>
      <c r="EK256" s="161"/>
      <c r="EL256" s="161"/>
      <c r="EM256" s="161"/>
      <c r="EN256" s="161"/>
      <c r="EO256" s="161"/>
      <c r="EP256" s="161"/>
      <c r="EQ256" s="161">
        <f>SUM(ER256:ES256)</f>
      </c>
      <c r="ER256" s="161"/>
      <c r="ES256" s="161"/>
      <c r="ET256" s="161"/>
      <c r="EU256" s="161"/>
      <c r="EV256" s="161"/>
      <c r="EW256" s="161"/>
      <c r="EX256" s="161"/>
      <c r="EY256" s="161"/>
      <c r="EZ256" s="161"/>
      <c r="FA256" s="161"/>
      <c r="FB256" s="161"/>
      <c r="FC256" s="161"/>
      <c r="FD256" s="161"/>
      <c r="FE256" s="161"/>
      <c r="FF256" s="161"/>
      <c r="FG256" s="161"/>
      <c r="FH256" s="163" cm="1">
        <f t="array" ref="FH256">ROW()-ROW(Ongoing[#Headers])</f>
        <v>250</v>
      </c>
      <c r="FI256" s="164" t="e">
        <v>#N/A</v>
      </c>
      <c r="FJ256" s="164" t="s">
        <v>788</v>
      </c>
      <c r="FK256" s="164" t="e">
        <v>#N/A</v>
      </c>
      <c r="FL256" s="164" t="e">
        <v>#N/A</v>
      </c>
      <c r="FM256" s="164" t="e">
        <v>#N/A</v>
      </c>
      <c r="FN256" s="164" t="e">
        <v>#N/A</v>
      </c>
      <c r="FO256" s="164" t="e">
        <v>#N/A</v>
      </c>
      <c r="FP256" s="164" t="e">
        <v>#N/A</v>
      </c>
    </row>
    <row r="257" spans="2:172" s="115" customFormat="1" ht="11.25" x14ac:dyDescent="0.2">
      <c r="B257" s="148"/>
      <c r="C257" s="148"/>
      <c r="D257" s="148"/>
      <c r="E257" s="148"/>
      <c r="F257" s="148"/>
      <c r="G257" s="148"/>
      <c r="H257" s="148"/>
      <c r="I257" s="148"/>
      <c r="J257" s="148"/>
      <c r="K257" s="148"/>
      <c r="L257" s="148"/>
      <c r="M257" s="160"/>
      <c r="N257" s="160"/>
      <c r="O257" s="148"/>
      <c r="P257" s="161">
        <f>SUM(Q257:AP257)</f>
      </c>
      <c r="Q257" s="161"/>
      <c r="R257" s="161"/>
      <c r="S257" s="161"/>
      <c r="T257" s="161"/>
      <c r="U257" s="161"/>
      <c r="V257" s="161"/>
      <c r="W257" s="161"/>
      <c r="X257" s="161"/>
      <c r="Y257" s="161"/>
      <c r="Z257" s="161"/>
      <c r="AA257" s="161"/>
      <c r="AB257" s="161"/>
      <c r="AC257" s="161"/>
      <c r="AD257" s="161"/>
      <c r="AE257" s="161"/>
      <c r="AF257" s="161"/>
      <c r="AG257" s="161"/>
      <c r="AH257" s="161"/>
      <c r="AI257" s="161"/>
      <c r="AJ257" s="161"/>
      <c r="AK257" s="161"/>
      <c r="AL257" s="161"/>
      <c r="AM257" s="161"/>
      <c r="AN257" s="161"/>
      <c r="AO257" s="161"/>
      <c r="AP257" s="161"/>
      <c r="AQ257" s="161">
        <f>SUM(AR257:AU257)</f>
      </c>
      <c r="AR257" s="161"/>
      <c r="AS257" s="161"/>
      <c r="AT257" s="161"/>
      <c r="AU257" s="161"/>
      <c r="AV257" s="161">
        <f>SUM(AW257:BH257)</f>
      </c>
      <c r="AW257" s="161"/>
      <c r="AX257" s="161"/>
      <c r="AY257" s="161"/>
      <c r="AZ257" s="161"/>
      <c r="BA257" s="161"/>
      <c r="BB257" s="161"/>
      <c r="BC257" s="161"/>
      <c r="BD257" s="161"/>
      <c r="BE257" s="161"/>
      <c r="BF257" s="161"/>
      <c r="BG257" s="161"/>
      <c r="BH257" s="161"/>
      <c r="BI257" s="161"/>
      <c r="BJ257" s="161"/>
      <c r="BK257" s="161"/>
      <c r="BL257" s="161"/>
      <c r="BM257" s="161"/>
      <c r="BN257" s="161"/>
      <c r="BO257" s="161"/>
      <c r="BP257" s="161"/>
      <c r="BQ257" s="161"/>
      <c r="BR257" s="161"/>
      <c r="BS257" s="161">
        <f>SUM(BT257:BV257)</f>
      </c>
      <c r="BT257" s="161"/>
      <c r="BU257" s="161"/>
      <c r="BV257" s="161"/>
      <c r="BW257" s="161">
        <f>SUM(BX257:CC257)</f>
      </c>
      <c r="BX257" s="161"/>
      <c r="BY257" s="161"/>
      <c r="BZ257" s="161"/>
      <c r="CA257" s="161"/>
      <c r="CB257" s="161"/>
      <c r="CC257" s="161"/>
      <c r="CD257" s="161"/>
      <c r="CE257" s="161"/>
      <c r="CF257" s="161"/>
      <c r="CG257" s="161"/>
      <c r="CH257" s="161"/>
      <c r="CI257" s="161"/>
      <c r="CJ257" s="161">
        <f>SUM(CK257:CM257)</f>
      </c>
      <c r="CK257" s="161"/>
      <c r="CL257" s="161"/>
      <c r="CM257" s="161"/>
      <c r="CN257" s="161">
        <f>SUM(CO257:CS257)</f>
      </c>
      <c r="CO257" s="161"/>
      <c r="CP257" s="161"/>
      <c r="CQ257" s="161"/>
      <c r="CR257" s="161"/>
      <c r="CS257" s="161"/>
      <c r="CT257" s="161"/>
      <c r="CU257" s="161"/>
      <c r="CV257" s="161"/>
      <c r="CW257" s="161"/>
      <c r="CX257" s="161"/>
      <c r="CY257" s="161"/>
      <c r="CZ257" s="161"/>
      <c r="DA257" s="161"/>
      <c r="DB257" s="161"/>
      <c r="DC257" s="161"/>
      <c r="DD257" s="161"/>
      <c r="DE257" s="161"/>
      <c r="DF257" s="161">
        <f>SUM(DG257:DG257)</f>
      </c>
      <c r="DG257" s="161"/>
      <c r="DH257" s="161"/>
      <c r="DI257" s="161"/>
      <c r="DJ257" s="161">
        <f>SUM(DK257:DP257)</f>
      </c>
      <c r="DK257" s="161"/>
      <c r="DL257" s="161"/>
      <c r="DM257" s="161"/>
      <c r="DN257" s="161"/>
      <c r="DO257" s="161"/>
      <c r="DP257" s="161"/>
      <c r="DQ257" s="161"/>
      <c r="DR257" s="161"/>
      <c r="DS257" s="161"/>
      <c r="DT257" s="161"/>
      <c r="DU257" s="161"/>
      <c r="DV257" s="161"/>
      <c r="DW257" s="161"/>
      <c r="DX257" s="161"/>
      <c r="DY257" s="161"/>
      <c r="DZ257" s="161"/>
      <c r="EA257" s="161"/>
      <c r="EB257" s="161"/>
      <c r="EC257" s="161"/>
      <c r="ED257" s="161"/>
      <c r="EE257" s="161"/>
      <c r="EF257" s="161">
        <f>SUM(EG257:EP257)</f>
      </c>
      <c r="EG257" s="161"/>
      <c r="EH257" s="161"/>
      <c r="EI257" s="161"/>
      <c r="EJ257" s="161"/>
      <c r="EK257" s="161"/>
      <c r="EL257" s="161"/>
      <c r="EM257" s="161"/>
      <c r="EN257" s="161"/>
      <c r="EO257" s="161"/>
      <c r="EP257" s="161"/>
      <c r="EQ257" s="161">
        <f>SUM(ER257:ES257)</f>
      </c>
      <c r="ER257" s="161"/>
      <c r="ES257" s="161"/>
      <c r="ET257" s="161"/>
      <c r="EU257" s="161"/>
      <c r="EV257" s="161"/>
      <c r="EW257" s="161"/>
      <c r="EX257" s="161"/>
      <c r="EY257" s="161"/>
      <c r="EZ257" s="161"/>
      <c r="FA257" s="161"/>
      <c r="FB257" s="161"/>
      <c r="FC257" s="161"/>
      <c r="FD257" s="161"/>
      <c r="FE257" s="161"/>
      <c r="FF257" s="161"/>
      <c r="FG257" s="161"/>
      <c r="FH257" s="163" cm="1">
        <f t="array" ref="FH257">ROW()-ROW(Ongoing[#Headers])</f>
        <v>251</v>
      </c>
      <c r="FI257" s="164" t="s">
        <v>1332</v>
      </c>
      <c r="FJ257" s="164" t="s">
        <v>755</v>
      </c>
      <c r="FK257" s="164">
        <v>0</v>
      </c>
      <c r="FL257" s="164" t="s">
        <v>1245</v>
      </c>
      <c r="FM257" s="164">
        <v>0</v>
      </c>
      <c r="FN257" s="164" t="s">
        <v>770</v>
      </c>
      <c r="FO257" s="164" t="s">
        <v>1341</v>
      </c>
      <c r="FP257" s="164" t="s">
        <v>759</v>
      </c>
    </row>
    <row r="258" spans="2:172" s="115" customFormat="1" ht="11.25" x14ac:dyDescent="0.2">
      <c r="B258" s="148"/>
      <c r="C258" s="148"/>
      <c r="D258" s="148"/>
      <c r="E258" s="148"/>
      <c r="F258" s="148"/>
      <c r="G258" s="148"/>
      <c r="H258" s="148"/>
      <c r="I258" s="148"/>
      <c r="J258" s="148"/>
      <c r="K258" s="148"/>
      <c r="L258" s="148"/>
      <c r="M258" s="160"/>
      <c r="N258" s="160"/>
      <c r="O258" s="148"/>
      <c r="P258" s="161">
        <f>SUM(Q258:AP258)</f>
      </c>
      <c r="Q258" s="161"/>
      <c r="R258" s="161"/>
      <c r="S258" s="161"/>
      <c r="T258" s="161"/>
      <c r="U258" s="161"/>
      <c r="V258" s="161"/>
      <c r="W258" s="161"/>
      <c r="X258" s="161"/>
      <c r="Y258" s="161"/>
      <c r="Z258" s="161"/>
      <c r="AA258" s="161"/>
      <c r="AB258" s="161"/>
      <c r="AC258" s="161"/>
      <c r="AD258" s="161"/>
      <c r="AE258" s="161"/>
      <c r="AF258" s="161"/>
      <c r="AG258" s="161"/>
      <c r="AH258" s="161"/>
      <c r="AI258" s="161"/>
      <c r="AJ258" s="161"/>
      <c r="AK258" s="161"/>
      <c r="AL258" s="161"/>
      <c r="AM258" s="161"/>
      <c r="AN258" s="161"/>
      <c r="AO258" s="161"/>
      <c r="AP258" s="161"/>
      <c r="AQ258" s="161">
        <f>SUM(AR258:AU258)</f>
      </c>
      <c r="AR258" s="161"/>
      <c r="AS258" s="161"/>
      <c r="AT258" s="161"/>
      <c r="AU258" s="161"/>
      <c r="AV258" s="161">
        <f>SUM(AW258:BH258)</f>
      </c>
      <c r="AW258" s="161"/>
      <c r="AX258" s="161"/>
      <c r="AY258" s="161"/>
      <c r="AZ258" s="161"/>
      <c r="BA258" s="161"/>
      <c r="BB258" s="161"/>
      <c r="BC258" s="161"/>
      <c r="BD258" s="161"/>
      <c r="BE258" s="161"/>
      <c r="BF258" s="161"/>
      <c r="BG258" s="161"/>
      <c r="BH258" s="161"/>
      <c r="BI258" s="161"/>
      <c r="BJ258" s="161"/>
      <c r="BK258" s="161"/>
      <c r="BL258" s="161"/>
      <c r="BM258" s="161"/>
      <c r="BN258" s="161"/>
      <c r="BO258" s="161"/>
      <c r="BP258" s="161"/>
      <c r="BQ258" s="161"/>
      <c r="BR258" s="161"/>
      <c r="BS258" s="161">
        <f>SUM(BT258:BV258)</f>
      </c>
      <c r="BT258" s="161"/>
      <c r="BU258" s="161"/>
      <c r="BV258" s="161"/>
      <c r="BW258" s="161">
        <f>SUM(BX258:CC258)</f>
      </c>
      <c r="BX258" s="161"/>
      <c r="BY258" s="161"/>
      <c r="BZ258" s="161"/>
      <c r="CA258" s="161"/>
      <c r="CB258" s="161"/>
      <c r="CC258" s="161"/>
      <c r="CD258" s="161"/>
      <c r="CE258" s="161"/>
      <c r="CF258" s="161"/>
      <c r="CG258" s="161"/>
      <c r="CH258" s="161"/>
      <c r="CI258" s="161"/>
      <c r="CJ258" s="161">
        <f>SUM(CK258:CM258)</f>
      </c>
      <c r="CK258" s="161"/>
      <c r="CL258" s="161"/>
      <c r="CM258" s="161"/>
      <c r="CN258" s="161">
        <f>SUM(CO258:CS258)</f>
      </c>
      <c r="CO258" s="161"/>
      <c r="CP258" s="161"/>
      <c r="CQ258" s="161"/>
      <c r="CR258" s="161"/>
      <c r="CS258" s="161"/>
      <c r="CT258" s="161"/>
      <c r="CU258" s="161"/>
      <c r="CV258" s="161"/>
      <c r="CW258" s="161"/>
      <c r="CX258" s="161"/>
      <c r="CY258" s="161"/>
      <c r="CZ258" s="161"/>
      <c r="DA258" s="161"/>
      <c r="DB258" s="161"/>
      <c r="DC258" s="161"/>
      <c r="DD258" s="161"/>
      <c r="DE258" s="161"/>
      <c r="DF258" s="161">
        <f>SUM(DG258:DG258)</f>
      </c>
      <c r="DG258" s="161"/>
      <c r="DH258" s="161"/>
      <c r="DI258" s="161"/>
      <c r="DJ258" s="161">
        <f>SUM(DK258:DP258)</f>
      </c>
      <c r="DK258" s="161"/>
      <c r="DL258" s="161"/>
      <c r="DM258" s="161"/>
      <c r="DN258" s="161"/>
      <c r="DO258" s="161"/>
      <c r="DP258" s="161"/>
      <c r="DQ258" s="161"/>
      <c r="DR258" s="161"/>
      <c r="DS258" s="161"/>
      <c r="DT258" s="161"/>
      <c r="DU258" s="161"/>
      <c r="DV258" s="161"/>
      <c r="DW258" s="161"/>
      <c r="DX258" s="161"/>
      <c r="DY258" s="161"/>
      <c r="DZ258" s="161"/>
      <c r="EA258" s="161"/>
      <c r="EB258" s="161"/>
      <c r="EC258" s="161"/>
      <c r="ED258" s="161"/>
      <c r="EE258" s="161"/>
      <c r="EF258" s="161">
        <f>SUM(EG258:EP258)</f>
      </c>
      <c r="EG258" s="161"/>
      <c r="EH258" s="161"/>
      <c r="EI258" s="161"/>
      <c r="EJ258" s="161"/>
      <c r="EK258" s="161"/>
      <c r="EL258" s="161"/>
      <c r="EM258" s="161"/>
      <c r="EN258" s="161"/>
      <c r="EO258" s="161"/>
      <c r="EP258" s="161"/>
      <c r="EQ258" s="161">
        <f>SUM(ER258:ES258)</f>
      </c>
      <c r="ER258" s="161"/>
      <c r="ES258" s="161"/>
      <c r="ET258" s="161"/>
      <c r="EU258" s="161"/>
      <c r="EV258" s="161"/>
      <c r="EW258" s="161"/>
      <c r="EX258" s="161"/>
      <c r="EY258" s="161"/>
      <c r="EZ258" s="161"/>
      <c r="FA258" s="161"/>
      <c r="FB258" s="161"/>
      <c r="FC258" s="161"/>
      <c r="FD258" s="161"/>
      <c r="FE258" s="161"/>
      <c r="FF258" s="161"/>
      <c r="FG258" s="161"/>
      <c r="FH258" s="163" cm="1">
        <f t="array" ref="FH258">ROW()-ROW(Ongoing[#Headers])</f>
        <v>252</v>
      </c>
      <c r="FI258" s="164" t="s">
        <v>1332</v>
      </c>
      <c r="FJ258" s="164" t="s">
        <v>755</v>
      </c>
      <c r="FK258" s="164">
        <v>0</v>
      </c>
      <c r="FL258" s="164" t="s">
        <v>1245</v>
      </c>
      <c r="FM258" s="164">
        <v>0</v>
      </c>
      <c r="FN258" s="164" t="s">
        <v>770</v>
      </c>
      <c r="FO258" s="164" t="s">
        <v>1341</v>
      </c>
      <c r="FP258" s="164" t="s">
        <v>759</v>
      </c>
    </row>
    <row r="259" spans="2:172" s="115" customFormat="1" ht="11.25" x14ac:dyDescent="0.2">
      <c r="B259" s="148"/>
      <c r="C259" s="148"/>
      <c r="D259" s="148"/>
      <c r="E259" s="148"/>
      <c r="F259" s="148"/>
      <c r="G259" s="148"/>
      <c r="H259" s="148"/>
      <c r="I259" s="148"/>
      <c r="J259" s="148"/>
      <c r="K259" s="148"/>
      <c r="L259" s="148"/>
      <c r="M259" s="160"/>
      <c r="N259" s="160"/>
      <c r="O259" s="148"/>
      <c r="P259" s="161">
        <f>SUM(Q259:AP259)</f>
      </c>
      <c r="Q259" s="161"/>
      <c r="R259" s="161"/>
      <c r="S259" s="161"/>
      <c r="T259" s="161"/>
      <c r="U259" s="161"/>
      <c r="V259" s="161"/>
      <c r="W259" s="161"/>
      <c r="X259" s="161"/>
      <c r="Y259" s="161"/>
      <c r="Z259" s="161"/>
      <c r="AA259" s="161"/>
      <c r="AB259" s="161"/>
      <c r="AC259" s="161"/>
      <c r="AD259" s="161"/>
      <c r="AE259" s="161"/>
      <c r="AF259" s="161"/>
      <c r="AG259" s="161"/>
      <c r="AH259" s="161"/>
      <c r="AI259" s="161"/>
      <c r="AJ259" s="161"/>
      <c r="AK259" s="161"/>
      <c r="AL259" s="161"/>
      <c r="AM259" s="161"/>
      <c r="AN259" s="161"/>
      <c r="AO259" s="161"/>
      <c r="AP259" s="161"/>
      <c r="AQ259" s="161">
        <f>SUM(AR259:AU259)</f>
      </c>
      <c r="AR259" s="161"/>
      <c r="AS259" s="161"/>
      <c r="AT259" s="161"/>
      <c r="AU259" s="161"/>
      <c r="AV259" s="161">
        <f>SUM(AW259:BH259)</f>
      </c>
      <c r="AW259" s="161"/>
      <c r="AX259" s="161"/>
      <c r="AY259" s="161"/>
      <c r="AZ259" s="161"/>
      <c r="BA259" s="161"/>
      <c r="BB259" s="161"/>
      <c r="BC259" s="161"/>
      <c r="BD259" s="161"/>
      <c r="BE259" s="161"/>
      <c r="BF259" s="161"/>
      <c r="BG259" s="161"/>
      <c r="BH259" s="161"/>
      <c r="BI259" s="161"/>
      <c r="BJ259" s="161"/>
      <c r="BK259" s="161"/>
      <c r="BL259" s="161"/>
      <c r="BM259" s="161"/>
      <c r="BN259" s="161"/>
      <c r="BO259" s="161"/>
      <c r="BP259" s="161"/>
      <c r="BQ259" s="161"/>
      <c r="BR259" s="161"/>
      <c r="BS259" s="161">
        <f>SUM(BT259:BV259)</f>
      </c>
      <c r="BT259" s="161"/>
      <c r="BU259" s="161"/>
      <c r="BV259" s="161"/>
      <c r="BW259" s="161">
        <f>SUM(BX259:CC259)</f>
      </c>
      <c r="BX259" s="161"/>
      <c r="BY259" s="161"/>
      <c r="BZ259" s="161"/>
      <c r="CA259" s="161"/>
      <c r="CB259" s="161"/>
      <c r="CC259" s="161"/>
      <c r="CD259" s="161"/>
      <c r="CE259" s="161"/>
      <c r="CF259" s="161"/>
      <c r="CG259" s="161"/>
      <c r="CH259" s="161"/>
      <c r="CI259" s="161"/>
      <c r="CJ259" s="161">
        <f>SUM(CK259:CM259)</f>
      </c>
      <c r="CK259" s="161"/>
      <c r="CL259" s="161"/>
      <c r="CM259" s="161"/>
      <c r="CN259" s="161">
        <f>SUM(CO259:CS259)</f>
      </c>
      <c r="CO259" s="161"/>
      <c r="CP259" s="161"/>
      <c r="CQ259" s="161"/>
      <c r="CR259" s="161"/>
      <c r="CS259" s="161"/>
      <c r="CT259" s="161"/>
      <c r="CU259" s="161"/>
      <c r="CV259" s="161"/>
      <c r="CW259" s="161"/>
      <c r="CX259" s="161"/>
      <c r="CY259" s="161"/>
      <c r="CZ259" s="161"/>
      <c r="DA259" s="161"/>
      <c r="DB259" s="161"/>
      <c r="DC259" s="161"/>
      <c r="DD259" s="161"/>
      <c r="DE259" s="161"/>
      <c r="DF259" s="161">
        <f>SUM(DG259:DG259)</f>
      </c>
      <c r="DG259" s="161"/>
      <c r="DH259" s="161"/>
      <c r="DI259" s="161"/>
      <c r="DJ259" s="161">
        <f>SUM(DK259:DP259)</f>
      </c>
      <c r="DK259" s="161"/>
      <c r="DL259" s="161"/>
      <c r="DM259" s="161"/>
      <c r="DN259" s="161"/>
      <c r="DO259" s="161"/>
      <c r="DP259" s="161"/>
      <c r="DQ259" s="161"/>
      <c r="DR259" s="161"/>
      <c r="DS259" s="161"/>
      <c r="DT259" s="161"/>
      <c r="DU259" s="161"/>
      <c r="DV259" s="161"/>
      <c r="DW259" s="161"/>
      <c r="DX259" s="161"/>
      <c r="DY259" s="161"/>
      <c r="DZ259" s="161"/>
      <c r="EA259" s="161"/>
      <c r="EB259" s="161"/>
      <c r="EC259" s="161"/>
      <c r="ED259" s="161"/>
      <c r="EE259" s="161"/>
      <c r="EF259" s="161">
        <f>SUM(EG259:EP259)</f>
      </c>
      <c r="EG259" s="161"/>
      <c r="EH259" s="161"/>
      <c r="EI259" s="161"/>
      <c r="EJ259" s="161"/>
      <c r="EK259" s="161"/>
      <c r="EL259" s="161"/>
      <c r="EM259" s="161"/>
      <c r="EN259" s="161"/>
      <c r="EO259" s="161"/>
      <c r="EP259" s="161"/>
      <c r="EQ259" s="161">
        <f>SUM(ER259:ES259)</f>
      </c>
      <c r="ER259" s="161"/>
      <c r="ES259" s="161"/>
      <c r="ET259" s="161"/>
      <c r="EU259" s="161"/>
      <c r="EV259" s="161"/>
      <c r="EW259" s="161"/>
      <c r="EX259" s="161"/>
      <c r="EY259" s="161"/>
      <c r="EZ259" s="161"/>
      <c r="FA259" s="161"/>
      <c r="FB259" s="161"/>
      <c r="FC259" s="161"/>
      <c r="FD259" s="161"/>
      <c r="FE259" s="161"/>
      <c r="FF259" s="161"/>
      <c r="FG259" s="161"/>
      <c r="FH259" s="163" cm="1">
        <f t="array" ref="FH259">ROW()-ROW(Ongoing[#Headers])</f>
        <v>253</v>
      </c>
      <c r="FI259" s="164" t="s">
        <v>1332</v>
      </c>
      <c r="FJ259" s="164" t="s">
        <v>755</v>
      </c>
      <c r="FK259" s="164">
        <v>0</v>
      </c>
      <c r="FL259" s="164" t="s">
        <v>1245</v>
      </c>
      <c r="FM259" s="164">
        <v>0</v>
      </c>
      <c r="FN259" s="164" t="s">
        <v>770</v>
      </c>
      <c r="FO259" s="164" t="s">
        <v>1333</v>
      </c>
      <c r="FP259" s="164" t="s">
        <v>759</v>
      </c>
    </row>
    <row r="260" spans="2:172" s="115" customFormat="1" ht="11.25" x14ac:dyDescent="0.2">
      <c r="B260" s="148"/>
      <c r="C260" s="148"/>
      <c r="D260" s="148"/>
      <c r="E260" s="148"/>
      <c r="F260" s="148"/>
      <c r="G260" s="148"/>
      <c r="H260" s="148"/>
      <c r="I260" s="148"/>
      <c r="J260" s="148"/>
      <c r="K260" s="148"/>
      <c r="L260" s="148"/>
      <c r="M260" s="160"/>
      <c r="N260" s="160"/>
      <c r="O260" s="148"/>
      <c r="P260" s="161">
        <f>SUM(Q260:AP260)</f>
      </c>
      <c r="Q260" s="161"/>
      <c r="R260" s="161"/>
      <c r="S260" s="161"/>
      <c r="T260" s="161"/>
      <c r="U260" s="161"/>
      <c r="V260" s="161"/>
      <c r="W260" s="161"/>
      <c r="X260" s="161"/>
      <c r="Y260" s="161"/>
      <c r="Z260" s="161"/>
      <c r="AA260" s="161"/>
      <c r="AB260" s="161"/>
      <c r="AC260" s="161"/>
      <c r="AD260" s="161"/>
      <c r="AE260" s="161"/>
      <c r="AF260" s="161"/>
      <c r="AG260" s="161"/>
      <c r="AH260" s="161"/>
      <c r="AI260" s="161"/>
      <c r="AJ260" s="161"/>
      <c r="AK260" s="161"/>
      <c r="AL260" s="161"/>
      <c r="AM260" s="161"/>
      <c r="AN260" s="161"/>
      <c r="AO260" s="161"/>
      <c r="AP260" s="161"/>
      <c r="AQ260" s="161">
        <f>SUM(AR260:AU260)</f>
      </c>
      <c r="AR260" s="161"/>
      <c r="AS260" s="161"/>
      <c r="AT260" s="161"/>
      <c r="AU260" s="161"/>
      <c r="AV260" s="161">
        <f>SUM(AW260:BH260)</f>
      </c>
      <c r="AW260" s="161"/>
      <c r="AX260" s="161"/>
      <c r="AY260" s="161"/>
      <c r="AZ260" s="161"/>
      <c r="BA260" s="161"/>
      <c r="BB260" s="161"/>
      <c r="BC260" s="161"/>
      <c r="BD260" s="161"/>
      <c r="BE260" s="161"/>
      <c r="BF260" s="161"/>
      <c r="BG260" s="161"/>
      <c r="BH260" s="161"/>
      <c r="BI260" s="161"/>
      <c r="BJ260" s="161"/>
      <c r="BK260" s="161"/>
      <c r="BL260" s="161"/>
      <c r="BM260" s="161"/>
      <c r="BN260" s="161"/>
      <c r="BO260" s="161"/>
      <c r="BP260" s="161"/>
      <c r="BQ260" s="161"/>
      <c r="BR260" s="161"/>
      <c r="BS260" s="161">
        <f>SUM(BT260:BV260)</f>
      </c>
      <c r="BT260" s="161"/>
      <c r="BU260" s="161"/>
      <c r="BV260" s="161"/>
      <c r="BW260" s="161">
        <f>SUM(BX260:CC260)</f>
      </c>
      <c r="BX260" s="161"/>
      <c r="BY260" s="161"/>
      <c r="BZ260" s="161"/>
      <c r="CA260" s="161"/>
      <c r="CB260" s="161"/>
      <c r="CC260" s="161"/>
      <c r="CD260" s="161"/>
      <c r="CE260" s="161"/>
      <c r="CF260" s="161"/>
      <c r="CG260" s="161"/>
      <c r="CH260" s="161"/>
      <c r="CI260" s="161"/>
      <c r="CJ260" s="161">
        <f>SUM(CK260:CM260)</f>
      </c>
      <c r="CK260" s="161"/>
      <c r="CL260" s="161"/>
      <c r="CM260" s="161"/>
      <c r="CN260" s="161">
        <f>SUM(CO260:CS260)</f>
      </c>
      <c r="CO260" s="161"/>
      <c r="CP260" s="161"/>
      <c r="CQ260" s="161"/>
      <c r="CR260" s="161"/>
      <c r="CS260" s="161"/>
      <c r="CT260" s="161"/>
      <c r="CU260" s="161"/>
      <c r="CV260" s="161"/>
      <c r="CW260" s="161"/>
      <c r="CX260" s="161"/>
      <c r="CY260" s="161"/>
      <c r="CZ260" s="161"/>
      <c r="DA260" s="161"/>
      <c r="DB260" s="161"/>
      <c r="DC260" s="161"/>
      <c r="DD260" s="161"/>
      <c r="DE260" s="161"/>
      <c r="DF260" s="161">
        <f>SUM(DG260:DG260)</f>
      </c>
      <c r="DG260" s="161"/>
      <c r="DH260" s="161"/>
      <c r="DI260" s="161"/>
      <c r="DJ260" s="161">
        <f>SUM(DK260:DP260)</f>
      </c>
      <c r="DK260" s="161"/>
      <c r="DL260" s="161"/>
      <c r="DM260" s="161"/>
      <c r="DN260" s="161"/>
      <c r="DO260" s="161"/>
      <c r="DP260" s="161"/>
      <c r="DQ260" s="161"/>
      <c r="DR260" s="161"/>
      <c r="DS260" s="161"/>
      <c r="DT260" s="161"/>
      <c r="DU260" s="161"/>
      <c r="DV260" s="161"/>
      <c r="DW260" s="161"/>
      <c r="DX260" s="161"/>
      <c r="DY260" s="161"/>
      <c r="DZ260" s="161"/>
      <c r="EA260" s="161"/>
      <c r="EB260" s="161"/>
      <c r="EC260" s="161"/>
      <c r="ED260" s="161"/>
      <c r="EE260" s="161"/>
      <c r="EF260" s="161">
        <f>SUM(EG260:EP260)</f>
      </c>
      <c r="EG260" s="161"/>
      <c r="EH260" s="161"/>
      <c r="EI260" s="161"/>
      <c r="EJ260" s="161"/>
      <c r="EK260" s="161"/>
      <c r="EL260" s="161"/>
      <c r="EM260" s="161"/>
      <c r="EN260" s="161"/>
      <c r="EO260" s="161"/>
      <c r="EP260" s="161"/>
      <c r="EQ260" s="161">
        <f>SUM(ER260:ES260)</f>
      </c>
      <c r="ER260" s="161"/>
      <c r="ES260" s="161"/>
      <c r="ET260" s="161"/>
      <c r="EU260" s="161"/>
      <c r="EV260" s="161"/>
      <c r="EW260" s="161"/>
      <c r="EX260" s="161"/>
      <c r="EY260" s="161"/>
      <c r="EZ260" s="161"/>
      <c r="FA260" s="161"/>
      <c r="FB260" s="161"/>
      <c r="FC260" s="161"/>
      <c r="FD260" s="161"/>
      <c r="FE260" s="161"/>
      <c r="FF260" s="161"/>
      <c r="FG260" s="161"/>
      <c r="FH260" s="163" cm="1">
        <f t="array" ref="FH260">ROW()-ROW(Ongoing[#Headers])</f>
        <v>254</v>
      </c>
      <c r="FI260" s="164" t="s">
        <v>1332</v>
      </c>
      <c r="FJ260" s="164" t="s">
        <v>755</v>
      </c>
      <c r="FK260" s="164">
        <v>0</v>
      </c>
      <c r="FL260" s="164" t="s">
        <v>1245</v>
      </c>
      <c r="FM260" s="164">
        <v>0</v>
      </c>
      <c r="FN260" s="164" t="s">
        <v>770</v>
      </c>
      <c r="FO260" s="164" t="s">
        <v>1341</v>
      </c>
      <c r="FP260" s="164" t="s">
        <v>759</v>
      </c>
    </row>
    <row r="261" spans="2:172" s="115" customFormat="1" ht="11.25" x14ac:dyDescent="0.2">
      <c r="B261" s="148"/>
      <c r="C261" s="148"/>
      <c r="D261" s="148"/>
      <c r="E261" s="148"/>
      <c r="F261" s="148"/>
      <c r="G261" s="148"/>
      <c r="H261" s="148"/>
      <c r="I261" s="148"/>
      <c r="J261" s="148"/>
      <c r="K261" s="148"/>
      <c r="L261" s="148"/>
      <c r="M261" s="160"/>
      <c r="N261" s="160"/>
      <c r="O261" s="148"/>
      <c r="P261" s="161">
        <f>SUM(Q261:AP261)</f>
      </c>
      <c r="Q261" s="161"/>
      <c r="R261" s="161"/>
      <c r="S261" s="161"/>
      <c r="T261" s="161"/>
      <c r="U261" s="161"/>
      <c r="V261" s="161"/>
      <c r="W261" s="161"/>
      <c r="X261" s="161"/>
      <c r="Y261" s="161"/>
      <c r="Z261" s="161"/>
      <c r="AA261" s="161"/>
      <c r="AB261" s="161"/>
      <c r="AC261" s="161"/>
      <c r="AD261" s="161"/>
      <c r="AE261" s="161"/>
      <c r="AF261" s="161"/>
      <c r="AG261" s="161"/>
      <c r="AH261" s="161"/>
      <c r="AI261" s="161"/>
      <c r="AJ261" s="161"/>
      <c r="AK261" s="161"/>
      <c r="AL261" s="161"/>
      <c r="AM261" s="161"/>
      <c r="AN261" s="161"/>
      <c r="AO261" s="161"/>
      <c r="AP261" s="161"/>
      <c r="AQ261" s="161">
        <f>SUM(AR261:AU261)</f>
      </c>
      <c r="AR261" s="161"/>
      <c r="AS261" s="161"/>
      <c r="AT261" s="161"/>
      <c r="AU261" s="161"/>
      <c r="AV261" s="161">
        <f>SUM(AW261:BH261)</f>
      </c>
      <c r="AW261" s="161"/>
      <c r="AX261" s="161"/>
      <c r="AY261" s="161"/>
      <c r="AZ261" s="161"/>
      <c r="BA261" s="161"/>
      <c r="BB261" s="161"/>
      <c r="BC261" s="161"/>
      <c r="BD261" s="161"/>
      <c r="BE261" s="161"/>
      <c r="BF261" s="161"/>
      <c r="BG261" s="161"/>
      <c r="BH261" s="161"/>
      <c r="BI261" s="161"/>
      <c r="BJ261" s="161"/>
      <c r="BK261" s="161"/>
      <c r="BL261" s="161"/>
      <c r="BM261" s="161"/>
      <c r="BN261" s="161"/>
      <c r="BO261" s="161"/>
      <c r="BP261" s="161"/>
      <c r="BQ261" s="161"/>
      <c r="BR261" s="161"/>
      <c r="BS261" s="161">
        <f>SUM(BT261:BV261)</f>
      </c>
      <c r="BT261" s="161"/>
      <c r="BU261" s="161"/>
      <c r="BV261" s="161"/>
      <c r="BW261" s="161">
        <f>SUM(BX261:CC261)</f>
      </c>
      <c r="BX261" s="161"/>
      <c r="BY261" s="161"/>
      <c r="BZ261" s="161"/>
      <c r="CA261" s="161"/>
      <c r="CB261" s="161"/>
      <c r="CC261" s="161"/>
      <c r="CD261" s="161"/>
      <c r="CE261" s="161"/>
      <c r="CF261" s="161"/>
      <c r="CG261" s="161"/>
      <c r="CH261" s="161"/>
      <c r="CI261" s="161"/>
      <c r="CJ261" s="161">
        <f>SUM(CK261:CM261)</f>
      </c>
      <c r="CK261" s="161"/>
      <c r="CL261" s="161"/>
      <c r="CM261" s="161"/>
      <c r="CN261" s="161">
        <f>SUM(CO261:CS261)</f>
      </c>
      <c r="CO261" s="161"/>
      <c r="CP261" s="161"/>
      <c r="CQ261" s="161"/>
      <c r="CR261" s="161"/>
      <c r="CS261" s="161"/>
      <c r="CT261" s="161"/>
      <c r="CU261" s="161"/>
      <c r="CV261" s="161"/>
      <c r="CW261" s="161"/>
      <c r="CX261" s="161"/>
      <c r="CY261" s="161"/>
      <c r="CZ261" s="161"/>
      <c r="DA261" s="161"/>
      <c r="DB261" s="161"/>
      <c r="DC261" s="161"/>
      <c r="DD261" s="161"/>
      <c r="DE261" s="161"/>
      <c r="DF261" s="161">
        <f>SUM(DG261:DG261)</f>
      </c>
      <c r="DG261" s="161"/>
      <c r="DH261" s="161"/>
      <c r="DI261" s="161"/>
      <c r="DJ261" s="161">
        <f>SUM(DK261:DP261)</f>
      </c>
      <c r="DK261" s="161"/>
      <c r="DL261" s="161"/>
      <c r="DM261" s="161"/>
      <c r="DN261" s="161"/>
      <c r="DO261" s="161"/>
      <c r="DP261" s="161"/>
      <c r="DQ261" s="161"/>
      <c r="DR261" s="161"/>
      <c r="DS261" s="161"/>
      <c r="DT261" s="161"/>
      <c r="DU261" s="161"/>
      <c r="DV261" s="161"/>
      <c r="DW261" s="161"/>
      <c r="DX261" s="161"/>
      <c r="DY261" s="161"/>
      <c r="DZ261" s="161"/>
      <c r="EA261" s="161"/>
      <c r="EB261" s="161"/>
      <c r="EC261" s="161"/>
      <c r="ED261" s="161"/>
      <c r="EE261" s="161"/>
      <c r="EF261" s="161">
        <f>SUM(EG261:EP261)</f>
      </c>
      <c r="EG261" s="161"/>
      <c r="EH261" s="161"/>
      <c r="EI261" s="161"/>
      <c r="EJ261" s="161"/>
      <c r="EK261" s="161"/>
      <c r="EL261" s="161"/>
      <c r="EM261" s="161"/>
      <c r="EN261" s="161"/>
      <c r="EO261" s="161"/>
      <c r="EP261" s="161"/>
      <c r="EQ261" s="161">
        <f>SUM(ER261:ES261)</f>
      </c>
      <c r="ER261" s="161"/>
      <c r="ES261" s="161"/>
      <c r="ET261" s="161"/>
      <c r="EU261" s="161"/>
      <c r="EV261" s="161"/>
      <c r="EW261" s="161"/>
      <c r="EX261" s="161"/>
      <c r="EY261" s="161"/>
      <c r="EZ261" s="161"/>
      <c r="FA261" s="161"/>
      <c r="FB261" s="161"/>
      <c r="FC261" s="161"/>
      <c r="FD261" s="161"/>
      <c r="FE261" s="161"/>
      <c r="FF261" s="161"/>
      <c r="FG261" s="161"/>
      <c r="FH261" s="163" cm="1">
        <f t="array" ref="FH261">ROW()-ROW(Ongoing[#Headers])</f>
        <v>255</v>
      </c>
      <c r="FI261" s="164" t="s">
        <v>1332</v>
      </c>
      <c r="FJ261" s="164" t="s">
        <v>737</v>
      </c>
      <c r="FK261" s="164">
        <v>0</v>
      </c>
      <c r="FL261" s="164" t="s">
        <v>1245</v>
      </c>
      <c r="FM261" s="164">
        <v>0</v>
      </c>
      <c r="FN261" s="164" t="s">
        <v>770</v>
      </c>
      <c r="FO261" s="164" t="s">
        <v>1341</v>
      </c>
      <c r="FP261" s="164" t="s">
        <v>759</v>
      </c>
    </row>
    <row r="262" spans="2:172" s="115" customFormat="1" ht="11.25" x14ac:dyDescent="0.2">
      <c r="B262" s="148"/>
      <c r="C262" s="148"/>
      <c r="D262" s="148"/>
      <c r="E262" s="148"/>
      <c r="F262" s="148"/>
      <c r="G262" s="148"/>
      <c r="H262" s="148"/>
      <c r="I262" s="148"/>
      <c r="J262" s="148"/>
      <c r="K262" s="148"/>
      <c r="L262" s="148"/>
      <c r="M262" s="160"/>
      <c r="N262" s="160"/>
      <c r="O262" s="148"/>
      <c r="P262" s="161">
        <f>SUM(Q262:AP262)</f>
      </c>
      <c r="Q262" s="161"/>
      <c r="R262" s="161"/>
      <c r="S262" s="161"/>
      <c r="T262" s="161"/>
      <c r="U262" s="161"/>
      <c r="V262" s="161"/>
      <c r="W262" s="161"/>
      <c r="X262" s="161"/>
      <c r="Y262" s="161"/>
      <c r="Z262" s="161"/>
      <c r="AA262" s="161"/>
      <c r="AB262" s="161"/>
      <c r="AC262" s="161"/>
      <c r="AD262" s="161"/>
      <c r="AE262" s="161"/>
      <c r="AF262" s="161"/>
      <c r="AG262" s="161"/>
      <c r="AH262" s="161"/>
      <c r="AI262" s="161"/>
      <c r="AJ262" s="161"/>
      <c r="AK262" s="161"/>
      <c r="AL262" s="161"/>
      <c r="AM262" s="161"/>
      <c r="AN262" s="161"/>
      <c r="AO262" s="161"/>
      <c r="AP262" s="161"/>
      <c r="AQ262" s="161">
        <f>SUM(AR262:AU262)</f>
      </c>
      <c r="AR262" s="161"/>
      <c r="AS262" s="161"/>
      <c r="AT262" s="161"/>
      <c r="AU262" s="161"/>
      <c r="AV262" s="161">
        <f>SUM(AW262:BH262)</f>
      </c>
      <c r="AW262" s="161"/>
      <c r="AX262" s="161"/>
      <c r="AY262" s="161"/>
      <c r="AZ262" s="161"/>
      <c r="BA262" s="161"/>
      <c r="BB262" s="161"/>
      <c r="BC262" s="161"/>
      <c r="BD262" s="161"/>
      <c r="BE262" s="161"/>
      <c r="BF262" s="161"/>
      <c r="BG262" s="161"/>
      <c r="BH262" s="161"/>
      <c r="BI262" s="161"/>
      <c r="BJ262" s="161"/>
      <c r="BK262" s="161"/>
      <c r="BL262" s="161"/>
      <c r="BM262" s="161"/>
      <c r="BN262" s="161"/>
      <c r="BO262" s="161"/>
      <c r="BP262" s="161"/>
      <c r="BQ262" s="161"/>
      <c r="BR262" s="161"/>
      <c r="BS262" s="161">
        <f>SUM(BT262:BV262)</f>
      </c>
      <c r="BT262" s="161"/>
      <c r="BU262" s="161"/>
      <c r="BV262" s="161"/>
      <c r="BW262" s="161">
        <f>SUM(BX262:CC262)</f>
      </c>
      <c r="BX262" s="161"/>
      <c r="BY262" s="161"/>
      <c r="BZ262" s="161"/>
      <c r="CA262" s="161"/>
      <c r="CB262" s="161"/>
      <c r="CC262" s="161"/>
      <c r="CD262" s="161"/>
      <c r="CE262" s="161"/>
      <c r="CF262" s="161"/>
      <c r="CG262" s="161"/>
      <c r="CH262" s="161"/>
      <c r="CI262" s="161"/>
      <c r="CJ262" s="161">
        <f>SUM(CK262:CM262)</f>
      </c>
      <c r="CK262" s="161"/>
      <c r="CL262" s="161"/>
      <c r="CM262" s="161"/>
      <c r="CN262" s="161">
        <f>SUM(CO262:CS262)</f>
      </c>
      <c r="CO262" s="161"/>
      <c r="CP262" s="161"/>
      <c r="CQ262" s="161"/>
      <c r="CR262" s="161"/>
      <c r="CS262" s="161"/>
      <c r="CT262" s="161"/>
      <c r="CU262" s="161"/>
      <c r="CV262" s="161"/>
      <c r="CW262" s="161"/>
      <c r="CX262" s="161"/>
      <c r="CY262" s="161"/>
      <c r="CZ262" s="161"/>
      <c r="DA262" s="161"/>
      <c r="DB262" s="161"/>
      <c r="DC262" s="161"/>
      <c r="DD262" s="161"/>
      <c r="DE262" s="161"/>
      <c r="DF262" s="161">
        <f>SUM(DG262:DG262)</f>
      </c>
      <c r="DG262" s="161"/>
      <c r="DH262" s="161"/>
      <c r="DI262" s="161"/>
      <c r="DJ262" s="161">
        <f>SUM(DK262:DP262)</f>
      </c>
      <c r="DK262" s="161"/>
      <c r="DL262" s="161"/>
      <c r="DM262" s="161"/>
      <c r="DN262" s="161"/>
      <c r="DO262" s="161"/>
      <c r="DP262" s="161"/>
      <c r="DQ262" s="161"/>
      <c r="DR262" s="161"/>
      <c r="DS262" s="161"/>
      <c r="DT262" s="161"/>
      <c r="DU262" s="161"/>
      <c r="DV262" s="161"/>
      <c r="DW262" s="161"/>
      <c r="DX262" s="161"/>
      <c r="DY262" s="161"/>
      <c r="DZ262" s="161"/>
      <c r="EA262" s="161"/>
      <c r="EB262" s="161"/>
      <c r="EC262" s="161"/>
      <c r="ED262" s="161"/>
      <c r="EE262" s="161"/>
      <c r="EF262" s="161">
        <f>SUM(EG262:EP262)</f>
      </c>
      <c r="EG262" s="161"/>
      <c r="EH262" s="161"/>
      <c r="EI262" s="161"/>
      <c r="EJ262" s="161"/>
      <c r="EK262" s="161"/>
      <c r="EL262" s="161"/>
      <c r="EM262" s="161"/>
      <c r="EN262" s="161"/>
      <c r="EO262" s="161"/>
      <c r="EP262" s="161"/>
      <c r="EQ262" s="161">
        <f>SUM(ER262:ES262)</f>
      </c>
      <c r="ER262" s="161"/>
      <c r="ES262" s="161"/>
      <c r="ET262" s="161"/>
      <c r="EU262" s="161"/>
      <c r="EV262" s="161"/>
      <c r="EW262" s="161"/>
      <c r="EX262" s="161"/>
      <c r="EY262" s="161"/>
      <c r="EZ262" s="161"/>
      <c r="FA262" s="161"/>
      <c r="FB262" s="161"/>
      <c r="FC262" s="161"/>
      <c r="FD262" s="161"/>
      <c r="FE262" s="161"/>
      <c r="FF262" s="161"/>
      <c r="FG262" s="161"/>
      <c r="FH262" s="163" cm="1">
        <f t="array" ref="FH262">ROW()-ROW(Ongoing[#Headers])</f>
        <v>256</v>
      </c>
      <c r="FI262" s="164" t="s">
        <v>1332</v>
      </c>
      <c r="FJ262" s="164" t="s">
        <v>755</v>
      </c>
      <c r="FK262" s="164">
        <v>0</v>
      </c>
      <c r="FL262" s="164" t="s">
        <v>1245</v>
      </c>
      <c r="FM262" s="164">
        <v>0</v>
      </c>
      <c r="FN262" s="164" t="s">
        <v>770</v>
      </c>
      <c r="FO262" s="164" t="s">
        <v>1336</v>
      </c>
      <c r="FP262" s="164" t="s">
        <v>759</v>
      </c>
    </row>
    <row r="263" spans="2:172" s="115" customFormat="1" ht="11.25" x14ac:dyDescent="0.2">
      <c r="B263" s="148"/>
      <c r="C263" s="148"/>
      <c r="D263" s="148"/>
      <c r="E263" s="148"/>
      <c r="F263" s="148"/>
      <c r="G263" s="148"/>
      <c r="H263" s="148"/>
      <c r="I263" s="148"/>
      <c r="J263" s="148"/>
      <c r="K263" s="148"/>
      <c r="L263" s="148"/>
      <c r="M263" s="160"/>
      <c r="N263" s="160"/>
      <c r="O263" s="148"/>
      <c r="P263" s="161">
        <f>SUM(Q263:AP263)</f>
      </c>
      <c r="Q263" s="161"/>
      <c r="R263" s="161"/>
      <c r="S263" s="161"/>
      <c r="T263" s="161"/>
      <c r="U263" s="161"/>
      <c r="V263" s="161"/>
      <c r="W263" s="161"/>
      <c r="X263" s="161"/>
      <c r="Y263" s="161"/>
      <c r="Z263" s="161"/>
      <c r="AA263" s="161"/>
      <c r="AB263" s="161"/>
      <c r="AC263" s="161"/>
      <c r="AD263" s="161"/>
      <c r="AE263" s="161"/>
      <c r="AF263" s="161"/>
      <c r="AG263" s="161"/>
      <c r="AH263" s="161"/>
      <c r="AI263" s="161"/>
      <c r="AJ263" s="161"/>
      <c r="AK263" s="161"/>
      <c r="AL263" s="161"/>
      <c r="AM263" s="161"/>
      <c r="AN263" s="161"/>
      <c r="AO263" s="161"/>
      <c r="AP263" s="161"/>
      <c r="AQ263" s="161">
        <f>SUM(AR263:AU263)</f>
      </c>
      <c r="AR263" s="161"/>
      <c r="AS263" s="161"/>
      <c r="AT263" s="161"/>
      <c r="AU263" s="161"/>
      <c r="AV263" s="161">
        <f>SUM(AW263:BH263)</f>
      </c>
      <c r="AW263" s="161"/>
      <c r="AX263" s="161"/>
      <c r="AY263" s="161"/>
      <c r="AZ263" s="161"/>
      <c r="BA263" s="161"/>
      <c r="BB263" s="161"/>
      <c r="BC263" s="161"/>
      <c r="BD263" s="161"/>
      <c r="BE263" s="161"/>
      <c r="BF263" s="161"/>
      <c r="BG263" s="161"/>
      <c r="BH263" s="161"/>
      <c r="BI263" s="161"/>
      <c r="BJ263" s="161"/>
      <c r="BK263" s="161"/>
      <c r="BL263" s="161"/>
      <c r="BM263" s="161"/>
      <c r="BN263" s="161"/>
      <c r="BO263" s="161"/>
      <c r="BP263" s="161"/>
      <c r="BQ263" s="161"/>
      <c r="BR263" s="161"/>
      <c r="BS263" s="161">
        <f>SUM(BT263:BV263)</f>
      </c>
      <c r="BT263" s="161"/>
      <c r="BU263" s="161"/>
      <c r="BV263" s="161"/>
      <c r="BW263" s="161">
        <f>SUM(BX263:CC263)</f>
      </c>
      <c r="BX263" s="161"/>
      <c r="BY263" s="161"/>
      <c r="BZ263" s="161"/>
      <c r="CA263" s="161"/>
      <c r="CB263" s="161"/>
      <c r="CC263" s="161"/>
      <c r="CD263" s="161"/>
      <c r="CE263" s="161"/>
      <c r="CF263" s="161"/>
      <c r="CG263" s="161"/>
      <c r="CH263" s="161"/>
      <c r="CI263" s="161"/>
      <c r="CJ263" s="161">
        <f>SUM(CK263:CM263)</f>
      </c>
      <c r="CK263" s="161"/>
      <c r="CL263" s="161"/>
      <c r="CM263" s="161"/>
      <c r="CN263" s="161">
        <f>SUM(CO263:CS263)</f>
      </c>
      <c r="CO263" s="161"/>
      <c r="CP263" s="161"/>
      <c r="CQ263" s="161"/>
      <c r="CR263" s="161"/>
      <c r="CS263" s="161"/>
      <c r="CT263" s="161"/>
      <c r="CU263" s="161"/>
      <c r="CV263" s="161"/>
      <c r="CW263" s="161"/>
      <c r="CX263" s="161"/>
      <c r="CY263" s="161"/>
      <c r="CZ263" s="161"/>
      <c r="DA263" s="161"/>
      <c r="DB263" s="161"/>
      <c r="DC263" s="161"/>
      <c r="DD263" s="161"/>
      <c r="DE263" s="161"/>
      <c r="DF263" s="161">
        <f>SUM(DG263:DG263)</f>
      </c>
      <c r="DG263" s="161"/>
      <c r="DH263" s="161"/>
      <c r="DI263" s="161"/>
      <c r="DJ263" s="161">
        <f>SUM(DK263:DP263)</f>
      </c>
      <c r="DK263" s="161"/>
      <c r="DL263" s="161"/>
      <c r="DM263" s="161"/>
      <c r="DN263" s="161"/>
      <c r="DO263" s="161"/>
      <c r="DP263" s="161"/>
      <c r="DQ263" s="161"/>
      <c r="DR263" s="161"/>
      <c r="DS263" s="161"/>
      <c r="DT263" s="161"/>
      <c r="DU263" s="161"/>
      <c r="DV263" s="161"/>
      <c r="DW263" s="161"/>
      <c r="DX263" s="161"/>
      <c r="DY263" s="161"/>
      <c r="DZ263" s="161"/>
      <c r="EA263" s="161"/>
      <c r="EB263" s="161"/>
      <c r="EC263" s="161"/>
      <c r="ED263" s="161"/>
      <c r="EE263" s="161"/>
      <c r="EF263" s="161">
        <f>SUM(EG263:EP263)</f>
      </c>
      <c r="EG263" s="161"/>
      <c r="EH263" s="161"/>
      <c r="EI263" s="161"/>
      <c r="EJ263" s="161"/>
      <c r="EK263" s="161"/>
      <c r="EL263" s="161"/>
      <c r="EM263" s="161"/>
      <c r="EN263" s="161"/>
      <c r="EO263" s="161"/>
      <c r="EP263" s="161"/>
      <c r="EQ263" s="161">
        <f>SUM(ER263:ES263)</f>
      </c>
      <c r="ER263" s="161"/>
      <c r="ES263" s="161"/>
      <c r="ET263" s="161"/>
      <c r="EU263" s="161"/>
      <c r="EV263" s="161"/>
      <c r="EW263" s="161"/>
      <c r="EX263" s="161"/>
      <c r="EY263" s="161"/>
      <c r="EZ263" s="161"/>
      <c r="FA263" s="161"/>
      <c r="FB263" s="161"/>
      <c r="FC263" s="161"/>
      <c r="FD263" s="161"/>
      <c r="FE263" s="161"/>
      <c r="FF263" s="161"/>
      <c r="FG263" s="161"/>
      <c r="FH263" s="163" cm="1">
        <f t="array" ref="FH263">ROW()-ROW(Ongoing[#Headers])</f>
        <v>257</v>
      </c>
      <c r="FI263" s="164" t="s">
        <v>1332</v>
      </c>
      <c r="FJ263" s="164" t="s">
        <v>755</v>
      </c>
      <c r="FK263" s="164">
        <v>0</v>
      </c>
      <c r="FL263" s="164" t="s">
        <v>1245</v>
      </c>
      <c r="FM263" s="164">
        <v>0</v>
      </c>
      <c r="FN263" s="164" t="s">
        <v>770</v>
      </c>
      <c r="FO263" s="164" t="s">
        <v>1354</v>
      </c>
      <c r="FP263" s="164" t="s">
        <v>759</v>
      </c>
    </row>
    <row r="264" spans="2:172" s="115" customFormat="1" ht="11.25" x14ac:dyDescent="0.2">
      <c r="B264" s="148"/>
      <c r="C264" s="148"/>
      <c r="D264" s="148"/>
      <c r="E264" s="148"/>
      <c r="F264" s="148"/>
      <c r="G264" s="148"/>
      <c r="H264" s="148"/>
      <c r="I264" s="148"/>
      <c r="J264" s="148"/>
      <c r="K264" s="148"/>
      <c r="L264" s="148"/>
      <c r="M264" s="160"/>
      <c r="N264" s="160"/>
      <c r="O264" s="148"/>
      <c r="P264" s="161">
        <f>SUM(Q264:AP264)</f>
      </c>
      <c r="Q264" s="161"/>
      <c r="R264" s="161"/>
      <c r="S264" s="161"/>
      <c r="T264" s="161"/>
      <c r="U264" s="161"/>
      <c r="V264" s="161"/>
      <c r="W264" s="161"/>
      <c r="X264" s="161"/>
      <c r="Y264" s="161"/>
      <c r="Z264" s="161"/>
      <c r="AA264" s="161"/>
      <c r="AB264" s="161"/>
      <c r="AC264" s="161"/>
      <c r="AD264" s="161"/>
      <c r="AE264" s="161"/>
      <c r="AF264" s="161"/>
      <c r="AG264" s="161"/>
      <c r="AH264" s="161"/>
      <c r="AI264" s="161"/>
      <c r="AJ264" s="161"/>
      <c r="AK264" s="161"/>
      <c r="AL264" s="161"/>
      <c r="AM264" s="161"/>
      <c r="AN264" s="161"/>
      <c r="AO264" s="161"/>
      <c r="AP264" s="161"/>
      <c r="AQ264" s="161">
        <f>SUM(AR264:AU264)</f>
      </c>
      <c r="AR264" s="161"/>
      <c r="AS264" s="161"/>
      <c r="AT264" s="161"/>
      <c r="AU264" s="161"/>
      <c r="AV264" s="161">
        <f>SUM(AW264:BH264)</f>
      </c>
      <c r="AW264" s="161"/>
      <c r="AX264" s="161"/>
      <c r="AY264" s="161"/>
      <c r="AZ264" s="161"/>
      <c r="BA264" s="161"/>
      <c r="BB264" s="161"/>
      <c r="BC264" s="161"/>
      <c r="BD264" s="161"/>
      <c r="BE264" s="161"/>
      <c r="BF264" s="161"/>
      <c r="BG264" s="161"/>
      <c r="BH264" s="161"/>
      <c r="BI264" s="161"/>
      <c r="BJ264" s="161"/>
      <c r="BK264" s="161"/>
      <c r="BL264" s="161"/>
      <c r="BM264" s="161"/>
      <c r="BN264" s="161"/>
      <c r="BO264" s="161"/>
      <c r="BP264" s="161"/>
      <c r="BQ264" s="161"/>
      <c r="BR264" s="161"/>
      <c r="BS264" s="161">
        <f>SUM(BT264:BV264)</f>
      </c>
      <c r="BT264" s="161"/>
      <c r="BU264" s="161"/>
      <c r="BV264" s="161"/>
      <c r="BW264" s="161">
        <f>SUM(BX264:CC264)</f>
      </c>
      <c r="BX264" s="161"/>
      <c r="BY264" s="161"/>
      <c r="BZ264" s="161"/>
      <c r="CA264" s="161"/>
      <c r="CB264" s="161"/>
      <c r="CC264" s="161"/>
      <c r="CD264" s="161"/>
      <c r="CE264" s="161"/>
      <c r="CF264" s="161"/>
      <c r="CG264" s="161"/>
      <c r="CH264" s="161"/>
      <c r="CI264" s="161"/>
      <c r="CJ264" s="161">
        <f>SUM(CK264:CM264)</f>
      </c>
      <c r="CK264" s="161"/>
      <c r="CL264" s="161"/>
      <c r="CM264" s="161"/>
      <c r="CN264" s="161">
        <f>SUM(CO264:CS264)</f>
      </c>
      <c r="CO264" s="161"/>
      <c r="CP264" s="161"/>
      <c r="CQ264" s="161"/>
      <c r="CR264" s="161"/>
      <c r="CS264" s="161"/>
      <c r="CT264" s="161"/>
      <c r="CU264" s="161"/>
      <c r="CV264" s="161"/>
      <c r="CW264" s="161"/>
      <c r="CX264" s="161"/>
      <c r="CY264" s="161"/>
      <c r="CZ264" s="161"/>
      <c r="DA264" s="161"/>
      <c r="DB264" s="161"/>
      <c r="DC264" s="161"/>
      <c r="DD264" s="161"/>
      <c r="DE264" s="161"/>
      <c r="DF264" s="161">
        <f>SUM(DG264:DG264)</f>
      </c>
      <c r="DG264" s="161"/>
      <c r="DH264" s="161"/>
      <c r="DI264" s="161"/>
      <c r="DJ264" s="161">
        <f>SUM(DK264:DP264)</f>
      </c>
      <c r="DK264" s="161"/>
      <c r="DL264" s="161"/>
      <c r="DM264" s="161"/>
      <c r="DN264" s="161"/>
      <c r="DO264" s="161"/>
      <c r="DP264" s="161"/>
      <c r="DQ264" s="161"/>
      <c r="DR264" s="161"/>
      <c r="DS264" s="161"/>
      <c r="DT264" s="161"/>
      <c r="DU264" s="161"/>
      <c r="DV264" s="161"/>
      <c r="DW264" s="161"/>
      <c r="DX264" s="161"/>
      <c r="DY264" s="161"/>
      <c r="DZ264" s="161"/>
      <c r="EA264" s="161"/>
      <c r="EB264" s="161"/>
      <c r="EC264" s="161"/>
      <c r="ED264" s="161"/>
      <c r="EE264" s="161"/>
      <c r="EF264" s="161">
        <f>SUM(EG264:EP264)</f>
      </c>
      <c r="EG264" s="161"/>
      <c r="EH264" s="161"/>
      <c r="EI264" s="161"/>
      <c r="EJ264" s="161"/>
      <c r="EK264" s="161"/>
      <c r="EL264" s="161"/>
      <c r="EM264" s="161"/>
      <c r="EN264" s="161"/>
      <c r="EO264" s="161"/>
      <c r="EP264" s="161"/>
      <c r="EQ264" s="161">
        <f>SUM(ER264:ES264)</f>
      </c>
      <c r="ER264" s="161"/>
      <c r="ES264" s="161"/>
      <c r="ET264" s="161"/>
      <c r="EU264" s="161"/>
      <c r="EV264" s="161"/>
      <c r="EW264" s="161"/>
      <c r="EX264" s="161"/>
      <c r="EY264" s="161"/>
      <c r="EZ264" s="161"/>
      <c r="FA264" s="161"/>
      <c r="FB264" s="161"/>
      <c r="FC264" s="161"/>
      <c r="FD264" s="161"/>
      <c r="FE264" s="161"/>
      <c r="FF264" s="161"/>
      <c r="FG264" s="161"/>
      <c r="FH264" s="163" cm="1">
        <f t="array" ref="FH264">ROW()-ROW(Ongoing[#Headers])</f>
        <v>258</v>
      </c>
      <c r="FI264" s="164" t="s">
        <v>1332</v>
      </c>
      <c r="FJ264" s="164" t="s">
        <v>755</v>
      </c>
      <c r="FK264" s="164">
        <v>0</v>
      </c>
      <c r="FL264" s="164" t="s">
        <v>1245</v>
      </c>
      <c r="FM264" s="164">
        <v>0</v>
      </c>
      <c r="FN264" s="164" t="s">
        <v>770</v>
      </c>
      <c r="FO264" s="164" t="s">
        <v>1341</v>
      </c>
      <c r="FP264" s="164" t="s">
        <v>759</v>
      </c>
    </row>
    <row r="265" spans="2:172" s="115" customFormat="1" ht="11.25" x14ac:dyDescent="0.2">
      <c r="B265" s="148"/>
      <c r="C265" s="148"/>
      <c r="D265" s="148"/>
      <c r="E265" s="148"/>
      <c r="F265" s="148"/>
      <c r="G265" s="148"/>
      <c r="H265" s="148"/>
      <c r="I265" s="148"/>
      <c r="J265" s="148"/>
      <c r="K265" s="148"/>
      <c r="L265" s="148"/>
      <c r="M265" s="160"/>
      <c r="N265" s="160"/>
      <c r="O265" s="148"/>
      <c r="P265" s="161">
        <f>SUM(Q265:AP265)</f>
      </c>
      <c r="Q265" s="161"/>
      <c r="R265" s="161"/>
      <c r="S265" s="161"/>
      <c r="T265" s="161"/>
      <c r="U265" s="161"/>
      <c r="V265" s="161"/>
      <c r="W265" s="161"/>
      <c r="X265" s="161"/>
      <c r="Y265" s="161"/>
      <c r="Z265" s="161"/>
      <c r="AA265" s="161"/>
      <c r="AB265" s="161"/>
      <c r="AC265" s="161"/>
      <c r="AD265" s="161"/>
      <c r="AE265" s="161"/>
      <c r="AF265" s="161"/>
      <c r="AG265" s="161"/>
      <c r="AH265" s="161"/>
      <c r="AI265" s="161"/>
      <c r="AJ265" s="161"/>
      <c r="AK265" s="161"/>
      <c r="AL265" s="161"/>
      <c r="AM265" s="161"/>
      <c r="AN265" s="161"/>
      <c r="AO265" s="161"/>
      <c r="AP265" s="161"/>
      <c r="AQ265" s="161">
        <f>SUM(AR265:AU265)</f>
      </c>
      <c r="AR265" s="161"/>
      <c r="AS265" s="161"/>
      <c r="AT265" s="161"/>
      <c r="AU265" s="161"/>
      <c r="AV265" s="161">
        <f>SUM(AW265:BH265)</f>
      </c>
      <c r="AW265" s="161"/>
      <c r="AX265" s="161"/>
      <c r="AY265" s="161"/>
      <c r="AZ265" s="161"/>
      <c r="BA265" s="161"/>
      <c r="BB265" s="161"/>
      <c r="BC265" s="161"/>
      <c r="BD265" s="161"/>
      <c r="BE265" s="161"/>
      <c r="BF265" s="161"/>
      <c r="BG265" s="161"/>
      <c r="BH265" s="161"/>
      <c r="BI265" s="161"/>
      <c r="BJ265" s="161"/>
      <c r="BK265" s="161"/>
      <c r="BL265" s="161"/>
      <c r="BM265" s="161"/>
      <c r="BN265" s="161"/>
      <c r="BO265" s="161"/>
      <c r="BP265" s="161"/>
      <c r="BQ265" s="161"/>
      <c r="BR265" s="161"/>
      <c r="BS265" s="161">
        <f>SUM(BT265:BV265)</f>
      </c>
      <c r="BT265" s="161"/>
      <c r="BU265" s="161"/>
      <c r="BV265" s="161"/>
      <c r="BW265" s="161">
        <f>SUM(BX265:CC265)</f>
      </c>
      <c r="BX265" s="161"/>
      <c r="BY265" s="161"/>
      <c r="BZ265" s="161"/>
      <c r="CA265" s="161"/>
      <c r="CB265" s="161"/>
      <c r="CC265" s="161"/>
      <c r="CD265" s="161"/>
      <c r="CE265" s="161"/>
      <c r="CF265" s="161"/>
      <c r="CG265" s="161"/>
      <c r="CH265" s="161"/>
      <c r="CI265" s="161"/>
      <c r="CJ265" s="161">
        <f>SUM(CK265:CM265)</f>
      </c>
      <c r="CK265" s="161"/>
      <c r="CL265" s="161"/>
      <c r="CM265" s="161"/>
      <c r="CN265" s="161">
        <f>SUM(CO265:CS265)</f>
      </c>
      <c r="CO265" s="161"/>
      <c r="CP265" s="161"/>
      <c r="CQ265" s="161"/>
      <c r="CR265" s="161"/>
      <c r="CS265" s="161"/>
      <c r="CT265" s="161"/>
      <c r="CU265" s="161"/>
      <c r="CV265" s="161"/>
      <c r="CW265" s="161"/>
      <c r="CX265" s="161"/>
      <c r="CY265" s="161"/>
      <c r="CZ265" s="161"/>
      <c r="DA265" s="161"/>
      <c r="DB265" s="161"/>
      <c r="DC265" s="161"/>
      <c r="DD265" s="161"/>
      <c r="DE265" s="161"/>
      <c r="DF265" s="161">
        <f>SUM(DG265:DG265)</f>
      </c>
      <c r="DG265" s="161"/>
      <c r="DH265" s="161"/>
      <c r="DI265" s="161"/>
      <c r="DJ265" s="161">
        <f>SUM(DK265:DP265)</f>
      </c>
      <c r="DK265" s="161"/>
      <c r="DL265" s="161"/>
      <c r="DM265" s="161"/>
      <c r="DN265" s="161"/>
      <c r="DO265" s="161"/>
      <c r="DP265" s="161"/>
      <c r="DQ265" s="161"/>
      <c r="DR265" s="161"/>
      <c r="DS265" s="161"/>
      <c r="DT265" s="161"/>
      <c r="DU265" s="161"/>
      <c r="DV265" s="161"/>
      <c r="DW265" s="161"/>
      <c r="DX265" s="161"/>
      <c r="DY265" s="161"/>
      <c r="DZ265" s="161"/>
      <c r="EA265" s="161"/>
      <c r="EB265" s="161"/>
      <c r="EC265" s="161"/>
      <c r="ED265" s="161"/>
      <c r="EE265" s="161"/>
      <c r="EF265" s="161">
        <f>SUM(EG265:EP265)</f>
      </c>
      <c r="EG265" s="161"/>
      <c r="EH265" s="161"/>
      <c r="EI265" s="161"/>
      <c r="EJ265" s="161"/>
      <c r="EK265" s="161"/>
      <c r="EL265" s="161"/>
      <c r="EM265" s="161"/>
      <c r="EN265" s="161"/>
      <c r="EO265" s="161"/>
      <c r="EP265" s="161"/>
      <c r="EQ265" s="161">
        <f>SUM(ER265:ES265)</f>
      </c>
      <c r="ER265" s="161"/>
      <c r="ES265" s="161"/>
      <c r="ET265" s="161"/>
      <c r="EU265" s="161"/>
      <c r="EV265" s="161"/>
      <c r="EW265" s="161"/>
      <c r="EX265" s="161"/>
      <c r="EY265" s="161"/>
      <c r="EZ265" s="161"/>
      <c r="FA265" s="161"/>
      <c r="FB265" s="161"/>
      <c r="FC265" s="161"/>
      <c r="FD265" s="161"/>
      <c r="FE265" s="161"/>
      <c r="FF265" s="161"/>
      <c r="FG265" s="161"/>
      <c r="FH265" s="163" cm="1">
        <f t="array" ref="FH265">ROW()-ROW(Ongoing[#Headers])</f>
        <v>259</v>
      </c>
      <c r="FI265" s="164" t="s">
        <v>1332</v>
      </c>
      <c r="FJ265" s="164" t="s">
        <v>755</v>
      </c>
      <c r="FK265" s="164">
        <v>0</v>
      </c>
      <c r="FL265" s="164" t="s">
        <v>1245</v>
      </c>
      <c r="FM265" s="164">
        <v>0</v>
      </c>
      <c r="FN265" s="164" t="s">
        <v>770</v>
      </c>
      <c r="FO265" s="164" t="s">
        <v>1354</v>
      </c>
      <c r="FP265" s="164" t="s">
        <v>759</v>
      </c>
    </row>
    <row r="266" spans="2:172" s="115" customFormat="1" ht="11.25" x14ac:dyDescent="0.2">
      <c r="B266" s="148"/>
      <c r="C266" s="148"/>
      <c r="D266" s="148"/>
      <c r="E266" s="148"/>
      <c r="F266" s="148"/>
      <c r="G266" s="148"/>
      <c r="H266" s="148"/>
      <c r="I266" s="148"/>
      <c r="J266" s="148"/>
      <c r="K266" s="148"/>
      <c r="L266" s="148"/>
      <c r="M266" s="160"/>
      <c r="N266" s="160"/>
      <c r="O266" s="148"/>
      <c r="P266" s="161">
        <f>SUM(Q266:AP266)</f>
      </c>
      <c r="Q266" s="161"/>
      <c r="R266" s="161"/>
      <c r="S266" s="161"/>
      <c r="T266" s="161"/>
      <c r="U266" s="161"/>
      <c r="V266" s="161"/>
      <c r="W266" s="161"/>
      <c r="X266" s="161"/>
      <c r="Y266" s="161"/>
      <c r="Z266" s="161"/>
      <c r="AA266" s="161"/>
      <c r="AB266" s="161"/>
      <c r="AC266" s="161"/>
      <c r="AD266" s="161"/>
      <c r="AE266" s="161"/>
      <c r="AF266" s="161"/>
      <c r="AG266" s="161"/>
      <c r="AH266" s="161"/>
      <c r="AI266" s="161"/>
      <c r="AJ266" s="161"/>
      <c r="AK266" s="161"/>
      <c r="AL266" s="161"/>
      <c r="AM266" s="161"/>
      <c r="AN266" s="161"/>
      <c r="AO266" s="161"/>
      <c r="AP266" s="161"/>
      <c r="AQ266" s="161">
        <f>SUM(AR266:AU266)</f>
      </c>
      <c r="AR266" s="161"/>
      <c r="AS266" s="161"/>
      <c r="AT266" s="161"/>
      <c r="AU266" s="161"/>
      <c r="AV266" s="161">
        <f>SUM(AW266:BH266)</f>
      </c>
      <c r="AW266" s="161"/>
      <c r="AX266" s="161"/>
      <c r="AY266" s="161"/>
      <c r="AZ266" s="161"/>
      <c r="BA266" s="161"/>
      <c r="BB266" s="161"/>
      <c r="BC266" s="161"/>
      <c r="BD266" s="161"/>
      <c r="BE266" s="161"/>
      <c r="BF266" s="161"/>
      <c r="BG266" s="161"/>
      <c r="BH266" s="161"/>
      <c r="BI266" s="161"/>
      <c r="BJ266" s="161"/>
      <c r="BK266" s="161"/>
      <c r="BL266" s="161"/>
      <c r="BM266" s="161"/>
      <c r="BN266" s="161"/>
      <c r="BO266" s="161"/>
      <c r="BP266" s="161"/>
      <c r="BQ266" s="161"/>
      <c r="BR266" s="161"/>
      <c r="BS266" s="161">
        <f>SUM(BT266:BV266)</f>
      </c>
      <c r="BT266" s="161"/>
      <c r="BU266" s="161"/>
      <c r="BV266" s="161"/>
      <c r="BW266" s="161">
        <f>SUM(BX266:CC266)</f>
      </c>
      <c r="BX266" s="161"/>
      <c r="BY266" s="161"/>
      <c r="BZ266" s="161"/>
      <c r="CA266" s="161"/>
      <c r="CB266" s="161"/>
      <c r="CC266" s="161"/>
      <c r="CD266" s="161"/>
      <c r="CE266" s="161"/>
      <c r="CF266" s="161"/>
      <c r="CG266" s="161"/>
      <c r="CH266" s="161"/>
      <c r="CI266" s="161"/>
      <c r="CJ266" s="161">
        <f>SUM(CK266:CM266)</f>
      </c>
      <c r="CK266" s="161"/>
      <c r="CL266" s="161"/>
      <c r="CM266" s="161"/>
      <c r="CN266" s="161">
        <f>SUM(CO266:CS266)</f>
      </c>
      <c r="CO266" s="161"/>
      <c r="CP266" s="161"/>
      <c r="CQ266" s="161"/>
      <c r="CR266" s="161"/>
      <c r="CS266" s="161"/>
      <c r="CT266" s="161"/>
      <c r="CU266" s="161"/>
      <c r="CV266" s="161"/>
      <c r="CW266" s="161"/>
      <c r="CX266" s="161"/>
      <c r="CY266" s="161"/>
      <c r="CZ266" s="161"/>
      <c r="DA266" s="161"/>
      <c r="DB266" s="161"/>
      <c r="DC266" s="161"/>
      <c r="DD266" s="161"/>
      <c r="DE266" s="161"/>
      <c r="DF266" s="161">
        <f>SUM(DG266:DG266)</f>
      </c>
      <c r="DG266" s="161"/>
      <c r="DH266" s="161"/>
      <c r="DI266" s="161"/>
      <c r="DJ266" s="161">
        <f>SUM(DK266:DP266)</f>
      </c>
      <c r="DK266" s="161"/>
      <c r="DL266" s="161"/>
      <c r="DM266" s="161"/>
      <c r="DN266" s="161"/>
      <c r="DO266" s="161"/>
      <c r="DP266" s="161"/>
      <c r="DQ266" s="161"/>
      <c r="DR266" s="161"/>
      <c r="DS266" s="161"/>
      <c r="DT266" s="161"/>
      <c r="DU266" s="161"/>
      <c r="DV266" s="161"/>
      <c r="DW266" s="161"/>
      <c r="DX266" s="161"/>
      <c r="DY266" s="161"/>
      <c r="DZ266" s="161"/>
      <c r="EA266" s="161"/>
      <c r="EB266" s="161"/>
      <c r="EC266" s="161"/>
      <c r="ED266" s="161"/>
      <c r="EE266" s="161"/>
      <c r="EF266" s="161">
        <f>SUM(EG266:EP266)</f>
      </c>
      <c r="EG266" s="161"/>
      <c r="EH266" s="161"/>
      <c r="EI266" s="161"/>
      <c r="EJ266" s="161"/>
      <c r="EK266" s="161"/>
      <c r="EL266" s="161"/>
      <c r="EM266" s="161"/>
      <c r="EN266" s="161"/>
      <c r="EO266" s="161"/>
      <c r="EP266" s="161"/>
      <c r="EQ266" s="161">
        <f>SUM(ER266:ES266)</f>
      </c>
      <c r="ER266" s="161"/>
      <c r="ES266" s="161"/>
      <c r="ET266" s="161"/>
      <c r="EU266" s="161"/>
      <c r="EV266" s="161"/>
      <c r="EW266" s="161"/>
      <c r="EX266" s="161"/>
      <c r="EY266" s="161"/>
      <c r="EZ266" s="161"/>
      <c r="FA266" s="161"/>
      <c r="FB266" s="161"/>
      <c r="FC266" s="161"/>
      <c r="FD266" s="161"/>
      <c r="FE266" s="161"/>
      <c r="FF266" s="161"/>
      <c r="FG266" s="161"/>
      <c r="FH266" s="163" cm="1">
        <f t="array" ref="FH266">ROW()-ROW(Ongoing[#Headers])</f>
        <v>260</v>
      </c>
      <c r="FI266" s="164" t="s">
        <v>1332</v>
      </c>
      <c r="FJ266" s="164" t="s">
        <v>755</v>
      </c>
      <c r="FK266" s="164">
        <v>0</v>
      </c>
      <c r="FL266" s="164" t="s">
        <v>1245</v>
      </c>
      <c r="FM266" s="164">
        <v>0</v>
      </c>
      <c r="FN266" s="164" t="s">
        <v>770</v>
      </c>
      <c r="FO266" s="164" t="s">
        <v>873</v>
      </c>
      <c r="FP266" s="164" t="s">
        <v>759</v>
      </c>
    </row>
    <row r="267" spans="2:172" s="115" customFormat="1" ht="11.25" x14ac:dyDescent="0.2">
      <c r="B267" s="148"/>
      <c r="C267" s="148"/>
      <c r="D267" s="148"/>
      <c r="E267" s="148"/>
      <c r="F267" s="148"/>
      <c r="G267" s="148"/>
      <c r="H267" s="148"/>
      <c r="I267" s="148"/>
      <c r="J267" s="148"/>
      <c r="K267" s="148"/>
      <c r="L267" s="148"/>
      <c r="M267" s="160"/>
      <c r="N267" s="160"/>
      <c r="O267" s="148"/>
      <c r="P267" s="161">
        <f>SUM(Q267:AP267)</f>
      </c>
      <c r="Q267" s="161"/>
      <c r="R267" s="161"/>
      <c r="S267" s="161"/>
      <c r="T267" s="161"/>
      <c r="U267" s="161"/>
      <c r="V267" s="161"/>
      <c r="W267" s="161"/>
      <c r="X267" s="161"/>
      <c r="Y267" s="161"/>
      <c r="Z267" s="161"/>
      <c r="AA267" s="161"/>
      <c r="AB267" s="161"/>
      <c r="AC267" s="161"/>
      <c r="AD267" s="161"/>
      <c r="AE267" s="161"/>
      <c r="AF267" s="161"/>
      <c r="AG267" s="161"/>
      <c r="AH267" s="161"/>
      <c r="AI267" s="161"/>
      <c r="AJ267" s="161"/>
      <c r="AK267" s="161"/>
      <c r="AL267" s="161"/>
      <c r="AM267" s="161"/>
      <c r="AN267" s="161"/>
      <c r="AO267" s="161"/>
      <c r="AP267" s="161"/>
      <c r="AQ267" s="161">
        <f>SUM(AR267:AU267)</f>
      </c>
      <c r="AR267" s="161"/>
      <c r="AS267" s="161"/>
      <c r="AT267" s="161"/>
      <c r="AU267" s="161"/>
      <c r="AV267" s="161">
        <f>SUM(AW267:BH267)</f>
      </c>
      <c r="AW267" s="161"/>
      <c r="AX267" s="161"/>
      <c r="AY267" s="161"/>
      <c r="AZ267" s="161"/>
      <c r="BA267" s="161"/>
      <c r="BB267" s="161"/>
      <c r="BC267" s="161"/>
      <c r="BD267" s="161"/>
      <c r="BE267" s="161"/>
      <c r="BF267" s="161"/>
      <c r="BG267" s="161"/>
      <c r="BH267" s="161"/>
      <c r="BI267" s="161"/>
      <c r="BJ267" s="161"/>
      <c r="BK267" s="161"/>
      <c r="BL267" s="161"/>
      <c r="BM267" s="161"/>
      <c r="BN267" s="161"/>
      <c r="BO267" s="161"/>
      <c r="BP267" s="161"/>
      <c r="BQ267" s="161"/>
      <c r="BR267" s="161"/>
      <c r="BS267" s="161">
        <f>SUM(BT267:BV267)</f>
      </c>
      <c r="BT267" s="161"/>
      <c r="BU267" s="161"/>
      <c r="BV267" s="161"/>
      <c r="BW267" s="161">
        <f>SUM(BX267:CC267)</f>
      </c>
      <c r="BX267" s="161"/>
      <c r="BY267" s="161"/>
      <c r="BZ267" s="161"/>
      <c r="CA267" s="161"/>
      <c r="CB267" s="161"/>
      <c r="CC267" s="161"/>
      <c r="CD267" s="161"/>
      <c r="CE267" s="161"/>
      <c r="CF267" s="161"/>
      <c r="CG267" s="161"/>
      <c r="CH267" s="161"/>
      <c r="CI267" s="161"/>
      <c r="CJ267" s="161">
        <f>SUM(CK267:CM267)</f>
      </c>
      <c r="CK267" s="161"/>
      <c r="CL267" s="161"/>
      <c r="CM267" s="161"/>
      <c r="CN267" s="161">
        <f>SUM(CO267:CS267)</f>
      </c>
      <c r="CO267" s="161"/>
      <c r="CP267" s="161"/>
      <c r="CQ267" s="161"/>
      <c r="CR267" s="161"/>
      <c r="CS267" s="161"/>
      <c r="CT267" s="161"/>
      <c r="CU267" s="161"/>
      <c r="CV267" s="161"/>
      <c r="CW267" s="161"/>
      <c r="CX267" s="161"/>
      <c r="CY267" s="161"/>
      <c r="CZ267" s="161"/>
      <c r="DA267" s="161"/>
      <c r="DB267" s="161"/>
      <c r="DC267" s="161"/>
      <c r="DD267" s="161"/>
      <c r="DE267" s="161"/>
      <c r="DF267" s="161">
        <f>SUM(DG267:DG267)</f>
      </c>
      <c r="DG267" s="161"/>
      <c r="DH267" s="161"/>
      <c r="DI267" s="161"/>
      <c r="DJ267" s="161">
        <f>SUM(DK267:DP267)</f>
      </c>
      <c r="DK267" s="161"/>
      <c r="DL267" s="161"/>
      <c r="DM267" s="161"/>
      <c r="DN267" s="161"/>
      <c r="DO267" s="161"/>
      <c r="DP267" s="161"/>
      <c r="DQ267" s="161"/>
      <c r="DR267" s="161"/>
      <c r="DS267" s="161"/>
      <c r="DT267" s="161"/>
      <c r="DU267" s="161"/>
      <c r="DV267" s="161"/>
      <c r="DW267" s="161"/>
      <c r="DX267" s="161"/>
      <c r="DY267" s="161"/>
      <c r="DZ267" s="161"/>
      <c r="EA267" s="161"/>
      <c r="EB267" s="161"/>
      <c r="EC267" s="161"/>
      <c r="ED267" s="161"/>
      <c r="EE267" s="161"/>
      <c r="EF267" s="161">
        <f>SUM(EG267:EP267)</f>
      </c>
      <c r="EG267" s="161"/>
      <c r="EH267" s="161"/>
      <c r="EI267" s="161"/>
      <c r="EJ267" s="161"/>
      <c r="EK267" s="161"/>
      <c r="EL267" s="161"/>
      <c r="EM267" s="161"/>
      <c r="EN267" s="161"/>
      <c r="EO267" s="161"/>
      <c r="EP267" s="161"/>
      <c r="EQ267" s="161">
        <f>SUM(ER267:ES267)</f>
      </c>
      <c r="ER267" s="161"/>
      <c r="ES267" s="161"/>
      <c r="ET267" s="161"/>
      <c r="EU267" s="161"/>
      <c r="EV267" s="161"/>
      <c r="EW267" s="161"/>
      <c r="EX267" s="161"/>
      <c r="EY267" s="161"/>
      <c r="EZ267" s="161"/>
      <c r="FA267" s="161"/>
      <c r="FB267" s="161"/>
      <c r="FC267" s="161"/>
      <c r="FD267" s="161"/>
      <c r="FE267" s="161"/>
      <c r="FF267" s="161"/>
      <c r="FG267" s="161"/>
      <c r="FH267" s="163" cm="1">
        <f t="array" ref="FH267">ROW()-ROW(Ongoing[#Headers])</f>
        <v>261</v>
      </c>
      <c r="FI267" s="164" t="s">
        <v>1332</v>
      </c>
      <c r="FJ267" s="164" t="s">
        <v>755</v>
      </c>
      <c r="FK267" s="164">
        <v>0</v>
      </c>
      <c r="FL267" s="164" t="s">
        <v>1245</v>
      </c>
      <c r="FM267" s="164">
        <v>0</v>
      </c>
      <c r="FN267" s="164" t="s">
        <v>770</v>
      </c>
      <c r="FO267" s="164" t="s">
        <v>1333</v>
      </c>
      <c r="FP267" s="164" t="s">
        <v>759</v>
      </c>
    </row>
    <row r="268" spans="2:172" s="115" customFormat="1" ht="11.25" x14ac:dyDescent="0.2">
      <c r="B268" s="148"/>
      <c r="C268" s="148"/>
      <c r="D268" s="148"/>
      <c r="E268" s="148"/>
      <c r="F268" s="148"/>
      <c r="G268" s="148"/>
      <c r="H268" s="148"/>
      <c r="I268" s="148"/>
      <c r="J268" s="148"/>
      <c r="K268" s="148"/>
      <c r="L268" s="148"/>
      <c r="M268" s="160"/>
      <c r="N268" s="160"/>
      <c r="O268" s="148"/>
      <c r="P268" s="161">
        <f>SUM(Q268:AP268)</f>
      </c>
      <c r="Q268" s="161"/>
      <c r="R268" s="161"/>
      <c r="S268" s="161"/>
      <c r="T268" s="161"/>
      <c r="U268" s="161"/>
      <c r="V268" s="161"/>
      <c r="W268" s="161"/>
      <c r="X268" s="161"/>
      <c r="Y268" s="161"/>
      <c r="Z268" s="161"/>
      <c r="AA268" s="161"/>
      <c r="AB268" s="161"/>
      <c r="AC268" s="161"/>
      <c r="AD268" s="161"/>
      <c r="AE268" s="161"/>
      <c r="AF268" s="161"/>
      <c r="AG268" s="161"/>
      <c r="AH268" s="161"/>
      <c r="AI268" s="161"/>
      <c r="AJ268" s="161"/>
      <c r="AK268" s="161"/>
      <c r="AL268" s="161"/>
      <c r="AM268" s="161"/>
      <c r="AN268" s="161"/>
      <c r="AO268" s="161"/>
      <c r="AP268" s="161"/>
      <c r="AQ268" s="161">
        <f>SUM(AR268:AU268)</f>
      </c>
      <c r="AR268" s="161"/>
      <c r="AS268" s="161"/>
      <c r="AT268" s="161"/>
      <c r="AU268" s="161"/>
      <c r="AV268" s="161">
        <f>SUM(AW268:BH268)</f>
      </c>
      <c r="AW268" s="161"/>
      <c r="AX268" s="161"/>
      <c r="AY268" s="161"/>
      <c r="AZ268" s="161"/>
      <c r="BA268" s="161"/>
      <c r="BB268" s="161"/>
      <c r="BC268" s="161"/>
      <c r="BD268" s="161"/>
      <c r="BE268" s="161"/>
      <c r="BF268" s="161"/>
      <c r="BG268" s="161"/>
      <c r="BH268" s="161"/>
      <c r="BI268" s="161"/>
      <c r="BJ268" s="161"/>
      <c r="BK268" s="161"/>
      <c r="BL268" s="161"/>
      <c r="BM268" s="161"/>
      <c r="BN268" s="161"/>
      <c r="BO268" s="161"/>
      <c r="BP268" s="161"/>
      <c r="BQ268" s="161"/>
      <c r="BR268" s="161"/>
      <c r="BS268" s="161">
        <f>SUM(BT268:BV268)</f>
      </c>
      <c r="BT268" s="161"/>
      <c r="BU268" s="161"/>
      <c r="BV268" s="161"/>
      <c r="BW268" s="161">
        <f>SUM(BX268:CC268)</f>
      </c>
      <c r="BX268" s="161"/>
      <c r="BY268" s="161"/>
      <c r="BZ268" s="161"/>
      <c r="CA268" s="161"/>
      <c r="CB268" s="161"/>
      <c r="CC268" s="161"/>
      <c r="CD268" s="161"/>
      <c r="CE268" s="161"/>
      <c r="CF268" s="161"/>
      <c r="CG268" s="161"/>
      <c r="CH268" s="161"/>
      <c r="CI268" s="161"/>
      <c r="CJ268" s="161">
        <f>SUM(CK268:CM268)</f>
      </c>
      <c r="CK268" s="161"/>
      <c r="CL268" s="161"/>
      <c r="CM268" s="161"/>
      <c r="CN268" s="161">
        <f>SUM(CO268:CS268)</f>
      </c>
      <c r="CO268" s="161"/>
      <c r="CP268" s="161"/>
      <c r="CQ268" s="161"/>
      <c r="CR268" s="161"/>
      <c r="CS268" s="161"/>
      <c r="CT268" s="161"/>
      <c r="CU268" s="161"/>
      <c r="CV268" s="161"/>
      <c r="CW268" s="161"/>
      <c r="CX268" s="161"/>
      <c r="CY268" s="161"/>
      <c r="CZ268" s="161"/>
      <c r="DA268" s="161"/>
      <c r="DB268" s="161"/>
      <c r="DC268" s="161"/>
      <c r="DD268" s="161"/>
      <c r="DE268" s="161"/>
      <c r="DF268" s="161">
        <f>SUM(DG268:DG268)</f>
      </c>
      <c r="DG268" s="161"/>
      <c r="DH268" s="161"/>
      <c r="DI268" s="161"/>
      <c r="DJ268" s="161">
        <f>SUM(DK268:DP268)</f>
      </c>
      <c r="DK268" s="161"/>
      <c r="DL268" s="161"/>
      <c r="DM268" s="161"/>
      <c r="DN268" s="161"/>
      <c r="DO268" s="161"/>
      <c r="DP268" s="161"/>
      <c r="DQ268" s="161"/>
      <c r="DR268" s="161"/>
      <c r="DS268" s="161"/>
      <c r="DT268" s="161"/>
      <c r="DU268" s="161"/>
      <c r="DV268" s="161"/>
      <c r="DW268" s="161"/>
      <c r="DX268" s="161"/>
      <c r="DY268" s="161"/>
      <c r="DZ268" s="161"/>
      <c r="EA268" s="161"/>
      <c r="EB268" s="161"/>
      <c r="EC268" s="161"/>
      <c r="ED268" s="161"/>
      <c r="EE268" s="161"/>
      <c r="EF268" s="161">
        <f>SUM(EG268:EP268)</f>
      </c>
      <c r="EG268" s="161"/>
      <c r="EH268" s="161"/>
      <c r="EI268" s="161"/>
      <c r="EJ268" s="161"/>
      <c r="EK268" s="161"/>
      <c r="EL268" s="161"/>
      <c r="EM268" s="161"/>
      <c r="EN268" s="161"/>
      <c r="EO268" s="161"/>
      <c r="EP268" s="161"/>
      <c r="EQ268" s="161">
        <f>SUM(ER268:ES268)</f>
      </c>
      <c r="ER268" s="161"/>
      <c r="ES268" s="161"/>
      <c r="ET268" s="161"/>
      <c r="EU268" s="161"/>
      <c r="EV268" s="161"/>
      <c r="EW268" s="161"/>
      <c r="EX268" s="161"/>
      <c r="EY268" s="161"/>
      <c r="EZ268" s="161"/>
      <c r="FA268" s="161"/>
      <c r="FB268" s="161"/>
      <c r="FC268" s="161"/>
      <c r="FD268" s="161"/>
      <c r="FE268" s="161"/>
      <c r="FF268" s="161"/>
      <c r="FG268" s="161"/>
      <c r="FH268" s="163" cm="1">
        <f t="array" ref="FH268">ROW()-ROW(Ongoing[#Headers])</f>
        <v>262</v>
      </c>
      <c r="FI268" s="164" t="s">
        <v>1243</v>
      </c>
      <c r="FJ268" s="164" t="s">
        <v>737</v>
      </c>
      <c r="FK268" s="164" t="s">
        <v>1244</v>
      </c>
      <c r="FL268" s="164" t="s">
        <v>1245</v>
      </c>
      <c r="FM268" s="164" t="s">
        <v>790</v>
      </c>
      <c r="FN268" s="164" t="s">
        <v>1243</v>
      </c>
      <c r="FO268" s="164" t="s">
        <v>1246</v>
      </c>
      <c r="FP268" s="164" t="s">
        <v>759</v>
      </c>
    </row>
    <row r="269" spans="2:172" s="115" customFormat="1" ht="11.25" x14ac:dyDescent="0.2">
      <c r="B269" s="148"/>
      <c r="C269" s="148"/>
      <c r="D269" s="148"/>
      <c r="E269" s="148"/>
      <c r="F269" s="148"/>
      <c r="G269" s="148"/>
      <c r="H269" s="148"/>
      <c r="I269" s="148"/>
      <c r="J269" s="148"/>
      <c r="K269" s="148"/>
      <c r="L269" s="148"/>
      <c r="M269" s="160"/>
      <c r="N269" s="160"/>
      <c r="O269" s="148"/>
      <c r="P269" s="161">
        <f>SUM(Q269:AP269)</f>
      </c>
      <c r="Q269" s="161"/>
      <c r="R269" s="161"/>
      <c r="S269" s="161"/>
      <c r="T269" s="161"/>
      <c r="U269" s="161"/>
      <c r="V269" s="161"/>
      <c r="W269" s="161"/>
      <c r="X269" s="161"/>
      <c r="Y269" s="161"/>
      <c r="Z269" s="161"/>
      <c r="AA269" s="161"/>
      <c r="AB269" s="161"/>
      <c r="AC269" s="161"/>
      <c r="AD269" s="161"/>
      <c r="AE269" s="161"/>
      <c r="AF269" s="161"/>
      <c r="AG269" s="161"/>
      <c r="AH269" s="161"/>
      <c r="AI269" s="161"/>
      <c r="AJ269" s="161"/>
      <c r="AK269" s="161"/>
      <c r="AL269" s="161"/>
      <c r="AM269" s="161"/>
      <c r="AN269" s="161"/>
      <c r="AO269" s="161"/>
      <c r="AP269" s="161"/>
      <c r="AQ269" s="161">
        <f>SUM(AR269:AU269)</f>
      </c>
      <c r="AR269" s="161"/>
      <c r="AS269" s="161"/>
      <c r="AT269" s="161"/>
      <c r="AU269" s="161"/>
      <c r="AV269" s="161">
        <f>SUM(AW269:BH269)</f>
      </c>
      <c r="AW269" s="161"/>
      <c r="AX269" s="161"/>
      <c r="AY269" s="161"/>
      <c r="AZ269" s="161"/>
      <c r="BA269" s="161"/>
      <c r="BB269" s="161"/>
      <c r="BC269" s="161"/>
      <c r="BD269" s="161"/>
      <c r="BE269" s="161"/>
      <c r="BF269" s="161"/>
      <c r="BG269" s="161"/>
      <c r="BH269" s="161"/>
      <c r="BI269" s="161"/>
      <c r="BJ269" s="161"/>
      <c r="BK269" s="161"/>
      <c r="BL269" s="161"/>
      <c r="BM269" s="161"/>
      <c r="BN269" s="161"/>
      <c r="BO269" s="161"/>
      <c r="BP269" s="161"/>
      <c r="BQ269" s="161"/>
      <c r="BR269" s="161"/>
      <c r="BS269" s="161">
        <f>SUM(BT269:BV269)</f>
      </c>
      <c r="BT269" s="161"/>
      <c r="BU269" s="161"/>
      <c r="BV269" s="161"/>
      <c r="BW269" s="161">
        <f>SUM(BX269:CC269)</f>
      </c>
      <c r="BX269" s="161"/>
      <c r="BY269" s="161"/>
      <c r="BZ269" s="161"/>
      <c r="CA269" s="161"/>
      <c r="CB269" s="161"/>
      <c r="CC269" s="161"/>
      <c r="CD269" s="161"/>
      <c r="CE269" s="161"/>
      <c r="CF269" s="161"/>
      <c r="CG269" s="161"/>
      <c r="CH269" s="161"/>
      <c r="CI269" s="161"/>
      <c r="CJ269" s="161">
        <f>SUM(CK269:CM269)</f>
      </c>
      <c r="CK269" s="161"/>
      <c r="CL269" s="161"/>
      <c r="CM269" s="161"/>
      <c r="CN269" s="161">
        <f>SUM(CO269:CS269)</f>
      </c>
      <c r="CO269" s="161"/>
      <c r="CP269" s="161"/>
      <c r="CQ269" s="161"/>
      <c r="CR269" s="161"/>
      <c r="CS269" s="161"/>
      <c r="CT269" s="161"/>
      <c r="CU269" s="161"/>
      <c r="CV269" s="161"/>
      <c r="CW269" s="161"/>
      <c r="CX269" s="161"/>
      <c r="CY269" s="161"/>
      <c r="CZ269" s="161"/>
      <c r="DA269" s="161"/>
      <c r="DB269" s="161"/>
      <c r="DC269" s="161"/>
      <c r="DD269" s="161"/>
      <c r="DE269" s="161"/>
      <c r="DF269" s="161">
        <f>SUM(DG269:DG269)</f>
      </c>
      <c r="DG269" s="161"/>
      <c r="DH269" s="161"/>
      <c r="DI269" s="161"/>
      <c r="DJ269" s="161">
        <f>SUM(DK269:DP269)</f>
      </c>
      <c r="DK269" s="161"/>
      <c r="DL269" s="161"/>
      <c r="DM269" s="161"/>
      <c r="DN269" s="161"/>
      <c r="DO269" s="161"/>
      <c r="DP269" s="161"/>
      <c r="DQ269" s="161"/>
      <c r="DR269" s="161"/>
      <c r="DS269" s="161"/>
      <c r="DT269" s="161"/>
      <c r="DU269" s="161"/>
      <c r="DV269" s="161"/>
      <c r="DW269" s="161"/>
      <c r="DX269" s="161"/>
      <c r="DY269" s="161"/>
      <c r="DZ269" s="161"/>
      <c r="EA269" s="161"/>
      <c r="EB269" s="161"/>
      <c r="EC269" s="161"/>
      <c r="ED269" s="161"/>
      <c r="EE269" s="161"/>
      <c r="EF269" s="161">
        <f>SUM(EG269:EP269)</f>
      </c>
      <c r="EG269" s="161"/>
      <c r="EH269" s="161"/>
      <c r="EI269" s="161"/>
      <c r="EJ269" s="161"/>
      <c r="EK269" s="161"/>
      <c r="EL269" s="161"/>
      <c r="EM269" s="161"/>
      <c r="EN269" s="161"/>
      <c r="EO269" s="161"/>
      <c r="EP269" s="161"/>
      <c r="EQ269" s="161">
        <f>SUM(ER269:ES269)</f>
      </c>
      <c r="ER269" s="161"/>
      <c r="ES269" s="161"/>
      <c r="ET269" s="161"/>
      <c r="EU269" s="161"/>
      <c r="EV269" s="161"/>
      <c r="EW269" s="161"/>
      <c r="EX269" s="161"/>
      <c r="EY269" s="161"/>
      <c r="EZ269" s="161"/>
      <c r="FA269" s="161"/>
      <c r="FB269" s="161"/>
      <c r="FC269" s="161"/>
      <c r="FD269" s="161"/>
      <c r="FE269" s="161"/>
      <c r="FF269" s="161"/>
      <c r="FG269" s="161"/>
      <c r="FH269" s="163" cm="1">
        <f t="array" ref="FH269">ROW()-ROW(Ongoing[#Headers])</f>
        <v>263</v>
      </c>
      <c r="FI269" s="164" t="s">
        <v>1243</v>
      </c>
      <c r="FJ269" s="164" t="s">
        <v>737</v>
      </c>
      <c r="FK269" s="164" t="s">
        <v>1244</v>
      </c>
      <c r="FL269" s="164" t="s">
        <v>789</v>
      </c>
      <c r="FM269" s="164" t="s">
        <v>790</v>
      </c>
      <c r="FN269" s="164" t="s">
        <v>1243</v>
      </c>
      <c r="FO269" s="164" t="s">
        <v>1246</v>
      </c>
      <c r="FP269" s="164" t="s">
        <v>850</v>
      </c>
    </row>
    <row r="270" spans="2:172" s="115" customFormat="1" ht="11.25" x14ac:dyDescent="0.2">
      <c r="B270" s="148"/>
      <c r="C270" s="148"/>
      <c r="D270" s="148"/>
      <c r="E270" s="148"/>
      <c r="F270" s="148"/>
      <c r="G270" s="148"/>
      <c r="H270" s="148"/>
      <c r="I270" s="148"/>
      <c r="J270" s="148"/>
      <c r="K270" s="148"/>
      <c r="L270" s="148"/>
      <c r="M270" s="160"/>
      <c r="N270" s="160"/>
      <c r="O270" s="148"/>
      <c r="P270" s="161">
        <f>SUM(Q270:AP270)</f>
      </c>
      <c r="Q270" s="161"/>
      <c r="R270" s="161"/>
      <c r="S270" s="161"/>
      <c r="T270" s="161"/>
      <c r="U270" s="161"/>
      <c r="V270" s="161"/>
      <c r="W270" s="161"/>
      <c r="X270" s="161"/>
      <c r="Y270" s="161"/>
      <c r="Z270" s="161"/>
      <c r="AA270" s="161"/>
      <c r="AB270" s="161"/>
      <c r="AC270" s="161"/>
      <c r="AD270" s="161"/>
      <c r="AE270" s="161"/>
      <c r="AF270" s="161"/>
      <c r="AG270" s="161"/>
      <c r="AH270" s="161"/>
      <c r="AI270" s="161"/>
      <c r="AJ270" s="161"/>
      <c r="AK270" s="161"/>
      <c r="AL270" s="161"/>
      <c r="AM270" s="161"/>
      <c r="AN270" s="161"/>
      <c r="AO270" s="161"/>
      <c r="AP270" s="161"/>
      <c r="AQ270" s="161">
        <f>SUM(AR270:AU270)</f>
      </c>
      <c r="AR270" s="161"/>
      <c r="AS270" s="161"/>
      <c r="AT270" s="161"/>
      <c r="AU270" s="161"/>
      <c r="AV270" s="161">
        <f>SUM(AW270:BH270)</f>
      </c>
      <c r="AW270" s="161"/>
      <c r="AX270" s="161"/>
      <c r="AY270" s="161"/>
      <c r="AZ270" s="161"/>
      <c r="BA270" s="161"/>
      <c r="BB270" s="161"/>
      <c r="BC270" s="161"/>
      <c r="BD270" s="161"/>
      <c r="BE270" s="161"/>
      <c r="BF270" s="161"/>
      <c r="BG270" s="161"/>
      <c r="BH270" s="161"/>
      <c r="BI270" s="161"/>
      <c r="BJ270" s="161"/>
      <c r="BK270" s="161"/>
      <c r="BL270" s="161"/>
      <c r="BM270" s="161"/>
      <c r="BN270" s="161"/>
      <c r="BO270" s="161"/>
      <c r="BP270" s="161"/>
      <c r="BQ270" s="161"/>
      <c r="BR270" s="161"/>
      <c r="BS270" s="161">
        <f>SUM(BT270:BV270)</f>
      </c>
      <c r="BT270" s="161"/>
      <c r="BU270" s="161"/>
      <c r="BV270" s="161"/>
      <c r="BW270" s="161">
        <f>SUM(BX270:CC270)</f>
      </c>
      <c r="BX270" s="161"/>
      <c r="BY270" s="161"/>
      <c r="BZ270" s="161"/>
      <c r="CA270" s="161"/>
      <c r="CB270" s="161"/>
      <c r="CC270" s="161"/>
      <c r="CD270" s="161"/>
      <c r="CE270" s="161"/>
      <c r="CF270" s="161"/>
      <c r="CG270" s="161"/>
      <c r="CH270" s="161"/>
      <c r="CI270" s="161"/>
      <c r="CJ270" s="161">
        <f>SUM(CK270:CM270)</f>
      </c>
      <c r="CK270" s="161"/>
      <c r="CL270" s="161"/>
      <c r="CM270" s="161"/>
      <c r="CN270" s="161">
        <f>SUM(CO270:CS270)</f>
      </c>
      <c r="CO270" s="161"/>
      <c r="CP270" s="161"/>
      <c r="CQ270" s="161"/>
      <c r="CR270" s="161"/>
      <c r="CS270" s="161"/>
      <c r="CT270" s="161"/>
      <c r="CU270" s="161"/>
      <c r="CV270" s="161"/>
      <c r="CW270" s="161"/>
      <c r="CX270" s="161"/>
      <c r="CY270" s="161"/>
      <c r="CZ270" s="161"/>
      <c r="DA270" s="161"/>
      <c r="DB270" s="161"/>
      <c r="DC270" s="161"/>
      <c r="DD270" s="161"/>
      <c r="DE270" s="161"/>
      <c r="DF270" s="161">
        <f>SUM(DG270:DG270)</f>
      </c>
      <c r="DG270" s="161"/>
      <c r="DH270" s="161"/>
      <c r="DI270" s="161"/>
      <c r="DJ270" s="161">
        <f>SUM(DK270:DP270)</f>
      </c>
      <c r="DK270" s="161"/>
      <c r="DL270" s="161"/>
      <c r="DM270" s="161"/>
      <c r="DN270" s="161"/>
      <c r="DO270" s="161"/>
      <c r="DP270" s="161"/>
      <c r="DQ270" s="161"/>
      <c r="DR270" s="161"/>
      <c r="DS270" s="161"/>
      <c r="DT270" s="161"/>
      <c r="DU270" s="161"/>
      <c r="DV270" s="161"/>
      <c r="DW270" s="161"/>
      <c r="DX270" s="161"/>
      <c r="DY270" s="161"/>
      <c r="DZ270" s="161"/>
      <c r="EA270" s="161"/>
      <c r="EB270" s="161"/>
      <c r="EC270" s="161"/>
      <c r="ED270" s="161"/>
      <c r="EE270" s="161"/>
      <c r="EF270" s="161">
        <f>SUM(EG270:EP270)</f>
      </c>
      <c r="EG270" s="161"/>
      <c r="EH270" s="161"/>
      <c r="EI270" s="161"/>
      <c r="EJ270" s="161"/>
      <c r="EK270" s="161"/>
      <c r="EL270" s="161"/>
      <c r="EM270" s="161"/>
      <c r="EN270" s="161"/>
      <c r="EO270" s="161"/>
      <c r="EP270" s="161"/>
      <c r="EQ270" s="161">
        <f>SUM(ER270:ES270)</f>
      </c>
      <c r="ER270" s="161"/>
      <c r="ES270" s="161"/>
      <c r="ET270" s="161"/>
      <c r="EU270" s="161"/>
      <c r="EV270" s="161"/>
      <c r="EW270" s="161"/>
      <c r="EX270" s="161"/>
      <c r="EY270" s="161"/>
      <c r="EZ270" s="161"/>
      <c r="FA270" s="161"/>
      <c r="FB270" s="161"/>
      <c r="FC270" s="161"/>
      <c r="FD270" s="161"/>
      <c r="FE270" s="161"/>
      <c r="FF270" s="161"/>
      <c r="FG270" s="161"/>
      <c r="FH270" s="163" cm="1">
        <f t="array" ref="FH270">ROW()-ROW(Ongoing[#Headers])</f>
        <v>264</v>
      </c>
      <c r="FI270" s="164"/>
      <c r="FJ270" s="164" t="s">
        <v>788</v>
      </c>
      <c r="FK270" s="164">
        <v>0</v>
      </c>
      <c r="FL270" s="164" t="s">
        <v>781</v>
      </c>
      <c r="FM270" s="164" t="s">
        <v>790</v>
      </c>
      <c r="FN270" s="164" t="s">
        <v>782</v>
      </c>
      <c r="FO270" s="164" t="s">
        <v>811</v>
      </c>
      <c r="FP270" s="164" t="s">
        <v>792</v>
      </c>
    </row>
    <row r="271" spans="2:172" s="115" customFormat="1" ht="11.25" x14ac:dyDescent="0.2">
      <c r="B271" s="148"/>
      <c r="C271" s="148"/>
      <c r="D271" s="148"/>
      <c r="E271" s="148"/>
      <c r="F271" s="148"/>
      <c r="G271" s="148"/>
      <c r="H271" s="148"/>
      <c r="I271" s="148"/>
      <c r="J271" s="148"/>
      <c r="K271" s="148"/>
      <c r="L271" s="148"/>
      <c r="M271" s="160"/>
      <c r="N271" s="160"/>
      <c r="O271" s="148"/>
      <c r="P271" s="161">
        <f>SUM(Q271:AP271)</f>
      </c>
      <c r="Q271" s="161"/>
      <c r="R271" s="161"/>
      <c r="S271" s="161"/>
      <c r="T271" s="161"/>
      <c r="U271" s="161"/>
      <c r="V271" s="161"/>
      <c r="W271" s="161"/>
      <c r="X271" s="161"/>
      <c r="Y271" s="161"/>
      <c r="Z271" s="161"/>
      <c r="AA271" s="161"/>
      <c r="AB271" s="161"/>
      <c r="AC271" s="161"/>
      <c r="AD271" s="161"/>
      <c r="AE271" s="161"/>
      <c r="AF271" s="161"/>
      <c r="AG271" s="161"/>
      <c r="AH271" s="161"/>
      <c r="AI271" s="161"/>
      <c r="AJ271" s="161"/>
      <c r="AK271" s="161"/>
      <c r="AL271" s="161"/>
      <c r="AM271" s="161"/>
      <c r="AN271" s="161"/>
      <c r="AO271" s="161"/>
      <c r="AP271" s="161"/>
      <c r="AQ271" s="161">
        <f>SUM(AR271:AU271)</f>
      </c>
      <c r="AR271" s="161"/>
      <c r="AS271" s="161"/>
      <c r="AT271" s="161"/>
      <c r="AU271" s="161"/>
      <c r="AV271" s="161">
        <f>SUM(AW271:BH271)</f>
      </c>
      <c r="AW271" s="161"/>
      <c r="AX271" s="161"/>
      <c r="AY271" s="161"/>
      <c r="AZ271" s="161"/>
      <c r="BA271" s="161"/>
      <c r="BB271" s="161"/>
      <c r="BC271" s="161"/>
      <c r="BD271" s="161"/>
      <c r="BE271" s="161"/>
      <c r="BF271" s="161"/>
      <c r="BG271" s="161"/>
      <c r="BH271" s="161"/>
      <c r="BI271" s="161"/>
      <c r="BJ271" s="161"/>
      <c r="BK271" s="161"/>
      <c r="BL271" s="161"/>
      <c r="BM271" s="161"/>
      <c r="BN271" s="161"/>
      <c r="BO271" s="161"/>
      <c r="BP271" s="161"/>
      <c r="BQ271" s="161"/>
      <c r="BR271" s="161"/>
      <c r="BS271" s="161">
        <f>SUM(BT271:BV271)</f>
      </c>
      <c r="BT271" s="161"/>
      <c r="BU271" s="161"/>
      <c r="BV271" s="161"/>
      <c r="BW271" s="161">
        <f>SUM(BX271:CC271)</f>
      </c>
      <c r="BX271" s="161"/>
      <c r="BY271" s="161"/>
      <c r="BZ271" s="161"/>
      <c r="CA271" s="161"/>
      <c r="CB271" s="161"/>
      <c r="CC271" s="161"/>
      <c r="CD271" s="161"/>
      <c r="CE271" s="161"/>
      <c r="CF271" s="161"/>
      <c r="CG271" s="161"/>
      <c r="CH271" s="161"/>
      <c r="CI271" s="161"/>
      <c r="CJ271" s="161">
        <f>SUM(CK271:CM271)</f>
      </c>
      <c r="CK271" s="161"/>
      <c r="CL271" s="161"/>
      <c r="CM271" s="161"/>
      <c r="CN271" s="161">
        <f>SUM(CO271:CS271)</f>
      </c>
      <c r="CO271" s="161"/>
      <c r="CP271" s="161"/>
      <c r="CQ271" s="161"/>
      <c r="CR271" s="161"/>
      <c r="CS271" s="161"/>
      <c r="CT271" s="161"/>
      <c r="CU271" s="161"/>
      <c r="CV271" s="161"/>
      <c r="CW271" s="161"/>
      <c r="CX271" s="161"/>
      <c r="CY271" s="161"/>
      <c r="CZ271" s="161"/>
      <c r="DA271" s="161"/>
      <c r="DB271" s="161"/>
      <c r="DC271" s="161"/>
      <c r="DD271" s="161"/>
      <c r="DE271" s="161"/>
      <c r="DF271" s="161">
        <f>SUM(DG271:DG271)</f>
      </c>
      <c r="DG271" s="161"/>
      <c r="DH271" s="161"/>
      <c r="DI271" s="161"/>
      <c r="DJ271" s="161">
        <f>SUM(DK271:DP271)</f>
      </c>
      <c r="DK271" s="161"/>
      <c r="DL271" s="161"/>
      <c r="DM271" s="161"/>
      <c r="DN271" s="161"/>
      <c r="DO271" s="161"/>
      <c r="DP271" s="161"/>
      <c r="DQ271" s="161"/>
      <c r="DR271" s="161"/>
      <c r="DS271" s="161"/>
      <c r="DT271" s="161"/>
      <c r="DU271" s="161"/>
      <c r="DV271" s="161"/>
      <c r="DW271" s="161"/>
      <c r="DX271" s="161"/>
      <c r="DY271" s="161"/>
      <c r="DZ271" s="161"/>
      <c r="EA271" s="161"/>
      <c r="EB271" s="161"/>
      <c r="EC271" s="161"/>
      <c r="ED271" s="161"/>
      <c r="EE271" s="161"/>
      <c r="EF271" s="161">
        <f>SUM(EG271:EP271)</f>
      </c>
      <c r="EG271" s="161"/>
      <c r="EH271" s="161"/>
      <c r="EI271" s="161"/>
      <c r="EJ271" s="161"/>
      <c r="EK271" s="161"/>
      <c r="EL271" s="161"/>
      <c r="EM271" s="161"/>
      <c r="EN271" s="161"/>
      <c r="EO271" s="161"/>
      <c r="EP271" s="161"/>
      <c r="EQ271" s="161">
        <f>SUM(ER271:ES271)</f>
      </c>
      <c r="ER271" s="161"/>
      <c r="ES271" s="161"/>
      <c r="ET271" s="161"/>
      <c r="EU271" s="161"/>
      <c r="EV271" s="161"/>
      <c r="EW271" s="161"/>
      <c r="EX271" s="161"/>
      <c r="EY271" s="161"/>
      <c r="EZ271" s="161"/>
      <c r="FA271" s="161"/>
      <c r="FB271" s="161"/>
      <c r="FC271" s="161"/>
      <c r="FD271" s="161"/>
      <c r="FE271" s="161"/>
      <c r="FF271" s="161"/>
      <c r="FG271" s="161"/>
      <c r="FH271" s="163" cm="1">
        <f t="array" ref="FH271">ROW()-ROW(Ongoing[#Headers])</f>
        <v>265</v>
      </c>
      <c r="FI271" s="164" t="s">
        <v>1243</v>
      </c>
      <c r="FJ271" s="164" t="s">
        <v>737</v>
      </c>
      <c r="FK271" s="164" t="s">
        <v>1244</v>
      </c>
      <c r="FL271" s="164" t="s">
        <v>1245</v>
      </c>
      <c r="FM271" s="164">
        <v>0</v>
      </c>
      <c r="FN271" s="164" t="s">
        <v>1243</v>
      </c>
      <c r="FO271" s="164" t="s">
        <v>1246</v>
      </c>
      <c r="FP271" s="164" t="s">
        <v>909</v>
      </c>
    </row>
    <row r="272" spans="2:172" s="115" customFormat="1" ht="11.25" x14ac:dyDescent="0.2">
      <c r="B272" s="148"/>
      <c r="C272" s="148"/>
      <c r="D272" s="148"/>
      <c r="E272" s="148"/>
      <c r="F272" s="148"/>
      <c r="G272" s="148"/>
      <c r="H272" s="148"/>
      <c r="I272" s="148"/>
      <c r="J272" s="148"/>
      <c r="K272" s="148"/>
      <c r="L272" s="148"/>
      <c r="M272" s="160"/>
      <c r="N272" s="160"/>
      <c r="O272" s="148"/>
      <c r="P272" s="161">
        <f>SUM(Q272:AP272)</f>
      </c>
      <c r="Q272" s="161"/>
      <c r="R272" s="161"/>
      <c r="S272" s="161"/>
      <c r="T272" s="161"/>
      <c r="U272" s="161"/>
      <c r="V272" s="161"/>
      <c r="W272" s="161"/>
      <c r="X272" s="161"/>
      <c r="Y272" s="161"/>
      <c r="Z272" s="161"/>
      <c r="AA272" s="161"/>
      <c r="AB272" s="161"/>
      <c r="AC272" s="161"/>
      <c r="AD272" s="161"/>
      <c r="AE272" s="161"/>
      <c r="AF272" s="161"/>
      <c r="AG272" s="161"/>
      <c r="AH272" s="161"/>
      <c r="AI272" s="161"/>
      <c r="AJ272" s="161"/>
      <c r="AK272" s="161"/>
      <c r="AL272" s="161"/>
      <c r="AM272" s="161"/>
      <c r="AN272" s="161"/>
      <c r="AO272" s="161"/>
      <c r="AP272" s="161"/>
      <c r="AQ272" s="161">
        <f>SUM(AR272:AU272)</f>
      </c>
      <c r="AR272" s="161"/>
      <c r="AS272" s="161"/>
      <c r="AT272" s="161"/>
      <c r="AU272" s="161"/>
      <c r="AV272" s="161">
        <f>SUM(AW272:BH272)</f>
      </c>
      <c r="AW272" s="161"/>
      <c r="AX272" s="161"/>
      <c r="AY272" s="161"/>
      <c r="AZ272" s="161"/>
      <c r="BA272" s="161"/>
      <c r="BB272" s="161"/>
      <c r="BC272" s="161"/>
      <c r="BD272" s="161"/>
      <c r="BE272" s="161"/>
      <c r="BF272" s="161"/>
      <c r="BG272" s="161"/>
      <c r="BH272" s="161"/>
      <c r="BI272" s="161"/>
      <c r="BJ272" s="161"/>
      <c r="BK272" s="161"/>
      <c r="BL272" s="161"/>
      <c r="BM272" s="161"/>
      <c r="BN272" s="161"/>
      <c r="BO272" s="161"/>
      <c r="BP272" s="161"/>
      <c r="BQ272" s="161"/>
      <c r="BR272" s="161"/>
      <c r="BS272" s="161">
        <f>SUM(BT272:BV272)</f>
      </c>
      <c r="BT272" s="161"/>
      <c r="BU272" s="161"/>
      <c r="BV272" s="161"/>
      <c r="BW272" s="161">
        <f>SUM(BX272:CC272)</f>
      </c>
      <c r="BX272" s="161"/>
      <c r="BY272" s="161"/>
      <c r="BZ272" s="161"/>
      <c r="CA272" s="161"/>
      <c r="CB272" s="161"/>
      <c r="CC272" s="161"/>
      <c r="CD272" s="161"/>
      <c r="CE272" s="161"/>
      <c r="CF272" s="161"/>
      <c r="CG272" s="161"/>
      <c r="CH272" s="161"/>
      <c r="CI272" s="161"/>
      <c r="CJ272" s="161">
        <f>SUM(CK272:CM272)</f>
      </c>
      <c r="CK272" s="161"/>
      <c r="CL272" s="161"/>
      <c r="CM272" s="161"/>
      <c r="CN272" s="161">
        <f>SUM(CO272:CS272)</f>
      </c>
      <c r="CO272" s="161"/>
      <c r="CP272" s="161"/>
      <c r="CQ272" s="161"/>
      <c r="CR272" s="161"/>
      <c r="CS272" s="161"/>
      <c r="CT272" s="161"/>
      <c r="CU272" s="161"/>
      <c r="CV272" s="161"/>
      <c r="CW272" s="161"/>
      <c r="CX272" s="161"/>
      <c r="CY272" s="161"/>
      <c r="CZ272" s="161"/>
      <c r="DA272" s="161"/>
      <c r="DB272" s="161"/>
      <c r="DC272" s="161"/>
      <c r="DD272" s="161"/>
      <c r="DE272" s="161"/>
      <c r="DF272" s="161">
        <f>SUM(DG272:DG272)</f>
      </c>
      <c r="DG272" s="161"/>
      <c r="DH272" s="161"/>
      <c r="DI272" s="161"/>
      <c r="DJ272" s="161">
        <f>SUM(DK272:DP272)</f>
      </c>
      <c r="DK272" s="161"/>
      <c r="DL272" s="161"/>
      <c r="DM272" s="161"/>
      <c r="DN272" s="161"/>
      <c r="DO272" s="161"/>
      <c r="DP272" s="161"/>
      <c r="DQ272" s="161"/>
      <c r="DR272" s="161"/>
      <c r="DS272" s="161"/>
      <c r="DT272" s="161"/>
      <c r="DU272" s="161"/>
      <c r="DV272" s="161"/>
      <c r="DW272" s="161"/>
      <c r="DX272" s="161"/>
      <c r="DY272" s="161"/>
      <c r="DZ272" s="161"/>
      <c r="EA272" s="161"/>
      <c r="EB272" s="161"/>
      <c r="EC272" s="161"/>
      <c r="ED272" s="161"/>
      <c r="EE272" s="161"/>
      <c r="EF272" s="161">
        <f>SUM(EG272:EP272)</f>
      </c>
      <c r="EG272" s="161"/>
      <c r="EH272" s="161"/>
      <c r="EI272" s="161"/>
      <c r="EJ272" s="161"/>
      <c r="EK272" s="161"/>
      <c r="EL272" s="161"/>
      <c r="EM272" s="161"/>
      <c r="EN272" s="161"/>
      <c r="EO272" s="161"/>
      <c r="EP272" s="161"/>
      <c r="EQ272" s="161">
        <f>SUM(ER272:ES272)</f>
      </c>
      <c r="ER272" s="161"/>
      <c r="ES272" s="161"/>
      <c r="ET272" s="161"/>
      <c r="EU272" s="161"/>
      <c r="EV272" s="161"/>
      <c r="EW272" s="161"/>
      <c r="EX272" s="161"/>
      <c r="EY272" s="161"/>
      <c r="EZ272" s="161"/>
      <c r="FA272" s="161"/>
      <c r="FB272" s="161"/>
      <c r="FC272" s="161"/>
      <c r="FD272" s="161"/>
      <c r="FE272" s="161"/>
      <c r="FF272" s="161"/>
      <c r="FG272" s="161"/>
      <c r="FH272" s="163" cm="1">
        <f t="array" ref="FH272">ROW()-ROW(Ongoing[#Headers])</f>
        <v>266</v>
      </c>
      <c r="FI272" s="164"/>
      <c r="FJ272" s="164"/>
      <c r="FK272" s="164"/>
      <c r="FL272" s="164"/>
      <c r="FM272" s="164"/>
      <c r="FN272" s="164"/>
      <c r="FO272" s="164"/>
      <c r="FP272" s="164"/>
    </row>
    <row r="273" spans="2:172" s="115" customFormat="1" ht="11.25" x14ac:dyDescent="0.2">
      <c r="B273" s="148"/>
      <c r="C273" s="148"/>
      <c r="D273" s="148"/>
      <c r="E273" s="148"/>
      <c r="F273" s="148"/>
      <c r="G273" s="148"/>
      <c r="H273" s="148"/>
      <c r="I273" s="148"/>
      <c r="J273" s="148"/>
      <c r="K273" s="148"/>
      <c r="L273" s="148"/>
      <c r="M273" s="160"/>
      <c r="N273" s="160"/>
      <c r="O273" s="148"/>
      <c r="P273" s="161">
        <f>SUM(Q273:AP273)</f>
      </c>
      <c r="Q273" s="161"/>
      <c r="R273" s="161"/>
      <c r="S273" s="161"/>
      <c r="T273" s="161"/>
      <c r="U273" s="161"/>
      <c r="V273" s="161"/>
      <c r="W273" s="161"/>
      <c r="X273" s="161"/>
      <c r="Y273" s="161"/>
      <c r="Z273" s="161"/>
      <c r="AA273" s="161"/>
      <c r="AB273" s="161"/>
      <c r="AC273" s="161"/>
      <c r="AD273" s="161"/>
      <c r="AE273" s="161"/>
      <c r="AF273" s="161"/>
      <c r="AG273" s="161"/>
      <c r="AH273" s="161"/>
      <c r="AI273" s="161"/>
      <c r="AJ273" s="161"/>
      <c r="AK273" s="161"/>
      <c r="AL273" s="161"/>
      <c r="AM273" s="161"/>
      <c r="AN273" s="161"/>
      <c r="AO273" s="161"/>
      <c r="AP273" s="161"/>
      <c r="AQ273" s="161">
        <f>SUM(AR273:AU273)</f>
      </c>
      <c r="AR273" s="161"/>
      <c r="AS273" s="161"/>
      <c r="AT273" s="161"/>
      <c r="AU273" s="161"/>
      <c r="AV273" s="161">
        <f>SUM(AW273:BH273)</f>
      </c>
      <c r="AW273" s="161"/>
      <c r="AX273" s="161"/>
      <c r="AY273" s="161"/>
      <c r="AZ273" s="161"/>
      <c r="BA273" s="161"/>
      <c r="BB273" s="161"/>
      <c r="BC273" s="161"/>
      <c r="BD273" s="161"/>
      <c r="BE273" s="161"/>
      <c r="BF273" s="161"/>
      <c r="BG273" s="161"/>
      <c r="BH273" s="161"/>
      <c r="BI273" s="161"/>
      <c r="BJ273" s="161"/>
      <c r="BK273" s="161"/>
      <c r="BL273" s="161"/>
      <c r="BM273" s="161"/>
      <c r="BN273" s="161"/>
      <c r="BO273" s="161"/>
      <c r="BP273" s="161"/>
      <c r="BQ273" s="161"/>
      <c r="BR273" s="161"/>
      <c r="BS273" s="161">
        <f>SUM(BT273:BV273)</f>
      </c>
      <c r="BT273" s="161"/>
      <c r="BU273" s="161"/>
      <c r="BV273" s="161"/>
      <c r="BW273" s="161">
        <f>SUM(BX273:CC273)</f>
      </c>
      <c r="BX273" s="161"/>
      <c r="BY273" s="161"/>
      <c r="BZ273" s="161"/>
      <c r="CA273" s="161"/>
      <c r="CB273" s="161"/>
      <c r="CC273" s="161"/>
      <c r="CD273" s="161"/>
      <c r="CE273" s="161"/>
      <c r="CF273" s="161"/>
      <c r="CG273" s="161"/>
      <c r="CH273" s="161"/>
      <c r="CI273" s="161"/>
      <c r="CJ273" s="161">
        <f>SUM(CK273:CM273)</f>
      </c>
      <c r="CK273" s="161"/>
      <c r="CL273" s="161"/>
      <c r="CM273" s="161"/>
      <c r="CN273" s="161">
        <f>SUM(CO273:CS273)</f>
      </c>
      <c r="CO273" s="161"/>
      <c r="CP273" s="161"/>
      <c r="CQ273" s="161"/>
      <c r="CR273" s="161"/>
      <c r="CS273" s="161"/>
      <c r="CT273" s="161"/>
      <c r="CU273" s="161"/>
      <c r="CV273" s="161"/>
      <c r="CW273" s="161"/>
      <c r="CX273" s="161"/>
      <c r="CY273" s="161"/>
      <c r="CZ273" s="161"/>
      <c r="DA273" s="161"/>
      <c r="DB273" s="161"/>
      <c r="DC273" s="161"/>
      <c r="DD273" s="161"/>
      <c r="DE273" s="161"/>
      <c r="DF273" s="161">
        <f>SUM(DG273:DG273)</f>
      </c>
      <c r="DG273" s="161"/>
      <c r="DH273" s="161"/>
      <c r="DI273" s="161"/>
      <c r="DJ273" s="161">
        <f>SUM(DK273:DP273)</f>
      </c>
      <c r="DK273" s="161"/>
      <c r="DL273" s="161"/>
      <c r="DM273" s="161"/>
      <c r="DN273" s="161"/>
      <c r="DO273" s="161"/>
      <c r="DP273" s="161"/>
      <c r="DQ273" s="161"/>
      <c r="DR273" s="161"/>
      <c r="DS273" s="161"/>
      <c r="DT273" s="161"/>
      <c r="DU273" s="161"/>
      <c r="DV273" s="161"/>
      <c r="DW273" s="161"/>
      <c r="DX273" s="161"/>
      <c r="DY273" s="161"/>
      <c r="DZ273" s="161"/>
      <c r="EA273" s="161"/>
      <c r="EB273" s="161"/>
      <c r="EC273" s="161"/>
      <c r="ED273" s="161"/>
      <c r="EE273" s="161"/>
      <c r="EF273" s="161">
        <f>SUM(EG273:EP273)</f>
      </c>
      <c r="EG273" s="161"/>
      <c r="EH273" s="161"/>
      <c r="EI273" s="161"/>
      <c r="EJ273" s="161"/>
      <c r="EK273" s="161"/>
      <c r="EL273" s="161"/>
      <c r="EM273" s="161"/>
      <c r="EN273" s="161"/>
      <c r="EO273" s="161"/>
      <c r="EP273" s="161"/>
      <c r="EQ273" s="161">
        <f>SUM(ER273:ES273)</f>
      </c>
      <c r="ER273" s="161"/>
      <c r="ES273" s="161"/>
      <c r="ET273" s="161"/>
      <c r="EU273" s="161"/>
      <c r="EV273" s="161"/>
      <c r="EW273" s="161"/>
      <c r="EX273" s="161"/>
      <c r="EY273" s="161"/>
      <c r="EZ273" s="161"/>
      <c r="FA273" s="161"/>
      <c r="FB273" s="161"/>
      <c r="FC273" s="161"/>
      <c r="FD273" s="161"/>
      <c r="FE273" s="161"/>
      <c r="FF273" s="161"/>
      <c r="FG273" s="161"/>
      <c r="FH273" s="163" cm="1">
        <f t="array" ref="FH273">ROW()-ROW(Ongoing[#Headers])</f>
        <v>267</v>
      </c>
      <c r="FI273" s="164" t="e">
        <v>#N/A</v>
      </c>
      <c r="FJ273" s="164" t="s">
        <v>788</v>
      </c>
      <c r="FK273" s="164" t="e">
        <v>#N/A</v>
      </c>
      <c r="FL273" s="164" t="e">
        <v>#N/A</v>
      </c>
      <c r="FM273" s="164" t="e">
        <v>#N/A</v>
      </c>
      <c r="FN273" s="164" t="e">
        <v>#N/A</v>
      </c>
      <c r="FO273" s="164" t="e">
        <v>#N/A</v>
      </c>
      <c r="FP273" s="164" t="e">
        <v>#N/A</v>
      </c>
    </row>
    <row r="274" spans="2:172" s="115" customFormat="1" ht="11.25" x14ac:dyDescent="0.2">
      <c r="B274" s="148"/>
      <c r="C274" s="148"/>
      <c r="D274" s="148"/>
      <c r="E274" s="148"/>
      <c r="F274" s="148"/>
      <c r="G274" s="148"/>
      <c r="H274" s="148"/>
      <c r="I274" s="148"/>
      <c r="J274" s="148"/>
      <c r="K274" s="148"/>
      <c r="L274" s="148"/>
      <c r="M274" s="160"/>
      <c r="N274" s="160"/>
      <c r="O274" s="148"/>
      <c r="P274" s="161">
        <f>SUM(Q274:AP274)</f>
      </c>
      <c r="Q274" s="161"/>
      <c r="R274" s="161"/>
      <c r="S274" s="161"/>
      <c r="T274" s="161"/>
      <c r="U274" s="161"/>
      <c r="V274" s="161"/>
      <c r="W274" s="161"/>
      <c r="X274" s="161"/>
      <c r="Y274" s="161"/>
      <c r="Z274" s="161"/>
      <c r="AA274" s="161"/>
      <c r="AB274" s="161"/>
      <c r="AC274" s="161"/>
      <c r="AD274" s="161"/>
      <c r="AE274" s="161"/>
      <c r="AF274" s="161"/>
      <c r="AG274" s="161"/>
      <c r="AH274" s="161"/>
      <c r="AI274" s="161"/>
      <c r="AJ274" s="161"/>
      <c r="AK274" s="161"/>
      <c r="AL274" s="161"/>
      <c r="AM274" s="161"/>
      <c r="AN274" s="161"/>
      <c r="AO274" s="161"/>
      <c r="AP274" s="161"/>
      <c r="AQ274" s="161">
        <f>SUM(AR274:AU274)</f>
      </c>
      <c r="AR274" s="161"/>
      <c r="AS274" s="161"/>
      <c r="AT274" s="161"/>
      <c r="AU274" s="161"/>
      <c r="AV274" s="161">
        <f>SUM(AW274:BH274)</f>
      </c>
      <c r="AW274" s="161"/>
      <c r="AX274" s="161"/>
      <c r="AY274" s="161"/>
      <c r="AZ274" s="161"/>
      <c r="BA274" s="161"/>
      <c r="BB274" s="161"/>
      <c r="BC274" s="161"/>
      <c r="BD274" s="161"/>
      <c r="BE274" s="161"/>
      <c r="BF274" s="161"/>
      <c r="BG274" s="161"/>
      <c r="BH274" s="161"/>
      <c r="BI274" s="161"/>
      <c r="BJ274" s="161"/>
      <c r="BK274" s="161"/>
      <c r="BL274" s="161"/>
      <c r="BM274" s="161"/>
      <c r="BN274" s="161"/>
      <c r="BO274" s="161"/>
      <c r="BP274" s="161"/>
      <c r="BQ274" s="161"/>
      <c r="BR274" s="161"/>
      <c r="BS274" s="161">
        <f>SUM(BT274:BV274)</f>
      </c>
      <c r="BT274" s="161"/>
      <c r="BU274" s="161"/>
      <c r="BV274" s="161"/>
      <c r="BW274" s="161">
        <f>SUM(BX274:CC274)</f>
      </c>
      <c r="BX274" s="161"/>
      <c r="BY274" s="161"/>
      <c r="BZ274" s="161"/>
      <c r="CA274" s="161"/>
      <c r="CB274" s="161"/>
      <c r="CC274" s="161"/>
      <c r="CD274" s="161"/>
      <c r="CE274" s="161"/>
      <c r="CF274" s="161"/>
      <c r="CG274" s="161"/>
      <c r="CH274" s="161"/>
      <c r="CI274" s="161"/>
      <c r="CJ274" s="161">
        <f>SUM(CK274:CM274)</f>
      </c>
      <c r="CK274" s="161"/>
      <c r="CL274" s="161"/>
      <c r="CM274" s="161"/>
      <c r="CN274" s="161">
        <f>SUM(CO274:CS274)</f>
      </c>
      <c r="CO274" s="161"/>
      <c r="CP274" s="161"/>
      <c r="CQ274" s="161"/>
      <c r="CR274" s="161"/>
      <c r="CS274" s="161"/>
      <c r="CT274" s="161"/>
      <c r="CU274" s="161"/>
      <c r="CV274" s="161"/>
      <c r="CW274" s="161"/>
      <c r="CX274" s="161"/>
      <c r="CY274" s="161"/>
      <c r="CZ274" s="161"/>
      <c r="DA274" s="161"/>
      <c r="DB274" s="161"/>
      <c r="DC274" s="161"/>
      <c r="DD274" s="161"/>
      <c r="DE274" s="161"/>
      <c r="DF274" s="161">
        <f>SUM(DG274:DG274)</f>
      </c>
      <c r="DG274" s="161"/>
      <c r="DH274" s="161"/>
      <c r="DI274" s="161"/>
      <c r="DJ274" s="161">
        <f>SUM(DK274:DP274)</f>
      </c>
      <c r="DK274" s="161"/>
      <c r="DL274" s="161"/>
      <c r="DM274" s="161"/>
      <c r="DN274" s="161"/>
      <c r="DO274" s="161"/>
      <c r="DP274" s="161"/>
      <c r="DQ274" s="161"/>
      <c r="DR274" s="161"/>
      <c r="DS274" s="161"/>
      <c r="DT274" s="161"/>
      <c r="DU274" s="161"/>
      <c r="DV274" s="161"/>
      <c r="DW274" s="161"/>
      <c r="DX274" s="161"/>
      <c r="DY274" s="161"/>
      <c r="DZ274" s="161"/>
      <c r="EA274" s="161"/>
      <c r="EB274" s="161"/>
      <c r="EC274" s="161"/>
      <c r="ED274" s="161"/>
      <c r="EE274" s="161"/>
      <c r="EF274" s="161">
        <f>SUM(EG274:EP274)</f>
      </c>
      <c r="EG274" s="161"/>
      <c r="EH274" s="161"/>
      <c r="EI274" s="161"/>
      <c r="EJ274" s="161"/>
      <c r="EK274" s="161"/>
      <c r="EL274" s="161"/>
      <c r="EM274" s="161"/>
      <c r="EN274" s="161"/>
      <c r="EO274" s="161"/>
      <c r="EP274" s="161"/>
      <c r="EQ274" s="161">
        <f>SUM(ER274:ES274)</f>
      </c>
      <c r="ER274" s="161"/>
      <c r="ES274" s="161"/>
      <c r="ET274" s="161"/>
      <c r="EU274" s="161"/>
      <c r="EV274" s="161"/>
      <c r="EW274" s="161"/>
      <c r="EX274" s="161"/>
      <c r="EY274" s="161"/>
      <c r="EZ274" s="161"/>
      <c r="FA274" s="161"/>
      <c r="FB274" s="161"/>
      <c r="FC274" s="161"/>
      <c r="FD274" s="161"/>
      <c r="FE274" s="161"/>
      <c r="FF274" s="161"/>
      <c r="FG274" s="161"/>
      <c r="FH274" s="163" cm="1">
        <f t="array" ref="FH274">ROW()-ROW(Ongoing[#Headers])</f>
        <v>268</v>
      </c>
      <c r="FI274" s="164" t="e">
        <v>#N/A</v>
      </c>
      <c r="FJ274" s="164" t="s">
        <v>788</v>
      </c>
      <c r="FK274" s="164" t="e">
        <v>#N/A</v>
      </c>
      <c r="FL274" s="164" t="e">
        <v>#N/A</v>
      </c>
      <c r="FM274" s="164" t="e">
        <v>#N/A</v>
      </c>
      <c r="FN274" s="164" t="e">
        <v>#N/A</v>
      </c>
      <c r="FO274" s="164" t="e">
        <v>#N/A</v>
      </c>
      <c r="FP274" s="164" t="e">
        <v>#N/A</v>
      </c>
    </row>
    <row r="275" spans="2:172" s="115" customFormat="1" ht="11.25" x14ac:dyDescent="0.2">
      <c r="B275" s="148"/>
      <c r="C275" s="148"/>
      <c r="D275" s="148"/>
      <c r="E275" s="148"/>
      <c r="F275" s="148"/>
      <c r="G275" s="148"/>
      <c r="H275" s="148"/>
      <c r="I275" s="148"/>
      <c r="J275" s="148"/>
      <c r="K275" s="148"/>
      <c r="L275" s="148"/>
      <c r="M275" s="160"/>
      <c r="N275" s="160"/>
      <c r="O275" s="148"/>
      <c r="P275" s="161">
        <f>SUM(Q275:AP275)</f>
      </c>
      <c r="Q275" s="161"/>
      <c r="R275" s="161"/>
      <c r="S275" s="161"/>
      <c r="T275" s="161"/>
      <c r="U275" s="161"/>
      <c r="V275" s="161"/>
      <c r="W275" s="161"/>
      <c r="X275" s="161"/>
      <c r="Y275" s="161"/>
      <c r="Z275" s="161"/>
      <c r="AA275" s="161"/>
      <c r="AB275" s="161"/>
      <c r="AC275" s="161"/>
      <c r="AD275" s="161"/>
      <c r="AE275" s="161"/>
      <c r="AF275" s="161"/>
      <c r="AG275" s="161"/>
      <c r="AH275" s="161"/>
      <c r="AI275" s="161"/>
      <c r="AJ275" s="161"/>
      <c r="AK275" s="161"/>
      <c r="AL275" s="161"/>
      <c r="AM275" s="161"/>
      <c r="AN275" s="161"/>
      <c r="AO275" s="161"/>
      <c r="AP275" s="161"/>
      <c r="AQ275" s="161">
        <f>SUM(AR275:AU275)</f>
      </c>
      <c r="AR275" s="161"/>
      <c r="AS275" s="161"/>
      <c r="AT275" s="161"/>
      <c r="AU275" s="161"/>
      <c r="AV275" s="161">
        <f>SUM(AW275:BH275)</f>
      </c>
      <c r="AW275" s="161"/>
      <c r="AX275" s="161"/>
      <c r="AY275" s="161"/>
      <c r="AZ275" s="161"/>
      <c r="BA275" s="161"/>
      <c r="BB275" s="161"/>
      <c r="BC275" s="161"/>
      <c r="BD275" s="161"/>
      <c r="BE275" s="161"/>
      <c r="BF275" s="161"/>
      <c r="BG275" s="161"/>
      <c r="BH275" s="161"/>
      <c r="BI275" s="161"/>
      <c r="BJ275" s="161"/>
      <c r="BK275" s="161"/>
      <c r="BL275" s="161"/>
      <c r="BM275" s="161"/>
      <c r="BN275" s="161"/>
      <c r="BO275" s="161"/>
      <c r="BP275" s="161"/>
      <c r="BQ275" s="161"/>
      <c r="BR275" s="161"/>
      <c r="BS275" s="161">
        <f>SUM(BT275:BV275)</f>
      </c>
      <c r="BT275" s="161"/>
      <c r="BU275" s="161"/>
      <c r="BV275" s="161"/>
      <c r="BW275" s="161">
        <f>SUM(BX275:CC275)</f>
      </c>
      <c r="BX275" s="161"/>
      <c r="BY275" s="161"/>
      <c r="BZ275" s="161"/>
      <c r="CA275" s="161"/>
      <c r="CB275" s="161"/>
      <c r="CC275" s="161"/>
      <c r="CD275" s="161"/>
      <c r="CE275" s="161"/>
      <c r="CF275" s="161"/>
      <c r="CG275" s="161"/>
      <c r="CH275" s="161"/>
      <c r="CI275" s="161"/>
      <c r="CJ275" s="161">
        <f>SUM(CK275:CM275)</f>
      </c>
      <c r="CK275" s="161"/>
      <c r="CL275" s="161"/>
      <c r="CM275" s="161"/>
      <c r="CN275" s="161">
        <f>SUM(CO275:CS275)</f>
      </c>
      <c r="CO275" s="161"/>
      <c r="CP275" s="161"/>
      <c r="CQ275" s="161"/>
      <c r="CR275" s="161"/>
      <c r="CS275" s="161"/>
      <c r="CT275" s="161"/>
      <c r="CU275" s="161"/>
      <c r="CV275" s="161"/>
      <c r="CW275" s="161"/>
      <c r="CX275" s="161"/>
      <c r="CY275" s="161"/>
      <c r="CZ275" s="161"/>
      <c r="DA275" s="161"/>
      <c r="DB275" s="161"/>
      <c r="DC275" s="161"/>
      <c r="DD275" s="161"/>
      <c r="DE275" s="161"/>
      <c r="DF275" s="161">
        <f>SUM(DG275:DG275)</f>
      </c>
      <c r="DG275" s="161"/>
      <c r="DH275" s="161"/>
      <c r="DI275" s="161"/>
      <c r="DJ275" s="161">
        <f>SUM(DK275:DP275)</f>
      </c>
      <c r="DK275" s="161"/>
      <c r="DL275" s="161"/>
      <c r="DM275" s="161"/>
      <c r="DN275" s="161"/>
      <c r="DO275" s="161"/>
      <c r="DP275" s="161"/>
      <c r="DQ275" s="161"/>
      <c r="DR275" s="161"/>
      <c r="DS275" s="161"/>
      <c r="DT275" s="161"/>
      <c r="DU275" s="161"/>
      <c r="DV275" s="161"/>
      <c r="DW275" s="161"/>
      <c r="DX275" s="161"/>
      <c r="DY275" s="161"/>
      <c r="DZ275" s="161"/>
      <c r="EA275" s="161"/>
      <c r="EB275" s="161"/>
      <c r="EC275" s="161"/>
      <c r="ED275" s="161"/>
      <c r="EE275" s="161"/>
      <c r="EF275" s="161">
        <f>SUM(EG275:EP275)</f>
      </c>
      <c r="EG275" s="161"/>
      <c r="EH275" s="161"/>
      <c r="EI275" s="161"/>
      <c r="EJ275" s="161"/>
      <c r="EK275" s="161"/>
      <c r="EL275" s="161"/>
      <c r="EM275" s="161"/>
      <c r="EN275" s="161"/>
      <c r="EO275" s="161"/>
      <c r="EP275" s="161"/>
      <c r="EQ275" s="161">
        <f>SUM(ER275:ES275)</f>
      </c>
      <c r="ER275" s="161"/>
      <c r="ES275" s="161"/>
      <c r="ET275" s="161"/>
      <c r="EU275" s="161"/>
      <c r="EV275" s="161"/>
      <c r="EW275" s="161"/>
      <c r="EX275" s="161"/>
      <c r="EY275" s="161"/>
      <c r="EZ275" s="161"/>
      <c r="FA275" s="161"/>
      <c r="FB275" s="161"/>
      <c r="FC275" s="161"/>
      <c r="FD275" s="161"/>
      <c r="FE275" s="161"/>
      <c r="FF275" s="161"/>
      <c r="FG275" s="161"/>
      <c r="FH275" s="163" cm="1">
        <f t="array" ref="FH275">ROW()-ROW(Ongoing[#Headers])</f>
        <v>269</v>
      </c>
      <c r="FI275" s="164"/>
      <c r="FJ275" s="164"/>
      <c r="FK275" s="164"/>
      <c r="FL275" s="164"/>
      <c r="FM275" s="164"/>
      <c r="FN275" s="164"/>
      <c r="FO275" s="164"/>
      <c r="FP275" s="164"/>
    </row>
    <row r="276" spans="2:172" s="115" customFormat="1" ht="11.25" x14ac:dyDescent="0.2">
      <c r="B276" s="148"/>
      <c r="C276" s="148"/>
      <c r="D276" s="148"/>
      <c r="E276" s="148"/>
      <c r="F276" s="148"/>
      <c r="G276" s="148"/>
      <c r="H276" s="148"/>
      <c r="I276" s="148"/>
      <c r="J276" s="148"/>
      <c r="K276" s="148"/>
      <c r="L276" s="148"/>
      <c r="M276" s="160"/>
      <c r="N276" s="160"/>
      <c r="O276" s="148"/>
      <c r="P276" s="161">
        <f>SUM(Q276:AP276)</f>
      </c>
      <c r="Q276" s="161"/>
      <c r="R276" s="161"/>
      <c r="S276" s="161"/>
      <c r="T276" s="161"/>
      <c r="U276" s="161"/>
      <c r="V276" s="161"/>
      <c r="W276" s="161"/>
      <c r="X276" s="161"/>
      <c r="Y276" s="161"/>
      <c r="Z276" s="161"/>
      <c r="AA276" s="161"/>
      <c r="AB276" s="161"/>
      <c r="AC276" s="161"/>
      <c r="AD276" s="161"/>
      <c r="AE276" s="161"/>
      <c r="AF276" s="161"/>
      <c r="AG276" s="161"/>
      <c r="AH276" s="161"/>
      <c r="AI276" s="161"/>
      <c r="AJ276" s="161"/>
      <c r="AK276" s="161"/>
      <c r="AL276" s="161"/>
      <c r="AM276" s="161"/>
      <c r="AN276" s="161"/>
      <c r="AO276" s="161"/>
      <c r="AP276" s="161"/>
      <c r="AQ276" s="161">
        <f>SUM(AR276:AU276)</f>
      </c>
      <c r="AR276" s="161"/>
      <c r="AS276" s="161"/>
      <c r="AT276" s="161"/>
      <c r="AU276" s="161"/>
      <c r="AV276" s="161">
        <f>SUM(AW276:BH276)</f>
      </c>
      <c r="AW276" s="161"/>
      <c r="AX276" s="161"/>
      <c r="AY276" s="161"/>
      <c r="AZ276" s="161"/>
      <c r="BA276" s="161"/>
      <c r="BB276" s="161"/>
      <c r="BC276" s="161"/>
      <c r="BD276" s="161"/>
      <c r="BE276" s="161"/>
      <c r="BF276" s="161"/>
      <c r="BG276" s="161"/>
      <c r="BH276" s="161"/>
      <c r="BI276" s="161"/>
      <c r="BJ276" s="161"/>
      <c r="BK276" s="161"/>
      <c r="BL276" s="161"/>
      <c r="BM276" s="161"/>
      <c r="BN276" s="161"/>
      <c r="BO276" s="161"/>
      <c r="BP276" s="161"/>
      <c r="BQ276" s="161"/>
      <c r="BR276" s="161"/>
      <c r="BS276" s="161">
        <f>SUM(BT276:BV276)</f>
      </c>
      <c r="BT276" s="161"/>
      <c r="BU276" s="161"/>
      <c r="BV276" s="161"/>
      <c r="BW276" s="161">
        <f>SUM(BX276:CC276)</f>
      </c>
      <c r="BX276" s="161"/>
      <c r="BY276" s="161"/>
      <c r="BZ276" s="161"/>
      <c r="CA276" s="161"/>
      <c r="CB276" s="161"/>
      <c r="CC276" s="161"/>
      <c r="CD276" s="161"/>
      <c r="CE276" s="161"/>
      <c r="CF276" s="161"/>
      <c r="CG276" s="161"/>
      <c r="CH276" s="161"/>
      <c r="CI276" s="161"/>
      <c r="CJ276" s="161">
        <f>SUM(CK276:CM276)</f>
      </c>
      <c r="CK276" s="161"/>
      <c r="CL276" s="161"/>
      <c r="CM276" s="161"/>
      <c r="CN276" s="161">
        <f>SUM(CO276:CS276)</f>
      </c>
      <c r="CO276" s="161"/>
      <c r="CP276" s="161"/>
      <c r="CQ276" s="161"/>
      <c r="CR276" s="161"/>
      <c r="CS276" s="161"/>
      <c r="CT276" s="161"/>
      <c r="CU276" s="161"/>
      <c r="CV276" s="161"/>
      <c r="CW276" s="161"/>
      <c r="CX276" s="161"/>
      <c r="CY276" s="161"/>
      <c r="CZ276" s="161"/>
      <c r="DA276" s="161"/>
      <c r="DB276" s="161"/>
      <c r="DC276" s="161"/>
      <c r="DD276" s="161"/>
      <c r="DE276" s="161"/>
      <c r="DF276" s="161">
        <f>SUM(DG276:DG276)</f>
      </c>
      <c r="DG276" s="161"/>
      <c r="DH276" s="161"/>
      <c r="DI276" s="161"/>
      <c r="DJ276" s="161">
        <f>SUM(DK276:DP276)</f>
      </c>
      <c r="DK276" s="161"/>
      <c r="DL276" s="161"/>
      <c r="DM276" s="161"/>
      <c r="DN276" s="161"/>
      <c r="DO276" s="161"/>
      <c r="DP276" s="161"/>
      <c r="DQ276" s="161"/>
      <c r="DR276" s="161"/>
      <c r="DS276" s="161"/>
      <c r="DT276" s="161"/>
      <c r="DU276" s="161"/>
      <c r="DV276" s="161"/>
      <c r="DW276" s="161"/>
      <c r="DX276" s="161"/>
      <c r="DY276" s="161"/>
      <c r="DZ276" s="161"/>
      <c r="EA276" s="161"/>
      <c r="EB276" s="161"/>
      <c r="EC276" s="161"/>
      <c r="ED276" s="161"/>
      <c r="EE276" s="161"/>
      <c r="EF276" s="161">
        <f>SUM(EG276:EP276)</f>
      </c>
      <c r="EG276" s="161"/>
      <c r="EH276" s="161"/>
      <c r="EI276" s="161"/>
      <c r="EJ276" s="161"/>
      <c r="EK276" s="161"/>
      <c r="EL276" s="161"/>
      <c r="EM276" s="161"/>
      <c r="EN276" s="161"/>
      <c r="EO276" s="161"/>
      <c r="EP276" s="161"/>
      <c r="EQ276" s="161">
        <f>SUM(ER276:ES276)</f>
      </c>
      <c r="ER276" s="161"/>
      <c r="ES276" s="161"/>
      <c r="ET276" s="161"/>
      <c r="EU276" s="161"/>
      <c r="EV276" s="161"/>
      <c r="EW276" s="161"/>
      <c r="EX276" s="161"/>
      <c r="EY276" s="161"/>
      <c r="EZ276" s="161"/>
      <c r="FA276" s="161"/>
      <c r="FB276" s="161"/>
      <c r="FC276" s="161"/>
      <c r="FD276" s="161"/>
      <c r="FE276" s="161"/>
      <c r="FF276" s="161"/>
      <c r="FG276" s="161"/>
      <c r="FH276" s="163" cm="1">
        <f t="array" ref="FH276">ROW()-ROW(Ongoing[#Headers])</f>
        <v>270</v>
      </c>
      <c r="FI276" s="164" t="s">
        <v>1225</v>
      </c>
      <c r="FJ276" s="164" t="s">
        <v>1226</v>
      </c>
      <c r="FK276" s="164" t="s">
        <v>1227</v>
      </c>
      <c r="FL276" s="164" t="s">
        <v>1288</v>
      </c>
      <c r="FM276" s="164" t="s">
        <v>790</v>
      </c>
      <c r="FN276" s="164">
        <v>0</v>
      </c>
      <c r="FO276" s="164" t="s">
        <v>1275</v>
      </c>
      <c r="FP276" s="164" t="s">
        <v>759</v>
      </c>
    </row>
    <row r="277" spans="2:172" s="115" customFormat="1" ht="11.25" x14ac:dyDescent="0.2">
      <c r="B277" s="148"/>
      <c r="C277" s="148"/>
      <c r="D277" s="148"/>
      <c r="E277" s="148"/>
      <c r="F277" s="148"/>
      <c r="G277" s="148"/>
      <c r="H277" s="148"/>
      <c r="I277" s="148"/>
      <c r="J277" s="148"/>
      <c r="K277" s="148"/>
      <c r="L277" s="148"/>
      <c r="M277" s="160"/>
      <c r="N277" s="160"/>
      <c r="O277" s="148"/>
      <c r="P277" s="161">
        <f>SUM(Q277:AP277)</f>
      </c>
      <c r="Q277" s="161"/>
      <c r="R277" s="161"/>
      <c r="S277" s="161"/>
      <c r="T277" s="161"/>
      <c r="U277" s="161"/>
      <c r="V277" s="161"/>
      <c r="W277" s="161"/>
      <c r="X277" s="161"/>
      <c r="Y277" s="161"/>
      <c r="Z277" s="161"/>
      <c r="AA277" s="161"/>
      <c r="AB277" s="161"/>
      <c r="AC277" s="161"/>
      <c r="AD277" s="161"/>
      <c r="AE277" s="161"/>
      <c r="AF277" s="161"/>
      <c r="AG277" s="161"/>
      <c r="AH277" s="161"/>
      <c r="AI277" s="161"/>
      <c r="AJ277" s="161"/>
      <c r="AK277" s="161"/>
      <c r="AL277" s="161"/>
      <c r="AM277" s="161"/>
      <c r="AN277" s="161"/>
      <c r="AO277" s="161"/>
      <c r="AP277" s="161"/>
      <c r="AQ277" s="161">
        <f>SUM(AR277:AU277)</f>
      </c>
      <c r="AR277" s="161"/>
      <c r="AS277" s="161"/>
      <c r="AT277" s="161"/>
      <c r="AU277" s="161"/>
      <c r="AV277" s="161">
        <f>SUM(AW277:BH277)</f>
      </c>
      <c r="AW277" s="161"/>
      <c r="AX277" s="161"/>
      <c r="AY277" s="161"/>
      <c r="AZ277" s="161"/>
      <c r="BA277" s="161"/>
      <c r="BB277" s="161"/>
      <c r="BC277" s="161"/>
      <c r="BD277" s="161"/>
      <c r="BE277" s="161"/>
      <c r="BF277" s="161"/>
      <c r="BG277" s="161"/>
      <c r="BH277" s="161"/>
      <c r="BI277" s="161"/>
      <c r="BJ277" s="161"/>
      <c r="BK277" s="161"/>
      <c r="BL277" s="161"/>
      <c r="BM277" s="161"/>
      <c r="BN277" s="161"/>
      <c r="BO277" s="161"/>
      <c r="BP277" s="161"/>
      <c r="BQ277" s="161"/>
      <c r="BR277" s="161"/>
      <c r="BS277" s="161">
        <f>SUM(BT277:BV277)</f>
      </c>
      <c r="BT277" s="161"/>
      <c r="BU277" s="161"/>
      <c r="BV277" s="161"/>
      <c r="BW277" s="161">
        <f>SUM(BX277:CC277)</f>
      </c>
      <c r="BX277" s="161"/>
      <c r="BY277" s="161"/>
      <c r="BZ277" s="161"/>
      <c r="CA277" s="161"/>
      <c r="CB277" s="161"/>
      <c r="CC277" s="161"/>
      <c r="CD277" s="161"/>
      <c r="CE277" s="161"/>
      <c r="CF277" s="161"/>
      <c r="CG277" s="161"/>
      <c r="CH277" s="161"/>
      <c r="CI277" s="161"/>
      <c r="CJ277" s="161">
        <f>SUM(CK277:CM277)</f>
      </c>
      <c r="CK277" s="161"/>
      <c r="CL277" s="161"/>
      <c r="CM277" s="161"/>
      <c r="CN277" s="161">
        <f>SUM(CO277:CS277)</f>
      </c>
      <c r="CO277" s="161"/>
      <c r="CP277" s="161"/>
      <c r="CQ277" s="161"/>
      <c r="CR277" s="161"/>
      <c r="CS277" s="161"/>
      <c r="CT277" s="161"/>
      <c r="CU277" s="161"/>
      <c r="CV277" s="161"/>
      <c r="CW277" s="161"/>
      <c r="CX277" s="161"/>
      <c r="CY277" s="161"/>
      <c r="CZ277" s="161"/>
      <c r="DA277" s="161"/>
      <c r="DB277" s="161"/>
      <c r="DC277" s="161"/>
      <c r="DD277" s="161"/>
      <c r="DE277" s="161"/>
      <c r="DF277" s="161">
        <f>SUM(DG277:DG277)</f>
      </c>
      <c r="DG277" s="161"/>
      <c r="DH277" s="161"/>
      <c r="DI277" s="161"/>
      <c r="DJ277" s="161">
        <f>SUM(DK277:DP277)</f>
      </c>
      <c r="DK277" s="161"/>
      <c r="DL277" s="161"/>
      <c r="DM277" s="161"/>
      <c r="DN277" s="161"/>
      <c r="DO277" s="161"/>
      <c r="DP277" s="161"/>
      <c r="DQ277" s="161"/>
      <c r="DR277" s="161"/>
      <c r="DS277" s="161"/>
      <c r="DT277" s="161"/>
      <c r="DU277" s="161"/>
      <c r="DV277" s="161"/>
      <c r="DW277" s="161"/>
      <c r="DX277" s="161"/>
      <c r="DY277" s="161"/>
      <c r="DZ277" s="161"/>
      <c r="EA277" s="161"/>
      <c r="EB277" s="161"/>
      <c r="EC277" s="161"/>
      <c r="ED277" s="161"/>
      <c r="EE277" s="161"/>
      <c r="EF277" s="161">
        <f>SUM(EG277:EP277)</f>
      </c>
      <c r="EG277" s="161"/>
      <c r="EH277" s="161"/>
      <c r="EI277" s="161"/>
      <c r="EJ277" s="161"/>
      <c r="EK277" s="161"/>
      <c r="EL277" s="161"/>
      <c r="EM277" s="161"/>
      <c r="EN277" s="161"/>
      <c r="EO277" s="161"/>
      <c r="EP277" s="161"/>
      <c r="EQ277" s="161">
        <f>SUM(ER277:ES277)</f>
      </c>
      <c r="ER277" s="161"/>
      <c r="ES277" s="161"/>
      <c r="ET277" s="161"/>
      <c r="EU277" s="161"/>
      <c r="EV277" s="161"/>
      <c r="EW277" s="161"/>
      <c r="EX277" s="161"/>
      <c r="EY277" s="161"/>
      <c r="EZ277" s="161"/>
      <c r="FA277" s="161"/>
      <c r="FB277" s="161"/>
      <c r="FC277" s="161"/>
      <c r="FD277" s="161"/>
      <c r="FE277" s="161"/>
      <c r="FF277" s="161"/>
      <c r="FG277" s="161"/>
      <c r="FH277" s="163" cm="1">
        <f t="array" ref="FH277">ROW()-ROW(Ongoing[#Headers])</f>
        <v>271</v>
      </c>
      <c r="FI277" s="164" t="s">
        <v>1231</v>
      </c>
      <c r="FJ277" s="164" t="s">
        <v>1117</v>
      </c>
      <c r="FK277" s="164">
        <v>0</v>
      </c>
      <c r="FL277" s="164" t="s">
        <v>789</v>
      </c>
      <c r="FM277" s="164" t="s">
        <v>790</v>
      </c>
      <c r="FN277" s="164">
        <v>0</v>
      </c>
      <c r="FO277" s="164" t="s">
        <v>1232</v>
      </c>
      <c r="FP277" s="164" t="s">
        <v>909</v>
      </c>
    </row>
    <row r="278" spans="2:172" s="115" customFormat="1" ht="11.25" x14ac:dyDescent="0.2">
      <c r="B278" s="148"/>
      <c r="C278" s="148"/>
      <c r="D278" s="148"/>
      <c r="E278" s="148"/>
      <c r="F278" s="148"/>
      <c r="G278" s="148"/>
      <c r="H278" s="148"/>
      <c r="I278" s="148"/>
      <c r="J278" s="148"/>
      <c r="K278" s="148"/>
      <c r="L278" s="148"/>
      <c r="M278" s="160"/>
      <c r="N278" s="160"/>
      <c r="O278" s="148"/>
      <c r="P278" s="161">
        <f>SUM(Q278:AP278)</f>
      </c>
      <c r="Q278" s="161"/>
      <c r="R278" s="161"/>
      <c r="S278" s="161"/>
      <c r="T278" s="161"/>
      <c r="U278" s="161"/>
      <c r="V278" s="161"/>
      <c r="W278" s="161"/>
      <c r="X278" s="161"/>
      <c r="Y278" s="161"/>
      <c r="Z278" s="161"/>
      <c r="AA278" s="161"/>
      <c r="AB278" s="161"/>
      <c r="AC278" s="161"/>
      <c r="AD278" s="161"/>
      <c r="AE278" s="161"/>
      <c r="AF278" s="161"/>
      <c r="AG278" s="161"/>
      <c r="AH278" s="161"/>
      <c r="AI278" s="161"/>
      <c r="AJ278" s="161"/>
      <c r="AK278" s="161"/>
      <c r="AL278" s="161"/>
      <c r="AM278" s="161"/>
      <c r="AN278" s="161"/>
      <c r="AO278" s="161"/>
      <c r="AP278" s="161"/>
      <c r="AQ278" s="161">
        <f>SUM(AR278:AU278)</f>
      </c>
      <c r="AR278" s="161"/>
      <c r="AS278" s="161"/>
      <c r="AT278" s="161"/>
      <c r="AU278" s="161"/>
      <c r="AV278" s="161">
        <f>SUM(AW278:BH278)</f>
      </c>
      <c r="AW278" s="161"/>
      <c r="AX278" s="161"/>
      <c r="AY278" s="161"/>
      <c r="AZ278" s="161"/>
      <c r="BA278" s="161"/>
      <c r="BB278" s="161"/>
      <c r="BC278" s="161"/>
      <c r="BD278" s="161"/>
      <c r="BE278" s="161"/>
      <c r="BF278" s="161"/>
      <c r="BG278" s="161"/>
      <c r="BH278" s="161"/>
      <c r="BI278" s="161"/>
      <c r="BJ278" s="161"/>
      <c r="BK278" s="161"/>
      <c r="BL278" s="161"/>
      <c r="BM278" s="161"/>
      <c r="BN278" s="161"/>
      <c r="BO278" s="161"/>
      <c r="BP278" s="161"/>
      <c r="BQ278" s="161"/>
      <c r="BR278" s="161"/>
      <c r="BS278" s="161">
        <f>SUM(BT278:BV278)</f>
      </c>
      <c r="BT278" s="161"/>
      <c r="BU278" s="161"/>
      <c r="BV278" s="161"/>
      <c r="BW278" s="161">
        <f>SUM(BX278:CC278)</f>
      </c>
      <c r="BX278" s="161"/>
      <c r="BY278" s="161"/>
      <c r="BZ278" s="161"/>
      <c r="CA278" s="161"/>
      <c r="CB278" s="161"/>
      <c r="CC278" s="161"/>
      <c r="CD278" s="161"/>
      <c r="CE278" s="161"/>
      <c r="CF278" s="161"/>
      <c r="CG278" s="161"/>
      <c r="CH278" s="161"/>
      <c r="CI278" s="161"/>
      <c r="CJ278" s="161">
        <f>SUM(CK278:CM278)</f>
      </c>
      <c r="CK278" s="161"/>
      <c r="CL278" s="161"/>
      <c r="CM278" s="161"/>
      <c r="CN278" s="161">
        <f>SUM(CO278:CS278)</f>
      </c>
      <c r="CO278" s="161"/>
      <c r="CP278" s="161"/>
      <c r="CQ278" s="161"/>
      <c r="CR278" s="161"/>
      <c r="CS278" s="161"/>
      <c r="CT278" s="161"/>
      <c r="CU278" s="161"/>
      <c r="CV278" s="161"/>
      <c r="CW278" s="161"/>
      <c r="CX278" s="161"/>
      <c r="CY278" s="161"/>
      <c r="CZ278" s="161"/>
      <c r="DA278" s="161"/>
      <c r="DB278" s="161"/>
      <c r="DC278" s="161"/>
      <c r="DD278" s="161"/>
      <c r="DE278" s="161"/>
      <c r="DF278" s="161">
        <f>SUM(DG278:DG278)</f>
      </c>
      <c r="DG278" s="161"/>
      <c r="DH278" s="161"/>
      <c r="DI278" s="161"/>
      <c r="DJ278" s="161">
        <f>SUM(DK278:DP278)</f>
      </c>
      <c r="DK278" s="161"/>
      <c r="DL278" s="161"/>
      <c r="DM278" s="161"/>
      <c r="DN278" s="161"/>
      <c r="DO278" s="161"/>
      <c r="DP278" s="161"/>
      <c r="DQ278" s="161"/>
      <c r="DR278" s="161"/>
      <c r="DS278" s="161"/>
      <c r="DT278" s="161"/>
      <c r="DU278" s="161"/>
      <c r="DV278" s="161"/>
      <c r="DW278" s="161"/>
      <c r="DX278" s="161"/>
      <c r="DY278" s="161"/>
      <c r="DZ278" s="161"/>
      <c r="EA278" s="161"/>
      <c r="EB278" s="161"/>
      <c r="EC278" s="161"/>
      <c r="ED278" s="161"/>
      <c r="EE278" s="161"/>
      <c r="EF278" s="161">
        <f>SUM(EG278:EP278)</f>
      </c>
      <c r="EG278" s="161"/>
      <c r="EH278" s="161"/>
      <c r="EI278" s="161"/>
      <c r="EJ278" s="161"/>
      <c r="EK278" s="161"/>
      <c r="EL278" s="161"/>
      <c r="EM278" s="161"/>
      <c r="EN278" s="161"/>
      <c r="EO278" s="161"/>
      <c r="EP278" s="161"/>
      <c r="EQ278" s="161">
        <f>SUM(ER278:ES278)</f>
      </c>
      <c r="ER278" s="161"/>
      <c r="ES278" s="161"/>
      <c r="ET278" s="161"/>
      <c r="EU278" s="161"/>
      <c r="EV278" s="161"/>
      <c r="EW278" s="161"/>
      <c r="EX278" s="161"/>
      <c r="EY278" s="161"/>
      <c r="EZ278" s="161"/>
      <c r="FA278" s="161"/>
      <c r="FB278" s="161"/>
      <c r="FC278" s="161"/>
      <c r="FD278" s="161"/>
      <c r="FE278" s="161"/>
      <c r="FF278" s="161"/>
      <c r="FG278" s="161"/>
      <c r="FH278" s="163" cm="1">
        <f t="array" ref="FH278">ROW()-ROW(Ongoing[#Headers])</f>
        <v>272</v>
      </c>
      <c r="FI278" s="164" t="s">
        <v>1231</v>
      </c>
      <c r="FJ278" s="164" t="s">
        <v>1117</v>
      </c>
      <c r="FK278" s="164">
        <v>0</v>
      </c>
      <c r="FL278" s="164" t="s">
        <v>789</v>
      </c>
      <c r="FM278" s="164" t="s">
        <v>790</v>
      </c>
      <c r="FN278" s="164">
        <v>0</v>
      </c>
      <c r="FO278" s="164" t="s">
        <v>1232</v>
      </c>
      <c r="FP278" s="164" t="s">
        <v>909</v>
      </c>
    </row>
    <row r="279" spans="2:172" s="115" customFormat="1" ht="11.25" x14ac:dyDescent="0.2">
      <c r="B279" s="148"/>
      <c r="C279" s="148"/>
      <c r="D279" s="148"/>
      <c r="E279" s="148"/>
      <c r="F279" s="148"/>
      <c r="G279" s="148"/>
      <c r="H279" s="148"/>
      <c r="I279" s="148"/>
      <c r="J279" s="148"/>
      <c r="K279" s="148"/>
      <c r="L279" s="148"/>
      <c r="M279" s="160"/>
      <c r="N279" s="160"/>
      <c r="O279" s="148"/>
      <c r="P279" s="161">
        <f>SUM(Q279:AP279)</f>
      </c>
      <c r="Q279" s="161"/>
      <c r="R279" s="161"/>
      <c r="S279" s="161"/>
      <c r="T279" s="161"/>
      <c r="U279" s="161"/>
      <c r="V279" s="161"/>
      <c r="W279" s="161"/>
      <c r="X279" s="161"/>
      <c r="Y279" s="161"/>
      <c r="Z279" s="161"/>
      <c r="AA279" s="161"/>
      <c r="AB279" s="161"/>
      <c r="AC279" s="161"/>
      <c r="AD279" s="161"/>
      <c r="AE279" s="161"/>
      <c r="AF279" s="161"/>
      <c r="AG279" s="161"/>
      <c r="AH279" s="161"/>
      <c r="AI279" s="161"/>
      <c r="AJ279" s="161"/>
      <c r="AK279" s="161"/>
      <c r="AL279" s="161"/>
      <c r="AM279" s="161"/>
      <c r="AN279" s="161"/>
      <c r="AO279" s="161"/>
      <c r="AP279" s="161"/>
      <c r="AQ279" s="161">
        <f>SUM(AR279:AU279)</f>
      </c>
      <c r="AR279" s="161"/>
      <c r="AS279" s="161"/>
      <c r="AT279" s="161"/>
      <c r="AU279" s="161"/>
      <c r="AV279" s="161">
        <f>SUM(AW279:BH279)</f>
      </c>
      <c r="AW279" s="161"/>
      <c r="AX279" s="161"/>
      <c r="AY279" s="161"/>
      <c r="AZ279" s="161"/>
      <c r="BA279" s="161"/>
      <c r="BB279" s="161"/>
      <c r="BC279" s="161"/>
      <c r="BD279" s="161"/>
      <c r="BE279" s="161"/>
      <c r="BF279" s="161"/>
      <c r="BG279" s="161"/>
      <c r="BH279" s="161"/>
      <c r="BI279" s="161"/>
      <c r="BJ279" s="161"/>
      <c r="BK279" s="161"/>
      <c r="BL279" s="161"/>
      <c r="BM279" s="161"/>
      <c r="BN279" s="161"/>
      <c r="BO279" s="161"/>
      <c r="BP279" s="161"/>
      <c r="BQ279" s="161"/>
      <c r="BR279" s="161"/>
      <c r="BS279" s="161">
        <f>SUM(BT279:BV279)</f>
      </c>
      <c r="BT279" s="161"/>
      <c r="BU279" s="161"/>
      <c r="BV279" s="161"/>
      <c r="BW279" s="161">
        <f>SUM(BX279:CC279)</f>
      </c>
      <c r="BX279" s="161"/>
      <c r="BY279" s="161"/>
      <c r="BZ279" s="161"/>
      <c r="CA279" s="161"/>
      <c r="CB279" s="161"/>
      <c r="CC279" s="161"/>
      <c r="CD279" s="161"/>
      <c r="CE279" s="161"/>
      <c r="CF279" s="161"/>
      <c r="CG279" s="161"/>
      <c r="CH279" s="161"/>
      <c r="CI279" s="161"/>
      <c r="CJ279" s="161">
        <f>SUM(CK279:CM279)</f>
      </c>
      <c r="CK279" s="161"/>
      <c r="CL279" s="161"/>
      <c r="CM279" s="161"/>
      <c r="CN279" s="161">
        <f>SUM(CO279:CS279)</f>
      </c>
      <c r="CO279" s="161"/>
      <c r="CP279" s="161"/>
      <c r="CQ279" s="161"/>
      <c r="CR279" s="161"/>
      <c r="CS279" s="161"/>
      <c r="CT279" s="161"/>
      <c r="CU279" s="161"/>
      <c r="CV279" s="161"/>
      <c r="CW279" s="161"/>
      <c r="CX279" s="161"/>
      <c r="CY279" s="161"/>
      <c r="CZ279" s="161"/>
      <c r="DA279" s="161"/>
      <c r="DB279" s="161"/>
      <c r="DC279" s="161"/>
      <c r="DD279" s="161"/>
      <c r="DE279" s="161"/>
      <c r="DF279" s="161">
        <f>SUM(DG279:DG279)</f>
      </c>
      <c r="DG279" s="161"/>
      <c r="DH279" s="161"/>
      <c r="DI279" s="161"/>
      <c r="DJ279" s="161">
        <f>SUM(DK279:DP279)</f>
      </c>
      <c r="DK279" s="161"/>
      <c r="DL279" s="161"/>
      <c r="DM279" s="161"/>
      <c r="DN279" s="161"/>
      <c r="DO279" s="161"/>
      <c r="DP279" s="161"/>
      <c r="DQ279" s="161"/>
      <c r="DR279" s="161"/>
      <c r="DS279" s="161"/>
      <c r="DT279" s="161"/>
      <c r="DU279" s="161"/>
      <c r="DV279" s="161"/>
      <c r="DW279" s="161"/>
      <c r="DX279" s="161"/>
      <c r="DY279" s="161"/>
      <c r="DZ279" s="161"/>
      <c r="EA279" s="161"/>
      <c r="EB279" s="161"/>
      <c r="EC279" s="161"/>
      <c r="ED279" s="161"/>
      <c r="EE279" s="161"/>
      <c r="EF279" s="161">
        <f>SUM(EG279:EP279)</f>
      </c>
      <c r="EG279" s="161"/>
      <c r="EH279" s="161"/>
      <c r="EI279" s="161"/>
      <c r="EJ279" s="161"/>
      <c r="EK279" s="161"/>
      <c r="EL279" s="161"/>
      <c r="EM279" s="161"/>
      <c r="EN279" s="161"/>
      <c r="EO279" s="161"/>
      <c r="EP279" s="161"/>
      <c r="EQ279" s="161">
        <f>SUM(ER279:ES279)</f>
      </c>
      <c r="ER279" s="161"/>
      <c r="ES279" s="161"/>
      <c r="ET279" s="161"/>
      <c r="EU279" s="161"/>
      <c r="EV279" s="161"/>
      <c r="EW279" s="161"/>
      <c r="EX279" s="161"/>
      <c r="EY279" s="161"/>
      <c r="EZ279" s="161"/>
      <c r="FA279" s="161"/>
      <c r="FB279" s="161"/>
      <c r="FC279" s="161"/>
      <c r="FD279" s="161"/>
      <c r="FE279" s="161"/>
      <c r="FF279" s="161"/>
      <c r="FG279" s="161"/>
      <c r="FH279" s="163" cm="1">
        <f t="array" ref="FH279">ROW()-ROW(Ongoing[#Headers])</f>
        <v>273</v>
      </c>
      <c r="FI279" s="164" t="s">
        <v>1231</v>
      </c>
      <c r="FJ279" s="164" t="s">
        <v>1117</v>
      </c>
      <c r="FK279" s="164">
        <v>0</v>
      </c>
      <c r="FL279" s="164" t="s">
        <v>789</v>
      </c>
      <c r="FM279" s="164" t="s">
        <v>790</v>
      </c>
      <c r="FN279" s="164">
        <v>0</v>
      </c>
      <c r="FO279" s="164" t="s">
        <v>1232</v>
      </c>
      <c r="FP279" s="164" t="s">
        <v>817</v>
      </c>
    </row>
    <row r="280" spans="2:172" s="115" customFormat="1" ht="11.25" x14ac:dyDescent="0.2">
      <c r="B280" s="148"/>
      <c r="C280" s="148"/>
      <c r="D280" s="148"/>
      <c r="E280" s="148"/>
      <c r="F280" s="148"/>
      <c r="G280" s="148"/>
      <c r="H280" s="148"/>
      <c r="I280" s="148"/>
      <c r="J280" s="148"/>
      <c r="K280" s="148"/>
      <c r="L280" s="148"/>
      <c r="M280" s="160"/>
      <c r="N280" s="160"/>
      <c r="O280" s="148"/>
      <c r="P280" s="161">
        <f>SUM(Q280:AP280)</f>
      </c>
      <c r="Q280" s="161"/>
      <c r="R280" s="161"/>
      <c r="S280" s="161"/>
      <c r="T280" s="161"/>
      <c r="U280" s="161"/>
      <c r="V280" s="161"/>
      <c r="W280" s="161"/>
      <c r="X280" s="161"/>
      <c r="Y280" s="161"/>
      <c r="Z280" s="161"/>
      <c r="AA280" s="161"/>
      <c r="AB280" s="161"/>
      <c r="AC280" s="161"/>
      <c r="AD280" s="161"/>
      <c r="AE280" s="161"/>
      <c r="AF280" s="161"/>
      <c r="AG280" s="161"/>
      <c r="AH280" s="161"/>
      <c r="AI280" s="161"/>
      <c r="AJ280" s="161"/>
      <c r="AK280" s="161"/>
      <c r="AL280" s="161"/>
      <c r="AM280" s="161"/>
      <c r="AN280" s="161"/>
      <c r="AO280" s="161"/>
      <c r="AP280" s="161"/>
      <c r="AQ280" s="161">
        <f>SUM(AR280:AU280)</f>
      </c>
      <c r="AR280" s="161"/>
      <c r="AS280" s="161"/>
      <c r="AT280" s="161"/>
      <c r="AU280" s="161"/>
      <c r="AV280" s="161">
        <f>SUM(AW280:BH280)</f>
      </c>
      <c r="AW280" s="161"/>
      <c r="AX280" s="161"/>
      <c r="AY280" s="161"/>
      <c r="AZ280" s="161"/>
      <c r="BA280" s="161"/>
      <c r="BB280" s="161"/>
      <c r="BC280" s="161"/>
      <c r="BD280" s="161"/>
      <c r="BE280" s="161"/>
      <c r="BF280" s="161"/>
      <c r="BG280" s="161"/>
      <c r="BH280" s="161"/>
      <c r="BI280" s="161"/>
      <c r="BJ280" s="161"/>
      <c r="BK280" s="161"/>
      <c r="BL280" s="161"/>
      <c r="BM280" s="161"/>
      <c r="BN280" s="161"/>
      <c r="BO280" s="161"/>
      <c r="BP280" s="161"/>
      <c r="BQ280" s="161"/>
      <c r="BR280" s="161"/>
      <c r="BS280" s="161">
        <f>SUM(BT280:BV280)</f>
      </c>
      <c r="BT280" s="161"/>
      <c r="BU280" s="161"/>
      <c r="BV280" s="161"/>
      <c r="BW280" s="161">
        <f>SUM(BX280:CC280)</f>
      </c>
      <c r="BX280" s="161"/>
      <c r="BY280" s="161"/>
      <c r="BZ280" s="161"/>
      <c r="CA280" s="161"/>
      <c r="CB280" s="161"/>
      <c r="CC280" s="161"/>
      <c r="CD280" s="161"/>
      <c r="CE280" s="161"/>
      <c r="CF280" s="161"/>
      <c r="CG280" s="161"/>
      <c r="CH280" s="161"/>
      <c r="CI280" s="161"/>
      <c r="CJ280" s="161">
        <f>SUM(CK280:CM280)</f>
      </c>
      <c r="CK280" s="161"/>
      <c r="CL280" s="161"/>
      <c r="CM280" s="161"/>
      <c r="CN280" s="161">
        <f>SUM(CO280:CS280)</f>
      </c>
      <c r="CO280" s="161"/>
      <c r="CP280" s="161"/>
      <c r="CQ280" s="161"/>
      <c r="CR280" s="161"/>
      <c r="CS280" s="161"/>
      <c r="CT280" s="161"/>
      <c r="CU280" s="161"/>
      <c r="CV280" s="161"/>
      <c r="CW280" s="161"/>
      <c r="CX280" s="161"/>
      <c r="CY280" s="161"/>
      <c r="CZ280" s="161"/>
      <c r="DA280" s="161"/>
      <c r="DB280" s="161"/>
      <c r="DC280" s="161"/>
      <c r="DD280" s="161"/>
      <c r="DE280" s="161"/>
      <c r="DF280" s="161">
        <f>SUM(DG280:DG280)</f>
      </c>
      <c r="DG280" s="161"/>
      <c r="DH280" s="161"/>
      <c r="DI280" s="161"/>
      <c r="DJ280" s="161">
        <f>SUM(DK280:DP280)</f>
      </c>
      <c r="DK280" s="161"/>
      <c r="DL280" s="161"/>
      <c r="DM280" s="161"/>
      <c r="DN280" s="161"/>
      <c r="DO280" s="161"/>
      <c r="DP280" s="161"/>
      <c r="DQ280" s="161"/>
      <c r="DR280" s="161"/>
      <c r="DS280" s="161"/>
      <c r="DT280" s="161"/>
      <c r="DU280" s="161"/>
      <c r="DV280" s="161"/>
      <c r="DW280" s="161"/>
      <c r="DX280" s="161"/>
      <c r="DY280" s="161"/>
      <c r="DZ280" s="161"/>
      <c r="EA280" s="161"/>
      <c r="EB280" s="161"/>
      <c r="EC280" s="161"/>
      <c r="ED280" s="161"/>
      <c r="EE280" s="161"/>
      <c r="EF280" s="161">
        <f>SUM(EG280:EP280)</f>
      </c>
      <c r="EG280" s="161"/>
      <c r="EH280" s="161"/>
      <c r="EI280" s="161"/>
      <c r="EJ280" s="161"/>
      <c r="EK280" s="161"/>
      <c r="EL280" s="161"/>
      <c r="EM280" s="161"/>
      <c r="EN280" s="161"/>
      <c r="EO280" s="161"/>
      <c r="EP280" s="161"/>
      <c r="EQ280" s="161">
        <f>SUM(ER280:ES280)</f>
      </c>
      <c r="ER280" s="161"/>
      <c r="ES280" s="161"/>
      <c r="ET280" s="161"/>
      <c r="EU280" s="161"/>
      <c r="EV280" s="161"/>
      <c r="EW280" s="161"/>
      <c r="EX280" s="161"/>
      <c r="EY280" s="161"/>
      <c r="EZ280" s="161"/>
      <c r="FA280" s="161"/>
      <c r="FB280" s="161"/>
      <c r="FC280" s="161"/>
      <c r="FD280" s="161"/>
      <c r="FE280" s="161"/>
      <c r="FF280" s="161"/>
      <c r="FG280" s="161"/>
      <c r="FH280" s="163" cm="1">
        <f t="array" ref="FH280">ROW()-ROW(Ongoing[#Headers])</f>
        <v>274</v>
      </c>
      <c r="FI280" s="164" t="s">
        <v>1231</v>
      </c>
      <c r="FJ280" s="164" t="s">
        <v>1117</v>
      </c>
      <c r="FK280" s="164">
        <v>0</v>
      </c>
      <c r="FL280" s="164" t="s">
        <v>789</v>
      </c>
      <c r="FM280" s="164" t="s">
        <v>790</v>
      </c>
      <c r="FN280" s="164">
        <v>0</v>
      </c>
      <c r="FO280" s="164" t="s">
        <v>1232</v>
      </c>
      <c r="FP280" s="164" t="s">
        <v>817</v>
      </c>
    </row>
    <row r="281" spans="2:172" s="115" customFormat="1" ht="11.25" x14ac:dyDescent="0.2">
      <c r="B281" s="148"/>
      <c r="C281" s="148"/>
      <c r="D281" s="148"/>
      <c r="E281" s="148"/>
      <c r="F281" s="148"/>
      <c r="G281" s="148"/>
      <c r="H281" s="148"/>
      <c r="I281" s="148"/>
      <c r="J281" s="148"/>
      <c r="K281" s="148"/>
      <c r="L281" s="148"/>
      <c r="M281" s="160"/>
      <c r="N281" s="160"/>
      <c r="O281" s="148"/>
      <c r="P281" s="161">
        <f>SUM(Q281:AP281)</f>
      </c>
      <c r="Q281" s="161"/>
      <c r="R281" s="161"/>
      <c r="S281" s="161"/>
      <c r="T281" s="161"/>
      <c r="U281" s="161"/>
      <c r="V281" s="161"/>
      <c r="W281" s="161"/>
      <c r="X281" s="161"/>
      <c r="Y281" s="161"/>
      <c r="Z281" s="161"/>
      <c r="AA281" s="161"/>
      <c r="AB281" s="161"/>
      <c r="AC281" s="161"/>
      <c r="AD281" s="161"/>
      <c r="AE281" s="161"/>
      <c r="AF281" s="161"/>
      <c r="AG281" s="161"/>
      <c r="AH281" s="161"/>
      <c r="AI281" s="161"/>
      <c r="AJ281" s="161"/>
      <c r="AK281" s="161"/>
      <c r="AL281" s="161"/>
      <c r="AM281" s="161"/>
      <c r="AN281" s="161"/>
      <c r="AO281" s="161"/>
      <c r="AP281" s="161"/>
      <c r="AQ281" s="161">
        <f>SUM(AR281:AU281)</f>
      </c>
      <c r="AR281" s="161"/>
      <c r="AS281" s="161"/>
      <c r="AT281" s="161"/>
      <c r="AU281" s="161"/>
      <c r="AV281" s="161">
        <f>SUM(AW281:BH281)</f>
      </c>
      <c r="AW281" s="161"/>
      <c r="AX281" s="161"/>
      <c r="AY281" s="161"/>
      <c r="AZ281" s="161"/>
      <c r="BA281" s="161"/>
      <c r="BB281" s="161"/>
      <c r="BC281" s="161"/>
      <c r="BD281" s="161"/>
      <c r="BE281" s="161"/>
      <c r="BF281" s="161"/>
      <c r="BG281" s="161"/>
      <c r="BH281" s="161"/>
      <c r="BI281" s="161"/>
      <c r="BJ281" s="161"/>
      <c r="BK281" s="161"/>
      <c r="BL281" s="161"/>
      <c r="BM281" s="161"/>
      <c r="BN281" s="161"/>
      <c r="BO281" s="161"/>
      <c r="BP281" s="161"/>
      <c r="BQ281" s="161"/>
      <c r="BR281" s="161"/>
      <c r="BS281" s="161">
        <f>SUM(BT281:BV281)</f>
      </c>
      <c r="BT281" s="161"/>
      <c r="BU281" s="161"/>
      <c r="BV281" s="161"/>
      <c r="BW281" s="161">
        <f>SUM(BX281:CC281)</f>
      </c>
      <c r="BX281" s="161"/>
      <c r="BY281" s="161"/>
      <c r="BZ281" s="161"/>
      <c r="CA281" s="161"/>
      <c r="CB281" s="161"/>
      <c r="CC281" s="161"/>
      <c r="CD281" s="161"/>
      <c r="CE281" s="161"/>
      <c r="CF281" s="161"/>
      <c r="CG281" s="161"/>
      <c r="CH281" s="161"/>
      <c r="CI281" s="161"/>
      <c r="CJ281" s="161">
        <f>SUM(CK281:CM281)</f>
      </c>
      <c r="CK281" s="161"/>
      <c r="CL281" s="161"/>
      <c r="CM281" s="161"/>
      <c r="CN281" s="161">
        <f>SUM(CO281:CS281)</f>
      </c>
      <c r="CO281" s="161"/>
      <c r="CP281" s="161"/>
      <c r="CQ281" s="161"/>
      <c r="CR281" s="161"/>
      <c r="CS281" s="161"/>
      <c r="CT281" s="161"/>
      <c r="CU281" s="161"/>
      <c r="CV281" s="161"/>
      <c r="CW281" s="161"/>
      <c r="CX281" s="161"/>
      <c r="CY281" s="161"/>
      <c r="CZ281" s="161"/>
      <c r="DA281" s="161"/>
      <c r="DB281" s="161"/>
      <c r="DC281" s="161"/>
      <c r="DD281" s="161"/>
      <c r="DE281" s="161"/>
      <c r="DF281" s="161">
        <f>SUM(DG281:DG281)</f>
      </c>
      <c r="DG281" s="161"/>
      <c r="DH281" s="161"/>
      <c r="DI281" s="161"/>
      <c r="DJ281" s="161">
        <f>SUM(DK281:DP281)</f>
      </c>
      <c r="DK281" s="161"/>
      <c r="DL281" s="161"/>
      <c r="DM281" s="161"/>
      <c r="DN281" s="161"/>
      <c r="DO281" s="161"/>
      <c r="DP281" s="161"/>
      <c r="DQ281" s="161"/>
      <c r="DR281" s="161"/>
      <c r="DS281" s="161"/>
      <c r="DT281" s="161"/>
      <c r="DU281" s="161"/>
      <c r="DV281" s="161"/>
      <c r="DW281" s="161"/>
      <c r="DX281" s="161"/>
      <c r="DY281" s="161"/>
      <c r="DZ281" s="161"/>
      <c r="EA281" s="161"/>
      <c r="EB281" s="161"/>
      <c r="EC281" s="161"/>
      <c r="ED281" s="161"/>
      <c r="EE281" s="161"/>
      <c r="EF281" s="161">
        <f>SUM(EG281:EP281)</f>
      </c>
      <c r="EG281" s="161"/>
      <c r="EH281" s="161"/>
      <c r="EI281" s="161"/>
      <c r="EJ281" s="161"/>
      <c r="EK281" s="161"/>
      <c r="EL281" s="161"/>
      <c r="EM281" s="161"/>
      <c r="EN281" s="161"/>
      <c r="EO281" s="161"/>
      <c r="EP281" s="161"/>
      <c r="EQ281" s="161">
        <f>SUM(ER281:ES281)</f>
      </c>
      <c r="ER281" s="161"/>
      <c r="ES281" s="161"/>
      <c r="ET281" s="161"/>
      <c r="EU281" s="161"/>
      <c r="EV281" s="161"/>
      <c r="EW281" s="161"/>
      <c r="EX281" s="161"/>
      <c r="EY281" s="161"/>
      <c r="EZ281" s="161"/>
      <c r="FA281" s="161"/>
      <c r="FB281" s="161"/>
      <c r="FC281" s="161"/>
      <c r="FD281" s="161"/>
      <c r="FE281" s="161"/>
      <c r="FF281" s="161"/>
      <c r="FG281" s="161"/>
      <c r="FH281" s="163" cm="1">
        <f t="array" ref="FH281">ROW()-ROW(Ongoing[#Headers])</f>
        <v>275</v>
      </c>
      <c r="FI281" s="164" t="s">
        <v>1225</v>
      </c>
      <c r="FJ281" s="164" t="s">
        <v>1226</v>
      </c>
      <c r="FK281" s="164" t="s">
        <v>1227</v>
      </c>
      <c r="FL281" s="164" t="s">
        <v>789</v>
      </c>
      <c r="FM281" s="164" t="s">
        <v>790</v>
      </c>
      <c r="FN281" s="164">
        <v>0</v>
      </c>
      <c r="FO281" s="164">
        <v>0</v>
      </c>
      <c r="FP281" s="164">
        <v>0</v>
      </c>
    </row>
    <row r="282" spans="2:172" s="115" customFormat="1" ht="11.25" x14ac:dyDescent="0.2">
      <c r="B282" s="148"/>
      <c r="C282" s="148"/>
      <c r="D282" s="148"/>
      <c r="E282" s="148"/>
      <c r="F282" s="148"/>
      <c r="G282" s="148"/>
      <c r="H282" s="148"/>
      <c r="I282" s="148"/>
      <c r="J282" s="148"/>
      <c r="K282" s="148"/>
      <c r="L282" s="148"/>
      <c r="M282" s="160"/>
      <c r="N282" s="160"/>
      <c r="O282" s="148"/>
      <c r="P282" s="161">
        <f>SUM(Q282:AP282)</f>
      </c>
      <c r="Q282" s="161"/>
      <c r="R282" s="161"/>
      <c r="S282" s="161"/>
      <c r="T282" s="161"/>
      <c r="U282" s="161"/>
      <c r="V282" s="161"/>
      <c r="W282" s="161"/>
      <c r="X282" s="161"/>
      <c r="Y282" s="161"/>
      <c r="Z282" s="161"/>
      <c r="AA282" s="161"/>
      <c r="AB282" s="161"/>
      <c r="AC282" s="161"/>
      <c r="AD282" s="161"/>
      <c r="AE282" s="161"/>
      <c r="AF282" s="161"/>
      <c r="AG282" s="161"/>
      <c r="AH282" s="161"/>
      <c r="AI282" s="161"/>
      <c r="AJ282" s="161"/>
      <c r="AK282" s="161"/>
      <c r="AL282" s="161"/>
      <c r="AM282" s="161"/>
      <c r="AN282" s="161"/>
      <c r="AO282" s="161"/>
      <c r="AP282" s="161"/>
      <c r="AQ282" s="161">
        <f>SUM(AR282:AU282)</f>
      </c>
      <c r="AR282" s="161"/>
      <c r="AS282" s="161"/>
      <c r="AT282" s="161"/>
      <c r="AU282" s="161"/>
      <c r="AV282" s="161">
        <f>SUM(AW282:BH282)</f>
      </c>
      <c r="AW282" s="161"/>
      <c r="AX282" s="161"/>
      <c r="AY282" s="161"/>
      <c r="AZ282" s="161"/>
      <c r="BA282" s="161"/>
      <c r="BB282" s="161"/>
      <c r="BC282" s="161"/>
      <c r="BD282" s="161"/>
      <c r="BE282" s="161"/>
      <c r="BF282" s="161"/>
      <c r="BG282" s="161"/>
      <c r="BH282" s="161"/>
      <c r="BI282" s="161"/>
      <c r="BJ282" s="161"/>
      <c r="BK282" s="161"/>
      <c r="BL282" s="161"/>
      <c r="BM282" s="161"/>
      <c r="BN282" s="161"/>
      <c r="BO282" s="161"/>
      <c r="BP282" s="161"/>
      <c r="BQ282" s="161"/>
      <c r="BR282" s="161"/>
      <c r="BS282" s="161">
        <f>SUM(BT282:BV282)</f>
      </c>
      <c r="BT282" s="161"/>
      <c r="BU282" s="161"/>
      <c r="BV282" s="161"/>
      <c r="BW282" s="161">
        <f>SUM(BX282:CC282)</f>
      </c>
      <c r="BX282" s="161"/>
      <c r="BY282" s="161"/>
      <c r="BZ282" s="161"/>
      <c r="CA282" s="161"/>
      <c r="CB282" s="161"/>
      <c r="CC282" s="161"/>
      <c r="CD282" s="161"/>
      <c r="CE282" s="161"/>
      <c r="CF282" s="161"/>
      <c r="CG282" s="161"/>
      <c r="CH282" s="161"/>
      <c r="CI282" s="161"/>
      <c r="CJ282" s="161">
        <f>SUM(CK282:CM282)</f>
      </c>
      <c r="CK282" s="161"/>
      <c r="CL282" s="161"/>
      <c r="CM282" s="161"/>
      <c r="CN282" s="161">
        <f>SUM(CO282:CS282)</f>
      </c>
      <c r="CO282" s="161"/>
      <c r="CP282" s="161"/>
      <c r="CQ282" s="161"/>
      <c r="CR282" s="161"/>
      <c r="CS282" s="161"/>
      <c r="CT282" s="161"/>
      <c r="CU282" s="161"/>
      <c r="CV282" s="161"/>
      <c r="CW282" s="161"/>
      <c r="CX282" s="161"/>
      <c r="CY282" s="161"/>
      <c r="CZ282" s="161"/>
      <c r="DA282" s="161"/>
      <c r="DB282" s="161"/>
      <c r="DC282" s="161"/>
      <c r="DD282" s="161"/>
      <c r="DE282" s="161"/>
      <c r="DF282" s="161">
        <f>SUM(DG282:DG282)</f>
      </c>
      <c r="DG282" s="161"/>
      <c r="DH282" s="161"/>
      <c r="DI282" s="161"/>
      <c r="DJ282" s="161">
        <f>SUM(DK282:DP282)</f>
      </c>
      <c r="DK282" s="161"/>
      <c r="DL282" s="161"/>
      <c r="DM282" s="161"/>
      <c r="DN282" s="161"/>
      <c r="DO282" s="161"/>
      <c r="DP282" s="161"/>
      <c r="DQ282" s="161"/>
      <c r="DR282" s="161"/>
      <c r="DS282" s="161"/>
      <c r="DT282" s="161"/>
      <c r="DU282" s="161"/>
      <c r="DV282" s="161"/>
      <c r="DW282" s="161"/>
      <c r="DX282" s="161"/>
      <c r="DY282" s="161"/>
      <c r="DZ282" s="161"/>
      <c r="EA282" s="161"/>
      <c r="EB282" s="161"/>
      <c r="EC282" s="161"/>
      <c r="ED282" s="161"/>
      <c r="EE282" s="161"/>
      <c r="EF282" s="161">
        <f>SUM(EG282:EP282)</f>
      </c>
      <c r="EG282" s="161"/>
      <c r="EH282" s="161"/>
      <c r="EI282" s="161"/>
      <c r="EJ282" s="161"/>
      <c r="EK282" s="161"/>
      <c r="EL282" s="161"/>
      <c r="EM282" s="161"/>
      <c r="EN282" s="161"/>
      <c r="EO282" s="161"/>
      <c r="EP282" s="161"/>
      <c r="EQ282" s="161">
        <f>SUM(ER282:ES282)</f>
      </c>
      <c r="ER282" s="161"/>
      <c r="ES282" s="161"/>
      <c r="ET282" s="161"/>
      <c r="EU282" s="161"/>
      <c r="EV282" s="161"/>
      <c r="EW282" s="161"/>
      <c r="EX282" s="161"/>
      <c r="EY282" s="161"/>
      <c r="EZ282" s="161"/>
      <c r="FA282" s="161"/>
      <c r="FB282" s="161"/>
      <c r="FC282" s="161"/>
      <c r="FD282" s="161"/>
      <c r="FE282" s="161"/>
      <c r="FF282" s="161"/>
      <c r="FG282" s="161"/>
      <c r="FH282" s="163" cm="1">
        <f t="array" ref="FH282">ROW()-ROW(Ongoing[#Headers])</f>
        <v>276</v>
      </c>
      <c r="FI282" s="164" t="s">
        <v>1393</v>
      </c>
      <c r="FJ282" s="164" t="s">
        <v>755</v>
      </c>
      <c r="FK282" s="164" t="s">
        <v>788</v>
      </c>
      <c r="FL282" s="164" t="s">
        <v>769</v>
      </c>
      <c r="FM282" s="164" t="s">
        <v>1394</v>
      </c>
      <c r="FN282" s="164">
        <v>0</v>
      </c>
      <c r="FO282" s="164">
        <v>0</v>
      </c>
      <c r="FP282" s="164">
        <v>0</v>
      </c>
    </row>
    <row r="283" spans="2:172" s="115" customFormat="1" ht="11.25" x14ac:dyDescent="0.2">
      <c r="B283" s="148"/>
      <c r="C283" s="148"/>
      <c r="D283" s="148"/>
      <c r="E283" s="148"/>
      <c r="F283" s="148"/>
      <c r="G283" s="148"/>
      <c r="H283" s="148"/>
      <c r="I283" s="148"/>
      <c r="J283" s="148"/>
      <c r="K283" s="148"/>
      <c r="L283" s="148"/>
      <c r="M283" s="160"/>
      <c r="N283" s="160"/>
      <c r="O283" s="148"/>
      <c r="P283" s="161">
        <f>SUM(Q283:AP283)</f>
      </c>
      <c r="Q283" s="161"/>
      <c r="R283" s="161"/>
      <c r="S283" s="161"/>
      <c r="T283" s="161"/>
      <c r="U283" s="161"/>
      <c r="V283" s="161"/>
      <c r="W283" s="161"/>
      <c r="X283" s="161"/>
      <c r="Y283" s="161"/>
      <c r="Z283" s="161"/>
      <c r="AA283" s="161"/>
      <c r="AB283" s="161"/>
      <c r="AC283" s="161"/>
      <c r="AD283" s="161"/>
      <c r="AE283" s="161"/>
      <c r="AF283" s="161"/>
      <c r="AG283" s="161"/>
      <c r="AH283" s="161"/>
      <c r="AI283" s="161"/>
      <c r="AJ283" s="161"/>
      <c r="AK283" s="161"/>
      <c r="AL283" s="161"/>
      <c r="AM283" s="161"/>
      <c r="AN283" s="161"/>
      <c r="AO283" s="161"/>
      <c r="AP283" s="161"/>
      <c r="AQ283" s="161">
        <f>SUM(AR283:AU283)</f>
      </c>
      <c r="AR283" s="161"/>
      <c r="AS283" s="161"/>
      <c r="AT283" s="161"/>
      <c r="AU283" s="161"/>
      <c r="AV283" s="161">
        <f>SUM(AW283:BH283)</f>
      </c>
      <c r="AW283" s="161"/>
      <c r="AX283" s="161"/>
      <c r="AY283" s="161"/>
      <c r="AZ283" s="161"/>
      <c r="BA283" s="161"/>
      <c r="BB283" s="161"/>
      <c r="BC283" s="161"/>
      <c r="BD283" s="161"/>
      <c r="BE283" s="161"/>
      <c r="BF283" s="161"/>
      <c r="BG283" s="161"/>
      <c r="BH283" s="161"/>
      <c r="BI283" s="161"/>
      <c r="BJ283" s="161"/>
      <c r="BK283" s="161"/>
      <c r="BL283" s="161"/>
      <c r="BM283" s="161"/>
      <c r="BN283" s="161"/>
      <c r="BO283" s="161"/>
      <c r="BP283" s="161"/>
      <c r="BQ283" s="161"/>
      <c r="BR283" s="161"/>
      <c r="BS283" s="161">
        <f>SUM(BT283:BV283)</f>
      </c>
      <c r="BT283" s="161"/>
      <c r="BU283" s="161"/>
      <c r="BV283" s="161"/>
      <c r="BW283" s="161">
        <f>SUM(BX283:CC283)</f>
      </c>
      <c r="BX283" s="161"/>
      <c r="BY283" s="161"/>
      <c r="BZ283" s="161"/>
      <c r="CA283" s="161"/>
      <c r="CB283" s="161"/>
      <c r="CC283" s="161"/>
      <c r="CD283" s="161"/>
      <c r="CE283" s="161"/>
      <c r="CF283" s="161"/>
      <c r="CG283" s="161"/>
      <c r="CH283" s="161"/>
      <c r="CI283" s="161"/>
      <c r="CJ283" s="161">
        <f>SUM(CK283:CM283)</f>
      </c>
      <c r="CK283" s="161"/>
      <c r="CL283" s="161"/>
      <c r="CM283" s="161"/>
      <c r="CN283" s="161">
        <f>SUM(CO283:CS283)</f>
      </c>
      <c r="CO283" s="161"/>
      <c r="CP283" s="161"/>
      <c r="CQ283" s="161"/>
      <c r="CR283" s="161"/>
      <c r="CS283" s="161"/>
      <c r="CT283" s="161"/>
      <c r="CU283" s="161"/>
      <c r="CV283" s="161"/>
      <c r="CW283" s="161"/>
      <c r="CX283" s="161"/>
      <c r="CY283" s="161"/>
      <c r="CZ283" s="161"/>
      <c r="DA283" s="161"/>
      <c r="DB283" s="161"/>
      <c r="DC283" s="161"/>
      <c r="DD283" s="161"/>
      <c r="DE283" s="161"/>
      <c r="DF283" s="161">
        <f>SUM(DG283:DG283)</f>
      </c>
      <c r="DG283" s="161"/>
      <c r="DH283" s="161"/>
      <c r="DI283" s="161"/>
      <c r="DJ283" s="161">
        <f>SUM(DK283:DP283)</f>
      </c>
      <c r="DK283" s="161"/>
      <c r="DL283" s="161"/>
      <c r="DM283" s="161"/>
      <c r="DN283" s="161"/>
      <c r="DO283" s="161"/>
      <c r="DP283" s="161"/>
      <c r="DQ283" s="161"/>
      <c r="DR283" s="161"/>
      <c r="DS283" s="161"/>
      <c r="DT283" s="161"/>
      <c r="DU283" s="161"/>
      <c r="DV283" s="161"/>
      <c r="DW283" s="161"/>
      <c r="DX283" s="161"/>
      <c r="DY283" s="161"/>
      <c r="DZ283" s="161"/>
      <c r="EA283" s="161"/>
      <c r="EB283" s="161"/>
      <c r="EC283" s="161"/>
      <c r="ED283" s="161"/>
      <c r="EE283" s="161"/>
      <c r="EF283" s="161">
        <f>SUM(EG283:EP283)</f>
      </c>
      <c r="EG283" s="161"/>
      <c r="EH283" s="161"/>
      <c r="EI283" s="161"/>
      <c r="EJ283" s="161"/>
      <c r="EK283" s="161"/>
      <c r="EL283" s="161"/>
      <c r="EM283" s="161"/>
      <c r="EN283" s="161"/>
      <c r="EO283" s="161"/>
      <c r="EP283" s="161"/>
      <c r="EQ283" s="161">
        <f>SUM(ER283:ES283)</f>
      </c>
      <c r="ER283" s="161"/>
      <c r="ES283" s="161"/>
      <c r="ET283" s="161"/>
      <c r="EU283" s="161"/>
      <c r="EV283" s="161"/>
      <c r="EW283" s="161"/>
      <c r="EX283" s="161"/>
      <c r="EY283" s="161"/>
      <c r="EZ283" s="161"/>
      <c r="FA283" s="161"/>
      <c r="FB283" s="161"/>
      <c r="FC283" s="161"/>
      <c r="FD283" s="161"/>
      <c r="FE283" s="161"/>
      <c r="FF283" s="161"/>
      <c r="FG283" s="161"/>
      <c r="FH283" s="163" cm="1">
        <f t="array" ref="FH283">ROW()-ROW(Ongoing[#Headers])</f>
        <v>277</v>
      </c>
      <c r="FI283" s="164"/>
      <c r="FJ283" s="164"/>
      <c r="FK283" s="164"/>
      <c r="FL283" s="164"/>
      <c r="FM283" s="164"/>
      <c r="FN283" s="164"/>
      <c r="FO283" s="164"/>
      <c r="FP283" s="164"/>
    </row>
    <row r="284" spans="2:172" s="115" customFormat="1" ht="11.25" x14ac:dyDescent="0.2">
      <c r="B284" s="148"/>
      <c r="C284" s="148"/>
      <c r="D284" s="148"/>
      <c r="E284" s="148"/>
      <c r="F284" s="148"/>
      <c r="G284" s="148"/>
      <c r="H284" s="148"/>
      <c r="I284" s="148"/>
      <c r="J284" s="148"/>
      <c r="K284" s="148"/>
      <c r="L284" s="148"/>
      <c r="M284" s="160"/>
      <c r="N284" s="160"/>
      <c r="O284" s="148"/>
      <c r="P284" s="161">
        <f>SUM(Q284:AP284)</f>
      </c>
      <c r="Q284" s="161"/>
      <c r="R284" s="161"/>
      <c r="S284" s="161"/>
      <c r="T284" s="161"/>
      <c r="U284" s="161"/>
      <c r="V284" s="161"/>
      <c r="W284" s="161"/>
      <c r="X284" s="161"/>
      <c r="Y284" s="161"/>
      <c r="Z284" s="161"/>
      <c r="AA284" s="161"/>
      <c r="AB284" s="161"/>
      <c r="AC284" s="161"/>
      <c r="AD284" s="161"/>
      <c r="AE284" s="161"/>
      <c r="AF284" s="161"/>
      <c r="AG284" s="161"/>
      <c r="AH284" s="161"/>
      <c r="AI284" s="161"/>
      <c r="AJ284" s="161"/>
      <c r="AK284" s="161"/>
      <c r="AL284" s="161"/>
      <c r="AM284" s="161"/>
      <c r="AN284" s="161"/>
      <c r="AO284" s="161"/>
      <c r="AP284" s="161"/>
      <c r="AQ284" s="161">
        <f>SUM(AR284:AU284)</f>
      </c>
      <c r="AR284" s="161"/>
      <c r="AS284" s="161"/>
      <c r="AT284" s="161"/>
      <c r="AU284" s="161"/>
      <c r="AV284" s="161">
        <f>SUM(AW284:BH284)</f>
      </c>
      <c r="AW284" s="161"/>
      <c r="AX284" s="161"/>
      <c r="AY284" s="161"/>
      <c r="AZ284" s="161"/>
      <c r="BA284" s="161"/>
      <c r="BB284" s="161"/>
      <c r="BC284" s="161"/>
      <c r="BD284" s="161"/>
      <c r="BE284" s="161"/>
      <c r="BF284" s="161"/>
      <c r="BG284" s="161"/>
      <c r="BH284" s="161"/>
      <c r="BI284" s="161"/>
      <c r="BJ284" s="161"/>
      <c r="BK284" s="161"/>
      <c r="BL284" s="161"/>
      <c r="BM284" s="161"/>
      <c r="BN284" s="161"/>
      <c r="BO284" s="161"/>
      <c r="BP284" s="161"/>
      <c r="BQ284" s="161"/>
      <c r="BR284" s="161"/>
      <c r="BS284" s="161">
        <f>SUM(BT284:BV284)</f>
      </c>
      <c r="BT284" s="161"/>
      <c r="BU284" s="161"/>
      <c r="BV284" s="161"/>
      <c r="BW284" s="161">
        <f>SUM(BX284:CC284)</f>
      </c>
      <c r="BX284" s="161"/>
      <c r="BY284" s="161"/>
      <c r="BZ284" s="161"/>
      <c r="CA284" s="161"/>
      <c r="CB284" s="161"/>
      <c r="CC284" s="161"/>
      <c r="CD284" s="161"/>
      <c r="CE284" s="161"/>
      <c r="CF284" s="161"/>
      <c r="CG284" s="161"/>
      <c r="CH284" s="161"/>
      <c r="CI284" s="161"/>
      <c r="CJ284" s="161">
        <f>SUM(CK284:CM284)</f>
      </c>
      <c r="CK284" s="161"/>
      <c r="CL284" s="161"/>
      <c r="CM284" s="161"/>
      <c r="CN284" s="161">
        <f>SUM(CO284:CS284)</f>
      </c>
      <c r="CO284" s="161"/>
      <c r="CP284" s="161"/>
      <c r="CQ284" s="161"/>
      <c r="CR284" s="161"/>
      <c r="CS284" s="161"/>
      <c r="CT284" s="161"/>
      <c r="CU284" s="161"/>
      <c r="CV284" s="161"/>
      <c r="CW284" s="161"/>
      <c r="CX284" s="161"/>
      <c r="CY284" s="161"/>
      <c r="CZ284" s="161"/>
      <c r="DA284" s="161"/>
      <c r="DB284" s="161"/>
      <c r="DC284" s="161"/>
      <c r="DD284" s="161"/>
      <c r="DE284" s="161"/>
      <c r="DF284" s="161">
        <f>SUM(DG284:DG284)</f>
      </c>
      <c r="DG284" s="161"/>
      <c r="DH284" s="161"/>
      <c r="DI284" s="161"/>
      <c r="DJ284" s="161">
        <f>SUM(DK284:DP284)</f>
      </c>
      <c r="DK284" s="161"/>
      <c r="DL284" s="161"/>
      <c r="DM284" s="161"/>
      <c r="DN284" s="161"/>
      <c r="DO284" s="161"/>
      <c r="DP284" s="161"/>
      <c r="DQ284" s="161"/>
      <c r="DR284" s="161"/>
      <c r="DS284" s="161"/>
      <c r="DT284" s="161"/>
      <c r="DU284" s="161"/>
      <c r="DV284" s="161"/>
      <c r="DW284" s="161"/>
      <c r="DX284" s="161"/>
      <c r="DY284" s="161"/>
      <c r="DZ284" s="161"/>
      <c r="EA284" s="161"/>
      <c r="EB284" s="161"/>
      <c r="EC284" s="161"/>
      <c r="ED284" s="161"/>
      <c r="EE284" s="161"/>
      <c r="EF284" s="161">
        <f>SUM(EG284:EP284)</f>
      </c>
      <c r="EG284" s="161"/>
      <c r="EH284" s="161"/>
      <c r="EI284" s="161"/>
      <c r="EJ284" s="161"/>
      <c r="EK284" s="161"/>
      <c r="EL284" s="161"/>
      <c r="EM284" s="161"/>
      <c r="EN284" s="161"/>
      <c r="EO284" s="161"/>
      <c r="EP284" s="161"/>
      <c r="EQ284" s="161">
        <f>SUM(ER284:ES284)</f>
      </c>
      <c r="ER284" s="161"/>
      <c r="ES284" s="161"/>
      <c r="ET284" s="161"/>
      <c r="EU284" s="161"/>
      <c r="EV284" s="161"/>
      <c r="EW284" s="161"/>
      <c r="EX284" s="161"/>
      <c r="EY284" s="161"/>
      <c r="EZ284" s="161"/>
      <c r="FA284" s="161"/>
      <c r="FB284" s="161"/>
      <c r="FC284" s="161"/>
      <c r="FD284" s="161"/>
      <c r="FE284" s="161"/>
      <c r="FF284" s="161"/>
      <c r="FG284" s="161"/>
      <c r="FH284" s="163" cm="1">
        <f t="array" ref="FH284">ROW()-ROW(Ongoing[#Headers])</f>
        <v>278</v>
      </c>
      <c r="FI284" s="164" t="s">
        <v>754</v>
      </c>
      <c r="FJ284" s="164" t="s">
        <v>755</v>
      </c>
      <c r="FK284" s="164">
        <v>0</v>
      </c>
      <c r="FL284" s="164" t="s">
        <v>756</v>
      </c>
      <c r="FM284" s="164" t="s">
        <v>1401</v>
      </c>
      <c r="FN284" s="164" t="s">
        <v>757</v>
      </c>
      <c r="FO284" s="164" t="s">
        <v>1402</v>
      </c>
      <c r="FP284" s="164" t="s">
        <v>1403</v>
      </c>
    </row>
    <row r="285" spans="2:172" s="115" customFormat="1" ht="11.25" x14ac:dyDescent="0.2">
      <c r="B285" s="148"/>
      <c r="C285" s="148"/>
      <c r="D285" s="148"/>
      <c r="E285" s="148"/>
      <c r="F285" s="148"/>
      <c r="G285" s="148"/>
      <c r="H285" s="148"/>
      <c r="I285" s="148"/>
      <c r="J285" s="148"/>
      <c r="K285" s="148"/>
      <c r="L285" s="148"/>
      <c r="M285" s="160"/>
      <c r="N285" s="160"/>
      <c r="O285" s="148"/>
      <c r="P285" s="161">
        <f>SUM(Q285:AP285)</f>
      </c>
      <c r="Q285" s="161"/>
      <c r="R285" s="161"/>
      <c r="S285" s="161"/>
      <c r="T285" s="161"/>
      <c r="U285" s="161"/>
      <c r="V285" s="161"/>
      <c r="W285" s="161"/>
      <c r="X285" s="161"/>
      <c r="Y285" s="161"/>
      <c r="Z285" s="161"/>
      <c r="AA285" s="161"/>
      <c r="AB285" s="161"/>
      <c r="AC285" s="161"/>
      <c r="AD285" s="161"/>
      <c r="AE285" s="161"/>
      <c r="AF285" s="161"/>
      <c r="AG285" s="161"/>
      <c r="AH285" s="161"/>
      <c r="AI285" s="161"/>
      <c r="AJ285" s="161"/>
      <c r="AK285" s="161"/>
      <c r="AL285" s="161"/>
      <c r="AM285" s="161"/>
      <c r="AN285" s="161"/>
      <c r="AO285" s="161"/>
      <c r="AP285" s="161"/>
      <c r="AQ285" s="161">
        <f>SUM(AR285:AU285)</f>
      </c>
      <c r="AR285" s="161"/>
      <c r="AS285" s="161"/>
      <c r="AT285" s="161"/>
      <c r="AU285" s="161"/>
      <c r="AV285" s="161">
        <f>SUM(AW285:BH285)</f>
      </c>
      <c r="AW285" s="161"/>
      <c r="AX285" s="161"/>
      <c r="AY285" s="161"/>
      <c r="AZ285" s="161"/>
      <c r="BA285" s="161"/>
      <c r="BB285" s="161"/>
      <c r="BC285" s="161"/>
      <c r="BD285" s="161"/>
      <c r="BE285" s="161"/>
      <c r="BF285" s="161"/>
      <c r="BG285" s="161"/>
      <c r="BH285" s="161"/>
      <c r="BI285" s="161"/>
      <c r="BJ285" s="161"/>
      <c r="BK285" s="161"/>
      <c r="BL285" s="161"/>
      <c r="BM285" s="161"/>
      <c r="BN285" s="161"/>
      <c r="BO285" s="161"/>
      <c r="BP285" s="161"/>
      <c r="BQ285" s="161"/>
      <c r="BR285" s="161"/>
      <c r="BS285" s="161">
        <f>SUM(BT285:BV285)</f>
      </c>
      <c r="BT285" s="161"/>
      <c r="BU285" s="161"/>
      <c r="BV285" s="161"/>
      <c r="BW285" s="161">
        <f>SUM(BX285:CC285)</f>
      </c>
      <c r="BX285" s="161"/>
      <c r="BY285" s="161"/>
      <c r="BZ285" s="161"/>
      <c r="CA285" s="161"/>
      <c r="CB285" s="161"/>
      <c r="CC285" s="161"/>
      <c r="CD285" s="161"/>
      <c r="CE285" s="161"/>
      <c r="CF285" s="161"/>
      <c r="CG285" s="161"/>
      <c r="CH285" s="161"/>
      <c r="CI285" s="161"/>
      <c r="CJ285" s="161">
        <f>SUM(CK285:CM285)</f>
      </c>
      <c r="CK285" s="161"/>
      <c r="CL285" s="161"/>
      <c r="CM285" s="161"/>
      <c r="CN285" s="161">
        <f>SUM(CO285:CS285)</f>
      </c>
      <c r="CO285" s="161"/>
      <c r="CP285" s="161"/>
      <c r="CQ285" s="161"/>
      <c r="CR285" s="161"/>
      <c r="CS285" s="161"/>
      <c r="CT285" s="161"/>
      <c r="CU285" s="161"/>
      <c r="CV285" s="161"/>
      <c r="CW285" s="161"/>
      <c r="CX285" s="161"/>
      <c r="CY285" s="161"/>
      <c r="CZ285" s="161"/>
      <c r="DA285" s="161"/>
      <c r="DB285" s="161"/>
      <c r="DC285" s="161"/>
      <c r="DD285" s="161"/>
      <c r="DE285" s="161"/>
      <c r="DF285" s="161">
        <f>SUM(DG285:DG285)</f>
      </c>
      <c r="DG285" s="161"/>
      <c r="DH285" s="161"/>
      <c r="DI285" s="161"/>
      <c r="DJ285" s="161">
        <f>SUM(DK285:DP285)</f>
      </c>
      <c r="DK285" s="161"/>
      <c r="DL285" s="161"/>
      <c r="DM285" s="161"/>
      <c r="DN285" s="161"/>
      <c r="DO285" s="161"/>
      <c r="DP285" s="161"/>
      <c r="DQ285" s="161"/>
      <c r="DR285" s="161"/>
      <c r="DS285" s="161"/>
      <c r="DT285" s="161"/>
      <c r="DU285" s="161"/>
      <c r="DV285" s="161"/>
      <c r="DW285" s="161"/>
      <c r="DX285" s="161"/>
      <c r="DY285" s="161"/>
      <c r="DZ285" s="161"/>
      <c r="EA285" s="161"/>
      <c r="EB285" s="161"/>
      <c r="EC285" s="161"/>
      <c r="ED285" s="161"/>
      <c r="EE285" s="161"/>
      <c r="EF285" s="161">
        <f>SUM(EG285:EP285)</f>
      </c>
      <c r="EG285" s="161"/>
      <c r="EH285" s="161"/>
      <c r="EI285" s="161"/>
      <c r="EJ285" s="161"/>
      <c r="EK285" s="161"/>
      <c r="EL285" s="161"/>
      <c r="EM285" s="161"/>
      <c r="EN285" s="161"/>
      <c r="EO285" s="161"/>
      <c r="EP285" s="161"/>
      <c r="EQ285" s="161">
        <f>SUM(ER285:ES285)</f>
      </c>
      <c r="ER285" s="161"/>
      <c r="ES285" s="161"/>
      <c r="ET285" s="161"/>
      <c r="EU285" s="161"/>
      <c r="EV285" s="161"/>
      <c r="EW285" s="161"/>
      <c r="EX285" s="161"/>
      <c r="EY285" s="161"/>
      <c r="EZ285" s="161"/>
      <c r="FA285" s="161"/>
      <c r="FB285" s="161"/>
      <c r="FC285" s="161"/>
      <c r="FD285" s="161"/>
      <c r="FE285" s="161"/>
      <c r="FF285" s="161"/>
      <c r="FG285" s="161"/>
      <c r="FH285" s="163" cm="1">
        <f t="array" ref="FH285">ROW()-ROW(Ongoing[#Headers])</f>
        <v>279</v>
      </c>
      <c r="FI285" s="164" t="s">
        <v>754</v>
      </c>
      <c r="FJ285" s="164" t="s">
        <v>755</v>
      </c>
      <c r="FK285" s="164">
        <v>0</v>
      </c>
      <c r="FL285" s="164" t="s">
        <v>756</v>
      </c>
      <c r="FM285" s="164" t="s">
        <v>1401</v>
      </c>
      <c r="FN285" s="164" t="s">
        <v>757</v>
      </c>
      <c r="FO285" s="164" t="s">
        <v>1402</v>
      </c>
      <c r="FP285" s="164" t="s">
        <v>1403</v>
      </c>
    </row>
    <row r="286" spans="2:172" s="115" customFormat="1" ht="11.25" x14ac:dyDescent="0.2">
      <c r="B286" s="148"/>
      <c r="C286" s="148"/>
      <c r="D286" s="148"/>
      <c r="E286" s="148"/>
      <c r="F286" s="148"/>
      <c r="G286" s="148"/>
      <c r="H286" s="148"/>
      <c r="I286" s="148"/>
      <c r="J286" s="148"/>
      <c r="K286" s="148"/>
      <c r="L286" s="148"/>
      <c r="M286" s="160"/>
      <c r="N286" s="160"/>
      <c r="O286" s="148"/>
      <c r="P286" s="161">
        <f>SUM(Q286:AP286)</f>
      </c>
      <c r="Q286" s="161"/>
      <c r="R286" s="161"/>
      <c r="S286" s="161"/>
      <c r="T286" s="161"/>
      <c r="U286" s="161"/>
      <c r="V286" s="161"/>
      <c r="W286" s="161"/>
      <c r="X286" s="161"/>
      <c r="Y286" s="161"/>
      <c r="Z286" s="161"/>
      <c r="AA286" s="161"/>
      <c r="AB286" s="161"/>
      <c r="AC286" s="161"/>
      <c r="AD286" s="161"/>
      <c r="AE286" s="161"/>
      <c r="AF286" s="161"/>
      <c r="AG286" s="161"/>
      <c r="AH286" s="161"/>
      <c r="AI286" s="161"/>
      <c r="AJ286" s="161"/>
      <c r="AK286" s="161"/>
      <c r="AL286" s="161"/>
      <c r="AM286" s="161"/>
      <c r="AN286" s="161"/>
      <c r="AO286" s="161"/>
      <c r="AP286" s="161"/>
      <c r="AQ286" s="161">
        <f>SUM(AR286:AU286)</f>
      </c>
      <c r="AR286" s="161"/>
      <c r="AS286" s="161"/>
      <c r="AT286" s="161"/>
      <c r="AU286" s="161"/>
      <c r="AV286" s="161">
        <f>SUM(AW286:BH286)</f>
      </c>
      <c r="AW286" s="161"/>
      <c r="AX286" s="161"/>
      <c r="AY286" s="161"/>
      <c r="AZ286" s="161"/>
      <c r="BA286" s="161"/>
      <c r="BB286" s="161"/>
      <c r="BC286" s="161"/>
      <c r="BD286" s="161"/>
      <c r="BE286" s="161"/>
      <c r="BF286" s="161"/>
      <c r="BG286" s="161"/>
      <c r="BH286" s="161"/>
      <c r="BI286" s="161"/>
      <c r="BJ286" s="161"/>
      <c r="BK286" s="161"/>
      <c r="BL286" s="161"/>
      <c r="BM286" s="161"/>
      <c r="BN286" s="161"/>
      <c r="BO286" s="161"/>
      <c r="BP286" s="161"/>
      <c r="BQ286" s="161"/>
      <c r="BR286" s="161"/>
      <c r="BS286" s="161">
        <f>SUM(BT286:BV286)</f>
      </c>
      <c r="BT286" s="161"/>
      <c r="BU286" s="161"/>
      <c r="BV286" s="161"/>
      <c r="BW286" s="161">
        <f>SUM(BX286:CC286)</f>
      </c>
      <c r="BX286" s="161"/>
      <c r="BY286" s="161"/>
      <c r="BZ286" s="161"/>
      <c r="CA286" s="161"/>
      <c r="CB286" s="161"/>
      <c r="CC286" s="161"/>
      <c r="CD286" s="161"/>
      <c r="CE286" s="161"/>
      <c r="CF286" s="161"/>
      <c r="CG286" s="161"/>
      <c r="CH286" s="161"/>
      <c r="CI286" s="161"/>
      <c r="CJ286" s="161">
        <f>SUM(CK286:CM286)</f>
      </c>
      <c r="CK286" s="161"/>
      <c r="CL286" s="161"/>
      <c r="CM286" s="161"/>
      <c r="CN286" s="161">
        <f>SUM(CO286:CS286)</f>
      </c>
      <c r="CO286" s="161"/>
      <c r="CP286" s="161"/>
      <c r="CQ286" s="161"/>
      <c r="CR286" s="161"/>
      <c r="CS286" s="161"/>
      <c r="CT286" s="161"/>
      <c r="CU286" s="161"/>
      <c r="CV286" s="161"/>
      <c r="CW286" s="161"/>
      <c r="CX286" s="161"/>
      <c r="CY286" s="161"/>
      <c r="CZ286" s="161"/>
      <c r="DA286" s="161"/>
      <c r="DB286" s="161"/>
      <c r="DC286" s="161"/>
      <c r="DD286" s="161"/>
      <c r="DE286" s="161"/>
      <c r="DF286" s="161">
        <f>SUM(DG286:DG286)</f>
      </c>
      <c r="DG286" s="161"/>
      <c r="DH286" s="161"/>
      <c r="DI286" s="161"/>
      <c r="DJ286" s="161">
        <f>SUM(DK286:DP286)</f>
      </c>
      <c r="DK286" s="161"/>
      <c r="DL286" s="161"/>
      <c r="DM286" s="161"/>
      <c r="DN286" s="161"/>
      <c r="DO286" s="161"/>
      <c r="DP286" s="161"/>
      <c r="DQ286" s="161"/>
      <c r="DR286" s="161"/>
      <c r="DS286" s="161"/>
      <c r="DT286" s="161"/>
      <c r="DU286" s="161"/>
      <c r="DV286" s="161"/>
      <c r="DW286" s="161"/>
      <c r="DX286" s="161"/>
      <c r="DY286" s="161"/>
      <c r="DZ286" s="161"/>
      <c r="EA286" s="161"/>
      <c r="EB286" s="161"/>
      <c r="EC286" s="161"/>
      <c r="ED286" s="161"/>
      <c r="EE286" s="161"/>
      <c r="EF286" s="161">
        <f>SUM(EG286:EP286)</f>
      </c>
      <c r="EG286" s="161"/>
      <c r="EH286" s="161"/>
      <c r="EI286" s="161"/>
      <c r="EJ286" s="161"/>
      <c r="EK286" s="161"/>
      <c r="EL286" s="161"/>
      <c r="EM286" s="161"/>
      <c r="EN286" s="161"/>
      <c r="EO286" s="161"/>
      <c r="EP286" s="161"/>
      <c r="EQ286" s="161">
        <f>SUM(ER286:ES286)</f>
      </c>
      <c r="ER286" s="161"/>
      <c r="ES286" s="161"/>
      <c r="ET286" s="161"/>
      <c r="EU286" s="161"/>
      <c r="EV286" s="161"/>
      <c r="EW286" s="161"/>
      <c r="EX286" s="161"/>
      <c r="EY286" s="161"/>
      <c r="EZ286" s="161"/>
      <c r="FA286" s="161"/>
      <c r="FB286" s="161"/>
      <c r="FC286" s="161"/>
      <c r="FD286" s="161"/>
      <c r="FE286" s="161"/>
      <c r="FF286" s="161"/>
      <c r="FG286" s="161"/>
      <c r="FH286" s="163" cm="1">
        <f t="array" ref="FH286">ROW()-ROW(Ongoing[#Headers])</f>
        <v>280</v>
      </c>
      <c r="FI286" s="164"/>
      <c r="FJ286" s="164"/>
      <c r="FK286" s="164"/>
      <c r="FL286" s="164"/>
      <c r="FM286" s="164"/>
      <c r="FN286" s="164"/>
      <c r="FO286" s="164"/>
      <c r="FP286" s="164"/>
    </row>
    <row r="287" spans="2:172" s="115" customFormat="1" ht="11.25" x14ac:dyDescent="0.2">
      <c r="B287" s="148"/>
      <c r="C287" s="148"/>
      <c r="D287" s="148"/>
      <c r="E287" s="148"/>
      <c r="F287" s="148"/>
      <c r="G287" s="148"/>
      <c r="H287" s="148"/>
      <c r="I287" s="148"/>
      <c r="J287" s="148"/>
      <c r="K287" s="148"/>
      <c r="L287" s="148"/>
      <c r="M287" s="160"/>
      <c r="N287" s="160"/>
      <c r="O287" s="148"/>
      <c r="P287" s="161">
        <f>SUM(Q287:AP287)</f>
      </c>
      <c r="Q287" s="161"/>
      <c r="R287" s="161"/>
      <c r="S287" s="161"/>
      <c r="T287" s="161"/>
      <c r="U287" s="161"/>
      <c r="V287" s="161"/>
      <c r="W287" s="161"/>
      <c r="X287" s="161"/>
      <c r="Y287" s="161"/>
      <c r="Z287" s="161"/>
      <c r="AA287" s="161"/>
      <c r="AB287" s="161"/>
      <c r="AC287" s="161"/>
      <c r="AD287" s="161"/>
      <c r="AE287" s="161"/>
      <c r="AF287" s="161"/>
      <c r="AG287" s="161"/>
      <c r="AH287" s="161"/>
      <c r="AI287" s="161"/>
      <c r="AJ287" s="161"/>
      <c r="AK287" s="161"/>
      <c r="AL287" s="161"/>
      <c r="AM287" s="161"/>
      <c r="AN287" s="161"/>
      <c r="AO287" s="161"/>
      <c r="AP287" s="161"/>
      <c r="AQ287" s="161">
        <f>SUM(AR287:AU287)</f>
      </c>
      <c r="AR287" s="161"/>
      <c r="AS287" s="161"/>
      <c r="AT287" s="161"/>
      <c r="AU287" s="161"/>
      <c r="AV287" s="161">
        <f>SUM(AW287:BH287)</f>
      </c>
      <c r="AW287" s="161"/>
      <c r="AX287" s="161"/>
      <c r="AY287" s="161"/>
      <c r="AZ287" s="161"/>
      <c r="BA287" s="161"/>
      <c r="BB287" s="161"/>
      <c r="BC287" s="161"/>
      <c r="BD287" s="161"/>
      <c r="BE287" s="161"/>
      <c r="BF287" s="161"/>
      <c r="BG287" s="161"/>
      <c r="BH287" s="161"/>
      <c r="BI287" s="161"/>
      <c r="BJ287" s="161"/>
      <c r="BK287" s="161"/>
      <c r="BL287" s="161"/>
      <c r="BM287" s="161"/>
      <c r="BN287" s="161"/>
      <c r="BO287" s="161"/>
      <c r="BP287" s="161"/>
      <c r="BQ287" s="161"/>
      <c r="BR287" s="161"/>
      <c r="BS287" s="161">
        <f>SUM(BT287:BV287)</f>
      </c>
      <c r="BT287" s="161"/>
      <c r="BU287" s="161"/>
      <c r="BV287" s="161"/>
      <c r="BW287" s="161">
        <f>SUM(BX287:CC287)</f>
      </c>
      <c r="BX287" s="161"/>
      <c r="BY287" s="161"/>
      <c r="BZ287" s="161"/>
      <c r="CA287" s="161"/>
      <c r="CB287" s="161"/>
      <c r="CC287" s="161"/>
      <c r="CD287" s="161"/>
      <c r="CE287" s="161"/>
      <c r="CF287" s="161"/>
      <c r="CG287" s="161"/>
      <c r="CH287" s="161"/>
      <c r="CI287" s="161"/>
      <c r="CJ287" s="161">
        <f>SUM(CK287:CM287)</f>
      </c>
      <c r="CK287" s="161"/>
      <c r="CL287" s="161"/>
      <c r="CM287" s="161"/>
      <c r="CN287" s="161">
        <f>SUM(CO287:CS287)</f>
      </c>
      <c r="CO287" s="161"/>
      <c r="CP287" s="161"/>
      <c r="CQ287" s="161"/>
      <c r="CR287" s="161"/>
      <c r="CS287" s="161"/>
      <c r="CT287" s="161"/>
      <c r="CU287" s="161"/>
      <c r="CV287" s="161"/>
      <c r="CW287" s="161"/>
      <c r="CX287" s="161"/>
      <c r="CY287" s="161"/>
      <c r="CZ287" s="161"/>
      <c r="DA287" s="161"/>
      <c r="DB287" s="161"/>
      <c r="DC287" s="161"/>
      <c r="DD287" s="161"/>
      <c r="DE287" s="161"/>
      <c r="DF287" s="161">
        <f>SUM(DG287:DG287)</f>
      </c>
      <c r="DG287" s="161"/>
      <c r="DH287" s="161"/>
      <c r="DI287" s="161"/>
      <c r="DJ287" s="161">
        <f>SUM(DK287:DP287)</f>
      </c>
      <c r="DK287" s="161"/>
      <c r="DL287" s="161"/>
      <c r="DM287" s="161"/>
      <c r="DN287" s="161"/>
      <c r="DO287" s="161"/>
      <c r="DP287" s="161"/>
      <c r="DQ287" s="161"/>
      <c r="DR287" s="161"/>
      <c r="DS287" s="161"/>
      <c r="DT287" s="161"/>
      <c r="DU287" s="161"/>
      <c r="DV287" s="161"/>
      <c r="DW287" s="161"/>
      <c r="DX287" s="161"/>
      <c r="DY287" s="161"/>
      <c r="DZ287" s="161"/>
      <c r="EA287" s="161"/>
      <c r="EB287" s="161"/>
      <c r="EC287" s="161"/>
      <c r="ED287" s="161"/>
      <c r="EE287" s="161"/>
      <c r="EF287" s="161">
        <f>SUM(EG287:EP287)</f>
      </c>
      <c r="EG287" s="161"/>
      <c r="EH287" s="161"/>
      <c r="EI287" s="161"/>
      <c r="EJ287" s="161"/>
      <c r="EK287" s="161"/>
      <c r="EL287" s="161"/>
      <c r="EM287" s="161"/>
      <c r="EN287" s="161"/>
      <c r="EO287" s="161"/>
      <c r="EP287" s="161"/>
      <c r="EQ287" s="161">
        <f>SUM(ER287:ES287)</f>
      </c>
      <c r="ER287" s="161"/>
      <c r="ES287" s="161"/>
      <c r="ET287" s="161"/>
      <c r="EU287" s="161"/>
      <c r="EV287" s="161"/>
      <c r="EW287" s="161"/>
      <c r="EX287" s="161"/>
      <c r="EY287" s="161"/>
      <c r="EZ287" s="161"/>
      <c r="FA287" s="161"/>
      <c r="FB287" s="161"/>
      <c r="FC287" s="161"/>
      <c r="FD287" s="161"/>
      <c r="FE287" s="161"/>
      <c r="FF287" s="161"/>
      <c r="FG287" s="161"/>
      <c r="FH287" s="163" cm="1">
        <f t="array" ref="FH287">ROW()-ROW(Ongoing[#Headers])</f>
        <v>281</v>
      </c>
      <c r="FI287" s="164"/>
      <c r="FJ287" s="164"/>
      <c r="FK287" s="164"/>
      <c r="FL287" s="164"/>
      <c r="FM287" s="164"/>
      <c r="FN287" s="164"/>
      <c r="FO287" s="164"/>
      <c r="FP287" s="164"/>
    </row>
    <row r="288" spans="2:172" s="115" customFormat="1" ht="11.25" x14ac:dyDescent="0.2">
      <c r="B288" s="148"/>
      <c r="C288" s="148"/>
      <c r="D288" s="148"/>
      <c r="E288" s="148"/>
      <c r="F288" s="148"/>
      <c r="G288" s="148"/>
      <c r="H288" s="148"/>
      <c r="I288" s="148"/>
      <c r="J288" s="165"/>
      <c r="K288" s="148"/>
      <c r="L288" s="148"/>
      <c r="M288" s="160"/>
      <c r="N288" s="160"/>
      <c r="O288" s="148"/>
      <c r="P288" s="161">
        <f>SUM(Q288:AP288)</f>
      </c>
      <c r="Q288" s="161"/>
      <c r="R288" s="161"/>
      <c r="S288" s="161"/>
      <c r="T288" s="161"/>
      <c r="U288" s="161"/>
      <c r="V288" s="161"/>
      <c r="W288" s="161"/>
      <c r="X288" s="161"/>
      <c r="Y288" s="161"/>
      <c r="Z288" s="161"/>
      <c r="AA288" s="161"/>
      <c r="AB288" s="161"/>
      <c r="AC288" s="161"/>
      <c r="AD288" s="161"/>
      <c r="AE288" s="161"/>
      <c r="AF288" s="161"/>
      <c r="AG288" s="161"/>
      <c r="AH288" s="161"/>
      <c r="AI288" s="161"/>
      <c r="AJ288" s="161"/>
      <c r="AK288" s="161"/>
      <c r="AL288" s="161"/>
      <c r="AM288" s="161"/>
      <c r="AN288" s="161"/>
      <c r="AO288" s="161"/>
      <c r="AP288" s="161"/>
      <c r="AQ288" s="161">
        <f>SUM(AR288:AU288)</f>
      </c>
      <c r="AR288" s="161"/>
      <c r="AS288" s="161"/>
      <c r="AT288" s="161"/>
      <c r="AU288" s="161"/>
      <c r="AV288" s="161">
        <f>SUM(AW288:BH288)</f>
      </c>
      <c r="AW288" s="161"/>
      <c r="AX288" s="161"/>
      <c r="AY288" s="161"/>
      <c r="AZ288" s="161"/>
      <c r="BA288" s="161"/>
      <c r="BB288" s="161"/>
      <c r="BC288" s="161"/>
      <c r="BD288" s="161"/>
      <c r="BE288" s="161"/>
      <c r="BF288" s="161"/>
      <c r="BG288" s="161"/>
      <c r="BH288" s="161"/>
      <c r="BI288" s="161"/>
      <c r="BJ288" s="161"/>
      <c r="BK288" s="161"/>
      <c r="BL288" s="161"/>
      <c r="BM288" s="161"/>
      <c r="BN288" s="161"/>
      <c r="BO288" s="161"/>
      <c r="BP288" s="161"/>
      <c r="BQ288" s="161"/>
      <c r="BR288" s="161"/>
      <c r="BS288" s="161">
        <f>SUM(BT288:BV288)</f>
      </c>
      <c r="BT288" s="161"/>
      <c r="BU288" s="161"/>
      <c r="BV288" s="161"/>
      <c r="BW288" s="161">
        <f>SUM(BX288:CC288)</f>
      </c>
      <c r="BX288" s="161"/>
      <c r="BY288" s="161"/>
      <c r="BZ288" s="161"/>
      <c r="CA288" s="161"/>
      <c r="CB288" s="161"/>
      <c r="CC288" s="161"/>
      <c r="CD288" s="161"/>
      <c r="CE288" s="161"/>
      <c r="CF288" s="161"/>
      <c r="CG288" s="161"/>
      <c r="CH288" s="161"/>
      <c r="CI288" s="161"/>
      <c r="CJ288" s="161">
        <f>SUM(CK288:CM288)</f>
      </c>
      <c r="CK288" s="161"/>
      <c r="CL288" s="161"/>
      <c r="CM288" s="161"/>
      <c r="CN288" s="161">
        <f>SUM(CO288:CS288)</f>
      </c>
      <c r="CO288" s="161"/>
      <c r="CP288" s="161"/>
      <c r="CQ288" s="161"/>
      <c r="CR288" s="161"/>
      <c r="CS288" s="161"/>
      <c r="CT288" s="161"/>
      <c r="CU288" s="161"/>
      <c r="CV288" s="161"/>
      <c r="CW288" s="161"/>
      <c r="CX288" s="161"/>
      <c r="CY288" s="161"/>
      <c r="CZ288" s="161"/>
      <c r="DA288" s="161"/>
      <c r="DB288" s="161"/>
      <c r="DC288" s="161"/>
      <c r="DD288" s="161"/>
      <c r="DE288" s="161"/>
      <c r="DF288" s="161">
        <f>SUM(DG288:DG288)</f>
      </c>
      <c r="DG288" s="161"/>
      <c r="DH288" s="161"/>
      <c r="DI288" s="161"/>
      <c r="DJ288" s="161">
        <f>SUM(DK288:DP288)</f>
      </c>
      <c r="DK288" s="161"/>
      <c r="DL288" s="161"/>
      <c r="DM288" s="161"/>
      <c r="DN288" s="161"/>
      <c r="DO288" s="161"/>
      <c r="DP288" s="161"/>
      <c r="DQ288" s="161"/>
      <c r="DR288" s="161"/>
      <c r="DS288" s="161"/>
      <c r="DT288" s="161"/>
      <c r="DU288" s="161"/>
      <c r="DV288" s="161"/>
      <c r="DW288" s="161"/>
      <c r="DX288" s="161"/>
      <c r="DY288" s="161"/>
      <c r="DZ288" s="161"/>
      <c r="EA288" s="161"/>
      <c r="EB288" s="161"/>
      <c r="EC288" s="161"/>
      <c r="ED288" s="161"/>
      <c r="EE288" s="161"/>
      <c r="EF288" s="161">
        <f>SUM(EG288:EP288)</f>
      </c>
      <c r="EG288" s="161"/>
      <c r="EH288" s="161"/>
      <c r="EI288" s="161"/>
      <c r="EJ288" s="161"/>
      <c r="EK288" s="161"/>
      <c r="EL288" s="161"/>
      <c r="EM288" s="161"/>
      <c r="EN288" s="161"/>
      <c r="EO288" s="161"/>
      <c r="EP288" s="161"/>
      <c r="EQ288" s="161">
        <f>SUM(ER288:ES288)</f>
      </c>
      <c r="ER288" s="161"/>
      <c r="ES288" s="161"/>
      <c r="ET288" s="161"/>
      <c r="EU288" s="161"/>
      <c r="EV288" s="161"/>
      <c r="EW288" s="161"/>
      <c r="EX288" s="161"/>
      <c r="EY288" s="161"/>
      <c r="EZ288" s="161"/>
      <c r="FA288" s="161"/>
      <c r="FB288" s="161"/>
      <c r="FC288" s="161"/>
      <c r="FD288" s="161"/>
      <c r="FE288" s="161"/>
      <c r="FF288" s="161"/>
      <c r="FG288" s="161"/>
      <c r="FH288" s="163" cm="1">
        <f t="array" ref="FH288">ROW()-ROW(Ongoing[#Headers])</f>
        <v>282</v>
      </c>
      <c r="FI288" s="164"/>
      <c r="FJ288" s="164"/>
      <c r="FK288" s="164"/>
      <c r="FL288" s="164"/>
      <c r="FM288" s="164"/>
      <c r="FN288" s="164"/>
      <c r="FO288" s="164"/>
      <c r="FP288" s="164"/>
    </row>
    <row r="289" spans="2:172" s="115" customFormat="1" ht="11.25" x14ac:dyDescent="0.2">
      <c r="B289" s="148"/>
      <c r="C289" s="148"/>
      <c r="D289" s="148"/>
      <c r="E289" s="148"/>
      <c r="F289" s="148"/>
      <c r="G289" s="148"/>
      <c r="H289" s="148"/>
      <c r="I289" s="148"/>
      <c r="J289" s="148"/>
      <c r="K289" s="148"/>
      <c r="L289" s="148"/>
      <c r="M289" s="160"/>
      <c r="N289" s="160"/>
      <c r="O289" s="148"/>
      <c r="P289" s="161">
        <f>SUM(Q289:AP289)</f>
      </c>
      <c r="Q289" s="161"/>
      <c r="R289" s="161"/>
      <c r="S289" s="161"/>
      <c r="T289" s="161"/>
      <c r="U289" s="161"/>
      <c r="V289" s="161"/>
      <c r="W289" s="161"/>
      <c r="X289" s="161"/>
      <c r="Y289" s="161"/>
      <c r="Z289" s="161"/>
      <c r="AA289" s="161"/>
      <c r="AB289" s="161"/>
      <c r="AC289" s="161"/>
      <c r="AD289" s="161"/>
      <c r="AE289" s="161"/>
      <c r="AF289" s="161"/>
      <c r="AG289" s="161"/>
      <c r="AH289" s="161"/>
      <c r="AI289" s="161"/>
      <c r="AJ289" s="161"/>
      <c r="AK289" s="161"/>
      <c r="AL289" s="161"/>
      <c r="AM289" s="161"/>
      <c r="AN289" s="161"/>
      <c r="AO289" s="161"/>
      <c r="AP289" s="161"/>
      <c r="AQ289" s="161">
        <f>SUM(AR289:AU289)</f>
      </c>
      <c r="AR289" s="161"/>
      <c r="AS289" s="161"/>
      <c r="AT289" s="161"/>
      <c r="AU289" s="161"/>
      <c r="AV289" s="161">
        <f>SUM(AW289:BH289)</f>
      </c>
      <c r="AW289" s="161"/>
      <c r="AX289" s="161"/>
      <c r="AY289" s="161"/>
      <c r="AZ289" s="161"/>
      <c r="BA289" s="161"/>
      <c r="BB289" s="161"/>
      <c r="BC289" s="161"/>
      <c r="BD289" s="161"/>
      <c r="BE289" s="161"/>
      <c r="BF289" s="161"/>
      <c r="BG289" s="161"/>
      <c r="BH289" s="161"/>
      <c r="BI289" s="161"/>
      <c r="BJ289" s="161"/>
      <c r="BK289" s="161"/>
      <c r="BL289" s="161"/>
      <c r="BM289" s="161"/>
      <c r="BN289" s="161"/>
      <c r="BO289" s="161"/>
      <c r="BP289" s="161"/>
      <c r="BQ289" s="161"/>
      <c r="BR289" s="161"/>
      <c r="BS289" s="161">
        <f>SUM(BT289:BV289)</f>
      </c>
      <c r="BT289" s="161"/>
      <c r="BU289" s="161"/>
      <c r="BV289" s="161"/>
      <c r="BW289" s="161">
        <f>SUM(BX289:CC289)</f>
      </c>
      <c r="BX289" s="161"/>
      <c r="BY289" s="161"/>
      <c r="BZ289" s="161"/>
      <c r="CA289" s="161"/>
      <c r="CB289" s="161"/>
      <c r="CC289" s="161"/>
      <c r="CD289" s="161"/>
      <c r="CE289" s="161"/>
      <c r="CF289" s="161"/>
      <c r="CG289" s="161"/>
      <c r="CH289" s="161"/>
      <c r="CI289" s="161"/>
      <c r="CJ289" s="161">
        <f>SUM(CK289:CM289)</f>
      </c>
      <c r="CK289" s="161"/>
      <c r="CL289" s="161"/>
      <c r="CM289" s="161"/>
      <c r="CN289" s="161">
        <f>SUM(CO289:CS289)</f>
      </c>
      <c r="CO289" s="161"/>
      <c r="CP289" s="161"/>
      <c r="CQ289" s="161"/>
      <c r="CR289" s="161"/>
      <c r="CS289" s="161"/>
      <c r="CT289" s="161"/>
      <c r="CU289" s="161"/>
      <c r="CV289" s="161"/>
      <c r="CW289" s="161"/>
      <c r="CX289" s="161"/>
      <c r="CY289" s="161"/>
      <c r="CZ289" s="161"/>
      <c r="DA289" s="161"/>
      <c r="DB289" s="161"/>
      <c r="DC289" s="161"/>
      <c r="DD289" s="161"/>
      <c r="DE289" s="161"/>
      <c r="DF289" s="161">
        <f>SUM(DG289:DG289)</f>
      </c>
      <c r="DG289" s="161"/>
      <c r="DH289" s="161"/>
      <c r="DI289" s="161"/>
      <c r="DJ289" s="161">
        <f>SUM(DK289:DP289)</f>
      </c>
      <c r="DK289" s="161"/>
      <c r="DL289" s="161"/>
      <c r="DM289" s="161"/>
      <c r="DN289" s="161"/>
      <c r="DO289" s="161"/>
      <c r="DP289" s="161"/>
      <c r="DQ289" s="161"/>
      <c r="DR289" s="161"/>
      <c r="DS289" s="161"/>
      <c r="DT289" s="161"/>
      <c r="DU289" s="161"/>
      <c r="DV289" s="161"/>
      <c r="DW289" s="161"/>
      <c r="DX289" s="161"/>
      <c r="DY289" s="161"/>
      <c r="DZ289" s="161"/>
      <c r="EA289" s="161"/>
      <c r="EB289" s="161"/>
      <c r="EC289" s="161"/>
      <c r="ED289" s="161"/>
      <c r="EE289" s="161"/>
      <c r="EF289" s="161">
        <f>SUM(EG289:EP289)</f>
      </c>
      <c r="EG289" s="161"/>
      <c r="EH289" s="161"/>
      <c r="EI289" s="161"/>
      <c r="EJ289" s="161"/>
      <c r="EK289" s="161"/>
      <c r="EL289" s="161"/>
      <c r="EM289" s="161"/>
      <c r="EN289" s="161"/>
      <c r="EO289" s="161"/>
      <c r="EP289" s="161"/>
      <c r="EQ289" s="161">
        <f>SUM(ER289:ES289)</f>
      </c>
      <c r="ER289" s="161"/>
      <c r="ES289" s="161"/>
      <c r="ET289" s="161"/>
      <c r="EU289" s="161"/>
      <c r="EV289" s="161"/>
      <c r="EW289" s="161"/>
      <c r="EX289" s="161"/>
      <c r="EY289" s="161"/>
      <c r="EZ289" s="161"/>
      <c r="FA289" s="161"/>
      <c r="FB289" s="161"/>
      <c r="FC289" s="161"/>
      <c r="FD289" s="161"/>
      <c r="FE289" s="161"/>
      <c r="FF289" s="161"/>
      <c r="FG289" s="161"/>
      <c r="FH289" s="163" cm="1">
        <f t="array" ref="FH289">ROW()-ROW(Ongoing[#Headers])</f>
        <v>283</v>
      </c>
      <c r="FI289" s="164" t="s">
        <v>780</v>
      </c>
      <c r="FJ289" s="164" t="s">
        <v>755</v>
      </c>
      <c r="FK289" s="164">
        <v>0</v>
      </c>
      <c r="FL289" s="164" t="s">
        <v>781</v>
      </c>
      <c r="FM289" s="164" t="s">
        <v>1417</v>
      </c>
      <c r="FN289" s="164" t="s">
        <v>782</v>
      </c>
      <c r="FO289" s="164" t="s">
        <v>811</v>
      </c>
      <c r="FP289" s="164" t="s">
        <v>1403</v>
      </c>
    </row>
    <row r="290" spans="2:172" s="115" customFormat="1" ht="11.25" x14ac:dyDescent="0.2">
      <c r="B290" s="148"/>
      <c r="C290" s="148"/>
      <c r="D290" s="148"/>
      <c r="E290" s="148"/>
      <c r="F290" s="148"/>
      <c r="G290" s="148"/>
      <c r="H290" s="148"/>
      <c r="I290" s="148"/>
      <c r="J290" s="148"/>
      <c r="K290" s="148"/>
      <c r="L290" s="148"/>
      <c r="M290" s="160"/>
      <c r="N290" s="160"/>
      <c r="O290" s="148"/>
      <c r="P290" s="161">
        <f>SUM(Q290:AP290)</f>
      </c>
      <c r="Q290" s="161"/>
      <c r="R290" s="161"/>
      <c r="S290" s="161"/>
      <c r="T290" s="161"/>
      <c r="U290" s="161"/>
      <c r="V290" s="161"/>
      <c r="W290" s="161"/>
      <c r="X290" s="161"/>
      <c r="Y290" s="161"/>
      <c r="Z290" s="161"/>
      <c r="AA290" s="161"/>
      <c r="AB290" s="161"/>
      <c r="AC290" s="161"/>
      <c r="AD290" s="161"/>
      <c r="AE290" s="161"/>
      <c r="AF290" s="161"/>
      <c r="AG290" s="161"/>
      <c r="AH290" s="161"/>
      <c r="AI290" s="161"/>
      <c r="AJ290" s="161"/>
      <c r="AK290" s="161"/>
      <c r="AL290" s="161"/>
      <c r="AM290" s="161"/>
      <c r="AN290" s="161"/>
      <c r="AO290" s="161"/>
      <c r="AP290" s="161"/>
      <c r="AQ290" s="161">
        <f>SUM(AR290:AU290)</f>
      </c>
      <c r="AR290" s="161"/>
      <c r="AS290" s="161"/>
      <c r="AT290" s="161"/>
      <c r="AU290" s="161"/>
      <c r="AV290" s="161">
        <f>SUM(AW290:BH290)</f>
      </c>
      <c r="AW290" s="161"/>
      <c r="AX290" s="161"/>
      <c r="AY290" s="161"/>
      <c r="AZ290" s="161"/>
      <c r="BA290" s="161"/>
      <c r="BB290" s="161"/>
      <c r="BC290" s="161"/>
      <c r="BD290" s="161"/>
      <c r="BE290" s="161"/>
      <c r="BF290" s="161"/>
      <c r="BG290" s="161"/>
      <c r="BH290" s="161"/>
      <c r="BI290" s="161"/>
      <c r="BJ290" s="161"/>
      <c r="BK290" s="161"/>
      <c r="BL290" s="161"/>
      <c r="BM290" s="161"/>
      <c r="BN290" s="161"/>
      <c r="BO290" s="161"/>
      <c r="BP290" s="161"/>
      <c r="BQ290" s="161"/>
      <c r="BR290" s="161"/>
      <c r="BS290" s="161">
        <f>SUM(BT290:BV290)</f>
      </c>
      <c r="BT290" s="161"/>
      <c r="BU290" s="161"/>
      <c r="BV290" s="161"/>
      <c r="BW290" s="161">
        <f>SUM(BX290:CC290)</f>
      </c>
      <c r="BX290" s="161"/>
      <c r="BY290" s="161"/>
      <c r="BZ290" s="161"/>
      <c r="CA290" s="161"/>
      <c r="CB290" s="161"/>
      <c r="CC290" s="161"/>
      <c r="CD290" s="161"/>
      <c r="CE290" s="161"/>
      <c r="CF290" s="161"/>
      <c r="CG290" s="161"/>
      <c r="CH290" s="161"/>
      <c r="CI290" s="161"/>
      <c r="CJ290" s="161">
        <f>SUM(CK290:CM290)</f>
      </c>
      <c r="CK290" s="161"/>
      <c r="CL290" s="161"/>
      <c r="CM290" s="161"/>
      <c r="CN290" s="161">
        <f>SUM(CO290:CS290)</f>
      </c>
      <c r="CO290" s="161"/>
      <c r="CP290" s="161"/>
      <c r="CQ290" s="161"/>
      <c r="CR290" s="161"/>
      <c r="CS290" s="161"/>
      <c r="CT290" s="161"/>
      <c r="CU290" s="161"/>
      <c r="CV290" s="161"/>
      <c r="CW290" s="161"/>
      <c r="CX290" s="161"/>
      <c r="CY290" s="161"/>
      <c r="CZ290" s="161"/>
      <c r="DA290" s="161"/>
      <c r="DB290" s="161"/>
      <c r="DC290" s="161"/>
      <c r="DD290" s="161"/>
      <c r="DE290" s="161"/>
      <c r="DF290" s="161">
        <f>SUM(DG290:DG290)</f>
      </c>
      <c r="DG290" s="161"/>
      <c r="DH290" s="161"/>
      <c r="DI290" s="161"/>
      <c r="DJ290" s="161">
        <f>SUM(DK290:DP290)</f>
      </c>
      <c r="DK290" s="161"/>
      <c r="DL290" s="161"/>
      <c r="DM290" s="161"/>
      <c r="DN290" s="161"/>
      <c r="DO290" s="161"/>
      <c r="DP290" s="161"/>
      <c r="DQ290" s="161"/>
      <c r="DR290" s="161"/>
      <c r="DS290" s="161"/>
      <c r="DT290" s="161"/>
      <c r="DU290" s="161"/>
      <c r="DV290" s="161"/>
      <c r="DW290" s="161"/>
      <c r="DX290" s="161"/>
      <c r="DY290" s="161"/>
      <c r="DZ290" s="161"/>
      <c r="EA290" s="161"/>
      <c r="EB290" s="161"/>
      <c r="EC290" s="161"/>
      <c r="ED290" s="161"/>
      <c r="EE290" s="161"/>
      <c r="EF290" s="161">
        <f>SUM(EG290:EP290)</f>
      </c>
      <c r="EG290" s="161"/>
      <c r="EH290" s="161"/>
      <c r="EI290" s="161"/>
      <c r="EJ290" s="161"/>
      <c r="EK290" s="161"/>
      <c r="EL290" s="161"/>
      <c r="EM290" s="161"/>
      <c r="EN290" s="161"/>
      <c r="EO290" s="161"/>
      <c r="EP290" s="161"/>
      <c r="EQ290" s="161">
        <f>SUM(ER290:ES290)</f>
      </c>
      <c r="ER290" s="161"/>
      <c r="ES290" s="161"/>
      <c r="ET290" s="161"/>
      <c r="EU290" s="161"/>
      <c r="EV290" s="161"/>
      <c r="EW290" s="161"/>
      <c r="EX290" s="161"/>
      <c r="EY290" s="161"/>
      <c r="EZ290" s="161"/>
      <c r="FA290" s="161"/>
      <c r="FB290" s="161"/>
      <c r="FC290" s="161"/>
      <c r="FD290" s="161"/>
      <c r="FE290" s="161"/>
      <c r="FF290" s="161"/>
      <c r="FG290" s="161"/>
      <c r="FH290" s="163" cm="1">
        <f t="array" ref="FH290">ROW()-ROW(Ongoing[#Headers])</f>
        <v>284</v>
      </c>
      <c r="FI290" s="164" t="s">
        <v>780</v>
      </c>
      <c r="FJ290" s="164" t="s">
        <v>755</v>
      </c>
      <c r="FK290" s="164">
        <v>0</v>
      </c>
      <c r="FL290" s="164" t="s">
        <v>781</v>
      </c>
      <c r="FM290" s="164" t="s">
        <v>1417</v>
      </c>
      <c r="FN290" s="164" t="s">
        <v>782</v>
      </c>
      <c r="FO290" s="164" t="s">
        <v>811</v>
      </c>
      <c r="FP290" s="164" t="s">
        <v>1403</v>
      </c>
    </row>
    <row r="291" spans="2:172" s="115" customFormat="1" ht="11.25" x14ac:dyDescent="0.2">
      <c r="B291" s="148"/>
      <c r="C291" s="148"/>
      <c r="D291" s="148"/>
      <c r="E291" s="148"/>
      <c r="F291" s="148"/>
      <c r="G291" s="148"/>
      <c r="H291" s="148"/>
      <c r="I291" s="148"/>
      <c r="J291" s="148"/>
      <c r="K291" s="148"/>
      <c r="L291" s="148"/>
      <c r="M291" s="160"/>
      <c r="N291" s="160"/>
      <c r="O291" s="148"/>
      <c r="P291" s="161">
        <f>SUM(Q291:AP291)</f>
      </c>
      <c r="Q291" s="161"/>
      <c r="R291" s="161"/>
      <c r="S291" s="161"/>
      <c r="T291" s="161"/>
      <c r="U291" s="161"/>
      <c r="V291" s="161"/>
      <c r="W291" s="161"/>
      <c r="X291" s="161"/>
      <c r="Y291" s="161"/>
      <c r="Z291" s="161"/>
      <c r="AA291" s="161"/>
      <c r="AB291" s="161"/>
      <c r="AC291" s="161"/>
      <c r="AD291" s="161"/>
      <c r="AE291" s="161"/>
      <c r="AF291" s="161"/>
      <c r="AG291" s="161"/>
      <c r="AH291" s="161"/>
      <c r="AI291" s="161"/>
      <c r="AJ291" s="161"/>
      <c r="AK291" s="161"/>
      <c r="AL291" s="161"/>
      <c r="AM291" s="161"/>
      <c r="AN291" s="161"/>
      <c r="AO291" s="161"/>
      <c r="AP291" s="161"/>
      <c r="AQ291" s="161">
        <f>SUM(AR291:AU291)</f>
      </c>
      <c r="AR291" s="161"/>
      <c r="AS291" s="161"/>
      <c r="AT291" s="161"/>
      <c r="AU291" s="161"/>
      <c r="AV291" s="161">
        <f>SUM(AW291:BH291)</f>
      </c>
      <c r="AW291" s="161"/>
      <c r="AX291" s="161"/>
      <c r="AY291" s="161"/>
      <c r="AZ291" s="161"/>
      <c r="BA291" s="161"/>
      <c r="BB291" s="161"/>
      <c r="BC291" s="161"/>
      <c r="BD291" s="161"/>
      <c r="BE291" s="161"/>
      <c r="BF291" s="161"/>
      <c r="BG291" s="161"/>
      <c r="BH291" s="161"/>
      <c r="BI291" s="161"/>
      <c r="BJ291" s="161"/>
      <c r="BK291" s="161"/>
      <c r="BL291" s="161"/>
      <c r="BM291" s="161"/>
      <c r="BN291" s="161"/>
      <c r="BO291" s="161"/>
      <c r="BP291" s="161"/>
      <c r="BQ291" s="161"/>
      <c r="BR291" s="161"/>
      <c r="BS291" s="161">
        <f>SUM(BT291:BV291)</f>
      </c>
      <c r="BT291" s="161"/>
      <c r="BU291" s="161"/>
      <c r="BV291" s="161"/>
      <c r="BW291" s="161">
        <f>SUM(BX291:CC291)</f>
      </c>
      <c r="BX291" s="161"/>
      <c r="BY291" s="161"/>
      <c r="BZ291" s="161"/>
      <c r="CA291" s="161"/>
      <c r="CB291" s="161"/>
      <c r="CC291" s="161"/>
      <c r="CD291" s="161"/>
      <c r="CE291" s="161"/>
      <c r="CF291" s="161"/>
      <c r="CG291" s="161"/>
      <c r="CH291" s="161"/>
      <c r="CI291" s="161"/>
      <c r="CJ291" s="161">
        <f>SUM(CK291:CM291)</f>
      </c>
      <c r="CK291" s="161"/>
      <c r="CL291" s="161"/>
      <c r="CM291" s="161"/>
      <c r="CN291" s="161">
        <f>SUM(CO291:CS291)</f>
      </c>
      <c r="CO291" s="161"/>
      <c r="CP291" s="161"/>
      <c r="CQ291" s="161"/>
      <c r="CR291" s="161"/>
      <c r="CS291" s="161"/>
      <c r="CT291" s="161"/>
      <c r="CU291" s="161"/>
      <c r="CV291" s="161"/>
      <c r="CW291" s="161"/>
      <c r="CX291" s="161"/>
      <c r="CY291" s="161"/>
      <c r="CZ291" s="161"/>
      <c r="DA291" s="161"/>
      <c r="DB291" s="161"/>
      <c r="DC291" s="161"/>
      <c r="DD291" s="161"/>
      <c r="DE291" s="161"/>
      <c r="DF291" s="161">
        <f>SUM(DG291:DG291)</f>
      </c>
      <c r="DG291" s="161"/>
      <c r="DH291" s="161"/>
      <c r="DI291" s="161"/>
      <c r="DJ291" s="161">
        <f>SUM(DK291:DP291)</f>
      </c>
      <c r="DK291" s="161"/>
      <c r="DL291" s="161"/>
      <c r="DM291" s="161"/>
      <c r="DN291" s="161"/>
      <c r="DO291" s="161"/>
      <c r="DP291" s="161"/>
      <c r="DQ291" s="161"/>
      <c r="DR291" s="161"/>
      <c r="DS291" s="161"/>
      <c r="DT291" s="161"/>
      <c r="DU291" s="161"/>
      <c r="DV291" s="161"/>
      <c r="DW291" s="161"/>
      <c r="DX291" s="161"/>
      <c r="DY291" s="161"/>
      <c r="DZ291" s="161"/>
      <c r="EA291" s="161"/>
      <c r="EB291" s="161"/>
      <c r="EC291" s="161"/>
      <c r="ED291" s="161"/>
      <c r="EE291" s="161"/>
      <c r="EF291" s="161">
        <f>SUM(EG291:EP291)</f>
      </c>
      <c r="EG291" s="161"/>
      <c r="EH291" s="161"/>
      <c r="EI291" s="161"/>
      <c r="EJ291" s="161"/>
      <c r="EK291" s="161"/>
      <c r="EL291" s="161"/>
      <c r="EM291" s="161"/>
      <c r="EN291" s="161"/>
      <c r="EO291" s="161"/>
      <c r="EP291" s="161"/>
      <c r="EQ291" s="161">
        <f>SUM(ER291:ES291)</f>
      </c>
      <c r="ER291" s="161"/>
      <c r="ES291" s="161"/>
      <c r="ET291" s="161"/>
      <c r="EU291" s="161"/>
      <c r="EV291" s="161"/>
      <c r="EW291" s="161"/>
      <c r="EX291" s="161"/>
      <c r="EY291" s="161"/>
      <c r="EZ291" s="161"/>
      <c r="FA291" s="161"/>
      <c r="FB291" s="161"/>
      <c r="FC291" s="161"/>
      <c r="FD291" s="161"/>
      <c r="FE291" s="161"/>
      <c r="FF291" s="161"/>
      <c r="FG291" s="161"/>
      <c r="FH291" s="163" cm="1">
        <f t="array" ref="FH291">ROW()-ROW(Ongoing[#Headers])</f>
        <v>285</v>
      </c>
      <c r="FI291" s="164" t="s">
        <v>1393</v>
      </c>
      <c r="FJ291" s="164" t="s">
        <v>755</v>
      </c>
      <c r="FK291" s="164">
        <v>0</v>
      </c>
      <c r="FL291" s="164" t="s">
        <v>769</v>
      </c>
      <c r="FM291" s="164" t="s">
        <v>1394</v>
      </c>
      <c r="FN291" s="164" t="s">
        <v>770</v>
      </c>
      <c r="FO291" s="164" t="s">
        <v>1422</v>
      </c>
      <c r="FP291" s="164" t="s">
        <v>1403</v>
      </c>
    </row>
    <row r="292" spans="2:172" s="115" customFormat="1" ht="11.25" x14ac:dyDescent="0.2">
      <c r="B292" s="148"/>
      <c r="C292" s="148"/>
      <c r="D292" s="148"/>
      <c r="E292" s="148"/>
      <c r="F292" s="148"/>
      <c r="G292" s="148"/>
      <c r="H292" s="148"/>
      <c r="I292" s="148"/>
      <c r="J292" s="148"/>
      <c r="K292" s="148"/>
      <c r="L292" s="148"/>
      <c r="M292" s="160"/>
      <c r="N292" s="160"/>
      <c r="O292" s="148"/>
      <c r="P292" s="161">
        <f>SUM(Q292:AP292)</f>
      </c>
      <c r="Q292" s="161"/>
      <c r="R292" s="161"/>
      <c r="S292" s="161"/>
      <c r="T292" s="161"/>
      <c r="U292" s="161"/>
      <c r="V292" s="161"/>
      <c r="W292" s="161"/>
      <c r="X292" s="161"/>
      <c r="Y292" s="161"/>
      <c r="Z292" s="161"/>
      <c r="AA292" s="161"/>
      <c r="AB292" s="161"/>
      <c r="AC292" s="161"/>
      <c r="AD292" s="161"/>
      <c r="AE292" s="161"/>
      <c r="AF292" s="161"/>
      <c r="AG292" s="161"/>
      <c r="AH292" s="161"/>
      <c r="AI292" s="161"/>
      <c r="AJ292" s="161"/>
      <c r="AK292" s="161"/>
      <c r="AL292" s="161"/>
      <c r="AM292" s="161"/>
      <c r="AN292" s="161"/>
      <c r="AO292" s="161"/>
      <c r="AP292" s="161"/>
      <c r="AQ292" s="161">
        <f>SUM(AR292:AU292)</f>
      </c>
      <c r="AR292" s="161"/>
      <c r="AS292" s="161"/>
      <c r="AT292" s="161"/>
      <c r="AU292" s="161"/>
      <c r="AV292" s="161">
        <f>SUM(AW292:BH292)</f>
      </c>
      <c r="AW292" s="161"/>
      <c r="AX292" s="161"/>
      <c r="AY292" s="161"/>
      <c r="AZ292" s="161"/>
      <c r="BA292" s="161"/>
      <c r="BB292" s="161"/>
      <c r="BC292" s="161"/>
      <c r="BD292" s="161"/>
      <c r="BE292" s="161"/>
      <c r="BF292" s="161"/>
      <c r="BG292" s="161"/>
      <c r="BH292" s="161"/>
      <c r="BI292" s="161"/>
      <c r="BJ292" s="161"/>
      <c r="BK292" s="161"/>
      <c r="BL292" s="161"/>
      <c r="BM292" s="161"/>
      <c r="BN292" s="161"/>
      <c r="BO292" s="161"/>
      <c r="BP292" s="161"/>
      <c r="BQ292" s="161"/>
      <c r="BR292" s="161"/>
      <c r="BS292" s="161">
        <f>SUM(BT292:BV292)</f>
      </c>
      <c r="BT292" s="161"/>
      <c r="BU292" s="161"/>
      <c r="BV292" s="161"/>
      <c r="BW292" s="161">
        <f>SUM(BX292:CC292)</f>
      </c>
      <c r="BX292" s="161"/>
      <c r="BY292" s="161"/>
      <c r="BZ292" s="161"/>
      <c r="CA292" s="161"/>
      <c r="CB292" s="161"/>
      <c r="CC292" s="161"/>
      <c r="CD292" s="161"/>
      <c r="CE292" s="161"/>
      <c r="CF292" s="161"/>
      <c r="CG292" s="161"/>
      <c r="CH292" s="161"/>
      <c r="CI292" s="161"/>
      <c r="CJ292" s="161">
        <f>SUM(CK292:CM292)</f>
      </c>
      <c r="CK292" s="161"/>
      <c r="CL292" s="161"/>
      <c r="CM292" s="161"/>
      <c r="CN292" s="161">
        <f>SUM(CO292:CS292)</f>
      </c>
      <c r="CO292" s="161"/>
      <c r="CP292" s="161"/>
      <c r="CQ292" s="161"/>
      <c r="CR292" s="161"/>
      <c r="CS292" s="161"/>
      <c r="CT292" s="161"/>
      <c r="CU292" s="161"/>
      <c r="CV292" s="161"/>
      <c r="CW292" s="161"/>
      <c r="CX292" s="161"/>
      <c r="CY292" s="161"/>
      <c r="CZ292" s="161"/>
      <c r="DA292" s="161"/>
      <c r="DB292" s="161"/>
      <c r="DC292" s="161"/>
      <c r="DD292" s="161"/>
      <c r="DE292" s="161"/>
      <c r="DF292" s="161">
        <f>SUM(DG292:DG292)</f>
      </c>
      <c r="DG292" s="161"/>
      <c r="DH292" s="161"/>
      <c r="DI292" s="161"/>
      <c r="DJ292" s="161">
        <f>SUM(DK292:DP292)</f>
      </c>
      <c r="DK292" s="161"/>
      <c r="DL292" s="161"/>
      <c r="DM292" s="161"/>
      <c r="DN292" s="161"/>
      <c r="DO292" s="161"/>
      <c r="DP292" s="161"/>
      <c r="DQ292" s="161"/>
      <c r="DR292" s="161"/>
      <c r="DS292" s="161"/>
      <c r="DT292" s="161"/>
      <c r="DU292" s="161"/>
      <c r="DV292" s="161"/>
      <c r="DW292" s="161"/>
      <c r="DX292" s="161"/>
      <c r="DY292" s="161"/>
      <c r="DZ292" s="161"/>
      <c r="EA292" s="161"/>
      <c r="EB292" s="161"/>
      <c r="EC292" s="161"/>
      <c r="ED292" s="161"/>
      <c r="EE292" s="161"/>
      <c r="EF292" s="161">
        <f>SUM(EG292:EP292)</f>
      </c>
      <c r="EG292" s="161"/>
      <c r="EH292" s="161"/>
      <c r="EI292" s="161"/>
      <c r="EJ292" s="161"/>
      <c r="EK292" s="161"/>
      <c r="EL292" s="161"/>
      <c r="EM292" s="161"/>
      <c r="EN292" s="161"/>
      <c r="EO292" s="161"/>
      <c r="EP292" s="161"/>
      <c r="EQ292" s="161">
        <f>SUM(ER292:ES292)</f>
      </c>
      <c r="ER292" s="161"/>
      <c r="ES292" s="161"/>
      <c r="ET292" s="161"/>
      <c r="EU292" s="161"/>
      <c r="EV292" s="161"/>
      <c r="EW292" s="161"/>
      <c r="EX292" s="161"/>
      <c r="EY292" s="161"/>
      <c r="EZ292" s="161"/>
      <c r="FA292" s="161"/>
      <c r="FB292" s="161"/>
      <c r="FC292" s="161"/>
      <c r="FD292" s="161"/>
      <c r="FE292" s="161"/>
      <c r="FF292" s="161"/>
      <c r="FG292" s="161"/>
      <c r="FH292" s="163" cm="1">
        <f t="array" ref="FH292">ROW()-ROW(Ongoing[#Headers])</f>
        <v>286</v>
      </c>
      <c r="FI292" s="164"/>
      <c r="FJ292" s="164"/>
      <c r="FK292" s="164"/>
      <c r="FL292" s="164"/>
      <c r="FM292" s="164"/>
      <c r="FN292" s="164"/>
      <c r="FO292" s="164"/>
      <c r="FP292" s="164"/>
    </row>
    <row r="293" spans="2:172" s="115" customFormat="1" ht="11.25" x14ac:dyDescent="0.2">
      <c r="B293" s="148"/>
      <c r="C293" s="148"/>
      <c r="D293" s="148"/>
      <c r="E293" s="148"/>
      <c r="F293" s="148"/>
      <c r="G293" s="148"/>
      <c r="H293" s="148"/>
      <c r="I293" s="148"/>
      <c r="J293" s="148"/>
      <c r="K293" s="148"/>
      <c r="L293" s="148"/>
      <c r="M293" s="160"/>
      <c r="N293" s="160"/>
      <c r="O293" s="148"/>
      <c r="P293" s="161">
        <f>SUM(Q293:AP293)</f>
      </c>
      <c r="Q293" s="161"/>
      <c r="R293" s="161"/>
      <c r="S293" s="161"/>
      <c r="T293" s="161"/>
      <c r="U293" s="161"/>
      <c r="V293" s="161"/>
      <c r="W293" s="161"/>
      <c r="X293" s="161"/>
      <c r="Y293" s="161"/>
      <c r="Z293" s="161"/>
      <c r="AA293" s="161"/>
      <c r="AB293" s="161"/>
      <c r="AC293" s="161"/>
      <c r="AD293" s="161"/>
      <c r="AE293" s="161"/>
      <c r="AF293" s="161"/>
      <c r="AG293" s="161"/>
      <c r="AH293" s="161"/>
      <c r="AI293" s="161"/>
      <c r="AJ293" s="161"/>
      <c r="AK293" s="161"/>
      <c r="AL293" s="161"/>
      <c r="AM293" s="161"/>
      <c r="AN293" s="161"/>
      <c r="AO293" s="161"/>
      <c r="AP293" s="161"/>
      <c r="AQ293" s="161">
        <f>SUM(AR293:AU293)</f>
      </c>
      <c r="AR293" s="161"/>
      <c r="AS293" s="161"/>
      <c r="AT293" s="161"/>
      <c r="AU293" s="161"/>
      <c r="AV293" s="161">
        <f>SUM(AW293:BH293)</f>
      </c>
      <c r="AW293" s="161"/>
      <c r="AX293" s="161"/>
      <c r="AY293" s="161"/>
      <c r="AZ293" s="161"/>
      <c r="BA293" s="161"/>
      <c r="BB293" s="161"/>
      <c r="BC293" s="161"/>
      <c r="BD293" s="161"/>
      <c r="BE293" s="161"/>
      <c r="BF293" s="161"/>
      <c r="BG293" s="161"/>
      <c r="BH293" s="161"/>
      <c r="BI293" s="161"/>
      <c r="BJ293" s="161"/>
      <c r="BK293" s="161"/>
      <c r="BL293" s="161"/>
      <c r="BM293" s="161"/>
      <c r="BN293" s="161"/>
      <c r="BO293" s="161"/>
      <c r="BP293" s="161"/>
      <c r="BQ293" s="161"/>
      <c r="BR293" s="161"/>
      <c r="BS293" s="161">
        <f>SUM(BT293:BV293)</f>
      </c>
      <c r="BT293" s="161"/>
      <c r="BU293" s="161"/>
      <c r="BV293" s="161"/>
      <c r="BW293" s="161">
        <f>SUM(BX293:CC293)</f>
      </c>
      <c r="BX293" s="161"/>
      <c r="BY293" s="161"/>
      <c r="BZ293" s="161"/>
      <c r="CA293" s="161"/>
      <c r="CB293" s="161"/>
      <c r="CC293" s="161"/>
      <c r="CD293" s="161"/>
      <c r="CE293" s="161"/>
      <c r="CF293" s="161"/>
      <c r="CG293" s="161"/>
      <c r="CH293" s="161"/>
      <c r="CI293" s="161"/>
      <c r="CJ293" s="161">
        <f>SUM(CK293:CM293)</f>
      </c>
      <c r="CK293" s="161"/>
      <c r="CL293" s="161"/>
      <c r="CM293" s="161"/>
      <c r="CN293" s="161">
        <f>SUM(CO293:CS293)</f>
      </c>
      <c r="CO293" s="161"/>
      <c r="CP293" s="161"/>
      <c r="CQ293" s="161"/>
      <c r="CR293" s="161"/>
      <c r="CS293" s="161"/>
      <c r="CT293" s="161"/>
      <c r="CU293" s="161"/>
      <c r="CV293" s="161"/>
      <c r="CW293" s="161"/>
      <c r="CX293" s="161"/>
      <c r="CY293" s="161"/>
      <c r="CZ293" s="161"/>
      <c r="DA293" s="161"/>
      <c r="DB293" s="161"/>
      <c r="DC293" s="161"/>
      <c r="DD293" s="161"/>
      <c r="DE293" s="161"/>
      <c r="DF293" s="161">
        <f>SUM(DG293:DG293)</f>
      </c>
      <c r="DG293" s="161"/>
      <c r="DH293" s="161"/>
      <c r="DI293" s="161"/>
      <c r="DJ293" s="161">
        <f>SUM(DK293:DP293)</f>
      </c>
      <c r="DK293" s="161"/>
      <c r="DL293" s="161"/>
      <c r="DM293" s="161"/>
      <c r="DN293" s="161"/>
      <c r="DO293" s="161"/>
      <c r="DP293" s="161"/>
      <c r="DQ293" s="161"/>
      <c r="DR293" s="161"/>
      <c r="DS293" s="161"/>
      <c r="DT293" s="161"/>
      <c r="DU293" s="161"/>
      <c r="DV293" s="161"/>
      <c r="DW293" s="161"/>
      <c r="DX293" s="161"/>
      <c r="DY293" s="161"/>
      <c r="DZ293" s="161"/>
      <c r="EA293" s="161"/>
      <c r="EB293" s="161"/>
      <c r="EC293" s="161"/>
      <c r="ED293" s="161"/>
      <c r="EE293" s="161"/>
      <c r="EF293" s="161">
        <f>SUM(EG293:EP293)</f>
      </c>
      <c r="EG293" s="161"/>
      <c r="EH293" s="161"/>
      <c r="EI293" s="161"/>
      <c r="EJ293" s="161"/>
      <c r="EK293" s="161"/>
      <c r="EL293" s="161"/>
      <c r="EM293" s="161"/>
      <c r="EN293" s="161"/>
      <c r="EO293" s="161"/>
      <c r="EP293" s="161"/>
      <c r="EQ293" s="161">
        <f>SUM(ER293:ES293)</f>
      </c>
      <c r="ER293" s="161"/>
      <c r="ES293" s="161"/>
      <c r="ET293" s="161"/>
      <c r="EU293" s="161"/>
      <c r="EV293" s="161"/>
      <c r="EW293" s="161"/>
      <c r="EX293" s="161"/>
      <c r="EY293" s="161"/>
      <c r="EZ293" s="161"/>
      <c r="FA293" s="161"/>
      <c r="FB293" s="161"/>
      <c r="FC293" s="161"/>
      <c r="FD293" s="161"/>
      <c r="FE293" s="161"/>
      <c r="FF293" s="161"/>
      <c r="FG293" s="161"/>
      <c r="FH293" s="163" cm="1">
        <f t="array" ref="FH293">ROW()-ROW(Ongoing[#Headers])</f>
        <v>287</v>
      </c>
      <c r="FI293" s="164" t="s">
        <v>1393</v>
      </c>
      <c r="FJ293" s="164" t="s">
        <v>755</v>
      </c>
      <c r="FK293" s="164">
        <v>0</v>
      </c>
      <c r="FL293" s="164" t="s">
        <v>769</v>
      </c>
      <c r="FM293" s="164" t="s">
        <v>1394</v>
      </c>
      <c r="FN293" s="164" t="s">
        <v>770</v>
      </c>
      <c r="FO293" s="164" t="s">
        <v>1422</v>
      </c>
      <c r="FP293" s="164" t="s">
        <v>1403</v>
      </c>
    </row>
    <row r="294" spans="2:172" s="115" customFormat="1" ht="11.25" x14ac:dyDescent="0.2">
      <c r="B294" s="148"/>
      <c r="C294" s="148"/>
      <c r="D294" s="148"/>
      <c r="E294" s="148"/>
      <c r="F294" s="148"/>
      <c r="G294" s="148"/>
      <c r="H294" s="148"/>
      <c r="I294" s="148"/>
      <c r="J294" s="148"/>
      <c r="K294" s="148"/>
      <c r="L294" s="148"/>
      <c r="M294" s="160"/>
      <c r="N294" s="160"/>
      <c r="O294" s="148"/>
      <c r="P294" s="161">
        <f>SUM(Q294:AP294)</f>
      </c>
      <c r="Q294" s="161"/>
      <c r="R294" s="161"/>
      <c r="S294" s="161"/>
      <c r="T294" s="161"/>
      <c r="U294" s="161"/>
      <c r="V294" s="161"/>
      <c r="W294" s="161"/>
      <c r="X294" s="161"/>
      <c r="Y294" s="161"/>
      <c r="Z294" s="161"/>
      <c r="AA294" s="161"/>
      <c r="AB294" s="161"/>
      <c r="AC294" s="161"/>
      <c r="AD294" s="161"/>
      <c r="AE294" s="161"/>
      <c r="AF294" s="161"/>
      <c r="AG294" s="161"/>
      <c r="AH294" s="161"/>
      <c r="AI294" s="161"/>
      <c r="AJ294" s="161"/>
      <c r="AK294" s="161"/>
      <c r="AL294" s="161"/>
      <c r="AM294" s="161"/>
      <c r="AN294" s="161"/>
      <c r="AO294" s="161"/>
      <c r="AP294" s="161"/>
      <c r="AQ294" s="161">
        <f>SUM(AR294:AU294)</f>
      </c>
      <c r="AR294" s="161"/>
      <c r="AS294" s="161"/>
      <c r="AT294" s="161"/>
      <c r="AU294" s="161"/>
      <c r="AV294" s="161">
        <f>SUM(AW294:BH294)</f>
      </c>
      <c r="AW294" s="161"/>
      <c r="AX294" s="161"/>
      <c r="AY294" s="161"/>
      <c r="AZ294" s="161"/>
      <c r="BA294" s="161"/>
      <c r="BB294" s="161"/>
      <c r="BC294" s="161"/>
      <c r="BD294" s="161"/>
      <c r="BE294" s="161"/>
      <c r="BF294" s="161"/>
      <c r="BG294" s="161"/>
      <c r="BH294" s="161"/>
      <c r="BI294" s="161"/>
      <c r="BJ294" s="161"/>
      <c r="BK294" s="161"/>
      <c r="BL294" s="161"/>
      <c r="BM294" s="161"/>
      <c r="BN294" s="161"/>
      <c r="BO294" s="161"/>
      <c r="BP294" s="161"/>
      <c r="BQ294" s="161"/>
      <c r="BR294" s="161"/>
      <c r="BS294" s="161">
        <f>SUM(BT294:BV294)</f>
      </c>
      <c r="BT294" s="161"/>
      <c r="BU294" s="161"/>
      <c r="BV294" s="161"/>
      <c r="BW294" s="161">
        <f>SUM(BX294:CC294)</f>
      </c>
      <c r="BX294" s="161"/>
      <c r="BY294" s="161"/>
      <c r="BZ294" s="161"/>
      <c r="CA294" s="161"/>
      <c r="CB294" s="161"/>
      <c r="CC294" s="161"/>
      <c r="CD294" s="161"/>
      <c r="CE294" s="161"/>
      <c r="CF294" s="161"/>
      <c r="CG294" s="161"/>
      <c r="CH294" s="161"/>
      <c r="CI294" s="161"/>
      <c r="CJ294" s="161">
        <f>SUM(CK294:CM294)</f>
      </c>
      <c r="CK294" s="161"/>
      <c r="CL294" s="161"/>
      <c r="CM294" s="161"/>
      <c r="CN294" s="161">
        <f>SUM(CO294:CS294)</f>
      </c>
      <c r="CO294" s="161"/>
      <c r="CP294" s="161"/>
      <c r="CQ294" s="161"/>
      <c r="CR294" s="161"/>
      <c r="CS294" s="161"/>
      <c r="CT294" s="161"/>
      <c r="CU294" s="161"/>
      <c r="CV294" s="161"/>
      <c r="CW294" s="161"/>
      <c r="CX294" s="161"/>
      <c r="CY294" s="161"/>
      <c r="CZ294" s="161"/>
      <c r="DA294" s="161"/>
      <c r="DB294" s="161"/>
      <c r="DC294" s="161"/>
      <c r="DD294" s="161"/>
      <c r="DE294" s="161"/>
      <c r="DF294" s="161">
        <f>SUM(DG294:DG294)</f>
      </c>
      <c r="DG294" s="161"/>
      <c r="DH294" s="161"/>
      <c r="DI294" s="161"/>
      <c r="DJ294" s="161">
        <f>SUM(DK294:DP294)</f>
      </c>
      <c r="DK294" s="161"/>
      <c r="DL294" s="161"/>
      <c r="DM294" s="161"/>
      <c r="DN294" s="161"/>
      <c r="DO294" s="161"/>
      <c r="DP294" s="161"/>
      <c r="DQ294" s="161"/>
      <c r="DR294" s="161"/>
      <c r="DS294" s="161"/>
      <c r="DT294" s="161"/>
      <c r="DU294" s="161"/>
      <c r="DV294" s="161"/>
      <c r="DW294" s="161"/>
      <c r="DX294" s="161"/>
      <c r="DY294" s="161"/>
      <c r="DZ294" s="161"/>
      <c r="EA294" s="161"/>
      <c r="EB294" s="161"/>
      <c r="EC294" s="161"/>
      <c r="ED294" s="161"/>
      <c r="EE294" s="161"/>
      <c r="EF294" s="161">
        <f>SUM(EG294:EP294)</f>
      </c>
      <c r="EG294" s="161"/>
      <c r="EH294" s="161"/>
      <c r="EI294" s="161"/>
      <c r="EJ294" s="161"/>
      <c r="EK294" s="161"/>
      <c r="EL294" s="161"/>
      <c r="EM294" s="161"/>
      <c r="EN294" s="161"/>
      <c r="EO294" s="161"/>
      <c r="EP294" s="161"/>
      <c r="EQ294" s="161">
        <f>SUM(ER294:ES294)</f>
      </c>
      <c r="ER294" s="161"/>
      <c r="ES294" s="161"/>
      <c r="ET294" s="161"/>
      <c r="EU294" s="161"/>
      <c r="EV294" s="161"/>
      <c r="EW294" s="161"/>
      <c r="EX294" s="161"/>
      <c r="EY294" s="161"/>
      <c r="EZ294" s="161"/>
      <c r="FA294" s="161"/>
      <c r="FB294" s="161"/>
      <c r="FC294" s="161"/>
      <c r="FD294" s="161"/>
      <c r="FE294" s="161"/>
      <c r="FF294" s="161"/>
      <c r="FG294" s="161"/>
      <c r="FH294" s="163" cm="1">
        <f t="array" ref="FH294">ROW()-ROW(Ongoing[#Headers])</f>
        <v>288</v>
      </c>
      <c r="FI294" s="164"/>
      <c r="FJ294" s="164"/>
      <c r="FK294" s="164"/>
      <c r="FL294" s="164"/>
      <c r="FM294" s="164"/>
      <c r="FN294" s="164"/>
      <c r="FO294" s="164"/>
      <c r="FP294" s="164"/>
    </row>
    <row r="295" spans="2:172" s="115" customFormat="1" ht="11.25" x14ac:dyDescent="0.2">
      <c r="B295" s="148"/>
      <c r="C295" s="148"/>
      <c r="D295" s="148"/>
      <c r="E295" s="148"/>
      <c r="F295" s="148"/>
      <c r="G295" s="148"/>
      <c r="H295" s="148"/>
      <c r="I295" s="148"/>
      <c r="J295" s="148"/>
      <c r="K295" s="148"/>
      <c r="L295" s="148"/>
      <c r="M295" s="160"/>
      <c r="N295" s="160"/>
      <c r="O295" s="148"/>
      <c r="P295" s="161">
        <f>SUM(Q295:AP295)</f>
      </c>
      <c r="Q295" s="161"/>
      <c r="R295" s="161"/>
      <c r="S295" s="161"/>
      <c r="T295" s="161"/>
      <c r="U295" s="161"/>
      <c r="V295" s="161"/>
      <c r="W295" s="161"/>
      <c r="X295" s="161"/>
      <c r="Y295" s="161"/>
      <c r="Z295" s="161"/>
      <c r="AA295" s="161"/>
      <c r="AB295" s="161"/>
      <c r="AC295" s="161"/>
      <c r="AD295" s="161"/>
      <c r="AE295" s="161"/>
      <c r="AF295" s="161"/>
      <c r="AG295" s="161"/>
      <c r="AH295" s="161"/>
      <c r="AI295" s="161"/>
      <c r="AJ295" s="161"/>
      <c r="AK295" s="161"/>
      <c r="AL295" s="161"/>
      <c r="AM295" s="161"/>
      <c r="AN295" s="161"/>
      <c r="AO295" s="161"/>
      <c r="AP295" s="161"/>
      <c r="AQ295" s="161">
        <f>SUM(AR295:AU295)</f>
      </c>
      <c r="AR295" s="161"/>
      <c r="AS295" s="161"/>
      <c r="AT295" s="161"/>
      <c r="AU295" s="161"/>
      <c r="AV295" s="161">
        <f>SUM(AW295:BH295)</f>
      </c>
      <c r="AW295" s="161"/>
      <c r="AX295" s="161"/>
      <c r="AY295" s="161"/>
      <c r="AZ295" s="161"/>
      <c r="BA295" s="161"/>
      <c r="BB295" s="161"/>
      <c r="BC295" s="161"/>
      <c r="BD295" s="161"/>
      <c r="BE295" s="161"/>
      <c r="BF295" s="161"/>
      <c r="BG295" s="161"/>
      <c r="BH295" s="161"/>
      <c r="BI295" s="161"/>
      <c r="BJ295" s="161"/>
      <c r="BK295" s="161"/>
      <c r="BL295" s="161"/>
      <c r="BM295" s="161"/>
      <c r="BN295" s="161"/>
      <c r="BO295" s="161"/>
      <c r="BP295" s="161"/>
      <c r="BQ295" s="161"/>
      <c r="BR295" s="161"/>
      <c r="BS295" s="161">
        <f>SUM(BT295:BV295)</f>
      </c>
      <c r="BT295" s="161"/>
      <c r="BU295" s="161"/>
      <c r="BV295" s="161"/>
      <c r="BW295" s="161">
        <f>SUM(BX295:CC295)</f>
      </c>
      <c r="BX295" s="161"/>
      <c r="BY295" s="161"/>
      <c r="BZ295" s="161"/>
      <c r="CA295" s="161"/>
      <c r="CB295" s="161"/>
      <c r="CC295" s="161"/>
      <c r="CD295" s="161"/>
      <c r="CE295" s="161"/>
      <c r="CF295" s="161"/>
      <c r="CG295" s="161"/>
      <c r="CH295" s="161"/>
      <c r="CI295" s="161"/>
      <c r="CJ295" s="161">
        <f>SUM(CK295:CM295)</f>
      </c>
      <c r="CK295" s="161"/>
      <c r="CL295" s="161"/>
      <c r="CM295" s="161"/>
      <c r="CN295" s="161">
        <f>SUM(CO295:CS295)</f>
      </c>
      <c r="CO295" s="161"/>
      <c r="CP295" s="161"/>
      <c r="CQ295" s="161"/>
      <c r="CR295" s="161"/>
      <c r="CS295" s="161"/>
      <c r="CT295" s="161"/>
      <c r="CU295" s="161"/>
      <c r="CV295" s="161"/>
      <c r="CW295" s="161"/>
      <c r="CX295" s="161"/>
      <c r="CY295" s="161"/>
      <c r="CZ295" s="161"/>
      <c r="DA295" s="161"/>
      <c r="DB295" s="161"/>
      <c r="DC295" s="161"/>
      <c r="DD295" s="161"/>
      <c r="DE295" s="161"/>
      <c r="DF295" s="161">
        <f>SUM(DG295:DG295)</f>
      </c>
      <c r="DG295" s="161"/>
      <c r="DH295" s="161"/>
      <c r="DI295" s="161"/>
      <c r="DJ295" s="161">
        <f>SUM(DK295:DP295)</f>
      </c>
      <c r="DK295" s="161"/>
      <c r="DL295" s="161"/>
      <c r="DM295" s="161"/>
      <c r="DN295" s="161"/>
      <c r="DO295" s="161"/>
      <c r="DP295" s="161"/>
      <c r="DQ295" s="161"/>
      <c r="DR295" s="161"/>
      <c r="DS295" s="161"/>
      <c r="DT295" s="161"/>
      <c r="DU295" s="161"/>
      <c r="DV295" s="161"/>
      <c r="DW295" s="161"/>
      <c r="DX295" s="161"/>
      <c r="DY295" s="161"/>
      <c r="DZ295" s="161"/>
      <c r="EA295" s="161"/>
      <c r="EB295" s="161"/>
      <c r="EC295" s="161"/>
      <c r="ED295" s="161"/>
      <c r="EE295" s="161"/>
      <c r="EF295" s="161">
        <f>SUM(EG295:EP295)</f>
      </c>
      <c r="EG295" s="161"/>
      <c r="EH295" s="161"/>
      <c r="EI295" s="161"/>
      <c r="EJ295" s="161"/>
      <c r="EK295" s="161"/>
      <c r="EL295" s="161"/>
      <c r="EM295" s="161"/>
      <c r="EN295" s="161"/>
      <c r="EO295" s="161"/>
      <c r="EP295" s="161"/>
      <c r="EQ295" s="161">
        <f>SUM(ER295:ES295)</f>
      </c>
      <c r="ER295" s="161"/>
      <c r="ES295" s="161"/>
      <c r="ET295" s="161"/>
      <c r="EU295" s="161"/>
      <c r="EV295" s="161"/>
      <c r="EW295" s="161"/>
      <c r="EX295" s="161"/>
      <c r="EY295" s="161"/>
      <c r="EZ295" s="161"/>
      <c r="FA295" s="161"/>
      <c r="FB295" s="161"/>
      <c r="FC295" s="161"/>
      <c r="FD295" s="161"/>
      <c r="FE295" s="161"/>
      <c r="FF295" s="161"/>
      <c r="FG295" s="161"/>
      <c r="FH295" s="163" cm="1">
        <f t="array" ref="FH295">ROW()-ROW(Ongoing[#Headers])</f>
        <v>289</v>
      </c>
      <c r="FI295" s="164"/>
      <c r="FJ295" s="164"/>
      <c r="FK295" s="164"/>
      <c r="FL295" s="164"/>
      <c r="FM295" s="164"/>
      <c r="FN295" s="164"/>
      <c r="FO295" s="164"/>
      <c r="FP295" s="164"/>
    </row>
    <row r="296" spans="2:172" s="115" customFormat="1" ht="11.25" x14ac:dyDescent="0.2">
      <c r="B296" s="148"/>
      <c r="C296" s="148"/>
      <c r="D296" s="148"/>
      <c r="E296" s="148"/>
      <c r="F296" s="148"/>
      <c r="G296" s="148"/>
      <c r="H296" s="148"/>
      <c r="I296" s="148"/>
      <c r="J296" s="148"/>
      <c r="K296" s="148"/>
      <c r="L296" s="148"/>
      <c r="M296" s="160"/>
      <c r="N296" s="160"/>
      <c r="O296" s="148"/>
      <c r="P296" s="161">
        <f>SUM(Q296:AP296)</f>
      </c>
      <c r="Q296" s="161"/>
      <c r="R296" s="161"/>
      <c r="S296" s="161"/>
      <c r="T296" s="161"/>
      <c r="U296" s="161"/>
      <c r="V296" s="161"/>
      <c r="W296" s="161"/>
      <c r="X296" s="161"/>
      <c r="Y296" s="161"/>
      <c r="Z296" s="161"/>
      <c r="AA296" s="161"/>
      <c r="AB296" s="161"/>
      <c r="AC296" s="161"/>
      <c r="AD296" s="161"/>
      <c r="AE296" s="161"/>
      <c r="AF296" s="161"/>
      <c r="AG296" s="161"/>
      <c r="AH296" s="161"/>
      <c r="AI296" s="161"/>
      <c r="AJ296" s="161"/>
      <c r="AK296" s="161"/>
      <c r="AL296" s="161"/>
      <c r="AM296" s="161"/>
      <c r="AN296" s="161"/>
      <c r="AO296" s="161"/>
      <c r="AP296" s="161"/>
      <c r="AQ296" s="161">
        <f>SUM(AR296:AU296)</f>
      </c>
      <c r="AR296" s="161"/>
      <c r="AS296" s="161"/>
      <c r="AT296" s="161"/>
      <c r="AU296" s="161"/>
      <c r="AV296" s="161">
        <f>SUM(AW296:BH296)</f>
      </c>
      <c r="AW296" s="161"/>
      <c r="AX296" s="161"/>
      <c r="AY296" s="161"/>
      <c r="AZ296" s="161"/>
      <c r="BA296" s="161"/>
      <c r="BB296" s="161"/>
      <c r="BC296" s="161"/>
      <c r="BD296" s="161"/>
      <c r="BE296" s="161"/>
      <c r="BF296" s="161"/>
      <c r="BG296" s="161"/>
      <c r="BH296" s="161"/>
      <c r="BI296" s="161"/>
      <c r="BJ296" s="161"/>
      <c r="BK296" s="161"/>
      <c r="BL296" s="161"/>
      <c r="BM296" s="161"/>
      <c r="BN296" s="161"/>
      <c r="BO296" s="161"/>
      <c r="BP296" s="161"/>
      <c r="BQ296" s="161"/>
      <c r="BR296" s="161"/>
      <c r="BS296" s="161">
        <f>SUM(BT296:BV296)</f>
      </c>
      <c r="BT296" s="161"/>
      <c r="BU296" s="161"/>
      <c r="BV296" s="161"/>
      <c r="BW296" s="161">
        <f>SUM(BX296:CC296)</f>
      </c>
      <c r="BX296" s="161"/>
      <c r="BY296" s="161"/>
      <c r="BZ296" s="161"/>
      <c r="CA296" s="161"/>
      <c r="CB296" s="161"/>
      <c r="CC296" s="161"/>
      <c r="CD296" s="161"/>
      <c r="CE296" s="161"/>
      <c r="CF296" s="161"/>
      <c r="CG296" s="161"/>
      <c r="CH296" s="161"/>
      <c r="CI296" s="161"/>
      <c r="CJ296" s="161">
        <f>SUM(CK296:CM296)</f>
      </c>
      <c r="CK296" s="161"/>
      <c r="CL296" s="161"/>
      <c r="CM296" s="161"/>
      <c r="CN296" s="161">
        <f>SUM(CO296:CS296)</f>
      </c>
      <c r="CO296" s="161"/>
      <c r="CP296" s="161"/>
      <c r="CQ296" s="161"/>
      <c r="CR296" s="161"/>
      <c r="CS296" s="161"/>
      <c r="CT296" s="161"/>
      <c r="CU296" s="161"/>
      <c r="CV296" s="161"/>
      <c r="CW296" s="161"/>
      <c r="CX296" s="161"/>
      <c r="CY296" s="161"/>
      <c r="CZ296" s="161"/>
      <c r="DA296" s="161"/>
      <c r="DB296" s="161"/>
      <c r="DC296" s="161"/>
      <c r="DD296" s="161"/>
      <c r="DE296" s="161"/>
      <c r="DF296" s="161">
        <f>SUM(DG296:DG296)</f>
      </c>
      <c r="DG296" s="161"/>
      <c r="DH296" s="161"/>
      <c r="DI296" s="161"/>
      <c r="DJ296" s="161">
        <f>SUM(DK296:DP296)</f>
      </c>
      <c r="DK296" s="161"/>
      <c r="DL296" s="161"/>
      <c r="DM296" s="161"/>
      <c r="DN296" s="161"/>
      <c r="DO296" s="161"/>
      <c r="DP296" s="161"/>
      <c r="DQ296" s="161"/>
      <c r="DR296" s="161"/>
      <c r="DS296" s="161"/>
      <c r="DT296" s="161"/>
      <c r="DU296" s="161"/>
      <c r="DV296" s="161"/>
      <c r="DW296" s="161"/>
      <c r="DX296" s="161"/>
      <c r="DY296" s="161"/>
      <c r="DZ296" s="161"/>
      <c r="EA296" s="161"/>
      <c r="EB296" s="161"/>
      <c r="EC296" s="161"/>
      <c r="ED296" s="161"/>
      <c r="EE296" s="161"/>
      <c r="EF296" s="161">
        <f>SUM(EG296:EP296)</f>
      </c>
      <c r="EG296" s="161"/>
      <c r="EH296" s="161"/>
      <c r="EI296" s="161"/>
      <c r="EJ296" s="161"/>
      <c r="EK296" s="161"/>
      <c r="EL296" s="161"/>
      <c r="EM296" s="161"/>
      <c r="EN296" s="161"/>
      <c r="EO296" s="161"/>
      <c r="EP296" s="161"/>
      <c r="EQ296" s="161">
        <f>SUM(ER296:ES296)</f>
      </c>
      <c r="ER296" s="161"/>
      <c r="ES296" s="161"/>
      <c r="ET296" s="161"/>
      <c r="EU296" s="161"/>
      <c r="EV296" s="161"/>
      <c r="EW296" s="161"/>
      <c r="EX296" s="161"/>
      <c r="EY296" s="161"/>
      <c r="EZ296" s="161"/>
      <c r="FA296" s="161"/>
      <c r="FB296" s="161"/>
      <c r="FC296" s="161"/>
      <c r="FD296" s="161"/>
      <c r="FE296" s="161"/>
      <c r="FF296" s="161"/>
      <c r="FG296" s="161"/>
      <c r="FH296" s="163" cm="1">
        <f t="array" ref="FH296">ROW()-ROW(Ongoing[#Headers])</f>
        <v>290</v>
      </c>
      <c r="FI296" s="164" t="s">
        <v>1393</v>
      </c>
      <c r="FJ296" s="164" t="s">
        <v>755</v>
      </c>
      <c r="FK296" s="164">
        <v>0</v>
      </c>
      <c r="FL296" s="164" t="s">
        <v>769</v>
      </c>
      <c r="FM296" s="164" t="s">
        <v>1394</v>
      </c>
      <c r="FN296" s="164" t="s">
        <v>770</v>
      </c>
      <c r="FO296" s="164" t="s">
        <v>1422</v>
      </c>
      <c r="FP296" s="164" t="s">
        <v>1403</v>
      </c>
    </row>
    <row r="297" spans="2:172" s="115" customFormat="1" ht="11.25" x14ac:dyDescent="0.2">
      <c r="B297" s="148"/>
      <c r="C297" s="148"/>
      <c r="D297" s="148"/>
      <c r="E297" s="148"/>
      <c r="F297" s="148"/>
      <c r="G297" s="148"/>
      <c r="H297" s="148"/>
      <c r="I297" s="148"/>
      <c r="J297" s="148"/>
      <c r="K297" s="148"/>
      <c r="L297" s="148"/>
      <c r="M297" s="160"/>
      <c r="N297" s="160"/>
      <c r="O297" s="148"/>
      <c r="P297" s="161">
        <f>SUM(Q297:AP297)</f>
      </c>
      <c r="Q297" s="161"/>
      <c r="R297" s="161"/>
      <c r="S297" s="161"/>
      <c r="T297" s="161"/>
      <c r="U297" s="161"/>
      <c r="V297" s="161"/>
      <c r="W297" s="161"/>
      <c r="X297" s="161"/>
      <c r="Y297" s="161"/>
      <c r="Z297" s="161"/>
      <c r="AA297" s="161"/>
      <c r="AB297" s="161"/>
      <c r="AC297" s="161"/>
      <c r="AD297" s="161"/>
      <c r="AE297" s="161"/>
      <c r="AF297" s="161"/>
      <c r="AG297" s="161"/>
      <c r="AH297" s="161"/>
      <c r="AI297" s="161"/>
      <c r="AJ297" s="161"/>
      <c r="AK297" s="161"/>
      <c r="AL297" s="161"/>
      <c r="AM297" s="161"/>
      <c r="AN297" s="161"/>
      <c r="AO297" s="161"/>
      <c r="AP297" s="161"/>
      <c r="AQ297" s="161">
        <f>SUM(AR297:AU297)</f>
      </c>
      <c r="AR297" s="161"/>
      <c r="AS297" s="161"/>
      <c r="AT297" s="161"/>
      <c r="AU297" s="161"/>
      <c r="AV297" s="161">
        <f>SUM(AW297:BH297)</f>
      </c>
      <c r="AW297" s="161"/>
      <c r="AX297" s="161"/>
      <c r="AY297" s="161"/>
      <c r="AZ297" s="161"/>
      <c r="BA297" s="161"/>
      <c r="BB297" s="161"/>
      <c r="BC297" s="161"/>
      <c r="BD297" s="161"/>
      <c r="BE297" s="161"/>
      <c r="BF297" s="161"/>
      <c r="BG297" s="161"/>
      <c r="BH297" s="161"/>
      <c r="BI297" s="161"/>
      <c r="BJ297" s="161"/>
      <c r="BK297" s="161"/>
      <c r="BL297" s="161"/>
      <c r="BM297" s="161"/>
      <c r="BN297" s="161"/>
      <c r="BO297" s="161"/>
      <c r="BP297" s="161"/>
      <c r="BQ297" s="161"/>
      <c r="BR297" s="161"/>
      <c r="BS297" s="161">
        <f>SUM(BT297:BV297)</f>
      </c>
      <c r="BT297" s="161"/>
      <c r="BU297" s="161"/>
      <c r="BV297" s="161"/>
      <c r="BW297" s="161">
        <f>SUM(BX297:CC297)</f>
      </c>
      <c r="BX297" s="161"/>
      <c r="BY297" s="161"/>
      <c r="BZ297" s="161"/>
      <c r="CA297" s="161"/>
      <c r="CB297" s="161"/>
      <c r="CC297" s="161"/>
      <c r="CD297" s="161"/>
      <c r="CE297" s="161"/>
      <c r="CF297" s="161"/>
      <c r="CG297" s="161"/>
      <c r="CH297" s="161"/>
      <c r="CI297" s="161"/>
      <c r="CJ297" s="161">
        <f>SUM(CK297:CM297)</f>
      </c>
      <c r="CK297" s="161"/>
      <c r="CL297" s="161"/>
      <c r="CM297" s="161"/>
      <c r="CN297" s="161">
        <f>SUM(CO297:CS297)</f>
      </c>
      <c r="CO297" s="161"/>
      <c r="CP297" s="161"/>
      <c r="CQ297" s="161"/>
      <c r="CR297" s="161"/>
      <c r="CS297" s="161"/>
      <c r="CT297" s="161"/>
      <c r="CU297" s="161"/>
      <c r="CV297" s="161"/>
      <c r="CW297" s="161"/>
      <c r="CX297" s="161"/>
      <c r="CY297" s="161"/>
      <c r="CZ297" s="161"/>
      <c r="DA297" s="161"/>
      <c r="DB297" s="161"/>
      <c r="DC297" s="161"/>
      <c r="DD297" s="161"/>
      <c r="DE297" s="161"/>
      <c r="DF297" s="161">
        <f>SUM(DG297:DG297)</f>
      </c>
      <c r="DG297" s="161"/>
      <c r="DH297" s="161"/>
      <c r="DI297" s="161"/>
      <c r="DJ297" s="161">
        <f>SUM(DK297:DP297)</f>
      </c>
      <c r="DK297" s="161"/>
      <c r="DL297" s="161"/>
      <c r="DM297" s="161"/>
      <c r="DN297" s="161"/>
      <c r="DO297" s="161"/>
      <c r="DP297" s="161"/>
      <c r="DQ297" s="161"/>
      <c r="DR297" s="161"/>
      <c r="DS297" s="161"/>
      <c r="DT297" s="161"/>
      <c r="DU297" s="161"/>
      <c r="DV297" s="161"/>
      <c r="DW297" s="161"/>
      <c r="DX297" s="161"/>
      <c r="DY297" s="161"/>
      <c r="DZ297" s="161"/>
      <c r="EA297" s="161"/>
      <c r="EB297" s="161"/>
      <c r="EC297" s="161"/>
      <c r="ED297" s="161"/>
      <c r="EE297" s="161"/>
      <c r="EF297" s="161">
        <f>SUM(EG297:EP297)</f>
      </c>
      <c r="EG297" s="161"/>
      <c r="EH297" s="161"/>
      <c r="EI297" s="161"/>
      <c r="EJ297" s="161"/>
      <c r="EK297" s="161"/>
      <c r="EL297" s="161"/>
      <c r="EM297" s="161"/>
      <c r="EN297" s="161"/>
      <c r="EO297" s="161"/>
      <c r="EP297" s="161"/>
      <c r="EQ297" s="161">
        <f>SUM(ER297:ES297)</f>
      </c>
      <c r="ER297" s="161"/>
      <c r="ES297" s="161"/>
      <c r="ET297" s="161"/>
      <c r="EU297" s="161"/>
      <c r="EV297" s="161"/>
      <c r="EW297" s="161"/>
      <c r="EX297" s="161"/>
      <c r="EY297" s="161"/>
      <c r="EZ297" s="161"/>
      <c r="FA297" s="161"/>
      <c r="FB297" s="161"/>
      <c r="FC297" s="161"/>
      <c r="FD297" s="161"/>
      <c r="FE297" s="161"/>
      <c r="FF297" s="161"/>
      <c r="FG297" s="161"/>
      <c r="FH297" s="163" cm="1">
        <f t="array" ref="FH297">ROW()-ROW(Ongoing[#Headers])</f>
        <v>291</v>
      </c>
      <c r="FI297" s="164" t="s">
        <v>1393</v>
      </c>
      <c r="FJ297" s="164" t="s">
        <v>755</v>
      </c>
      <c r="FK297" s="164">
        <v>0</v>
      </c>
      <c r="FL297" s="164" t="s">
        <v>769</v>
      </c>
      <c r="FM297" s="164" t="s">
        <v>1394</v>
      </c>
      <c r="FN297" s="164" t="s">
        <v>770</v>
      </c>
      <c r="FO297" s="164" t="s">
        <v>1422</v>
      </c>
      <c r="FP297" s="164" t="s">
        <v>1403</v>
      </c>
    </row>
    <row r="298" spans="2:172" s="115" customFormat="1" ht="11.25" x14ac:dyDescent="0.2">
      <c r="B298" s="148"/>
      <c r="C298" s="148"/>
      <c r="D298" s="148"/>
      <c r="E298" s="148"/>
      <c r="F298" s="148"/>
      <c r="G298" s="148"/>
      <c r="H298" s="148"/>
      <c r="I298" s="148"/>
      <c r="J298" s="148"/>
      <c r="K298" s="148"/>
      <c r="L298" s="148"/>
      <c r="M298" s="160"/>
      <c r="N298" s="160"/>
      <c r="O298" s="148"/>
      <c r="P298" s="161">
        <f>SUM(Q298:AP298)</f>
      </c>
      <c r="Q298" s="161"/>
      <c r="R298" s="161"/>
      <c r="S298" s="161"/>
      <c r="T298" s="161"/>
      <c r="U298" s="161"/>
      <c r="V298" s="161"/>
      <c r="W298" s="161"/>
      <c r="X298" s="161"/>
      <c r="Y298" s="161"/>
      <c r="Z298" s="161"/>
      <c r="AA298" s="161"/>
      <c r="AB298" s="161"/>
      <c r="AC298" s="161"/>
      <c r="AD298" s="161"/>
      <c r="AE298" s="161"/>
      <c r="AF298" s="161"/>
      <c r="AG298" s="161"/>
      <c r="AH298" s="161"/>
      <c r="AI298" s="161"/>
      <c r="AJ298" s="161"/>
      <c r="AK298" s="161"/>
      <c r="AL298" s="161"/>
      <c r="AM298" s="161"/>
      <c r="AN298" s="161"/>
      <c r="AO298" s="161"/>
      <c r="AP298" s="161"/>
      <c r="AQ298" s="161">
        <f>SUM(AR298:AU298)</f>
      </c>
      <c r="AR298" s="161"/>
      <c r="AS298" s="161"/>
      <c r="AT298" s="161"/>
      <c r="AU298" s="161"/>
      <c r="AV298" s="161">
        <f>SUM(AW298:BH298)</f>
      </c>
      <c r="AW298" s="161"/>
      <c r="AX298" s="161"/>
      <c r="AY298" s="161"/>
      <c r="AZ298" s="161"/>
      <c r="BA298" s="161"/>
      <c r="BB298" s="161"/>
      <c r="BC298" s="161"/>
      <c r="BD298" s="161"/>
      <c r="BE298" s="161"/>
      <c r="BF298" s="161"/>
      <c r="BG298" s="161"/>
      <c r="BH298" s="161"/>
      <c r="BI298" s="161"/>
      <c r="BJ298" s="161"/>
      <c r="BK298" s="161"/>
      <c r="BL298" s="161"/>
      <c r="BM298" s="161"/>
      <c r="BN298" s="161"/>
      <c r="BO298" s="161"/>
      <c r="BP298" s="161"/>
      <c r="BQ298" s="161"/>
      <c r="BR298" s="161"/>
      <c r="BS298" s="161">
        <f>SUM(BT298:BV298)</f>
      </c>
      <c r="BT298" s="161"/>
      <c r="BU298" s="161"/>
      <c r="BV298" s="161"/>
      <c r="BW298" s="161">
        <f>SUM(BX298:CC298)</f>
      </c>
      <c r="BX298" s="161"/>
      <c r="BY298" s="161"/>
      <c r="BZ298" s="161"/>
      <c r="CA298" s="161"/>
      <c r="CB298" s="161"/>
      <c r="CC298" s="161"/>
      <c r="CD298" s="161"/>
      <c r="CE298" s="161"/>
      <c r="CF298" s="161"/>
      <c r="CG298" s="161"/>
      <c r="CH298" s="161"/>
      <c r="CI298" s="161"/>
      <c r="CJ298" s="161">
        <f>SUM(CK298:CM298)</f>
      </c>
      <c r="CK298" s="161"/>
      <c r="CL298" s="161"/>
      <c r="CM298" s="161"/>
      <c r="CN298" s="161">
        <f>SUM(CO298:CS298)</f>
      </c>
      <c r="CO298" s="161"/>
      <c r="CP298" s="161"/>
      <c r="CQ298" s="161"/>
      <c r="CR298" s="161"/>
      <c r="CS298" s="161"/>
      <c r="CT298" s="161"/>
      <c r="CU298" s="161"/>
      <c r="CV298" s="161"/>
      <c r="CW298" s="161"/>
      <c r="CX298" s="161"/>
      <c r="CY298" s="161"/>
      <c r="CZ298" s="161"/>
      <c r="DA298" s="161"/>
      <c r="DB298" s="161"/>
      <c r="DC298" s="161"/>
      <c r="DD298" s="161"/>
      <c r="DE298" s="161"/>
      <c r="DF298" s="161">
        <f>SUM(DG298:DG298)</f>
      </c>
      <c r="DG298" s="161"/>
      <c r="DH298" s="161"/>
      <c r="DI298" s="161"/>
      <c r="DJ298" s="161">
        <f>SUM(DK298:DP298)</f>
      </c>
      <c r="DK298" s="161"/>
      <c r="DL298" s="161"/>
      <c r="DM298" s="161"/>
      <c r="DN298" s="161"/>
      <c r="DO298" s="161"/>
      <c r="DP298" s="161"/>
      <c r="DQ298" s="161"/>
      <c r="DR298" s="161"/>
      <c r="DS298" s="161"/>
      <c r="DT298" s="161"/>
      <c r="DU298" s="161"/>
      <c r="DV298" s="161"/>
      <c r="DW298" s="161"/>
      <c r="DX298" s="161"/>
      <c r="DY298" s="161"/>
      <c r="DZ298" s="161"/>
      <c r="EA298" s="161"/>
      <c r="EB298" s="161"/>
      <c r="EC298" s="161"/>
      <c r="ED298" s="161"/>
      <c r="EE298" s="161"/>
      <c r="EF298" s="161">
        <f>SUM(EG298:EP298)</f>
      </c>
      <c r="EG298" s="161"/>
      <c r="EH298" s="161"/>
      <c r="EI298" s="161"/>
      <c r="EJ298" s="161"/>
      <c r="EK298" s="161"/>
      <c r="EL298" s="161"/>
      <c r="EM298" s="161"/>
      <c r="EN298" s="161"/>
      <c r="EO298" s="161"/>
      <c r="EP298" s="161"/>
      <c r="EQ298" s="161">
        <f>SUM(ER298:ES298)</f>
      </c>
      <c r="ER298" s="161"/>
      <c r="ES298" s="161"/>
      <c r="ET298" s="161"/>
      <c r="EU298" s="161"/>
      <c r="EV298" s="161"/>
      <c r="EW298" s="161"/>
      <c r="EX298" s="161"/>
      <c r="EY298" s="161"/>
      <c r="EZ298" s="161"/>
      <c r="FA298" s="161"/>
      <c r="FB298" s="161"/>
      <c r="FC298" s="161"/>
      <c r="FD298" s="161"/>
      <c r="FE298" s="161"/>
      <c r="FF298" s="161"/>
      <c r="FG298" s="161"/>
      <c r="FH298" s="163" cm="1">
        <f t="array" ref="FH298">ROW()-ROW(Ongoing[#Headers])</f>
        <v>292</v>
      </c>
      <c r="FI298" s="164" t="s">
        <v>1393</v>
      </c>
      <c r="FJ298" s="164" t="s">
        <v>755</v>
      </c>
      <c r="FK298" s="164">
        <v>0</v>
      </c>
      <c r="FL298" s="164" t="s">
        <v>769</v>
      </c>
      <c r="FM298" s="164" t="s">
        <v>1394</v>
      </c>
      <c r="FN298" s="164" t="s">
        <v>770</v>
      </c>
      <c r="FO298" s="164" t="s">
        <v>1422</v>
      </c>
      <c r="FP298" s="164" t="s">
        <v>1403</v>
      </c>
    </row>
    <row r="299" spans="2:172" s="115" customFormat="1" ht="11.25" x14ac:dyDescent="0.2">
      <c r="B299" s="148"/>
      <c r="C299" s="148"/>
      <c r="D299" s="148"/>
      <c r="E299" s="148"/>
      <c r="F299" s="148"/>
      <c r="G299" s="148"/>
      <c r="H299" s="148"/>
      <c r="I299" s="148"/>
      <c r="J299" s="148"/>
      <c r="K299" s="148"/>
      <c r="L299" s="148"/>
      <c r="M299" s="160"/>
      <c r="N299" s="160"/>
      <c r="O299" s="148"/>
      <c r="P299" s="161">
        <f>SUM(Q299:AP299)</f>
      </c>
      <c r="Q299" s="161"/>
      <c r="R299" s="161"/>
      <c r="S299" s="161"/>
      <c r="T299" s="161"/>
      <c r="U299" s="161"/>
      <c r="V299" s="161"/>
      <c r="W299" s="161"/>
      <c r="X299" s="161"/>
      <c r="Y299" s="161"/>
      <c r="Z299" s="161"/>
      <c r="AA299" s="161"/>
      <c r="AB299" s="161"/>
      <c r="AC299" s="161"/>
      <c r="AD299" s="161"/>
      <c r="AE299" s="161"/>
      <c r="AF299" s="161"/>
      <c r="AG299" s="161"/>
      <c r="AH299" s="161"/>
      <c r="AI299" s="161"/>
      <c r="AJ299" s="161"/>
      <c r="AK299" s="161"/>
      <c r="AL299" s="161"/>
      <c r="AM299" s="161"/>
      <c r="AN299" s="161"/>
      <c r="AO299" s="161"/>
      <c r="AP299" s="161"/>
      <c r="AQ299" s="161">
        <f>SUM(AR299:AU299)</f>
      </c>
      <c r="AR299" s="161"/>
      <c r="AS299" s="161"/>
      <c r="AT299" s="161"/>
      <c r="AU299" s="161"/>
      <c r="AV299" s="161">
        <f>SUM(AW299:BH299)</f>
      </c>
      <c r="AW299" s="161"/>
      <c r="AX299" s="161"/>
      <c r="AY299" s="161"/>
      <c r="AZ299" s="161"/>
      <c r="BA299" s="161"/>
      <c r="BB299" s="161"/>
      <c r="BC299" s="161"/>
      <c r="BD299" s="161"/>
      <c r="BE299" s="161"/>
      <c r="BF299" s="161"/>
      <c r="BG299" s="161"/>
      <c r="BH299" s="161"/>
      <c r="BI299" s="161"/>
      <c r="BJ299" s="161"/>
      <c r="BK299" s="161"/>
      <c r="BL299" s="161"/>
      <c r="BM299" s="161"/>
      <c r="BN299" s="161"/>
      <c r="BO299" s="161"/>
      <c r="BP299" s="161"/>
      <c r="BQ299" s="161"/>
      <c r="BR299" s="161"/>
      <c r="BS299" s="161">
        <f>SUM(BT299:BV299)</f>
      </c>
      <c r="BT299" s="161"/>
      <c r="BU299" s="161"/>
      <c r="BV299" s="161"/>
      <c r="BW299" s="161">
        <f>SUM(BX299:CC299)</f>
      </c>
      <c r="BX299" s="161"/>
      <c r="BY299" s="161"/>
      <c r="BZ299" s="161"/>
      <c r="CA299" s="161"/>
      <c r="CB299" s="161"/>
      <c r="CC299" s="161"/>
      <c r="CD299" s="161"/>
      <c r="CE299" s="161"/>
      <c r="CF299" s="161"/>
      <c r="CG299" s="161"/>
      <c r="CH299" s="161"/>
      <c r="CI299" s="161"/>
      <c r="CJ299" s="161">
        <f>SUM(CK299:CM299)</f>
      </c>
      <c r="CK299" s="161"/>
      <c r="CL299" s="161"/>
      <c r="CM299" s="161"/>
      <c r="CN299" s="161">
        <f>SUM(CO299:CS299)</f>
      </c>
      <c r="CO299" s="161"/>
      <c r="CP299" s="161"/>
      <c r="CQ299" s="161"/>
      <c r="CR299" s="161"/>
      <c r="CS299" s="161"/>
      <c r="CT299" s="161"/>
      <c r="CU299" s="161"/>
      <c r="CV299" s="161"/>
      <c r="CW299" s="161"/>
      <c r="CX299" s="161"/>
      <c r="CY299" s="161"/>
      <c r="CZ299" s="161"/>
      <c r="DA299" s="161"/>
      <c r="DB299" s="161"/>
      <c r="DC299" s="161"/>
      <c r="DD299" s="161"/>
      <c r="DE299" s="161"/>
      <c r="DF299" s="161">
        <f>SUM(DG299:DG299)</f>
      </c>
      <c r="DG299" s="161"/>
      <c r="DH299" s="161"/>
      <c r="DI299" s="161"/>
      <c r="DJ299" s="161">
        <f>SUM(DK299:DP299)</f>
      </c>
      <c r="DK299" s="161"/>
      <c r="DL299" s="161"/>
      <c r="DM299" s="161"/>
      <c r="DN299" s="161"/>
      <c r="DO299" s="161"/>
      <c r="DP299" s="161"/>
      <c r="DQ299" s="161"/>
      <c r="DR299" s="161"/>
      <c r="DS299" s="161"/>
      <c r="DT299" s="161"/>
      <c r="DU299" s="161"/>
      <c r="DV299" s="161"/>
      <c r="DW299" s="161"/>
      <c r="DX299" s="161"/>
      <c r="DY299" s="161"/>
      <c r="DZ299" s="161"/>
      <c r="EA299" s="161"/>
      <c r="EB299" s="161"/>
      <c r="EC299" s="161"/>
      <c r="ED299" s="161"/>
      <c r="EE299" s="161"/>
      <c r="EF299" s="161">
        <f>SUM(EG299:EP299)</f>
      </c>
      <c r="EG299" s="161"/>
      <c r="EH299" s="161"/>
      <c r="EI299" s="161"/>
      <c r="EJ299" s="161"/>
      <c r="EK299" s="161"/>
      <c r="EL299" s="161"/>
      <c r="EM299" s="161"/>
      <c r="EN299" s="161"/>
      <c r="EO299" s="161"/>
      <c r="EP299" s="161"/>
      <c r="EQ299" s="161">
        <f>SUM(ER299:ES299)</f>
      </c>
      <c r="ER299" s="161"/>
      <c r="ES299" s="161"/>
      <c r="ET299" s="161"/>
      <c r="EU299" s="161"/>
      <c r="EV299" s="161"/>
      <c r="EW299" s="161"/>
      <c r="EX299" s="161"/>
      <c r="EY299" s="161"/>
      <c r="EZ299" s="161"/>
      <c r="FA299" s="161"/>
      <c r="FB299" s="161"/>
      <c r="FC299" s="161"/>
      <c r="FD299" s="161"/>
      <c r="FE299" s="161"/>
      <c r="FF299" s="161"/>
      <c r="FG299" s="161"/>
      <c r="FH299" s="163" cm="1">
        <f t="array" ref="FH299">ROW()-ROW(Ongoing[#Headers])</f>
        <v>293</v>
      </c>
      <c r="FI299" s="164" t="s">
        <v>1393</v>
      </c>
      <c r="FJ299" s="164" t="s">
        <v>755</v>
      </c>
      <c r="FK299" s="164">
        <v>0</v>
      </c>
      <c r="FL299" s="164" t="s">
        <v>769</v>
      </c>
      <c r="FM299" s="164" t="s">
        <v>1394</v>
      </c>
      <c r="FN299" s="164" t="s">
        <v>770</v>
      </c>
      <c r="FO299" s="164" t="s">
        <v>1422</v>
      </c>
      <c r="FP299" s="164" t="s">
        <v>1403</v>
      </c>
    </row>
    <row r="300" spans="2:172" s="115" customFormat="1" ht="11.25" x14ac:dyDescent="0.2">
      <c r="B300" s="148"/>
      <c r="C300" s="148"/>
      <c r="D300" s="148"/>
      <c r="E300" s="148"/>
      <c r="F300" s="148"/>
      <c r="G300" s="148"/>
      <c r="H300" s="148"/>
      <c r="I300" s="148"/>
      <c r="J300" s="148"/>
      <c r="K300" s="148"/>
      <c r="L300" s="148"/>
      <c r="M300" s="160"/>
      <c r="N300" s="160"/>
      <c r="O300" s="148"/>
      <c r="P300" s="161">
        <f>SUM(Q300:AP300)</f>
      </c>
      <c r="Q300" s="161"/>
      <c r="R300" s="161"/>
      <c r="S300" s="161"/>
      <c r="T300" s="161"/>
      <c r="U300" s="161"/>
      <c r="V300" s="161"/>
      <c r="W300" s="161"/>
      <c r="X300" s="161"/>
      <c r="Y300" s="161"/>
      <c r="Z300" s="161"/>
      <c r="AA300" s="161"/>
      <c r="AB300" s="161"/>
      <c r="AC300" s="161"/>
      <c r="AD300" s="161"/>
      <c r="AE300" s="161"/>
      <c r="AF300" s="161"/>
      <c r="AG300" s="161"/>
      <c r="AH300" s="161"/>
      <c r="AI300" s="161"/>
      <c r="AJ300" s="161"/>
      <c r="AK300" s="161"/>
      <c r="AL300" s="161"/>
      <c r="AM300" s="161"/>
      <c r="AN300" s="161"/>
      <c r="AO300" s="161"/>
      <c r="AP300" s="161"/>
      <c r="AQ300" s="161">
        <f>SUM(AR300:AU300)</f>
      </c>
      <c r="AR300" s="161"/>
      <c r="AS300" s="161"/>
      <c r="AT300" s="161"/>
      <c r="AU300" s="161"/>
      <c r="AV300" s="161">
        <f>SUM(AW300:BH300)</f>
      </c>
      <c r="AW300" s="161"/>
      <c r="AX300" s="161"/>
      <c r="AY300" s="161"/>
      <c r="AZ300" s="161"/>
      <c r="BA300" s="161"/>
      <c r="BB300" s="161"/>
      <c r="BC300" s="161"/>
      <c r="BD300" s="161"/>
      <c r="BE300" s="161"/>
      <c r="BF300" s="161"/>
      <c r="BG300" s="161"/>
      <c r="BH300" s="161"/>
      <c r="BI300" s="161"/>
      <c r="BJ300" s="161"/>
      <c r="BK300" s="161"/>
      <c r="BL300" s="161"/>
      <c r="BM300" s="161"/>
      <c r="BN300" s="161"/>
      <c r="BO300" s="161"/>
      <c r="BP300" s="161"/>
      <c r="BQ300" s="161"/>
      <c r="BR300" s="161"/>
      <c r="BS300" s="161">
        <f>SUM(BT300:BV300)</f>
      </c>
      <c r="BT300" s="161"/>
      <c r="BU300" s="161"/>
      <c r="BV300" s="161"/>
      <c r="BW300" s="161">
        <f>SUM(BX300:CC300)</f>
      </c>
      <c r="BX300" s="161"/>
      <c r="BY300" s="161"/>
      <c r="BZ300" s="161"/>
      <c r="CA300" s="161"/>
      <c r="CB300" s="161"/>
      <c r="CC300" s="161"/>
      <c r="CD300" s="161"/>
      <c r="CE300" s="161"/>
      <c r="CF300" s="161"/>
      <c r="CG300" s="161"/>
      <c r="CH300" s="161"/>
      <c r="CI300" s="161"/>
      <c r="CJ300" s="161">
        <f>SUM(CK300:CM300)</f>
      </c>
      <c r="CK300" s="161"/>
      <c r="CL300" s="161"/>
      <c r="CM300" s="161"/>
      <c r="CN300" s="161">
        <f>SUM(CO300:CS300)</f>
      </c>
      <c r="CO300" s="161"/>
      <c r="CP300" s="161"/>
      <c r="CQ300" s="161"/>
      <c r="CR300" s="161"/>
      <c r="CS300" s="161"/>
      <c r="CT300" s="161"/>
      <c r="CU300" s="161"/>
      <c r="CV300" s="161"/>
      <c r="CW300" s="161"/>
      <c r="CX300" s="161"/>
      <c r="CY300" s="161"/>
      <c r="CZ300" s="161"/>
      <c r="DA300" s="161"/>
      <c r="DB300" s="161"/>
      <c r="DC300" s="161"/>
      <c r="DD300" s="161"/>
      <c r="DE300" s="161"/>
      <c r="DF300" s="161">
        <f>SUM(DG300:DG300)</f>
      </c>
      <c r="DG300" s="161"/>
      <c r="DH300" s="161"/>
      <c r="DI300" s="161"/>
      <c r="DJ300" s="161">
        <f>SUM(DK300:DP300)</f>
      </c>
      <c r="DK300" s="161"/>
      <c r="DL300" s="161"/>
      <c r="DM300" s="161"/>
      <c r="DN300" s="161"/>
      <c r="DO300" s="161"/>
      <c r="DP300" s="161"/>
      <c r="DQ300" s="161"/>
      <c r="DR300" s="161"/>
      <c r="DS300" s="161"/>
      <c r="DT300" s="161"/>
      <c r="DU300" s="161"/>
      <c r="DV300" s="161"/>
      <c r="DW300" s="161"/>
      <c r="DX300" s="161"/>
      <c r="DY300" s="161"/>
      <c r="DZ300" s="161"/>
      <c r="EA300" s="161"/>
      <c r="EB300" s="161"/>
      <c r="EC300" s="161"/>
      <c r="ED300" s="161"/>
      <c r="EE300" s="161"/>
      <c r="EF300" s="161">
        <f>SUM(EG300:EP300)</f>
      </c>
      <c r="EG300" s="161"/>
      <c r="EH300" s="161"/>
      <c r="EI300" s="161"/>
      <c r="EJ300" s="161"/>
      <c r="EK300" s="161"/>
      <c r="EL300" s="161"/>
      <c r="EM300" s="161"/>
      <c r="EN300" s="161"/>
      <c r="EO300" s="161"/>
      <c r="EP300" s="161"/>
      <c r="EQ300" s="161">
        <f>SUM(ER300:ES300)</f>
      </c>
      <c r="ER300" s="161"/>
      <c r="ES300" s="161"/>
      <c r="ET300" s="161"/>
      <c r="EU300" s="161"/>
      <c r="EV300" s="161"/>
      <c r="EW300" s="161"/>
      <c r="EX300" s="161"/>
      <c r="EY300" s="161"/>
      <c r="EZ300" s="161"/>
      <c r="FA300" s="161"/>
      <c r="FB300" s="161"/>
      <c r="FC300" s="161"/>
      <c r="FD300" s="161"/>
      <c r="FE300" s="161"/>
      <c r="FF300" s="161"/>
      <c r="FG300" s="161"/>
      <c r="FH300" s="163" cm="1">
        <f t="array" ref="FH300">ROW()-ROW(Ongoing[#Headers])</f>
        <v>294</v>
      </c>
      <c r="FI300" s="164"/>
      <c r="FJ300" s="164"/>
      <c r="FK300" s="164"/>
      <c r="FL300" s="164"/>
      <c r="FM300" s="164"/>
      <c r="FN300" s="164"/>
      <c r="FO300" s="164"/>
      <c r="FP300" s="164"/>
    </row>
    <row r="301" spans="2:172" s="115" customFormat="1" ht="11.25" x14ac:dyDescent="0.2">
      <c r="B301" s="148"/>
      <c r="C301" s="148"/>
      <c r="D301" s="148"/>
      <c r="E301" s="148"/>
      <c r="F301" s="148"/>
      <c r="G301" s="148"/>
      <c r="H301" s="148"/>
      <c r="I301" s="148"/>
      <c r="J301" s="148"/>
      <c r="K301" s="148"/>
      <c r="L301" s="148"/>
      <c r="M301" s="160"/>
      <c r="N301" s="160"/>
      <c r="O301" s="148"/>
      <c r="P301" s="161">
        <f>SUM(Q301:AP301)</f>
      </c>
      <c r="Q301" s="161"/>
      <c r="R301" s="161"/>
      <c r="S301" s="161"/>
      <c r="T301" s="161"/>
      <c r="U301" s="161"/>
      <c r="V301" s="161"/>
      <c r="W301" s="161"/>
      <c r="X301" s="161"/>
      <c r="Y301" s="161"/>
      <c r="Z301" s="161"/>
      <c r="AA301" s="161"/>
      <c r="AB301" s="161"/>
      <c r="AC301" s="161"/>
      <c r="AD301" s="161"/>
      <c r="AE301" s="161"/>
      <c r="AF301" s="161"/>
      <c r="AG301" s="161"/>
      <c r="AH301" s="161"/>
      <c r="AI301" s="161"/>
      <c r="AJ301" s="161"/>
      <c r="AK301" s="161"/>
      <c r="AL301" s="161"/>
      <c r="AM301" s="161"/>
      <c r="AN301" s="161"/>
      <c r="AO301" s="161"/>
      <c r="AP301" s="161"/>
      <c r="AQ301" s="161">
        <f>SUM(AR301:AU301)</f>
      </c>
      <c r="AR301" s="161"/>
      <c r="AS301" s="161"/>
      <c r="AT301" s="161"/>
      <c r="AU301" s="161"/>
      <c r="AV301" s="161">
        <f>SUM(AW301:BH301)</f>
      </c>
      <c r="AW301" s="161"/>
      <c r="AX301" s="161"/>
      <c r="AY301" s="161"/>
      <c r="AZ301" s="161"/>
      <c r="BA301" s="161"/>
      <c r="BB301" s="161"/>
      <c r="BC301" s="161"/>
      <c r="BD301" s="161"/>
      <c r="BE301" s="161"/>
      <c r="BF301" s="161"/>
      <c r="BG301" s="161"/>
      <c r="BH301" s="161"/>
      <c r="BI301" s="161"/>
      <c r="BJ301" s="161"/>
      <c r="BK301" s="161"/>
      <c r="BL301" s="161"/>
      <c r="BM301" s="161"/>
      <c r="BN301" s="161"/>
      <c r="BO301" s="161"/>
      <c r="BP301" s="161"/>
      <c r="BQ301" s="161"/>
      <c r="BR301" s="161"/>
      <c r="BS301" s="161">
        <f>SUM(BT301:BV301)</f>
      </c>
      <c r="BT301" s="161"/>
      <c r="BU301" s="161"/>
      <c r="BV301" s="161"/>
      <c r="BW301" s="161">
        <f>SUM(BX301:CC301)</f>
      </c>
      <c r="BX301" s="161"/>
      <c r="BY301" s="161"/>
      <c r="BZ301" s="161"/>
      <c r="CA301" s="161"/>
      <c r="CB301" s="161"/>
      <c r="CC301" s="161"/>
      <c r="CD301" s="161"/>
      <c r="CE301" s="161"/>
      <c r="CF301" s="161"/>
      <c r="CG301" s="161"/>
      <c r="CH301" s="161"/>
      <c r="CI301" s="161"/>
      <c r="CJ301" s="161">
        <f>SUM(CK301:CM301)</f>
      </c>
      <c r="CK301" s="161"/>
      <c r="CL301" s="161"/>
      <c r="CM301" s="161"/>
      <c r="CN301" s="161">
        <f>SUM(CO301:CS301)</f>
      </c>
      <c r="CO301" s="161"/>
      <c r="CP301" s="161"/>
      <c r="CQ301" s="161"/>
      <c r="CR301" s="161"/>
      <c r="CS301" s="161"/>
      <c r="CT301" s="161"/>
      <c r="CU301" s="161"/>
      <c r="CV301" s="161"/>
      <c r="CW301" s="161"/>
      <c r="CX301" s="161"/>
      <c r="CY301" s="161"/>
      <c r="CZ301" s="161"/>
      <c r="DA301" s="161"/>
      <c r="DB301" s="161"/>
      <c r="DC301" s="161"/>
      <c r="DD301" s="161"/>
      <c r="DE301" s="161"/>
      <c r="DF301" s="161">
        <f>SUM(DG301:DG301)</f>
      </c>
      <c r="DG301" s="161"/>
      <c r="DH301" s="161"/>
      <c r="DI301" s="161"/>
      <c r="DJ301" s="161">
        <f>SUM(DK301:DP301)</f>
      </c>
      <c r="DK301" s="161"/>
      <c r="DL301" s="161"/>
      <c r="DM301" s="161"/>
      <c r="DN301" s="161"/>
      <c r="DO301" s="161"/>
      <c r="DP301" s="161"/>
      <c r="DQ301" s="161"/>
      <c r="DR301" s="161"/>
      <c r="DS301" s="161"/>
      <c r="DT301" s="161"/>
      <c r="DU301" s="161"/>
      <c r="DV301" s="161"/>
      <c r="DW301" s="161"/>
      <c r="DX301" s="161"/>
      <c r="DY301" s="161"/>
      <c r="DZ301" s="161"/>
      <c r="EA301" s="161"/>
      <c r="EB301" s="161"/>
      <c r="EC301" s="161"/>
      <c r="ED301" s="161"/>
      <c r="EE301" s="161"/>
      <c r="EF301" s="161">
        <f>SUM(EG301:EP301)</f>
      </c>
      <c r="EG301" s="161"/>
      <c r="EH301" s="161"/>
      <c r="EI301" s="161"/>
      <c r="EJ301" s="161"/>
      <c r="EK301" s="161"/>
      <c r="EL301" s="161"/>
      <c r="EM301" s="161"/>
      <c r="EN301" s="161"/>
      <c r="EO301" s="161"/>
      <c r="EP301" s="161"/>
      <c r="EQ301" s="161">
        <f>SUM(ER301:ES301)</f>
      </c>
      <c r="ER301" s="161"/>
      <c r="ES301" s="161"/>
      <c r="ET301" s="161"/>
      <c r="EU301" s="161"/>
      <c r="EV301" s="161"/>
      <c r="EW301" s="161"/>
      <c r="EX301" s="161"/>
      <c r="EY301" s="161"/>
      <c r="EZ301" s="161"/>
      <c r="FA301" s="161"/>
      <c r="FB301" s="161"/>
      <c r="FC301" s="161"/>
      <c r="FD301" s="161"/>
      <c r="FE301" s="161"/>
      <c r="FF301" s="161"/>
      <c r="FG301" s="161"/>
      <c r="FH301" s="163" cm="1">
        <f t="array" ref="FH301">ROW()-ROW(Ongoing[#Headers])</f>
        <v>295</v>
      </c>
      <c r="FI301" s="164"/>
      <c r="FJ301" s="164"/>
      <c r="FK301" s="164"/>
      <c r="FL301" s="164"/>
      <c r="FM301" s="164"/>
      <c r="FN301" s="164"/>
      <c r="FO301" s="164"/>
      <c r="FP301" s="164"/>
    </row>
    <row r="302" spans="2:172" s="115" customFormat="1" ht="11.25" x14ac:dyDescent="0.2">
      <c r="B302" s="148"/>
      <c r="C302" s="148"/>
      <c r="D302" s="148"/>
      <c r="E302" s="148"/>
      <c r="F302" s="148"/>
      <c r="G302" s="148"/>
      <c r="H302" s="148"/>
      <c r="I302" s="148"/>
      <c r="J302" s="148"/>
      <c r="K302" s="148"/>
      <c r="L302" s="148"/>
      <c r="M302" s="160"/>
      <c r="N302" s="160"/>
      <c r="O302" s="148"/>
      <c r="P302" s="161">
        <f>SUM(Q302:AP302)</f>
      </c>
      <c r="Q302" s="161"/>
      <c r="R302" s="161"/>
      <c r="S302" s="161"/>
      <c r="T302" s="161"/>
      <c r="U302" s="161"/>
      <c r="V302" s="161"/>
      <c r="W302" s="161"/>
      <c r="X302" s="161"/>
      <c r="Y302" s="161"/>
      <c r="Z302" s="161"/>
      <c r="AA302" s="161"/>
      <c r="AB302" s="161"/>
      <c r="AC302" s="161"/>
      <c r="AD302" s="161"/>
      <c r="AE302" s="161"/>
      <c r="AF302" s="161"/>
      <c r="AG302" s="161"/>
      <c r="AH302" s="161"/>
      <c r="AI302" s="161"/>
      <c r="AJ302" s="161"/>
      <c r="AK302" s="161"/>
      <c r="AL302" s="161"/>
      <c r="AM302" s="161"/>
      <c r="AN302" s="161"/>
      <c r="AO302" s="161"/>
      <c r="AP302" s="161"/>
      <c r="AQ302" s="161">
        <f>SUM(AR302:AU302)</f>
      </c>
      <c r="AR302" s="161"/>
      <c r="AS302" s="161"/>
      <c r="AT302" s="161"/>
      <c r="AU302" s="161"/>
      <c r="AV302" s="161">
        <f>SUM(AW302:BH302)</f>
      </c>
      <c r="AW302" s="161"/>
      <c r="AX302" s="161"/>
      <c r="AY302" s="161"/>
      <c r="AZ302" s="161"/>
      <c r="BA302" s="161"/>
      <c r="BB302" s="161"/>
      <c r="BC302" s="161"/>
      <c r="BD302" s="161"/>
      <c r="BE302" s="161"/>
      <c r="BF302" s="161"/>
      <c r="BG302" s="161"/>
      <c r="BH302" s="161"/>
      <c r="BI302" s="161"/>
      <c r="BJ302" s="161"/>
      <c r="BK302" s="161"/>
      <c r="BL302" s="161"/>
      <c r="BM302" s="161"/>
      <c r="BN302" s="161"/>
      <c r="BO302" s="161"/>
      <c r="BP302" s="161"/>
      <c r="BQ302" s="161"/>
      <c r="BR302" s="161"/>
      <c r="BS302" s="161">
        <f>SUM(BT302:BV302)</f>
      </c>
      <c r="BT302" s="161"/>
      <c r="BU302" s="161"/>
      <c r="BV302" s="161"/>
      <c r="BW302" s="161">
        <f>SUM(BX302:CC302)</f>
      </c>
      <c r="BX302" s="161"/>
      <c r="BY302" s="161"/>
      <c r="BZ302" s="161"/>
      <c r="CA302" s="161"/>
      <c r="CB302" s="161"/>
      <c r="CC302" s="161"/>
      <c r="CD302" s="161"/>
      <c r="CE302" s="161"/>
      <c r="CF302" s="161"/>
      <c r="CG302" s="161"/>
      <c r="CH302" s="161"/>
      <c r="CI302" s="161"/>
      <c r="CJ302" s="161">
        <f>SUM(CK302:CM302)</f>
      </c>
      <c r="CK302" s="161"/>
      <c r="CL302" s="161"/>
      <c r="CM302" s="161"/>
      <c r="CN302" s="161">
        <f>SUM(CO302:CS302)</f>
      </c>
      <c r="CO302" s="161"/>
      <c r="CP302" s="161"/>
      <c r="CQ302" s="161"/>
      <c r="CR302" s="161"/>
      <c r="CS302" s="161"/>
      <c r="CT302" s="161"/>
      <c r="CU302" s="161"/>
      <c r="CV302" s="161"/>
      <c r="CW302" s="161"/>
      <c r="CX302" s="161"/>
      <c r="CY302" s="161"/>
      <c r="CZ302" s="161"/>
      <c r="DA302" s="161"/>
      <c r="DB302" s="161"/>
      <c r="DC302" s="161"/>
      <c r="DD302" s="161"/>
      <c r="DE302" s="161"/>
      <c r="DF302" s="161">
        <f>SUM(DG302:DG302)</f>
      </c>
      <c r="DG302" s="161"/>
      <c r="DH302" s="161"/>
      <c r="DI302" s="161"/>
      <c r="DJ302" s="161">
        <f>SUM(DK302:DP302)</f>
      </c>
      <c r="DK302" s="161"/>
      <c r="DL302" s="161"/>
      <c r="DM302" s="161"/>
      <c r="DN302" s="161"/>
      <c r="DO302" s="161"/>
      <c r="DP302" s="161"/>
      <c r="DQ302" s="161"/>
      <c r="DR302" s="161"/>
      <c r="DS302" s="161"/>
      <c r="DT302" s="161"/>
      <c r="DU302" s="161"/>
      <c r="DV302" s="161"/>
      <c r="DW302" s="161"/>
      <c r="DX302" s="161"/>
      <c r="DY302" s="161"/>
      <c r="DZ302" s="161"/>
      <c r="EA302" s="161"/>
      <c r="EB302" s="161"/>
      <c r="EC302" s="161"/>
      <c r="ED302" s="161"/>
      <c r="EE302" s="161"/>
      <c r="EF302" s="161">
        <f>SUM(EG302:EP302)</f>
      </c>
      <c r="EG302" s="161"/>
      <c r="EH302" s="161"/>
      <c r="EI302" s="161"/>
      <c r="EJ302" s="161"/>
      <c r="EK302" s="161"/>
      <c r="EL302" s="161"/>
      <c r="EM302" s="161"/>
      <c r="EN302" s="161"/>
      <c r="EO302" s="161"/>
      <c r="EP302" s="161"/>
      <c r="EQ302" s="161">
        <f>SUM(ER302:ES302)</f>
      </c>
      <c r="ER302" s="161"/>
      <c r="ES302" s="161"/>
      <c r="ET302" s="161"/>
      <c r="EU302" s="161"/>
      <c r="EV302" s="161"/>
      <c r="EW302" s="161"/>
      <c r="EX302" s="161"/>
      <c r="EY302" s="161"/>
      <c r="EZ302" s="161"/>
      <c r="FA302" s="161"/>
      <c r="FB302" s="161"/>
      <c r="FC302" s="161"/>
      <c r="FD302" s="161"/>
      <c r="FE302" s="161"/>
      <c r="FF302" s="161"/>
      <c r="FG302" s="161"/>
      <c r="FH302" s="163" cm="1">
        <f t="array" ref="FH302">ROW()-ROW(Ongoing[#Headers])</f>
        <v>296</v>
      </c>
      <c r="FI302" s="164"/>
      <c r="FJ302" s="164"/>
      <c r="FK302" s="164"/>
      <c r="FL302" s="164"/>
      <c r="FM302" s="164"/>
      <c r="FN302" s="164"/>
      <c r="FO302" s="164"/>
      <c r="FP302" s="164"/>
    </row>
    <row r="303" spans="2:172" s="115" customFormat="1" ht="11.25" x14ac:dyDescent="0.2">
      <c r="B303" s="148"/>
      <c r="C303" s="148"/>
      <c r="D303" s="148"/>
      <c r="E303" s="148"/>
      <c r="F303" s="148"/>
      <c r="G303" s="148"/>
      <c r="H303" s="148"/>
      <c r="I303" s="148"/>
      <c r="J303" s="148"/>
      <c r="K303" s="148"/>
      <c r="L303" s="148"/>
      <c r="M303" s="160"/>
      <c r="N303" s="160"/>
      <c r="O303" s="148"/>
      <c r="P303" s="161">
        <f>SUM(Q303:AP303)</f>
      </c>
      <c r="Q303" s="161"/>
      <c r="R303" s="161"/>
      <c r="S303" s="161"/>
      <c r="T303" s="161"/>
      <c r="U303" s="161"/>
      <c r="V303" s="161"/>
      <c r="W303" s="161"/>
      <c r="X303" s="161"/>
      <c r="Y303" s="161"/>
      <c r="Z303" s="161"/>
      <c r="AA303" s="161"/>
      <c r="AB303" s="161"/>
      <c r="AC303" s="161"/>
      <c r="AD303" s="161"/>
      <c r="AE303" s="161"/>
      <c r="AF303" s="161"/>
      <c r="AG303" s="161"/>
      <c r="AH303" s="161"/>
      <c r="AI303" s="161"/>
      <c r="AJ303" s="161"/>
      <c r="AK303" s="161"/>
      <c r="AL303" s="161"/>
      <c r="AM303" s="161"/>
      <c r="AN303" s="161"/>
      <c r="AO303" s="161"/>
      <c r="AP303" s="161"/>
      <c r="AQ303" s="161">
        <f>SUM(AR303:AU303)</f>
      </c>
      <c r="AR303" s="161"/>
      <c r="AS303" s="161"/>
      <c r="AT303" s="161"/>
      <c r="AU303" s="161"/>
      <c r="AV303" s="161">
        <f>SUM(AW303:BH303)</f>
      </c>
      <c r="AW303" s="161"/>
      <c r="AX303" s="161"/>
      <c r="AY303" s="161"/>
      <c r="AZ303" s="161"/>
      <c r="BA303" s="161"/>
      <c r="BB303" s="161"/>
      <c r="BC303" s="161"/>
      <c r="BD303" s="161"/>
      <c r="BE303" s="161"/>
      <c r="BF303" s="161"/>
      <c r="BG303" s="161"/>
      <c r="BH303" s="161"/>
      <c r="BI303" s="161"/>
      <c r="BJ303" s="161"/>
      <c r="BK303" s="161"/>
      <c r="BL303" s="161"/>
      <c r="BM303" s="161"/>
      <c r="BN303" s="161"/>
      <c r="BO303" s="161"/>
      <c r="BP303" s="161"/>
      <c r="BQ303" s="161"/>
      <c r="BR303" s="161"/>
      <c r="BS303" s="161">
        <f>SUM(BT303:BV303)</f>
      </c>
      <c r="BT303" s="161"/>
      <c r="BU303" s="161"/>
      <c r="BV303" s="161"/>
      <c r="BW303" s="161">
        <f>SUM(BX303:CC303)</f>
      </c>
      <c r="BX303" s="161"/>
      <c r="BY303" s="161"/>
      <c r="BZ303" s="161"/>
      <c r="CA303" s="161"/>
      <c r="CB303" s="161"/>
      <c r="CC303" s="161"/>
      <c r="CD303" s="161"/>
      <c r="CE303" s="161"/>
      <c r="CF303" s="161"/>
      <c r="CG303" s="161"/>
      <c r="CH303" s="161"/>
      <c r="CI303" s="161"/>
      <c r="CJ303" s="161">
        <f>SUM(CK303:CM303)</f>
      </c>
      <c r="CK303" s="161"/>
      <c r="CL303" s="161"/>
      <c r="CM303" s="161"/>
      <c r="CN303" s="161">
        <f>SUM(CO303:CS303)</f>
      </c>
      <c r="CO303" s="161"/>
      <c r="CP303" s="161"/>
      <c r="CQ303" s="161"/>
      <c r="CR303" s="161"/>
      <c r="CS303" s="161"/>
      <c r="CT303" s="161"/>
      <c r="CU303" s="161"/>
      <c r="CV303" s="161"/>
      <c r="CW303" s="161"/>
      <c r="CX303" s="161"/>
      <c r="CY303" s="161"/>
      <c r="CZ303" s="161"/>
      <c r="DA303" s="161"/>
      <c r="DB303" s="161"/>
      <c r="DC303" s="161"/>
      <c r="DD303" s="161"/>
      <c r="DE303" s="161"/>
      <c r="DF303" s="161">
        <f>SUM(DG303:DG303)</f>
      </c>
      <c r="DG303" s="161"/>
      <c r="DH303" s="161"/>
      <c r="DI303" s="161"/>
      <c r="DJ303" s="161">
        <f>SUM(DK303:DP303)</f>
      </c>
      <c r="DK303" s="161"/>
      <c r="DL303" s="161"/>
      <c r="DM303" s="161"/>
      <c r="DN303" s="161"/>
      <c r="DO303" s="161"/>
      <c r="DP303" s="161"/>
      <c r="DQ303" s="161"/>
      <c r="DR303" s="161"/>
      <c r="DS303" s="161"/>
      <c r="DT303" s="161"/>
      <c r="DU303" s="161"/>
      <c r="DV303" s="161"/>
      <c r="DW303" s="161"/>
      <c r="DX303" s="161"/>
      <c r="DY303" s="161"/>
      <c r="DZ303" s="161"/>
      <c r="EA303" s="161"/>
      <c r="EB303" s="161"/>
      <c r="EC303" s="161"/>
      <c r="ED303" s="161"/>
      <c r="EE303" s="161"/>
      <c r="EF303" s="161">
        <f>SUM(EG303:EP303)</f>
      </c>
      <c r="EG303" s="161"/>
      <c r="EH303" s="161"/>
      <c r="EI303" s="161"/>
      <c r="EJ303" s="161"/>
      <c r="EK303" s="161"/>
      <c r="EL303" s="161"/>
      <c r="EM303" s="161"/>
      <c r="EN303" s="161"/>
      <c r="EO303" s="161"/>
      <c r="EP303" s="161"/>
      <c r="EQ303" s="161">
        <f>SUM(ER303:ES303)</f>
      </c>
      <c r="ER303" s="161"/>
      <c r="ES303" s="161"/>
      <c r="ET303" s="161"/>
      <c r="EU303" s="161"/>
      <c r="EV303" s="161"/>
      <c r="EW303" s="161"/>
      <c r="EX303" s="161"/>
      <c r="EY303" s="161"/>
      <c r="EZ303" s="161"/>
      <c r="FA303" s="161"/>
      <c r="FB303" s="161"/>
      <c r="FC303" s="161"/>
      <c r="FD303" s="161"/>
      <c r="FE303" s="161"/>
      <c r="FF303" s="161"/>
      <c r="FG303" s="161"/>
      <c r="FH303" s="163" cm="1">
        <f t="array" ref="FH303">ROW()-ROW(Ongoing[#Headers])</f>
        <v>297</v>
      </c>
      <c r="FI303" s="164" t="s">
        <v>1243</v>
      </c>
      <c r="FJ303" s="164" t="s">
        <v>1318</v>
      </c>
      <c r="FK303" s="164" t="s">
        <v>1244</v>
      </c>
      <c r="FL303" s="164" t="s">
        <v>1245</v>
      </c>
      <c r="FM303" s="164" t="s">
        <v>1448</v>
      </c>
      <c r="FN303" s="164" t="s">
        <v>1243</v>
      </c>
      <c r="FO303" s="164" t="s">
        <v>1246</v>
      </c>
      <c r="FP303" s="164" t="s">
        <v>1403</v>
      </c>
    </row>
    <row r="304" spans="2:172" s="115" customFormat="1" ht="11.25" x14ac:dyDescent="0.2">
      <c r="B304" s="148"/>
      <c r="C304" s="148"/>
      <c r="D304" s="148"/>
      <c r="E304" s="148"/>
      <c r="F304" s="148"/>
      <c r="G304" s="148"/>
      <c r="H304" s="148"/>
      <c r="I304" s="148"/>
      <c r="J304" s="148"/>
      <c r="K304" s="148"/>
      <c r="L304" s="148"/>
      <c r="M304" s="160"/>
      <c r="N304" s="160"/>
      <c r="O304" s="148"/>
      <c r="P304" s="161">
        <f>SUM(Q304:AP304)</f>
      </c>
      <c r="Q304" s="161"/>
      <c r="R304" s="161"/>
      <c r="S304" s="161"/>
      <c r="T304" s="161"/>
      <c r="U304" s="161"/>
      <c r="V304" s="161"/>
      <c r="W304" s="161"/>
      <c r="X304" s="161"/>
      <c r="Y304" s="161"/>
      <c r="Z304" s="161"/>
      <c r="AA304" s="161"/>
      <c r="AB304" s="161"/>
      <c r="AC304" s="161"/>
      <c r="AD304" s="161"/>
      <c r="AE304" s="161"/>
      <c r="AF304" s="161"/>
      <c r="AG304" s="161"/>
      <c r="AH304" s="161"/>
      <c r="AI304" s="161"/>
      <c r="AJ304" s="161"/>
      <c r="AK304" s="161"/>
      <c r="AL304" s="161"/>
      <c r="AM304" s="161"/>
      <c r="AN304" s="161"/>
      <c r="AO304" s="161"/>
      <c r="AP304" s="161"/>
      <c r="AQ304" s="161">
        <f>SUM(AR304:AU304)</f>
      </c>
      <c r="AR304" s="161"/>
      <c r="AS304" s="161"/>
      <c r="AT304" s="161"/>
      <c r="AU304" s="161"/>
      <c r="AV304" s="161">
        <f>SUM(AW304:BH304)</f>
      </c>
      <c r="AW304" s="161"/>
      <c r="AX304" s="161"/>
      <c r="AY304" s="161"/>
      <c r="AZ304" s="161"/>
      <c r="BA304" s="161"/>
      <c r="BB304" s="161"/>
      <c r="BC304" s="161"/>
      <c r="BD304" s="161"/>
      <c r="BE304" s="161"/>
      <c r="BF304" s="161"/>
      <c r="BG304" s="161"/>
      <c r="BH304" s="161"/>
      <c r="BI304" s="161"/>
      <c r="BJ304" s="161"/>
      <c r="BK304" s="161"/>
      <c r="BL304" s="161"/>
      <c r="BM304" s="161"/>
      <c r="BN304" s="161"/>
      <c r="BO304" s="161"/>
      <c r="BP304" s="161"/>
      <c r="BQ304" s="161"/>
      <c r="BR304" s="161"/>
      <c r="BS304" s="161">
        <f>SUM(BT304:BV304)</f>
      </c>
      <c r="BT304" s="161"/>
      <c r="BU304" s="161"/>
      <c r="BV304" s="161"/>
      <c r="BW304" s="161">
        <f>SUM(BX304:CC304)</f>
      </c>
      <c r="BX304" s="161"/>
      <c r="BY304" s="161"/>
      <c r="BZ304" s="161"/>
      <c r="CA304" s="161"/>
      <c r="CB304" s="161"/>
      <c r="CC304" s="161"/>
      <c r="CD304" s="161"/>
      <c r="CE304" s="161"/>
      <c r="CF304" s="161"/>
      <c r="CG304" s="161"/>
      <c r="CH304" s="161"/>
      <c r="CI304" s="161"/>
      <c r="CJ304" s="161">
        <f>SUM(CK304:CM304)</f>
      </c>
      <c r="CK304" s="161"/>
      <c r="CL304" s="161"/>
      <c r="CM304" s="161"/>
      <c r="CN304" s="161">
        <f>SUM(CO304:CS304)</f>
      </c>
      <c r="CO304" s="161"/>
      <c r="CP304" s="161"/>
      <c r="CQ304" s="161"/>
      <c r="CR304" s="161"/>
      <c r="CS304" s="161"/>
      <c r="CT304" s="161"/>
      <c r="CU304" s="161"/>
      <c r="CV304" s="161"/>
      <c r="CW304" s="161"/>
      <c r="CX304" s="161"/>
      <c r="CY304" s="161"/>
      <c r="CZ304" s="161"/>
      <c r="DA304" s="161"/>
      <c r="DB304" s="161"/>
      <c r="DC304" s="161"/>
      <c r="DD304" s="161"/>
      <c r="DE304" s="161"/>
      <c r="DF304" s="161">
        <f>SUM(DG304:DG304)</f>
      </c>
      <c r="DG304" s="161"/>
      <c r="DH304" s="161"/>
      <c r="DI304" s="161"/>
      <c r="DJ304" s="161">
        <f>SUM(DK304:DP304)</f>
      </c>
      <c r="DK304" s="161"/>
      <c r="DL304" s="161"/>
      <c r="DM304" s="161"/>
      <c r="DN304" s="161"/>
      <c r="DO304" s="161"/>
      <c r="DP304" s="161"/>
      <c r="DQ304" s="161"/>
      <c r="DR304" s="161"/>
      <c r="DS304" s="161"/>
      <c r="DT304" s="161"/>
      <c r="DU304" s="161"/>
      <c r="DV304" s="161"/>
      <c r="DW304" s="161"/>
      <c r="DX304" s="161"/>
      <c r="DY304" s="161"/>
      <c r="DZ304" s="161"/>
      <c r="EA304" s="161"/>
      <c r="EB304" s="161"/>
      <c r="EC304" s="161"/>
      <c r="ED304" s="161"/>
      <c r="EE304" s="161"/>
      <c r="EF304" s="161">
        <f>SUM(EG304:EP304)</f>
      </c>
      <c r="EG304" s="161"/>
      <c r="EH304" s="161"/>
      <c r="EI304" s="161"/>
      <c r="EJ304" s="161"/>
      <c r="EK304" s="161"/>
      <c r="EL304" s="161"/>
      <c r="EM304" s="161"/>
      <c r="EN304" s="161"/>
      <c r="EO304" s="161"/>
      <c r="EP304" s="161"/>
      <c r="EQ304" s="161">
        <f>SUM(ER304:ES304)</f>
      </c>
      <c r="ER304" s="161"/>
      <c r="ES304" s="161"/>
      <c r="ET304" s="161"/>
      <c r="EU304" s="161"/>
      <c r="EV304" s="161"/>
      <c r="EW304" s="161"/>
      <c r="EX304" s="161"/>
      <c r="EY304" s="161"/>
      <c r="EZ304" s="161"/>
      <c r="FA304" s="161"/>
      <c r="FB304" s="161"/>
      <c r="FC304" s="161"/>
      <c r="FD304" s="161"/>
      <c r="FE304" s="161"/>
      <c r="FF304" s="161"/>
      <c r="FG304" s="161"/>
      <c r="FH304" s="163" cm="1">
        <f t="array" ref="FH304">ROW()-ROW(Ongoing[#Headers])</f>
        <v>298</v>
      </c>
      <c r="FI304" s="164"/>
      <c r="FJ304" s="164"/>
      <c r="FK304" s="164"/>
      <c r="FL304" s="164"/>
      <c r="FM304" s="164"/>
      <c r="FN304" s="164"/>
      <c r="FO304" s="164"/>
      <c r="FP304" s="164"/>
    </row>
    <row r="305" spans="2:172" s="115" customFormat="1" ht="11.25" x14ac:dyDescent="0.2">
      <c r="B305" s="148"/>
      <c r="C305" s="148"/>
      <c r="D305" s="148"/>
      <c r="E305" s="148"/>
      <c r="F305" s="148"/>
      <c r="G305" s="148"/>
      <c r="H305" s="148"/>
      <c r="I305" s="148"/>
      <c r="J305" s="165"/>
      <c r="K305" s="148"/>
      <c r="L305" s="148"/>
      <c r="M305" s="160"/>
      <c r="N305" s="160"/>
      <c r="O305" s="148"/>
      <c r="P305" s="161">
        <f>SUM(Q305:AP305)</f>
      </c>
      <c r="Q305" s="161"/>
      <c r="R305" s="161"/>
      <c r="S305" s="161"/>
      <c r="T305" s="161"/>
      <c r="U305" s="161"/>
      <c r="V305" s="161"/>
      <c r="W305" s="161"/>
      <c r="X305" s="161"/>
      <c r="Y305" s="161"/>
      <c r="Z305" s="161"/>
      <c r="AA305" s="161"/>
      <c r="AB305" s="161"/>
      <c r="AC305" s="161"/>
      <c r="AD305" s="161"/>
      <c r="AE305" s="161"/>
      <c r="AF305" s="161"/>
      <c r="AG305" s="161"/>
      <c r="AH305" s="161"/>
      <c r="AI305" s="161"/>
      <c r="AJ305" s="161"/>
      <c r="AK305" s="161"/>
      <c r="AL305" s="161"/>
      <c r="AM305" s="161"/>
      <c r="AN305" s="161"/>
      <c r="AO305" s="161"/>
      <c r="AP305" s="161"/>
      <c r="AQ305" s="161">
        <f>SUM(AR305:AU305)</f>
      </c>
      <c r="AR305" s="161"/>
      <c r="AS305" s="161"/>
      <c r="AT305" s="161"/>
      <c r="AU305" s="161"/>
      <c r="AV305" s="161">
        <f>SUM(AW305:BH305)</f>
      </c>
      <c r="AW305" s="161"/>
      <c r="AX305" s="161"/>
      <c r="AY305" s="161"/>
      <c r="AZ305" s="161"/>
      <c r="BA305" s="161"/>
      <c r="BB305" s="161"/>
      <c r="BC305" s="161"/>
      <c r="BD305" s="161"/>
      <c r="BE305" s="161"/>
      <c r="BF305" s="161"/>
      <c r="BG305" s="161"/>
      <c r="BH305" s="161"/>
      <c r="BI305" s="161"/>
      <c r="BJ305" s="161"/>
      <c r="BK305" s="161"/>
      <c r="BL305" s="161"/>
      <c r="BM305" s="161"/>
      <c r="BN305" s="161"/>
      <c r="BO305" s="161"/>
      <c r="BP305" s="161"/>
      <c r="BQ305" s="161"/>
      <c r="BR305" s="161"/>
      <c r="BS305" s="161">
        <f>SUM(BT305:BV305)</f>
      </c>
      <c r="BT305" s="161"/>
      <c r="BU305" s="161"/>
      <c r="BV305" s="161"/>
      <c r="BW305" s="161">
        <f>SUM(BX305:CC305)</f>
      </c>
      <c r="BX305" s="161"/>
      <c r="BY305" s="161"/>
      <c r="BZ305" s="161"/>
      <c r="CA305" s="161"/>
      <c r="CB305" s="161"/>
      <c r="CC305" s="161"/>
      <c r="CD305" s="161"/>
      <c r="CE305" s="161"/>
      <c r="CF305" s="161"/>
      <c r="CG305" s="161"/>
      <c r="CH305" s="161"/>
      <c r="CI305" s="161"/>
      <c r="CJ305" s="161">
        <f>SUM(CK305:CM305)</f>
      </c>
      <c r="CK305" s="161"/>
      <c r="CL305" s="161"/>
      <c r="CM305" s="161"/>
      <c r="CN305" s="161">
        <f>SUM(CO305:CS305)</f>
      </c>
      <c r="CO305" s="161"/>
      <c r="CP305" s="161"/>
      <c r="CQ305" s="161"/>
      <c r="CR305" s="161"/>
      <c r="CS305" s="161"/>
      <c r="CT305" s="161"/>
      <c r="CU305" s="161"/>
      <c r="CV305" s="161"/>
      <c r="CW305" s="161"/>
      <c r="CX305" s="161"/>
      <c r="CY305" s="161"/>
      <c r="CZ305" s="161"/>
      <c r="DA305" s="161"/>
      <c r="DB305" s="161"/>
      <c r="DC305" s="161"/>
      <c r="DD305" s="161"/>
      <c r="DE305" s="161"/>
      <c r="DF305" s="161">
        <f>SUM(DG305:DG305)</f>
      </c>
      <c r="DG305" s="161"/>
      <c r="DH305" s="161"/>
      <c r="DI305" s="161"/>
      <c r="DJ305" s="161">
        <f>SUM(DK305:DP305)</f>
      </c>
      <c r="DK305" s="161"/>
      <c r="DL305" s="161"/>
      <c r="DM305" s="161"/>
      <c r="DN305" s="161"/>
      <c r="DO305" s="161"/>
      <c r="DP305" s="161"/>
      <c r="DQ305" s="161"/>
      <c r="DR305" s="161"/>
      <c r="DS305" s="161"/>
      <c r="DT305" s="161"/>
      <c r="DU305" s="161"/>
      <c r="DV305" s="161"/>
      <c r="DW305" s="161"/>
      <c r="DX305" s="161"/>
      <c r="DY305" s="161"/>
      <c r="DZ305" s="161"/>
      <c r="EA305" s="161"/>
      <c r="EB305" s="161"/>
      <c r="EC305" s="161"/>
      <c r="ED305" s="161"/>
      <c r="EE305" s="161"/>
      <c r="EF305" s="161">
        <f>SUM(EG305:EP305)</f>
      </c>
      <c r="EG305" s="161"/>
      <c r="EH305" s="161"/>
      <c r="EI305" s="161"/>
      <c r="EJ305" s="161"/>
      <c r="EK305" s="161"/>
      <c r="EL305" s="161"/>
      <c r="EM305" s="161"/>
      <c r="EN305" s="161"/>
      <c r="EO305" s="161"/>
      <c r="EP305" s="161"/>
      <c r="EQ305" s="161">
        <f>SUM(ER305:ES305)</f>
      </c>
      <c r="ER305" s="161"/>
      <c r="ES305" s="161"/>
      <c r="ET305" s="161"/>
      <c r="EU305" s="161"/>
      <c r="EV305" s="161"/>
      <c r="EW305" s="161"/>
      <c r="EX305" s="161"/>
      <c r="EY305" s="161"/>
      <c r="EZ305" s="161"/>
      <c r="FA305" s="161"/>
      <c r="FB305" s="161"/>
      <c r="FC305" s="161"/>
      <c r="FD305" s="161"/>
      <c r="FE305" s="161"/>
      <c r="FF305" s="161"/>
      <c r="FG305" s="161"/>
      <c r="FH305" s="163" cm="1">
        <f t="array" ref="FH305">ROW()-ROW(Ongoing[#Headers])</f>
        <v>299</v>
      </c>
      <c r="FI305" s="164"/>
      <c r="FJ305" s="164"/>
      <c r="FK305" s="164"/>
      <c r="FL305" s="164"/>
      <c r="FM305" s="164"/>
      <c r="FN305" s="164"/>
      <c r="FO305" s="164"/>
      <c r="FP305" s="164"/>
    </row>
    <row r="306" spans="2:172" s="115" customFormat="1" ht="11.25" x14ac:dyDescent="0.2">
      <c r="B306" s="148"/>
      <c r="C306" s="148"/>
      <c r="D306" s="148"/>
      <c r="E306" s="148"/>
      <c r="F306" s="148"/>
      <c r="G306" s="148"/>
      <c r="H306" s="148"/>
      <c r="I306" s="148"/>
      <c r="J306" s="148"/>
      <c r="K306" s="148"/>
      <c r="L306" s="148"/>
      <c r="M306" s="160"/>
      <c r="N306" s="160"/>
      <c r="O306" s="148"/>
      <c r="P306" s="161">
        <f>SUM(Q306:AP306)</f>
      </c>
      <c r="Q306" s="161"/>
      <c r="R306" s="161"/>
      <c r="S306" s="161"/>
      <c r="T306" s="161"/>
      <c r="U306" s="161"/>
      <c r="V306" s="161"/>
      <c r="W306" s="161"/>
      <c r="X306" s="161"/>
      <c r="Y306" s="161"/>
      <c r="Z306" s="161"/>
      <c r="AA306" s="161"/>
      <c r="AB306" s="161"/>
      <c r="AC306" s="161"/>
      <c r="AD306" s="161"/>
      <c r="AE306" s="161"/>
      <c r="AF306" s="161"/>
      <c r="AG306" s="161"/>
      <c r="AH306" s="161"/>
      <c r="AI306" s="161"/>
      <c r="AJ306" s="161"/>
      <c r="AK306" s="161"/>
      <c r="AL306" s="161"/>
      <c r="AM306" s="161"/>
      <c r="AN306" s="161"/>
      <c r="AO306" s="161"/>
      <c r="AP306" s="161"/>
      <c r="AQ306" s="161">
        <f>SUM(AR306:AU306)</f>
      </c>
      <c r="AR306" s="161"/>
      <c r="AS306" s="161"/>
      <c r="AT306" s="161"/>
      <c r="AU306" s="161"/>
      <c r="AV306" s="161">
        <f>SUM(AW306:BH306)</f>
      </c>
      <c r="AW306" s="161"/>
      <c r="AX306" s="161"/>
      <c r="AY306" s="161"/>
      <c r="AZ306" s="161"/>
      <c r="BA306" s="161"/>
      <c r="BB306" s="161"/>
      <c r="BC306" s="161"/>
      <c r="BD306" s="161"/>
      <c r="BE306" s="161"/>
      <c r="BF306" s="161"/>
      <c r="BG306" s="161"/>
      <c r="BH306" s="161"/>
      <c r="BI306" s="161"/>
      <c r="BJ306" s="161"/>
      <c r="BK306" s="161"/>
      <c r="BL306" s="161"/>
      <c r="BM306" s="161"/>
      <c r="BN306" s="161"/>
      <c r="BO306" s="161"/>
      <c r="BP306" s="161"/>
      <c r="BQ306" s="161"/>
      <c r="BR306" s="161"/>
      <c r="BS306" s="161">
        <f>SUM(BT306:BV306)</f>
      </c>
      <c r="BT306" s="161"/>
      <c r="BU306" s="161"/>
      <c r="BV306" s="161"/>
      <c r="BW306" s="161">
        <f>SUM(BX306:CC306)</f>
      </c>
      <c r="BX306" s="161"/>
      <c r="BY306" s="161"/>
      <c r="BZ306" s="161"/>
      <c r="CA306" s="161"/>
      <c r="CB306" s="161"/>
      <c r="CC306" s="161"/>
      <c r="CD306" s="161"/>
      <c r="CE306" s="161"/>
      <c r="CF306" s="161"/>
      <c r="CG306" s="161"/>
      <c r="CH306" s="161"/>
      <c r="CI306" s="161"/>
      <c r="CJ306" s="161">
        <f>SUM(CK306:CM306)</f>
      </c>
      <c r="CK306" s="161"/>
      <c r="CL306" s="161"/>
      <c r="CM306" s="161"/>
      <c r="CN306" s="161">
        <f>SUM(CO306:CS306)</f>
      </c>
      <c r="CO306" s="161"/>
      <c r="CP306" s="161"/>
      <c r="CQ306" s="161"/>
      <c r="CR306" s="161"/>
      <c r="CS306" s="161"/>
      <c r="CT306" s="161"/>
      <c r="CU306" s="161"/>
      <c r="CV306" s="161"/>
      <c r="CW306" s="161"/>
      <c r="CX306" s="161"/>
      <c r="CY306" s="161"/>
      <c r="CZ306" s="161"/>
      <c r="DA306" s="161"/>
      <c r="DB306" s="161"/>
      <c r="DC306" s="161"/>
      <c r="DD306" s="161"/>
      <c r="DE306" s="161"/>
      <c r="DF306" s="161">
        <f>SUM(DG306:DG306)</f>
      </c>
      <c r="DG306" s="161"/>
      <c r="DH306" s="161"/>
      <c r="DI306" s="161"/>
      <c r="DJ306" s="161">
        <f>SUM(DK306:DP306)</f>
      </c>
      <c r="DK306" s="161"/>
      <c r="DL306" s="161"/>
      <c r="DM306" s="161"/>
      <c r="DN306" s="161"/>
      <c r="DO306" s="161"/>
      <c r="DP306" s="161"/>
      <c r="DQ306" s="161"/>
      <c r="DR306" s="161"/>
      <c r="DS306" s="161"/>
      <c r="DT306" s="161"/>
      <c r="DU306" s="161"/>
      <c r="DV306" s="161"/>
      <c r="DW306" s="161"/>
      <c r="DX306" s="161"/>
      <c r="DY306" s="161"/>
      <c r="DZ306" s="161"/>
      <c r="EA306" s="161"/>
      <c r="EB306" s="161"/>
      <c r="EC306" s="161"/>
      <c r="ED306" s="161"/>
      <c r="EE306" s="161"/>
      <c r="EF306" s="161">
        <f>SUM(EG306:EP306)</f>
      </c>
      <c r="EG306" s="161"/>
      <c r="EH306" s="161"/>
      <c r="EI306" s="161"/>
      <c r="EJ306" s="161"/>
      <c r="EK306" s="161"/>
      <c r="EL306" s="161"/>
      <c r="EM306" s="161"/>
      <c r="EN306" s="161"/>
      <c r="EO306" s="161"/>
      <c r="EP306" s="161"/>
      <c r="EQ306" s="161">
        <f>SUM(ER306:ES306)</f>
      </c>
      <c r="ER306" s="161"/>
      <c r="ES306" s="161"/>
      <c r="ET306" s="161"/>
      <c r="EU306" s="161"/>
      <c r="EV306" s="161"/>
      <c r="EW306" s="161"/>
      <c r="EX306" s="161"/>
      <c r="EY306" s="161"/>
      <c r="EZ306" s="161"/>
      <c r="FA306" s="161"/>
      <c r="FB306" s="161"/>
      <c r="FC306" s="161"/>
      <c r="FD306" s="161"/>
      <c r="FE306" s="161"/>
      <c r="FF306" s="161"/>
      <c r="FG306" s="161"/>
      <c r="FH306" s="163" cm="1">
        <f t="array" ref="FH306">ROW()-ROW(Ongoing[#Headers])</f>
        <v>300</v>
      </c>
      <c r="FI306" s="164"/>
      <c r="FJ306" s="164" t="s">
        <v>755</v>
      </c>
      <c r="FK306" s="164">
        <v>0</v>
      </c>
      <c r="FL306" s="164" t="s">
        <v>781</v>
      </c>
      <c r="FM306" s="164" t="s">
        <v>1417</v>
      </c>
      <c r="FN306" s="164" t="s">
        <v>782</v>
      </c>
      <c r="FO306" s="164" t="s">
        <v>880</v>
      </c>
      <c r="FP306" s="164" t="s">
        <v>1403</v>
      </c>
    </row>
    <row r="307" spans="2:172" s="115" customFormat="1" ht="11.25" x14ac:dyDescent="0.2">
      <c r="B307" s="148"/>
      <c r="C307" s="148"/>
      <c r="D307" s="148"/>
      <c r="E307" s="148"/>
      <c r="F307" s="148"/>
      <c r="G307" s="148"/>
      <c r="H307" s="148"/>
      <c r="I307" s="148"/>
      <c r="J307" s="165"/>
      <c r="K307" s="148"/>
      <c r="L307" s="148"/>
      <c r="M307" s="160"/>
      <c r="N307" s="160"/>
      <c r="O307" s="148"/>
      <c r="P307" s="161">
        <f>SUM(Q307:AP307)</f>
      </c>
      <c r="Q307" s="161"/>
      <c r="R307" s="161"/>
      <c r="S307" s="161"/>
      <c r="T307" s="161"/>
      <c r="U307" s="161"/>
      <c r="V307" s="161"/>
      <c r="W307" s="161"/>
      <c r="X307" s="161"/>
      <c r="Y307" s="161"/>
      <c r="Z307" s="161"/>
      <c r="AA307" s="161"/>
      <c r="AB307" s="161"/>
      <c r="AC307" s="161"/>
      <c r="AD307" s="161"/>
      <c r="AE307" s="161"/>
      <c r="AF307" s="161"/>
      <c r="AG307" s="161"/>
      <c r="AH307" s="161"/>
      <c r="AI307" s="161"/>
      <c r="AJ307" s="161"/>
      <c r="AK307" s="161"/>
      <c r="AL307" s="161"/>
      <c r="AM307" s="161"/>
      <c r="AN307" s="161"/>
      <c r="AO307" s="161"/>
      <c r="AP307" s="161"/>
      <c r="AQ307" s="161">
        <f>SUM(AR307:AU307)</f>
      </c>
      <c r="AR307" s="161"/>
      <c r="AS307" s="161"/>
      <c r="AT307" s="161"/>
      <c r="AU307" s="161"/>
      <c r="AV307" s="161">
        <f>SUM(AW307:BH307)</f>
      </c>
      <c r="AW307" s="161"/>
      <c r="AX307" s="161"/>
      <c r="AY307" s="161"/>
      <c r="AZ307" s="161"/>
      <c r="BA307" s="161"/>
      <c r="BB307" s="161"/>
      <c r="BC307" s="161"/>
      <c r="BD307" s="161"/>
      <c r="BE307" s="161"/>
      <c r="BF307" s="161"/>
      <c r="BG307" s="161"/>
      <c r="BH307" s="161"/>
      <c r="BI307" s="161"/>
      <c r="BJ307" s="161"/>
      <c r="BK307" s="161"/>
      <c r="BL307" s="161"/>
      <c r="BM307" s="161"/>
      <c r="BN307" s="161"/>
      <c r="BO307" s="161"/>
      <c r="BP307" s="161"/>
      <c r="BQ307" s="161"/>
      <c r="BR307" s="161"/>
      <c r="BS307" s="161">
        <f>SUM(BT307:BV307)</f>
      </c>
      <c r="BT307" s="161"/>
      <c r="BU307" s="161"/>
      <c r="BV307" s="161"/>
      <c r="BW307" s="161">
        <f>SUM(BX307:CC307)</f>
      </c>
      <c r="BX307" s="161"/>
      <c r="BY307" s="161"/>
      <c r="BZ307" s="161"/>
      <c r="CA307" s="161"/>
      <c r="CB307" s="161"/>
      <c r="CC307" s="161"/>
      <c r="CD307" s="161"/>
      <c r="CE307" s="161"/>
      <c r="CF307" s="161"/>
      <c r="CG307" s="161"/>
      <c r="CH307" s="161"/>
      <c r="CI307" s="161"/>
      <c r="CJ307" s="161">
        <f>SUM(CK307:CM307)</f>
      </c>
      <c r="CK307" s="161"/>
      <c r="CL307" s="161"/>
      <c r="CM307" s="161"/>
      <c r="CN307" s="161">
        <f>SUM(CO307:CS307)</f>
      </c>
      <c r="CO307" s="161"/>
      <c r="CP307" s="161"/>
      <c r="CQ307" s="161"/>
      <c r="CR307" s="161"/>
      <c r="CS307" s="161"/>
      <c r="CT307" s="161"/>
      <c r="CU307" s="161"/>
      <c r="CV307" s="161"/>
      <c r="CW307" s="161"/>
      <c r="CX307" s="161"/>
      <c r="CY307" s="161"/>
      <c r="CZ307" s="161"/>
      <c r="DA307" s="161"/>
      <c r="DB307" s="161"/>
      <c r="DC307" s="161"/>
      <c r="DD307" s="161"/>
      <c r="DE307" s="161"/>
      <c r="DF307" s="161">
        <f>SUM(DG307:DG307)</f>
      </c>
      <c r="DG307" s="161"/>
      <c r="DH307" s="161"/>
      <c r="DI307" s="161"/>
      <c r="DJ307" s="161">
        <f>SUM(DK307:DP307)</f>
      </c>
      <c r="DK307" s="161"/>
      <c r="DL307" s="161"/>
      <c r="DM307" s="161"/>
      <c r="DN307" s="161"/>
      <c r="DO307" s="161"/>
      <c r="DP307" s="161"/>
      <c r="DQ307" s="161"/>
      <c r="DR307" s="161"/>
      <c r="DS307" s="161"/>
      <c r="DT307" s="161"/>
      <c r="DU307" s="161"/>
      <c r="DV307" s="161"/>
      <c r="DW307" s="161"/>
      <c r="DX307" s="161"/>
      <c r="DY307" s="161"/>
      <c r="DZ307" s="161"/>
      <c r="EA307" s="161"/>
      <c r="EB307" s="161"/>
      <c r="EC307" s="161"/>
      <c r="ED307" s="161"/>
      <c r="EE307" s="161"/>
      <c r="EF307" s="161">
        <f>SUM(EG307:EP307)</f>
      </c>
      <c r="EG307" s="161"/>
      <c r="EH307" s="161"/>
      <c r="EI307" s="161"/>
      <c r="EJ307" s="161"/>
      <c r="EK307" s="161"/>
      <c r="EL307" s="161"/>
      <c r="EM307" s="161"/>
      <c r="EN307" s="161"/>
      <c r="EO307" s="161"/>
      <c r="EP307" s="161"/>
      <c r="EQ307" s="161">
        <f>SUM(ER307:ES307)</f>
      </c>
      <c r="ER307" s="161"/>
      <c r="ES307" s="161"/>
      <c r="ET307" s="161"/>
      <c r="EU307" s="161"/>
      <c r="EV307" s="161"/>
      <c r="EW307" s="161"/>
      <c r="EX307" s="161"/>
      <c r="EY307" s="161"/>
      <c r="EZ307" s="161"/>
      <c r="FA307" s="161"/>
      <c r="FB307" s="161"/>
      <c r="FC307" s="161"/>
      <c r="FD307" s="161"/>
      <c r="FE307" s="161"/>
      <c r="FF307" s="161"/>
      <c r="FG307" s="161"/>
      <c r="FH307" s="163" cm="1">
        <f t="array" ref="FH307">ROW()-ROW(Ongoing[#Headers])</f>
        <v>301</v>
      </c>
      <c r="FI307" s="164"/>
      <c r="FJ307" s="164"/>
      <c r="FK307" s="164"/>
      <c r="FL307" s="164"/>
      <c r="FM307" s="164"/>
      <c r="FN307" s="164"/>
      <c r="FO307" s="164"/>
      <c r="FP307" s="164"/>
    </row>
    <row r="308" spans="2:172" s="115" customFormat="1" ht="11.25" x14ac:dyDescent="0.2">
      <c r="B308" s="148"/>
      <c r="C308" s="148"/>
      <c r="D308" s="148"/>
      <c r="E308" s="148"/>
      <c r="F308" s="148"/>
      <c r="G308" s="148"/>
      <c r="H308" s="148"/>
      <c r="I308" s="148"/>
      <c r="J308" s="148"/>
      <c r="K308" s="148"/>
      <c r="L308" s="148"/>
      <c r="M308" s="160"/>
      <c r="N308" s="160"/>
      <c r="O308" s="148"/>
      <c r="P308" s="161">
        <f>SUM(Q308:AP308)</f>
      </c>
      <c r="Q308" s="161"/>
      <c r="R308" s="161"/>
      <c r="S308" s="161"/>
      <c r="T308" s="161"/>
      <c r="U308" s="161"/>
      <c r="V308" s="161"/>
      <c r="W308" s="161"/>
      <c r="X308" s="161"/>
      <c r="Y308" s="161"/>
      <c r="Z308" s="161"/>
      <c r="AA308" s="161"/>
      <c r="AB308" s="161"/>
      <c r="AC308" s="161"/>
      <c r="AD308" s="161"/>
      <c r="AE308" s="161"/>
      <c r="AF308" s="161"/>
      <c r="AG308" s="161"/>
      <c r="AH308" s="161"/>
      <c r="AI308" s="161"/>
      <c r="AJ308" s="161"/>
      <c r="AK308" s="161"/>
      <c r="AL308" s="161"/>
      <c r="AM308" s="161"/>
      <c r="AN308" s="161"/>
      <c r="AO308" s="161"/>
      <c r="AP308" s="161"/>
      <c r="AQ308" s="161">
        <f>SUM(AR308:AU308)</f>
      </c>
      <c r="AR308" s="161"/>
      <c r="AS308" s="161"/>
      <c r="AT308" s="161"/>
      <c r="AU308" s="161"/>
      <c r="AV308" s="161">
        <f>SUM(AW308:BH308)</f>
      </c>
      <c r="AW308" s="161"/>
      <c r="AX308" s="161"/>
      <c r="AY308" s="161"/>
      <c r="AZ308" s="161"/>
      <c r="BA308" s="161"/>
      <c r="BB308" s="161"/>
      <c r="BC308" s="161"/>
      <c r="BD308" s="161"/>
      <c r="BE308" s="161"/>
      <c r="BF308" s="161"/>
      <c r="BG308" s="161"/>
      <c r="BH308" s="161"/>
      <c r="BI308" s="161"/>
      <c r="BJ308" s="161"/>
      <c r="BK308" s="161"/>
      <c r="BL308" s="161"/>
      <c r="BM308" s="161"/>
      <c r="BN308" s="161"/>
      <c r="BO308" s="161"/>
      <c r="BP308" s="161"/>
      <c r="BQ308" s="161"/>
      <c r="BR308" s="161"/>
      <c r="BS308" s="161">
        <f>SUM(BT308:BV308)</f>
      </c>
      <c r="BT308" s="161"/>
      <c r="BU308" s="161"/>
      <c r="BV308" s="161"/>
      <c r="BW308" s="161">
        <f>SUM(BX308:CC308)</f>
      </c>
      <c r="BX308" s="161"/>
      <c r="BY308" s="161"/>
      <c r="BZ308" s="161"/>
      <c r="CA308" s="161"/>
      <c r="CB308" s="161"/>
      <c r="CC308" s="161"/>
      <c r="CD308" s="161"/>
      <c r="CE308" s="161"/>
      <c r="CF308" s="161"/>
      <c r="CG308" s="161"/>
      <c r="CH308" s="161"/>
      <c r="CI308" s="161"/>
      <c r="CJ308" s="161">
        <f>SUM(CK308:CM308)</f>
      </c>
      <c r="CK308" s="161"/>
      <c r="CL308" s="161"/>
      <c r="CM308" s="161"/>
      <c r="CN308" s="161">
        <f>SUM(CO308:CS308)</f>
      </c>
      <c r="CO308" s="161"/>
      <c r="CP308" s="161"/>
      <c r="CQ308" s="161"/>
      <c r="CR308" s="161"/>
      <c r="CS308" s="161"/>
      <c r="CT308" s="161"/>
      <c r="CU308" s="161"/>
      <c r="CV308" s="161"/>
      <c r="CW308" s="161"/>
      <c r="CX308" s="161"/>
      <c r="CY308" s="161"/>
      <c r="CZ308" s="161"/>
      <c r="DA308" s="161"/>
      <c r="DB308" s="161"/>
      <c r="DC308" s="161"/>
      <c r="DD308" s="161"/>
      <c r="DE308" s="161"/>
      <c r="DF308" s="161">
        <f>SUM(DG308:DG308)</f>
      </c>
      <c r="DG308" s="161"/>
      <c r="DH308" s="161"/>
      <c r="DI308" s="161"/>
      <c r="DJ308" s="161">
        <f>SUM(DK308:DP308)</f>
      </c>
      <c r="DK308" s="161"/>
      <c r="DL308" s="161"/>
      <c r="DM308" s="161"/>
      <c r="DN308" s="161"/>
      <c r="DO308" s="161"/>
      <c r="DP308" s="161"/>
      <c r="DQ308" s="161"/>
      <c r="DR308" s="161"/>
      <c r="DS308" s="161"/>
      <c r="DT308" s="161"/>
      <c r="DU308" s="161"/>
      <c r="DV308" s="161"/>
      <c r="DW308" s="161"/>
      <c r="DX308" s="161"/>
      <c r="DY308" s="161"/>
      <c r="DZ308" s="161"/>
      <c r="EA308" s="161"/>
      <c r="EB308" s="161"/>
      <c r="EC308" s="161"/>
      <c r="ED308" s="161"/>
      <c r="EE308" s="161"/>
      <c r="EF308" s="161">
        <f>SUM(EG308:EP308)</f>
      </c>
      <c r="EG308" s="161"/>
      <c r="EH308" s="161"/>
      <c r="EI308" s="161"/>
      <c r="EJ308" s="161"/>
      <c r="EK308" s="161"/>
      <c r="EL308" s="161"/>
      <c r="EM308" s="161"/>
      <c r="EN308" s="161"/>
      <c r="EO308" s="161"/>
      <c r="EP308" s="161"/>
      <c r="EQ308" s="161">
        <f>SUM(ER308:ES308)</f>
      </c>
      <c r="ER308" s="161"/>
      <c r="ES308" s="161"/>
      <c r="ET308" s="161"/>
      <c r="EU308" s="161"/>
      <c r="EV308" s="161"/>
      <c r="EW308" s="161"/>
      <c r="EX308" s="161"/>
      <c r="EY308" s="161"/>
      <c r="EZ308" s="161"/>
      <c r="FA308" s="161"/>
      <c r="FB308" s="161"/>
      <c r="FC308" s="161"/>
      <c r="FD308" s="161"/>
      <c r="FE308" s="161"/>
      <c r="FF308" s="161"/>
      <c r="FG308" s="161"/>
      <c r="FH308" s="163" cm="1">
        <f t="array" ref="FH308">ROW()-ROW(Ongoing[#Headers])</f>
        <v>302</v>
      </c>
      <c r="FI308" s="164"/>
      <c r="FJ308" s="164"/>
      <c r="FK308" s="164"/>
      <c r="FL308" s="164"/>
      <c r="FM308" s="164"/>
      <c r="FN308" s="164"/>
      <c r="FO308" s="164"/>
      <c r="FP308" s="164"/>
    </row>
    <row r="309" spans="2:172" s="115" customFormat="1" ht="11.25" x14ac:dyDescent="0.2">
      <c r="B309" s="148"/>
      <c r="C309" s="148"/>
      <c r="D309" s="148"/>
      <c r="E309" s="148"/>
      <c r="F309" s="148"/>
      <c r="G309" s="148"/>
      <c r="H309" s="148"/>
      <c r="I309" s="148"/>
      <c r="J309" s="148"/>
      <c r="K309" s="148"/>
      <c r="L309" s="148"/>
      <c r="M309" s="160"/>
      <c r="N309" s="160"/>
      <c r="O309" s="148"/>
      <c r="P309" s="161">
        <f>SUM(Q309:AP309)</f>
      </c>
      <c r="Q309" s="161"/>
      <c r="R309" s="161"/>
      <c r="S309" s="161"/>
      <c r="T309" s="161"/>
      <c r="U309" s="161"/>
      <c r="V309" s="161"/>
      <c r="W309" s="161"/>
      <c r="X309" s="161"/>
      <c r="Y309" s="161"/>
      <c r="Z309" s="161"/>
      <c r="AA309" s="161"/>
      <c r="AB309" s="161"/>
      <c r="AC309" s="161"/>
      <c r="AD309" s="161"/>
      <c r="AE309" s="161"/>
      <c r="AF309" s="161"/>
      <c r="AG309" s="161"/>
      <c r="AH309" s="161"/>
      <c r="AI309" s="161"/>
      <c r="AJ309" s="161"/>
      <c r="AK309" s="161"/>
      <c r="AL309" s="161"/>
      <c r="AM309" s="161"/>
      <c r="AN309" s="161"/>
      <c r="AO309" s="161"/>
      <c r="AP309" s="161"/>
      <c r="AQ309" s="161">
        <f>SUM(AR309:AU309)</f>
      </c>
      <c r="AR309" s="161"/>
      <c r="AS309" s="161"/>
      <c r="AT309" s="161"/>
      <c r="AU309" s="161"/>
      <c r="AV309" s="161">
        <f>SUM(AW309:BH309)</f>
      </c>
      <c r="AW309" s="161"/>
      <c r="AX309" s="161"/>
      <c r="AY309" s="161"/>
      <c r="AZ309" s="161"/>
      <c r="BA309" s="161"/>
      <c r="BB309" s="161"/>
      <c r="BC309" s="161"/>
      <c r="BD309" s="161"/>
      <c r="BE309" s="161"/>
      <c r="BF309" s="161"/>
      <c r="BG309" s="161"/>
      <c r="BH309" s="161"/>
      <c r="BI309" s="161"/>
      <c r="BJ309" s="161"/>
      <c r="BK309" s="161"/>
      <c r="BL309" s="161"/>
      <c r="BM309" s="161"/>
      <c r="BN309" s="161"/>
      <c r="BO309" s="161"/>
      <c r="BP309" s="161"/>
      <c r="BQ309" s="161"/>
      <c r="BR309" s="161"/>
      <c r="BS309" s="161">
        <f>SUM(BT309:BV309)</f>
      </c>
      <c r="BT309" s="161"/>
      <c r="BU309" s="161"/>
      <c r="BV309" s="161"/>
      <c r="BW309" s="161">
        <f>SUM(BX309:CC309)</f>
      </c>
      <c r="BX309" s="161"/>
      <c r="BY309" s="161"/>
      <c r="BZ309" s="161"/>
      <c r="CA309" s="161"/>
      <c r="CB309" s="161"/>
      <c r="CC309" s="161"/>
      <c r="CD309" s="161"/>
      <c r="CE309" s="161"/>
      <c r="CF309" s="161"/>
      <c r="CG309" s="161"/>
      <c r="CH309" s="161"/>
      <c r="CI309" s="161"/>
      <c r="CJ309" s="161">
        <f>SUM(CK309:CM309)</f>
      </c>
      <c r="CK309" s="161"/>
      <c r="CL309" s="161"/>
      <c r="CM309" s="161"/>
      <c r="CN309" s="161">
        <f>SUM(CO309:CS309)</f>
      </c>
      <c r="CO309" s="161"/>
      <c r="CP309" s="161"/>
      <c r="CQ309" s="161"/>
      <c r="CR309" s="161"/>
      <c r="CS309" s="161"/>
      <c r="CT309" s="161"/>
      <c r="CU309" s="161"/>
      <c r="CV309" s="161"/>
      <c r="CW309" s="161"/>
      <c r="CX309" s="161"/>
      <c r="CY309" s="161"/>
      <c r="CZ309" s="161"/>
      <c r="DA309" s="161"/>
      <c r="DB309" s="161"/>
      <c r="DC309" s="161"/>
      <c r="DD309" s="161"/>
      <c r="DE309" s="161"/>
      <c r="DF309" s="161">
        <f>SUM(DG309:DG309)</f>
      </c>
      <c r="DG309" s="161"/>
      <c r="DH309" s="161"/>
      <c r="DI309" s="161"/>
      <c r="DJ309" s="161">
        <f>SUM(DK309:DP309)</f>
      </c>
      <c r="DK309" s="161"/>
      <c r="DL309" s="161"/>
      <c r="DM309" s="161"/>
      <c r="DN309" s="161"/>
      <c r="DO309" s="161"/>
      <c r="DP309" s="161"/>
      <c r="DQ309" s="161"/>
      <c r="DR309" s="161"/>
      <c r="DS309" s="161"/>
      <c r="DT309" s="161"/>
      <c r="DU309" s="161"/>
      <c r="DV309" s="161"/>
      <c r="DW309" s="161"/>
      <c r="DX309" s="161"/>
      <c r="DY309" s="161"/>
      <c r="DZ309" s="161"/>
      <c r="EA309" s="161"/>
      <c r="EB309" s="161"/>
      <c r="EC309" s="161"/>
      <c r="ED309" s="161"/>
      <c r="EE309" s="161"/>
      <c r="EF309" s="161">
        <f>SUM(EG309:EP309)</f>
      </c>
      <c r="EG309" s="161"/>
      <c r="EH309" s="161"/>
      <c r="EI309" s="161"/>
      <c r="EJ309" s="161"/>
      <c r="EK309" s="161"/>
      <c r="EL309" s="161"/>
      <c r="EM309" s="161"/>
      <c r="EN309" s="161"/>
      <c r="EO309" s="161"/>
      <c r="EP309" s="161"/>
      <c r="EQ309" s="161">
        <f>SUM(ER309:ES309)</f>
      </c>
      <c r="ER309" s="161"/>
      <c r="ES309" s="161"/>
      <c r="ET309" s="161"/>
      <c r="EU309" s="161"/>
      <c r="EV309" s="161"/>
      <c r="EW309" s="161"/>
      <c r="EX309" s="161"/>
      <c r="EY309" s="161"/>
      <c r="EZ309" s="161"/>
      <c r="FA309" s="161"/>
      <c r="FB309" s="161"/>
      <c r="FC309" s="161"/>
      <c r="FD309" s="161"/>
      <c r="FE309" s="161"/>
      <c r="FF309" s="161"/>
      <c r="FG309" s="161"/>
      <c r="FH309" s="163" cm="1">
        <f t="array" ref="FH309">ROW()-ROW(Ongoing[#Headers])</f>
        <v>303</v>
      </c>
      <c r="FI309" s="164"/>
      <c r="FJ309" s="164"/>
      <c r="FK309" s="164"/>
      <c r="FL309" s="164"/>
      <c r="FM309" s="164"/>
      <c r="FN309" s="164"/>
      <c r="FO309" s="164"/>
      <c r="FP309" s="164"/>
    </row>
    <row r="310" spans="2:172" s="115" customFormat="1" ht="11.25" x14ac:dyDescent="0.2">
      <c r="B310" s="148"/>
      <c r="C310" s="148"/>
      <c r="D310" s="148"/>
      <c r="E310" s="148"/>
      <c r="F310" s="148"/>
      <c r="G310" s="148"/>
      <c r="H310" s="148"/>
      <c r="I310" s="148"/>
      <c r="J310" s="148"/>
      <c r="K310" s="148"/>
      <c r="L310" s="148"/>
      <c r="M310" s="160"/>
      <c r="N310" s="160"/>
      <c r="O310" s="148"/>
      <c r="P310" s="161">
        <f>SUM(Q310:AP310)</f>
      </c>
      <c r="Q310" s="161"/>
      <c r="R310" s="161"/>
      <c r="S310" s="161"/>
      <c r="T310" s="161"/>
      <c r="U310" s="161"/>
      <c r="V310" s="161"/>
      <c r="W310" s="161"/>
      <c r="X310" s="161"/>
      <c r="Y310" s="161"/>
      <c r="Z310" s="161"/>
      <c r="AA310" s="161"/>
      <c r="AB310" s="161"/>
      <c r="AC310" s="161"/>
      <c r="AD310" s="161"/>
      <c r="AE310" s="161"/>
      <c r="AF310" s="161"/>
      <c r="AG310" s="161"/>
      <c r="AH310" s="161"/>
      <c r="AI310" s="161"/>
      <c r="AJ310" s="161"/>
      <c r="AK310" s="161"/>
      <c r="AL310" s="161"/>
      <c r="AM310" s="161"/>
      <c r="AN310" s="161"/>
      <c r="AO310" s="161"/>
      <c r="AP310" s="161"/>
      <c r="AQ310" s="161">
        <f>SUM(AR310:AU310)</f>
      </c>
      <c r="AR310" s="161"/>
      <c r="AS310" s="161"/>
      <c r="AT310" s="161"/>
      <c r="AU310" s="161"/>
      <c r="AV310" s="161">
        <f>SUM(AW310:BH310)</f>
      </c>
      <c r="AW310" s="161"/>
      <c r="AX310" s="161"/>
      <c r="AY310" s="161"/>
      <c r="AZ310" s="161"/>
      <c r="BA310" s="161"/>
      <c r="BB310" s="161"/>
      <c r="BC310" s="161"/>
      <c r="BD310" s="161"/>
      <c r="BE310" s="161"/>
      <c r="BF310" s="161"/>
      <c r="BG310" s="161"/>
      <c r="BH310" s="161"/>
      <c r="BI310" s="161"/>
      <c r="BJ310" s="161"/>
      <c r="BK310" s="161"/>
      <c r="BL310" s="161"/>
      <c r="BM310" s="161"/>
      <c r="BN310" s="161"/>
      <c r="BO310" s="161"/>
      <c r="BP310" s="161"/>
      <c r="BQ310" s="161"/>
      <c r="BR310" s="161"/>
      <c r="BS310" s="161">
        <f>SUM(BT310:BV310)</f>
      </c>
      <c r="BT310" s="161"/>
      <c r="BU310" s="161"/>
      <c r="BV310" s="161"/>
      <c r="BW310" s="161">
        <f>SUM(BX310:CC310)</f>
      </c>
      <c r="BX310" s="161"/>
      <c r="BY310" s="161"/>
      <c r="BZ310" s="161"/>
      <c r="CA310" s="161"/>
      <c r="CB310" s="161"/>
      <c r="CC310" s="161"/>
      <c r="CD310" s="161"/>
      <c r="CE310" s="161"/>
      <c r="CF310" s="161"/>
      <c r="CG310" s="161"/>
      <c r="CH310" s="161"/>
      <c r="CI310" s="161"/>
      <c r="CJ310" s="161">
        <f>SUM(CK310:CM310)</f>
      </c>
      <c r="CK310" s="161"/>
      <c r="CL310" s="161"/>
      <c r="CM310" s="161"/>
      <c r="CN310" s="161">
        <f>SUM(CO310:CS310)</f>
      </c>
      <c r="CO310" s="161"/>
      <c r="CP310" s="161"/>
      <c r="CQ310" s="161"/>
      <c r="CR310" s="161"/>
      <c r="CS310" s="161"/>
      <c r="CT310" s="161"/>
      <c r="CU310" s="161"/>
      <c r="CV310" s="161"/>
      <c r="CW310" s="161"/>
      <c r="CX310" s="161"/>
      <c r="CY310" s="161"/>
      <c r="CZ310" s="161"/>
      <c r="DA310" s="161"/>
      <c r="DB310" s="161"/>
      <c r="DC310" s="161"/>
      <c r="DD310" s="161"/>
      <c r="DE310" s="161"/>
      <c r="DF310" s="161">
        <f>SUM(DG310:DG310)</f>
      </c>
      <c r="DG310" s="161"/>
      <c r="DH310" s="161"/>
      <c r="DI310" s="161"/>
      <c r="DJ310" s="161">
        <f>SUM(DK310:DP310)</f>
      </c>
      <c r="DK310" s="161"/>
      <c r="DL310" s="161"/>
      <c r="DM310" s="161"/>
      <c r="DN310" s="161"/>
      <c r="DO310" s="161"/>
      <c r="DP310" s="161"/>
      <c r="DQ310" s="161"/>
      <c r="DR310" s="161"/>
      <c r="DS310" s="161"/>
      <c r="DT310" s="161"/>
      <c r="DU310" s="161"/>
      <c r="DV310" s="161"/>
      <c r="DW310" s="161"/>
      <c r="DX310" s="161"/>
      <c r="DY310" s="161"/>
      <c r="DZ310" s="161"/>
      <c r="EA310" s="161"/>
      <c r="EB310" s="161"/>
      <c r="EC310" s="161"/>
      <c r="ED310" s="161"/>
      <c r="EE310" s="161"/>
      <c r="EF310" s="161">
        <f>SUM(EG310:EP310)</f>
      </c>
      <c r="EG310" s="161"/>
      <c r="EH310" s="161"/>
      <c r="EI310" s="161"/>
      <c r="EJ310" s="161"/>
      <c r="EK310" s="161"/>
      <c r="EL310" s="161"/>
      <c r="EM310" s="161"/>
      <c r="EN310" s="161"/>
      <c r="EO310" s="161"/>
      <c r="EP310" s="161"/>
      <c r="EQ310" s="161">
        <f>SUM(ER310:ES310)</f>
      </c>
      <c r="ER310" s="161"/>
      <c r="ES310" s="161"/>
      <c r="ET310" s="161"/>
      <c r="EU310" s="161"/>
      <c r="EV310" s="161"/>
      <c r="EW310" s="161"/>
      <c r="EX310" s="161"/>
      <c r="EY310" s="161"/>
      <c r="EZ310" s="161"/>
      <c r="FA310" s="161"/>
      <c r="FB310" s="161"/>
      <c r="FC310" s="161"/>
      <c r="FD310" s="161"/>
      <c r="FE310" s="161"/>
      <c r="FF310" s="161"/>
      <c r="FG310" s="161"/>
      <c r="FH310" s="163" cm="1">
        <f t="array" ref="FH310">ROW()-ROW(Ongoing[#Headers])</f>
        <v>304</v>
      </c>
      <c r="FI310" s="164" t="s">
        <v>754</v>
      </c>
      <c r="FJ310" s="164" t="s">
        <v>755</v>
      </c>
      <c r="FK310" s="164">
        <v>0</v>
      </c>
      <c r="FL310" s="164" t="s">
        <v>756</v>
      </c>
      <c r="FM310" s="164" t="s">
        <v>1401</v>
      </c>
      <c r="FN310" s="164" t="s">
        <v>757</v>
      </c>
      <c r="FO310" s="164" t="s">
        <v>1402</v>
      </c>
      <c r="FP310" s="164" t="s">
        <v>1403</v>
      </c>
    </row>
    <row r="311" spans="2:172" s="115" customFormat="1" ht="11.25" x14ac:dyDescent="0.2">
      <c r="B311" s="148"/>
      <c r="C311" s="148"/>
      <c r="D311" s="148"/>
      <c r="E311" s="148"/>
      <c r="F311" s="148"/>
      <c r="G311" s="148"/>
      <c r="H311" s="148"/>
      <c r="I311" s="148"/>
      <c r="J311" s="165"/>
      <c r="K311" s="148"/>
      <c r="L311" s="148"/>
      <c r="M311" s="160"/>
      <c r="N311" s="160"/>
      <c r="O311" s="148"/>
      <c r="P311" s="161">
        <f>SUM(Q311:AP311)</f>
      </c>
      <c r="Q311" s="161"/>
      <c r="R311" s="161"/>
      <c r="S311" s="161"/>
      <c r="T311" s="161"/>
      <c r="U311" s="161"/>
      <c r="V311" s="161"/>
      <c r="W311" s="161"/>
      <c r="X311" s="161"/>
      <c r="Y311" s="161"/>
      <c r="Z311" s="161"/>
      <c r="AA311" s="161"/>
      <c r="AB311" s="161"/>
      <c r="AC311" s="161"/>
      <c r="AD311" s="161"/>
      <c r="AE311" s="161"/>
      <c r="AF311" s="161"/>
      <c r="AG311" s="161"/>
      <c r="AH311" s="161"/>
      <c r="AI311" s="161"/>
      <c r="AJ311" s="161"/>
      <c r="AK311" s="161"/>
      <c r="AL311" s="161"/>
      <c r="AM311" s="161"/>
      <c r="AN311" s="161"/>
      <c r="AO311" s="161"/>
      <c r="AP311" s="161"/>
      <c r="AQ311" s="161">
        <f>SUM(AR311:AU311)</f>
      </c>
      <c r="AR311" s="161"/>
      <c r="AS311" s="161"/>
      <c r="AT311" s="161"/>
      <c r="AU311" s="161"/>
      <c r="AV311" s="161">
        <f>SUM(AW311:BH311)</f>
      </c>
      <c r="AW311" s="161"/>
      <c r="AX311" s="161"/>
      <c r="AY311" s="161"/>
      <c r="AZ311" s="161"/>
      <c r="BA311" s="161"/>
      <c r="BB311" s="161"/>
      <c r="BC311" s="161"/>
      <c r="BD311" s="161"/>
      <c r="BE311" s="161"/>
      <c r="BF311" s="161"/>
      <c r="BG311" s="161"/>
      <c r="BH311" s="161"/>
      <c r="BI311" s="161"/>
      <c r="BJ311" s="161"/>
      <c r="BK311" s="161"/>
      <c r="BL311" s="161"/>
      <c r="BM311" s="161"/>
      <c r="BN311" s="161"/>
      <c r="BO311" s="161"/>
      <c r="BP311" s="161"/>
      <c r="BQ311" s="161"/>
      <c r="BR311" s="161"/>
      <c r="BS311" s="161">
        <f>SUM(BT311:BV311)</f>
      </c>
      <c r="BT311" s="161"/>
      <c r="BU311" s="161"/>
      <c r="BV311" s="161"/>
      <c r="BW311" s="161">
        <f>SUM(BX311:CC311)</f>
      </c>
      <c r="BX311" s="161"/>
      <c r="BY311" s="161"/>
      <c r="BZ311" s="161"/>
      <c r="CA311" s="161"/>
      <c r="CB311" s="161"/>
      <c r="CC311" s="161"/>
      <c r="CD311" s="161"/>
      <c r="CE311" s="161"/>
      <c r="CF311" s="161"/>
      <c r="CG311" s="161"/>
      <c r="CH311" s="161"/>
      <c r="CI311" s="161"/>
      <c r="CJ311" s="161">
        <f>SUM(CK311:CM311)</f>
      </c>
      <c r="CK311" s="161"/>
      <c r="CL311" s="161"/>
      <c r="CM311" s="161"/>
      <c r="CN311" s="161">
        <f>SUM(CO311:CS311)</f>
      </c>
      <c r="CO311" s="161"/>
      <c r="CP311" s="161"/>
      <c r="CQ311" s="161"/>
      <c r="CR311" s="161"/>
      <c r="CS311" s="161"/>
      <c r="CT311" s="161"/>
      <c r="CU311" s="161"/>
      <c r="CV311" s="161"/>
      <c r="CW311" s="161"/>
      <c r="CX311" s="161"/>
      <c r="CY311" s="161"/>
      <c r="CZ311" s="161"/>
      <c r="DA311" s="161"/>
      <c r="DB311" s="161"/>
      <c r="DC311" s="161"/>
      <c r="DD311" s="161"/>
      <c r="DE311" s="161"/>
      <c r="DF311" s="161">
        <f>SUM(DG311:DG311)</f>
      </c>
      <c r="DG311" s="161"/>
      <c r="DH311" s="161"/>
      <c r="DI311" s="161"/>
      <c r="DJ311" s="161">
        <f>SUM(DK311:DP311)</f>
      </c>
      <c r="DK311" s="161"/>
      <c r="DL311" s="161"/>
      <c r="DM311" s="161"/>
      <c r="DN311" s="161"/>
      <c r="DO311" s="161"/>
      <c r="DP311" s="161"/>
      <c r="DQ311" s="161"/>
      <c r="DR311" s="161"/>
      <c r="DS311" s="161"/>
      <c r="DT311" s="161"/>
      <c r="DU311" s="161"/>
      <c r="DV311" s="161"/>
      <c r="DW311" s="161"/>
      <c r="DX311" s="161"/>
      <c r="DY311" s="161"/>
      <c r="DZ311" s="161"/>
      <c r="EA311" s="161"/>
      <c r="EB311" s="161"/>
      <c r="EC311" s="161"/>
      <c r="ED311" s="161"/>
      <c r="EE311" s="161"/>
      <c r="EF311" s="161">
        <f>SUM(EG311:EP311)</f>
      </c>
      <c r="EG311" s="161"/>
      <c r="EH311" s="161"/>
      <c r="EI311" s="161"/>
      <c r="EJ311" s="161"/>
      <c r="EK311" s="161"/>
      <c r="EL311" s="161"/>
      <c r="EM311" s="161"/>
      <c r="EN311" s="161"/>
      <c r="EO311" s="161"/>
      <c r="EP311" s="161"/>
      <c r="EQ311" s="161">
        <f>SUM(ER311:ES311)</f>
      </c>
      <c r="ER311" s="161"/>
      <c r="ES311" s="161"/>
      <c r="ET311" s="161"/>
      <c r="EU311" s="161"/>
      <c r="EV311" s="161"/>
      <c r="EW311" s="161"/>
      <c r="EX311" s="161"/>
      <c r="EY311" s="161"/>
      <c r="EZ311" s="161"/>
      <c r="FA311" s="161"/>
      <c r="FB311" s="161"/>
      <c r="FC311" s="161"/>
      <c r="FD311" s="161"/>
      <c r="FE311" s="161"/>
      <c r="FF311" s="161"/>
      <c r="FG311" s="161"/>
      <c r="FH311" s="163" cm="1">
        <f t="array" ref="FH311">ROW()-ROW(Ongoing[#Headers])</f>
        <v>305</v>
      </c>
      <c r="FI311" s="164"/>
      <c r="FJ311" s="164"/>
      <c r="FK311" s="164"/>
      <c r="FL311" s="164"/>
      <c r="FM311" s="164"/>
      <c r="FN311" s="164"/>
      <c r="FO311" s="164"/>
      <c r="FP311" s="164"/>
    </row>
    <row r="312" spans="2:172" s="115" customFormat="1" ht="11.25" x14ac:dyDescent="0.2">
      <c r="B312" s="148"/>
      <c r="C312" s="148"/>
      <c r="D312" s="148"/>
      <c r="E312" s="148"/>
      <c r="F312" s="148"/>
      <c r="G312" s="148"/>
      <c r="H312" s="148"/>
      <c r="I312" s="148"/>
      <c r="J312" s="148"/>
      <c r="K312" s="148"/>
      <c r="L312" s="148"/>
      <c r="M312" s="160"/>
      <c r="N312" s="160"/>
      <c r="O312" s="148"/>
      <c r="P312" s="161">
        <f>SUM(Q312:AP312)</f>
      </c>
      <c r="Q312" s="161"/>
      <c r="R312" s="161"/>
      <c r="S312" s="161"/>
      <c r="T312" s="161"/>
      <c r="U312" s="161"/>
      <c r="V312" s="161"/>
      <c r="W312" s="161"/>
      <c r="X312" s="161"/>
      <c r="Y312" s="161"/>
      <c r="Z312" s="161"/>
      <c r="AA312" s="161"/>
      <c r="AB312" s="161"/>
      <c r="AC312" s="161"/>
      <c r="AD312" s="161"/>
      <c r="AE312" s="161"/>
      <c r="AF312" s="161"/>
      <c r="AG312" s="161"/>
      <c r="AH312" s="161"/>
      <c r="AI312" s="161"/>
      <c r="AJ312" s="161"/>
      <c r="AK312" s="161"/>
      <c r="AL312" s="161"/>
      <c r="AM312" s="161"/>
      <c r="AN312" s="161"/>
      <c r="AO312" s="161"/>
      <c r="AP312" s="161"/>
      <c r="AQ312" s="161">
        <f>SUM(AR312:AU312)</f>
      </c>
      <c r="AR312" s="161"/>
      <c r="AS312" s="161"/>
      <c r="AT312" s="161"/>
      <c r="AU312" s="161"/>
      <c r="AV312" s="161">
        <f>SUM(AW312:BH312)</f>
      </c>
      <c r="AW312" s="161"/>
      <c r="AX312" s="161"/>
      <c r="AY312" s="161"/>
      <c r="AZ312" s="161"/>
      <c r="BA312" s="161"/>
      <c r="BB312" s="161"/>
      <c r="BC312" s="161"/>
      <c r="BD312" s="161"/>
      <c r="BE312" s="161"/>
      <c r="BF312" s="161"/>
      <c r="BG312" s="161"/>
      <c r="BH312" s="161"/>
      <c r="BI312" s="161"/>
      <c r="BJ312" s="161"/>
      <c r="BK312" s="161"/>
      <c r="BL312" s="161"/>
      <c r="BM312" s="161"/>
      <c r="BN312" s="161"/>
      <c r="BO312" s="161"/>
      <c r="BP312" s="161"/>
      <c r="BQ312" s="161"/>
      <c r="BR312" s="161"/>
      <c r="BS312" s="161">
        <f>SUM(BT312:BV312)</f>
      </c>
      <c r="BT312" s="161"/>
      <c r="BU312" s="161"/>
      <c r="BV312" s="161"/>
      <c r="BW312" s="161">
        <f>SUM(BX312:CC312)</f>
      </c>
      <c r="BX312" s="161"/>
      <c r="BY312" s="161"/>
      <c r="BZ312" s="161"/>
      <c r="CA312" s="161"/>
      <c r="CB312" s="161"/>
      <c r="CC312" s="161"/>
      <c r="CD312" s="161"/>
      <c r="CE312" s="161"/>
      <c r="CF312" s="161"/>
      <c r="CG312" s="161"/>
      <c r="CH312" s="161"/>
      <c r="CI312" s="161"/>
      <c r="CJ312" s="161">
        <f>SUM(CK312:CM312)</f>
      </c>
      <c r="CK312" s="161"/>
      <c r="CL312" s="161"/>
      <c r="CM312" s="161"/>
      <c r="CN312" s="161">
        <f>SUM(CO312:CS312)</f>
      </c>
      <c r="CO312" s="161"/>
      <c r="CP312" s="161"/>
      <c r="CQ312" s="161"/>
      <c r="CR312" s="161"/>
      <c r="CS312" s="161"/>
      <c r="CT312" s="161"/>
      <c r="CU312" s="161"/>
      <c r="CV312" s="161"/>
      <c r="CW312" s="161"/>
      <c r="CX312" s="161"/>
      <c r="CY312" s="161"/>
      <c r="CZ312" s="161"/>
      <c r="DA312" s="161"/>
      <c r="DB312" s="161"/>
      <c r="DC312" s="161"/>
      <c r="DD312" s="161"/>
      <c r="DE312" s="161"/>
      <c r="DF312" s="161">
        <f>SUM(DG312:DG312)</f>
      </c>
      <c r="DG312" s="161"/>
      <c r="DH312" s="161"/>
      <c r="DI312" s="161"/>
      <c r="DJ312" s="161">
        <f>SUM(DK312:DP312)</f>
      </c>
      <c r="DK312" s="161"/>
      <c r="DL312" s="161"/>
      <c r="DM312" s="161"/>
      <c r="DN312" s="161"/>
      <c r="DO312" s="161"/>
      <c r="DP312" s="161"/>
      <c r="DQ312" s="161"/>
      <c r="DR312" s="161"/>
      <c r="DS312" s="161"/>
      <c r="DT312" s="161"/>
      <c r="DU312" s="161"/>
      <c r="DV312" s="161"/>
      <c r="DW312" s="161"/>
      <c r="DX312" s="161"/>
      <c r="DY312" s="161"/>
      <c r="DZ312" s="161"/>
      <c r="EA312" s="161"/>
      <c r="EB312" s="161"/>
      <c r="EC312" s="161"/>
      <c r="ED312" s="161"/>
      <c r="EE312" s="161"/>
      <c r="EF312" s="161">
        <f>SUM(EG312:EP312)</f>
      </c>
      <c r="EG312" s="161"/>
      <c r="EH312" s="161"/>
      <c r="EI312" s="161"/>
      <c r="EJ312" s="161"/>
      <c r="EK312" s="161"/>
      <c r="EL312" s="161"/>
      <c r="EM312" s="161"/>
      <c r="EN312" s="161"/>
      <c r="EO312" s="161"/>
      <c r="EP312" s="161"/>
      <c r="EQ312" s="161">
        <f>SUM(ER312:ES312)</f>
      </c>
      <c r="ER312" s="161"/>
      <c r="ES312" s="161"/>
      <c r="ET312" s="161"/>
      <c r="EU312" s="161"/>
      <c r="EV312" s="161"/>
      <c r="EW312" s="161"/>
      <c r="EX312" s="161"/>
      <c r="EY312" s="161"/>
      <c r="EZ312" s="161"/>
      <c r="FA312" s="161"/>
      <c r="FB312" s="161"/>
      <c r="FC312" s="161"/>
      <c r="FD312" s="161"/>
      <c r="FE312" s="161"/>
      <c r="FF312" s="161"/>
      <c r="FG312" s="161"/>
      <c r="FH312" s="163" cm="1">
        <f t="array" ref="FH312">ROW()-ROW(Ongoing[#Headers])</f>
        <v>306</v>
      </c>
      <c r="FI312" s="164"/>
      <c r="FJ312" s="164"/>
      <c r="FK312" s="164"/>
      <c r="FL312" s="164"/>
      <c r="FM312" s="164"/>
      <c r="FN312" s="164"/>
      <c r="FO312" s="164"/>
      <c r="FP312" s="164"/>
    </row>
    <row r="313" spans="2:172" s="115" customFormat="1" ht="11.25" x14ac:dyDescent="0.2">
      <c r="B313" s="148"/>
      <c r="C313" s="148"/>
      <c r="D313" s="148"/>
      <c r="E313" s="148"/>
      <c r="F313" s="148"/>
      <c r="G313" s="148"/>
      <c r="H313" s="148"/>
      <c r="I313" s="148"/>
      <c r="J313" s="148"/>
      <c r="K313" s="148"/>
      <c r="L313" s="148"/>
      <c r="M313" s="160"/>
      <c r="N313" s="160"/>
      <c r="O313" s="148"/>
      <c r="P313" s="161">
        <f>SUM(Q313:AP313)</f>
      </c>
      <c r="Q313" s="161"/>
      <c r="R313" s="161"/>
      <c r="S313" s="161"/>
      <c r="T313" s="161"/>
      <c r="U313" s="161"/>
      <c r="V313" s="161"/>
      <c r="W313" s="161"/>
      <c r="X313" s="161"/>
      <c r="Y313" s="161"/>
      <c r="Z313" s="161"/>
      <c r="AA313" s="161"/>
      <c r="AB313" s="161"/>
      <c r="AC313" s="161"/>
      <c r="AD313" s="161"/>
      <c r="AE313" s="161"/>
      <c r="AF313" s="161"/>
      <c r="AG313" s="161"/>
      <c r="AH313" s="161"/>
      <c r="AI313" s="161"/>
      <c r="AJ313" s="161"/>
      <c r="AK313" s="161"/>
      <c r="AL313" s="161"/>
      <c r="AM313" s="161"/>
      <c r="AN313" s="161"/>
      <c r="AO313" s="161"/>
      <c r="AP313" s="161"/>
      <c r="AQ313" s="161">
        <f>SUM(AR313:AU313)</f>
      </c>
      <c r="AR313" s="161"/>
      <c r="AS313" s="161"/>
      <c r="AT313" s="161"/>
      <c r="AU313" s="161"/>
      <c r="AV313" s="161">
        <f>SUM(AW313:BH313)</f>
      </c>
      <c r="AW313" s="161"/>
      <c r="AX313" s="161"/>
      <c r="AY313" s="161"/>
      <c r="AZ313" s="161"/>
      <c r="BA313" s="161"/>
      <c r="BB313" s="161"/>
      <c r="BC313" s="161"/>
      <c r="BD313" s="161"/>
      <c r="BE313" s="161"/>
      <c r="BF313" s="161"/>
      <c r="BG313" s="161"/>
      <c r="BH313" s="161"/>
      <c r="BI313" s="161"/>
      <c r="BJ313" s="161"/>
      <c r="BK313" s="161"/>
      <c r="BL313" s="161"/>
      <c r="BM313" s="161"/>
      <c r="BN313" s="161"/>
      <c r="BO313" s="161"/>
      <c r="BP313" s="161"/>
      <c r="BQ313" s="161"/>
      <c r="BR313" s="161"/>
      <c r="BS313" s="161">
        <f>SUM(BT313:BV313)</f>
      </c>
      <c r="BT313" s="161"/>
      <c r="BU313" s="161"/>
      <c r="BV313" s="161"/>
      <c r="BW313" s="161">
        <f>SUM(BX313:CC313)</f>
      </c>
      <c r="BX313" s="161"/>
      <c r="BY313" s="161"/>
      <c r="BZ313" s="161"/>
      <c r="CA313" s="161"/>
      <c r="CB313" s="161"/>
      <c r="CC313" s="161"/>
      <c r="CD313" s="161"/>
      <c r="CE313" s="161"/>
      <c r="CF313" s="161"/>
      <c r="CG313" s="161"/>
      <c r="CH313" s="161"/>
      <c r="CI313" s="161"/>
      <c r="CJ313" s="161">
        <f>SUM(CK313:CM313)</f>
      </c>
      <c r="CK313" s="161"/>
      <c r="CL313" s="161"/>
      <c r="CM313" s="161"/>
      <c r="CN313" s="161">
        <f>SUM(CO313:CS313)</f>
      </c>
      <c r="CO313" s="161"/>
      <c r="CP313" s="161"/>
      <c r="CQ313" s="161"/>
      <c r="CR313" s="161"/>
      <c r="CS313" s="161"/>
      <c r="CT313" s="161"/>
      <c r="CU313" s="161"/>
      <c r="CV313" s="161"/>
      <c r="CW313" s="161"/>
      <c r="CX313" s="161"/>
      <c r="CY313" s="161"/>
      <c r="CZ313" s="161"/>
      <c r="DA313" s="161"/>
      <c r="DB313" s="161"/>
      <c r="DC313" s="161"/>
      <c r="DD313" s="161"/>
      <c r="DE313" s="161"/>
      <c r="DF313" s="161">
        <f>SUM(DG313:DG313)</f>
      </c>
      <c r="DG313" s="161"/>
      <c r="DH313" s="161"/>
      <c r="DI313" s="161"/>
      <c r="DJ313" s="161">
        <f>SUM(DK313:DP313)</f>
      </c>
      <c r="DK313" s="161"/>
      <c r="DL313" s="161"/>
      <c r="DM313" s="161"/>
      <c r="DN313" s="161"/>
      <c r="DO313" s="161"/>
      <c r="DP313" s="161"/>
      <c r="DQ313" s="161"/>
      <c r="DR313" s="161"/>
      <c r="DS313" s="161"/>
      <c r="DT313" s="161"/>
      <c r="DU313" s="161"/>
      <c r="DV313" s="161"/>
      <c r="DW313" s="161"/>
      <c r="DX313" s="161"/>
      <c r="DY313" s="161"/>
      <c r="DZ313" s="161"/>
      <c r="EA313" s="161"/>
      <c r="EB313" s="161"/>
      <c r="EC313" s="161"/>
      <c r="ED313" s="161"/>
      <c r="EE313" s="161"/>
      <c r="EF313" s="161">
        <f>SUM(EG313:EP313)</f>
      </c>
      <c r="EG313" s="161"/>
      <c r="EH313" s="161"/>
      <c r="EI313" s="161"/>
      <c r="EJ313" s="161"/>
      <c r="EK313" s="161"/>
      <c r="EL313" s="161"/>
      <c r="EM313" s="161"/>
      <c r="EN313" s="161"/>
      <c r="EO313" s="161"/>
      <c r="EP313" s="161"/>
      <c r="EQ313" s="161">
        <f>SUM(ER313:ES313)</f>
      </c>
      <c r="ER313" s="161"/>
      <c r="ES313" s="161"/>
      <c r="ET313" s="161"/>
      <c r="EU313" s="161"/>
      <c r="EV313" s="161"/>
      <c r="EW313" s="161"/>
      <c r="EX313" s="161"/>
      <c r="EY313" s="161"/>
      <c r="EZ313" s="161"/>
      <c r="FA313" s="161"/>
      <c r="FB313" s="161"/>
      <c r="FC313" s="161"/>
      <c r="FD313" s="161"/>
      <c r="FE313" s="161"/>
      <c r="FF313" s="161"/>
      <c r="FG313" s="161"/>
      <c r="FH313" s="163" cm="1">
        <f t="array" ref="FH313">ROW()-ROW(Ongoing[#Headers])</f>
        <v>307</v>
      </c>
      <c r="FI313" s="164" t="s">
        <v>1243</v>
      </c>
      <c r="FJ313" s="164" t="e">
        <v>#N/A</v>
      </c>
      <c r="FK313" s="164">
        <v>0</v>
      </c>
      <c r="FL313" s="164" t="s">
        <v>1245</v>
      </c>
      <c r="FM313" s="164" t="s">
        <v>1448</v>
      </c>
      <c r="FN313" s="164">
        <v>0</v>
      </c>
      <c r="FO313" s="164">
        <v>0</v>
      </c>
      <c r="FP313" s="164">
        <v>0</v>
      </c>
    </row>
    <row r="314" spans="2:172" s="115" customFormat="1" ht="11.25" x14ac:dyDescent="0.2">
      <c r="B314" s="148"/>
      <c r="C314" s="148"/>
      <c r="D314" s="148"/>
      <c r="E314" s="148"/>
      <c r="F314" s="148"/>
      <c r="G314" s="148"/>
      <c r="H314" s="148"/>
      <c r="I314" s="148"/>
      <c r="J314" s="148"/>
      <c r="K314" s="148"/>
      <c r="L314" s="148"/>
      <c r="M314" s="160"/>
      <c r="N314" s="160"/>
      <c r="O314" s="148"/>
      <c r="P314" s="161">
        <f>SUM(Q314:AP314)</f>
      </c>
      <c r="Q314" s="161"/>
      <c r="R314" s="161"/>
      <c r="S314" s="161"/>
      <c r="T314" s="161"/>
      <c r="U314" s="161"/>
      <c r="V314" s="161"/>
      <c r="W314" s="161"/>
      <c r="X314" s="161"/>
      <c r="Y314" s="161"/>
      <c r="Z314" s="161"/>
      <c r="AA314" s="161"/>
      <c r="AB314" s="161"/>
      <c r="AC314" s="161"/>
      <c r="AD314" s="161"/>
      <c r="AE314" s="161"/>
      <c r="AF314" s="161"/>
      <c r="AG314" s="161"/>
      <c r="AH314" s="161"/>
      <c r="AI314" s="161"/>
      <c r="AJ314" s="161"/>
      <c r="AK314" s="161"/>
      <c r="AL314" s="161"/>
      <c r="AM314" s="161"/>
      <c r="AN314" s="161"/>
      <c r="AO314" s="161"/>
      <c r="AP314" s="161"/>
      <c r="AQ314" s="161">
        <f>SUM(AR314:AU314)</f>
      </c>
      <c r="AR314" s="161"/>
      <c r="AS314" s="161"/>
      <c r="AT314" s="161"/>
      <c r="AU314" s="161"/>
      <c r="AV314" s="161">
        <f>SUM(AW314:BH314)</f>
      </c>
      <c r="AW314" s="161"/>
      <c r="AX314" s="161"/>
      <c r="AY314" s="161"/>
      <c r="AZ314" s="161"/>
      <c r="BA314" s="161"/>
      <c r="BB314" s="161"/>
      <c r="BC314" s="161"/>
      <c r="BD314" s="161"/>
      <c r="BE314" s="161"/>
      <c r="BF314" s="161"/>
      <c r="BG314" s="161"/>
      <c r="BH314" s="161"/>
      <c r="BI314" s="161"/>
      <c r="BJ314" s="161"/>
      <c r="BK314" s="161"/>
      <c r="BL314" s="161"/>
      <c r="BM314" s="161"/>
      <c r="BN314" s="161"/>
      <c r="BO314" s="161"/>
      <c r="BP314" s="161"/>
      <c r="BQ314" s="161"/>
      <c r="BR314" s="161"/>
      <c r="BS314" s="161">
        <f>SUM(BT314:BV314)</f>
      </c>
      <c r="BT314" s="161"/>
      <c r="BU314" s="161"/>
      <c r="BV314" s="161"/>
      <c r="BW314" s="161">
        <f>SUM(BX314:CC314)</f>
      </c>
      <c r="BX314" s="161"/>
      <c r="BY314" s="161"/>
      <c r="BZ314" s="161"/>
      <c r="CA314" s="161"/>
      <c r="CB314" s="161"/>
      <c r="CC314" s="161"/>
      <c r="CD314" s="161"/>
      <c r="CE314" s="161"/>
      <c r="CF314" s="161"/>
      <c r="CG314" s="161"/>
      <c r="CH314" s="161"/>
      <c r="CI314" s="161"/>
      <c r="CJ314" s="161">
        <f>SUM(CK314:CM314)</f>
      </c>
      <c r="CK314" s="161"/>
      <c r="CL314" s="161"/>
      <c r="CM314" s="161"/>
      <c r="CN314" s="161">
        <f>SUM(CO314:CS314)</f>
      </c>
      <c r="CO314" s="161"/>
      <c r="CP314" s="161"/>
      <c r="CQ314" s="161"/>
      <c r="CR314" s="161"/>
      <c r="CS314" s="161"/>
      <c r="CT314" s="161"/>
      <c r="CU314" s="161"/>
      <c r="CV314" s="161"/>
      <c r="CW314" s="161"/>
      <c r="CX314" s="161"/>
      <c r="CY314" s="161"/>
      <c r="CZ314" s="161"/>
      <c r="DA314" s="161"/>
      <c r="DB314" s="161"/>
      <c r="DC314" s="161"/>
      <c r="DD314" s="161"/>
      <c r="DE314" s="161"/>
      <c r="DF314" s="161">
        <f>SUM(DG314:DG314)</f>
      </c>
      <c r="DG314" s="161"/>
      <c r="DH314" s="161"/>
      <c r="DI314" s="161"/>
      <c r="DJ314" s="161">
        <f>SUM(DK314:DP314)</f>
      </c>
      <c r="DK314" s="161"/>
      <c r="DL314" s="161"/>
      <c r="DM314" s="161"/>
      <c r="DN314" s="161"/>
      <c r="DO314" s="161"/>
      <c r="DP314" s="161"/>
      <c r="DQ314" s="161"/>
      <c r="DR314" s="161"/>
      <c r="DS314" s="161"/>
      <c r="DT314" s="161"/>
      <c r="DU314" s="161"/>
      <c r="DV314" s="161"/>
      <c r="DW314" s="161"/>
      <c r="DX314" s="161"/>
      <c r="DY314" s="161"/>
      <c r="DZ314" s="161"/>
      <c r="EA314" s="161"/>
      <c r="EB314" s="161"/>
      <c r="EC314" s="161"/>
      <c r="ED314" s="161"/>
      <c r="EE314" s="161"/>
      <c r="EF314" s="161">
        <f>SUM(EG314:EP314)</f>
      </c>
      <c r="EG314" s="161"/>
      <c r="EH314" s="161"/>
      <c r="EI314" s="161"/>
      <c r="EJ314" s="161"/>
      <c r="EK314" s="161"/>
      <c r="EL314" s="161"/>
      <c r="EM314" s="161"/>
      <c r="EN314" s="161"/>
      <c r="EO314" s="161"/>
      <c r="EP314" s="161"/>
      <c r="EQ314" s="161">
        <f>SUM(ER314:ES314)</f>
      </c>
      <c r="ER314" s="161"/>
      <c r="ES314" s="161"/>
      <c r="ET314" s="161"/>
      <c r="EU314" s="161"/>
      <c r="EV314" s="161"/>
      <c r="EW314" s="161"/>
      <c r="EX314" s="161"/>
      <c r="EY314" s="161"/>
      <c r="EZ314" s="161"/>
      <c r="FA314" s="161"/>
      <c r="FB314" s="161"/>
      <c r="FC314" s="161"/>
      <c r="FD314" s="161"/>
      <c r="FE314" s="161"/>
      <c r="FF314" s="161"/>
      <c r="FG314" s="161"/>
      <c r="FH314" s="163" cm="1">
        <f t="array" ref="FH314">ROW()-ROW(Ongoing[#Headers])</f>
        <v>308</v>
      </c>
      <c r="FI314" s="164" t="e">
        <v>#N/A</v>
      </c>
      <c r="FJ314" s="164" t="e">
        <v>#N/A</v>
      </c>
      <c r="FK314" s="164" t="e">
        <v>#N/A</v>
      </c>
      <c r="FL314" s="164" t="e">
        <v>#N/A</v>
      </c>
      <c r="FM314" s="164" t="e">
        <v>#N/A</v>
      </c>
      <c r="FN314" s="164" t="e">
        <v>#N/A</v>
      </c>
      <c r="FO314" s="164" t="e">
        <v>#N/A</v>
      </c>
      <c r="FP314" s="164" t="e">
        <v>#N/A</v>
      </c>
    </row>
    <row r="315" spans="2:172" s="115" customFormat="1" ht="11.25" x14ac:dyDescent="0.2">
      <c r="B315" s="148"/>
      <c r="C315" s="148"/>
      <c r="D315" s="148"/>
      <c r="E315" s="148"/>
      <c r="F315" s="148"/>
      <c r="G315" s="148"/>
      <c r="H315" s="148"/>
      <c r="I315" s="148"/>
      <c r="J315" s="148"/>
      <c r="K315" s="148"/>
      <c r="L315" s="148"/>
      <c r="M315" s="160"/>
      <c r="N315" s="160"/>
      <c r="O315" s="148"/>
      <c r="P315" s="161">
        <f>SUM(Q315:AP315)</f>
      </c>
      <c r="Q315" s="161"/>
      <c r="R315" s="161"/>
      <c r="S315" s="161"/>
      <c r="T315" s="161"/>
      <c r="U315" s="161"/>
      <c r="V315" s="161"/>
      <c r="W315" s="161"/>
      <c r="X315" s="161"/>
      <c r="Y315" s="161"/>
      <c r="Z315" s="161"/>
      <c r="AA315" s="161"/>
      <c r="AB315" s="161"/>
      <c r="AC315" s="161"/>
      <c r="AD315" s="161"/>
      <c r="AE315" s="161"/>
      <c r="AF315" s="161"/>
      <c r="AG315" s="161"/>
      <c r="AH315" s="161"/>
      <c r="AI315" s="161"/>
      <c r="AJ315" s="161"/>
      <c r="AK315" s="161"/>
      <c r="AL315" s="161"/>
      <c r="AM315" s="161"/>
      <c r="AN315" s="161"/>
      <c r="AO315" s="161"/>
      <c r="AP315" s="161"/>
      <c r="AQ315" s="161">
        <f>SUM(AR315:AU315)</f>
      </c>
      <c r="AR315" s="161"/>
      <c r="AS315" s="161"/>
      <c r="AT315" s="161"/>
      <c r="AU315" s="161"/>
      <c r="AV315" s="161">
        <f>SUM(AW315:BH315)</f>
      </c>
      <c r="AW315" s="161"/>
      <c r="AX315" s="161"/>
      <c r="AY315" s="161"/>
      <c r="AZ315" s="161"/>
      <c r="BA315" s="161"/>
      <c r="BB315" s="161"/>
      <c r="BC315" s="161"/>
      <c r="BD315" s="161"/>
      <c r="BE315" s="161"/>
      <c r="BF315" s="161"/>
      <c r="BG315" s="161"/>
      <c r="BH315" s="161"/>
      <c r="BI315" s="161"/>
      <c r="BJ315" s="161"/>
      <c r="BK315" s="161"/>
      <c r="BL315" s="161"/>
      <c r="BM315" s="161"/>
      <c r="BN315" s="161"/>
      <c r="BO315" s="161"/>
      <c r="BP315" s="161"/>
      <c r="BQ315" s="161"/>
      <c r="BR315" s="161"/>
      <c r="BS315" s="161">
        <f>SUM(BT315:BV315)</f>
      </c>
      <c r="BT315" s="161"/>
      <c r="BU315" s="161"/>
      <c r="BV315" s="161"/>
      <c r="BW315" s="161">
        <f>SUM(BX315:CC315)</f>
      </c>
      <c r="BX315" s="161"/>
      <c r="BY315" s="161"/>
      <c r="BZ315" s="161"/>
      <c r="CA315" s="161"/>
      <c r="CB315" s="161"/>
      <c r="CC315" s="161"/>
      <c r="CD315" s="161"/>
      <c r="CE315" s="161"/>
      <c r="CF315" s="161"/>
      <c r="CG315" s="161"/>
      <c r="CH315" s="161"/>
      <c r="CI315" s="161"/>
      <c r="CJ315" s="161">
        <f>SUM(CK315:CM315)</f>
      </c>
      <c r="CK315" s="161"/>
      <c r="CL315" s="161"/>
      <c r="CM315" s="161"/>
      <c r="CN315" s="161">
        <f>SUM(CO315:CS315)</f>
      </c>
      <c r="CO315" s="161"/>
      <c r="CP315" s="161"/>
      <c r="CQ315" s="161"/>
      <c r="CR315" s="161"/>
      <c r="CS315" s="161"/>
      <c r="CT315" s="161"/>
      <c r="CU315" s="161"/>
      <c r="CV315" s="161"/>
      <c r="CW315" s="161"/>
      <c r="CX315" s="161"/>
      <c r="CY315" s="161"/>
      <c r="CZ315" s="161"/>
      <c r="DA315" s="161"/>
      <c r="DB315" s="161"/>
      <c r="DC315" s="161"/>
      <c r="DD315" s="161"/>
      <c r="DE315" s="161"/>
      <c r="DF315" s="161">
        <f>SUM(DG315:DG315)</f>
      </c>
      <c r="DG315" s="161"/>
      <c r="DH315" s="161"/>
      <c r="DI315" s="161"/>
      <c r="DJ315" s="161">
        <f>SUM(DK315:DP315)</f>
      </c>
      <c r="DK315" s="161"/>
      <c r="DL315" s="161"/>
      <c r="DM315" s="161"/>
      <c r="DN315" s="161"/>
      <c r="DO315" s="161"/>
      <c r="DP315" s="161"/>
      <c r="DQ315" s="161"/>
      <c r="DR315" s="161"/>
      <c r="DS315" s="161"/>
      <c r="DT315" s="161"/>
      <c r="DU315" s="161"/>
      <c r="DV315" s="161"/>
      <c r="DW315" s="161"/>
      <c r="DX315" s="161"/>
      <c r="DY315" s="161"/>
      <c r="DZ315" s="161"/>
      <c r="EA315" s="161"/>
      <c r="EB315" s="161"/>
      <c r="EC315" s="161"/>
      <c r="ED315" s="161"/>
      <c r="EE315" s="161"/>
      <c r="EF315" s="161">
        <f>SUM(EG315:EP315)</f>
      </c>
      <c r="EG315" s="161"/>
      <c r="EH315" s="161"/>
      <c r="EI315" s="161"/>
      <c r="EJ315" s="161"/>
      <c r="EK315" s="161"/>
      <c r="EL315" s="161"/>
      <c r="EM315" s="161"/>
      <c r="EN315" s="161"/>
      <c r="EO315" s="161"/>
      <c r="EP315" s="161"/>
      <c r="EQ315" s="161">
        <f>SUM(ER315:ES315)</f>
      </c>
      <c r="ER315" s="161"/>
      <c r="ES315" s="161"/>
      <c r="ET315" s="161"/>
      <c r="EU315" s="161"/>
      <c r="EV315" s="161"/>
      <c r="EW315" s="161"/>
      <c r="EX315" s="161"/>
      <c r="EY315" s="161"/>
      <c r="EZ315" s="161"/>
      <c r="FA315" s="161"/>
      <c r="FB315" s="161"/>
      <c r="FC315" s="161"/>
      <c r="FD315" s="161"/>
      <c r="FE315" s="161"/>
      <c r="FF315" s="161"/>
      <c r="FG315" s="161"/>
      <c r="FH315" s="163" cm="1">
        <f t="array" ref="FH315">ROW()-ROW(Ongoing[#Headers])</f>
        <v>309</v>
      </c>
      <c r="FI315" s="164" t="e">
        <v>#N/A</v>
      </c>
      <c r="FJ315" s="164" t="e">
        <v>#N/A</v>
      </c>
      <c r="FK315" s="164" t="e">
        <v>#N/A</v>
      </c>
      <c r="FL315" s="164" t="e">
        <v>#N/A</v>
      </c>
      <c r="FM315" s="164" t="e">
        <v>#N/A</v>
      </c>
      <c r="FN315" s="164" t="e">
        <v>#N/A</v>
      </c>
      <c r="FO315" s="164" t="e">
        <v>#N/A</v>
      </c>
      <c r="FP315" s="164" t="e">
        <v>#N/A</v>
      </c>
    </row>
    <row r="316" spans="2:172" s="115" customFormat="1" ht="11.25" x14ac:dyDescent="0.2">
      <c r="B316" s="148"/>
      <c r="C316" s="148"/>
      <c r="D316" s="148"/>
      <c r="E316" s="148"/>
      <c r="F316" s="148"/>
      <c r="G316" s="148"/>
      <c r="H316" s="148"/>
      <c r="I316" s="148"/>
      <c r="J316" s="148"/>
      <c r="K316" s="148"/>
      <c r="L316" s="148"/>
      <c r="M316" s="160"/>
      <c r="N316" s="160"/>
      <c r="O316" s="148"/>
      <c r="P316" s="161">
        <f>SUM(Q316:AP316)</f>
      </c>
      <c r="Q316" s="161"/>
      <c r="R316" s="161"/>
      <c r="S316" s="161"/>
      <c r="T316" s="161"/>
      <c r="U316" s="161"/>
      <c r="V316" s="161"/>
      <c r="W316" s="161"/>
      <c r="X316" s="161"/>
      <c r="Y316" s="161"/>
      <c r="Z316" s="161"/>
      <c r="AA316" s="161"/>
      <c r="AB316" s="161"/>
      <c r="AC316" s="161"/>
      <c r="AD316" s="161"/>
      <c r="AE316" s="161"/>
      <c r="AF316" s="161"/>
      <c r="AG316" s="161"/>
      <c r="AH316" s="161"/>
      <c r="AI316" s="161"/>
      <c r="AJ316" s="161"/>
      <c r="AK316" s="161"/>
      <c r="AL316" s="161"/>
      <c r="AM316" s="161"/>
      <c r="AN316" s="161"/>
      <c r="AO316" s="161"/>
      <c r="AP316" s="161"/>
      <c r="AQ316" s="161">
        <f>SUM(AR316:AU316)</f>
      </c>
      <c r="AR316" s="161"/>
      <c r="AS316" s="161"/>
      <c r="AT316" s="161"/>
      <c r="AU316" s="161"/>
      <c r="AV316" s="161">
        <f>SUM(AW316:BH316)</f>
      </c>
      <c r="AW316" s="161"/>
      <c r="AX316" s="161"/>
      <c r="AY316" s="161"/>
      <c r="AZ316" s="161"/>
      <c r="BA316" s="161"/>
      <c r="BB316" s="161"/>
      <c r="BC316" s="161"/>
      <c r="BD316" s="161"/>
      <c r="BE316" s="161"/>
      <c r="BF316" s="161"/>
      <c r="BG316" s="161"/>
      <c r="BH316" s="161"/>
      <c r="BI316" s="161"/>
      <c r="BJ316" s="161"/>
      <c r="BK316" s="161"/>
      <c r="BL316" s="161"/>
      <c r="BM316" s="161"/>
      <c r="BN316" s="161"/>
      <c r="BO316" s="161"/>
      <c r="BP316" s="161"/>
      <c r="BQ316" s="161"/>
      <c r="BR316" s="161"/>
      <c r="BS316" s="161">
        <f>SUM(BT316:BV316)</f>
      </c>
      <c r="BT316" s="161"/>
      <c r="BU316" s="161"/>
      <c r="BV316" s="161"/>
      <c r="BW316" s="161">
        <f>SUM(BX316:CC316)</f>
      </c>
      <c r="BX316" s="161"/>
      <c r="BY316" s="161"/>
      <c r="BZ316" s="161"/>
      <c r="CA316" s="161"/>
      <c r="CB316" s="161"/>
      <c r="CC316" s="161"/>
      <c r="CD316" s="161"/>
      <c r="CE316" s="161"/>
      <c r="CF316" s="161"/>
      <c r="CG316" s="161"/>
      <c r="CH316" s="161"/>
      <c r="CI316" s="161"/>
      <c r="CJ316" s="161">
        <f>SUM(CK316:CM316)</f>
      </c>
      <c r="CK316" s="161"/>
      <c r="CL316" s="161"/>
      <c r="CM316" s="161"/>
      <c r="CN316" s="161">
        <f>SUM(CO316:CS316)</f>
      </c>
      <c r="CO316" s="161"/>
      <c r="CP316" s="161"/>
      <c r="CQ316" s="161"/>
      <c r="CR316" s="161"/>
      <c r="CS316" s="161"/>
      <c r="CT316" s="161"/>
      <c r="CU316" s="161"/>
      <c r="CV316" s="161"/>
      <c r="CW316" s="161"/>
      <c r="CX316" s="161"/>
      <c r="CY316" s="161"/>
      <c r="CZ316" s="161"/>
      <c r="DA316" s="161"/>
      <c r="DB316" s="161"/>
      <c r="DC316" s="161"/>
      <c r="DD316" s="161"/>
      <c r="DE316" s="161"/>
      <c r="DF316" s="161">
        <f>SUM(DG316:DG316)</f>
      </c>
      <c r="DG316" s="161"/>
      <c r="DH316" s="161"/>
      <c r="DI316" s="161"/>
      <c r="DJ316" s="161">
        <f>SUM(DK316:DP316)</f>
      </c>
      <c r="DK316" s="161"/>
      <c r="DL316" s="161"/>
      <c r="DM316" s="161"/>
      <c r="DN316" s="161"/>
      <c r="DO316" s="161"/>
      <c r="DP316" s="161"/>
      <c r="DQ316" s="161"/>
      <c r="DR316" s="161"/>
      <c r="DS316" s="161"/>
      <c r="DT316" s="161"/>
      <c r="DU316" s="161"/>
      <c r="DV316" s="161"/>
      <c r="DW316" s="161"/>
      <c r="DX316" s="161"/>
      <c r="DY316" s="161"/>
      <c r="DZ316" s="161"/>
      <c r="EA316" s="161"/>
      <c r="EB316" s="161"/>
      <c r="EC316" s="161"/>
      <c r="ED316" s="161"/>
      <c r="EE316" s="161"/>
      <c r="EF316" s="161">
        <f>SUM(EG316:EP316)</f>
      </c>
      <c r="EG316" s="161"/>
      <c r="EH316" s="161"/>
      <c r="EI316" s="161"/>
      <c r="EJ316" s="161"/>
      <c r="EK316" s="161"/>
      <c r="EL316" s="161"/>
      <c r="EM316" s="161"/>
      <c r="EN316" s="161"/>
      <c r="EO316" s="161"/>
      <c r="EP316" s="161"/>
      <c r="EQ316" s="161">
        <f>SUM(ER316:ES316)</f>
      </c>
      <c r="ER316" s="161"/>
      <c r="ES316" s="161"/>
      <c r="ET316" s="161"/>
      <c r="EU316" s="161"/>
      <c r="EV316" s="161"/>
      <c r="EW316" s="161"/>
      <c r="EX316" s="161"/>
      <c r="EY316" s="161"/>
      <c r="EZ316" s="161"/>
      <c r="FA316" s="161"/>
      <c r="FB316" s="161"/>
      <c r="FC316" s="161"/>
      <c r="FD316" s="161"/>
      <c r="FE316" s="161"/>
      <c r="FF316" s="161"/>
      <c r="FG316" s="161"/>
      <c r="FH316" s="163" cm="1">
        <f t="array" ref="FH316">ROW()-ROW(Ongoing[#Headers])</f>
        <v>310</v>
      </c>
      <c r="FI316" s="164" t="e">
        <v>#N/A</v>
      </c>
      <c r="FJ316" s="164" t="e">
        <v>#N/A</v>
      </c>
      <c r="FK316" s="164" t="e">
        <v>#N/A</v>
      </c>
      <c r="FL316" s="164" t="e">
        <v>#N/A</v>
      </c>
      <c r="FM316" s="164" t="e">
        <v>#N/A</v>
      </c>
      <c r="FN316" s="164" t="e">
        <v>#N/A</v>
      </c>
      <c r="FO316" s="164" t="e">
        <v>#N/A</v>
      </c>
      <c r="FP316" s="164" t="e">
        <v>#N/A</v>
      </c>
    </row>
    <row r="317" spans="2:172" s="115" customFormat="1" ht="11.25" x14ac:dyDescent="0.2">
      <c r="B317" s="148"/>
      <c r="C317" s="148"/>
      <c r="D317" s="148"/>
      <c r="E317" s="148"/>
      <c r="F317" s="148"/>
      <c r="G317" s="148"/>
      <c r="H317" s="148"/>
      <c r="I317" s="148"/>
      <c r="J317" s="148"/>
      <c r="K317" s="148"/>
      <c r="L317" s="148"/>
      <c r="M317" s="160"/>
      <c r="N317" s="160"/>
      <c r="O317" s="148"/>
      <c r="P317" s="161">
        <f>SUM(Q317:AP317)</f>
      </c>
      <c r="Q317" s="161"/>
      <c r="R317" s="161"/>
      <c r="S317" s="161"/>
      <c r="T317" s="161"/>
      <c r="U317" s="161"/>
      <c r="V317" s="161"/>
      <c r="W317" s="161"/>
      <c r="X317" s="161"/>
      <c r="Y317" s="161"/>
      <c r="Z317" s="161"/>
      <c r="AA317" s="161"/>
      <c r="AB317" s="161"/>
      <c r="AC317" s="161"/>
      <c r="AD317" s="161"/>
      <c r="AE317" s="161"/>
      <c r="AF317" s="161"/>
      <c r="AG317" s="161"/>
      <c r="AH317" s="161"/>
      <c r="AI317" s="161"/>
      <c r="AJ317" s="161"/>
      <c r="AK317" s="161"/>
      <c r="AL317" s="161"/>
      <c r="AM317" s="161"/>
      <c r="AN317" s="161"/>
      <c r="AO317" s="161"/>
      <c r="AP317" s="161"/>
      <c r="AQ317" s="161">
        <f>SUM(AR317:AU317)</f>
      </c>
      <c r="AR317" s="161"/>
      <c r="AS317" s="161"/>
      <c r="AT317" s="161"/>
      <c r="AU317" s="161"/>
      <c r="AV317" s="161">
        <f>SUM(AW317:BH317)</f>
      </c>
      <c r="AW317" s="161"/>
      <c r="AX317" s="161"/>
      <c r="AY317" s="161"/>
      <c r="AZ317" s="161"/>
      <c r="BA317" s="161"/>
      <c r="BB317" s="161"/>
      <c r="BC317" s="161"/>
      <c r="BD317" s="161"/>
      <c r="BE317" s="161"/>
      <c r="BF317" s="161"/>
      <c r="BG317" s="161"/>
      <c r="BH317" s="161"/>
      <c r="BI317" s="161"/>
      <c r="BJ317" s="161"/>
      <c r="BK317" s="161"/>
      <c r="BL317" s="161"/>
      <c r="BM317" s="161"/>
      <c r="BN317" s="161"/>
      <c r="BO317" s="161"/>
      <c r="BP317" s="161"/>
      <c r="BQ317" s="161"/>
      <c r="BR317" s="161"/>
      <c r="BS317" s="161">
        <f>SUM(BT317:BV317)</f>
      </c>
      <c r="BT317" s="161"/>
      <c r="BU317" s="161"/>
      <c r="BV317" s="161"/>
      <c r="BW317" s="161">
        <f>SUM(BX317:CC317)</f>
      </c>
      <c r="BX317" s="161"/>
      <c r="BY317" s="161"/>
      <c r="BZ317" s="161"/>
      <c r="CA317" s="161"/>
      <c r="CB317" s="161"/>
      <c r="CC317" s="161"/>
      <c r="CD317" s="161"/>
      <c r="CE317" s="161"/>
      <c r="CF317" s="161"/>
      <c r="CG317" s="161"/>
      <c r="CH317" s="161"/>
      <c r="CI317" s="161"/>
      <c r="CJ317" s="161">
        <f>SUM(CK317:CM317)</f>
      </c>
      <c r="CK317" s="161"/>
      <c r="CL317" s="161"/>
      <c r="CM317" s="161"/>
      <c r="CN317" s="161">
        <f>SUM(CO317:CS317)</f>
      </c>
      <c r="CO317" s="161"/>
      <c r="CP317" s="161"/>
      <c r="CQ317" s="161"/>
      <c r="CR317" s="161"/>
      <c r="CS317" s="161"/>
      <c r="CT317" s="161"/>
      <c r="CU317" s="161"/>
      <c r="CV317" s="161"/>
      <c r="CW317" s="161"/>
      <c r="CX317" s="161"/>
      <c r="CY317" s="161"/>
      <c r="CZ317" s="161"/>
      <c r="DA317" s="161"/>
      <c r="DB317" s="161"/>
      <c r="DC317" s="161"/>
      <c r="DD317" s="161"/>
      <c r="DE317" s="161"/>
      <c r="DF317" s="161">
        <f>SUM(DG317:DG317)</f>
      </c>
      <c r="DG317" s="161"/>
      <c r="DH317" s="161"/>
      <c r="DI317" s="161"/>
      <c r="DJ317" s="161">
        <f>SUM(DK317:DP317)</f>
      </c>
      <c r="DK317" s="161"/>
      <c r="DL317" s="161"/>
      <c r="DM317" s="161"/>
      <c r="DN317" s="161"/>
      <c r="DO317" s="161"/>
      <c r="DP317" s="161"/>
      <c r="DQ317" s="161"/>
      <c r="DR317" s="161"/>
      <c r="DS317" s="161"/>
      <c r="DT317" s="161"/>
      <c r="DU317" s="161"/>
      <c r="DV317" s="161"/>
      <c r="DW317" s="161"/>
      <c r="DX317" s="161"/>
      <c r="DY317" s="161"/>
      <c r="DZ317" s="161"/>
      <c r="EA317" s="161"/>
      <c r="EB317" s="161"/>
      <c r="EC317" s="161"/>
      <c r="ED317" s="161"/>
      <c r="EE317" s="161"/>
      <c r="EF317" s="161">
        <f>SUM(EG317:EP317)</f>
      </c>
      <c r="EG317" s="161"/>
      <c r="EH317" s="161"/>
      <c r="EI317" s="161"/>
      <c r="EJ317" s="161"/>
      <c r="EK317" s="161"/>
      <c r="EL317" s="161"/>
      <c r="EM317" s="161"/>
      <c r="EN317" s="161"/>
      <c r="EO317" s="161"/>
      <c r="EP317" s="161"/>
      <c r="EQ317" s="161">
        <f>SUM(ER317:ES317)</f>
      </c>
      <c r="ER317" s="161"/>
      <c r="ES317" s="161"/>
      <c r="ET317" s="161"/>
      <c r="EU317" s="161"/>
      <c r="EV317" s="161"/>
      <c r="EW317" s="161"/>
      <c r="EX317" s="161"/>
      <c r="EY317" s="161"/>
      <c r="EZ317" s="161"/>
      <c r="FA317" s="161"/>
      <c r="FB317" s="161"/>
      <c r="FC317" s="161"/>
      <c r="FD317" s="161"/>
      <c r="FE317" s="161"/>
      <c r="FF317" s="161"/>
      <c r="FG317" s="161"/>
      <c r="FH317" s="163" cm="1">
        <f t="array" ref="FH317">ROW()-ROW(Ongoing[#Headers])</f>
        <v>311</v>
      </c>
      <c r="FI317" s="164" t="e">
        <v>#N/A</v>
      </c>
      <c r="FJ317" s="164" t="e">
        <v>#N/A</v>
      </c>
      <c r="FK317" s="164" t="e">
        <v>#N/A</v>
      </c>
      <c r="FL317" s="164" t="e">
        <v>#N/A</v>
      </c>
      <c r="FM317" s="164" t="e">
        <v>#N/A</v>
      </c>
      <c r="FN317" s="164" t="e">
        <v>#N/A</v>
      </c>
      <c r="FO317" s="164" t="e">
        <v>#N/A</v>
      </c>
      <c r="FP317" s="164" t="e">
        <v>#N/A</v>
      </c>
    </row>
    <row r="318" spans="2:172" s="115" customFormat="1" ht="11.25" x14ac:dyDescent="0.2">
      <c r="B318" s="148"/>
      <c r="C318" s="148"/>
      <c r="D318" s="148"/>
      <c r="E318" s="148"/>
      <c r="F318" s="148"/>
      <c r="G318" s="148"/>
      <c r="H318" s="148"/>
      <c r="I318" s="148"/>
      <c r="J318" s="148"/>
      <c r="K318" s="148"/>
      <c r="L318" s="148"/>
      <c r="M318" s="160"/>
      <c r="N318" s="160"/>
      <c r="O318" s="148"/>
      <c r="P318" s="161">
        <f>SUM(Q318:AP318)</f>
      </c>
      <c r="Q318" s="161"/>
      <c r="R318" s="161"/>
      <c r="S318" s="161"/>
      <c r="T318" s="161"/>
      <c r="U318" s="161"/>
      <c r="V318" s="161"/>
      <c r="W318" s="161"/>
      <c r="X318" s="161"/>
      <c r="Y318" s="161"/>
      <c r="Z318" s="161"/>
      <c r="AA318" s="161"/>
      <c r="AB318" s="161"/>
      <c r="AC318" s="161"/>
      <c r="AD318" s="161"/>
      <c r="AE318" s="161"/>
      <c r="AF318" s="161"/>
      <c r="AG318" s="161"/>
      <c r="AH318" s="161"/>
      <c r="AI318" s="161"/>
      <c r="AJ318" s="161"/>
      <c r="AK318" s="161"/>
      <c r="AL318" s="161"/>
      <c r="AM318" s="161"/>
      <c r="AN318" s="161"/>
      <c r="AO318" s="161"/>
      <c r="AP318" s="161"/>
      <c r="AQ318" s="161">
        <f>SUM(AR318:AU318)</f>
      </c>
      <c r="AR318" s="161"/>
      <c r="AS318" s="161"/>
      <c r="AT318" s="161"/>
      <c r="AU318" s="161"/>
      <c r="AV318" s="161">
        <f>SUM(AW318:BH318)</f>
      </c>
      <c r="AW318" s="161"/>
      <c r="AX318" s="161"/>
      <c r="AY318" s="161"/>
      <c r="AZ318" s="161"/>
      <c r="BA318" s="161"/>
      <c r="BB318" s="161"/>
      <c r="BC318" s="161"/>
      <c r="BD318" s="161"/>
      <c r="BE318" s="161"/>
      <c r="BF318" s="161"/>
      <c r="BG318" s="161"/>
      <c r="BH318" s="161"/>
      <c r="BI318" s="161"/>
      <c r="BJ318" s="161"/>
      <c r="BK318" s="161"/>
      <c r="BL318" s="161"/>
      <c r="BM318" s="161"/>
      <c r="BN318" s="161"/>
      <c r="BO318" s="161"/>
      <c r="BP318" s="161"/>
      <c r="BQ318" s="161"/>
      <c r="BR318" s="161"/>
      <c r="BS318" s="161">
        <f>SUM(BT318:BV318)</f>
      </c>
      <c r="BT318" s="161"/>
      <c r="BU318" s="161"/>
      <c r="BV318" s="161"/>
      <c r="BW318" s="161">
        <f>SUM(BX318:CC318)</f>
      </c>
      <c r="BX318" s="161"/>
      <c r="BY318" s="161"/>
      <c r="BZ318" s="161"/>
      <c r="CA318" s="161"/>
      <c r="CB318" s="161"/>
      <c r="CC318" s="161"/>
      <c r="CD318" s="161"/>
      <c r="CE318" s="161"/>
      <c r="CF318" s="161"/>
      <c r="CG318" s="161"/>
      <c r="CH318" s="161"/>
      <c r="CI318" s="161"/>
      <c r="CJ318" s="161">
        <f>SUM(CK318:CM318)</f>
      </c>
      <c r="CK318" s="161"/>
      <c r="CL318" s="161"/>
      <c r="CM318" s="161"/>
      <c r="CN318" s="161">
        <f>SUM(CO318:CS318)</f>
      </c>
      <c r="CO318" s="161"/>
      <c r="CP318" s="161"/>
      <c r="CQ318" s="161"/>
      <c r="CR318" s="161"/>
      <c r="CS318" s="161"/>
      <c r="CT318" s="161"/>
      <c r="CU318" s="161"/>
      <c r="CV318" s="161"/>
      <c r="CW318" s="161"/>
      <c r="CX318" s="161"/>
      <c r="CY318" s="161"/>
      <c r="CZ318" s="161"/>
      <c r="DA318" s="161"/>
      <c r="DB318" s="161"/>
      <c r="DC318" s="161"/>
      <c r="DD318" s="161"/>
      <c r="DE318" s="161"/>
      <c r="DF318" s="161">
        <f>SUM(DG318:DG318)</f>
      </c>
      <c r="DG318" s="161"/>
      <c r="DH318" s="161"/>
      <c r="DI318" s="161"/>
      <c r="DJ318" s="161">
        <f>SUM(DK318:DP318)</f>
      </c>
      <c r="DK318" s="161"/>
      <c r="DL318" s="161"/>
      <c r="DM318" s="161"/>
      <c r="DN318" s="161"/>
      <c r="DO318" s="161"/>
      <c r="DP318" s="161"/>
      <c r="DQ318" s="161"/>
      <c r="DR318" s="161"/>
      <c r="DS318" s="161"/>
      <c r="DT318" s="161"/>
      <c r="DU318" s="161"/>
      <c r="DV318" s="161"/>
      <c r="DW318" s="161"/>
      <c r="DX318" s="161"/>
      <c r="DY318" s="161"/>
      <c r="DZ318" s="161"/>
      <c r="EA318" s="161"/>
      <c r="EB318" s="161"/>
      <c r="EC318" s="161"/>
      <c r="ED318" s="161"/>
      <c r="EE318" s="161"/>
      <c r="EF318" s="161">
        <f>SUM(EG318:EP318)</f>
      </c>
      <c r="EG318" s="161"/>
      <c r="EH318" s="161"/>
      <c r="EI318" s="161"/>
      <c r="EJ318" s="161"/>
      <c r="EK318" s="161"/>
      <c r="EL318" s="161"/>
      <c r="EM318" s="161"/>
      <c r="EN318" s="161"/>
      <c r="EO318" s="161"/>
      <c r="EP318" s="161"/>
      <c r="EQ318" s="161">
        <f>SUM(ER318:ES318)</f>
      </c>
      <c r="ER318" s="161"/>
      <c r="ES318" s="161"/>
      <c r="ET318" s="161"/>
      <c r="EU318" s="161"/>
      <c r="EV318" s="161"/>
      <c r="EW318" s="161"/>
      <c r="EX318" s="161"/>
      <c r="EY318" s="161"/>
      <c r="EZ318" s="161"/>
      <c r="FA318" s="161"/>
      <c r="FB318" s="161"/>
      <c r="FC318" s="161"/>
      <c r="FD318" s="161"/>
      <c r="FE318" s="161"/>
      <c r="FF318" s="161"/>
      <c r="FG318" s="161"/>
      <c r="FH318" s="163" cm="1">
        <f t="array" ref="FH318">ROW()-ROW(Ongoing[#Headers])</f>
        <v>312</v>
      </c>
      <c r="FI318" s="164" t="e">
        <v>#N/A</v>
      </c>
      <c r="FJ318" s="164" t="e">
        <v>#N/A</v>
      </c>
      <c r="FK318" s="164" t="e">
        <v>#N/A</v>
      </c>
      <c r="FL318" s="164" t="e">
        <v>#N/A</v>
      </c>
      <c r="FM318" s="164" t="e">
        <v>#N/A</v>
      </c>
      <c r="FN318" s="164" t="e">
        <v>#N/A</v>
      </c>
      <c r="FO318" s="164" t="e">
        <v>#N/A</v>
      </c>
      <c r="FP318" s="164" t="e">
        <v>#N/A</v>
      </c>
    </row>
    <row r="319" spans="2:172" s="115" customFormat="1" ht="11.25" x14ac:dyDescent="0.2">
      <c r="B319" s="148"/>
      <c r="C319" s="148"/>
      <c r="D319" s="148"/>
      <c r="E319" s="148"/>
      <c r="F319" s="148"/>
      <c r="G319" s="148"/>
      <c r="H319" s="148"/>
      <c r="I319" s="148"/>
      <c r="J319" s="148"/>
      <c r="K319" s="148"/>
      <c r="L319" s="148"/>
      <c r="M319" s="160"/>
      <c r="N319" s="160"/>
      <c r="O319" s="148"/>
      <c r="P319" s="161">
        <f>SUM(Q319:AP319)</f>
      </c>
      <c r="Q319" s="161"/>
      <c r="R319" s="161"/>
      <c r="S319" s="161"/>
      <c r="T319" s="161"/>
      <c r="U319" s="161"/>
      <c r="V319" s="161"/>
      <c r="W319" s="161"/>
      <c r="X319" s="161"/>
      <c r="Y319" s="161"/>
      <c r="Z319" s="161"/>
      <c r="AA319" s="161"/>
      <c r="AB319" s="161"/>
      <c r="AC319" s="161"/>
      <c r="AD319" s="161"/>
      <c r="AE319" s="161"/>
      <c r="AF319" s="161"/>
      <c r="AG319" s="161"/>
      <c r="AH319" s="161"/>
      <c r="AI319" s="161"/>
      <c r="AJ319" s="161"/>
      <c r="AK319" s="161"/>
      <c r="AL319" s="161"/>
      <c r="AM319" s="161"/>
      <c r="AN319" s="161"/>
      <c r="AO319" s="161"/>
      <c r="AP319" s="161"/>
      <c r="AQ319" s="161">
        <f>SUM(AR319:AU319)</f>
      </c>
      <c r="AR319" s="161"/>
      <c r="AS319" s="161"/>
      <c r="AT319" s="161"/>
      <c r="AU319" s="161"/>
      <c r="AV319" s="161">
        <f>SUM(AW319:BH319)</f>
      </c>
      <c r="AW319" s="161"/>
      <c r="AX319" s="161"/>
      <c r="AY319" s="161"/>
      <c r="AZ319" s="161"/>
      <c r="BA319" s="161"/>
      <c r="BB319" s="161"/>
      <c r="BC319" s="161"/>
      <c r="BD319" s="161"/>
      <c r="BE319" s="161"/>
      <c r="BF319" s="161"/>
      <c r="BG319" s="161"/>
      <c r="BH319" s="161"/>
      <c r="BI319" s="161"/>
      <c r="BJ319" s="161"/>
      <c r="BK319" s="161"/>
      <c r="BL319" s="161"/>
      <c r="BM319" s="161"/>
      <c r="BN319" s="161"/>
      <c r="BO319" s="161"/>
      <c r="BP319" s="161"/>
      <c r="BQ319" s="161"/>
      <c r="BR319" s="161"/>
      <c r="BS319" s="161">
        <f>SUM(BT319:BV319)</f>
      </c>
      <c r="BT319" s="161"/>
      <c r="BU319" s="161"/>
      <c r="BV319" s="161"/>
      <c r="BW319" s="161">
        <f>SUM(BX319:CC319)</f>
      </c>
      <c r="BX319" s="161"/>
      <c r="BY319" s="161"/>
      <c r="BZ319" s="161"/>
      <c r="CA319" s="161"/>
      <c r="CB319" s="161"/>
      <c r="CC319" s="161"/>
      <c r="CD319" s="161"/>
      <c r="CE319" s="161"/>
      <c r="CF319" s="161"/>
      <c r="CG319" s="161"/>
      <c r="CH319" s="161"/>
      <c r="CI319" s="161"/>
      <c r="CJ319" s="161">
        <f>SUM(CK319:CM319)</f>
      </c>
      <c r="CK319" s="161"/>
      <c r="CL319" s="161"/>
      <c r="CM319" s="161"/>
      <c r="CN319" s="161">
        <f>SUM(CO319:CS319)</f>
      </c>
      <c r="CO319" s="161"/>
      <c r="CP319" s="161"/>
      <c r="CQ319" s="161"/>
      <c r="CR319" s="161"/>
      <c r="CS319" s="161"/>
      <c r="CT319" s="161"/>
      <c r="CU319" s="161"/>
      <c r="CV319" s="161"/>
      <c r="CW319" s="161"/>
      <c r="CX319" s="161"/>
      <c r="CY319" s="161"/>
      <c r="CZ319" s="161"/>
      <c r="DA319" s="161"/>
      <c r="DB319" s="161"/>
      <c r="DC319" s="161"/>
      <c r="DD319" s="161"/>
      <c r="DE319" s="161"/>
      <c r="DF319" s="161">
        <f>SUM(DG319:DG319)</f>
      </c>
      <c r="DG319" s="161"/>
      <c r="DH319" s="161"/>
      <c r="DI319" s="161"/>
      <c r="DJ319" s="161">
        <f>SUM(DK319:DP319)</f>
      </c>
      <c r="DK319" s="161"/>
      <c r="DL319" s="161"/>
      <c r="DM319" s="161"/>
      <c r="DN319" s="161"/>
      <c r="DO319" s="161"/>
      <c r="DP319" s="161"/>
      <c r="DQ319" s="161"/>
      <c r="DR319" s="161"/>
      <c r="DS319" s="161"/>
      <c r="DT319" s="161"/>
      <c r="DU319" s="161"/>
      <c r="DV319" s="161"/>
      <c r="DW319" s="161"/>
      <c r="DX319" s="161"/>
      <c r="DY319" s="161"/>
      <c r="DZ319" s="161"/>
      <c r="EA319" s="161"/>
      <c r="EB319" s="161"/>
      <c r="EC319" s="161"/>
      <c r="ED319" s="161"/>
      <c r="EE319" s="161"/>
      <c r="EF319" s="161">
        <f>SUM(EG319:EP319)</f>
      </c>
      <c r="EG319" s="161"/>
      <c r="EH319" s="161"/>
      <c r="EI319" s="161"/>
      <c r="EJ319" s="161"/>
      <c r="EK319" s="161"/>
      <c r="EL319" s="161"/>
      <c r="EM319" s="161"/>
      <c r="EN319" s="161"/>
      <c r="EO319" s="161"/>
      <c r="EP319" s="161"/>
      <c r="EQ319" s="161">
        <f>SUM(ER319:ES319)</f>
      </c>
      <c r="ER319" s="161"/>
      <c r="ES319" s="161"/>
      <c r="ET319" s="161"/>
      <c r="EU319" s="161"/>
      <c r="EV319" s="161"/>
      <c r="EW319" s="161"/>
      <c r="EX319" s="161"/>
      <c r="EY319" s="161"/>
      <c r="EZ319" s="161"/>
      <c r="FA319" s="161"/>
      <c r="FB319" s="161"/>
      <c r="FC319" s="161"/>
      <c r="FD319" s="161"/>
      <c r="FE319" s="161"/>
      <c r="FF319" s="161"/>
      <c r="FG319" s="161"/>
      <c r="FH319" s="163" cm="1">
        <f t="array" ref="FH319">ROW()-ROW(Ongoing[#Headers])</f>
        <v>313</v>
      </c>
      <c r="FI319" s="164" t="e">
        <v>#N/A</v>
      </c>
      <c r="FJ319" s="164" t="e">
        <v>#N/A</v>
      </c>
      <c r="FK319" s="164" t="e">
        <v>#N/A</v>
      </c>
      <c r="FL319" s="164" t="e">
        <v>#N/A</v>
      </c>
      <c r="FM319" s="164" t="e">
        <v>#N/A</v>
      </c>
      <c r="FN319" s="164" t="e">
        <v>#N/A</v>
      </c>
      <c r="FO319" s="164" t="e">
        <v>#N/A</v>
      </c>
      <c r="FP319" s="164" t="e">
        <v>#N/A</v>
      </c>
    </row>
    <row r="320" spans="2:172" s="115" customFormat="1" ht="11.25" x14ac:dyDescent="0.2">
      <c r="B320" s="148"/>
      <c r="C320" s="148"/>
      <c r="D320" s="148"/>
      <c r="E320" s="148"/>
      <c r="F320" s="148"/>
      <c r="G320" s="148"/>
      <c r="H320" s="148"/>
      <c r="I320" s="148"/>
      <c r="J320" s="148"/>
      <c r="K320" s="148"/>
      <c r="L320" s="148"/>
      <c r="M320" s="160"/>
      <c r="N320" s="160"/>
      <c r="O320" s="148"/>
      <c r="P320" s="161">
        <f>SUM(Q320:AP320)</f>
      </c>
      <c r="Q320" s="161"/>
      <c r="R320" s="161"/>
      <c r="S320" s="161"/>
      <c r="T320" s="161"/>
      <c r="U320" s="161"/>
      <c r="V320" s="161"/>
      <c r="W320" s="161"/>
      <c r="X320" s="161"/>
      <c r="Y320" s="161"/>
      <c r="Z320" s="161"/>
      <c r="AA320" s="161"/>
      <c r="AB320" s="161"/>
      <c r="AC320" s="161"/>
      <c r="AD320" s="161"/>
      <c r="AE320" s="161"/>
      <c r="AF320" s="161"/>
      <c r="AG320" s="161"/>
      <c r="AH320" s="161"/>
      <c r="AI320" s="161"/>
      <c r="AJ320" s="161"/>
      <c r="AK320" s="161"/>
      <c r="AL320" s="161"/>
      <c r="AM320" s="161"/>
      <c r="AN320" s="161"/>
      <c r="AO320" s="161"/>
      <c r="AP320" s="161"/>
      <c r="AQ320" s="161">
        <f>SUM(AR320:AU320)</f>
      </c>
      <c r="AR320" s="161"/>
      <c r="AS320" s="161"/>
      <c r="AT320" s="161"/>
      <c r="AU320" s="161"/>
      <c r="AV320" s="161">
        <f>SUM(AW320:BH320)</f>
      </c>
      <c r="AW320" s="161"/>
      <c r="AX320" s="161"/>
      <c r="AY320" s="161"/>
      <c r="AZ320" s="161"/>
      <c r="BA320" s="161"/>
      <c r="BB320" s="161"/>
      <c r="BC320" s="161"/>
      <c r="BD320" s="161"/>
      <c r="BE320" s="161"/>
      <c r="BF320" s="161"/>
      <c r="BG320" s="161"/>
      <c r="BH320" s="161"/>
      <c r="BI320" s="161"/>
      <c r="BJ320" s="161"/>
      <c r="BK320" s="161"/>
      <c r="BL320" s="161"/>
      <c r="BM320" s="161"/>
      <c r="BN320" s="161"/>
      <c r="BO320" s="161"/>
      <c r="BP320" s="161"/>
      <c r="BQ320" s="161"/>
      <c r="BR320" s="161"/>
      <c r="BS320" s="161">
        <f>SUM(BT320:BV320)</f>
      </c>
      <c r="BT320" s="161"/>
      <c r="BU320" s="161"/>
      <c r="BV320" s="161"/>
      <c r="BW320" s="161">
        <f>SUM(BX320:CC320)</f>
      </c>
      <c r="BX320" s="161"/>
      <c r="BY320" s="161"/>
      <c r="BZ320" s="161"/>
      <c r="CA320" s="161"/>
      <c r="CB320" s="161"/>
      <c r="CC320" s="161"/>
      <c r="CD320" s="161"/>
      <c r="CE320" s="161"/>
      <c r="CF320" s="161"/>
      <c r="CG320" s="161"/>
      <c r="CH320" s="161"/>
      <c r="CI320" s="161"/>
      <c r="CJ320" s="161">
        <f>SUM(CK320:CM320)</f>
      </c>
      <c r="CK320" s="161"/>
      <c r="CL320" s="161"/>
      <c r="CM320" s="161"/>
      <c r="CN320" s="161">
        <f>SUM(CO320:CS320)</f>
      </c>
      <c r="CO320" s="161"/>
      <c r="CP320" s="161"/>
      <c r="CQ320" s="161"/>
      <c r="CR320" s="161"/>
      <c r="CS320" s="161"/>
      <c r="CT320" s="161"/>
      <c r="CU320" s="161"/>
      <c r="CV320" s="161"/>
      <c r="CW320" s="161"/>
      <c r="CX320" s="161"/>
      <c r="CY320" s="161"/>
      <c r="CZ320" s="161"/>
      <c r="DA320" s="161"/>
      <c r="DB320" s="161"/>
      <c r="DC320" s="161"/>
      <c r="DD320" s="161"/>
      <c r="DE320" s="161"/>
      <c r="DF320" s="161">
        <f>SUM(DG320:DG320)</f>
      </c>
      <c r="DG320" s="161"/>
      <c r="DH320" s="161"/>
      <c r="DI320" s="161"/>
      <c r="DJ320" s="161">
        <f>SUM(DK320:DP320)</f>
      </c>
      <c r="DK320" s="161"/>
      <c r="DL320" s="161"/>
      <c r="DM320" s="161"/>
      <c r="DN320" s="161"/>
      <c r="DO320" s="161"/>
      <c r="DP320" s="161"/>
      <c r="DQ320" s="161"/>
      <c r="DR320" s="161"/>
      <c r="DS320" s="161"/>
      <c r="DT320" s="161"/>
      <c r="DU320" s="161"/>
      <c r="DV320" s="161"/>
      <c r="DW320" s="161"/>
      <c r="DX320" s="161"/>
      <c r="DY320" s="161"/>
      <c r="DZ320" s="161"/>
      <c r="EA320" s="161"/>
      <c r="EB320" s="161"/>
      <c r="EC320" s="161"/>
      <c r="ED320" s="161"/>
      <c r="EE320" s="161"/>
      <c r="EF320" s="161">
        <f>SUM(EG320:EP320)</f>
      </c>
      <c r="EG320" s="161"/>
      <c r="EH320" s="161"/>
      <c r="EI320" s="161"/>
      <c r="EJ320" s="161"/>
      <c r="EK320" s="161"/>
      <c r="EL320" s="161"/>
      <c r="EM320" s="161"/>
      <c r="EN320" s="161"/>
      <c r="EO320" s="161"/>
      <c r="EP320" s="161"/>
      <c r="EQ320" s="161">
        <f>SUM(ER320:ES320)</f>
      </c>
      <c r="ER320" s="161"/>
      <c r="ES320" s="161"/>
      <c r="ET320" s="161"/>
      <c r="EU320" s="161"/>
      <c r="EV320" s="161"/>
      <c r="EW320" s="161"/>
      <c r="EX320" s="161"/>
      <c r="EY320" s="161"/>
      <c r="EZ320" s="161"/>
      <c r="FA320" s="161"/>
      <c r="FB320" s="161"/>
      <c r="FC320" s="161"/>
      <c r="FD320" s="161"/>
      <c r="FE320" s="161"/>
      <c r="FF320" s="161"/>
      <c r="FG320" s="161"/>
      <c r="FH320" s="163" cm="1">
        <f t="array" ref="FH320">ROW()-ROW(Ongoing[#Headers])</f>
        <v>314</v>
      </c>
      <c r="FI320" s="164" t="e">
        <v>#N/A</v>
      </c>
      <c r="FJ320" s="164" t="e">
        <v>#N/A</v>
      </c>
      <c r="FK320" s="164" t="e">
        <v>#N/A</v>
      </c>
      <c r="FL320" s="164" t="e">
        <v>#N/A</v>
      </c>
      <c r="FM320" s="164" t="e">
        <v>#N/A</v>
      </c>
      <c r="FN320" s="164" t="e">
        <v>#N/A</v>
      </c>
      <c r="FO320" s="164" t="e">
        <v>#N/A</v>
      </c>
      <c r="FP320" s="164" t="e">
        <v>#N/A</v>
      </c>
    </row>
    <row r="321" spans="2:172" s="115" customFormat="1" ht="11.25" x14ac:dyDescent="0.2">
      <c r="B321" s="148"/>
      <c r="C321" s="148"/>
      <c r="D321" s="148"/>
      <c r="E321" s="148"/>
      <c r="F321" s="148"/>
      <c r="G321" s="148"/>
      <c r="H321" s="148"/>
      <c r="I321" s="148"/>
      <c r="J321" s="148"/>
      <c r="K321" s="148"/>
      <c r="L321" s="148"/>
      <c r="M321" s="160"/>
      <c r="N321" s="160"/>
      <c r="O321" s="148"/>
      <c r="P321" s="161">
        <f>SUM(Q321:AP321)</f>
      </c>
      <c r="Q321" s="161"/>
      <c r="R321" s="161"/>
      <c r="S321" s="161"/>
      <c r="T321" s="161"/>
      <c r="U321" s="161"/>
      <c r="V321" s="161"/>
      <c r="W321" s="161"/>
      <c r="X321" s="161"/>
      <c r="Y321" s="161"/>
      <c r="Z321" s="161"/>
      <c r="AA321" s="161"/>
      <c r="AB321" s="161"/>
      <c r="AC321" s="161"/>
      <c r="AD321" s="161"/>
      <c r="AE321" s="161"/>
      <c r="AF321" s="161"/>
      <c r="AG321" s="161"/>
      <c r="AH321" s="161"/>
      <c r="AI321" s="161"/>
      <c r="AJ321" s="161"/>
      <c r="AK321" s="161"/>
      <c r="AL321" s="161"/>
      <c r="AM321" s="161"/>
      <c r="AN321" s="161"/>
      <c r="AO321" s="161"/>
      <c r="AP321" s="161"/>
      <c r="AQ321" s="161">
        <f>SUM(AR321:AU321)</f>
      </c>
      <c r="AR321" s="161"/>
      <c r="AS321" s="161"/>
      <c r="AT321" s="161"/>
      <c r="AU321" s="161"/>
      <c r="AV321" s="161">
        <f>SUM(AW321:BH321)</f>
      </c>
      <c r="AW321" s="161"/>
      <c r="AX321" s="161"/>
      <c r="AY321" s="161"/>
      <c r="AZ321" s="161"/>
      <c r="BA321" s="161"/>
      <c r="BB321" s="161"/>
      <c r="BC321" s="161"/>
      <c r="BD321" s="161"/>
      <c r="BE321" s="161"/>
      <c r="BF321" s="161"/>
      <c r="BG321" s="161"/>
      <c r="BH321" s="161"/>
      <c r="BI321" s="161"/>
      <c r="BJ321" s="161"/>
      <c r="BK321" s="161"/>
      <c r="BL321" s="161"/>
      <c r="BM321" s="161"/>
      <c r="BN321" s="161"/>
      <c r="BO321" s="161"/>
      <c r="BP321" s="161"/>
      <c r="BQ321" s="161"/>
      <c r="BR321" s="161"/>
      <c r="BS321" s="161">
        <f>SUM(BT321:BV321)</f>
      </c>
      <c r="BT321" s="161"/>
      <c r="BU321" s="161"/>
      <c r="BV321" s="161"/>
      <c r="BW321" s="161">
        <f>SUM(BX321:CC321)</f>
      </c>
      <c r="BX321" s="161"/>
      <c r="BY321" s="161"/>
      <c r="BZ321" s="161"/>
      <c r="CA321" s="161"/>
      <c r="CB321" s="161"/>
      <c r="CC321" s="161"/>
      <c r="CD321" s="161"/>
      <c r="CE321" s="161"/>
      <c r="CF321" s="161"/>
      <c r="CG321" s="161"/>
      <c r="CH321" s="161"/>
      <c r="CI321" s="161"/>
      <c r="CJ321" s="161">
        <f>SUM(CK321:CM321)</f>
      </c>
      <c r="CK321" s="161"/>
      <c r="CL321" s="161"/>
      <c r="CM321" s="161"/>
      <c r="CN321" s="161">
        <f>SUM(CO321:CS321)</f>
      </c>
      <c r="CO321" s="161"/>
      <c r="CP321" s="161"/>
      <c r="CQ321" s="161"/>
      <c r="CR321" s="161"/>
      <c r="CS321" s="161"/>
      <c r="CT321" s="161"/>
      <c r="CU321" s="161"/>
      <c r="CV321" s="161"/>
      <c r="CW321" s="161"/>
      <c r="CX321" s="161"/>
      <c r="CY321" s="161"/>
      <c r="CZ321" s="161"/>
      <c r="DA321" s="161"/>
      <c r="DB321" s="161"/>
      <c r="DC321" s="161"/>
      <c r="DD321" s="161"/>
      <c r="DE321" s="161"/>
      <c r="DF321" s="161">
        <f>SUM(DG321:DG321)</f>
      </c>
      <c r="DG321" s="161"/>
      <c r="DH321" s="161"/>
      <c r="DI321" s="161"/>
      <c r="DJ321" s="161">
        <f>SUM(DK321:DP321)</f>
      </c>
      <c r="DK321" s="161"/>
      <c r="DL321" s="161"/>
      <c r="DM321" s="161"/>
      <c r="DN321" s="161"/>
      <c r="DO321" s="161"/>
      <c r="DP321" s="161"/>
      <c r="DQ321" s="161"/>
      <c r="DR321" s="161"/>
      <c r="DS321" s="161"/>
      <c r="DT321" s="161"/>
      <c r="DU321" s="161"/>
      <c r="DV321" s="161"/>
      <c r="DW321" s="161"/>
      <c r="DX321" s="161"/>
      <c r="DY321" s="161"/>
      <c r="DZ321" s="161"/>
      <c r="EA321" s="161"/>
      <c r="EB321" s="161"/>
      <c r="EC321" s="161"/>
      <c r="ED321" s="161"/>
      <c r="EE321" s="161"/>
      <c r="EF321" s="161">
        <f>SUM(EG321:EP321)</f>
      </c>
      <c r="EG321" s="161"/>
      <c r="EH321" s="161"/>
      <c r="EI321" s="161"/>
      <c r="EJ321" s="161"/>
      <c r="EK321" s="161"/>
      <c r="EL321" s="161"/>
      <c r="EM321" s="161"/>
      <c r="EN321" s="161"/>
      <c r="EO321" s="161"/>
      <c r="EP321" s="161"/>
      <c r="EQ321" s="161">
        <f>SUM(ER321:ES321)</f>
      </c>
      <c r="ER321" s="161"/>
      <c r="ES321" s="161"/>
      <c r="ET321" s="161"/>
      <c r="EU321" s="161"/>
      <c r="EV321" s="161"/>
      <c r="EW321" s="161"/>
      <c r="EX321" s="161"/>
      <c r="EY321" s="161"/>
      <c r="EZ321" s="161"/>
      <c r="FA321" s="161"/>
      <c r="FB321" s="161"/>
      <c r="FC321" s="161"/>
      <c r="FD321" s="161"/>
      <c r="FE321" s="161"/>
      <c r="FF321" s="161"/>
      <c r="FG321" s="161"/>
      <c r="FH321" s="163" cm="1">
        <f t="array" ref="FH321">ROW()-ROW(Ongoing[#Headers])</f>
        <v>315</v>
      </c>
      <c r="FI321" s="164" t="e">
        <v>#N/A</v>
      </c>
      <c r="FJ321" s="164" t="e">
        <v>#N/A</v>
      </c>
      <c r="FK321" s="164" t="e">
        <v>#N/A</v>
      </c>
      <c r="FL321" s="164" t="e">
        <v>#N/A</v>
      </c>
      <c r="FM321" s="164" t="e">
        <v>#N/A</v>
      </c>
      <c r="FN321" s="164" t="e">
        <v>#N/A</v>
      </c>
      <c r="FO321" s="164" t="e">
        <v>#N/A</v>
      </c>
      <c r="FP321" s="164" t="e">
        <v>#N/A</v>
      </c>
    </row>
    <row r="322" spans="2:172" s="115" customFormat="1" ht="11.25" x14ac:dyDescent="0.2">
      <c r="B322" s="148"/>
      <c r="C322" s="148"/>
      <c r="D322" s="148"/>
      <c r="E322" s="148"/>
      <c r="F322" s="148"/>
      <c r="G322" s="148"/>
      <c r="H322" s="148"/>
      <c r="I322" s="148"/>
      <c r="J322" s="148"/>
      <c r="K322" s="148"/>
      <c r="L322" s="148"/>
      <c r="M322" s="160"/>
      <c r="N322" s="160"/>
      <c r="O322" s="148"/>
      <c r="P322" s="161">
        <f>SUM(Q322:AP322)</f>
      </c>
      <c r="Q322" s="161"/>
      <c r="R322" s="161"/>
      <c r="S322" s="161"/>
      <c r="T322" s="161"/>
      <c r="U322" s="161"/>
      <c r="V322" s="161"/>
      <c r="W322" s="161"/>
      <c r="X322" s="161"/>
      <c r="Y322" s="161"/>
      <c r="Z322" s="161"/>
      <c r="AA322" s="161"/>
      <c r="AB322" s="161"/>
      <c r="AC322" s="161"/>
      <c r="AD322" s="161"/>
      <c r="AE322" s="161"/>
      <c r="AF322" s="161"/>
      <c r="AG322" s="161"/>
      <c r="AH322" s="161"/>
      <c r="AI322" s="161"/>
      <c r="AJ322" s="161"/>
      <c r="AK322" s="161"/>
      <c r="AL322" s="161"/>
      <c r="AM322" s="161"/>
      <c r="AN322" s="161"/>
      <c r="AO322" s="161"/>
      <c r="AP322" s="161"/>
      <c r="AQ322" s="161">
        <f>SUM(AR322:AU322)</f>
      </c>
      <c r="AR322" s="161"/>
      <c r="AS322" s="161"/>
      <c r="AT322" s="161"/>
      <c r="AU322" s="161"/>
      <c r="AV322" s="161">
        <f>SUM(AW322:BH322)</f>
      </c>
      <c r="AW322" s="161"/>
      <c r="AX322" s="161"/>
      <c r="AY322" s="161"/>
      <c r="AZ322" s="161"/>
      <c r="BA322" s="161"/>
      <c r="BB322" s="161"/>
      <c r="BC322" s="161"/>
      <c r="BD322" s="161"/>
      <c r="BE322" s="161"/>
      <c r="BF322" s="161"/>
      <c r="BG322" s="161"/>
      <c r="BH322" s="161"/>
      <c r="BI322" s="161"/>
      <c r="BJ322" s="161"/>
      <c r="BK322" s="161"/>
      <c r="BL322" s="161"/>
      <c r="BM322" s="161"/>
      <c r="BN322" s="161"/>
      <c r="BO322" s="161"/>
      <c r="BP322" s="161"/>
      <c r="BQ322" s="161"/>
      <c r="BR322" s="161"/>
      <c r="BS322" s="161">
        <f>SUM(BT322:BV322)</f>
      </c>
      <c r="BT322" s="161"/>
      <c r="BU322" s="161"/>
      <c r="BV322" s="161"/>
      <c r="BW322" s="161">
        <f>SUM(BX322:CC322)</f>
      </c>
      <c r="BX322" s="161"/>
      <c r="BY322" s="161"/>
      <c r="BZ322" s="161"/>
      <c r="CA322" s="161"/>
      <c r="CB322" s="161"/>
      <c r="CC322" s="161"/>
      <c r="CD322" s="161"/>
      <c r="CE322" s="161"/>
      <c r="CF322" s="161"/>
      <c r="CG322" s="161"/>
      <c r="CH322" s="161"/>
      <c r="CI322" s="161"/>
      <c r="CJ322" s="161">
        <f>SUM(CK322:CM322)</f>
      </c>
      <c r="CK322" s="161"/>
      <c r="CL322" s="161"/>
      <c r="CM322" s="161"/>
      <c r="CN322" s="161">
        <f>SUM(CO322:CS322)</f>
      </c>
      <c r="CO322" s="161"/>
      <c r="CP322" s="161"/>
      <c r="CQ322" s="161"/>
      <c r="CR322" s="161"/>
      <c r="CS322" s="161"/>
      <c r="CT322" s="161"/>
      <c r="CU322" s="161"/>
      <c r="CV322" s="161"/>
      <c r="CW322" s="161"/>
      <c r="CX322" s="161"/>
      <c r="CY322" s="161"/>
      <c r="CZ322" s="161"/>
      <c r="DA322" s="161"/>
      <c r="DB322" s="161"/>
      <c r="DC322" s="161"/>
      <c r="DD322" s="161"/>
      <c r="DE322" s="161"/>
      <c r="DF322" s="161">
        <f>SUM(DG322:DG322)</f>
      </c>
      <c r="DG322" s="161"/>
      <c r="DH322" s="161"/>
      <c r="DI322" s="161"/>
      <c r="DJ322" s="161">
        <f>SUM(DK322:DP322)</f>
      </c>
      <c r="DK322" s="161"/>
      <c r="DL322" s="161"/>
      <c r="DM322" s="161"/>
      <c r="DN322" s="161"/>
      <c r="DO322" s="161"/>
      <c r="DP322" s="161"/>
      <c r="DQ322" s="161"/>
      <c r="DR322" s="161"/>
      <c r="DS322" s="161"/>
      <c r="DT322" s="161"/>
      <c r="DU322" s="161"/>
      <c r="DV322" s="161"/>
      <c r="DW322" s="161"/>
      <c r="DX322" s="161"/>
      <c r="DY322" s="161"/>
      <c r="DZ322" s="161"/>
      <c r="EA322" s="161"/>
      <c r="EB322" s="161"/>
      <c r="EC322" s="161"/>
      <c r="ED322" s="161"/>
      <c r="EE322" s="161"/>
      <c r="EF322" s="161">
        <f>SUM(EG322:EP322)</f>
      </c>
      <c r="EG322" s="161"/>
      <c r="EH322" s="161"/>
      <c r="EI322" s="161"/>
      <c r="EJ322" s="161"/>
      <c r="EK322" s="161"/>
      <c r="EL322" s="161"/>
      <c r="EM322" s="161"/>
      <c r="EN322" s="161"/>
      <c r="EO322" s="161"/>
      <c r="EP322" s="161"/>
      <c r="EQ322" s="161">
        <f>SUM(ER322:ES322)</f>
      </c>
      <c r="ER322" s="161"/>
      <c r="ES322" s="161"/>
      <c r="ET322" s="161"/>
      <c r="EU322" s="161"/>
      <c r="EV322" s="161"/>
      <c r="EW322" s="161"/>
      <c r="EX322" s="161"/>
      <c r="EY322" s="161"/>
      <c r="EZ322" s="161"/>
      <c r="FA322" s="161"/>
      <c r="FB322" s="161"/>
      <c r="FC322" s="161"/>
      <c r="FD322" s="161"/>
      <c r="FE322" s="161"/>
      <c r="FF322" s="161"/>
      <c r="FG322" s="161"/>
      <c r="FH322" s="163" cm="1">
        <f t="array" ref="FH322">ROW()-ROW(Ongoing[#Headers])</f>
        <v>316</v>
      </c>
      <c r="FI322" s="164" t="e">
        <v>#N/A</v>
      </c>
      <c r="FJ322" s="164" t="e">
        <v>#N/A</v>
      </c>
      <c r="FK322" s="164" t="e">
        <v>#N/A</v>
      </c>
      <c r="FL322" s="164" t="e">
        <v>#N/A</v>
      </c>
      <c r="FM322" s="164" t="e">
        <v>#N/A</v>
      </c>
      <c r="FN322" s="164" t="e">
        <v>#N/A</v>
      </c>
      <c r="FO322" s="164" t="e">
        <v>#N/A</v>
      </c>
      <c r="FP322" s="164" t="e">
        <v>#N/A</v>
      </c>
    </row>
    <row r="323" spans="2:172" s="115" customFormat="1" ht="11.25" x14ac:dyDescent="0.2">
      <c r="B323" s="148"/>
      <c r="C323" s="148"/>
      <c r="D323" s="148"/>
      <c r="E323" s="148"/>
      <c r="F323" s="148"/>
      <c r="G323" s="148"/>
      <c r="H323" s="148"/>
      <c r="I323" s="148"/>
      <c r="J323" s="148"/>
      <c r="K323" s="148"/>
      <c r="L323" s="148"/>
      <c r="M323" s="160"/>
      <c r="N323" s="160"/>
      <c r="O323" s="148"/>
      <c r="P323" s="161">
        <f>SUM(Q323:AP323)</f>
      </c>
      <c r="Q323" s="161"/>
      <c r="R323" s="161"/>
      <c r="S323" s="161"/>
      <c r="T323" s="161"/>
      <c r="U323" s="161"/>
      <c r="V323" s="161"/>
      <c r="W323" s="161"/>
      <c r="X323" s="161"/>
      <c r="Y323" s="161"/>
      <c r="Z323" s="161"/>
      <c r="AA323" s="161"/>
      <c r="AB323" s="161"/>
      <c r="AC323" s="161"/>
      <c r="AD323" s="161"/>
      <c r="AE323" s="161"/>
      <c r="AF323" s="161"/>
      <c r="AG323" s="161"/>
      <c r="AH323" s="161"/>
      <c r="AI323" s="161"/>
      <c r="AJ323" s="161"/>
      <c r="AK323" s="161"/>
      <c r="AL323" s="161"/>
      <c r="AM323" s="161"/>
      <c r="AN323" s="161"/>
      <c r="AO323" s="161"/>
      <c r="AP323" s="161"/>
      <c r="AQ323" s="161">
        <f>SUM(AR323:AU323)</f>
      </c>
      <c r="AR323" s="161"/>
      <c r="AS323" s="161"/>
      <c r="AT323" s="161"/>
      <c r="AU323" s="161"/>
      <c r="AV323" s="161">
        <f>SUM(AW323:BH323)</f>
      </c>
      <c r="AW323" s="161"/>
      <c r="AX323" s="161"/>
      <c r="AY323" s="161"/>
      <c r="AZ323" s="161"/>
      <c r="BA323" s="161"/>
      <c r="BB323" s="161"/>
      <c r="BC323" s="161"/>
      <c r="BD323" s="161"/>
      <c r="BE323" s="161"/>
      <c r="BF323" s="161"/>
      <c r="BG323" s="161"/>
      <c r="BH323" s="161"/>
      <c r="BI323" s="161"/>
      <c r="BJ323" s="161"/>
      <c r="BK323" s="161"/>
      <c r="BL323" s="161"/>
      <c r="BM323" s="161"/>
      <c r="BN323" s="161"/>
      <c r="BO323" s="161"/>
      <c r="BP323" s="161"/>
      <c r="BQ323" s="161"/>
      <c r="BR323" s="161"/>
      <c r="BS323" s="161">
        <f>SUM(BT323:BV323)</f>
      </c>
      <c r="BT323" s="161"/>
      <c r="BU323" s="161"/>
      <c r="BV323" s="161"/>
      <c r="BW323" s="161">
        <f>SUM(BX323:CC323)</f>
      </c>
      <c r="BX323" s="161"/>
      <c r="BY323" s="161"/>
      <c r="BZ323" s="161"/>
      <c r="CA323" s="161"/>
      <c r="CB323" s="161"/>
      <c r="CC323" s="161"/>
      <c r="CD323" s="161"/>
      <c r="CE323" s="161"/>
      <c r="CF323" s="161"/>
      <c r="CG323" s="161"/>
      <c r="CH323" s="161"/>
      <c r="CI323" s="161"/>
      <c r="CJ323" s="161">
        <f>SUM(CK323:CM323)</f>
      </c>
      <c r="CK323" s="161"/>
      <c r="CL323" s="161"/>
      <c r="CM323" s="161"/>
      <c r="CN323" s="161">
        <f>SUM(CO323:CS323)</f>
      </c>
      <c r="CO323" s="161"/>
      <c r="CP323" s="161"/>
      <c r="CQ323" s="161"/>
      <c r="CR323" s="161"/>
      <c r="CS323" s="161"/>
      <c r="CT323" s="161"/>
      <c r="CU323" s="161"/>
      <c r="CV323" s="161"/>
      <c r="CW323" s="161"/>
      <c r="CX323" s="161"/>
      <c r="CY323" s="161"/>
      <c r="CZ323" s="161"/>
      <c r="DA323" s="161"/>
      <c r="DB323" s="161"/>
      <c r="DC323" s="161"/>
      <c r="DD323" s="161"/>
      <c r="DE323" s="161"/>
      <c r="DF323" s="161">
        <f>SUM(DG323:DG323)</f>
      </c>
      <c r="DG323" s="161"/>
      <c r="DH323" s="161"/>
      <c r="DI323" s="161"/>
      <c r="DJ323" s="161">
        <f>SUM(DK323:DP323)</f>
      </c>
      <c r="DK323" s="161"/>
      <c r="DL323" s="161"/>
      <c r="DM323" s="161"/>
      <c r="DN323" s="161"/>
      <c r="DO323" s="161"/>
      <c r="DP323" s="161"/>
      <c r="DQ323" s="161"/>
      <c r="DR323" s="161"/>
      <c r="DS323" s="161"/>
      <c r="DT323" s="161"/>
      <c r="DU323" s="161"/>
      <c r="DV323" s="161"/>
      <c r="DW323" s="161"/>
      <c r="DX323" s="161"/>
      <c r="DY323" s="161"/>
      <c r="DZ323" s="161"/>
      <c r="EA323" s="161"/>
      <c r="EB323" s="161"/>
      <c r="EC323" s="161"/>
      <c r="ED323" s="161"/>
      <c r="EE323" s="161"/>
      <c r="EF323" s="161">
        <f>SUM(EG323:EP323)</f>
      </c>
      <c r="EG323" s="161"/>
      <c r="EH323" s="161"/>
      <c r="EI323" s="161"/>
      <c r="EJ323" s="161"/>
      <c r="EK323" s="161"/>
      <c r="EL323" s="161"/>
      <c r="EM323" s="161"/>
      <c r="EN323" s="161"/>
      <c r="EO323" s="161"/>
      <c r="EP323" s="161"/>
      <c r="EQ323" s="161">
        <f>SUM(ER323:ES323)</f>
      </c>
      <c r="ER323" s="161"/>
      <c r="ES323" s="161"/>
      <c r="ET323" s="161"/>
      <c r="EU323" s="161"/>
      <c r="EV323" s="161"/>
      <c r="EW323" s="161"/>
      <c r="EX323" s="161"/>
      <c r="EY323" s="161"/>
      <c r="EZ323" s="161"/>
      <c r="FA323" s="161"/>
      <c r="FB323" s="161"/>
      <c r="FC323" s="161"/>
      <c r="FD323" s="161"/>
      <c r="FE323" s="161"/>
      <c r="FF323" s="161"/>
      <c r="FG323" s="161"/>
      <c r="FH323" s="163" cm="1">
        <f t="array" ref="FH323">ROW()-ROW(Ongoing[#Headers])</f>
        <v>317</v>
      </c>
      <c r="FI323" s="164" t="e">
        <v>#N/A</v>
      </c>
      <c r="FJ323" s="164" t="e">
        <v>#N/A</v>
      </c>
      <c r="FK323" s="164" t="e">
        <v>#N/A</v>
      </c>
      <c r="FL323" s="164" t="e">
        <v>#N/A</v>
      </c>
      <c r="FM323" s="164" t="e">
        <v>#N/A</v>
      </c>
      <c r="FN323" s="164" t="e">
        <v>#N/A</v>
      </c>
      <c r="FO323" s="164" t="e">
        <v>#N/A</v>
      </c>
      <c r="FP323" s="164" t="e">
        <v>#N/A</v>
      </c>
    </row>
    <row r="324" spans="2:172" s="115" customFormat="1" ht="11.25" x14ac:dyDescent="0.2">
      <c r="B324" s="148"/>
      <c r="C324" s="148"/>
      <c r="D324" s="148"/>
      <c r="E324" s="148"/>
      <c r="F324" s="148"/>
      <c r="G324" s="148"/>
      <c r="H324" s="148"/>
      <c r="I324" s="148"/>
      <c r="J324" s="148"/>
      <c r="K324" s="148"/>
      <c r="L324" s="148"/>
      <c r="M324" s="160"/>
      <c r="N324" s="160"/>
      <c r="O324" s="148"/>
      <c r="P324" s="161">
        <f>SUM(Q324:AP324)</f>
      </c>
      <c r="Q324" s="161"/>
      <c r="R324" s="161"/>
      <c r="S324" s="161"/>
      <c r="T324" s="161"/>
      <c r="U324" s="161"/>
      <c r="V324" s="161"/>
      <c r="W324" s="161"/>
      <c r="X324" s="161"/>
      <c r="Y324" s="161"/>
      <c r="Z324" s="161"/>
      <c r="AA324" s="161"/>
      <c r="AB324" s="161"/>
      <c r="AC324" s="161"/>
      <c r="AD324" s="161"/>
      <c r="AE324" s="161"/>
      <c r="AF324" s="161"/>
      <c r="AG324" s="161"/>
      <c r="AH324" s="161"/>
      <c r="AI324" s="161"/>
      <c r="AJ324" s="161"/>
      <c r="AK324" s="161"/>
      <c r="AL324" s="161"/>
      <c r="AM324" s="161"/>
      <c r="AN324" s="161"/>
      <c r="AO324" s="161"/>
      <c r="AP324" s="161"/>
      <c r="AQ324" s="161">
        <f>SUM(AR324:AU324)</f>
      </c>
      <c r="AR324" s="161"/>
      <c r="AS324" s="161"/>
      <c r="AT324" s="161"/>
      <c r="AU324" s="161"/>
      <c r="AV324" s="161">
        <f>SUM(AW324:BH324)</f>
      </c>
      <c r="AW324" s="161"/>
      <c r="AX324" s="161"/>
      <c r="AY324" s="161"/>
      <c r="AZ324" s="161"/>
      <c r="BA324" s="161"/>
      <c r="BB324" s="161"/>
      <c r="BC324" s="161"/>
      <c r="BD324" s="161"/>
      <c r="BE324" s="161"/>
      <c r="BF324" s="161"/>
      <c r="BG324" s="161"/>
      <c r="BH324" s="161"/>
      <c r="BI324" s="161"/>
      <c r="BJ324" s="161"/>
      <c r="BK324" s="161"/>
      <c r="BL324" s="161"/>
      <c r="BM324" s="161"/>
      <c r="BN324" s="161"/>
      <c r="BO324" s="161"/>
      <c r="BP324" s="161"/>
      <c r="BQ324" s="161"/>
      <c r="BR324" s="161"/>
      <c r="BS324" s="161">
        <f>SUM(BT324:BV324)</f>
      </c>
      <c r="BT324" s="161"/>
      <c r="BU324" s="161"/>
      <c r="BV324" s="161"/>
      <c r="BW324" s="161">
        <f>SUM(BX324:CC324)</f>
      </c>
      <c r="BX324" s="161"/>
      <c r="BY324" s="161"/>
      <c r="BZ324" s="161"/>
      <c r="CA324" s="161"/>
      <c r="CB324" s="161"/>
      <c r="CC324" s="161"/>
      <c r="CD324" s="161"/>
      <c r="CE324" s="161"/>
      <c r="CF324" s="161"/>
      <c r="CG324" s="161"/>
      <c r="CH324" s="161"/>
      <c r="CI324" s="161"/>
      <c r="CJ324" s="161">
        <f>SUM(CK324:CM324)</f>
      </c>
      <c r="CK324" s="161"/>
      <c r="CL324" s="161"/>
      <c r="CM324" s="161"/>
      <c r="CN324" s="161">
        <f>SUM(CO324:CS324)</f>
      </c>
      <c r="CO324" s="161"/>
      <c r="CP324" s="161"/>
      <c r="CQ324" s="161"/>
      <c r="CR324" s="161"/>
      <c r="CS324" s="161"/>
      <c r="CT324" s="161"/>
      <c r="CU324" s="161"/>
      <c r="CV324" s="161"/>
      <c r="CW324" s="161"/>
      <c r="CX324" s="161"/>
      <c r="CY324" s="161"/>
      <c r="CZ324" s="161"/>
      <c r="DA324" s="161"/>
      <c r="DB324" s="161"/>
      <c r="DC324" s="161"/>
      <c r="DD324" s="161"/>
      <c r="DE324" s="161"/>
      <c r="DF324" s="161">
        <f>SUM(DG324:DG324)</f>
      </c>
      <c r="DG324" s="161"/>
      <c r="DH324" s="161"/>
      <c r="DI324" s="161"/>
      <c r="DJ324" s="161">
        <f>SUM(DK324:DP324)</f>
      </c>
      <c r="DK324" s="161"/>
      <c r="DL324" s="161"/>
      <c r="DM324" s="161"/>
      <c r="DN324" s="161"/>
      <c r="DO324" s="161"/>
      <c r="DP324" s="161"/>
      <c r="DQ324" s="161"/>
      <c r="DR324" s="161"/>
      <c r="DS324" s="161"/>
      <c r="DT324" s="161"/>
      <c r="DU324" s="161"/>
      <c r="DV324" s="161"/>
      <c r="DW324" s="161"/>
      <c r="DX324" s="161"/>
      <c r="DY324" s="161"/>
      <c r="DZ324" s="161"/>
      <c r="EA324" s="161"/>
      <c r="EB324" s="161"/>
      <c r="EC324" s="161"/>
      <c r="ED324" s="161"/>
      <c r="EE324" s="161"/>
      <c r="EF324" s="161">
        <f>SUM(EG324:EP324)</f>
      </c>
      <c r="EG324" s="161"/>
      <c r="EH324" s="161"/>
      <c r="EI324" s="161"/>
      <c r="EJ324" s="161"/>
      <c r="EK324" s="161"/>
      <c r="EL324" s="161"/>
      <c r="EM324" s="161"/>
      <c r="EN324" s="161"/>
      <c r="EO324" s="161"/>
      <c r="EP324" s="161"/>
      <c r="EQ324" s="161">
        <f>SUM(ER324:ES324)</f>
      </c>
      <c r="ER324" s="161"/>
      <c r="ES324" s="161"/>
      <c r="ET324" s="161"/>
      <c r="EU324" s="161"/>
      <c r="EV324" s="161"/>
      <c r="EW324" s="161"/>
      <c r="EX324" s="161"/>
      <c r="EY324" s="161"/>
      <c r="EZ324" s="161"/>
      <c r="FA324" s="161"/>
      <c r="FB324" s="161"/>
      <c r="FC324" s="161"/>
      <c r="FD324" s="161"/>
      <c r="FE324" s="161"/>
      <c r="FF324" s="161"/>
      <c r="FG324" s="161"/>
      <c r="FH324" s="163" cm="1">
        <f t="array" ref="FH324">ROW()-ROW(Ongoing[#Headers])</f>
        <v>318</v>
      </c>
      <c r="FI324" s="164" t="e">
        <v>#N/A</v>
      </c>
      <c r="FJ324" s="164" t="e">
        <v>#N/A</v>
      </c>
      <c r="FK324" s="164" t="e">
        <v>#N/A</v>
      </c>
      <c r="FL324" s="164" t="e">
        <v>#N/A</v>
      </c>
      <c r="FM324" s="164" t="e">
        <v>#N/A</v>
      </c>
      <c r="FN324" s="164" t="e">
        <v>#N/A</v>
      </c>
      <c r="FO324" s="164" t="e">
        <v>#N/A</v>
      </c>
      <c r="FP324" s="164" t="e">
        <v>#N/A</v>
      </c>
    </row>
    <row r="325" spans="2:172" s="115" customFormat="1" ht="11.25" x14ac:dyDescent="0.2">
      <c r="B325" s="148"/>
      <c r="C325" s="148"/>
      <c r="D325" s="148"/>
      <c r="E325" s="148"/>
      <c r="F325" s="148"/>
      <c r="G325" s="148"/>
      <c r="H325" s="148"/>
      <c r="I325" s="148"/>
      <c r="J325" s="148"/>
      <c r="K325" s="148"/>
      <c r="L325" s="148"/>
      <c r="M325" s="160"/>
      <c r="N325" s="160"/>
      <c r="O325" s="148"/>
      <c r="P325" s="161">
        <f>SUM(Q325:AP325)</f>
      </c>
      <c r="Q325" s="161"/>
      <c r="R325" s="161"/>
      <c r="S325" s="161"/>
      <c r="T325" s="161"/>
      <c r="U325" s="161"/>
      <c r="V325" s="161"/>
      <c r="W325" s="161"/>
      <c r="X325" s="161"/>
      <c r="Y325" s="161"/>
      <c r="Z325" s="161"/>
      <c r="AA325" s="161"/>
      <c r="AB325" s="161"/>
      <c r="AC325" s="161"/>
      <c r="AD325" s="161"/>
      <c r="AE325" s="161"/>
      <c r="AF325" s="161"/>
      <c r="AG325" s="161"/>
      <c r="AH325" s="161"/>
      <c r="AI325" s="161"/>
      <c r="AJ325" s="161"/>
      <c r="AK325" s="161"/>
      <c r="AL325" s="161"/>
      <c r="AM325" s="161"/>
      <c r="AN325" s="161"/>
      <c r="AO325" s="161"/>
      <c r="AP325" s="161"/>
      <c r="AQ325" s="161">
        <f>SUM(AR325:AU325)</f>
      </c>
      <c r="AR325" s="161"/>
      <c r="AS325" s="161"/>
      <c r="AT325" s="161"/>
      <c r="AU325" s="161"/>
      <c r="AV325" s="161">
        <f>SUM(AW325:BH325)</f>
      </c>
      <c r="AW325" s="161"/>
      <c r="AX325" s="161"/>
      <c r="AY325" s="161"/>
      <c r="AZ325" s="161"/>
      <c r="BA325" s="161"/>
      <c r="BB325" s="161"/>
      <c r="BC325" s="161"/>
      <c r="BD325" s="161"/>
      <c r="BE325" s="161"/>
      <c r="BF325" s="161"/>
      <c r="BG325" s="161"/>
      <c r="BH325" s="161"/>
      <c r="BI325" s="161"/>
      <c r="BJ325" s="161"/>
      <c r="BK325" s="161"/>
      <c r="BL325" s="161"/>
      <c r="BM325" s="161"/>
      <c r="BN325" s="161"/>
      <c r="BO325" s="161"/>
      <c r="BP325" s="161"/>
      <c r="BQ325" s="161"/>
      <c r="BR325" s="161"/>
      <c r="BS325" s="161">
        <f>SUM(BT325:BV325)</f>
      </c>
      <c r="BT325" s="161"/>
      <c r="BU325" s="161"/>
      <c r="BV325" s="161"/>
      <c r="BW325" s="161">
        <f>SUM(BX325:CC325)</f>
      </c>
      <c r="BX325" s="161"/>
      <c r="BY325" s="161"/>
      <c r="BZ325" s="161"/>
      <c r="CA325" s="161"/>
      <c r="CB325" s="161"/>
      <c r="CC325" s="161"/>
      <c r="CD325" s="161"/>
      <c r="CE325" s="161"/>
      <c r="CF325" s="161"/>
      <c r="CG325" s="161"/>
      <c r="CH325" s="161"/>
      <c r="CI325" s="161"/>
      <c r="CJ325" s="161">
        <f>SUM(CK325:CM325)</f>
      </c>
      <c r="CK325" s="161"/>
      <c r="CL325" s="161"/>
      <c r="CM325" s="161"/>
      <c r="CN325" s="161">
        <f>SUM(CO325:CS325)</f>
      </c>
      <c r="CO325" s="161"/>
      <c r="CP325" s="161"/>
      <c r="CQ325" s="161"/>
      <c r="CR325" s="161"/>
      <c r="CS325" s="161"/>
      <c r="CT325" s="161"/>
      <c r="CU325" s="161"/>
      <c r="CV325" s="161"/>
      <c r="CW325" s="161"/>
      <c r="CX325" s="161"/>
      <c r="CY325" s="161"/>
      <c r="CZ325" s="161"/>
      <c r="DA325" s="161"/>
      <c r="DB325" s="161"/>
      <c r="DC325" s="161"/>
      <c r="DD325" s="161"/>
      <c r="DE325" s="161"/>
      <c r="DF325" s="161">
        <f>SUM(DG325:DG325)</f>
      </c>
      <c r="DG325" s="161"/>
      <c r="DH325" s="161"/>
      <c r="DI325" s="161"/>
      <c r="DJ325" s="161">
        <f>SUM(DK325:DP325)</f>
      </c>
      <c r="DK325" s="161"/>
      <c r="DL325" s="161"/>
      <c r="DM325" s="161"/>
      <c r="DN325" s="161"/>
      <c r="DO325" s="161"/>
      <c r="DP325" s="161"/>
      <c r="DQ325" s="161"/>
      <c r="DR325" s="161"/>
      <c r="DS325" s="161"/>
      <c r="DT325" s="161"/>
      <c r="DU325" s="161"/>
      <c r="DV325" s="161"/>
      <c r="DW325" s="161"/>
      <c r="DX325" s="161"/>
      <c r="DY325" s="161"/>
      <c r="DZ325" s="161"/>
      <c r="EA325" s="161"/>
      <c r="EB325" s="161"/>
      <c r="EC325" s="161"/>
      <c r="ED325" s="161"/>
      <c r="EE325" s="161"/>
      <c r="EF325" s="161">
        <f>SUM(EG325:EP325)</f>
      </c>
      <c r="EG325" s="161"/>
      <c r="EH325" s="161"/>
      <c r="EI325" s="161"/>
      <c r="EJ325" s="161"/>
      <c r="EK325" s="161"/>
      <c r="EL325" s="161"/>
      <c r="EM325" s="161"/>
      <c r="EN325" s="161"/>
      <c r="EO325" s="161"/>
      <c r="EP325" s="161"/>
      <c r="EQ325" s="161">
        <f>SUM(ER325:ES325)</f>
      </c>
      <c r="ER325" s="161"/>
      <c r="ES325" s="161"/>
      <c r="ET325" s="161"/>
      <c r="EU325" s="161"/>
      <c r="EV325" s="161"/>
      <c r="EW325" s="161"/>
      <c r="EX325" s="161"/>
      <c r="EY325" s="161"/>
      <c r="EZ325" s="161"/>
      <c r="FA325" s="161"/>
      <c r="FB325" s="161"/>
      <c r="FC325" s="161"/>
      <c r="FD325" s="161"/>
      <c r="FE325" s="161"/>
      <c r="FF325" s="161"/>
      <c r="FG325" s="161"/>
      <c r="FH325" s="163" cm="1">
        <f t="array" ref="FH325">ROW()-ROW(Ongoing[#Headers])</f>
        <v>319</v>
      </c>
      <c r="FI325" s="164" t="e">
        <v>#N/A</v>
      </c>
      <c r="FJ325" s="164" t="e">
        <v>#N/A</v>
      </c>
      <c r="FK325" s="164" t="e">
        <v>#N/A</v>
      </c>
      <c r="FL325" s="164" t="e">
        <v>#N/A</v>
      </c>
      <c r="FM325" s="164" t="e">
        <v>#N/A</v>
      </c>
      <c r="FN325" s="164" t="e">
        <v>#N/A</v>
      </c>
      <c r="FO325" s="164" t="e">
        <v>#N/A</v>
      </c>
      <c r="FP325" s="164" t="e">
        <v>#N/A</v>
      </c>
    </row>
    <row r="326" spans="2:172" s="115" customFormat="1" ht="11.25" x14ac:dyDescent="0.2">
      <c r="B326" s="148"/>
      <c r="C326" s="148"/>
      <c r="D326" s="148"/>
      <c r="E326" s="148"/>
      <c r="F326" s="148"/>
      <c r="G326" s="148"/>
      <c r="H326" s="148"/>
      <c r="I326" s="148"/>
      <c r="J326" s="148"/>
      <c r="K326" s="148"/>
      <c r="L326" s="148"/>
      <c r="M326" s="160"/>
      <c r="N326" s="160"/>
      <c r="O326" s="148"/>
      <c r="P326" s="161">
        <f>SUM(Q326:AP326)</f>
      </c>
      <c r="Q326" s="161"/>
      <c r="R326" s="161"/>
      <c r="S326" s="161"/>
      <c r="T326" s="161"/>
      <c r="U326" s="161"/>
      <c r="V326" s="161"/>
      <c r="W326" s="161"/>
      <c r="X326" s="161"/>
      <c r="Y326" s="161"/>
      <c r="Z326" s="161"/>
      <c r="AA326" s="161"/>
      <c r="AB326" s="161"/>
      <c r="AC326" s="161"/>
      <c r="AD326" s="161"/>
      <c r="AE326" s="161"/>
      <c r="AF326" s="161"/>
      <c r="AG326" s="161"/>
      <c r="AH326" s="161"/>
      <c r="AI326" s="161"/>
      <c r="AJ326" s="161"/>
      <c r="AK326" s="161"/>
      <c r="AL326" s="161"/>
      <c r="AM326" s="161"/>
      <c r="AN326" s="161"/>
      <c r="AO326" s="161"/>
      <c r="AP326" s="161"/>
      <c r="AQ326" s="161">
        <f>SUM(AR326:AU326)</f>
      </c>
      <c r="AR326" s="161"/>
      <c r="AS326" s="161"/>
      <c r="AT326" s="161"/>
      <c r="AU326" s="161"/>
      <c r="AV326" s="161">
        <f>SUM(AW326:BH326)</f>
      </c>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1"/>
      <c r="BR326" s="161"/>
      <c r="BS326" s="161">
        <f>SUM(BT326:BV326)</f>
      </c>
      <c r="BT326" s="161"/>
      <c r="BU326" s="161"/>
      <c r="BV326" s="161"/>
      <c r="BW326" s="161">
        <f>SUM(BX326:CC326)</f>
      </c>
      <c r="BX326" s="161"/>
      <c r="BY326" s="161"/>
      <c r="BZ326" s="161"/>
      <c r="CA326" s="161"/>
      <c r="CB326" s="161"/>
      <c r="CC326" s="161"/>
      <c r="CD326" s="161"/>
      <c r="CE326" s="161"/>
      <c r="CF326" s="161"/>
      <c r="CG326" s="161"/>
      <c r="CH326" s="161"/>
      <c r="CI326" s="161"/>
      <c r="CJ326" s="161">
        <f>SUM(CK326:CM326)</f>
      </c>
      <c r="CK326" s="161"/>
      <c r="CL326" s="161"/>
      <c r="CM326" s="161"/>
      <c r="CN326" s="161">
        <f>SUM(CO326:CS326)</f>
      </c>
      <c r="CO326" s="161"/>
      <c r="CP326" s="161"/>
      <c r="CQ326" s="161"/>
      <c r="CR326" s="161"/>
      <c r="CS326" s="161"/>
      <c r="CT326" s="161"/>
      <c r="CU326" s="161"/>
      <c r="CV326" s="161"/>
      <c r="CW326" s="161"/>
      <c r="CX326" s="161"/>
      <c r="CY326" s="161"/>
      <c r="CZ326" s="161"/>
      <c r="DA326" s="161"/>
      <c r="DB326" s="161"/>
      <c r="DC326" s="161"/>
      <c r="DD326" s="161"/>
      <c r="DE326" s="161"/>
      <c r="DF326" s="161">
        <f>SUM(DG326:DG326)</f>
      </c>
      <c r="DG326" s="161"/>
      <c r="DH326" s="161"/>
      <c r="DI326" s="161"/>
      <c r="DJ326" s="161">
        <f>SUM(DK326:DP326)</f>
      </c>
      <c r="DK326" s="161"/>
      <c r="DL326" s="161"/>
      <c r="DM326" s="161"/>
      <c r="DN326" s="161"/>
      <c r="DO326" s="161"/>
      <c r="DP326" s="161"/>
      <c r="DQ326" s="161"/>
      <c r="DR326" s="161"/>
      <c r="DS326" s="161"/>
      <c r="DT326" s="161"/>
      <c r="DU326" s="161"/>
      <c r="DV326" s="161"/>
      <c r="DW326" s="161"/>
      <c r="DX326" s="161"/>
      <c r="DY326" s="161"/>
      <c r="DZ326" s="161"/>
      <c r="EA326" s="161"/>
      <c r="EB326" s="161"/>
      <c r="EC326" s="161"/>
      <c r="ED326" s="161"/>
      <c r="EE326" s="161"/>
      <c r="EF326" s="161">
        <f>SUM(EG326:EP326)</f>
      </c>
      <c r="EG326" s="161"/>
      <c r="EH326" s="161"/>
      <c r="EI326" s="161"/>
      <c r="EJ326" s="161"/>
      <c r="EK326" s="161"/>
      <c r="EL326" s="161"/>
      <c r="EM326" s="161"/>
      <c r="EN326" s="161"/>
      <c r="EO326" s="161"/>
      <c r="EP326" s="161"/>
      <c r="EQ326" s="161">
        <f>SUM(ER326:ES326)</f>
      </c>
      <c r="ER326" s="161"/>
      <c r="ES326" s="161"/>
      <c r="ET326" s="161"/>
      <c r="EU326" s="161"/>
      <c r="EV326" s="161"/>
      <c r="EW326" s="161"/>
      <c r="EX326" s="161"/>
      <c r="EY326" s="161"/>
      <c r="EZ326" s="161"/>
      <c r="FA326" s="161"/>
      <c r="FB326" s="161"/>
      <c r="FC326" s="161"/>
      <c r="FD326" s="161"/>
      <c r="FE326" s="161"/>
      <c r="FF326" s="161"/>
      <c r="FG326" s="161"/>
      <c r="FH326" s="163" cm="1">
        <f t="array" ref="FH326">ROW()-ROW(Ongoing[#Headers])</f>
        <v>320</v>
      </c>
      <c r="FI326" s="164" t="e">
        <v>#N/A</v>
      </c>
      <c r="FJ326" s="164" t="e">
        <v>#N/A</v>
      </c>
      <c r="FK326" s="164" t="e">
        <v>#N/A</v>
      </c>
      <c r="FL326" s="164" t="e">
        <v>#N/A</v>
      </c>
      <c r="FM326" s="164" t="e">
        <v>#N/A</v>
      </c>
      <c r="FN326" s="164" t="e">
        <v>#N/A</v>
      </c>
      <c r="FO326" s="164" t="e">
        <v>#N/A</v>
      </c>
      <c r="FP326" s="164" t="e">
        <v>#N/A</v>
      </c>
    </row>
    <row r="327" spans="2:172" s="115" customFormat="1" ht="11.25" x14ac:dyDescent="0.2">
      <c r="B327" s="148"/>
      <c r="C327" s="148"/>
      <c r="D327" s="148"/>
      <c r="E327" s="148"/>
      <c r="F327" s="148"/>
      <c r="G327" s="148"/>
      <c r="H327" s="148"/>
      <c r="I327" s="148"/>
      <c r="J327" s="148"/>
      <c r="K327" s="148"/>
      <c r="L327" s="148"/>
      <c r="M327" s="160"/>
      <c r="N327" s="160"/>
      <c r="O327" s="148"/>
      <c r="P327" s="161">
        <f>SUM(Q327:AP327)</f>
      </c>
      <c r="Q327" s="161"/>
      <c r="R327" s="161"/>
      <c r="S327" s="161"/>
      <c r="T327" s="161"/>
      <c r="U327" s="161"/>
      <c r="V327" s="161"/>
      <c r="W327" s="161"/>
      <c r="X327" s="161"/>
      <c r="Y327" s="161"/>
      <c r="Z327" s="161"/>
      <c r="AA327" s="161"/>
      <c r="AB327" s="161"/>
      <c r="AC327" s="161"/>
      <c r="AD327" s="161"/>
      <c r="AE327" s="161"/>
      <c r="AF327" s="161"/>
      <c r="AG327" s="161"/>
      <c r="AH327" s="161"/>
      <c r="AI327" s="161"/>
      <c r="AJ327" s="161"/>
      <c r="AK327" s="161"/>
      <c r="AL327" s="161"/>
      <c r="AM327" s="161"/>
      <c r="AN327" s="161"/>
      <c r="AO327" s="161"/>
      <c r="AP327" s="161"/>
      <c r="AQ327" s="161">
        <f>SUM(AR327:AU327)</f>
      </c>
      <c r="AR327" s="161"/>
      <c r="AS327" s="161"/>
      <c r="AT327" s="161"/>
      <c r="AU327" s="161"/>
      <c r="AV327" s="161">
        <f>SUM(AW327:BH327)</f>
      </c>
      <c r="AW327" s="161"/>
      <c r="AX327" s="161"/>
      <c r="AY327" s="161"/>
      <c r="AZ327" s="161"/>
      <c r="BA327" s="161"/>
      <c r="BB327" s="161"/>
      <c r="BC327" s="161"/>
      <c r="BD327" s="161"/>
      <c r="BE327" s="161"/>
      <c r="BF327" s="161"/>
      <c r="BG327" s="161"/>
      <c r="BH327" s="161"/>
      <c r="BI327" s="161"/>
      <c r="BJ327" s="161"/>
      <c r="BK327" s="161"/>
      <c r="BL327" s="161"/>
      <c r="BM327" s="161"/>
      <c r="BN327" s="161"/>
      <c r="BO327" s="161"/>
      <c r="BP327" s="161"/>
      <c r="BQ327" s="161"/>
      <c r="BR327" s="161"/>
      <c r="BS327" s="161">
        <f>SUM(BT327:BV327)</f>
      </c>
      <c r="BT327" s="161"/>
      <c r="BU327" s="161"/>
      <c r="BV327" s="161"/>
      <c r="BW327" s="161">
        <f>SUM(BX327:CC327)</f>
      </c>
      <c r="BX327" s="161"/>
      <c r="BY327" s="161"/>
      <c r="BZ327" s="161"/>
      <c r="CA327" s="161"/>
      <c r="CB327" s="161"/>
      <c r="CC327" s="161"/>
      <c r="CD327" s="161"/>
      <c r="CE327" s="161"/>
      <c r="CF327" s="161"/>
      <c r="CG327" s="161"/>
      <c r="CH327" s="161"/>
      <c r="CI327" s="161"/>
      <c r="CJ327" s="161">
        <f>SUM(CK327:CM327)</f>
      </c>
      <c r="CK327" s="161"/>
      <c r="CL327" s="161"/>
      <c r="CM327" s="161"/>
      <c r="CN327" s="161">
        <f>SUM(CO327:CS327)</f>
      </c>
      <c r="CO327" s="161"/>
      <c r="CP327" s="161"/>
      <c r="CQ327" s="161"/>
      <c r="CR327" s="161"/>
      <c r="CS327" s="161"/>
      <c r="CT327" s="161"/>
      <c r="CU327" s="161"/>
      <c r="CV327" s="161"/>
      <c r="CW327" s="161"/>
      <c r="CX327" s="161"/>
      <c r="CY327" s="161"/>
      <c r="CZ327" s="161"/>
      <c r="DA327" s="161"/>
      <c r="DB327" s="161"/>
      <c r="DC327" s="161"/>
      <c r="DD327" s="161"/>
      <c r="DE327" s="161"/>
      <c r="DF327" s="161">
        <f>SUM(DG327:DG327)</f>
      </c>
      <c r="DG327" s="161"/>
      <c r="DH327" s="161"/>
      <c r="DI327" s="161"/>
      <c r="DJ327" s="161">
        <f>SUM(DK327:DP327)</f>
      </c>
      <c r="DK327" s="161"/>
      <c r="DL327" s="161"/>
      <c r="DM327" s="161"/>
      <c r="DN327" s="161"/>
      <c r="DO327" s="161"/>
      <c r="DP327" s="161"/>
      <c r="DQ327" s="161"/>
      <c r="DR327" s="161"/>
      <c r="DS327" s="161"/>
      <c r="DT327" s="161"/>
      <c r="DU327" s="161"/>
      <c r="DV327" s="161"/>
      <c r="DW327" s="161"/>
      <c r="DX327" s="161"/>
      <c r="DY327" s="161"/>
      <c r="DZ327" s="161"/>
      <c r="EA327" s="161"/>
      <c r="EB327" s="161"/>
      <c r="EC327" s="161"/>
      <c r="ED327" s="161"/>
      <c r="EE327" s="161"/>
      <c r="EF327" s="161">
        <f>SUM(EG327:EP327)</f>
      </c>
      <c r="EG327" s="161"/>
      <c r="EH327" s="161"/>
      <c r="EI327" s="161"/>
      <c r="EJ327" s="161"/>
      <c r="EK327" s="161"/>
      <c r="EL327" s="161"/>
      <c r="EM327" s="161"/>
      <c r="EN327" s="161"/>
      <c r="EO327" s="161"/>
      <c r="EP327" s="161"/>
      <c r="EQ327" s="161">
        <f>SUM(ER327:ES327)</f>
      </c>
      <c r="ER327" s="161"/>
      <c r="ES327" s="161"/>
      <c r="ET327" s="161"/>
      <c r="EU327" s="161"/>
      <c r="EV327" s="161"/>
      <c r="EW327" s="161"/>
      <c r="EX327" s="161"/>
      <c r="EY327" s="161"/>
      <c r="EZ327" s="161"/>
      <c r="FA327" s="161"/>
      <c r="FB327" s="161"/>
      <c r="FC327" s="161"/>
      <c r="FD327" s="161"/>
      <c r="FE327" s="161"/>
      <c r="FF327" s="161"/>
      <c r="FG327" s="161"/>
      <c r="FH327" s="163" cm="1">
        <f t="array" ref="FH327">ROW()-ROW(Ongoing[#Headers])</f>
        <v>321</v>
      </c>
      <c r="FI327" s="164" t="e">
        <v>#N/A</v>
      </c>
      <c r="FJ327" s="164" t="e">
        <v>#N/A</v>
      </c>
      <c r="FK327" s="164" t="e">
        <v>#N/A</v>
      </c>
      <c r="FL327" s="164" t="e">
        <v>#N/A</v>
      </c>
      <c r="FM327" s="164" t="e">
        <v>#N/A</v>
      </c>
      <c r="FN327" s="164" t="e">
        <v>#N/A</v>
      </c>
      <c r="FO327" s="164" t="e">
        <v>#N/A</v>
      </c>
      <c r="FP327" s="164" t="e">
        <v>#N/A</v>
      </c>
    </row>
    <row r="328" spans="2:172" s="115" customFormat="1" ht="11.25" x14ac:dyDescent="0.2">
      <c r="B328" s="148"/>
      <c r="C328" s="148"/>
      <c r="D328" s="148"/>
      <c r="E328" s="148"/>
      <c r="F328" s="148"/>
      <c r="G328" s="148"/>
      <c r="H328" s="148"/>
      <c r="I328" s="148"/>
      <c r="J328" s="148"/>
      <c r="K328" s="148"/>
      <c r="L328" s="148"/>
      <c r="M328" s="160"/>
      <c r="N328" s="160"/>
      <c r="O328" s="148"/>
      <c r="P328" s="161">
        <f>SUM(Q328:AP328)</f>
      </c>
      <c r="Q328" s="161"/>
      <c r="R328" s="161"/>
      <c r="S328" s="161"/>
      <c r="T328" s="161"/>
      <c r="U328" s="161"/>
      <c r="V328" s="161"/>
      <c r="W328" s="161"/>
      <c r="X328" s="161"/>
      <c r="Y328" s="161"/>
      <c r="Z328" s="161"/>
      <c r="AA328" s="161"/>
      <c r="AB328" s="161"/>
      <c r="AC328" s="161"/>
      <c r="AD328" s="161"/>
      <c r="AE328" s="161"/>
      <c r="AF328" s="161"/>
      <c r="AG328" s="161"/>
      <c r="AH328" s="161"/>
      <c r="AI328" s="161"/>
      <c r="AJ328" s="161"/>
      <c r="AK328" s="161"/>
      <c r="AL328" s="161"/>
      <c r="AM328" s="161"/>
      <c r="AN328" s="161"/>
      <c r="AO328" s="161"/>
      <c r="AP328" s="161"/>
      <c r="AQ328" s="161">
        <f>SUM(AR328:AU328)</f>
      </c>
      <c r="AR328" s="161"/>
      <c r="AS328" s="161"/>
      <c r="AT328" s="161"/>
      <c r="AU328" s="161"/>
      <c r="AV328" s="161">
        <f>SUM(AW328:BH328)</f>
      </c>
      <c r="AW328" s="161"/>
      <c r="AX328" s="161"/>
      <c r="AY328" s="161"/>
      <c r="AZ328" s="161"/>
      <c r="BA328" s="161"/>
      <c r="BB328" s="161"/>
      <c r="BC328" s="161"/>
      <c r="BD328" s="161"/>
      <c r="BE328" s="161"/>
      <c r="BF328" s="161"/>
      <c r="BG328" s="161"/>
      <c r="BH328" s="161"/>
      <c r="BI328" s="161"/>
      <c r="BJ328" s="161"/>
      <c r="BK328" s="161"/>
      <c r="BL328" s="161"/>
      <c r="BM328" s="161"/>
      <c r="BN328" s="161"/>
      <c r="BO328" s="161"/>
      <c r="BP328" s="161"/>
      <c r="BQ328" s="161"/>
      <c r="BR328" s="161"/>
      <c r="BS328" s="161">
        <f>SUM(BT328:BV328)</f>
      </c>
      <c r="BT328" s="161"/>
      <c r="BU328" s="161"/>
      <c r="BV328" s="161"/>
      <c r="BW328" s="161">
        <f>SUM(BX328:CC328)</f>
      </c>
      <c r="BX328" s="161"/>
      <c r="BY328" s="161"/>
      <c r="BZ328" s="161"/>
      <c r="CA328" s="161"/>
      <c r="CB328" s="161"/>
      <c r="CC328" s="161"/>
      <c r="CD328" s="161"/>
      <c r="CE328" s="161"/>
      <c r="CF328" s="161"/>
      <c r="CG328" s="161"/>
      <c r="CH328" s="161"/>
      <c r="CI328" s="161"/>
      <c r="CJ328" s="161">
        <f>SUM(CK328:CM328)</f>
      </c>
      <c r="CK328" s="161"/>
      <c r="CL328" s="161"/>
      <c r="CM328" s="161"/>
      <c r="CN328" s="161">
        <f>SUM(CO328:CS328)</f>
      </c>
      <c r="CO328" s="161"/>
      <c r="CP328" s="161"/>
      <c r="CQ328" s="161"/>
      <c r="CR328" s="161"/>
      <c r="CS328" s="161"/>
      <c r="CT328" s="161"/>
      <c r="CU328" s="161"/>
      <c r="CV328" s="161"/>
      <c r="CW328" s="161"/>
      <c r="CX328" s="161"/>
      <c r="CY328" s="161"/>
      <c r="CZ328" s="161"/>
      <c r="DA328" s="161"/>
      <c r="DB328" s="161"/>
      <c r="DC328" s="161"/>
      <c r="DD328" s="161"/>
      <c r="DE328" s="161"/>
      <c r="DF328" s="161">
        <f>SUM(DG328:DG328)</f>
      </c>
      <c r="DG328" s="161"/>
      <c r="DH328" s="161"/>
      <c r="DI328" s="161"/>
      <c r="DJ328" s="161">
        <f>SUM(DK328:DP328)</f>
      </c>
      <c r="DK328" s="161"/>
      <c r="DL328" s="161"/>
      <c r="DM328" s="161"/>
      <c r="DN328" s="161"/>
      <c r="DO328" s="161"/>
      <c r="DP328" s="161"/>
      <c r="DQ328" s="161"/>
      <c r="DR328" s="161"/>
      <c r="DS328" s="161"/>
      <c r="DT328" s="161"/>
      <c r="DU328" s="161"/>
      <c r="DV328" s="161"/>
      <c r="DW328" s="161"/>
      <c r="DX328" s="161"/>
      <c r="DY328" s="161"/>
      <c r="DZ328" s="161"/>
      <c r="EA328" s="161"/>
      <c r="EB328" s="161"/>
      <c r="EC328" s="161"/>
      <c r="ED328" s="161"/>
      <c r="EE328" s="161"/>
      <c r="EF328" s="161">
        <f>SUM(EG328:EP328)</f>
      </c>
      <c r="EG328" s="161"/>
      <c r="EH328" s="161"/>
      <c r="EI328" s="161"/>
      <c r="EJ328" s="161"/>
      <c r="EK328" s="161"/>
      <c r="EL328" s="161"/>
      <c r="EM328" s="161"/>
      <c r="EN328" s="161"/>
      <c r="EO328" s="161"/>
      <c r="EP328" s="161"/>
      <c r="EQ328" s="161">
        <f>SUM(ER328:ES328)</f>
      </c>
      <c r="ER328" s="161"/>
      <c r="ES328" s="161"/>
      <c r="ET328" s="161"/>
      <c r="EU328" s="161"/>
      <c r="EV328" s="161"/>
      <c r="EW328" s="161"/>
      <c r="EX328" s="161"/>
      <c r="EY328" s="161"/>
      <c r="EZ328" s="161"/>
      <c r="FA328" s="161"/>
      <c r="FB328" s="161"/>
      <c r="FC328" s="161"/>
      <c r="FD328" s="161"/>
      <c r="FE328" s="161"/>
      <c r="FF328" s="161"/>
      <c r="FG328" s="161"/>
      <c r="FH328" s="163" cm="1">
        <f t="array" ref="FH328">ROW()-ROW(Ongoing[#Headers])</f>
        <v>322</v>
      </c>
      <c r="FI328" s="164" t="e">
        <v>#N/A</v>
      </c>
      <c r="FJ328" s="164" t="e">
        <v>#N/A</v>
      </c>
      <c r="FK328" s="164" t="e">
        <v>#N/A</v>
      </c>
      <c r="FL328" s="164" t="e">
        <v>#N/A</v>
      </c>
      <c r="FM328" s="164" t="e">
        <v>#N/A</v>
      </c>
      <c r="FN328" s="164" t="e">
        <v>#N/A</v>
      </c>
      <c r="FO328" s="164" t="e">
        <v>#N/A</v>
      </c>
      <c r="FP328" s="164" t="e">
        <v>#N/A</v>
      </c>
    </row>
    <row r="329" spans="2:172" s="115" customFormat="1" ht="11.25" x14ac:dyDescent="0.2">
      <c r="B329" s="148"/>
      <c r="C329" s="148"/>
      <c r="D329" s="148"/>
      <c r="E329" s="148"/>
      <c r="F329" s="148"/>
      <c r="G329" s="148"/>
      <c r="H329" s="148"/>
      <c r="I329" s="148"/>
      <c r="J329" s="148"/>
      <c r="K329" s="148"/>
      <c r="L329" s="148"/>
      <c r="M329" s="160"/>
      <c r="N329" s="160"/>
      <c r="O329" s="148"/>
      <c r="P329" s="161">
        <f>SUM(Q329:AP329)</f>
      </c>
      <c r="Q329" s="161"/>
      <c r="R329" s="161"/>
      <c r="S329" s="161"/>
      <c r="T329" s="161"/>
      <c r="U329" s="161"/>
      <c r="V329" s="161"/>
      <c r="W329" s="161"/>
      <c r="X329" s="161"/>
      <c r="Y329" s="161"/>
      <c r="Z329" s="161"/>
      <c r="AA329" s="161"/>
      <c r="AB329" s="161"/>
      <c r="AC329" s="161"/>
      <c r="AD329" s="161"/>
      <c r="AE329" s="161"/>
      <c r="AF329" s="161"/>
      <c r="AG329" s="161"/>
      <c r="AH329" s="161"/>
      <c r="AI329" s="161"/>
      <c r="AJ329" s="161"/>
      <c r="AK329" s="161"/>
      <c r="AL329" s="161"/>
      <c r="AM329" s="161"/>
      <c r="AN329" s="161"/>
      <c r="AO329" s="161"/>
      <c r="AP329" s="161"/>
      <c r="AQ329" s="161">
        <f>SUM(AR329:AU329)</f>
      </c>
      <c r="AR329" s="161"/>
      <c r="AS329" s="161"/>
      <c r="AT329" s="161"/>
      <c r="AU329" s="161"/>
      <c r="AV329" s="161">
        <f>SUM(AW329:BH329)</f>
      </c>
      <c r="AW329" s="161"/>
      <c r="AX329" s="161"/>
      <c r="AY329" s="161"/>
      <c r="AZ329" s="161"/>
      <c r="BA329" s="161"/>
      <c r="BB329" s="161"/>
      <c r="BC329" s="161"/>
      <c r="BD329" s="161"/>
      <c r="BE329" s="161"/>
      <c r="BF329" s="161"/>
      <c r="BG329" s="161"/>
      <c r="BH329" s="161"/>
      <c r="BI329" s="161"/>
      <c r="BJ329" s="161"/>
      <c r="BK329" s="161"/>
      <c r="BL329" s="161"/>
      <c r="BM329" s="161"/>
      <c r="BN329" s="161"/>
      <c r="BO329" s="161"/>
      <c r="BP329" s="161"/>
      <c r="BQ329" s="161"/>
      <c r="BR329" s="161"/>
      <c r="BS329" s="161">
        <f>SUM(BT329:BV329)</f>
      </c>
      <c r="BT329" s="161"/>
      <c r="BU329" s="161"/>
      <c r="BV329" s="161"/>
      <c r="BW329" s="161">
        <f>SUM(BX329:CC329)</f>
      </c>
      <c r="BX329" s="161"/>
      <c r="BY329" s="161"/>
      <c r="BZ329" s="161"/>
      <c r="CA329" s="161"/>
      <c r="CB329" s="161"/>
      <c r="CC329" s="161"/>
      <c r="CD329" s="161"/>
      <c r="CE329" s="161"/>
      <c r="CF329" s="161"/>
      <c r="CG329" s="161"/>
      <c r="CH329" s="161"/>
      <c r="CI329" s="161"/>
      <c r="CJ329" s="161">
        <f>SUM(CK329:CM329)</f>
      </c>
      <c r="CK329" s="161"/>
      <c r="CL329" s="161"/>
      <c r="CM329" s="161"/>
      <c r="CN329" s="161">
        <f>SUM(CO329:CS329)</f>
      </c>
      <c r="CO329" s="161"/>
      <c r="CP329" s="161"/>
      <c r="CQ329" s="161"/>
      <c r="CR329" s="161"/>
      <c r="CS329" s="161"/>
      <c r="CT329" s="161"/>
      <c r="CU329" s="161"/>
      <c r="CV329" s="161"/>
      <c r="CW329" s="161"/>
      <c r="CX329" s="161"/>
      <c r="CY329" s="161"/>
      <c r="CZ329" s="161"/>
      <c r="DA329" s="161"/>
      <c r="DB329" s="161"/>
      <c r="DC329" s="161"/>
      <c r="DD329" s="161"/>
      <c r="DE329" s="161"/>
      <c r="DF329" s="161">
        <f>SUM(DG329:DG329)</f>
      </c>
      <c r="DG329" s="161"/>
      <c r="DH329" s="161"/>
      <c r="DI329" s="161"/>
      <c r="DJ329" s="161">
        <f>SUM(DK329:DP329)</f>
      </c>
      <c r="DK329" s="161"/>
      <c r="DL329" s="161"/>
      <c r="DM329" s="161"/>
      <c r="DN329" s="161"/>
      <c r="DO329" s="161"/>
      <c r="DP329" s="161"/>
      <c r="DQ329" s="161"/>
      <c r="DR329" s="161"/>
      <c r="DS329" s="161"/>
      <c r="DT329" s="161"/>
      <c r="DU329" s="161"/>
      <c r="DV329" s="161"/>
      <c r="DW329" s="161"/>
      <c r="DX329" s="161"/>
      <c r="DY329" s="161"/>
      <c r="DZ329" s="161"/>
      <c r="EA329" s="161"/>
      <c r="EB329" s="161"/>
      <c r="EC329" s="161"/>
      <c r="ED329" s="161"/>
      <c r="EE329" s="161"/>
      <c r="EF329" s="161">
        <f>SUM(EG329:EP329)</f>
      </c>
      <c r="EG329" s="161"/>
      <c r="EH329" s="161"/>
      <c r="EI329" s="161"/>
      <c r="EJ329" s="161"/>
      <c r="EK329" s="161"/>
      <c r="EL329" s="161"/>
      <c r="EM329" s="161"/>
      <c r="EN329" s="161"/>
      <c r="EO329" s="161"/>
      <c r="EP329" s="161"/>
      <c r="EQ329" s="161">
        <f>SUM(ER329:ES329)</f>
      </c>
      <c r="ER329" s="161"/>
      <c r="ES329" s="161"/>
      <c r="ET329" s="161"/>
      <c r="EU329" s="161"/>
      <c r="EV329" s="161"/>
      <c r="EW329" s="161"/>
      <c r="EX329" s="161"/>
      <c r="EY329" s="161"/>
      <c r="EZ329" s="161"/>
      <c r="FA329" s="161"/>
      <c r="FB329" s="161"/>
      <c r="FC329" s="161"/>
      <c r="FD329" s="161"/>
      <c r="FE329" s="161"/>
      <c r="FF329" s="161"/>
      <c r="FG329" s="161"/>
      <c r="FH329" s="163" cm="1">
        <f t="array" ref="FH329">ROW()-ROW(Ongoing[#Headers])</f>
        <v>323</v>
      </c>
      <c r="FI329" s="164" t="e">
        <v>#N/A</v>
      </c>
      <c r="FJ329" s="164" t="e">
        <v>#N/A</v>
      </c>
      <c r="FK329" s="164" t="e">
        <v>#N/A</v>
      </c>
      <c r="FL329" s="164" t="e">
        <v>#N/A</v>
      </c>
      <c r="FM329" s="164" t="e">
        <v>#N/A</v>
      </c>
      <c r="FN329" s="164" t="e">
        <v>#N/A</v>
      </c>
      <c r="FO329" s="164" t="e">
        <v>#N/A</v>
      </c>
      <c r="FP329" s="164" t="e">
        <v>#N/A</v>
      </c>
    </row>
    <row r="330" spans="2:172" s="115" customFormat="1" ht="11.25" x14ac:dyDescent="0.2">
      <c r="B330" s="148"/>
      <c r="C330" s="148"/>
      <c r="D330" s="148"/>
      <c r="E330" s="148"/>
      <c r="F330" s="148"/>
      <c r="G330" s="148"/>
      <c r="H330" s="148"/>
      <c r="I330" s="148"/>
      <c r="J330" s="148"/>
      <c r="K330" s="148"/>
      <c r="L330" s="148"/>
      <c r="M330" s="160"/>
      <c r="N330" s="160"/>
      <c r="O330" s="148"/>
      <c r="P330" s="161">
        <f>SUM(Q330:AP330)</f>
      </c>
      <c r="Q330" s="161"/>
      <c r="R330" s="161"/>
      <c r="S330" s="161"/>
      <c r="T330" s="161"/>
      <c r="U330" s="161"/>
      <c r="V330" s="161"/>
      <c r="W330" s="161"/>
      <c r="X330" s="161"/>
      <c r="Y330" s="161"/>
      <c r="Z330" s="161"/>
      <c r="AA330" s="161"/>
      <c r="AB330" s="161"/>
      <c r="AC330" s="161"/>
      <c r="AD330" s="161"/>
      <c r="AE330" s="161"/>
      <c r="AF330" s="161"/>
      <c r="AG330" s="161"/>
      <c r="AH330" s="161"/>
      <c r="AI330" s="161"/>
      <c r="AJ330" s="161"/>
      <c r="AK330" s="161"/>
      <c r="AL330" s="161"/>
      <c r="AM330" s="161"/>
      <c r="AN330" s="161"/>
      <c r="AO330" s="161"/>
      <c r="AP330" s="161"/>
      <c r="AQ330" s="161">
        <f>SUM(AR330:AU330)</f>
      </c>
      <c r="AR330" s="161"/>
      <c r="AS330" s="161"/>
      <c r="AT330" s="161"/>
      <c r="AU330" s="161"/>
      <c r="AV330" s="161">
        <f>SUM(AW330:BH330)</f>
      </c>
      <c r="AW330" s="161"/>
      <c r="AX330" s="161"/>
      <c r="AY330" s="161"/>
      <c r="AZ330" s="161"/>
      <c r="BA330" s="161"/>
      <c r="BB330" s="161"/>
      <c r="BC330" s="161"/>
      <c r="BD330" s="161"/>
      <c r="BE330" s="161"/>
      <c r="BF330" s="161"/>
      <c r="BG330" s="161"/>
      <c r="BH330" s="161"/>
      <c r="BI330" s="161"/>
      <c r="BJ330" s="161"/>
      <c r="BK330" s="161"/>
      <c r="BL330" s="161"/>
      <c r="BM330" s="161"/>
      <c r="BN330" s="161"/>
      <c r="BO330" s="161"/>
      <c r="BP330" s="161"/>
      <c r="BQ330" s="161"/>
      <c r="BR330" s="161"/>
      <c r="BS330" s="161">
        <f>SUM(BT330:BV330)</f>
      </c>
      <c r="BT330" s="161"/>
      <c r="BU330" s="161"/>
      <c r="BV330" s="161"/>
      <c r="BW330" s="161">
        <f>SUM(BX330:CC330)</f>
      </c>
      <c r="BX330" s="161"/>
      <c r="BY330" s="161"/>
      <c r="BZ330" s="161"/>
      <c r="CA330" s="161"/>
      <c r="CB330" s="161"/>
      <c r="CC330" s="161"/>
      <c r="CD330" s="161"/>
      <c r="CE330" s="161"/>
      <c r="CF330" s="161"/>
      <c r="CG330" s="161"/>
      <c r="CH330" s="161"/>
      <c r="CI330" s="161"/>
      <c r="CJ330" s="161">
        <f>SUM(CK330:CM330)</f>
      </c>
      <c r="CK330" s="161"/>
      <c r="CL330" s="161"/>
      <c r="CM330" s="161"/>
      <c r="CN330" s="161">
        <f>SUM(CO330:CS330)</f>
      </c>
      <c r="CO330" s="161"/>
      <c r="CP330" s="161"/>
      <c r="CQ330" s="161"/>
      <c r="CR330" s="161"/>
      <c r="CS330" s="161"/>
      <c r="CT330" s="161"/>
      <c r="CU330" s="161"/>
      <c r="CV330" s="161"/>
      <c r="CW330" s="161"/>
      <c r="CX330" s="161"/>
      <c r="CY330" s="161"/>
      <c r="CZ330" s="161"/>
      <c r="DA330" s="161"/>
      <c r="DB330" s="161"/>
      <c r="DC330" s="161"/>
      <c r="DD330" s="161"/>
      <c r="DE330" s="161"/>
      <c r="DF330" s="161">
        <f>SUM(DG330:DG330)</f>
      </c>
      <c r="DG330" s="161"/>
      <c r="DH330" s="161"/>
      <c r="DI330" s="161"/>
      <c r="DJ330" s="161">
        <f>SUM(DK330:DP330)</f>
      </c>
      <c r="DK330" s="161"/>
      <c r="DL330" s="161"/>
      <c r="DM330" s="161"/>
      <c r="DN330" s="161"/>
      <c r="DO330" s="161"/>
      <c r="DP330" s="161"/>
      <c r="DQ330" s="161"/>
      <c r="DR330" s="161"/>
      <c r="DS330" s="161"/>
      <c r="DT330" s="161"/>
      <c r="DU330" s="161"/>
      <c r="DV330" s="161"/>
      <c r="DW330" s="161"/>
      <c r="DX330" s="161"/>
      <c r="DY330" s="161"/>
      <c r="DZ330" s="161"/>
      <c r="EA330" s="161"/>
      <c r="EB330" s="161"/>
      <c r="EC330" s="161"/>
      <c r="ED330" s="161"/>
      <c r="EE330" s="161"/>
      <c r="EF330" s="161">
        <f>SUM(EG330:EP330)</f>
      </c>
      <c r="EG330" s="161"/>
      <c r="EH330" s="161"/>
      <c r="EI330" s="161"/>
      <c r="EJ330" s="161"/>
      <c r="EK330" s="161"/>
      <c r="EL330" s="161"/>
      <c r="EM330" s="161"/>
      <c r="EN330" s="161"/>
      <c r="EO330" s="161"/>
      <c r="EP330" s="161"/>
      <c r="EQ330" s="161">
        <f>SUM(ER330:ES330)</f>
      </c>
      <c r="ER330" s="161"/>
      <c r="ES330" s="161"/>
      <c r="ET330" s="161"/>
      <c r="EU330" s="161"/>
      <c r="EV330" s="161"/>
      <c r="EW330" s="161"/>
      <c r="EX330" s="161"/>
      <c r="EY330" s="161"/>
      <c r="EZ330" s="161"/>
      <c r="FA330" s="161"/>
      <c r="FB330" s="161"/>
      <c r="FC330" s="161"/>
      <c r="FD330" s="161"/>
      <c r="FE330" s="161"/>
      <c r="FF330" s="161"/>
      <c r="FG330" s="161"/>
      <c r="FH330" s="163" cm="1">
        <f t="array" ref="FH330">ROW()-ROW(Ongoing[#Headers])</f>
        <v>324</v>
      </c>
      <c r="FI330" s="164" t="e">
        <v>#N/A</v>
      </c>
      <c r="FJ330" s="164" t="e">
        <v>#N/A</v>
      </c>
      <c r="FK330" s="164" t="e">
        <v>#N/A</v>
      </c>
      <c r="FL330" s="164" t="e">
        <v>#N/A</v>
      </c>
      <c r="FM330" s="164" t="e">
        <v>#N/A</v>
      </c>
      <c r="FN330" s="164" t="e">
        <v>#N/A</v>
      </c>
      <c r="FO330" s="164" t="e">
        <v>#N/A</v>
      </c>
      <c r="FP330" s="164" t="e">
        <v>#N/A</v>
      </c>
    </row>
    <row r="331" spans="2:172" s="115" customFormat="1" ht="11.25" x14ac:dyDescent="0.2">
      <c r="B331" s="148"/>
      <c r="C331" s="148"/>
      <c r="D331" s="148"/>
      <c r="E331" s="148"/>
      <c r="F331" s="148"/>
      <c r="G331" s="148"/>
      <c r="H331" s="148"/>
      <c r="I331" s="148"/>
      <c r="J331" s="148"/>
      <c r="K331" s="148"/>
      <c r="L331" s="148"/>
      <c r="M331" s="160"/>
      <c r="N331" s="160"/>
      <c r="O331" s="148"/>
      <c r="P331" s="161">
        <f>SUM(Q331:AP331)</f>
      </c>
      <c r="Q331" s="161"/>
      <c r="R331" s="161"/>
      <c r="S331" s="161"/>
      <c r="T331" s="161"/>
      <c r="U331" s="161"/>
      <c r="V331" s="161"/>
      <c r="W331" s="161"/>
      <c r="X331" s="161"/>
      <c r="Y331" s="161"/>
      <c r="Z331" s="161"/>
      <c r="AA331" s="161"/>
      <c r="AB331" s="161"/>
      <c r="AC331" s="161"/>
      <c r="AD331" s="161"/>
      <c r="AE331" s="161"/>
      <c r="AF331" s="161"/>
      <c r="AG331" s="161"/>
      <c r="AH331" s="161"/>
      <c r="AI331" s="161"/>
      <c r="AJ331" s="161"/>
      <c r="AK331" s="161"/>
      <c r="AL331" s="161"/>
      <c r="AM331" s="161"/>
      <c r="AN331" s="161"/>
      <c r="AO331" s="161"/>
      <c r="AP331" s="161"/>
      <c r="AQ331" s="161">
        <f>SUM(AR331:AU331)</f>
      </c>
      <c r="AR331" s="161"/>
      <c r="AS331" s="161"/>
      <c r="AT331" s="161"/>
      <c r="AU331" s="161"/>
      <c r="AV331" s="161">
        <f>SUM(AW331:BH331)</f>
      </c>
      <c r="AW331" s="161"/>
      <c r="AX331" s="161"/>
      <c r="AY331" s="161"/>
      <c r="AZ331" s="161"/>
      <c r="BA331" s="161"/>
      <c r="BB331" s="161"/>
      <c r="BC331" s="161"/>
      <c r="BD331" s="161"/>
      <c r="BE331" s="161"/>
      <c r="BF331" s="161"/>
      <c r="BG331" s="161"/>
      <c r="BH331" s="161"/>
      <c r="BI331" s="161"/>
      <c r="BJ331" s="161"/>
      <c r="BK331" s="161"/>
      <c r="BL331" s="161"/>
      <c r="BM331" s="161"/>
      <c r="BN331" s="161"/>
      <c r="BO331" s="161"/>
      <c r="BP331" s="161"/>
      <c r="BQ331" s="161"/>
      <c r="BR331" s="161"/>
      <c r="BS331" s="161">
        <f>SUM(BT331:BV331)</f>
      </c>
      <c r="BT331" s="161"/>
      <c r="BU331" s="161"/>
      <c r="BV331" s="161"/>
      <c r="BW331" s="161">
        <f>SUM(BX331:CC331)</f>
      </c>
      <c r="BX331" s="161"/>
      <c r="BY331" s="161"/>
      <c r="BZ331" s="161"/>
      <c r="CA331" s="161"/>
      <c r="CB331" s="161"/>
      <c r="CC331" s="161"/>
      <c r="CD331" s="161"/>
      <c r="CE331" s="161"/>
      <c r="CF331" s="161"/>
      <c r="CG331" s="161"/>
      <c r="CH331" s="161"/>
      <c r="CI331" s="161"/>
      <c r="CJ331" s="161">
        <f>SUM(CK331:CM331)</f>
      </c>
      <c r="CK331" s="161"/>
      <c r="CL331" s="161"/>
      <c r="CM331" s="161"/>
      <c r="CN331" s="161">
        <f>SUM(CO331:CS331)</f>
      </c>
      <c r="CO331" s="161"/>
      <c r="CP331" s="161"/>
      <c r="CQ331" s="161"/>
      <c r="CR331" s="161"/>
      <c r="CS331" s="161"/>
      <c r="CT331" s="161"/>
      <c r="CU331" s="161"/>
      <c r="CV331" s="161"/>
      <c r="CW331" s="161"/>
      <c r="CX331" s="161"/>
      <c r="CY331" s="161"/>
      <c r="CZ331" s="161"/>
      <c r="DA331" s="161"/>
      <c r="DB331" s="161"/>
      <c r="DC331" s="161"/>
      <c r="DD331" s="161"/>
      <c r="DE331" s="161"/>
      <c r="DF331" s="161">
        <f>SUM(DG331:DG331)</f>
      </c>
      <c r="DG331" s="161"/>
      <c r="DH331" s="161"/>
      <c r="DI331" s="161"/>
      <c r="DJ331" s="161">
        <f>SUM(DK331:DP331)</f>
      </c>
      <c r="DK331" s="161"/>
      <c r="DL331" s="161"/>
      <c r="DM331" s="161"/>
      <c r="DN331" s="161"/>
      <c r="DO331" s="161"/>
      <c r="DP331" s="161"/>
      <c r="DQ331" s="161"/>
      <c r="DR331" s="161"/>
      <c r="DS331" s="161"/>
      <c r="DT331" s="161"/>
      <c r="DU331" s="161"/>
      <c r="DV331" s="161"/>
      <c r="DW331" s="161"/>
      <c r="DX331" s="161"/>
      <c r="DY331" s="161"/>
      <c r="DZ331" s="161"/>
      <c r="EA331" s="161"/>
      <c r="EB331" s="161"/>
      <c r="EC331" s="161"/>
      <c r="ED331" s="161"/>
      <c r="EE331" s="161"/>
      <c r="EF331" s="161">
        <f>SUM(EG331:EP331)</f>
      </c>
      <c r="EG331" s="161"/>
      <c r="EH331" s="161"/>
      <c r="EI331" s="161"/>
      <c r="EJ331" s="161"/>
      <c r="EK331" s="161"/>
      <c r="EL331" s="161"/>
      <c r="EM331" s="161"/>
      <c r="EN331" s="161"/>
      <c r="EO331" s="161"/>
      <c r="EP331" s="161"/>
      <c r="EQ331" s="161">
        <f>SUM(ER331:ES331)</f>
      </c>
      <c r="ER331" s="161"/>
      <c r="ES331" s="161"/>
      <c r="ET331" s="161"/>
      <c r="EU331" s="161"/>
      <c r="EV331" s="161"/>
      <c r="EW331" s="161"/>
      <c r="EX331" s="161"/>
      <c r="EY331" s="161"/>
      <c r="EZ331" s="161"/>
      <c r="FA331" s="161"/>
      <c r="FB331" s="161"/>
      <c r="FC331" s="161"/>
      <c r="FD331" s="161"/>
      <c r="FE331" s="161"/>
      <c r="FF331" s="161"/>
      <c r="FG331" s="161"/>
      <c r="FH331" s="163" cm="1">
        <f t="array" ref="FH331">ROW()-ROW(Ongoing[#Headers])</f>
        <v>325</v>
      </c>
      <c r="FI331" s="164" t="e">
        <v>#N/A</v>
      </c>
      <c r="FJ331" s="164" t="e">
        <v>#N/A</v>
      </c>
      <c r="FK331" s="164" t="e">
        <v>#N/A</v>
      </c>
      <c r="FL331" s="164" t="e">
        <v>#N/A</v>
      </c>
      <c r="FM331" s="164" t="e">
        <v>#N/A</v>
      </c>
      <c r="FN331" s="164" t="e">
        <v>#N/A</v>
      </c>
      <c r="FO331" s="164" t="e">
        <v>#N/A</v>
      </c>
      <c r="FP331" s="164" t="e">
        <v>#N/A</v>
      </c>
    </row>
    <row r="332" spans="2:172" s="115" customFormat="1" ht="11.25" x14ac:dyDescent="0.2">
      <c r="B332" s="148"/>
      <c r="C332" s="148"/>
      <c r="D332" s="148"/>
      <c r="E332" s="148"/>
      <c r="F332" s="148"/>
      <c r="G332" s="148"/>
      <c r="H332" s="148"/>
      <c r="I332" s="148"/>
      <c r="J332" s="148"/>
      <c r="K332" s="148"/>
      <c r="L332" s="148"/>
      <c r="M332" s="160"/>
      <c r="N332" s="160"/>
      <c r="O332" s="148"/>
      <c r="P332" s="161">
        <f>SUM(Q332:AP332)</f>
      </c>
      <c r="Q332" s="161"/>
      <c r="R332" s="161"/>
      <c r="S332" s="161"/>
      <c r="T332" s="161"/>
      <c r="U332" s="161"/>
      <c r="V332" s="161"/>
      <c r="W332" s="161"/>
      <c r="X332" s="161"/>
      <c r="Y332" s="161"/>
      <c r="Z332" s="161"/>
      <c r="AA332" s="161"/>
      <c r="AB332" s="161"/>
      <c r="AC332" s="161"/>
      <c r="AD332" s="161"/>
      <c r="AE332" s="161"/>
      <c r="AF332" s="161"/>
      <c r="AG332" s="161"/>
      <c r="AH332" s="161"/>
      <c r="AI332" s="161"/>
      <c r="AJ332" s="161"/>
      <c r="AK332" s="161"/>
      <c r="AL332" s="161"/>
      <c r="AM332" s="161"/>
      <c r="AN332" s="161"/>
      <c r="AO332" s="161"/>
      <c r="AP332" s="161"/>
      <c r="AQ332" s="161">
        <f>SUM(AR332:AU332)</f>
      </c>
      <c r="AR332" s="161"/>
      <c r="AS332" s="161"/>
      <c r="AT332" s="161"/>
      <c r="AU332" s="161"/>
      <c r="AV332" s="161">
        <f>SUM(AW332:BH332)</f>
      </c>
      <c r="AW332" s="161"/>
      <c r="AX332" s="161"/>
      <c r="AY332" s="161"/>
      <c r="AZ332" s="161"/>
      <c r="BA332" s="161"/>
      <c r="BB332" s="161"/>
      <c r="BC332" s="161"/>
      <c r="BD332" s="161"/>
      <c r="BE332" s="161"/>
      <c r="BF332" s="161"/>
      <c r="BG332" s="161"/>
      <c r="BH332" s="161"/>
      <c r="BI332" s="161"/>
      <c r="BJ332" s="161"/>
      <c r="BK332" s="161"/>
      <c r="BL332" s="161"/>
      <c r="BM332" s="161"/>
      <c r="BN332" s="161"/>
      <c r="BO332" s="161"/>
      <c r="BP332" s="161"/>
      <c r="BQ332" s="161"/>
      <c r="BR332" s="161"/>
      <c r="BS332" s="161">
        <f>SUM(BT332:BV332)</f>
      </c>
      <c r="BT332" s="161"/>
      <c r="BU332" s="161"/>
      <c r="BV332" s="161"/>
      <c r="BW332" s="161">
        <f>SUM(BX332:CC332)</f>
      </c>
      <c r="BX332" s="161"/>
      <c r="BY332" s="161"/>
      <c r="BZ332" s="161"/>
      <c r="CA332" s="161"/>
      <c r="CB332" s="161"/>
      <c r="CC332" s="161"/>
      <c r="CD332" s="161"/>
      <c r="CE332" s="161"/>
      <c r="CF332" s="161"/>
      <c r="CG332" s="161"/>
      <c r="CH332" s="161"/>
      <c r="CI332" s="161"/>
      <c r="CJ332" s="161">
        <f>SUM(CK332:CM332)</f>
      </c>
      <c r="CK332" s="161"/>
      <c r="CL332" s="161"/>
      <c r="CM332" s="161"/>
      <c r="CN332" s="161">
        <f>SUM(CO332:CS332)</f>
      </c>
      <c r="CO332" s="161"/>
      <c r="CP332" s="161"/>
      <c r="CQ332" s="161"/>
      <c r="CR332" s="161"/>
      <c r="CS332" s="161"/>
      <c r="CT332" s="161"/>
      <c r="CU332" s="161"/>
      <c r="CV332" s="161"/>
      <c r="CW332" s="161"/>
      <c r="CX332" s="161"/>
      <c r="CY332" s="161"/>
      <c r="CZ332" s="161"/>
      <c r="DA332" s="161"/>
      <c r="DB332" s="161"/>
      <c r="DC332" s="161"/>
      <c r="DD332" s="161"/>
      <c r="DE332" s="161"/>
      <c r="DF332" s="161">
        <f>SUM(DG332:DG332)</f>
      </c>
      <c r="DG332" s="161"/>
      <c r="DH332" s="161"/>
      <c r="DI332" s="161"/>
      <c r="DJ332" s="161">
        <f>SUM(DK332:DP332)</f>
      </c>
      <c r="DK332" s="161"/>
      <c r="DL332" s="161"/>
      <c r="DM332" s="161"/>
      <c r="DN332" s="161"/>
      <c r="DO332" s="161"/>
      <c r="DP332" s="161"/>
      <c r="DQ332" s="161"/>
      <c r="DR332" s="161"/>
      <c r="DS332" s="161"/>
      <c r="DT332" s="161"/>
      <c r="DU332" s="161"/>
      <c r="DV332" s="161"/>
      <c r="DW332" s="161"/>
      <c r="DX332" s="161"/>
      <c r="DY332" s="161"/>
      <c r="DZ332" s="161"/>
      <c r="EA332" s="161"/>
      <c r="EB332" s="161"/>
      <c r="EC332" s="161"/>
      <c r="ED332" s="161"/>
      <c r="EE332" s="161"/>
      <c r="EF332" s="161">
        <f>SUM(EG332:EP332)</f>
      </c>
      <c r="EG332" s="161"/>
      <c r="EH332" s="161"/>
      <c r="EI332" s="161"/>
      <c r="EJ332" s="161"/>
      <c r="EK332" s="161"/>
      <c r="EL332" s="161"/>
      <c r="EM332" s="161"/>
      <c r="EN332" s="161"/>
      <c r="EO332" s="161"/>
      <c r="EP332" s="161"/>
      <c r="EQ332" s="161">
        <f>SUM(ER332:ES332)</f>
      </c>
      <c r="ER332" s="161"/>
      <c r="ES332" s="161"/>
      <c r="ET332" s="161"/>
      <c r="EU332" s="161"/>
      <c r="EV332" s="161"/>
      <c r="EW332" s="161"/>
      <c r="EX332" s="161"/>
      <c r="EY332" s="161"/>
      <c r="EZ332" s="161"/>
      <c r="FA332" s="161"/>
      <c r="FB332" s="161"/>
      <c r="FC332" s="161"/>
      <c r="FD332" s="161"/>
      <c r="FE332" s="161"/>
      <c r="FF332" s="161"/>
      <c r="FG332" s="161"/>
      <c r="FH332" s="163" cm="1">
        <f t="array" ref="FH332">ROW()-ROW(Ongoing[#Headers])</f>
        <v>326</v>
      </c>
      <c r="FI332" s="164" t="e">
        <v>#N/A</v>
      </c>
      <c r="FJ332" s="164" t="e">
        <v>#N/A</v>
      </c>
      <c r="FK332" s="164" t="e">
        <v>#N/A</v>
      </c>
      <c r="FL332" s="164" t="e">
        <v>#N/A</v>
      </c>
      <c r="FM332" s="164" t="e">
        <v>#N/A</v>
      </c>
      <c r="FN332" s="164" t="e">
        <v>#N/A</v>
      </c>
      <c r="FO332" s="164" t="e">
        <v>#N/A</v>
      </c>
      <c r="FP332" s="164" t="e">
        <v>#N/A</v>
      </c>
    </row>
    <row r="333" spans="2:172" s="115" customFormat="1" ht="11.25" x14ac:dyDescent="0.2">
      <c r="B333" s="148"/>
      <c r="C333" s="148"/>
      <c r="D333" s="148"/>
      <c r="E333" s="148"/>
      <c r="F333" s="148"/>
      <c r="G333" s="148"/>
      <c r="H333" s="148"/>
      <c r="I333" s="148"/>
      <c r="J333" s="148"/>
      <c r="K333" s="148"/>
      <c r="L333" s="148"/>
      <c r="M333" s="160"/>
      <c r="N333" s="160"/>
      <c r="O333" s="148"/>
      <c r="P333" s="161">
        <f>SUM(Q333:AP333)</f>
      </c>
      <c r="Q333" s="161"/>
      <c r="R333" s="161"/>
      <c r="S333" s="161"/>
      <c r="T333" s="161"/>
      <c r="U333" s="161"/>
      <c r="V333" s="161"/>
      <c r="W333" s="161"/>
      <c r="X333" s="161"/>
      <c r="Y333" s="161"/>
      <c r="Z333" s="161"/>
      <c r="AA333" s="161"/>
      <c r="AB333" s="161"/>
      <c r="AC333" s="161"/>
      <c r="AD333" s="161"/>
      <c r="AE333" s="161"/>
      <c r="AF333" s="161"/>
      <c r="AG333" s="161"/>
      <c r="AH333" s="161"/>
      <c r="AI333" s="161"/>
      <c r="AJ333" s="161"/>
      <c r="AK333" s="161"/>
      <c r="AL333" s="161"/>
      <c r="AM333" s="161"/>
      <c r="AN333" s="161"/>
      <c r="AO333" s="161"/>
      <c r="AP333" s="161"/>
      <c r="AQ333" s="161">
        <f>SUM(AR333:AU333)</f>
      </c>
      <c r="AR333" s="161"/>
      <c r="AS333" s="161"/>
      <c r="AT333" s="161"/>
      <c r="AU333" s="161"/>
      <c r="AV333" s="161">
        <f>SUM(AW333:BH333)</f>
      </c>
      <c r="AW333" s="161"/>
      <c r="AX333" s="161"/>
      <c r="AY333" s="161"/>
      <c r="AZ333" s="161"/>
      <c r="BA333" s="161"/>
      <c r="BB333" s="161"/>
      <c r="BC333" s="161"/>
      <c r="BD333" s="161"/>
      <c r="BE333" s="161"/>
      <c r="BF333" s="161"/>
      <c r="BG333" s="161"/>
      <c r="BH333" s="161"/>
      <c r="BI333" s="161"/>
      <c r="BJ333" s="161"/>
      <c r="BK333" s="161"/>
      <c r="BL333" s="161"/>
      <c r="BM333" s="161"/>
      <c r="BN333" s="161"/>
      <c r="BO333" s="161"/>
      <c r="BP333" s="161"/>
      <c r="BQ333" s="161"/>
      <c r="BR333" s="161"/>
      <c r="BS333" s="161">
        <f>SUM(BT333:BV333)</f>
      </c>
      <c r="BT333" s="161"/>
      <c r="BU333" s="161"/>
      <c r="BV333" s="161"/>
      <c r="BW333" s="161">
        <f>SUM(BX333:CC333)</f>
      </c>
      <c r="BX333" s="161"/>
      <c r="BY333" s="161"/>
      <c r="BZ333" s="161"/>
      <c r="CA333" s="161"/>
      <c r="CB333" s="161"/>
      <c r="CC333" s="161"/>
      <c r="CD333" s="161"/>
      <c r="CE333" s="161"/>
      <c r="CF333" s="161"/>
      <c r="CG333" s="161"/>
      <c r="CH333" s="161"/>
      <c r="CI333" s="161"/>
      <c r="CJ333" s="161">
        <f>SUM(CK333:CM333)</f>
      </c>
      <c r="CK333" s="161"/>
      <c r="CL333" s="161"/>
      <c r="CM333" s="161"/>
      <c r="CN333" s="161">
        <f>SUM(CO333:CS333)</f>
      </c>
      <c r="CO333" s="161"/>
      <c r="CP333" s="161"/>
      <c r="CQ333" s="161"/>
      <c r="CR333" s="161"/>
      <c r="CS333" s="161"/>
      <c r="CT333" s="161"/>
      <c r="CU333" s="161"/>
      <c r="CV333" s="161"/>
      <c r="CW333" s="161"/>
      <c r="CX333" s="161"/>
      <c r="CY333" s="161"/>
      <c r="CZ333" s="161"/>
      <c r="DA333" s="161"/>
      <c r="DB333" s="161"/>
      <c r="DC333" s="161"/>
      <c r="DD333" s="161"/>
      <c r="DE333" s="161"/>
      <c r="DF333" s="161">
        <f>SUM(DG333:DG333)</f>
      </c>
      <c r="DG333" s="161"/>
      <c r="DH333" s="161"/>
      <c r="DI333" s="161"/>
      <c r="DJ333" s="161">
        <f>SUM(DK333:DP333)</f>
      </c>
      <c r="DK333" s="161"/>
      <c r="DL333" s="161"/>
      <c r="DM333" s="161"/>
      <c r="DN333" s="161"/>
      <c r="DO333" s="161"/>
      <c r="DP333" s="161"/>
      <c r="DQ333" s="161"/>
      <c r="DR333" s="161"/>
      <c r="DS333" s="161"/>
      <c r="DT333" s="161"/>
      <c r="DU333" s="161"/>
      <c r="DV333" s="161"/>
      <c r="DW333" s="161"/>
      <c r="DX333" s="161"/>
      <c r="DY333" s="161"/>
      <c r="DZ333" s="161"/>
      <c r="EA333" s="161"/>
      <c r="EB333" s="161"/>
      <c r="EC333" s="161"/>
      <c r="ED333" s="161"/>
      <c r="EE333" s="161"/>
      <c r="EF333" s="161">
        <f>SUM(EG333:EP333)</f>
      </c>
      <c r="EG333" s="161"/>
      <c r="EH333" s="161"/>
      <c r="EI333" s="161"/>
      <c r="EJ333" s="161"/>
      <c r="EK333" s="161"/>
      <c r="EL333" s="161"/>
      <c r="EM333" s="161"/>
      <c r="EN333" s="161"/>
      <c r="EO333" s="161"/>
      <c r="EP333" s="161"/>
      <c r="EQ333" s="161">
        <f>SUM(ER333:ES333)</f>
      </c>
      <c r="ER333" s="161"/>
      <c r="ES333" s="161"/>
      <c r="ET333" s="161"/>
      <c r="EU333" s="161"/>
      <c r="EV333" s="161"/>
      <c r="EW333" s="161"/>
      <c r="EX333" s="161"/>
      <c r="EY333" s="161"/>
      <c r="EZ333" s="161"/>
      <c r="FA333" s="161"/>
      <c r="FB333" s="161"/>
      <c r="FC333" s="161"/>
      <c r="FD333" s="161"/>
      <c r="FE333" s="161"/>
      <c r="FF333" s="161"/>
      <c r="FG333" s="161"/>
      <c r="FH333" s="163" cm="1">
        <f t="array" ref="FH333">ROW()-ROW(Ongoing[#Headers])</f>
        <v>327</v>
      </c>
      <c r="FI333" s="164" t="e">
        <v>#N/A</v>
      </c>
      <c r="FJ333" s="164" t="e">
        <v>#N/A</v>
      </c>
      <c r="FK333" s="164" t="e">
        <v>#N/A</v>
      </c>
      <c r="FL333" s="164" t="e">
        <v>#N/A</v>
      </c>
      <c r="FM333" s="164" t="e">
        <v>#N/A</v>
      </c>
      <c r="FN333" s="164" t="e">
        <v>#N/A</v>
      </c>
      <c r="FO333" s="164" t="e">
        <v>#N/A</v>
      </c>
      <c r="FP333" s="164" t="e">
        <v>#N/A</v>
      </c>
    </row>
    <row r="334" spans="2:172" s="115" customFormat="1" ht="11.25" x14ac:dyDescent="0.2">
      <c r="B334" s="148"/>
      <c r="C334" s="148"/>
      <c r="D334" s="148"/>
      <c r="E334" s="148"/>
      <c r="F334" s="148"/>
      <c r="G334" s="148"/>
      <c r="H334" s="148"/>
      <c r="I334" s="148"/>
      <c r="J334" s="148"/>
      <c r="K334" s="148"/>
      <c r="L334" s="148"/>
      <c r="M334" s="160"/>
      <c r="N334" s="160"/>
      <c r="O334" s="148"/>
      <c r="P334" s="161">
        <f>SUM(Q334:AP334)</f>
      </c>
      <c r="Q334" s="161"/>
      <c r="R334" s="161"/>
      <c r="S334" s="161"/>
      <c r="T334" s="161"/>
      <c r="U334" s="161"/>
      <c r="V334" s="161"/>
      <c r="W334" s="161"/>
      <c r="X334" s="161"/>
      <c r="Y334" s="161"/>
      <c r="Z334" s="161"/>
      <c r="AA334" s="161"/>
      <c r="AB334" s="161"/>
      <c r="AC334" s="161"/>
      <c r="AD334" s="161"/>
      <c r="AE334" s="161"/>
      <c r="AF334" s="161"/>
      <c r="AG334" s="161"/>
      <c r="AH334" s="161"/>
      <c r="AI334" s="161"/>
      <c r="AJ334" s="161"/>
      <c r="AK334" s="161"/>
      <c r="AL334" s="161"/>
      <c r="AM334" s="161"/>
      <c r="AN334" s="161"/>
      <c r="AO334" s="161"/>
      <c r="AP334" s="161"/>
      <c r="AQ334" s="161">
        <f>SUM(AR334:AU334)</f>
      </c>
      <c r="AR334" s="161"/>
      <c r="AS334" s="161"/>
      <c r="AT334" s="161"/>
      <c r="AU334" s="161"/>
      <c r="AV334" s="161">
        <f>SUM(AW334:BH334)</f>
      </c>
      <c r="AW334" s="161"/>
      <c r="AX334" s="161"/>
      <c r="AY334" s="161"/>
      <c r="AZ334" s="161"/>
      <c r="BA334" s="161"/>
      <c r="BB334" s="161"/>
      <c r="BC334" s="161"/>
      <c r="BD334" s="161"/>
      <c r="BE334" s="161"/>
      <c r="BF334" s="161"/>
      <c r="BG334" s="161"/>
      <c r="BH334" s="161"/>
      <c r="BI334" s="161"/>
      <c r="BJ334" s="161"/>
      <c r="BK334" s="161"/>
      <c r="BL334" s="161"/>
      <c r="BM334" s="161"/>
      <c r="BN334" s="161"/>
      <c r="BO334" s="161"/>
      <c r="BP334" s="161"/>
      <c r="BQ334" s="161"/>
      <c r="BR334" s="161"/>
      <c r="BS334" s="161">
        <f>SUM(BT334:BV334)</f>
      </c>
      <c r="BT334" s="161"/>
      <c r="BU334" s="161"/>
      <c r="BV334" s="161"/>
      <c r="BW334" s="161">
        <f>SUM(BX334:CC334)</f>
      </c>
      <c r="BX334" s="161"/>
      <c r="BY334" s="161"/>
      <c r="BZ334" s="161"/>
      <c r="CA334" s="161"/>
      <c r="CB334" s="161"/>
      <c r="CC334" s="161"/>
      <c r="CD334" s="161"/>
      <c r="CE334" s="161"/>
      <c r="CF334" s="161"/>
      <c r="CG334" s="161"/>
      <c r="CH334" s="161"/>
      <c r="CI334" s="161"/>
      <c r="CJ334" s="161">
        <f>SUM(CK334:CM334)</f>
      </c>
      <c r="CK334" s="161"/>
      <c r="CL334" s="161"/>
      <c r="CM334" s="161"/>
      <c r="CN334" s="161">
        <f>SUM(CO334:CS334)</f>
      </c>
      <c r="CO334" s="161"/>
      <c r="CP334" s="161"/>
      <c r="CQ334" s="161"/>
      <c r="CR334" s="161"/>
      <c r="CS334" s="161"/>
      <c r="CT334" s="161"/>
      <c r="CU334" s="161"/>
      <c r="CV334" s="161"/>
      <c r="CW334" s="161"/>
      <c r="CX334" s="161"/>
      <c r="CY334" s="161"/>
      <c r="CZ334" s="161"/>
      <c r="DA334" s="161"/>
      <c r="DB334" s="161"/>
      <c r="DC334" s="161"/>
      <c r="DD334" s="161"/>
      <c r="DE334" s="161"/>
      <c r="DF334" s="161">
        <f>SUM(DG334:DG334)</f>
      </c>
      <c r="DG334" s="161"/>
      <c r="DH334" s="161"/>
      <c r="DI334" s="161"/>
      <c r="DJ334" s="161">
        <f>SUM(DK334:DP334)</f>
      </c>
      <c r="DK334" s="161"/>
      <c r="DL334" s="161"/>
      <c r="DM334" s="161"/>
      <c r="DN334" s="161"/>
      <c r="DO334" s="161"/>
      <c r="DP334" s="161"/>
      <c r="DQ334" s="161"/>
      <c r="DR334" s="161"/>
      <c r="DS334" s="161"/>
      <c r="DT334" s="161"/>
      <c r="DU334" s="161"/>
      <c r="DV334" s="161"/>
      <c r="DW334" s="161"/>
      <c r="DX334" s="161"/>
      <c r="DY334" s="161"/>
      <c r="DZ334" s="161"/>
      <c r="EA334" s="161"/>
      <c r="EB334" s="161"/>
      <c r="EC334" s="161"/>
      <c r="ED334" s="161"/>
      <c r="EE334" s="161"/>
      <c r="EF334" s="161">
        <f>SUM(EG334:EP334)</f>
      </c>
      <c r="EG334" s="161"/>
      <c r="EH334" s="161"/>
      <c r="EI334" s="161"/>
      <c r="EJ334" s="161"/>
      <c r="EK334" s="161"/>
      <c r="EL334" s="161"/>
      <c r="EM334" s="161"/>
      <c r="EN334" s="161"/>
      <c r="EO334" s="161"/>
      <c r="EP334" s="161"/>
      <c r="EQ334" s="161">
        <f>SUM(ER334:ES334)</f>
      </c>
      <c r="ER334" s="161"/>
      <c r="ES334" s="161"/>
      <c r="ET334" s="161"/>
      <c r="EU334" s="161"/>
      <c r="EV334" s="161"/>
      <c r="EW334" s="161"/>
      <c r="EX334" s="161"/>
      <c r="EY334" s="161"/>
      <c r="EZ334" s="161"/>
      <c r="FA334" s="161"/>
      <c r="FB334" s="161"/>
      <c r="FC334" s="161"/>
      <c r="FD334" s="161"/>
      <c r="FE334" s="161"/>
      <c r="FF334" s="161"/>
      <c r="FG334" s="161"/>
      <c r="FH334" s="163" cm="1">
        <f t="array" ref="FH334">ROW()-ROW(Ongoing[#Headers])</f>
        <v>328</v>
      </c>
      <c r="FI334" s="164" t="e">
        <v>#N/A</v>
      </c>
      <c r="FJ334" s="164" t="e">
        <v>#N/A</v>
      </c>
      <c r="FK334" s="164" t="e">
        <v>#N/A</v>
      </c>
      <c r="FL334" s="164" t="e">
        <v>#N/A</v>
      </c>
      <c r="FM334" s="164" t="e">
        <v>#N/A</v>
      </c>
      <c r="FN334" s="164" t="e">
        <v>#N/A</v>
      </c>
      <c r="FO334" s="164" t="e">
        <v>#N/A</v>
      </c>
      <c r="FP334" s="164" t="e">
        <v>#N/A</v>
      </c>
    </row>
    <row r="335" spans="2:172" s="115" customFormat="1" ht="11.25" x14ac:dyDescent="0.2">
      <c r="B335" s="148"/>
      <c r="C335" s="148"/>
      <c r="D335" s="148"/>
      <c r="E335" s="148"/>
      <c r="F335" s="148"/>
      <c r="G335" s="148"/>
      <c r="H335" s="148"/>
      <c r="I335" s="148"/>
      <c r="J335" s="148"/>
      <c r="K335" s="148"/>
      <c r="L335" s="148"/>
      <c r="M335" s="160"/>
      <c r="N335" s="160"/>
      <c r="O335" s="148"/>
      <c r="P335" s="161">
        <f>SUM(Q335:AP335)</f>
      </c>
      <c r="Q335" s="161"/>
      <c r="R335" s="161"/>
      <c r="S335" s="161"/>
      <c r="T335" s="161"/>
      <c r="U335" s="161"/>
      <c r="V335" s="161"/>
      <c r="W335" s="161"/>
      <c r="X335" s="161"/>
      <c r="Y335" s="161"/>
      <c r="Z335" s="161"/>
      <c r="AA335" s="161"/>
      <c r="AB335" s="161"/>
      <c r="AC335" s="161"/>
      <c r="AD335" s="161"/>
      <c r="AE335" s="161"/>
      <c r="AF335" s="161"/>
      <c r="AG335" s="161"/>
      <c r="AH335" s="161"/>
      <c r="AI335" s="161"/>
      <c r="AJ335" s="161"/>
      <c r="AK335" s="161"/>
      <c r="AL335" s="161"/>
      <c r="AM335" s="161"/>
      <c r="AN335" s="161"/>
      <c r="AO335" s="161"/>
      <c r="AP335" s="161"/>
      <c r="AQ335" s="161">
        <f>SUM(AR335:AU335)</f>
      </c>
      <c r="AR335" s="161"/>
      <c r="AS335" s="161"/>
      <c r="AT335" s="161"/>
      <c r="AU335" s="161"/>
      <c r="AV335" s="161">
        <f>SUM(AW335:BH335)</f>
      </c>
      <c r="AW335" s="161"/>
      <c r="AX335" s="161"/>
      <c r="AY335" s="161"/>
      <c r="AZ335" s="161"/>
      <c r="BA335" s="161"/>
      <c r="BB335" s="161"/>
      <c r="BC335" s="161"/>
      <c r="BD335" s="161"/>
      <c r="BE335" s="161"/>
      <c r="BF335" s="161"/>
      <c r="BG335" s="161"/>
      <c r="BH335" s="161"/>
      <c r="BI335" s="161"/>
      <c r="BJ335" s="161"/>
      <c r="BK335" s="161"/>
      <c r="BL335" s="161"/>
      <c r="BM335" s="161"/>
      <c r="BN335" s="161"/>
      <c r="BO335" s="161"/>
      <c r="BP335" s="161"/>
      <c r="BQ335" s="161"/>
      <c r="BR335" s="161"/>
      <c r="BS335" s="161">
        <f>SUM(BT335:BV335)</f>
      </c>
      <c r="BT335" s="161"/>
      <c r="BU335" s="161"/>
      <c r="BV335" s="161"/>
      <c r="BW335" s="161">
        <f>SUM(BX335:CC335)</f>
      </c>
      <c r="BX335" s="161"/>
      <c r="BY335" s="161"/>
      <c r="BZ335" s="161"/>
      <c r="CA335" s="161"/>
      <c r="CB335" s="161"/>
      <c r="CC335" s="161"/>
      <c r="CD335" s="161"/>
      <c r="CE335" s="161"/>
      <c r="CF335" s="161"/>
      <c r="CG335" s="161"/>
      <c r="CH335" s="161"/>
      <c r="CI335" s="161"/>
      <c r="CJ335" s="161">
        <f>SUM(CK335:CM335)</f>
      </c>
      <c r="CK335" s="161"/>
      <c r="CL335" s="161"/>
      <c r="CM335" s="161"/>
      <c r="CN335" s="161">
        <f>SUM(CO335:CS335)</f>
      </c>
      <c r="CO335" s="161"/>
      <c r="CP335" s="161"/>
      <c r="CQ335" s="161"/>
      <c r="CR335" s="161"/>
      <c r="CS335" s="161"/>
      <c r="CT335" s="161"/>
      <c r="CU335" s="161"/>
      <c r="CV335" s="161"/>
      <c r="CW335" s="161"/>
      <c r="CX335" s="161"/>
      <c r="CY335" s="161"/>
      <c r="CZ335" s="161"/>
      <c r="DA335" s="161"/>
      <c r="DB335" s="161"/>
      <c r="DC335" s="161"/>
      <c r="DD335" s="161"/>
      <c r="DE335" s="161"/>
      <c r="DF335" s="161">
        <f>SUM(DG335:DG335)</f>
      </c>
      <c r="DG335" s="161"/>
      <c r="DH335" s="161"/>
      <c r="DI335" s="161"/>
      <c r="DJ335" s="161">
        <f>SUM(DK335:DP335)</f>
      </c>
      <c r="DK335" s="161"/>
      <c r="DL335" s="161"/>
      <c r="DM335" s="161"/>
      <c r="DN335" s="161"/>
      <c r="DO335" s="161"/>
      <c r="DP335" s="161"/>
      <c r="DQ335" s="161"/>
      <c r="DR335" s="161"/>
      <c r="DS335" s="161"/>
      <c r="DT335" s="161"/>
      <c r="DU335" s="161"/>
      <c r="DV335" s="161"/>
      <c r="DW335" s="161"/>
      <c r="DX335" s="161"/>
      <c r="DY335" s="161"/>
      <c r="DZ335" s="161"/>
      <c r="EA335" s="161"/>
      <c r="EB335" s="161"/>
      <c r="EC335" s="161"/>
      <c r="ED335" s="161"/>
      <c r="EE335" s="161"/>
      <c r="EF335" s="161">
        <f>SUM(EG335:EP335)</f>
      </c>
      <c r="EG335" s="161"/>
      <c r="EH335" s="161"/>
      <c r="EI335" s="161"/>
      <c r="EJ335" s="161"/>
      <c r="EK335" s="161"/>
      <c r="EL335" s="161"/>
      <c r="EM335" s="161"/>
      <c r="EN335" s="161"/>
      <c r="EO335" s="161"/>
      <c r="EP335" s="161"/>
      <c r="EQ335" s="161">
        <f>SUM(ER335:ES335)</f>
      </c>
      <c r="ER335" s="161"/>
      <c r="ES335" s="161"/>
      <c r="ET335" s="161"/>
      <c r="EU335" s="161"/>
      <c r="EV335" s="161"/>
      <c r="EW335" s="161"/>
      <c r="EX335" s="161"/>
      <c r="EY335" s="161"/>
      <c r="EZ335" s="161"/>
      <c r="FA335" s="161"/>
      <c r="FB335" s="161"/>
      <c r="FC335" s="161"/>
      <c r="FD335" s="161"/>
      <c r="FE335" s="161"/>
      <c r="FF335" s="161"/>
      <c r="FG335" s="161"/>
      <c r="FH335" s="163" cm="1">
        <f t="array" ref="FH335">ROW()-ROW(Ongoing[#Headers])</f>
        <v>329</v>
      </c>
      <c r="FI335" s="164" t="e">
        <v>#N/A</v>
      </c>
      <c r="FJ335" s="164" t="e">
        <v>#N/A</v>
      </c>
      <c r="FK335" s="164" t="e">
        <v>#N/A</v>
      </c>
      <c r="FL335" s="164" t="e">
        <v>#N/A</v>
      </c>
      <c r="FM335" s="164" t="e">
        <v>#N/A</v>
      </c>
      <c r="FN335" s="164" t="e">
        <v>#N/A</v>
      </c>
      <c r="FO335" s="164" t="e">
        <v>#N/A</v>
      </c>
      <c r="FP335" s="164" t="e">
        <v>#N/A</v>
      </c>
    </row>
    <row r="336" spans="2:172" s="115" customFormat="1" ht="11.25" x14ac:dyDescent="0.2">
      <c r="B336" s="148"/>
      <c r="C336" s="148"/>
      <c r="D336" s="148"/>
      <c r="E336" s="148"/>
      <c r="F336" s="148"/>
      <c r="G336" s="148"/>
      <c r="H336" s="148"/>
      <c r="I336" s="148"/>
      <c r="J336" s="148"/>
      <c r="K336" s="148"/>
      <c r="L336" s="148"/>
      <c r="M336" s="160"/>
      <c r="N336" s="160"/>
      <c r="O336" s="148"/>
      <c r="P336" s="161">
        <f>SUM(Q336:AP336)</f>
      </c>
      <c r="Q336" s="161"/>
      <c r="R336" s="161"/>
      <c r="S336" s="161"/>
      <c r="T336" s="161"/>
      <c r="U336" s="161"/>
      <c r="V336" s="161"/>
      <c r="W336" s="161"/>
      <c r="X336" s="161"/>
      <c r="Y336" s="161"/>
      <c r="Z336" s="161"/>
      <c r="AA336" s="161"/>
      <c r="AB336" s="161"/>
      <c r="AC336" s="161"/>
      <c r="AD336" s="161"/>
      <c r="AE336" s="161"/>
      <c r="AF336" s="161"/>
      <c r="AG336" s="161"/>
      <c r="AH336" s="161"/>
      <c r="AI336" s="161"/>
      <c r="AJ336" s="161"/>
      <c r="AK336" s="161"/>
      <c r="AL336" s="161"/>
      <c r="AM336" s="161"/>
      <c r="AN336" s="161"/>
      <c r="AO336" s="161"/>
      <c r="AP336" s="161"/>
      <c r="AQ336" s="161">
        <f>SUM(AR336:AU336)</f>
      </c>
      <c r="AR336" s="161"/>
      <c r="AS336" s="161"/>
      <c r="AT336" s="161"/>
      <c r="AU336" s="161"/>
      <c r="AV336" s="161">
        <f>SUM(AW336:BH336)</f>
      </c>
      <c r="AW336" s="161"/>
      <c r="AX336" s="161"/>
      <c r="AY336" s="161"/>
      <c r="AZ336" s="161"/>
      <c r="BA336" s="161"/>
      <c r="BB336" s="161"/>
      <c r="BC336" s="161"/>
      <c r="BD336" s="161"/>
      <c r="BE336" s="161"/>
      <c r="BF336" s="161"/>
      <c r="BG336" s="161"/>
      <c r="BH336" s="161"/>
      <c r="BI336" s="161"/>
      <c r="BJ336" s="161"/>
      <c r="BK336" s="161"/>
      <c r="BL336" s="161"/>
      <c r="BM336" s="161"/>
      <c r="BN336" s="161"/>
      <c r="BO336" s="161"/>
      <c r="BP336" s="161"/>
      <c r="BQ336" s="161"/>
      <c r="BR336" s="161"/>
      <c r="BS336" s="161">
        <f>SUM(BT336:BV336)</f>
      </c>
      <c r="BT336" s="161"/>
      <c r="BU336" s="161"/>
      <c r="BV336" s="161"/>
      <c r="BW336" s="161">
        <f>SUM(BX336:CC336)</f>
      </c>
      <c r="BX336" s="161"/>
      <c r="BY336" s="161"/>
      <c r="BZ336" s="161"/>
      <c r="CA336" s="161"/>
      <c r="CB336" s="161"/>
      <c r="CC336" s="161"/>
      <c r="CD336" s="161"/>
      <c r="CE336" s="161"/>
      <c r="CF336" s="161"/>
      <c r="CG336" s="161"/>
      <c r="CH336" s="161"/>
      <c r="CI336" s="161"/>
      <c r="CJ336" s="161">
        <f>SUM(CK336:CM336)</f>
      </c>
      <c r="CK336" s="161"/>
      <c r="CL336" s="161"/>
      <c r="CM336" s="161"/>
      <c r="CN336" s="161">
        <f>SUM(CO336:CS336)</f>
      </c>
      <c r="CO336" s="161"/>
      <c r="CP336" s="161"/>
      <c r="CQ336" s="161"/>
      <c r="CR336" s="161"/>
      <c r="CS336" s="161"/>
      <c r="CT336" s="161"/>
      <c r="CU336" s="161"/>
      <c r="CV336" s="161"/>
      <c r="CW336" s="161"/>
      <c r="CX336" s="161"/>
      <c r="CY336" s="161"/>
      <c r="CZ336" s="161"/>
      <c r="DA336" s="161"/>
      <c r="DB336" s="161"/>
      <c r="DC336" s="161"/>
      <c r="DD336" s="161"/>
      <c r="DE336" s="161"/>
      <c r="DF336" s="161">
        <f>SUM(DG336:DG336)</f>
      </c>
      <c r="DG336" s="161"/>
      <c r="DH336" s="161"/>
      <c r="DI336" s="161"/>
      <c r="DJ336" s="161">
        <f>SUM(DK336:DP336)</f>
      </c>
      <c r="DK336" s="161"/>
      <c r="DL336" s="161"/>
      <c r="DM336" s="161"/>
      <c r="DN336" s="161"/>
      <c r="DO336" s="161"/>
      <c r="DP336" s="161"/>
      <c r="DQ336" s="161"/>
      <c r="DR336" s="161"/>
      <c r="DS336" s="161"/>
      <c r="DT336" s="161"/>
      <c r="DU336" s="161"/>
      <c r="DV336" s="161"/>
      <c r="DW336" s="161"/>
      <c r="DX336" s="161"/>
      <c r="DY336" s="161"/>
      <c r="DZ336" s="161"/>
      <c r="EA336" s="161"/>
      <c r="EB336" s="161"/>
      <c r="EC336" s="161"/>
      <c r="ED336" s="161"/>
      <c r="EE336" s="161"/>
      <c r="EF336" s="161">
        <f>SUM(EG336:EP336)</f>
      </c>
      <c r="EG336" s="161"/>
      <c r="EH336" s="161"/>
      <c r="EI336" s="161"/>
      <c r="EJ336" s="161"/>
      <c r="EK336" s="161"/>
      <c r="EL336" s="161"/>
      <c r="EM336" s="161"/>
      <c r="EN336" s="161"/>
      <c r="EO336" s="161"/>
      <c r="EP336" s="161"/>
      <c r="EQ336" s="161">
        <f>SUM(ER336:ES336)</f>
      </c>
      <c r="ER336" s="161"/>
      <c r="ES336" s="161"/>
      <c r="ET336" s="161"/>
      <c r="EU336" s="161"/>
      <c r="EV336" s="161"/>
      <c r="EW336" s="161"/>
      <c r="EX336" s="161"/>
      <c r="EY336" s="161"/>
      <c r="EZ336" s="161"/>
      <c r="FA336" s="161"/>
      <c r="FB336" s="161"/>
      <c r="FC336" s="161"/>
      <c r="FD336" s="161"/>
      <c r="FE336" s="161"/>
      <c r="FF336" s="161"/>
      <c r="FG336" s="161"/>
      <c r="FH336" s="163" cm="1">
        <f t="array" ref="FH336">ROW()-ROW(Ongoing[#Headers])</f>
        <v>330</v>
      </c>
      <c r="FI336" s="164" t="e">
        <v>#N/A</v>
      </c>
      <c r="FJ336" s="164" t="e">
        <v>#N/A</v>
      </c>
      <c r="FK336" s="164" t="e">
        <v>#N/A</v>
      </c>
      <c r="FL336" s="164" t="e">
        <v>#N/A</v>
      </c>
      <c r="FM336" s="164" t="e">
        <v>#N/A</v>
      </c>
      <c r="FN336" s="164" t="e">
        <v>#N/A</v>
      </c>
      <c r="FO336" s="164" t="e">
        <v>#N/A</v>
      </c>
      <c r="FP336" s="164" t="e">
        <v>#N/A</v>
      </c>
    </row>
    <row r="337" spans="2:172" s="115" customFormat="1" ht="11.25" x14ac:dyDescent="0.2">
      <c r="B337" s="148"/>
      <c r="C337" s="148"/>
      <c r="D337" s="148"/>
      <c r="E337" s="148"/>
      <c r="F337" s="148"/>
      <c r="G337" s="148"/>
      <c r="H337" s="148"/>
      <c r="I337" s="148"/>
      <c r="J337" s="148"/>
      <c r="K337" s="148"/>
      <c r="L337" s="148"/>
      <c r="M337" s="160"/>
      <c r="N337" s="160"/>
      <c r="O337" s="148"/>
      <c r="P337" s="161">
        <f>SUM(Q337:AP337)</f>
      </c>
      <c r="Q337" s="161"/>
      <c r="R337" s="161"/>
      <c r="S337" s="161"/>
      <c r="T337" s="161"/>
      <c r="U337" s="161"/>
      <c r="V337" s="161"/>
      <c r="W337" s="161"/>
      <c r="X337" s="161"/>
      <c r="Y337" s="161"/>
      <c r="Z337" s="161"/>
      <c r="AA337" s="161"/>
      <c r="AB337" s="161"/>
      <c r="AC337" s="161"/>
      <c r="AD337" s="161"/>
      <c r="AE337" s="161"/>
      <c r="AF337" s="161"/>
      <c r="AG337" s="161"/>
      <c r="AH337" s="161"/>
      <c r="AI337" s="161"/>
      <c r="AJ337" s="161"/>
      <c r="AK337" s="161"/>
      <c r="AL337" s="161"/>
      <c r="AM337" s="161"/>
      <c r="AN337" s="161"/>
      <c r="AO337" s="161"/>
      <c r="AP337" s="161"/>
      <c r="AQ337" s="161">
        <f>SUM(AR337:AU337)</f>
      </c>
      <c r="AR337" s="161"/>
      <c r="AS337" s="161"/>
      <c r="AT337" s="161"/>
      <c r="AU337" s="161"/>
      <c r="AV337" s="161">
        <f>SUM(AW337:BH337)</f>
      </c>
      <c r="AW337" s="161"/>
      <c r="AX337" s="161"/>
      <c r="AY337" s="161"/>
      <c r="AZ337" s="161"/>
      <c r="BA337" s="161"/>
      <c r="BB337" s="161"/>
      <c r="BC337" s="161"/>
      <c r="BD337" s="161"/>
      <c r="BE337" s="161"/>
      <c r="BF337" s="161"/>
      <c r="BG337" s="161"/>
      <c r="BH337" s="161"/>
      <c r="BI337" s="161"/>
      <c r="BJ337" s="161"/>
      <c r="BK337" s="161"/>
      <c r="BL337" s="161"/>
      <c r="BM337" s="161"/>
      <c r="BN337" s="161"/>
      <c r="BO337" s="161"/>
      <c r="BP337" s="161"/>
      <c r="BQ337" s="161"/>
      <c r="BR337" s="161"/>
      <c r="BS337" s="161">
        <f>SUM(BT337:BV337)</f>
      </c>
      <c r="BT337" s="161"/>
      <c r="BU337" s="161"/>
      <c r="BV337" s="161"/>
      <c r="BW337" s="161">
        <f>SUM(BX337:CC337)</f>
      </c>
      <c r="BX337" s="161"/>
      <c r="BY337" s="161"/>
      <c r="BZ337" s="161"/>
      <c r="CA337" s="161"/>
      <c r="CB337" s="161"/>
      <c r="CC337" s="161"/>
      <c r="CD337" s="161"/>
      <c r="CE337" s="161"/>
      <c r="CF337" s="161"/>
      <c r="CG337" s="161"/>
      <c r="CH337" s="161"/>
      <c r="CI337" s="161"/>
      <c r="CJ337" s="161">
        <f>SUM(CK337:CM337)</f>
      </c>
      <c r="CK337" s="161"/>
      <c r="CL337" s="161"/>
      <c r="CM337" s="161"/>
      <c r="CN337" s="161">
        <f>SUM(CO337:CS337)</f>
      </c>
      <c r="CO337" s="161"/>
      <c r="CP337" s="161"/>
      <c r="CQ337" s="161"/>
      <c r="CR337" s="161"/>
      <c r="CS337" s="161"/>
      <c r="CT337" s="161"/>
      <c r="CU337" s="161"/>
      <c r="CV337" s="161"/>
      <c r="CW337" s="161"/>
      <c r="CX337" s="161"/>
      <c r="CY337" s="161"/>
      <c r="CZ337" s="161"/>
      <c r="DA337" s="161"/>
      <c r="DB337" s="161"/>
      <c r="DC337" s="161"/>
      <c r="DD337" s="161"/>
      <c r="DE337" s="161"/>
      <c r="DF337" s="161">
        <f>SUM(DG337:DG337)</f>
      </c>
      <c r="DG337" s="161"/>
      <c r="DH337" s="161"/>
      <c r="DI337" s="161"/>
      <c r="DJ337" s="161">
        <f>SUM(DK337:DP337)</f>
      </c>
      <c r="DK337" s="161"/>
      <c r="DL337" s="161"/>
      <c r="DM337" s="161"/>
      <c r="DN337" s="161"/>
      <c r="DO337" s="161"/>
      <c r="DP337" s="161"/>
      <c r="DQ337" s="161"/>
      <c r="DR337" s="161"/>
      <c r="DS337" s="161"/>
      <c r="DT337" s="161"/>
      <c r="DU337" s="161"/>
      <c r="DV337" s="161"/>
      <c r="DW337" s="161"/>
      <c r="DX337" s="161"/>
      <c r="DY337" s="161"/>
      <c r="DZ337" s="161"/>
      <c r="EA337" s="161"/>
      <c r="EB337" s="161"/>
      <c r="EC337" s="161"/>
      <c r="ED337" s="161"/>
      <c r="EE337" s="161"/>
      <c r="EF337" s="161">
        <f>SUM(EG337:EP337)</f>
      </c>
      <c r="EG337" s="161"/>
      <c r="EH337" s="161"/>
      <c r="EI337" s="161"/>
      <c r="EJ337" s="161"/>
      <c r="EK337" s="161"/>
      <c r="EL337" s="161"/>
      <c r="EM337" s="161"/>
      <c r="EN337" s="161"/>
      <c r="EO337" s="161"/>
      <c r="EP337" s="161"/>
      <c r="EQ337" s="161">
        <f>SUM(ER337:ES337)</f>
      </c>
      <c r="ER337" s="161"/>
      <c r="ES337" s="161"/>
      <c r="ET337" s="161"/>
      <c r="EU337" s="161"/>
      <c r="EV337" s="161"/>
      <c r="EW337" s="161"/>
      <c r="EX337" s="161"/>
      <c r="EY337" s="161"/>
      <c r="EZ337" s="161"/>
      <c r="FA337" s="161"/>
      <c r="FB337" s="161"/>
      <c r="FC337" s="161"/>
      <c r="FD337" s="161"/>
      <c r="FE337" s="161"/>
      <c r="FF337" s="161"/>
      <c r="FG337" s="161"/>
      <c r="FH337" s="163" cm="1">
        <f t="array" ref="FH337">ROW()-ROW(Ongoing[#Headers])</f>
        <v>331</v>
      </c>
      <c r="FI337" s="164" t="e">
        <v>#N/A</v>
      </c>
      <c r="FJ337" s="164" t="e">
        <v>#N/A</v>
      </c>
      <c r="FK337" s="164" t="e">
        <v>#N/A</v>
      </c>
      <c r="FL337" s="164" t="e">
        <v>#N/A</v>
      </c>
      <c r="FM337" s="164" t="e">
        <v>#N/A</v>
      </c>
      <c r="FN337" s="164" t="e">
        <v>#N/A</v>
      </c>
      <c r="FO337" s="164" t="e">
        <v>#N/A</v>
      </c>
      <c r="FP337" s="164" t="e">
        <v>#N/A</v>
      </c>
    </row>
    <row r="338" spans="2:172" s="115" customFormat="1" ht="11.25" x14ac:dyDescent="0.2">
      <c r="B338" s="148"/>
      <c r="C338" s="148"/>
      <c r="D338" s="148"/>
      <c r="E338" s="148"/>
      <c r="F338" s="148"/>
      <c r="G338" s="148"/>
      <c r="H338" s="148"/>
      <c r="I338" s="148"/>
      <c r="J338" s="148"/>
      <c r="K338" s="148"/>
      <c r="L338" s="148"/>
      <c r="M338" s="160"/>
      <c r="N338" s="160"/>
      <c r="O338" s="148"/>
      <c r="P338" s="161">
        <f>SUM(Q338:AP338)</f>
      </c>
      <c r="Q338" s="161"/>
      <c r="R338" s="161"/>
      <c r="S338" s="161"/>
      <c r="T338" s="161"/>
      <c r="U338" s="161"/>
      <c r="V338" s="161"/>
      <c r="W338" s="161"/>
      <c r="X338" s="161"/>
      <c r="Y338" s="161"/>
      <c r="Z338" s="161"/>
      <c r="AA338" s="161"/>
      <c r="AB338" s="161"/>
      <c r="AC338" s="161"/>
      <c r="AD338" s="161"/>
      <c r="AE338" s="161"/>
      <c r="AF338" s="161"/>
      <c r="AG338" s="161"/>
      <c r="AH338" s="161"/>
      <c r="AI338" s="161"/>
      <c r="AJ338" s="161"/>
      <c r="AK338" s="161"/>
      <c r="AL338" s="161"/>
      <c r="AM338" s="161"/>
      <c r="AN338" s="161"/>
      <c r="AO338" s="161"/>
      <c r="AP338" s="161"/>
      <c r="AQ338" s="161">
        <f>SUM(AR338:AU338)</f>
      </c>
      <c r="AR338" s="161"/>
      <c r="AS338" s="161"/>
      <c r="AT338" s="161"/>
      <c r="AU338" s="161"/>
      <c r="AV338" s="161">
        <f>SUM(AW338:BH338)</f>
      </c>
      <c r="AW338" s="161"/>
      <c r="AX338" s="161"/>
      <c r="AY338" s="161"/>
      <c r="AZ338" s="161"/>
      <c r="BA338" s="161"/>
      <c r="BB338" s="161"/>
      <c r="BC338" s="161"/>
      <c r="BD338" s="161"/>
      <c r="BE338" s="161"/>
      <c r="BF338" s="161"/>
      <c r="BG338" s="161"/>
      <c r="BH338" s="161"/>
      <c r="BI338" s="161"/>
      <c r="BJ338" s="161"/>
      <c r="BK338" s="161"/>
      <c r="BL338" s="161"/>
      <c r="BM338" s="161"/>
      <c r="BN338" s="161"/>
      <c r="BO338" s="161"/>
      <c r="BP338" s="161"/>
      <c r="BQ338" s="161"/>
      <c r="BR338" s="161"/>
      <c r="BS338" s="161">
        <f>SUM(BT338:BV338)</f>
      </c>
      <c r="BT338" s="161"/>
      <c r="BU338" s="161"/>
      <c r="BV338" s="161"/>
      <c r="BW338" s="161">
        <f>SUM(BX338:CC338)</f>
      </c>
      <c r="BX338" s="161"/>
      <c r="BY338" s="161"/>
      <c r="BZ338" s="161"/>
      <c r="CA338" s="161"/>
      <c r="CB338" s="161"/>
      <c r="CC338" s="161"/>
      <c r="CD338" s="161"/>
      <c r="CE338" s="161"/>
      <c r="CF338" s="161"/>
      <c r="CG338" s="161"/>
      <c r="CH338" s="161"/>
      <c r="CI338" s="161"/>
      <c r="CJ338" s="161">
        <f>SUM(CK338:CM338)</f>
      </c>
      <c r="CK338" s="161"/>
      <c r="CL338" s="161"/>
      <c r="CM338" s="161"/>
      <c r="CN338" s="161">
        <f>SUM(CO338:CS338)</f>
      </c>
      <c r="CO338" s="161"/>
      <c r="CP338" s="161"/>
      <c r="CQ338" s="161"/>
      <c r="CR338" s="161"/>
      <c r="CS338" s="161"/>
      <c r="CT338" s="161"/>
      <c r="CU338" s="161"/>
      <c r="CV338" s="161"/>
      <c r="CW338" s="161"/>
      <c r="CX338" s="161"/>
      <c r="CY338" s="161"/>
      <c r="CZ338" s="161"/>
      <c r="DA338" s="161"/>
      <c r="DB338" s="161"/>
      <c r="DC338" s="161"/>
      <c r="DD338" s="161"/>
      <c r="DE338" s="161"/>
      <c r="DF338" s="161">
        <f>SUM(DG338:DG338)</f>
      </c>
      <c r="DG338" s="161"/>
      <c r="DH338" s="161"/>
      <c r="DI338" s="161"/>
      <c r="DJ338" s="161">
        <f>SUM(DK338:DP338)</f>
      </c>
      <c r="DK338" s="161"/>
      <c r="DL338" s="161"/>
      <c r="DM338" s="161"/>
      <c r="DN338" s="161"/>
      <c r="DO338" s="161"/>
      <c r="DP338" s="161"/>
      <c r="DQ338" s="161"/>
      <c r="DR338" s="161"/>
      <c r="DS338" s="161"/>
      <c r="DT338" s="161"/>
      <c r="DU338" s="161"/>
      <c r="DV338" s="161"/>
      <c r="DW338" s="161"/>
      <c r="DX338" s="161"/>
      <c r="DY338" s="161"/>
      <c r="DZ338" s="161"/>
      <c r="EA338" s="161"/>
      <c r="EB338" s="161"/>
      <c r="EC338" s="161"/>
      <c r="ED338" s="161"/>
      <c r="EE338" s="161"/>
      <c r="EF338" s="161">
        <f>SUM(EG338:EP338)</f>
      </c>
      <c r="EG338" s="161"/>
      <c r="EH338" s="161"/>
      <c r="EI338" s="161"/>
      <c r="EJ338" s="161"/>
      <c r="EK338" s="161"/>
      <c r="EL338" s="161"/>
      <c r="EM338" s="161"/>
      <c r="EN338" s="161"/>
      <c r="EO338" s="161"/>
      <c r="EP338" s="161"/>
      <c r="EQ338" s="161">
        <f>SUM(ER338:ES338)</f>
      </c>
      <c r="ER338" s="161"/>
      <c r="ES338" s="161"/>
      <c r="ET338" s="161"/>
      <c r="EU338" s="161"/>
      <c r="EV338" s="161"/>
      <c r="EW338" s="161"/>
      <c r="EX338" s="161"/>
      <c r="EY338" s="161"/>
      <c r="EZ338" s="161"/>
      <c r="FA338" s="161"/>
      <c r="FB338" s="161"/>
      <c r="FC338" s="161"/>
      <c r="FD338" s="161"/>
      <c r="FE338" s="161"/>
      <c r="FF338" s="161"/>
      <c r="FG338" s="161"/>
      <c r="FH338" s="163" cm="1">
        <f t="array" ref="FH338">ROW()-ROW(Ongoing[#Headers])</f>
        <v>332</v>
      </c>
      <c r="FI338" s="164" t="e">
        <v>#N/A</v>
      </c>
      <c r="FJ338" s="164" t="e">
        <v>#N/A</v>
      </c>
      <c r="FK338" s="164" t="e">
        <v>#N/A</v>
      </c>
      <c r="FL338" s="164" t="e">
        <v>#N/A</v>
      </c>
      <c r="FM338" s="164" t="e">
        <v>#N/A</v>
      </c>
      <c r="FN338" s="164" t="e">
        <v>#N/A</v>
      </c>
      <c r="FO338" s="164" t="e">
        <v>#N/A</v>
      </c>
      <c r="FP338" s="164" t="e">
        <v>#N/A</v>
      </c>
    </row>
    <row r="339" spans="2:172" s="115" customFormat="1" ht="11.25" x14ac:dyDescent="0.2">
      <c r="B339" s="148"/>
      <c r="C339" s="148"/>
      <c r="D339" s="148"/>
      <c r="E339" s="148"/>
      <c r="F339" s="148"/>
      <c r="G339" s="148"/>
      <c r="H339" s="148"/>
      <c r="I339" s="148"/>
      <c r="J339" s="148"/>
      <c r="K339" s="148"/>
      <c r="L339" s="148"/>
      <c r="M339" s="160"/>
      <c r="N339" s="160"/>
      <c r="O339" s="148"/>
      <c r="P339" s="161">
        <f>SUM(Q339:AP339)</f>
      </c>
      <c r="Q339" s="161"/>
      <c r="R339" s="161"/>
      <c r="S339" s="161"/>
      <c r="T339" s="161"/>
      <c r="U339" s="161"/>
      <c r="V339" s="161"/>
      <c r="W339" s="161"/>
      <c r="X339" s="161"/>
      <c r="Y339" s="161"/>
      <c r="Z339" s="161"/>
      <c r="AA339" s="161"/>
      <c r="AB339" s="161"/>
      <c r="AC339" s="161"/>
      <c r="AD339" s="161"/>
      <c r="AE339" s="161"/>
      <c r="AF339" s="161"/>
      <c r="AG339" s="161"/>
      <c r="AH339" s="161"/>
      <c r="AI339" s="161"/>
      <c r="AJ339" s="161"/>
      <c r="AK339" s="161"/>
      <c r="AL339" s="161"/>
      <c r="AM339" s="161"/>
      <c r="AN339" s="161"/>
      <c r="AO339" s="161"/>
      <c r="AP339" s="161"/>
      <c r="AQ339" s="161">
        <f>SUM(AR339:AU339)</f>
      </c>
      <c r="AR339" s="161"/>
      <c r="AS339" s="161"/>
      <c r="AT339" s="161"/>
      <c r="AU339" s="161"/>
      <c r="AV339" s="161">
        <f>SUM(AW339:BH339)</f>
      </c>
      <c r="AW339" s="161"/>
      <c r="AX339" s="161"/>
      <c r="AY339" s="161"/>
      <c r="AZ339" s="161"/>
      <c r="BA339" s="161"/>
      <c r="BB339" s="161"/>
      <c r="BC339" s="161"/>
      <c r="BD339" s="161"/>
      <c r="BE339" s="161"/>
      <c r="BF339" s="161"/>
      <c r="BG339" s="161"/>
      <c r="BH339" s="161"/>
      <c r="BI339" s="161"/>
      <c r="BJ339" s="161"/>
      <c r="BK339" s="161"/>
      <c r="BL339" s="161"/>
      <c r="BM339" s="161"/>
      <c r="BN339" s="161"/>
      <c r="BO339" s="161"/>
      <c r="BP339" s="161"/>
      <c r="BQ339" s="161"/>
      <c r="BR339" s="161"/>
      <c r="BS339" s="161">
        <f>SUM(BT339:BV339)</f>
      </c>
      <c r="BT339" s="161"/>
      <c r="BU339" s="161"/>
      <c r="BV339" s="161"/>
      <c r="BW339" s="161">
        <f>SUM(BX339:CC339)</f>
      </c>
      <c r="BX339" s="161"/>
      <c r="BY339" s="161"/>
      <c r="BZ339" s="161"/>
      <c r="CA339" s="161"/>
      <c r="CB339" s="161"/>
      <c r="CC339" s="161"/>
      <c r="CD339" s="161"/>
      <c r="CE339" s="161"/>
      <c r="CF339" s="161"/>
      <c r="CG339" s="161"/>
      <c r="CH339" s="161"/>
      <c r="CI339" s="161"/>
      <c r="CJ339" s="161">
        <f>SUM(CK339:CM339)</f>
      </c>
      <c r="CK339" s="161"/>
      <c r="CL339" s="161"/>
      <c r="CM339" s="161"/>
      <c r="CN339" s="161">
        <f>SUM(CO339:CS339)</f>
      </c>
      <c r="CO339" s="161"/>
      <c r="CP339" s="161"/>
      <c r="CQ339" s="161"/>
      <c r="CR339" s="161"/>
      <c r="CS339" s="161"/>
      <c r="CT339" s="161"/>
      <c r="CU339" s="161"/>
      <c r="CV339" s="161"/>
      <c r="CW339" s="161"/>
      <c r="CX339" s="161"/>
      <c r="CY339" s="161"/>
      <c r="CZ339" s="161"/>
      <c r="DA339" s="161"/>
      <c r="DB339" s="161"/>
      <c r="DC339" s="161"/>
      <c r="DD339" s="161"/>
      <c r="DE339" s="161"/>
      <c r="DF339" s="161">
        <f>SUM(DG339:DG339)</f>
      </c>
      <c r="DG339" s="161"/>
      <c r="DH339" s="161"/>
      <c r="DI339" s="161"/>
      <c r="DJ339" s="161">
        <f>SUM(DK339:DP339)</f>
      </c>
      <c r="DK339" s="161"/>
      <c r="DL339" s="161"/>
      <c r="DM339" s="161"/>
      <c r="DN339" s="161"/>
      <c r="DO339" s="161"/>
      <c r="DP339" s="161"/>
      <c r="DQ339" s="161"/>
      <c r="DR339" s="161"/>
      <c r="DS339" s="161"/>
      <c r="DT339" s="161"/>
      <c r="DU339" s="161"/>
      <c r="DV339" s="161"/>
      <c r="DW339" s="161"/>
      <c r="DX339" s="161"/>
      <c r="DY339" s="161"/>
      <c r="DZ339" s="161"/>
      <c r="EA339" s="161"/>
      <c r="EB339" s="161"/>
      <c r="EC339" s="161"/>
      <c r="ED339" s="161"/>
      <c r="EE339" s="161"/>
      <c r="EF339" s="161">
        <f>SUM(EG339:EP339)</f>
      </c>
      <c r="EG339" s="161"/>
      <c r="EH339" s="161"/>
      <c r="EI339" s="161"/>
      <c r="EJ339" s="161"/>
      <c r="EK339" s="161"/>
      <c r="EL339" s="161"/>
      <c r="EM339" s="161"/>
      <c r="EN339" s="161"/>
      <c r="EO339" s="161"/>
      <c r="EP339" s="161"/>
      <c r="EQ339" s="161">
        <f>SUM(ER339:ES339)</f>
      </c>
      <c r="ER339" s="161"/>
      <c r="ES339" s="161"/>
      <c r="ET339" s="161"/>
      <c r="EU339" s="161"/>
      <c r="EV339" s="161"/>
      <c r="EW339" s="161"/>
      <c r="EX339" s="161"/>
      <c r="EY339" s="161"/>
      <c r="EZ339" s="161"/>
      <c r="FA339" s="161"/>
      <c r="FB339" s="161"/>
      <c r="FC339" s="161"/>
      <c r="FD339" s="161"/>
      <c r="FE339" s="161"/>
      <c r="FF339" s="161"/>
      <c r="FG339" s="161"/>
      <c r="FH339" s="163" cm="1">
        <f t="array" ref="FH339">ROW()-ROW(Ongoing[#Headers])</f>
        <v>333</v>
      </c>
      <c r="FI339" s="164" t="e">
        <v>#N/A</v>
      </c>
      <c r="FJ339" s="164" t="e">
        <v>#N/A</v>
      </c>
      <c r="FK339" s="164" t="e">
        <v>#N/A</v>
      </c>
      <c r="FL339" s="164" t="e">
        <v>#N/A</v>
      </c>
      <c r="FM339" s="164" t="e">
        <v>#N/A</v>
      </c>
      <c r="FN339" s="164" t="e">
        <v>#N/A</v>
      </c>
      <c r="FO339" s="164" t="e">
        <v>#N/A</v>
      </c>
      <c r="FP339" s="164" t="e">
        <v>#N/A</v>
      </c>
    </row>
    <row r="340" spans="2:172" s="115" customFormat="1" ht="11.25" x14ac:dyDescent="0.2">
      <c r="B340" s="148"/>
      <c r="C340" s="148"/>
      <c r="D340" s="148"/>
      <c r="E340" s="148"/>
      <c r="F340" s="148"/>
      <c r="G340" s="148"/>
      <c r="H340" s="148"/>
      <c r="I340" s="148"/>
      <c r="J340" s="148"/>
      <c r="K340" s="148"/>
      <c r="L340" s="148"/>
      <c r="M340" s="160"/>
      <c r="N340" s="160"/>
      <c r="O340" s="148"/>
      <c r="P340" s="161">
        <f>SUM(Q340:AP340)</f>
      </c>
      <c r="Q340" s="161"/>
      <c r="R340" s="161"/>
      <c r="S340" s="161"/>
      <c r="T340" s="161"/>
      <c r="U340" s="161"/>
      <c r="V340" s="161"/>
      <c r="W340" s="161"/>
      <c r="X340" s="161"/>
      <c r="Y340" s="161"/>
      <c r="Z340" s="161"/>
      <c r="AA340" s="161"/>
      <c r="AB340" s="161"/>
      <c r="AC340" s="161"/>
      <c r="AD340" s="161"/>
      <c r="AE340" s="161"/>
      <c r="AF340" s="161"/>
      <c r="AG340" s="161"/>
      <c r="AH340" s="161"/>
      <c r="AI340" s="161"/>
      <c r="AJ340" s="161"/>
      <c r="AK340" s="161"/>
      <c r="AL340" s="161"/>
      <c r="AM340" s="161"/>
      <c r="AN340" s="161"/>
      <c r="AO340" s="161"/>
      <c r="AP340" s="161"/>
      <c r="AQ340" s="161">
        <f>SUM(AR340:AU340)</f>
      </c>
      <c r="AR340" s="161"/>
      <c r="AS340" s="161"/>
      <c r="AT340" s="161"/>
      <c r="AU340" s="161"/>
      <c r="AV340" s="161">
        <f>SUM(AW340:BH340)</f>
      </c>
      <c r="AW340" s="161"/>
      <c r="AX340" s="161"/>
      <c r="AY340" s="161"/>
      <c r="AZ340" s="161"/>
      <c r="BA340" s="161"/>
      <c r="BB340" s="161"/>
      <c r="BC340" s="161"/>
      <c r="BD340" s="161"/>
      <c r="BE340" s="161"/>
      <c r="BF340" s="161"/>
      <c r="BG340" s="161"/>
      <c r="BH340" s="161"/>
      <c r="BI340" s="161"/>
      <c r="BJ340" s="161"/>
      <c r="BK340" s="161"/>
      <c r="BL340" s="161"/>
      <c r="BM340" s="161"/>
      <c r="BN340" s="161"/>
      <c r="BO340" s="161"/>
      <c r="BP340" s="161"/>
      <c r="BQ340" s="161"/>
      <c r="BR340" s="161"/>
      <c r="BS340" s="161">
        <f>SUM(BT340:BV340)</f>
      </c>
      <c r="BT340" s="161"/>
      <c r="BU340" s="161"/>
      <c r="BV340" s="161"/>
      <c r="BW340" s="161">
        <f>SUM(BX340:CC340)</f>
      </c>
      <c r="BX340" s="161"/>
      <c r="BY340" s="161"/>
      <c r="BZ340" s="161"/>
      <c r="CA340" s="161"/>
      <c r="CB340" s="161"/>
      <c r="CC340" s="161"/>
      <c r="CD340" s="161"/>
      <c r="CE340" s="161"/>
      <c r="CF340" s="161"/>
      <c r="CG340" s="161"/>
      <c r="CH340" s="161"/>
      <c r="CI340" s="161"/>
      <c r="CJ340" s="161">
        <f>SUM(CK340:CM340)</f>
      </c>
      <c r="CK340" s="161"/>
      <c r="CL340" s="161"/>
      <c r="CM340" s="161"/>
      <c r="CN340" s="161">
        <f>SUM(CO340:CS340)</f>
      </c>
      <c r="CO340" s="161"/>
      <c r="CP340" s="161"/>
      <c r="CQ340" s="161"/>
      <c r="CR340" s="161"/>
      <c r="CS340" s="161"/>
      <c r="CT340" s="161"/>
      <c r="CU340" s="161"/>
      <c r="CV340" s="161"/>
      <c r="CW340" s="161"/>
      <c r="CX340" s="161"/>
      <c r="CY340" s="161"/>
      <c r="CZ340" s="161"/>
      <c r="DA340" s="161"/>
      <c r="DB340" s="161"/>
      <c r="DC340" s="161"/>
      <c r="DD340" s="161"/>
      <c r="DE340" s="161"/>
      <c r="DF340" s="161">
        <f>SUM(DG340:DG340)</f>
      </c>
      <c r="DG340" s="161"/>
      <c r="DH340" s="161"/>
      <c r="DI340" s="161"/>
      <c r="DJ340" s="161">
        <f>SUM(DK340:DP340)</f>
      </c>
      <c r="DK340" s="161"/>
      <c r="DL340" s="161"/>
      <c r="DM340" s="161"/>
      <c r="DN340" s="161"/>
      <c r="DO340" s="161"/>
      <c r="DP340" s="161"/>
      <c r="DQ340" s="161"/>
      <c r="DR340" s="161"/>
      <c r="DS340" s="161"/>
      <c r="DT340" s="161"/>
      <c r="DU340" s="161"/>
      <c r="DV340" s="161"/>
      <c r="DW340" s="161"/>
      <c r="DX340" s="161"/>
      <c r="DY340" s="161"/>
      <c r="DZ340" s="161"/>
      <c r="EA340" s="161"/>
      <c r="EB340" s="161"/>
      <c r="EC340" s="161"/>
      <c r="ED340" s="161"/>
      <c r="EE340" s="161"/>
      <c r="EF340" s="161">
        <f>SUM(EG340:EP340)</f>
      </c>
      <c r="EG340" s="161"/>
      <c r="EH340" s="161"/>
      <c r="EI340" s="161"/>
      <c r="EJ340" s="161"/>
      <c r="EK340" s="161"/>
      <c r="EL340" s="161"/>
      <c r="EM340" s="161"/>
      <c r="EN340" s="161"/>
      <c r="EO340" s="161"/>
      <c r="EP340" s="161"/>
      <c r="EQ340" s="161">
        <f>SUM(ER340:ES340)</f>
      </c>
      <c r="ER340" s="161"/>
      <c r="ES340" s="161"/>
      <c r="ET340" s="161"/>
      <c r="EU340" s="161"/>
      <c r="EV340" s="161"/>
      <c r="EW340" s="161"/>
      <c r="EX340" s="161"/>
      <c r="EY340" s="161"/>
      <c r="EZ340" s="161"/>
      <c r="FA340" s="161"/>
      <c r="FB340" s="161"/>
      <c r="FC340" s="161"/>
      <c r="FD340" s="161"/>
      <c r="FE340" s="161"/>
      <c r="FF340" s="161"/>
      <c r="FG340" s="161"/>
      <c r="FH340" s="163" cm="1">
        <f t="array" ref="FH340">ROW()-ROW(Ongoing[#Headers])</f>
        <v>334</v>
      </c>
      <c r="FI340" s="164" t="e">
        <v>#N/A</v>
      </c>
      <c r="FJ340" s="164" t="e">
        <v>#N/A</v>
      </c>
      <c r="FK340" s="164" t="e">
        <v>#N/A</v>
      </c>
      <c r="FL340" s="164" t="e">
        <v>#N/A</v>
      </c>
      <c r="FM340" s="164" t="e">
        <v>#N/A</v>
      </c>
      <c r="FN340" s="164" t="e">
        <v>#N/A</v>
      </c>
      <c r="FO340" s="164" t="e">
        <v>#N/A</v>
      </c>
      <c r="FP340" s="164" t="e">
        <v>#N/A</v>
      </c>
    </row>
    <row r="341" spans="2:172" s="115" customFormat="1" ht="11.25" x14ac:dyDescent="0.2">
      <c r="B341" s="148"/>
      <c r="C341" s="148"/>
      <c r="D341" s="148"/>
      <c r="E341" s="148"/>
      <c r="F341" s="148"/>
      <c r="G341" s="148"/>
      <c r="H341" s="148"/>
      <c r="I341" s="148"/>
      <c r="J341" s="148"/>
      <c r="K341" s="148"/>
      <c r="L341" s="148"/>
      <c r="M341" s="160"/>
      <c r="N341" s="160"/>
      <c r="O341" s="148"/>
      <c r="P341" s="161">
        <f>SUM(Q341:AP341)</f>
      </c>
      <c r="Q341" s="161"/>
      <c r="R341" s="161"/>
      <c r="S341" s="161"/>
      <c r="T341" s="161"/>
      <c r="U341" s="161"/>
      <c r="V341" s="161"/>
      <c r="W341" s="161"/>
      <c r="X341" s="161"/>
      <c r="Y341" s="161"/>
      <c r="Z341" s="161"/>
      <c r="AA341" s="161"/>
      <c r="AB341" s="161"/>
      <c r="AC341" s="161"/>
      <c r="AD341" s="161"/>
      <c r="AE341" s="161"/>
      <c r="AF341" s="161"/>
      <c r="AG341" s="161"/>
      <c r="AH341" s="161"/>
      <c r="AI341" s="161"/>
      <c r="AJ341" s="161"/>
      <c r="AK341" s="161"/>
      <c r="AL341" s="161"/>
      <c r="AM341" s="161"/>
      <c r="AN341" s="161"/>
      <c r="AO341" s="161"/>
      <c r="AP341" s="161"/>
      <c r="AQ341" s="161">
        <f>SUM(AR341:AU341)</f>
      </c>
      <c r="AR341" s="161"/>
      <c r="AS341" s="161"/>
      <c r="AT341" s="161"/>
      <c r="AU341" s="161"/>
      <c r="AV341" s="161">
        <f>SUM(AW341:BH341)</f>
      </c>
      <c r="AW341" s="161"/>
      <c r="AX341" s="161"/>
      <c r="AY341" s="161"/>
      <c r="AZ341" s="161"/>
      <c r="BA341" s="161"/>
      <c r="BB341" s="161"/>
      <c r="BC341" s="161"/>
      <c r="BD341" s="161"/>
      <c r="BE341" s="161"/>
      <c r="BF341" s="161"/>
      <c r="BG341" s="161"/>
      <c r="BH341" s="161"/>
      <c r="BI341" s="161"/>
      <c r="BJ341" s="161"/>
      <c r="BK341" s="161"/>
      <c r="BL341" s="161"/>
      <c r="BM341" s="161"/>
      <c r="BN341" s="161"/>
      <c r="BO341" s="161"/>
      <c r="BP341" s="161"/>
      <c r="BQ341" s="161"/>
      <c r="BR341" s="161"/>
      <c r="BS341" s="161">
        <f>SUM(BT341:BV341)</f>
      </c>
      <c r="BT341" s="161"/>
      <c r="BU341" s="161"/>
      <c r="BV341" s="161"/>
      <c r="BW341" s="161">
        <f>SUM(BX341:CC341)</f>
      </c>
      <c r="BX341" s="161"/>
      <c r="BY341" s="161"/>
      <c r="BZ341" s="161"/>
      <c r="CA341" s="161"/>
      <c r="CB341" s="161"/>
      <c r="CC341" s="161"/>
      <c r="CD341" s="161"/>
      <c r="CE341" s="161"/>
      <c r="CF341" s="161"/>
      <c r="CG341" s="161"/>
      <c r="CH341" s="161"/>
      <c r="CI341" s="161"/>
      <c r="CJ341" s="161">
        <f>SUM(CK341:CM341)</f>
      </c>
      <c r="CK341" s="161"/>
      <c r="CL341" s="161"/>
      <c r="CM341" s="161"/>
      <c r="CN341" s="161">
        <f>SUM(CO341:CS341)</f>
      </c>
      <c r="CO341" s="161"/>
      <c r="CP341" s="161"/>
      <c r="CQ341" s="161"/>
      <c r="CR341" s="161"/>
      <c r="CS341" s="161"/>
      <c r="CT341" s="161"/>
      <c r="CU341" s="161"/>
      <c r="CV341" s="161"/>
      <c r="CW341" s="161"/>
      <c r="CX341" s="161"/>
      <c r="CY341" s="161"/>
      <c r="CZ341" s="161"/>
      <c r="DA341" s="161"/>
      <c r="DB341" s="161"/>
      <c r="DC341" s="161"/>
      <c r="DD341" s="161"/>
      <c r="DE341" s="161"/>
      <c r="DF341" s="161">
        <f>SUM(DG341:DG341)</f>
      </c>
      <c r="DG341" s="161"/>
      <c r="DH341" s="161"/>
      <c r="DI341" s="161"/>
      <c r="DJ341" s="161">
        <f>SUM(DK341:DP341)</f>
      </c>
      <c r="DK341" s="161"/>
      <c r="DL341" s="161"/>
      <c r="DM341" s="161"/>
      <c r="DN341" s="161"/>
      <c r="DO341" s="161"/>
      <c r="DP341" s="161"/>
      <c r="DQ341" s="161"/>
      <c r="DR341" s="161"/>
      <c r="DS341" s="161"/>
      <c r="DT341" s="161"/>
      <c r="DU341" s="161"/>
      <c r="DV341" s="161"/>
      <c r="DW341" s="161"/>
      <c r="DX341" s="161"/>
      <c r="DY341" s="161"/>
      <c r="DZ341" s="161"/>
      <c r="EA341" s="161"/>
      <c r="EB341" s="161"/>
      <c r="EC341" s="161"/>
      <c r="ED341" s="161"/>
      <c r="EE341" s="161"/>
      <c r="EF341" s="161">
        <f>SUM(EG341:EP341)</f>
      </c>
      <c r="EG341" s="161"/>
      <c r="EH341" s="161"/>
      <c r="EI341" s="161"/>
      <c r="EJ341" s="161"/>
      <c r="EK341" s="161"/>
      <c r="EL341" s="161"/>
      <c r="EM341" s="161"/>
      <c r="EN341" s="161"/>
      <c r="EO341" s="161"/>
      <c r="EP341" s="161"/>
      <c r="EQ341" s="161">
        <f>SUM(ER341:ES341)</f>
      </c>
      <c r="ER341" s="161"/>
      <c r="ES341" s="161"/>
      <c r="ET341" s="161"/>
      <c r="EU341" s="161"/>
      <c r="EV341" s="161"/>
      <c r="EW341" s="161"/>
      <c r="EX341" s="161"/>
      <c r="EY341" s="161"/>
      <c r="EZ341" s="161"/>
      <c r="FA341" s="161"/>
      <c r="FB341" s="161"/>
      <c r="FC341" s="161"/>
      <c r="FD341" s="161"/>
      <c r="FE341" s="161"/>
      <c r="FF341" s="161"/>
      <c r="FG341" s="161"/>
      <c r="FH341" s="163" cm="1">
        <f t="array" ref="FH341">ROW()-ROW(Ongoing[#Headers])</f>
        <v>335</v>
      </c>
      <c r="FI341" s="164"/>
      <c r="FJ341" s="164"/>
      <c r="FK341" s="164"/>
      <c r="FL341" s="164"/>
      <c r="FM341" s="164"/>
      <c r="FN341" s="164"/>
      <c r="FO341" s="164"/>
      <c r="FP341" s="164"/>
    </row>
    <row r="342" spans="2:172" s="115" customFormat="1" ht="11.25" x14ac:dyDescent="0.2">
      <c r="B342" s="148"/>
      <c r="C342" s="148"/>
      <c r="D342" s="148"/>
      <c r="E342" s="148"/>
      <c r="F342" s="148"/>
      <c r="G342" s="148"/>
      <c r="H342" s="148"/>
      <c r="I342" s="148"/>
      <c r="J342" s="148"/>
      <c r="K342" s="148"/>
      <c r="L342" s="148"/>
      <c r="M342" s="160"/>
      <c r="N342" s="160"/>
      <c r="O342" s="148"/>
      <c r="P342" s="161">
        <f>SUM(Q342:AP342)</f>
      </c>
      <c r="Q342" s="161"/>
      <c r="R342" s="161"/>
      <c r="S342" s="161"/>
      <c r="T342" s="161"/>
      <c r="U342" s="161"/>
      <c r="V342" s="161"/>
      <c r="W342" s="161"/>
      <c r="X342" s="161"/>
      <c r="Y342" s="161"/>
      <c r="Z342" s="161"/>
      <c r="AA342" s="161"/>
      <c r="AB342" s="161"/>
      <c r="AC342" s="161"/>
      <c r="AD342" s="161"/>
      <c r="AE342" s="161"/>
      <c r="AF342" s="161"/>
      <c r="AG342" s="161"/>
      <c r="AH342" s="161"/>
      <c r="AI342" s="161"/>
      <c r="AJ342" s="161"/>
      <c r="AK342" s="161"/>
      <c r="AL342" s="161"/>
      <c r="AM342" s="161"/>
      <c r="AN342" s="161"/>
      <c r="AO342" s="161"/>
      <c r="AP342" s="161"/>
      <c r="AQ342" s="161">
        <f>SUM(AR342:AU342)</f>
      </c>
      <c r="AR342" s="161"/>
      <c r="AS342" s="161"/>
      <c r="AT342" s="161"/>
      <c r="AU342" s="161"/>
      <c r="AV342" s="161">
        <f>SUM(AW342:BH342)</f>
      </c>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1"/>
      <c r="BR342" s="161"/>
      <c r="BS342" s="161">
        <f>SUM(BT342:BV342)</f>
      </c>
      <c r="BT342" s="161"/>
      <c r="BU342" s="161"/>
      <c r="BV342" s="161"/>
      <c r="BW342" s="161">
        <f>SUM(BX342:CC342)</f>
      </c>
      <c r="BX342" s="161"/>
      <c r="BY342" s="161"/>
      <c r="BZ342" s="161"/>
      <c r="CA342" s="161"/>
      <c r="CB342" s="161"/>
      <c r="CC342" s="161"/>
      <c r="CD342" s="161"/>
      <c r="CE342" s="161"/>
      <c r="CF342" s="161"/>
      <c r="CG342" s="161"/>
      <c r="CH342" s="161"/>
      <c r="CI342" s="161"/>
      <c r="CJ342" s="161">
        <f>SUM(CK342:CM342)</f>
      </c>
      <c r="CK342" s="161"/>
      <c r="CL342" s="161"/>
      <c r="CM342" s="161"/>
      <c r="CN342" s="161">
        <f>SUM(CO342:CS342)</f>
      </c>
      <c r="CO342" s="161"/>
      <c r="CP342" s="161"/>
      <c r="CQ342" s="161"/>
      <c r="CR342" s="161"/>
      <c r="CS342" s="161"/>
      <c r="CT342" s="161"/>
      <c r="CU342" s="161"/>
      <c r="CV342" s="161"/>
      <c r="CW342" s="161"/>
      <c r="CX342" s="161"/>
      <c r="CY342" s="161"/>
      <c r="CZ342" s="161"/>
      <c r="DA342" s="161"/>
      <c r="DB342" s="161"/>
      <c r="DC342" s="161"/>
      <c r="DD342" s="161"/>
      <c r="DE342" s="161"/>
      <c r="DF342" s="161">
        <f>SUM(DG342:DG342)</f>
      </c>
      <c r="DG342" s="161"/>
      <c r="DH342" s="161"/>
      <c r="DI342" s="161"/>
      <c r="DJ342" s="161">
        <f>SUM(DK342:DP342)</f>
      </c>
      <c r="DK342" s="161"/>
      <c r="DL342" s="161"/>
      <c r="DM342" s="161"/>
      <c r="DN342" s="161"/>
      <c r="DO342" s="161"/>
      <c r="DP342" s="161"/>
      <c r="DQ342" s="161"/>
      <c r="DR342" s="161"/>
      <c r="DS342" s="161"/>
      <c r="DT342" s="161"/>
      <c r="DU342" s="161"/>
      <c r="DV342" s="161"/>
      <c r="DW342" s="161"/>
      <c r="DX342" s="161"/>
      <c r="DY342" s="161"/>
      <c r="DZ342" s="161"/>
      <c r="EA342" s="161"/>
      <c r="EB342" s="161"/>
      <c r="EC342" s="161"/>
      <c r="ED342" s="161"/>
      <c r="EE342" s="161"/>
      <c r="EF342" s="161">
        <f>SUM(EG342:EP342)</f>
      </c>
      <c r="EG342" s="161"/>
      <c r="EH342" s="161"/>
      <c r="EI342" s="161"/>
      <c r="EJ342" s="161"/>
      <c r="EK342" s="161"/>
      <c r="EL342" s="161"/>
      <c r="EM342" s="161"/>
      <c r="EN342" s="161"/>
      <c r="EO342" s="161"/>
      <c r="EP342" s="161"/>
      <c r="EQ342" s="161">
        <f>SUM(ER342:ES342)</f>
      </c>
      <c r="ER342" s="161"/>
      <c r="ES342" s="161"/>
      <c r="ET342" s="161"/>
      <c r="EU342" s="161"/>
      <c r="EV342" s="161"/>
      <c r="EW342" s="161"/>
      <c r="EX342" s="161"/>
      <c r="EY342" s="161"/>
      <c r="EZ342" s="161"/>
      <c r="FA342" s="161"/>
      <c r="FB342" s="161"/>
      <c r="FC342" s="161"/>
      <c r="FD342" s="161"/>
      <c r="FE342" s="161"/>
      <c r="FF342" s="161"/>
      <c r="FG342" s="161"/>
      <c r="FH342" s="166" cm="1">
        <f t="array" ref="FH342">ROW()-ROW(Ongoing[#Headers])</f>
        <v>336</v>
      </c>
      <c r="FI342" s="167"/>
      <c r="FJ342" s="167"/>
      <c r="FK342" s="167"/>
      <c r="FL342" s="167"/>
      <c r="FM342" s="167"/>
      <c r="FN342" s="167"/>
      <c r="FO342" s="167"/>
      <c r="FP342" s="167"/>
    </row>
    <row r="343" spans="2:172" s="115" customFormat="1" ht="11.25" x14ac:dyDescent="0.2">
      <c r="B343" s="148"/>
      <c r="C343" s="148"/>
      <c r="D343" s="148"/>
      <c r="E343" s="148"/>
      <c r="F343" s="148"/>
      <c r="G343" s="148"/>
      <c r="H343" s="148"/>
      <c r="I343" s="148"/>
      <c r="J343" s="148"/>
      <c r="K343" s="148"/>
      <c r="L343" s="148"/>
      <c r="M343" s="160"/>
      <c r="N343" s="160"/>
      <c r="O343" s="148"/>
      <c r="P343" s="161">
        <f>SUM(Q343:AP343)</f>
      </c>
      <c r="Q343" s="161"/>
      <c r="R343" s="161"/>
      <c r="S343" s="161"/>
      <c r="T343" s="161"/>
      <c r="U343" s="161"/>
      <c r="V343" s="161"/>
      <c r="W343" s="161"/>
      <c r="X343" s="161"/>
      <c r="Y343" s="161"/>
      <c r="Z343" s="161"/>
      <c r="AA343" s="161"/>
      <c r="AB343" s="161"/>
      <c r="AC343" s="161"/>
      <c r="AD343" s="161"/>
      <c r="AE343" s="161"/>
      <c r="AF343" s="161"/>
      <c r="AG343" s="161"/>
      <c r="AH343" s="161"/>
      <c r="AI343" s="161"/>
      <c r="AJ343" s="161"/>
      <c r="AK343" s="161"/>
      <c r="AL343" s="161"/>
      <c r="AM343" s="161"/>
      <c r="AN343" s="161"/>
      <c r="AO343" s="161"/>
      <c r="AP343" s="161"/>
      <c r="AQ343" s="161">
        <f>SUM(AR343:AU343)</f>
      </c>
      <c r="AR343" s="161"/>
      <c r="AS343" s="161"/>
      <c r="AT343" s="161"/>
      <c r="AU343" s="161"/>
      <c r="AV343" s="161">
        <f>SUM(AW343:BH343)</f>
      </c>
      <c r="AW343" s="161"/>
      <c r="AX343" s="161"/>
      <c r="AY343" s="161"/>
      <c r="AZ343" s="161"/>
      <c r="BA343" s="161"/>
      <c r="BB343" s="161"/>
      <c r="BC343" s="161"/>
      <c r="BD343" s="161"/>
      <c r="BE343" s="161"/>
      <c r="BF343" s="161"/>
      <c r="BG343" s="161"/>
      <c r="BH343" s="161"/>
      <c r="BI343" s="161"/>
      <c r="BJ343" s="161"/>
      <c r="BK343" s="161"/>
      <c r="BL343" s="161"/>
      <c r="BM343" s="161"/>
      <c r="BN343" s="161"/>
      <c r="BO343" s="161"/>
      <c r="BP343" s="161"/>
      <c r="BQ343" s="161"/>
      <c r="BR343" s="161"/>
      <c r="BS343" s="161">
        <f>SUM(BT343:BV343)</f>
      </c>
      <c r="BT343" s="161"/>
      <c r="BU343" s="161"/>
      <c r="BV343" s="161"/>
      <c r="BW343" s="161">
        <f>SUM(BX343:CC343)</f>
      </c>
      <c r="BX343" s="161"/>
      <c r="BY343" s="161"/>
      <c r="BZ343" s="161"/>
      <c r="CA343" s="161"/>
      <c r="CB343" s="161"/>
      <c r="CC343" s="161"/>
      <c r="CD343" s="161"/>
      <c r="CE343" s="161"/>
      <c r="CF343" s="161"/>
      <c r="CG343" s="161"/>
      <c r="CH343" s="161"/>
      <c r="CI343" s="161"/>
      <c r="CJ343" s="161">
        <f>SUM(CK343:CM343)</f>
      </c>
      <c r="CK343" s="161"/>
      <c r="CL343" s="161"/>
      <c r="CM343" s="161"/>
      <c r="CN343" s="161">
        <f>SUM(CO343:CS343)</f>
      </c>
      <c r="CO343" s="161"/>
      <c r="CP343" s="161"/>
      <c r="CQ343" s="161"/>
      <c r="CR343" s="161"/>
      <c r="CS343" s="161"/>
      <c r="CT343" s="161"/>
      <c r="CU343" s="161"/>
      <c r="CV343" s="161"/>
      <c r="CW343" s="161"/>
      <c r="CX343" s="161"/>
      <c r="CY343" s="161"/>
      <c r="CZ343" s="161"/>
      <c r="DA343" s="161"/>
      <c r="DB343" s="161"/>
      <c r="DC343" s="161"/>
      <c r="DD343" s="161"/>
      <c r="DE343" s="161"/>
      <c r="DF343" s="161">
        <f>SUM(DG343:DG343)</f>
      </c>
      <c r="DG343" s="161"/>
      <c r="DH343" s="161"/>
      <c r="DI343" s="161"/>
      <c r="DJ343" s="161">
        <f>SUM(DK343:DP343)</f>
      </c>
      <c r="DK343" s="161"/>
      <c r="DL343" s="161"/>
      <c r="DM343" s="161"/>
      <c r="DN343" s="161"/>
      <c r="DO343" s="161"/>
      <c r="DP343" s="161"/>
      <c r="DQ343" s="161"/>
      <c r="DR343" s="161"/>
      <c r="DS343" s="161"/>
      <c r="DT343" s="161"/>
      <c r="DU343" s="161"/>
      <c r="DV343" s="161"/>
      <c r="DW343" s="161"/>
      <c r="DX343" s="161"/>
      <c r="DY343" s="161"/>
      <c r="DZ343" s="161"/>
      <c r="EA343" s="161"/>
      <c r="EB343" s="161"/>
      <c r="EC343" s="161"/>
      <c r="ED343" s="161"/>
      <c r="EE343" s="161"/>
      <c r="EF343" s="161">
        <f>SUM(EG343:EP343)</f>
      </c>
      <c r="EG343" s="161"/>
      <c r="EH343" s="161"/>
      <c r="EI343" s="161"/>
      <c r="EJ343" s="161"/>
      <c r="EK343" s="161"/>
      <c r="EL343" s="161"/>
      <c r="EM343" s="161"/>
      <c r="EN343" s="161"/>
      <c r="EO343" s="161"/>
      <c r="EP343" s="161"/>
      <c r="EQ343" s="161">
        <f>SUM(ER343:ES343)</f>
      </c>
      <c r="ER343" s="161"/>
      <c r="ES343" s="161"/>
      <c r="ET343" s="161"/>
      <c r="EU343" s="161"/>
      <c r="EV343" s="161"/>
      <c r="EW343" s="161"/>
      <c r="EX343" s="161"/>
      <c r="EY343" s="161"/>
      <c r="EZ343" s="161"/>
      <c r="FA343" s="161"/>
      <c r="FB343" s="161"/>
      <c r="FC343" s="161"/>
      <c r="FD343" s="161"/>
      <c r="FE343" s="161"/>
      <c r="FF343" s="161"/>
      <c r="FG343" s="161"/>
      <c r="FH343" s="166" cm="1">
        <f t="array" ref="FH343">ROW()-ROW(Ongoing[#Headers])</f>
        <v>337</v>
      </c>
      <c r="FI343" s="167"/>
      <c r="FJ343" s="167"/>
      <c r="FK343" s="167"/>
      <c r="FL343" s="167"/>
      <c r="FM343" s="167"/>
      <c r="FN343" s="167"/>
      <c r="FO343" s="167"/>
      <c r="FP343" s="167"/>
    </row>
    <row r="344" spans="2:172" s="115" customFormat="1" ht="11.25" x14ac:dyDescent="0.2">
      <c r="B344" s="148"/>
      <c r="C344" s="148"/>
      <c r="D344" s="148"/>
      <c r="E344" s="148"/>
      <c r="F344" s="148"/>
      <c r="G344" s="148"/>
      <c r="H344" s="148"/>
      <c r="I344" s="148"/>
      <c r="J344" s="148"/>
      <c r="K344" s="148"/>
      <c r="L344" s="148"/>
      <c r="M344" s="160"/>
      <c r="N344" s="160"/>
      <c r="O344" s="148"/>
      <c r="P344" s="161">
        <f>SUM(Q344:AP344)</f>
      </c>
      <c r="Q344" s="161"/>
      <c r="R344" s="161"/>
      <c r="S344" s="161"/>
      <c r="T344" s="161"/>
      <c r="U344" s="161"/>
      <c r="V344" s="161"/>
      <c r="W344" s="161"/>
      <c r="X344" s="161"/>
      <c r="Y344" s="161"/>
      <c r="Z344" s="161"/>
      <c r="AA344" s="161"/>
      <c r="AB344" s="161"/>
      <c r="AC344" s="161"/>
      <c r="AD344" s="161"/>
      <c r="AE344" s="161"/>
      <c r="AF344" s="161"/>
      <c r="AG344" s="161"/>
      <c r="AH344" s="161"/>
      <c r="AI344" s="161"/>
      <c r="AJ344" s="161"/>
      <c r="AK344" s="161"/>
      <c r="AL344" s="161"/>
      <c r="AM344" s="161"/>
      <c r="AN344" s="161"/>
      <c r="AO344" s="161"/>
      <c r="AP344" s="161"/>
      <c r="AQ344" s="161">
        <f>SUM(AR344:AU344)</f>
      </c>
      <c r="AR344" s="161"/>
      <c r="AS344" s="161"/>
      <c r="AT344" s="161"/>
      <c r="AU344" s="161"/>
      <c r="AV344" s="161">
        <f>SUM(AW344:BH344)</f>
      </c>
      <c r="AW344" s="161"/>
      <c r="AX344" s="161"/>
      <c r="AY344" s="161"/>
      <c r="AZ344" s="161"/>
      <c r="BA344" s="161"/>
      <c r="BB344" s="161"/>
      <c r="BC344" s="161"/>
      <c r="BD344" s="161"/>
      <c r="BE344" s="161"/>
      <c r="BF344" s="161"/>
      <c r="BG344" s="161"/>
      <c r="BH344" s="161"/>
      <c r="BI344" s="161"/>
      <c r="BJ344" s="161"/>
      <c r="BK344" s="161"/>
      <c r="BL344" s="161"/>
      <c r="BM344" s="161"/>
      <c r="BN344" s="161"/>
      <c r="BO344" s="161"/>
      <c r="BP344" s="161"/>
      <c r="BQ344" s="161"/>
      <c r="BR344" s="161"/>
      <c r="BS344" s="161">
        <f>SUM(BT344:BV344)</f>
      </c>
      <c r="BT344" s="161"/>
      <c r="BU344" s="161"/>
      <c r="BV344" s="161"/>
      <c r="BW344" s="161">
        <f>SUM(BX344:CC344)</f>
      </c>
      <c r="BX344" s="161"/>
      <c r="BY344" s="161"/>
      <c r="BZ344" s="161"/>
      <c r="CA344" s="161"/>
      <c r="CB344" s="161"/>
      <c r="CC344" s="161"/>
      <c r="CD344" s="161"/>
      <c r="CE344" s="161"/>
      <c r="CF344" s="161"/>
      <c r="CG344" s="161"/>
      <c r="CH344" s="161"/>
      <c r="CI344" s="161"/>
      <c r="CJ344" s="161">
        <f>SUM(CK344:CM344)</f>
      </c>
      <c r="CK344" s="161"/>
      <c r="CL344" s="161"/>
      <c r="CM344" s="161"/>
      <c r="CN344" s="161">
        <f>SUM(CO344:CS344)</f>
      </c>
      <c r="CO344" s="161"/>
      <c r="CP344" s="161"/>
      <c r="CQ344" s="161"/>
      <c r="CR344" s="161"/>
      <c r="CS344" s="161"/>
      <c r="CT344" s="161"/>
      <c r="CU344" s="161"/>
      <c r="CV344" s="161"/>
      <c r="CW344" s="161"/>
      <c r="CX344" s="161"/>
      <c r="CY344" s="161"/>
      <c r="CZ344" s="161"/>
      <c r="DA344" s="161"/>
      <c r="DB344" s="161"/>
      <c r="DC344" s="161"/>
      <c r="DD344" s="161"/>
      <c r="DE344" s="161"/>
      <c r="DF344" s="161">
        <f>SUM(DG344:DG344)</f>
      </c>
      <c r="DG344" s="161"/>
      <c r="DH344" s="161"/>
      <c r="DI344" s="161"/>
      <c r="DJ344" s="161">
        <f>SUM(DK344:DP344)</f>
      </c>
      <c r="DK344" s="161"/>
      <c r="DL344" s="161"/>
      <c r="DM344" s="161"/>
      <c r="DN344" s="161"/>
      <c r="DO344" s="161"/>
      <c r="DP344" s="161"/>
      <c r="DQ344" s="161"/>
      <c r="DR344" s="161"/>
      <c r="DS344" s="161"/>
      <c r="DT344" s="161"/>
      <c r="DU344" s="161"/>
      <c r="DV344" s="161"/>
      <c r="DW344" s="161"/>
      <c r="DX344" s="161"/>
      <c r="DY344" s="161"/>
      <c r="DZ344" s="161"/>
      <c r="EA344" s="161"/>
      <c r="EB344" s="161"/>
      <c r="EC344" s="161"/>
      <c r="ED344" s="161"/>
      <c r="EE344" s="161"/>
      <c r="EF344" s="161">
        <f>SUM(EG344:EP344)</f>
      </c>
      <c r="EG344" s="161"/>
      <c r="EH344" s="161"/>
      <c r="EI344" s="161"/>
      <c r="EJ344" s="161"/>
      <c r="EK344" s="161"/>
      <c r="EL344" s="161"/>
      <c r="EM344" s="161"/>
      <c r="EN344" s="161"/>
      <c r="EO344" s="161"/>
      <c r="EP344" s="161"/>
      <c r="EQ344" s="161">
        <f>SUM(ER344:ES344)</f>
      </c>
      <c r="ER344" s="161"/>
      <c r="ES344" s="161"/>
      <c r="ET344" s="161"/>
      <c r="EU344" s="161"/>
      <c r="EV344" s="161"/>
      <c r="EW344" s="161"/>
      <c r="EX344" s="161"/>
      <c r="EY344" s="161"/>
      <c r="EZ344" s="161"/>
      <c r="FA344" s="161"/>
      <c r="FB344" s="161"/>
      <c r="FC344" s="161"/>
      <c r="FD344" s="161"/>
      <c r="FE344" s="161"/>
      <c r="FF344" s="161"/>
      <c r="FG344" s="161"/>
      <c r="FH344" s="166" cm="1">
        <f t="array" ref="FH344">ROW()-ROW(Ongoing[#Headers])</f>
        <v>338</v>
      </c>
      <c r="FI344" s="167"/>
      <c r="FJ344" s="167"/>
      <c r="FK344" s="167"/>
      <c r="FL344" s="167"/>
      <c r="FM344" s="167"/>
      <c r="FN344" s="167"/>
      <c r="FO344" s="167"/>
      <c r="FP344" s="167"/>
    </row>
    <row r="345" spans="2:172" s="115" customFormat="1" ht="11.25" x14ac:dyDescent="0.2">
      <c r="B345" s="148"/>
      <c r="C345" s="148"/>
      <c r="D345" s="148"/>
      <c r="E345" s="148"/>
      <c r="F345" s="148"/>
      <c r="G345" s="148"/>
      <c r="H345" s="148"/>
      <c r="I345" s="148"/>
      <c r="J345" s="148"/>
      <c r="K345" s="148"/>
      <c r="L345" s="148"/>
      <c r="M345" s="160"/>
      <c r="N345" s="160"/>
      <c r="O345" s="148"/>
      <c r="P345" s="161">
        <f>SUM(Q345:AP345)</f>
      </c>
      <c r="Q345" s="161"/>
      <c r="R345" s="161"/>
      <c r="S345" s="161"/>
      <c r="T345" s="161"/>
      <c r="U345" s="161"/>
      <c r="V345" s="161"/>
      <c r="W345" s="161"/>
      <c r="X345" s="161"/>
      <c r="Y345" s="161"/>
      <c r="Z345" s="161"/>
      <c r="AA345" s="161"/>
      <c r="AB345" s="161"/>
      <c r="AC345" s="161"/>
      <c r="AD345" s="161"/>
      <c r="AE345" s="161"/>
      <c r="AF345" s="161"/>
      <c r="AG345" s="161"/>
      <c r="AH345" s="161"/>
      <c r="AI345" s="161"/>
      <c r="AJ345" s="161"/>
      <c r="AK345" s="161"/>
      <c r="AL345" s="161"/>
      <c r="AM345" s="161"/>
      <c r="AN345" s="161"/>
      <c r="AO345" s="161"/>
      <c r="AP345" s="161"/>
      <c r="AQ345" s="161">
        <f>SUM(AR345:AU345)</f>
      </c>
      <c r="AR345" s="161"/>
      <c r="AS345" s="161"/>
      <c r="AT345" s="161"/>
      <c r="AU345" s="161"/>
      <c r="AV345" s="161">
        <f>SUM(AW345:BH345)</f>
      </c>
      <c r="AW345" s="161"/>
      <c r="AX345" s="161"/>
      <c r="AY345" s="161"/>
      <c r="AZ345" s="161"/>
      <c r="BA345" s="161"/>
      <c r="BB345" s="161"/>
      <c r="BC345" s="161"/>
      <c r="BD345" s="161"/>
      <c r="BE345" s="161"/>
      <c r="BF345" s="161"/>
      <c r="BG345" s="161"/>
      <c r="BH345" s="161"/>
      <c r="BI345" s="161"/>
      <c r="BJ345" s="161"/>
      <c r="BK345" s="161"/>
      <c r="BL345" s="161"/>
      <c r="BM345" s="161"/>
      <c r="BN345" s="161"/>
      <c r="BO345" s="161"/>
      <c r="BP345" s="161"/>
      <c r="BQ345" s="161"/>
      <c r="BR345" s="161"/>
      <c r="BS345" s="161">
        <f>SUM(BT345:BV345)</f>
      </c>
      <c r="BT345" s="161"/>
      <c r="BU345" s="161"/>
      <c r="BV345" s="161"/>
      <c r="BW345" s="161">
        <f>SUM(BX345:CC345)</f>
      </c>
      <c r="BX345" s="161"/>
      <c r="BY345" s="161"/>
      <c r="BZ345" s="161"/>
      <c r="CA345" s="161"/>
      <c r="CB345" s="161"/>
      <c r="CC345" s="161"/>
      <c r="CD345" s="161"/>
      <c r="CE345" s="161"/>
      <c r="CF345" s="161"/>
      <c r="CG345" s="161"/>
      <c r="CH345" s="161"/>
      <c r="CI345" s="161"/>
      <c r="CJ345" s="161">
        <f>SUM(CK345:CM345)</f>
      </c>
      <c r="CK345" s="161"/>
      <c r="CL345" s="161"/>
      <c r="CM345" s="161"/>
      <c r="CN345" s="161">
        <f>SUM(CO345:CS345)</f>
      </c>
      <c r="CO345" s="161"/>
      <c r="CP345" s="161"/>
      <c r="CQ345" s="161"/>
      <c r="CR345" s="161"/>
      <c r="CS345" s="161"/>
      <c r="CT345" s="161"/>
      <c r="CU345" s="161"/>
      <c r="CV345" s="161"/>
      <c r="CW345" s="161"/>
      <c r="CX345" s="161"/>
      <c r="CY345" s="161"/>
      <c r="CZ345" s="161"/>
      <c r="DA345" s="161"/>
      <c r="DB345" s="161"/>
      <c r="DC345" s="161"/>
      <c r="DD345" s="161"/>
      <c r="DE345" s="161"/>
      <c r="DF345" s="161">
        <f>SUM(DG345:DG345)</f>
      </c>
      <c r="DG345" s="161"/>
      <c r="DH345" s="161"/>
      <c r="DI345" s="161"/>
      <c r="DJ345" s="161">
        <f>SUM(DK345:DP345)</f>
      </c>
      <c r="DK345" s="161"/>
      <c r="DL345" s="161"/>
      <c r="DM345" s="161"/>
      <c r="DN345" s="161"/>
      <c r="DO345" s="161"/>
      <c r="DP345" s="161"/>
      <c r="DQ345" s="161"/>
      <c r="DR345" s="161"/>
      <c r="DS345" s="161"/>
      <c r="DT345" s="161"/>
      <c r="DU345" s="161"/>
      <c r="DV345" s="161"/>
      <c r="DW345" s="161"/>
      <c r="DX345" s="161"/>
      <c r="DY345" s="161"/>
      <c r="DZ345" s="161"/>
      <c r="EA345" s="161"/>
      <c r="EB345" s="161"/>
      <c r="EC345" s="161"/>
      <c r="ED345" s="161"/>
      <c r="EE345" s="161"/>
      <c r="EF345" s="161">
        <f>SUM(EG345:EP345)</f>
      </c>
      <c r="EG345" s="161"/>
      <c r="EH345" s="161"/>
      <c r="EI345" s="161"/>
      <c r="EJ345" s="161"/>
      <c r="EK345" s="161"/>
      <c r="EL345" s="161"/>
      <c r="EM345" s="161"/>
      <c r="EN345" s="161"/>
      <c r="EO345" s="161"/>
      <c r="EP345" s="161"/>
      <c r="EQ345" s="161">
        <f>SUM(ER345:ES345)</f>
      </c>
      <c r="ER345" s="161"/>
      <c r="ES345" s="161"/>
      <c r="ET345" s="161"/>
      <c r="EU345" s="161"/>
      <c r="EV345" s="161"/>
      <c r="EW345" s="161"/>
      <c r="EX345" s="161"/>
      <c r="EY345" s="161"/>
      <c r="EZ345" s="161"/>
      <c r="FA345" s="161"/>
      <c r="FB345" s="161"/>
      <c r="FC345" s="161"/>
      <c r="FD345" s="161"/>
      <c r="FE345" s="161"/>
      <c r="FF345" s="161"/>
      <c r="FG345" s="161"/>
      <c r="FH345" s="166" cm="1">
        <f t="array" ref="FH345">ROW()-ROW(Ongoing[#Headers])</f>
        <v>339</v>
      </c>
      <c r="FI345" s="167"/>
      <c r="FJ345" s="167"/>
      <c r="FK345" s="167"/>
      <c r="FL345" s="167"/>
      <c r="FM345" s="167"/>
      <c r="FN345" s="167"/>
      <c r="FO345" s="167"/>
      <c r="FP345" s="167"/>
    </row>
    <row r="346" spans="2:172" s="115" customFormat="1" ht="11.25" x14ac:dyDescent="0.2">
      <c r="B346" s="148"/>
      <c r="C346" s="148"/>
      <c r="D346" s="148"/>
      <c r="E346" s="148"/>
      <c r="F346" s="148"/>
      <c r="G346" s="148"/>
      <c r="H346" s="148"/>
      <c r="I346" s="148"/>
      <c r="J346" s="148"/>
      <c r="K346" s="148"/>
      <c r="L346" s="148"/>
      <c r="M346" s="160"/>
      <c r="N346" s="160"/>
      <c r="O346" s="148"/>
      <c r="P346" s="161">
        <f>SUM(Q346:AP346)</f>
      </c>
      <c r="Q346" s="161"/>
      <c r="R346" s="161"/>
      <c r="S346" s="161"/>
      <c r="T346" s="161"/>
      <c r="U346" s="161"/>
      <c r="V346" s="161"/>
      <c r="W346" s="161"/>
      <c r="X346" s="161"/>
      <c r="Y346" s="161"/>
      <c r="Z346" s="161"/>
      <c r="AA346" s="161"/>
      <c r="AB346" s="161"/>
      <c r="AC346" s="161"/>
      <c r="AD346" s="161"/>
      <c r="AE346" s="161"/>
      <c r="AF346" s="161"/>
      <c r="AG346" s="161"/>
      <c r="AH346" s="161"/>
      <c r="AI346" s="161"/>
      <c r="AJ346" s="161"/>
      <c r="AK346" s="161"/>
      <c r="AL346" s="161"/>
      <c r="AM346" s="161"/>
      <c r="AN346" s="161"/>
      <c r="AO346" s="161"/>
      <c r="AP346" s="161"/>
      <c r="AQ346" s="161">
        <f>SUM(AR346:AU346)</f>
      </c>
      <c r="AR346" s="161"/>
      <c r="AS346" s="161"/>
      <c r="AT346" s="161"/>
      <c r="AU346" s="161"/>
      <c r="AV346" s="161">
        <f>SUM(AW346:BH346)</f>
      </c>
      <c r="AW346" s="161"/>
      <c r="AX346" s="161"/>
      <c r="AY346" s="161"/>
      <c r="AZ346" s="161"/>
      <c r="BA346" s="161"/>
      <c r="BB346" s="161"/>
      <c r="BC346" s="161"/>
      <c r="BD346" s="161"/>
      <c r="BE346" s="161"/>
      <c r="BF346" s="161"/>
      <c r="BG346" s="161"/>
      <c r="BH346" s="161"/>
      <c r="BI346" s="161"/>
      <c r="BJ346" s="161"/>
      <c r="BK346" s="161"/>
      <c r="BL346" s="161"/>
      <c r="BM346" s="161"/>
      <c r="BN346" s="161"/>
      <c r="BO346" s="161"/>
      <c r="BP346" s="161"/>
      <c r="BQ346" s="161"/>
      <c r="BR346" s="161"/>
      <c r="BS346" s="161">
        <f>SUM(BT346:BV346)</f>
      </c>
      <c r="BT346" s="161"/>
      <c r="BU346" s="161"/>
      <c r="BV346" s="161"/>
      <c r="BW346" s="161">
        <f>SUM(BX346:CC346)</f>
      </c>
      <c r="BX346" s="161"/>
      <c r="BY346" s="161"/>
      <c r="BZ346" s="161"/>
      <c r="CA346" s="161"/>
      <c r="CB346" s="161"/>
      <c r="CC346" s="161"/>
      <c r="CD346" s="161"/>
      <c r="CE346" s="161"/>
      <c r="CF346" s="161"/>
      <c r="CG346" s="161"/>
      <c r="CH346" s="161"/>
      <c r="CI346" s="161"/>
      <c r="CJ346" s="161">
        <f>SUM(CK346:CM346)</f>
      </c>
      <c r="CK346" s="161"/>
      <c r="CL346" s="161"/>
      <c r="CM346" s="161"/>
      <c r="CN346" s="161">
        <f>SUM(CO346:CS346)</f>
      </c>
      <c r="CO346" s="161"/>
      <c r="CP346" s="161"/>
      <c r="CQ346" s="161"/>
      <c r="CR346" s="161"/>
      <c r="CS346" s="161"/>
      <c r="CT346" s="161"/>
      <c r="CU346" s="161"/>
      <c r="CV346" s="161"/>
      <c r="CW346" s="161"/>
      <c r="CX346" s="161"/>
      <c r="CY346" s="161"/>
      <c r="CZ346" s="161"/>
      <c r="DA346" s="161"/>
      <c r="DB346" s="161"/>
      <c r="DC346" s="161"/>
      <c r="DD346" s="161"/>
      <c r="DE346" s="161"/>
      <c r="DF346" s="161">
        <f>SUM(DG346:DG346)</f>
      </c>
      <c r="DG346" s="161"/>
      <c r="DH346" s="161"/>
      <c r="DI346" s="161"/>
      <c r="DJ346" s="161">
        <f>SUM(DK346:DP346)</f>
      </c>
      <c r="DK346" s="161"/>
      <c r="DL346" s="161"/>
      <c r="DM346" s="161"/>
      <c r="DN346" s="161"/>
      <c r="DO346" s="161"/>
      <c r="DP346" s="161"/>
      <c r="DQ346" s="161"/>
      <c r="DR346" s="161"/>
      <c r="DS346" s="161"/>
      <c r="DT346" s="161"/>
      <c r="DU346" s="161"/>
      <c r="DV346" s="161"/>
      <c r="DW346" s="161"/>
      <c r="DX346" s="161"/>
      <c r="DY346" s="161"/>
      <c r="DZ346" s="161"/>
      <c r="EA346" s="161"/>
      <c r="EB346" s="161"/>
      <c r="EC346" s="161"/>
      <c r="ED346" s="161"/>
      <c r="EE346" s="161"/>
      <c r="EF346" s="161">
        <f>SUM(EG346:EP346)</f>
      </c>
      <c r="EG346" s="161"/>
      <c r="EH346" s="161"/>
      <c r="EI346" s="161"/>
      <c r="EJ346" s="161"/>
      <c r="EK346" s="161"/>
      <c r="EL346" s="161"/>
      <c r="EM346" s="161"/>
      <c r="EN346" s="161"/>
      <c r="EO346" s="161"/>
      <c r="EP346" s="161"/>
      <c r="EQ346" s="161">
        <f>SUM(ER346:ES346)</f>
      </c>
      <c r="ER346" s="161"/>
      <c r="ES346" s="161"/>
      <c r="ET346" s="161"/>
      <c r="EU346" s="161"/>
      <c r="EV346" s="161"/>
      <c r="EW346" s="161"/>
      <c r="EX346" s="161"/>
      <c r="EY346" s="161"/>
      <c r="EZ346" s="161"/>
      <c r="FA346" s="161"/>
      <c r="FB346" s="161"/>
      <c r="FC346" s="161"/>
      <c r="FD346" s="161"/>
      <c r="FE346" s="161"/>
      <c r="FF346" s="161"/>
      <c r="FG346" s="161"/>
      <c r="FH346" s="166" cm="1">
        <f t="array" ref="FH346">ROW()-ROW(Ongoing[#Headers])</f>
        <v>340</v>
      </c>
      <c r="FI346" s="167"/>
      <c r="FJ346" s="167"/>
      <c r="FK346" s="167"/>
      <c r="FL346" s="167"/>
      <c r="FM346" s="167"/>
      <c r="FN346" s="167"/>
      <c r="FO346" s="167"/>
      <c r="FP346" s="167"/>
    </row>
    <row r="347" spans="2:172" s="115" customFormat="1" ht="11.25" x14ac:dyDescent="0.2">
      <c r="B347" s="148"/>
      <c r="C347" s="148"/>
      <c r="D347" s="148"/>
      <c r="E347" s="148"/>
      <c r="F347" s="148"/>
      <c r="G347" s="148"/>
      <c r="H347" s="148"/>
      <c r="I347" s="148"/>
      <c r="J347" s="148"/>
      <c r="K347" s="148"/>
      <c r="L347" s="148"/>
      <c r="M347" s="160"/>
      <c r="N347" s="160"/>
      <c r="O347" s="148"/>
      <c r="P347" s="161">
        <f>SUM(Q347:AP347)</f>
      </c>
      <c r="Q347" s="161"/>
      <c r="R347" s="161"/>
      <c r="S347" s="161"/>
      <c r="T347" s="161"/>
      <c r="U347" s="161"/>
      <c r="V347" s="161"/>
      <c r="W347" s="161"/>
      <c r="X347" s="161"/>
      <c r="Y347" s="161"/>
      <c r="Z347" s="161"/>
      <c r="AA347" s="161"/>
      <c r="AB347" s="161"/>
      <c r="AC347" s="161"/>
      <c r="AD347" s="161"/>
      <c r="AE347" s="161"/>
      <c r="AF347" s="161"/>
      <c r="AG347" s="161"/>
      <c r="AH347" s="161"/>
      <c r="AI347" s="161"/>
      <c r="AJ347" s="161"/>
      <c r="AK347" s="161"/>
      <c r="AL347" s="161"/>
      <c r="AM347" s="161"/>
      <c r="AN347" s="161"/>
      <c r="AO347" s="161"/>
      <c r="AP347" s="161"/>
      <c r="AQ347" s="161">
        <f>SUM(AR347:AU347)</f>
      </c>
      <c r="AR347" s="161"/>
      <c r="AS347" s="161"/>
      <c r="AT347" s="161"/>
      <c r="AU347" s="161"/>
      <c r="AV347" s="161">
        <f>SUM(AW347:BH347)</f>
      </c>
      <c r="AW347" s="161"/>
      <c r="AX347" s="161"/>
      <c r="AY347" s="161"/>
      <c r="AZ347" s="161"/>
      <c r="BA347" s="161"/>
      <c r="BB347" s="161"/>
      <c r="BC347" s="161"/>
      <c r="BD347" s="161"/>
      <c r="BE347" s="161"/>
      <c r="BF347" s="161"/>
      <c r="BG347" s="161"/>
      <c r="BH347" s="161"/>
      <c r="BI347" s="161"/>
      <c r="BJ347" s="161"/>
      <c r="BK347" s="161"/>
      <c r="BL347" s="161"/>
      <c r="BM347" s="161"/>
      <c r="BN347" s="161"/>
      <c r="BO347" s="161"/>
      <c r="BP347" s="161"/>
      <c r="BQ347" s="161"/>
      <c r="BR347" s="161"/>
      <c r="BS347" s="161">
        <f>SUM(BT347:BV347)</f>
      </c>
      <c r="BT347" s="161"/>
      <c r="BU347" s="161"/>
      <c r="BV347" s="161"/>
      <c r="BW347" s="161">
        <f>SUM(BX347:CC347)</f>
      </c>
      <c r="BX347" s="161"/>
      <c r="BY347" s="161"/>
      <c r="BZ347" s="161"/>
      <c r="CA347" s="161"/>
      <c r="CB347" s="161"/>
      <c r="CC347" s="161"/>
      <c r="CD347" s="161"/>
      <c r="CE347" s="161"/>
      <c r="CF347" s="161"/>
      <c r="CG347" s="161"/>
      <c r="CH347" s="161"/>
      <c r="CI347" s="161"/>
      <c r="CJ347" s="161">
        <f>SUM(CK347:CM347)</f>
      </c>
      <c r="CK347" s="161"/>
      <c r="CL347" s="161"/>
      <c r="CM347" s="161"/>
      <c r="CN347" s="161">
        <f>SUM(CO347:CS347)</f>
      </c>
      <c r="CO347" s="161"/>
      <c r="CP347" s="161"/>
      <c r="CQ347" s="161"/>
      <c r="CR347" s="161"/>
      <c r="CS347" s="161"/>
      <c r="CT347" s="161"/>
      <c r="CU347" s="161"/>
      <c r="CV347" s="161"/>
      <c r="CW347" s="161"/>
      <c r="CX347" s="161"/>
      <c r="CY347" s="161"/>
      <c r="CZ347" s="161"/>
      <c r="DA347" s="161"/>
      <c r="DB347" s="161"/>
      <c r="DC347" s="161"/>
      <c r="DD347" s="161"/>
      <c r="DE347" s="161"/>
      <c r="DF347" s="161">
        <f>SUM(DG347:DG347)</f>
      </c>
      <c r="DG347" s="161"/>
      <c r="DH347" s="161"/>
      <c r="DI347" s="161"/>
      <c r="DJ347" s="161">
        <f>SUM(DK347:DP347)</f>
      </c>
      <c r="DK347" s="161"/>
      <c r="DL347" s="161"/>
      <c r="DM347" s="161"/>
      <c r="DN347" s="161"/>
      <c r="DO347" s="161"/>
      <c r="DP347" s="161"/>
      <c r="DQ347" s="161"/>
      <c r="DR347" s="161"/>
      <c r="DS347" s="161"/>
      <c r="DT347" s="161"/>
      <c r="DU347" s="161"/>
      <c r="DV347" s="161"/>
      <c r="DW347" s="161"/>
      <c r="DX347" s="161"/>
      <c r="DY347" s="161"/>
      <c r="DZ347" s="161"/>
      <c r="EA347" s="161"/>
      <c r="EB347" s="161"/>
      <c r="EC347" s="161"/>
      <c r="ED347" s="161"/>
      <c r="EE347" s="161"/>
      <c r="EF347" s="161">
        <f>SUM(EG347:EP347)</f>
      </c>
      <c r="EG347" s="161"/>
      <c r="EH347" s="161"/>
      <c r="EI347" s="161"/>
      <c r="EJ347" s="161"/>
      <c r="EK347" s="161"/>
      <c r="EL347" s="161"/>
      <c r="EM347" s="161"/>
      <c r="EN347" s="161"/>
      <c r="EO347" s="161"/>
      <c r="EP347" s="161"/>
      <c r="EQ347" s="161">
        <f>SUM(ER347:ES347)</f>
      </c>
      <c r="ER347" s="161"/>
      <c r="ES347" s="161"/>
      <c r="ET347" s="161"/>
      <c r="EU347" s="161"/>
      <c r="EV347" s="161"/>
      <c r="EW347" s="161"/>
      <c r="EX347" s="161"/>
      <c r="EY347" s="161"/>
      <c r="EZ347" s="161"/>
      <c r="FA347" s="161"/>
      <c r="FB347" s="161"/>
      <c r="FC347" s="161"/>
      <c r="FD347" s="161"/>
      <c r="FE347" s="161"/>
      <c r="FF347" s="161"/>
      <c r="FG347" s="161"/>
      <c r="FH347" s="166" cm="1">
        <f t="array" ref="FH347">ROW()-ROW(Ongoing[#Headers])</f>
        <v>341</v>
      </c>
      <c r="FI347" s="167"/>
      <c r="FJ347" s="167"/>
      <c r="FK347" s="167"/>
      <c r="FL347" s="167"/>
      <c r="FM347" s="167"/>
      <c r="FN347" s="167"/>
      <c r="FO347" s="167"/>
      <c r="FP347" s="167"/>
    </row>
    <row r="348" spans="2:172" s="115" customFormat="1" ht="11.25" x14ac:dyDescent="0.2">
      <c r="B348" s="148"/>
      <c r="C348" s="148"/>
      <c r="D348" s="148"/>
      <c r="E348" s="148"/>
      <c r="F348" s="148"/>
      <c r="G348" s="148"/>
      <c r="H348" s="148"/>
      <c r="I348" s="148"/>
      <c r="J348" s="148"/>
      <c r="K348" s="148"/>
      <c r="L348" s="148"/>
      <c r="M348" s="160"/>
      <c r="N348" s="160"/>
      <c r="O348" s="148"/>
      <c r="P348" s="161">
        <f>SUM(Q348:AP348)</f>
      </c>
      <c r="Q348" s="161"/>
      <c r="R348" s="161"/>
      <c r="S348" s="161"/>
      <c r="T348" s="161"/>
      <c r="U348" s="161"/>
      <c r="V348" s="161"/>
      <c r="W348" s="161"/>
      <c r="X348" s="161"/>
      <c r="Y348" s="161"/>
      <c r="Z348" s="161"/>
      <c r="AA348" s="161"/>
      <c r="AB348" s="161"/>
      <c r="AC348" s="161"/>
      <c r="AD348" s="161"/>
      <c r="AE348" s="161"/>
      <c r="AF348" s="161"/>
      <c r="AG348" s="161"/>
      <c r="AH348" s="161"/>
      <c r="AI348" s="161"/>
      <c r="AJ348" s="161"/>
      <c r="AK348" s="161"/>
      <c r="AL348" s="161"/>
      <c r="AM348" s="161"/>
      <c r="AN348" s="161"/>
      <c r="AO348" s="161"/>
      <c r="AP348" s="161"/>
      <c r="AQ348" s="161">
        <f>SUM(AR348:AU348)</f>
      </c>
      <c r="AR348" s="161"/>
      <c r="AS348" s="161"/>
      <c r="AT348" s="161"/>
      <c r="AU348" s="161"/>
      <c r="AV348" s="161">
        <f>SUM(AW348:BH348)</f>
      </c>
      <c r="AW348" s="161"/>
      <c r="AX348" s="161"/>
      <c r="AY348" s="161"/>
      <c r="AZ348" s="161"/>
      <c r="BA348" s="161"/>
      <c r="BB348" s="161"/>
      <c r="BC348" s="161"/>
      <c r="BD348" s="161"/>
      <c r="BE348" s="161"/>
      <c r="BF348" s="161"/>
      <c r="BG348" s="161"/>
      <c r="BH348" s="161"/>
      <c r="BI348" s="161"/>
      <c r="BJ348" s="161"/>
      <c r="BK348" s="161"/>
      <c r="BL348" s="161"/>
      <c r="BM348" s="161"/>
      <c r="BN348" s="161"/>
      <c r="BO348" s="161"/>
      <c r="BP348" s="161"/>
      <c r="BQ348" s="161"/>
      <c r="BR348" s="161"/>
      <c r="BS348" s="161">
        <f>SUM(BT348:BV348)</f>
      </c>
      <c r="BT348" s="161"/>
      <c r="BU348" s="161"/>
      <c r="BV348" s="161"/>
      <c r="BW348" s="161">
        <f>SUM(BX348:CC348)</f>
      </c>
      <c r="BX348" s="161"/>
      <c r="BY348" s="161"/>
      <c r="BZ348" s="161"/>
      <c r="CA348" s="161"/>
      <c r="CB348" s="161"/>
      <c r="CC348" s="161"/>
      <c r="CD348" s="161"/>
      <c r="CE348" s="161"/>
      <c r="CF348" s="161"/>
      <c r="CG348" s="161"/>
      <c r="CH348" s="161"/>
      <c r="CI348" s="161"/>
      <c r="CJ348" s="161">
        <f>SUM(CK348:CM348)</f>
      </c>
      <c r="CK348" s="161"/>
      <c r="CL348" s="161"/>
      <c r="CM348" s="161"/>
      <c r="CN348" s="161">
        <f>SUM(CO348:CS348)</f>
      </c>
      <c r="CO348" s="161"/>
      <c r="CP348" s="161"/>
      <c r="CQ348" s="161"/>
      <c r="CR348" s="161"/>
      <c r="CS348" s="161"/>
      <c r="CT348" s="161"/>
      <c r="CU348" s="161"/>
      <c r="CV348" s="161"/>
      <c r="CW348" s="161"/>
      <c r="CX348" s="161"/>
      <c r="CY348" s="161"/>
      <c r="CZ348" s="161"/>
      <c r="DA348" s="161"/>
      <c r="DB348" s="161"/>
      <c r="DC348" s="161"/>
      <c r="DD348" s="161"/>
      <c r="DE348" s="161"/>
      <c r="DF348" s="161">
        <f>SUM(DG348:DG348)</f>
      </c>
      <c r="DG348" s="161"/>
      <c r="DH348" s="161"/>
      <c r="DI348" s="161"/>
      <c r="DJ348" s="161">
        <f>SUM(DK348:DP348)</f>
      </c>
      <c r="DK348" s="161"/>
      <c r="DL348" s="161"/>
      <c r="DM348" s="161"/>
      <c r="DN348" s="161"/>
      <c r="DO348" s="161"/>
      <c r="DP348" s="161"/>
      <c r="DQ348" s="161"/>
      <c r="DR348" s="161"/>
      <c r="DS348" s="161"/>
      <c r="DT348" s="161"/>
      <c r="DU348" s="161"/>
      <c r="DV348" s="161"/>
      <c r="DW348" s="161"/>
      <c r="DX348" s="161"/>
      <c r="DY348" s="161"/>
      <c r="DZ348" s="161"/>
      <c r="EA348" s="161"/>
      <c r="EB348" s="161"/>
      <c r="EC348" s="161"/>
      <c r="ED348" s="161"/>
      <c r="EE348" s="161"/>
      <c r="EF348" s="161">
        <f>SUM(EG348:EP348)</f>
      </c>
      <c r="EG348" s="161"/>
      <c r="EH348" s="161"/>
      <c r="EI348" s="161"/>
      <c r="EJ348" s="161"/>
      <c r="EK348" s="161"/>
      <c r="EL348" s="161"/>
      <c r="EM348" s="161"/>
      <c r="EN348" s="161"/>
      <c r="EO348" s="161"/>
      <c r="EP348" s="161"/>
      <c r="EQ348" s="161">
        <f>SUM(ER348:ES348)</f>
      </c>
      <c r="ER348" s="161"/>
      <c r="ES348" s="161"/>
      <c r="ET348" s="161"/>
      <c r="EU348" s="161"/>
      <c r="EV348" s="161"/>
      <c r="EW348" s="161"/>
      <c r="EX348" s="161"/>
      <c r="EY348" s="161"/>
      <c r="EZ348" s="161"/>
      <c r="FA348" s="161"/>
      <c r="FB348" s="161"/>
      <c r="FC348" s="161"/>
      <c r="FD348" s="161"/>
      <c r="FE348" s="161"/>
      <c r="FF348" s="161"/>
      <c r="FG348" s="161"/>
      <c r="FH348" s="166" cm="1">
        <f t="array" ref="FH348">ROW()-ROW(Ongoing[#Headers])</f>
        <v>342</v>
      </c>
      <c r="FI348" s="167"/>
      <c r="FJ348" s="167"/>
      <c r="FK348" s="167"/>
      <c r="FL348" s="167"/>
      <c r="FM348" s="167"/>
      <c r="FN348" s="167"/>
      <c r="FO348" s="167"/>
      <c r="FP348" s="167"/>
    </row>
    <row r="349" spans="2:172" s="115" customFormat="1" ht="11.25" x14ac:dyDescent="0.2">
      <c r="B349" s="148"/>
      <c r="C349" s="148"/>
      <c r="D349" s="148"/>
      <c r="E349" s="148"/>
      <c r="F349" s="148"/>
      <c r="G349" s="148"/>
      <c r="H349" s="148"/>
      <c r="I349" s="148"/>
      <c r="J349" s="148"/>
      <c r="K349" s="148"/>
      <c r="L349" s="148"/>
      <c r="M349" s="160"/>
      <c r="N349" s="160"/>
      <c r="O349" s="148"/>
      <c r="P349" s="161">
        <f>SUM(Q349:AP349)</f>
      </c>
      <c r="Q349" s="161"/>
      <c r="R349" s="161"/>
      <c r="S349" s="161"/>
      <c r="T349" s="161"/>
      <c r="U349" s="161"/>
      <c r="V349" s="161"/>
      <c r="W349" s="161"/>
      <c r="X349" s="161"/>
      <c r="Y349" s="161"/>
      <c r="Z349" s="161"/>
      <c r="AA349" s="161"/>
      <c r="AB349" s="161"/>
      <c r="AC349" s="161"/>
      <c r="AD349" s="161"/>
      <c r="AE349" s="161"/>
      <c r="AF349" s="161"/>
      <c r="AG349" s="161"/>
      <c r="AH349" s="161"/>
      <c r="AI349" s="161"/>
      <c r="AJ349" s="161"/>
      <c r="AK349" s="161"/>
      <c r="AL349" s="161"/>
      <c r="AM349" s="161"/>
      <c r="AN349" s="161"/>
      <c r="AO349" s="161"/>
      <c r="AP349" s="161"/>
      <c r="AQ349" s="161">
        <f>SUM(AR349:AU349)</f>
      </c>
      <c r="AR349" s="161"/>
      <c r="AS349" s="161"/>
      <c r="AT349" s="161"/>
      <c r="AU349" s="161"/>
      <c r="AV349" s="161">
        <f>SUM(AW349:BH349)</f>
      </c>
      <c r="AW349" s="161"/>
      <c r="AX349" s="161"/>
      <c r="AY349" s="161"/>
      <c r="AZ349" s="161"/>
      <c r="BA349" s="161"/>
      <c r="BB349" s="161"/>
      <c r="BC349" s="161"/>
      <c r="BD349" s="161"/>
      <c r="BE349" s="161"/>
      <c r="BF349" s="161"/>
      <c r="BG349" s="161"/>
      <c r="BH349" s="161"/>
      <c r="BI349" s="161"/>
      <c r="BJ349" s="161"/>
      <c r="BK349" s="161"/>
      <c r="BL349" s="161"/>
      <c r="BM349" s="161"/>
      <c r="BN349" s="161"/>
      <c r="BO349" s="161"/>
      <c r="BP349" s="161"/>
      <c r="BQ349" s="161"/>
      <c r="BR349" s="161"/>
      <c r="BS349" s="161">
        <f>SUM(BT349:BV349)</f>
      </c>
      <c r="BT349" s="161"/>
      <c r="BU349" s="161"/>
      <c r="BV349" s="161"/>
      <c r="BW349" s="161">
        <f>SUM(BX349:CC349)</f>
      </c>
      <c r="BX349" s="161"/>
      <c r="BY349" s="161"/>
      <c r="BZ349" s="161"/>
      <c r="CA349" s="161"/>
      <c r="CB349" s="161"/>
      <c r="CC349" s="161"/>
      <c r="CD349" s="161"/>
      <c r="CE349" s="161"/>
      <c r="CF349" s="161"/>
      <c r="CG349" s="161"/>
      <c r="CH349" s="161"/>
      <c r="CI349" s="161"/>
      <c r="CJ349" s="161">
        <f>SUM(CK349:CM349)</f>
      </c>
      <c r="CK349" s="161"/>
      <c r="CL349" s="161"/>
      <c r="CM349" s="161"/>
      <c r="CN349" s="161">
        <f>SUM(CO349:CS349)</f>
      </c>
      <c r="CO349" s="161"/>
      <c r="CP349" s="161"/>
      <c r="CQ349" s="161"/>
      <c r="CR349" s="161"/>
      <c r="CS349" s="161"/>
      <c r="CT349" s="161"/>
      <c r="CU349" s="161"/>
      <c r="CV349" s="161"/>
      <c r="CW349" s="161"/>
      <c r="CX349" s="161"/>
      <c r="CY349" s="161"/>
      <c r="CZ349" s="161"/>
      <c r="DA349" s="161"/>
      <c r="DB349" s="161"/>
      <c r="DC349" s="161"/>
      <c r="DD349" s="161"/>
      <c r="DE349" s="161"/>
      <c r="DF349" s="161">
        <f>SUM(DG349:DG349)</f>
      </c>
      <c r="DG349" s="161"/>
      <c r="DH349" s="161"/>
      <c r="DI349" s="161"/>
      <c r="DJ349" s="161">
        <f>SUM(DK349:DP349)</f>
      </c>
      <c r="DK349" s="161"/>
      <c r="DL349" s="161"/>
      <c r="DM349" s="161"/>
      <c r="DN349" s="161"/>
      <c r="DO349" s="161"/>
      <c r="DP349" s="161"/>
      <c r="DQ349" s="161"/>
      <c r="DR349" s="161"/>
      <c r="DS349" s="161"/>
      <c r="DT349" s="161"/>
      <c r="DU349" s="161"/>
      <c r="DV349" s="161"/>
      <c r="DW349" s="161"/>
      <c r="DX349" s="161"/>
      <c r="DY349" s="161"/>
      <c r="DZ349" s="161"/>
      <c r="EA349" s="161"/>
      <c r="EB349" s="161"/>
      <c r="EC349" s="161"/>
      <c r="ED349" s="161"/>
      <c r="EE349" s="161"/>
      <c r="EF349" s="161">
        <f>SUM(EG349:EP349)</f>
      </c>
      <c r="EG349" s="161"/>
      <c r="EH349" s="161"/>
      <c r="EI349" s="161"/>
      <c r="EJ349" s="161"/>
      <c r="EK349" s="161"/>
      <c r="EL349" s="161"/>
      <c r="EM349" s="161"/>
      <c r="EN349" s="161"/>
      <c r="EO349" s="161"/>
      <c r="EP349" s="161"/>
      <c r="EQ349" s="161">
        <f>SUM(ER349:ES349)</f>
      </c>
      <c r="ER349" s="161"/>
      <c r="ES349" s="161"/>
      <c r="ET349" s="161"/>
      <c r="EU349" s="161"/>
      <c r="EV349" s="161"/>
      <c r="EW349" s="161"/>
      <c r="EX349" s="161"/>
      <c r="EY349" s="161"/>
      <c r="EZ349" s="161"/>
      <c r="FA349" s="161"/>
      <c r="FB349" s="161"/>
      <c r="FC349" s="161"/>
      <c r="FD349" s="161"/>
      <c r="FE349" s="161"/>
      <c r="FF349" s="161"/>
      <c r="FG349" s="161"/>
      <c r="FH349" s="166" cm="1">
        <f t="array" ref="FH349">ROW()-ROW(Ongoing[#Headers])</f>
        <v>343</v>
      </c>
      <c r="FI349" s="167"/>
      <c r="FJ349" s="167"/>
      <c r="FK349" s="167"/>
      <c r="FL349" s="167"/>
      <c r="FM349" s="167"/>
      <c r="FN349" s="167"/>
      <c r="FO349" s="167"/>
      <c r="FP349" s="167"/>
    </row>
    <row r="350" spans="2:172" s="115" customFormat="1" ht="11.25" x14ac:dyDescent="0.2">
      <c r="B350" s="148"/>
      <c r="C350" s="148"/>
      <c r="D350" s="148"/>
      <c r="E350" s="148"/>
      <c r="F350" s="148"/>
      <c r="G350" s="148"/>
      <c r="H350" s="148"/>
      <c r="I350" s="148"/>
      <c r="J350" s="148"/>
      <c r="K350" s="148"/>
      <c r="L350" s="148"/>
      <c r="M350" s="160"/>
      <c r="N350" s="160"/>
      <c r="O350" s="148"/>
      <c r="P350" s="161">
        <f>SUM(Q350:AP350)</f>
      </c>
      <c r="Q350" s="161"/>
      <c r="R350" s="161"/>
      <c r="S350" s="161"/>
      <c r="T350" s="161"/>
      <c r="U350" s="161"/>
      <c r="V350" s="161"/>
      <c r="W350" s="161"/>
      <c r="X350" s="161"/>
      <c r="Y350" s="161"/>
      <c r="Z350" s="161"/>
      <c r="AA350" s="161"/>
      <c r="AB350" s="161"/>
      <c r="AC350" s="161"/>
      <c r="AD350" s="161"/>
      <c r="AE350" s="161"/>
      <c r="AF350" s="161"/>
      <c r="AG350" s="161"/>
      <c r="AH350" s="161"/>
      <c r="AI350" s="161"/>
      <c r="AJ350" s="161"/>
      <c r="AK350" s="161"/>
      <c r="AL350" s="161"/>
      <c r="AM350" s="161"/>
      <c r="AN350" s="161"/>
      <c r="AO350" s="161"/>
      <c r="AP350" s="161"/>
      <c r="AQ350" s="161">
        <f>SUM(AR350:AU350)</f>
      </c>
      <c r="AR350" s="161"/>
      <c r="AS350" s="161"/>
      <c r="AT350" s="161"/>
      <c r="AU350" s="161"/>
      <c r="AV350" s="161">
        <f>SUM(AW350:BH350)</f>
      </c>
      <c r="AW350" s="161"/>
      <c r="AX350" s="161"/>
      <c r="AY350" s="161"/>
      <c r="AZ350" s="161"/>
      <c r="BA350" s="161"/>
      <c r="BB350" s="161"/>
      <c r="BC350" s="161"/>
      <c r="BD350" s="161"/>
      <c r="BE350" s="161"/>
      <c r="BF350" s="161"/>
      <c r="BG350" s="161"/>
      <c r="BH350" s="161"/>
      <c r="BI350" s="161"/>
      <c r="BJ350" s="161"/>
      <c r="BK350" s="161"/>
      <c r="BL350" s="161"/>
      <c r="BM350" s="161"/>
      <c r="BN350" s="161"/>
      <c r="BO350" s="161"/>
      <c r="BP350" s="161"/>
      <c r="BQ350" s="161"/>
      <c r="BR350" s="161"/>
      <c r="BS350" s="161">
        <f>SUM(BT350:BV350)</f>
      </c>
      <c r="BT350" s="161"/>
      <c r="BU350" s="161"/>
      <c r="BV350" s="161"/>
      <c r="BW350" s="161">
        <f>SUM(BX350:CC350)</f>
      </c>
      <c r="BX350" s="161"/>
      <c r="BY350" s="161"/>
      <c r="BZ350" s="161"/>
      <c r="CA350" s="161"/>
      <c r="CB350" s="161"/>
      <c r="CC350" s="161"/>
      <c r="CD350" s="161"/>
      <c r="CE350" s="161"/>
      <c r="CF350" s="161"/>
      <c r="CG350" s="161"/>
      <c r="CH350" s="161"/>
      <c r="CI350" s="161"/>
      <c r="CJ350" s="161">
        <f>SUM(CK350:CM350)</f>
      </c>
      <c r="CK350" s="161"/>
      <c r="CL350" s="161"/>
      <c r="CM350" s="161"/>
      <c r="CN350" s="161">
        <f>SUM(CO350:CS350)</f>
      </c>
      <c r="CO350" s="161"/>
      <c r="CP350" s="161"/>
      <c r="CQ350" s="161"/>
      <c r="CR350" s="161"/>
      <c r="CS350" s="161"/>
      <c r="CT350" s="161"/>
      <c r="CU350" s="161"/>
      <c r="CV350" s="161"/>
      <c r="CW350" s="161"/>
      <c r="CX350" s="161"/>
      <c r="CY350" s="161"/>
      <c r="CZ350" s="161"/>
      <c r="DA350" s="161"/>
      <c r="DB350" s="161"/>
      <c r="DC350" s="161"/>
      <c r="DD350" s="161"/>
      <c r="DE350" s="161"/>
      <c r="DF350" s="161">
        <f>SUM(DG350:DG350)</f>
      </c>
      <c r="DG350" s="161"/>
      <c r="DH350" s="161"/>
      <c r="DI350" s="161"/>
      <c r="DJ350" s="161">
        <f>SUM(DK350:DP350)</f>
      </c>
      <c r="DK350" s="161"/>
      <c r="DL350" s="161"/>
      <c r="DM350" s="161"/>
      <c r="DN350" s="161"/>
      <c r="DO350" s="161"/>
      <c r="DP350" s="161"/>
      <c r="DQ350" s="161"/>
      <c r="DR350" s="161"/>
      <c r="DS350" s="161"/>
      <c r="DT350" s="161"/>
      <c r="DU350" s="161"/>
      <c r="DV350" s="161"/>
      <c r="DW350" s="161"/>
      <c r="DX350" s="161"/>
      <c r="DY350" s="161"/>
      <c r="DZ350" s="161"/>
      <c r="EA350" s="161"/>
      <c r="EB350" s="161"/>
      <c r="EC350" s="161"/>
      <c r="ED350" s="161"/>
      <c r="EE350" s="161"/>
      <c r="EF350" s="161">
        <f>SUM(EG350:EP350)</f>
      </c>
      <c r="EG350" s="161"/>
      <c r="EH350" s="161"/>
      <c r="EI350" s="161"/>
      <c r="EJ350" s="161"/>
      <c r="EK350" s="161"/>
      <c r="EL350" s="161"/>
      <c r="EM350" s="161"/>
      <c r="EN350" s="161"/>
      <c r="EO350" s="161"/>
      <c r="EP350" s="161"/>
      <c r="EQ350" s="161">
        <f>SUM(ER350:ES350)</f>
      </c>
      <c r="ER350" s="161"/>
      <c r="ES350" s="161"/>
      <c r="ET350" s="161"/>
      <c r="EU350" s="161"/>
      <c r="EV350" s="161"/>
      <c r="EW350" s="161"/>
      <c r="EX350" s="161"/>
      <c r="EY350" s="161"/>
      <c r="EZ350" s="161"/>
      <c r="FA350" s="161"/>
      <c r="FB350" s="161"/>
      <c r="FC350" s="161"/>
      <c r="FD350" s="161"/>
      <c r="FE350" s="161"/>
      <c r="FF350" s="161"/>
      <c r="FG350" s="161"/>
      <c r="FH350" s="166" cm="1">
        <f t="array" ref="FH350">ROW()-ROW(Ongoing[#Headers])</f>
        <v>344</v>
      </c>
      <c r="FI350" s="167"/>
      <c r="FJ350" s="167"/>
      <c r="FK350" s="167"/>
      <c r="FL350" s="167"/>
      <c r="FM350" s="167"/>
      <c r="FN350" s="167"/>
      <c r="FO350" s="167"/>
      <c r="FP350" s="167"/>
    </row>
    <row r="351" spans="2:172" s="115" customFormat="1" ht="11.25" x14ac:dyDescent="0.2">
      <c r="B351" s="148"/>
      <c r="C351" s="148"/>
      <c r="D351" s="148"/>
      <c r="E351" s="148"/>
      <c r="F351" s="148"/>
      <c r="G351" s="148"/>
      <c r="H351" s="148"/>
      <c r="I351" s="148"/>
      <c r="J351" s="148"/>
      <c r="K351" s="148"/>
      <c r="L351" s="148"/>
      <c r="M351" s="160"/>
      <c r="N351" s="160"/>
      <c r="O351" s="148"/>
      <c r="P351" s="161">
        <f>SUM(Q351:AP351)</f>
      </c>
      <c r="Q351" s="161"/>
      <c r="R351" s="161"/>
      <c r="S351" s="161"/>
      <c r="T351" s="161"/>
      <c r="U351" s="161"/>
      <c r="V351" s="161"/>
      <c r="W351" s="161"/>
      <c r="X351" s="161"/>
      <c r="Y351" s="161"/>
      <c r="Z351" s="161"/>
      <c r="AA351" s="161"/>
      <c r="AB351" s="161"/>
      <c r="AC351" s="161"/>
      <c r="AD351" s="161"/>
      <c r="AE351" s="161"/>
      <c r="AF351" s="161"/>
      <c r="AG351" s="161"/>
      <c r="AH351" s="161"/>
      <c r="AI351" s="161"/>
      <c r="AJ351" s="161"/>
      <c r="AK351" s="161"/>
      <c r="AL351" s="161"/>
      <c r="AM351" s="161"/>
      <c r="AN351" s="161"/>
      <c r="AO351" s="161"/>
      <c r="AP351" s="161"/>
      <c r="AQ351" s="161">
        <f>SUM(AR351:AU351)</f>
      </c>
      <c r="AR351" s="161"/>
      <c r="AS351" s="161"/>
      <c r="AT351" s="161"/>
      <c r="AU351" s="161"/>
      <c r="AV351" s="161">
        <f>SUM(AW351:BH351)</f>
      </c>
      <c r="AW351" s="161"/>
      <c r="AX351" s="161"/>
      <c r="AY351" s="161"/>
      <c r="AZ351" s="161"/>
      <c r="BA351" s="161"/>
      <c r="BB351" s="161"/>
      <c r="BC351" s="161"/>
      <c r="BD351" s="161"/>
      <c r="BE351" s="161"/>
      <c r="BF351" s="161"/>
      <c r="BG351" s="161"/>
      <c r="BH351" s="161"/>
      <c r="BI351" s="161"/>
      <c r="BJ351" s="161"/>
      <c r="BK351" s="161"/>
      <c r="BL351" s="161"/>
      <c r="BM351" s="161"/>
      <c r="BN351" s="161"/>
      <c r="BO351" s="161"/>
      <c r="BP351" s="161"/>
      <c r="BQ351" s="161"/>
      <c r="BR351" s="161"/>
      <c r="BS351" s="161">
        <f>SUM(BT351:BV351)</f>
      </c>
      <c r="BT351" s="161"/>
      <c r="BU351" s="161"/>
      <c r="BV351" s="161"/>
      <c r="BW351" s="161">
        <f>SUM(BX351:CC351)</f>
      </c>
      <c r="BX351" s="161"/>
      <c r="BY351" s="161"/>
      <c r="BZ351" s="161"/>
      <c r="CA351" s="161"/>
      <c r="CB351" s="161"/>
      <c r="CC351" s="161"/>
      <c r="CD351" s="161"/>
      <c r="CE351" s="161"/>
      <c r="CF351" s="161"/>
      <c r="CG351" s="161"/>
      <c r="CH351" s="161"/>
      <c r="CI351" s="161"/>
      <c r="CJ351" s="161">
        <f>SUM(CK351:CM351)</f>
      </c>
      <c r="CK351" s="161"/>
      <c r="CL351" s="161"/>
      <c r="CM351" s="161"/>
      <c r="CN351" s="161">
        <f>SUM(CO351:CS351)</f>
      </c>
      <c r="CO351" s="161"/>
      <c r="CP351" s="161"/>
      <c r="CQ351" s="161"/>
      <c r="CR351" s="161"/>
      <c r="CS351" s="161"/>
      <c r="CT351" s="161"/>
      <c r="CU351" s="161"/>
      <c r="CV351" s="161"/>
      <c r="CW351" s="161"/>
      <c r="CX351" s="161"/>
      <c r="CY351" s="161"/>
      <c r="CZ351" s="161"/>
      <c r="DA351" s="161"/>
      <c r="DB351" s="161"/>
      <c r="DC351" s="161"/>
      <c r="DD351" s="161"/>
      <c r="DE351" s="161"/>
      <c r="DF351" s="161">
        <f>SUM(DG351:DG351)</f>
      </c>
      <c r="DG351" s="161"/>
      <c r="DH351" s="161"/>
      <c r="DI351" s="161"/>
      <c r="DJ351" s="161">
        <f>SUM(DK351:DP351)</f>
      </c>
      <c r="DK351" s="161"/>
      <c r="DL351" s="161"/>
      <c r="DM351" s="161"/>
      <c r="DN351" s="161"/>
      <c r="DO351" s="161"/>
      <c r="DP351" s="161"/>
      <c r="DQ351" s="161"/>
      <c r="DR351" s="161"/>
      <c r="DS351" s="161"/>
      <c r="DT351" s="161"/>
      <c r="DU351" s="161"/>
      <c r="DV351" s="161"/>
      <c r="DW351" s="161"/>
      <c r="DX351" s="161"/>
      <c r="DY351" s="161"/>
      <c r="DZ351" s="161"/>
      <c r="EA351" s="161"/>
      <c r="EB351" s="161"/>
      <c r="EC351" s="161"/>
      <c r="ED351" s="161"/>
      <c r="EE351" s="161"/>
      <c r="EF351" s="161">
        <f>SUM(EG351:EP351)</f>
      </c>
      <c r="EG351" s="161"/>
      <c r="EH351" s="161"/>
      <c r="EI351" s="161"/>
      <c r="EJ351" s="161"/>
      <c r="EK351" s="161"/>
      <c r="EL351" s="161"/>
      <c r="EM351" s="161"/>
      <c r="EN351" s="161"/>
      <c r="EO351" s="161"/>
      <c r="EP351" s="161"/>
      <c r="EQ351" s="161">
        <f>SUM(ER351:ES351)</f>
      </c>
      <c r="ER351" s="161"/>
      <c r="ES351" s="161"/>
      <c r="ET351" s="161"/>
      <c r="EU351" s="161"/>
      <c r="EV351" s="161"/>
      <c r="EW351" s="161"/>
      <c r="EX351" s="161"/>
      <c r="EY351" s="161"/>
      <c r="EZ351" s="161"/>
      <c r="FA351" s="161"/>
      <c r="FB351" s="161"/>
      <c r="FC351" s="161"/>
      <c r="FD351" s="161"/>
      <c r="FE351" s="161"/>
      <c r="FF351" s="161"/>
      <c r="FG351" s="161"/>
      <c r="FH351" s="166" cm="1">
        <f t="array" ref="FH351">ROW()-ROW(Ongoing[#Headers])</f>
        <v>345</v>
      </c>
      <c r="FI351" s="167"/>
      <c r="FJ351" s="167"/>
      <c r="FK351" s="167"/>
      <c r="FL351" s="167"/>
      <c r="FM351" s="167"/>
      <c r="FN351" s="167"/>
      <c r="FO351" s="167"/>
      <c r="FP351" s="167"/>
    </row>
    <row r="352" spans="2:172" s="115" customFormat="1" ht="11.25" x14ac:dyDescent="0.2">
      <c r="B352" s="148"/>
      <c r="C352" s="148"/>
      <c r="D352" s="148"/>
      <c r="E352" s="148"/>
      <c r="F352" s="148"/>
      <c r="G352" s="148"/>
      <c r="H352" s="148"/>
      <c r="I352" s="148"/>
      <c r="J352" s="148"/>
      <c r="K352" s="148"/>
      <c r="L352" s="148"/>
      <c r="M352" s="160"/>
      <c r="N352" s="160"/>
      <c r="O352" s="148"/>
      <c r="P352" s="161">
        <f>SUM(Q352:AP352)</f>
      </c>
      <c r="Q352" s="161"/>
      <c r="R352" s="161"/>
      <c r="S352" s="161"/>
      <c r="T352" s="161"/>
      <c r="U352" s="161"/>
      <c r="V352" s="161"/>
      <c r="W352" s="161"/>
      <c r="X352" s="161"/>
      <c r="Y352" s="161"/>
      <c r="Z352" s="161"/>
      <c r="AA352" s="161"/>
      <c r="AB352" s="161"/>
      <c r="AC352" s="161"/>
      <c r="AD352" s="161"/>
      <c r="AE352" s="161"/>
      <c r="AF352" s="161"/>
      <c r="AG352" s="161"/>
      <c r="AH352" s="161"/>
      <c r="AI352" s="161"/>
      <c r="AJ352" s="161"/>
      <c r="AK352" s="161"/>
      <c r="AL352" s="161"/>
      <c r="AM352" s="161"/>
      <c r="AN352" s="161"/>
      <c r="AO352" s="161"/>
      <c r="AP352" s="161"/>
      <c r="AQ352" s="161">
        <f>SUM(AR352:AU352)</f>
      </c>
      <c r="AR352" s="161"/>
      <c r="AS352" s="161"/>
      <c r="AT352" s="161"/>
      <c r="AU352" s="161"/>
      <c r="AV352" s="161">
        <f>SUM(AW352:BH352)</f>
      </c>
      <c r="AW352" s="161"/>
      <c r="AX352" s="161"/>
      <c r="AY352" s="161"/>
      <c r="AZ352" s="161"/>
      <c r="BA352" s="161"/>
      <c r="BB352" s="161"/>
      <c r="BC352" s="161"/>
      <c r="BD352" s="161"/>
      <c r="BE352" s="161"/>
      <c r="BF352" s="161"/>
      <c r="BG352" s="161"/>
      <c r="BH352" s="161"/>
      <c r="BI352" s="161"/>
      <c r="BJ352" s="161"/>
      <c r="BK352" s="161"/>
      <c r="BL352" s="161"/>
      <c r="BM352" s="161"/>
      <c r="BN352" s="161"/>
      <c r="BO352" s="161"/>
      <c r="BP352" s="161"/>
      <c r="BQ352" s="161"/>
      <c r="BR352" s="161"/>
      <c r="BS352" s="161">
        <f>SUM(BT352:BV352)</f>
      </c>
      <c r="BT352" s="161"/>
      <c r="BU352" s="161"/>
      <c r="BV352" s="161"/>
      <c r="BW352" s="161">
        <f>SUM(BX352:CC352)</f>
      </c>
      <c r="BX352" s="161"/>
      <c r="BY352" s="161"/>
      <c r="BZ352" s="161"/>
      <c r="CA352" s="161"/>
      <c r="CB352" s="161"/>
      <c r="CC352" s="161"/>
      <c r="CD352" s="161"/>
      <c r="CE352" s="161"/>
      <c r="CF352" s="161"/>
      <c r="CG352" s="161"/>
      <c r="CH352" s="161"/>
      <c r="CI352" s="161"/>
      <c r="CJ352" s="161">
        <f>SUM(CK352:CM352)</f>
      </c>
      <c r="CK352" s="161"/>
      <c r="CL352" s="161"/>
      <c r="CM352" s="161"/>
      <c r="CN352" s="161">
        <f>SUM(CO352:CS352)</f>
      </c>
      <c r="CO352" s="161"/>
      <c r="CP352" s="161"/>
      <c r="CQ352" s="161"/>
      <c r="CR352" s="161"/>
      <c r="CS352" s="161"/>
      <c r="CT352" s="161"/>
      <c r="CU352" s="161"/>
      <c r="CV352" s="161"/>
      <c r="CW352" s="161"/>
      <c r="CX352" s="161"/>
      <c r="CY352" s="161"/>
      <c r="CZ352" s="161"/>
      <c r="DA352" s="161"/>
      <c r="DB352" s="161"/>
      <c r="DC352" s="161"/>
      <c r="DD352" s="161"/>
      <c r="DE352" s="161"/>
      <c r="DF352" s="161">
        <f>SUM(DG352:DG352)</f>
      </c>
      <c r="DG352" s="161"/>
      <c r="DH352" s="161"/>
      <c r="DI352" s="161"/>
      <c r="DJ352" s="161">
        <f>SUM(DK352:DP352)</f>
      </c>
      <c r="DK352" s="161"/>
      <c r="DL352" s="161"/>
      <c r="DM352" s="161"/>
      <c r="DN352" s="161"/>
      <c r="DO352" s="161"/>
      <c r="DP352" s="161"/>
      <c r="DQ352" s="161"/>
      <c r="DR352" s="161"/>
      <c r="DS352" s="161"/>
      <c r="DT352" s="161"/>
      <c r="DU352" s="161"/>
      <c r="DV352" s="161"/>
      <c r="DW352" s="161"/>
      <c r="DX352" s="161"/>
      <c r="DY352" s="161"/>
      <c r="DZ352" s="161"/>
      <c r="EA352" s="161"/>
      <c r="EB352" s="161"/>
      <c r="EC352" s="161"/>
      <c r="ED352" s="161"/>
      <c r="EE352" s="161"/>
      <c r="EF352" s="161">
        <f>SUM(EG352:EP352)</f>
      </c>
      <c r="EG352" s="161"/>
      <c r="EH352" s="161"/>
      <c r="EI352" s="161"/>
      <c r="EJ352" s="161"/>
      <c r="EK352" s="161"/>
      <c r="EL352" s="161"/>
      <c r="EM352" s="161"/>
      <c r="EN352" s="161"/>
      <c r="EO352" s="161"/>
      <c r="EP352" s="161"/>
      <c r="EQ352" s="161">
        <f>SUM(ER352:ES352)</f>
      </c>
      <c r="ER352" s="161"/>
      <c r="ES352" s="161"/>
      <c r="ET352" s="161"/>
      <c r="EU352" s="161"/>
      <c r="EV352" s="161"/>
      <c r="EW352" s="161"/>
      <c r="EX352" s="161"/>
      <c r="EY352" s="161"/>
      <c r="EZ352" s="161"/>
      <c r="FA352" s="161"/>
      <c r="FB352" s="161"/>
      <c r="FC352" s="161"/>
      <c r="FD352" s="161"/>
      <c r="FE352" s="161"/>
      <c r="FF352" s="161"/>
      <c r="FG352" s="161"/>
      <c r="FH352" s="166" cm="1">
        <f t="array" ref="FH352">ROW()-ROW(Ongoing[#Headers])</f>
        <v>346</v>
      </c>
      <c r="FI352" s="167"/>
      <c r="FJ352" s="167"/>
      <c r="FK352" s="167"/>
      <c r="FL352" s="167"/>
      <c r="FM352" s="167"/>
      <c r="FN352" s="167"/>
      <c r="FO352" s="167"/>
      <c r="FP352" s="167"/>
    </row>
    <row r="353" spans="2:172" s="115" customFormat="1" ht="11.25" x14ac:dyDescent="0.2">
      <c r="B353" s="148"/>
      <c r="C353" s="148"/>
      <c r="D353" s="148"/>
      <c r="E353" s="148"/>
      <c r="F353" s="148"/>
      <c r="G353" s="148"/>
      <c r="H353" s="148"/>
      <c r="I353" s="148"/>
      <c r="J353" s="148"/>
      <c r="K353" s="148"/>
      <c r="L353" s="148"/>
      <c r="M353" s="160"/>
      <c r="N353" s="160"/>
      <c r="O353" s="148"/>
      <c r="P353" s="161">
        <f>SUM(Q353:AP353)</f>
      </c>
      <c r="Q353" s="161"/>
      <c r="R353" s="161"/>
      <c r="S353" s="161"/>
      <c r="T353" s="161"/>
      <c r="U353" s="161"/>
      <c r="V353" s="161"/>
      <c r="W353" s="161"/>
      <c r="X353" s="161"/>
      <c r="Y353" s="161"/>
      <c r="Z353" s="161"/>
      <c r="AA353" s="161"/>
      <c r="AB353" s="161"/>
      <c r="AC353" s="161"/>
      <c r="AD353" s="161"/>
      <c r="AE353" s="161"/>
      <c r="AF353" s="161"/>
      <c r="AG353" s="161"/>
      <c r="AH353" s="161"/>
      <c r="AI353" s="161"/>
      <c r="AJ353" s="161"/>
      <c r="AK353" s="161"/>
      <c r="AL353" s="161"/>
      <c r="AM353" s="161"/>
      <c r="AN353" s="161"/>
      <c r="AO353" s="161"/>
      <c r="AP353" s="161"/>
      <c r="AQ353" s="161">
        <f>SUM(AR353:AU353)</f>
      </c>
      <c r="AR353" s="161"/>
      <c r="AS353" s="161"/>
      <c r="AT353" s="161"/>
      <c r="AU353" s="161"/>
      <c r="AV353" s="161">
        <f>SUM(AW353:BH353)</f>
      </c>
      <c r="AW353" s="161"/>
      <c r="AX353" s="161"/>
      <c r="AY353" s="161"/>
      <c r="AZ353" s="161"/>
      <c r="BA353" s="161"/>
      <c r="BB353" s="161"/>
      <c r="BC353" s="161"/>
      <c r="BD353" s="161"/>
      <c r="BE353" s="161"/>
      <c r="BF353" s="161"/>
      <c r="BG353" s="161"/>
      <c r="BH353" s="161"/>
      <c r="BI353" s="161"/>
      <c r="BJ353" s="161"/>
      <c r="BK353" s="161"/>
      <c r="BL353" s="161"/>
      <c r="BM353" s="161"/>
      <c r="BN353" s="161"/>
      <c r="BO353" s="161"/>
      <c r="BP353" s="161"/>
      <c r="BQ353" s="161"/>
      <c r="BR353" s="161"/>
      <c r="BS353" s="161">
        <f>SUM(BT353:BV353)</f>
      </c>
      <c r="BT353" s="161"/>
      <c r="BU353" s="161"/>
      <c r="BV353" s="161"/>
      <c r="BW353" s="161">
        <f>SUM(BX353:CC353)</f>
      </c>
      <c r="BX353" s="161"/>
      <c r="BY353" s="161"/>
      <c r="BZ353" s="161"/>
      <c r="CA353" s="161"/>
      <c r="CB353" s="161"/>
      <c r="CC353" s="161"/>
      <c r="CD353" s="161"/>
      <c r="CE353" s="161"/>
      <c r="CF353" s="161"/>
      <c r="CG353" s="161"/>
      <c r="CH353" s="161"/>
      <c r="CI353" s="161"/>
      <c r="CJ353" s="161">
        <f>SUM(CK353:CM353)</f>
      </c>
      <c r="CK353" s="161"/>
      <c r="CL353" s="161"/>
      <c r="CM353" s="161"/>
      <c r="CN353" s="161">
        <f>SUM(CO353:CS353)</f>
      </c>
      <c r="CO353" s="161"/>
      <c r="CP353" s="161"/>
      <c r="CQ353" s="161"/>
      <c r="CR353" s="161"/>
      <c r="CS353" s="161"/>
      <c r="CT353" s="161"/>
      <c r="CU353" s="161"/>
      <c r="CV353" s="161"/>
      <c r="CW353" s="161"/>
      <c r="CX353" s="161"/>
      <c r="CY353" s="161"/>
      <c r="CZ353" s="161"/>
      <c r="DA353" s="161"/>
      <c r="DB353" s="161"/>
      <c r="DC353" s="161"/>
      <c r="DD353" s="161"/>
      <c r="DE353" s="161"/>
      <c r="DF353" s="161">
        <f>SUM(DG353:DG353)</f>
      </c>
      <c r="DG353" s="161"/>
      <c r="DH353" s="161"/>
      <c r="DI353" s="161"/>
      <c r="DJ353" s="161">
        <f>SUM(DK353:DP353)</f>
      </c>
      <c r="DK353" s="161"/>
      <c r="DL353" s="161"/>
      <c r="DM353" s="161"/>
      <c r="DN353" s="161"/>
      <c r="DO353" s="161"/>
      <c r="DP353" s="161"/>
      <c r="DQ353" s="161"/>
      <c r="DR353" s="161"/>
      <c r="DS353" s="161"/>
      <c r="DT353" s="161"/>
      <c r="DU353" s="161"/>
      <c r="DV353" s="161"/>
      <c r="DW353" s="161"/>
      <c r="DX353" s="161"/>
      <c r="DY353" s="161"/>
      <c r="DZ353" s="161"/>
      <c r="EA353" s="161"/>
      <c r="EB353" s="161"/>
      <c r="EC353" s="161"/>
      <c r="ED353" s="161"/>
      <c r="EE353" s="161"/>
      <c r="EF353" s="161">
        <f>SUM(EG353:EP353)</f>
      </c>
      <c r="EG353" s="161"/>
      <c r="EH353" s="161"/>
      <c r="EI353" s="161"/>
      <c r="EJ353" s="161"/>
      <c r="EK353" s="161"/>
      <c r="EL353" s="161"/>
      <c r="EM353" s="161"/>
      <c r="EN353" s="161"/>
      <c r="EO353" s="161"/>
      <c r="EP353" s="161"/>
      <c r="EQ353" s="161">
        <f>SUM(ER353:ES353)</f>
      </c>
      <c r="ER353" s="161"/>
      <c r="ES353" s="161"/>
      <c r="ET353" s="161"/>
      <c r="EU353" s="161"/>
      <c r="EV353" s="161"/>
      <c r="EW353" s="161"/>
      <c r="EX353" s="161"/>
      <c r="EY353" s="161"/>
      <c r="EZ353" s="161"/>
      <c r="FA353" s="161"/>
      <c r="FB353" s="161"/>
      <c r="FC353" s="161"/>
      <c r="FD353" s="161"/>
      <c r="FE353" s="161"/>
      <c r="FF353" s="161"/>
      <c r="FG353" s="161"/>
      <c r="FH353" s="166" cm="1">
        <f t="array" ref="FH353">ROW()-ROW(Ongoing[#Headers])</f>
        <v>347</v>
      </c>
      <c r="FI353" s="167"/>
      <c r="FJ353" s="167"/>
      <c r="FK353" s="167"/>
      <c r="FL353" s="167"/>
      <c r="FM353" s="167"/>
      <c r="FN353" s="167"/>
      <c r="FO353" s="167"/>
      <c r="FP353" s="167"/>
    </row>
    <row r="354" spans="2:172" s="115" customFormat="1" ht="11.25" x14ac:dyDescent="0.2">
      <c r="B354" s="148"/>
      <c r="C354" s="148"/>
      <c r="D354" s="148"/>
      <c r="E354" s="148"/>
      <c r="F354" s="148"/>
      <c r="G354" s="148"/>
      <c r="H354" s="148"/>
      <c r="I354" s="148"/>
      <c r="J354" s="148"/>
      <c r="K354" s="148"/>
      <c r="L354" s="148"/>
      <c r="M354" s="160"/>
      <c r="N354" s="160"/>
      <c r="O354" s="148"/>
      <c r="P354" s="161">
        <f>SUM(Q354:AP354)</f>
      </c>
      <c r="Q354" s="161"/>
      <c r="R354" s="161"/>
      <c r="S354" s="161"/>
      <c r="T354" s="161"/>
      <c r="U354" s="161"/>
      <c r="V354" s="161"/>
      <c r="W354" s="161"/>
      <c r="X354" s="161"/>
      <c r="Y354" s="161"/>
      <c r="Z354" s="161"/>
      <c r="AA354" s="161"/>
      <c r="AB354" s="161"/>
      <c r="AC354" s="161"/>
      <c r="AD354" s="161"/>
      <c r="AE354" s="161"/>
      <c r="AF354" s="161"/>
      <c r="AG354" s="161"/>
      <c r="AH354" s="161"/>
      <c r="AI354" s="161"/>
      <c r="AJ354" s="161"/>
      <c r="AK354" s="161"/>
      <c r="AL354" s="161"/>
      <c r="AM354" s="161"/>
      <c r="AN354" s="161"/>
      <c r="AO354" s="161"/>
      <c r="AP354" s="161"/>
      <c r="AQ354" s="161">
        <f>SUM(AR354:AU354)</f>
      </c>
      <c r="AR354" s="161"/>
      <c r="AS354" s="161"/>
      <c r="AT354" s="161"/>
      <c r="AU354" s="161"/>
      <c r="AV354" s="161">
        <f>SUM(AW354:BH354)</f>
      </c>
      <c r="AW354" s="161"/>
      <c r="AX354" s="161"/>
      <c r="AY354" s="161"/>
      <c r="AZ354" s="161"/>
      <c r="BA354" s="161"/>
      <c r="BB354" s="161"/>
      <c r="BC354" s="161"/>
      <c r="BD354" s="161"/>
      <c r="BE354" s="161"/>
      <c r="BF354" s="161"/>
      <c r="BG354" s="161"/>
      <c r="BH354" s="161"/>
      <c r="BI354" s="161"/>
      <c r="BJ354" s="161"/>
      <c r="BK354" s="161"/>
      <c r="BL354" s="161"/>
      <c r="BM354" s="161"/>
      <c r="BN354" s="161"/>
      <c r="BO354" s="161"/>
      <c r="BP354" s="161"/>
      <c r="BQ354" s="161"/>
      <c r="BR354" s="161"/>
      <c r="BS354" s="161">
        <f>SUM(BT354:BV354)</f>
      </c>
      <c r="BT354" s="161"/>
      <c r="BU354" s="161"/>
      <c r="BV354" s="161"/>
      <c r="BW354" s="161">
        <f>SUM(BX354:CC354)</f>
      </c>
      <c r="BX354" s="161"/>
      <c r="BY354" s="161"/>
      <c r="BZ354" s="161"/>
      <c r="CA354" s="161"/>
      <c r="CB354" s="161"/>
      <c r="CC354" s="161"/>
      <c r="CD354" s="161"/>
      <c r="CE354" s="161"/>
      <c r="CF354" s="161"/>
      <c r="CG354" s="161"/>
      <c r="CH354" s="161"/>
      <c r="CI354" s="161"/>
      <c r="CJ354" s="161">
        <f>SUM(CK354:CM354)</f>
      </c>
      <c r="CK354" s="161"/>
      <c r="CL354" s="161"/>
      <c r="CM354" s="161"/>
      <c r="CN354" s="161">
        <f>SUM(CO354:CS354)</f>
      </c>
      <c r="CO354" s="161"/>
      <c r="CP354" s="161"/>
      <c r="CQ354" s="161"/>
      <c r="CR354" s="161"/>
      <c r="CS354" s="161"/>
      <c r="CT354" s="161"/>
      <c r="CU354" s="161"/>
      <c r="CV354" s="161"/>
      <c r="CW354" s="161"/>
      <c r="CX354" s="161"/>
      <c r="CY354" s="161"/>
      <c r="CZ354" s="161"/>
      <c r="DA354" s="161"/>
      <c r="DB354" s="161"/>
      <c r="DC354" s="161"/>
      <c r="DD354" s="161"/>
      <c r="DE354" s="161"/>
      <c r="DF354" s="161">
        <f>SUM(DG354:DG354)</f>
      </c>
      <c r="DG354" s="161"/>
      <c r="DH354" s="161"/>
      <c r="DI354" s="161"/>
      <c r="DJ354" s="161">
        <f>SUM(DK354:DP354)</f>
      </c>
      <c r="DK354" s="161"/>
      <c r="DL354" s="161"/>
      <c r="DM354" s="161"/>
      <c r="DN354" s="161"/>
      <c r="DO354" s="161"/>
      <c r="DP354" s="161"/>
      <c r="DQ354" s="161"/>
      <c r="DR354" s="161"/>
      <c r="DS354" s="161"/>
      <c r="DT354" s="161"/>
      <c r="DU354" s="161"/>
      <c r="DV354" s="161"/>
      <c r="DW354" s="161"/>
      <c r="DX354" s="161"/>
      <c r="DY354" s="161"/>
      <c r="DZ354" s="161"/>
      <c r="EA354" s="161"/>
      <c r="EB354" s="161"/>
      <c r="EC354" s="161"/>
      <c r="ED354" s="161"/>
      <c r="EE354" s="161"/>
      <c r="EF354" s="161">
        <f>SUM(EG354:EP354)</f>
      </c>
      <c r="EG354" s="161"/>
      <c r="EH354" s="161"/>
      <c r="EI354" s="161"/>
      <c r="EJ354" s="161"/>
      <c r="EK354" s="161"/>
      <c r="EL354" s="161"/>
      <c r="EM354" s="161"/>
      <c r="EN354" s="161"/>
      <c r="EO354" s="161"/>
      <c r="EP354" s="161"/>
      <c r="EQ354" s="161">
        <f>SUM(ER354:ES354)</f>
      </c>
      <c r="ER354" s="161"/>
      <c r="ES354" s="161"/>
      <c r="ET354" s="161"/>
      <c r="EU354" s="161"/>
      <c r="EV354" s="161"/>
      <c r="EW354" s="161"/>
      <c r="EX354" s="161"/>
      <c r="EY354" s="161"/>
      <c r="EZ354" s="161"/>
      <c r="FA354" s="161"/>
      <c r="FB354" s="161"/>
      <c r="FC354" s="161"/>
      <c r="FD354" s="161"/>
      <c r="FE354" s="161"/>
      <c r="FF354" s="161"/>
      <c r="FG354" s="161"/>
      <c r="FH354" s="166" cm="1">
        <f t="array" ref="FH354">ROW()-ROW(Ongoing[#Headers])</f>
        <v>348</v>
      </c>
      <c r="FI354" s="167"/>
      <c r="FJ354" s="167"/>
      <c r="FK354" s="167"/>
      <c r="FL354" s="167"/>
      <c r="FM354" s="167"/>
      <c r="FN354" s="167"/>
      <c r="FO354" s="167"/>
      <c r="FP354" s="167"/>
    </row>
    <row r="355" spans="2:172" s="115" customFormat="1" ht="11.25" x14ac:dyDescent="0.2">
      <c r="B355" s="148"/>
      <c r="C355" s="148"/>
      <c r="D355" s="148"/>
      <c r="E355" s="148"/>
      <c r="F355" s="148"/>
      <c r="G355" s="148"/>
      <c r="H355" s="148"/>
      <c r="I355" s="148"/>
      <c r="J355" s="148"/>
      <c r="K355" s="148"/>
      <c r="L355" s="148"/>
      <c r="M355" s="160"/>
      <c r="N355" s="160"/>
      <c r="O355" s="148"/>
      <c r="P355" s="161">
        <f>SUM(Q355:AP355)</f>
      </c>
      <c r="Q355" s="161"/>
      <c r="R355" s="161"/>
      <c r="S355" s="161"/>
      <c r="T355" s="161"/>
      <c r="U355" s="161"/>
      <c r="V355" s="161"/>
      <c r="W355" s="161"/>
      <c r="X355" s="161"/>
      <c r="Y355" s="161"/>
      <c r="Z355" s="161"/>
      <c r="AA355" s="161"/>
      <c r="AB355" s="161"/>
      <c r="AC355" s="161"/>
      <c r="AD355" s="161"/>
      <c r="AE355" s="161"/>
      <c r="AF355" s="161"/>
      <c r="AG355" s="161"/>
      <c r="AH355" s="161"/>
      <c r="AI355" s="161"/>
      <c r="AJ355" s="161"/>
      <c r="AK355" s="161"/>
      <c r="AL355" s="161"/>
      <c r="AM355" s="161"/>
      <c r="AN355" s="161"/>
      <c r="AO355" s="161"/>
      <c r="AP355" s="161"/>
      <c r="AQ355" s="161">
        <f>SUM(AR355:AU355)</f>
      </c>
      <c r="AR355" s="161"/>
      <c r="AS355" s="161"/>
      <c r="AT355" s="161"/>
      <c r="AU355" s="161"/>
      <c r="AV355" s="161">
        <f>SUM(AW355:BH355)</f>
      </c>
      <c r="AW355" s="161"/>
      <c r="AX355" s="161"/>
      <c r="AY355" s="161"/>
      <c r="AZ355" s="161"/>
      <c r="BA355" s="161"/>
      <c r="BB355" s="161"/>
      <c r="BC355" s="161"/>
      <c r="BD355" s="161"/>
      <c r="BE355" s="161"/>
      <c r="BF355" s="161"/>
      <c r="BG355" s="161"/>
      <c r="BH355" s="161"/>
      <c r="BI355" s="161"/>
      <c r="BJ355" s="161"/>
      <c r="BK355" s="161"/>
      <c r="BL355" s="161"/>
      <c r="BM355" s="161"/>
      <c r="BN355" s="161"/>
      <c r="BO355" s="161"/>
      <c r="BP355" s="161"/>
      <c r="BQ355" s="161"/>
      <c r="BR355" s="161"/>
      <c r="BS355" s="161">
        <f>SUM(BT355:BV355)</f>
      </c>
      <c r="BT355" s="161"/>
      <c r="BU355" s="161"/>
      <c r="BV355" s="161"/>
      <c r="BW355" s="161">
        <f>SUM(BX355:CC355)</f>
      </c>
      <c r="BX355" s="161"/>
      <c r="BY355" s="161"/>
      <c r="BZ355" s="161"/>
      <c r="CA355" s="161"/>
      <c r="CB355" s="161"/>
      <c r="CC355" s="161"/>
      <c r="CD355" s="161"/>
      <c r="CE355" s="161"/>
      <c r="CF355" s="161"/>
      <c r="CG355" s="161"/>
      <c r="CH355" s="161"/>
      <c r="CI355" s="161"/>
      <c r="CJ355" s="161">
        <f>SUM(CK355:CM355)</f>
      </c>
      <c r="CK355" s="161"/>
      <c r="CL355" s="161"/>
      <c r="CM355" s="161"/>
      <c r="CN355" s="161">
        <f>SUM(CO355:CS355)</f>
      </c>
      <c r="CO355" s="161"/>
      <c r="CP355" s="161"/>
      <c r="CQ355" s="161"/>
      <c r="CR355" s="161"/>
      <c r="CS355" s="161"/>
      <c r="CT355" s="161"/>
      <c r="CU355" s="161"/>
      <c r="CV355" s="161"/>
      <c r="CW355" s="161"/>
      <c r="CX355" s="161"/>
      <c r="CY355" s="161"/>
      <c r="CZ355" s="161"/>
      <c r="DA355" s="161"/>
      <c r="DB355" s="161"/>
      <c r="DC355" s="161"/>
      <c r="DD355" s="161"/>
      <c r="DE355" s="161"/>
      <c r="DF355" s="161">
        <f>SUM(DG355:DG355)</f>
      </c>
      <c r="DG355" s="161"/>
      <c r="DH355" s="161"/>
      <c r="DI355" s="161"/>
      <c r="DJ355" s="161">
        <f>SUM(DK355:DP355)</f>
      </c>
      <c r="DK355" s="161"/>
      <c r="DL355" s="161"/>
      <c r="DM355" s="161"/>
      <c r="DN355" s="161"/>
      <c r="DO355" s="161"/>
      <c r="DP355" s="161"/>
      <c r="DQ355" s="161"/>
      <c r="DR355" s="161"/>
      <c r="DS355" s="161"/>
      <c r="DT355" s="161"/>
      <c r="DU355" s="161"/>
      <c r="DV355" s="161"/>
      <c r="DW355" s="161"/>
      <c r="DX355" s="161"/>
      <c r="DY355" s="161"/>
      <c r="DZ355" s="161"/>
      <c r="EA355" s="161"/>
      <c r="EB355" s="161"/>
      <c r="EC355" s="161"/>
      <c r="ED355" s="161"/>
      <c r="EE355" s="161"/>
      <c r="EF355" s="161">
        <f>SUM(EG355:EP355)</f>
      </c>
      <c r="EG355" s="161"/>
      <c r="EH355" s="161"/>
      <c r="EI355" s="161"/>
      <c r="EJ355" s="161"/>
      <c r="EK355" s="161"/>
      <c r="EL355" s="161"/>
      <c r="EM355" s="161"/>
      <c r="EN355" s="161"/>
      <c r="EO355" s="161"/>
      <c r="EP355" s="161"/>
      <c r="EQ355" s="161">
        <f>SUM(ER355:ES355)</f>
      </c>
      <c r="ER355" s="161"/>
      <c r="ES355" s="161"/>
      <c r="ET355" s="161"/>
      <c r="EU355" s="161"/>
      <c r="EV355" s="161"/>
      <c r="EW355" s="161"/>
      <c r="EX355" s="161"/>
      <c r="EY355" s="161"/>
      <c r="EZ355" s="161"/>
      <c r="FA355" s="161"/>
      <c r="FB355" s="161"/>
      <c r="FC355" s="161"/>
      <c r="FD355" s="161"/>
      <c r="FE355" s="161"/>
      <c r="FF355" s="161"/>
      <c r="FG355" s="161"/>
      <c r="FH355" s="166" cm="1">
        <f t="array" ref="FH355">ROW()-ROW(Ongoing[#Headers])</f>
        <v>349</v>
      </c>
      <c r="FI355" s="167"/>
      <c r="FJ355" s="167"/>
      <c r="FK355" s="167"/>
      <c r="FL355" s="167"/>
      <c r="FM355" s="167"/>
      <c r="FN355" s="167"/>
      <c r="FO355" s="167"/>
      <c r="FP355" s="167"/>
    </row>
    <row r="356" spans="2:172" s="115" customFormat="1" ht="11.25" x14ac:dyDescent="0.2">
      <c r="B356" s="148"/>
      <c r="C356" s="148"/>
      <c r="D356" s="148"/>
      <c r="E356" s="148"/>
      <c r="F356" s="148"/>
      <c r="G356" s="148"/>
      <c r="H356" s="148"/>
      <c r="I356" s="148"/>
      <c r="J356" s="148"/>
      <c r="K356" s="148"/>
      <c r="L356" s="148"/>
      <c r="M356" s="160"/>
      <c r="N356" s="160"/>
      <c r="O356" s="148"/>
      <c r="P356" s="161">
        <f>SUM(Q356:AP356)</f>
      </c>
      <c r="Q356" s="161"/>
      <c r="R356" s="161"/>
      <c r="S356" s="161"/>
      <c r="T356" s="161"/>
      <c r="U356" s="161"/>
      <c r="V356" s="161"/>
      <c r="W356" s="161"/>
      <c r="X356" s="161"/>
      <c r="Y356" s="161"/>
      <c r="Z356" s="161"/>
      <c r="AA356" s="161"/>
      <c r="AB356" s="161"/>
      <c r="AC356" s="161"/>
      <c r="AD356" s="161"/>
      <c r="AE356" s="161"/>
      <c r="AF356" s="161"/>
      <c r="AG356" s="161"/>
      <c r="AH356" s="161"/>
      <c r="AI356" s="161"/>
      <c r="AJ356" s="161"/>
      <c r="AK356" s="161"/>
      <c r="AL356" s="161"/>
      <c r="AM356" s="161"/>
      <c r="AN356" s="161"/>
      <c r="AO356" s="161"/>
      <c r="AP356" s="161"/>
      <c r="AQ356" s="161">
        <f>SUM(AR356:AU356)</f>
      </c>
      <c r="AR356" s="161"/>
      <c r="AS356" s="161"/>
      <c r="AT356" s="161"/>
      <c r="AU356" s="161"/>
      <c r="AV356" s="161">
        <f>SUM(AW356:BH356)</f>
      </c>
      <c r="AW356" s="161"/>
      <c r="AX356" s="161"/>
      <c r="AY356" s="161"/>
      <c r="AZ356" s="161"/>
      <c r="BA356" s="161"/>
      <c r="BB356" s="161"/>
      <c r="BC356" s="161"/>
      <c r="BD356" s="161"/>
      <c r="BE356" s="161"/>
      <c r="BF356" s="161"/>
      <c r="BG356" s="161"/>
      <c r="BH356" s="161"/>
      <c r="BI356" s="161"/>
      <c r="BJ356" s="161"/>
      <c r="BK356" s="161"/>
      <c r="BL356" s="161"/>
      <c r="BM356" s="161"/>
      <c r="BN356" s="161"/>
      <c r="BO356" s="161"/>
      <c r="BP356" s="161"/>
      <c r="BQ356" s="161"/>
      <c r="BR356" s="161"/>
      <c r="BS356" s="161">
        <f>SUM(BT356:BV356)</f>
      </c>
      <c r="BT356" s="161"/>
      <c r="BU356" s="161"/>
      <c r="BV356" s="161"/>
      <c r="BW356" s="161">
        <f>SUM(BX356:CC356)</f>
      </c>
      <c r="BX356" s="161"/>
      <c r="BY356" s="161"/>
      <c r="BZ356" s="161"/>
      <c r="CA356" s="161"/>
      <c r="CB356" s="161"/>
      <c r="CC356" s="161"/>
      <c r="CD356" s="161"/>
      <c r="CE356" s="161"/>
      <c r="CF356" s="161"/>
      <c r="CG356" s="161"/>
      <c r="CH356" s="161"/>
      <c r="CI356" s="161"/>
      <c r="CJ356" s="161">
        <f>SUM(CK356:CM356)</f>
      </c>
      <c r="CK356" s="161"/>
      <c r="CL356" s="161"/>
      <c r="CM356" s="161"/>
      <c r="CN356" s="161">
        <f>SUM(CO356:CS356)</f>
      </c>
      <c r="CO356" s="161"/>
      <c r="CP356" s="161"/>
      <c r="CQ356" s="161"/>
      <c r="CR356" s="161"/>
      <c r="CS356" s="161"/>
      <c r="CT356" s="161"/>
      <c r="CU356" s="161"/>
      <c r="CV356" s="161"/>
      <c r="CW356" s="161"/>
      <c r="CX356" s="161"/>
      <c r="CY356" s="161"/>
      <c r="CZ356" s="161"/>
      <c r="DA356" s="161"/>
      <c r="DB356" s="161"/>
      <c r="DC356" s="161"/>
      <c r="DD356" s="161"/>
      <c r="DE356" s="161"/>
      <c r="DF356" s="161">
        <f>SUM(DG356:DG356)</f>
      </c>
      <c r="DG356" s="161"/>
      <c r="DH356" s="161"/>
      <c r="DI356" s="161"/>
      <c r="DJ356" s="161">
        <f>SUM(DK356:DP356)</f>
      </c>
      <c r="DK356" s="161"/>
      <c r="DL356" s="161"/>
      <c r="DM356" s="161"/>
      <c r="DN356" s="161"/>
      <c r="DO356" s="161"/>
      <c r="DP356" s="161"/>
      <c r="DQ356" s="161"/>
      <c r="DR356" s="161"/>
      <c r="DS356" s="161"/>
      <c r="DT356" s="161"/>
      <c r="DU356" s="161"/>
      <c r="DV356" s="161"/>
      <c r="DW356" s="161"/>
      <c r="DX356" s="161"/>
      <c r="DY356" s="161"/>
      <c r="DZ356" s="161"/>
      <c r="EA356" s="161"/>
      <c r="EB356" s="161"/>
      <c r="EC356" s="161"/>
      <c r="ED356" s="161"/>
      <c r="EE356" s="161"/>
      <c r="EF356" s="161">
        <f>SUM(EG356:EP356)</f>
      </c>
      <c r="EG356" s="161"/>
      <c r="EH356" s="161"/>
      <c r="EI356" s="161"/>
      <c r="EJ356" s="161"/>
      <c r="EK356" s="161"/>
      <c r="EL356" s="161"/>
      <c r="EM356" s="161"/>
      <c r="EN356" s="161"/>
      <c r="EO356" s="161"/>
      <c r="EP356" s="161"/>
      <c r="EQ356" s="161">
        <f>SUM(ER356:ES356)</f>
      </c>
      <c r="ER356" s="161"/>
      <c r="ES356" s="161"/>
      <c r="ET356" s="161"/>
      <c r="EU356" s="161"/>
      <c r="EV356" s="161"/>
      <c r="EW356" s="161"/>
      <c r="EX356" s="161"/>
      <c r="EY356" s="161"/>
      <c r="EZ356" s="161"/>
      <c r="FA356" s="161"/>
      <c r="FB356" s="161"/>
      <c r="FC356" s="161"/>
      <c r="FD356" s="161"/>
      <c r="FE356" s="161"/>
      <c r="FF356" s="161"/>
      <c r="FG356" s="161"/>
      <c r="FH356" s="166" cm="1">
        <f t="array" ref="FH356">ROW()-ROW(Ongoing[#Headers])</f>
        <v>350</v>
      </c>
      <c r="FI356" s="167"/>
      <c r="FJ356" s="167"/>
      <c r="FK356" s="167"/>
      <c r="FL356" s="167"/>
      <c r="FM356" s="167"/>
      <c r="FN356" s="167"/>
      <c r="FO356" s="167"/>
      <c r="FP356" s="167"/>
    </row>
    <row r="357" spans="2:172" s="115" customFormat="1" ht="11.25" x14ac:dyDescent="0.2">
      <c r="B357" s="148"/>
      <c r="C357" s="148"/>
      <c r="D357" s="148"/>
      <c r="E357" s="148"/>
      <c r="F357" s="148"/>
      <c r="G357" s="148"/>
      <c r="H357" s="148"/>
      <c r="I357" s="148"/>
      <c r="J357" s="148"/>
      <c r="K357" s="148"/>
      <c r="L357" s="148"/>
      <c r="M357" s="160"/>
      <c r="N357" s="160"/>
      <c r="O357" s="148"/>
      <c r="P357" s="161">
        <f>SUM(Q357:AP357)</f>
      </c>
      <c r="Q357" s="161"/>
      <c r="R357" s="161"/>
      <c r="S357" s="161"/>
      <c r="T357" s="161"/>
      <c r="U357" s="161"/>
      <c r="V357" s="161"/>
      <c r="W357" s="161"/>
      <c r="X357" s="161"/>
      <c r="Y357" s="161"/>
      <c r="Z357" s="161"/>
      <c r="AA357" s="161"/>
      <c r="AB357" s="161"/>
      <c r="AC357" s="161"/>
      <c r="AD357" s="161"/>
      <c r="AE357" s="161"/>
      <c r="AF357" s="161"/>
      <c r="AG357" s="161"/>
      <c r="AH357" s="161"/>
      <c r="AI357" s="161"/>
      <c r="AJ357" s="161"/>
      <c r="AK357" s="161"/>
      <c r="AL357" s="161"/>
      <c r="AM357" s="161"/>
      <c r="AN357" s="161"/>
      <c r="AO357" s="161"/>
      <c r="AP357" s="161"/>
      <c r="AQ357" s="161">
        <f>SUM(AR357:AU357)</f>
      </c>
      <c r="AR357" s="161"/>
      <c r="AS357" s="161"/>
      <c r="AT357" s="161"/>
      <c r="AU357" s="161"/>
      <c r="AV357" s="161">
        <f>SUM(AW357:BH357)</f>
      </c>
      <c r="AW357" s="161"/>
      <c r="AX357" s="161"/>
      <c r="AY357" s="161"/>
      <c r="AZ357" s="161"/>
      <c r="BA357" s="161"/>
      <c r="BB357" s="161"/>
      <c r="BC357" s="161"/>
      <c r="BD357" s="161"/>
      <c r="BE357" s="161"/>
      <c r="BF357" s="161"/>
      <c r="BG357" s="161"/>
      <c r="BH357" s="161"/>
      <c r="BI357" s="161"/>
      <c r="BJ357" s="161"/>
      <c r="BK357" s="161"/>
      <c r="BL357" s="161"/>
      <c r="BM357" s="161"/>
      <c r="BN357" s="161"/>
      <c r="BO357" s="161"/>
      <c r="BP357" s="161"/>
      <c r="BQ357" s="161"/>
      <c r="BR357" s="161"/>
      <c r="BS357" s="161">
        <f>SUM(BT357:BV357)</f>
      </c>
      <c r="BT357" s="161"/>
      <c r="BU357" s="161"/>
      <c r="BV357" s="161"/>
      <c r="BW357" s="161">
        <f>SUM(BX357:CC357)</f>
      </c>
      <c r="BX357" s="161"/>
      <c r="BY357" s="161"/>
      <c r="BZ357" s="161"/>
      <c r="CA357" s="161"/>
      <c r="CB357" s="161"/>
      <c r="CC357" s="161"/>
      <c r="CD357" s="161"/>
      <c r="CE357" s="161"/>
      <c r="CF357" s="161"/>
      <c r="CG357" s="161"/>
      <c r="CH357" s="161"/>
      <c r="CI357" s="161"/>
      <c r="CJ357" s="161">
        <f>SUM(CK357:CM357)</f>
      </c>
      <c r="CK357" s="161"/>
      <c r="CL357" s="161"/>
      <c r="CM357" s="161"/>
      <c r="CN357" s="161">
        <f>SUM(CO357:CS357)</f>
      </c>
      <c r="CO357" s="161"/>
      <c r="CP357" s="161"/>
      <c r="CQ357" s="161"/>
      <c r="CR357" s="161"/>
      <c r="CS357" s="161"/>
      <c r="CT357" s="161"/>
      <c r="CU357" s="161"/>
      <c r="CV357" s="161"/>
      <c r="CW357" s="161"/>
      <c r="CX357" s="161"/>
      <c r="CY357" s="161"/>
      <c r="CZ357" s="161"/>
      <c r="DA357" s="161"/>
      <c r="DB357" s="161"/>
      <c r="DC357" s="161"/>
      <c r="DD357" s="161"/>
      <c r="DE357" s="161"/>
      <c r="DF357" s="161">
        <f>SUM(DG357:DG357)</f>
      </c>
      <c r="DG357" s="161"/>
      <c r="DH357" s="161"/>
      <c r="DI357" s="161"/>
      <c r="DJ357" s="161">
        <f>SUM(DK357:DP357)</f>
      </c>
      <c r="DK357" s="161"/>
      <c r="DL357" s="161"/>
      <c r="DM357" s="161"/>
      <c r="DN357" s="161"/>
      <c r="DO357" s="161"/>
      <c r="DP357" s="161"/>
      <c r="DQ357" s="161"/>
      <c r="DR357" s="161"/>
      <c r="DS357" s="161"/>
      <c r="DT357" s="161"/>
      <c r="DU357" s="161"/>
      <c r="DV357" s="161"/>
      <c r="DW357" s="161"/>
      <c r="DX357" s="161"/>
      <c r="DY357" s="161"/>
      <c r="DZ357" s="161"/>
      <c r="EA357" s="161"/>
      <c r="EB357" s="161"/>
      <c r="EC357" s="161"/>
      <c r="ED357" s="161"/>
      <c r="EE357" s="161"/>
      <c r="EF357" s="161">
        <f>SUM(EG357:EP357)</f>
      </c>
      <c r="EG357" s="161"/>
      <c r="EH357" s="161"/>
      <c r="EI357" s="161"/>
      <c r="EJ357" s="161"/>
      <c r="EK357" s="161"/>
      <c r="EL357" s="161"/>
      <c r="EM357" s="161"/>
      <c r="EN357" s="161"/>
      <c r="EO357" s="161"/>
      <c r="EP357" s="161"/>
      <c r="EQ357" s="161">
        <f>SUM(ER357:ES357)</f>
      </c>
      <c r="ER357" s="161"/>
      <c r="ES357" s="161"/>
      <c r="ET357" s="161"/>
      <c r="EU357" s="161"/>
      <c r="EV357" s="161"/>
      <c r="EW357" s="161"/>
      <c r="EX357" s="161"/>
      <c r="EY357" s="161"/>
      <c r="EZ357" s="161"/>
      <c r="FA357" s="161"/>
      <c r="FB357" s="161"/>
      <c r="FC357" s="161"/>
      <c r="FD357" s="161"/>
      <c r="FE357" s="161"/>
      <c r="FF357" s="161"/>
      <c r="FG357" s="161"/>
      <c r="FH357" s="166" cm="1">
        <f t="array" ref="FH357">ROW()-ROW(Ongoing[#Headers])</f>
        <v>351</v>
      </c>
      <c r="FI357" s="167"/>
      <c r="FJ357" s="167"/>
      <c r="FK357" s="167"/>
      <c r="FL357" s="167"/>
      <c r="FM357" s="167"/>
      <c r="FN357" s="167"/>
      <c r="FO357" s="167"/>
      <c r="FP357" s="167"/>
    </row>
    <row r="358" spans="2:172" s="115" customFormat="1" ht="11.25" x14ac:dyDescent="0.2">
      <c r="B358" s="148"/>
      <c r="C358" s="148"/>
      <c r="D358" s="148"/>
      <c r="E358" s="148"/>
      <c r="F358" s="148"/>
      <c r="G358" s="148"/>
      <c r="H358" s="148"/>
      <c r="I358" s="148"/>
      <c r="J358" s="148"/>
      <c r="K358" s="148"/>
      <c r="L358" s="148"/>
      <c r="M358" s="160"/>
      <c r="N358" s="160"/>
      <c r="O358" s="148"/>
      <c r="P358" s="161">
        <f>SUM(Q358:AP358)</f>
      </c>
      <c r="Q358" s="161"/>
      <c r="R358" s="161"/>
      <c r="S358" s="161"/>
      <c r="T358" s="161"/>
      <c r="U358" s="161"/>
      <c r="V358" s="161"/>
      <c r="W358" s="161"/>
      <c r="X358" s="161"/>
      <c r="Y358" s="161"/>
      <c r="Z358" s="161"/>
      <c r="AA358" s="161"/>
      <c r="AB358" s="161"/>
      <c r="AC358" s="161"/>
      <c r="AD358" s="161"/>
      <c r="AE358" s="161"/>
      <c r="AF358" s="161"/>
      <c r="AG358" s="161"/>
      <c r="AH358" s="161"/>
      <c r="AI358" s="161"/>
      <c r="AJ358" s="161"/>
      <c r="AK358" s="161"/>
      <c r="AL358" s="161"/>
      <c r="AM358" s="161"/>
      <c r="AN358" s="161"/>
      <c r="AO358" s="161"/>
      <c r="AP358" s="161"/>
      <c r="AQ358" s="161">
        <f>SUM(AR358:AU358)</f>
      </c>
      <c r="AR358" s="161"/>
      <c r="AS358" s="161"/>
      <c r="AT358" s="161"/>
      <c r="AU358" s="161"/>
      <c r="AV358" s="161">
        <f>SUM(AW358:BH358)</f>
      </c>
      <c r="AW358" s="161"/>
      <c r="AX358" s="161"/>
      <c r="AY358" s="161"/>
      <c r="AZ358" s="161"/>
      <c r="BA358" s="161"/>
      <c r="BB358" s="161"/>
      <c r="BC358" s="161"/>
      <c r="BD358" s="161"/>
      <c r="BE358" s="161"/>
      <c r="BF358" s="161"/>
      <c r="BG358" s="161"/>
      <c r="BH358" s="161"/>
      <c r="BI358" s="161"/>
      <c r="BJ358" s="161"/>
      <c r="BK358" s="161"/>
      <c r="BL358" s="161"/>
      <c r="BM358" s="161"/>
      <c r="BN358" s="161"/>
      <c r="BO358" s="161"/>
      <c r="BP358" s="161"/>
      <c r="BQ358" s="161"/>
      <c r="BR358" s="161"/>
      <c r="BS358" s="161">
        <f>SUM(BT358:BV358)</f>
      </c>
      <c r="BT358" s="161"/>
      <c r="BU358" s="161"/>
      <c r="BV358" s="161"/>
      <c r="BW358" s="161">
        <f>SUM(BX358:CC358)</f>
      </c>
      <c r="BX358" s="161"/>
      <c r="BY358" s="161"/>
      <c r="BZ358" s="161"/>
      <c r="CA358" s="161"/>
      <c r="CB358" s="161"/>
      <c r="CC358" s="161"/>
      <c r="CD358" s="161"/>
      <c r="CE358" s="161"/>
      <c r="CF358" s="161"/>
      <c r="CG358" s="161"/>
      <c r="CH358" s="161"/>
      <c r="CI358" s="161"/>
      <c r="CJ358" s="161">
        <f>SUM(CK358:CM358)</f>
      </c>
      <c r="CK358" s="161"/>
      <c r="CL358" s="161"/>
      <c r="CM358" s="161"/>
      <c r="CN358" s="161">
        <f>SUM(CO358:CS358)</f>
      </c>
      <c r="CO358" s="161"/>
      <c r="CP358" s="161"/>
      <c r="CQ358" s="161"/>
      <c r="CR358" s="161"/>
      <c r="CS358" s="161"/>
      <c r="CT358" s="161"/>
      <c r="CU358" s="161"/>
      <c r="CV358" s="161"/>
      <c r="CW358" s="161"/>
      <c r="CX358" s="161"/>
      <c r="CY358" s="161"/>
      <c r="CZ358" s="161"/>
      <c r="DA358" s="161"/>
      <c r="DB358" s="161"/>
      <c r="DC358" s="161"/>
      <c r="DD358" s="161"/>
      <c r="DE358" s="161"/>
      <c r="DF358" s="161">
        <f>SUM(DG358:DG358)</f>
      </c>
      <c r="DG358" s="161"/>
      <c r="DH358" s="161"/>
      <c r="DI358" s="161"/>
      <c r="DJ358" s="161">
        <f>SUM(DK358:DP358)</f>
      </c>
      <c r="DK358" s="161"/>
      <c r="DL358" s="161"/>
      <c r="DM358" s="161"/>
      <c r="DN358" s="161"/>
      <c r="DO358" s="161"/>
      <c r="DP358" s="161"/>
      <c r="DQ358" s="161"/>
      <c r="DR358" s="161"/>
      <c r="DS358" s="161"/>
      <c r="DT358" s="161"/>
      <c r="DU358" s="161"/>
      <c r="DV358" s="161"/>
      <c r="DW358" s="161"/>
      <c r="DX358" s="161"/>
      <c r="DY358" s="161"/>
      <c r="DZ358" s="161"/>
      <c r="EA358" s="161"/>
      <c r="EB358" s="161"/>
      <c r="EC358" s="161"/>
      <c r="ED358" s="161"/>
      <c r="EE358" s="161"/>
      <c r="EF358" s="161">
        <f>SUM(EG358:EP358)</f>
      </c>
      <c r="EG358" s="161"/>
      <c r="EH358" s="161"/>
      <c r="EI358" s="161"/>
      <c r="EJ358" s="161"/>
      <c r="EK358" s="161"/>
      <c r="EL358" s="161"/>
      <c r="EM358" s="161"/>
      <c r="EN358" s="161"/>
      <c r="EO358" s="161"/>
      <c r="EP358" s="161"/>
      <c r="EQ358" s="161">
        <f>SUM(ER358:ES358)</f>
      </c>
      <c r="ER358" s="161"/>
      <c r="ES358" s="161"/>
      <c r="ET358" s="161"/>
      <c r="EU358" s="161"/>
      <c r="EV358" s="161"/>
      <c r="EW358" s="161"/>
      <c r="EX358" s="161"/>
      <c r="EY358" s="161"/>
      <c r="EZ358" s="161"/>
      <c r="FA358" s="161"/>
      <c r="FB358" s="161"/>
      <c r="FC358" s="161"/>
      <c r="FD358" s="161"/>
      <c r="FE358" s="161"/>
      <c r="FF358" s="161"/>
      <c r="FG358" s="161"/>
      <c r="FH358" s="166" cm="1">
        <f t="array" ref="FH358">ROW()-ROW(Ongoing[#Headers])</f>
        <v>352</v>
      </c>
      <c r="FI358" s="167"/>
      <c r="FJ358" s="167"/>
      <c r="FK358" s="167"/>
      <c r="FL358" s="167"/>
      <c r="FM358" s="167"/>
      <c r="FN358" s="167"/>
      <c r="FO358" s="167"/>
      <c r="FP358" s="167"/>
    </row>
    <row r="359" spans="2:172" s="115" customFormat="1" ht="11.25" x14ac:dyDescent="0.2">
      <c r="B359" s="148"/>
      <c r="C359" s="148"/>
      <c r="D359" s="148"/>
      <c r="E359" s="148"/>
      <c r="F359" s="148"/>
      <c r="G359" s="148"/>
      <c r="H359" s="148"/>
      <c r="I359" s="148"/>
      <c r="J359" s="148"/>
      <c r="K359" s="148"/>
      <c r="L359" s="148"/>
      <c r="M359" s="160"/>
      <c r="N359" s="160"/>
      <c r="O359" s="148"/>
      <c r="P359" s="161">
        <f>SUM(Q359:AP359)</f>
      </c>
      <c r="Q359" s="161"/>
      <c r="R359" s="161"/>
      <c r="S359" s="161"/>
      <c r="T359" s="161"/>
      <c r="U359" s="161"/>
      <c r="V359" s="161"/>
      <c r="W359" s="161"/>
      <c r="X359" s="161"/>
      <c r="Y359" s="161"/>
      <c r="Z359" s="161"/>
      <c r="AA359" s="161"/>
      <c r="AB359" s="161"/>
      <c r="AC359" s="161"/>
      <c r="AD359" s="161"/>
      <c r="AE359" s="161"/>
      <c r="AF359" s="161"/>
      <c r="AG359" s="161"/>
      <c r="AH359" s="161"/>
      <c r="AI359" s="161"/>
      <c r="AJ359" s="161"/>
      <c r="AK359" s="161"/>
      <c r="AL359" s="161"/>
      <c r="AM359" s="161"/>
      <c r="AN359" s="161"/>
      <c r="AO359" s="161"/>
      <c r="AP359" s="161"/>
      <c r="AQ359" s="161">
        <f>SUM(AR359:AU359)</f>
      </c>
      <c r="AR359" s="161"/>
      <c r="AS359" s="161"/>
      <c r="AT359" s="161"/>
      <c r="AU359" s="161"/>
      <c r="AV359" s="161">
        <f>SUM(AW359:BH359)</f>
      </c>
      <c r="AW359" s="161"/>
      <c r="AX359" s="161"/>
      <c r="AY359" s="161"/>
      <c r="AZ359" s="161"/>
      <c r="BA359" s="161"/>
      <c r="BB359" s="161"/>
      <c r="BC359" s="161"/>
      <c r="BD359" s="161"/>
      <c r="BE359" s="161"/>
      <c r="BF359" s="161"/>
      <c r="BG359" s="161"/>
      <c r="BH359" s="161"/>
      <c r="BI359" s="161"/>
      <c r="BJ359" s="161"/>
      <c r="BK359" s="161"/>
      <c r="BL359" s="161"/>
      <c r="BM359" s="161"/>
      <c r="BN359" s="161"/>
      <c r="BO359" s="161"/>
      <c r="BP359" s="161"/>
      <c r="BQ359" s="161"/>
      <c r="BR359" s="161"/>
      <c r="BS359" s="161">
        <f>SUM(BT359:BV359)</f>
      </c>
      <c r="BT359" s="161"/>
      <c r="BU359" s="161"/>
      <c r="BV359" s="161"/>
      <c r="BW359" s="161">
        <f>SUM(BX359:CC359)</f>
      </c>
      <c r="BX359" s="161"/>
      <c r="BY359" s="161"/>
      <c r="BZ359" s="161"/>
      <c r="CA359" s="161"/>
      <c r="CB359" s="161"/>
      <c r="CC359" s="161"/>
      <c r="CD359" s="161"/>
      <c r="CE359" s="161"/>
      <c r="CF359" s="161"/>
      <c r="CG359" s="161"/>
      <c r="CH359" s="161"/>
      <c r="CI359" s="161"/>
      <c r="CJ359" s="161">
        <f>SUM(CK359:CM359)</f>
      </c>
      <c r="CK359" s="161"/>
      <c r="CL359" s="161"/>
      <c r="CM359" s="161"/>
      <c r="CN359" s="161">
        <f>SUM(CO359:CS359)</f>
      </c>
      <c r="CO359" s="161"/>
      <c r="CP359" s="161"/>
      <c r="CQ359" s="161"/>
      <c r="CR359" s="161"/>
      <c r="CS359" s="161"/>
      <c r="CT359" s="161"/>
      <c r="CU359" s="161"/>
      <c r="CV359" s="161"/>
      <c r="CW359" s="161"/>
      <c r="CX359" s="161"/>
      <c r="CY359" s="161"/>
      <c r="CZ359" s="161"/>
      <c r="DA359" s="161"/>
      <c r="DB359" s="161"/>
      <c r="DC359" s="161"/>
      <c r="DD359" s="161"/>
      <c r="DE359" s="161"/>
      <c r="DF359" s="161">
        <f>SUM(DG359:DG359)</f>
      </c>
      <c r="DG359" s="161"/>
      <c r="DH359" s="161"/>
      <c r="DI359" s="161"/>
      <c r="DJ359" s="161">
        <f>SUM(DK359:DP359)</f>
      </c>
      <c r="DK359" s="161"/>
      <c r="DL359" s="161"/>
      <c r="DM359" s="161"/>
      <c r="DN359" s="161"/>
      <c r="DO359" s="161"/>
      <c r="DP359" s="161"/>
      <c r="DQ359" s="161"/>
      <c r="DR359" s="161"/>
      <c r="DS359" s="161"/>
      <c r="DT359" s="161"/>
      <c r="DU359" s="161"/>
      <c r="DV359" s="161"/>
      <c r="DW359" s="161"/>
      <c r="DX359" s="161"/>
      <c r="DY359" s="161"/>
      <c r="DZ359" s="161"/>
      <c r="EA359" s="161"/>
      <c r="EB359" s="161"/>
      <c r="EC359" s="161"/>
      <c r="ED359" s="161"/>
      <c r="EE359" s="161"/>
      <c r="EF359" s="161">
        <f>SUM(EG359:EP359)</f>
      </c>
      <c r="EG359" s="161"/>
      <c r="EH359" s="161"/>
      <c r="EI359" s="161"/>
      <c r="EJ359" s="161"/>
      <c r="EK359" s="161"/>
      <c r="EL359" s="161"/>
      <c r="EM359" s="161"/>
      <c r="EN359" s="161"/>
      <c r="EO359" s="161"/>
      <c r="EP359" s="161"/>
      <c r="EQ359" s="161">
        <f>SUM(ER359:ES359)</f>
      </c>
      <c r="ER359" s="161"/>
      <c r="ES359" s="161"/>
      <c r="ET359" s="161"/>
      <c r="EU359" s="161"/>
      <c r="EV359" s="161"/>
      <c r="EW359" s="161"/>
      <c r="EX359" s="161"/>
      <c r="EY359" s="161"/>
      <c r="EZ359" s="161"/>
      <c r="FA359" s="161"/>
      <c r="FB359" s="161"/>
      <c r="FC359" s="161"/>
      <c r="FD359" s="161"/>
      <c r="FE359" s="161"/>
      <c r="FF359" s="161"/>
      <c r="FG359" s="161"/>
      <c r="FH359" s="166" cm="1">
        <f t="array" ref="FH359">ROW()-ROW(Ongoing[#Headers])</f>
        <v>353</v>
      </c>
      <c r="FI359" s="167"/>
      <c r="FJ359" s="167"/>
      <c r="FK359" s="167"/>
      <c r="FL359" s="167"/>
      <c r="FM359" s="167"/>
      <c r="FN359" s="167"/>
      <c r="FO359" s="167"/>
      <c r="FP359" s="167"/>
    </row>
    <row r="360" spans="2:172" s="115" customFormat="1" ht="11.25" x14ac:dyDescent="0.2">
      <c r="B360" s="148"/>
      <c r="C360" s="148"/>
      <c r="D360" s="148"/>
      <c r="E360" s="148"/>
      <c r="F360" s="148"/>
      <c r="G360" s="148"/>
      <c r="H360" s="148"/>
      <c r="I360" s="148"/>
      <c r="J360" s="148"/>
      <c r="K360" s="148"/>
      <c r="L360" s="148"/>
      <c r="M360" s="160"/>
      <c r="N360" s="160"/>
      <c r="O360" s="148"/>
      <c r="P360" s="161">
        <f>SUM(Q360:AP360)</f>
      </c>
      <c r="Q360" s="161"/>
      <c r="R360" s="161"/>
      <c r="S360" s="161"/>
      <c r="T360" s="161"/>
      <c r="U360" s="161"/>
      <c r="V360" s="161"/>
      <c r="W360" s="161"/>
      <c r="X360" s="161"/>
      <c r="Y360" s="161"/>
      <c r="Z360" s="161"/>
      <c r="AA360" s="161"/>
      <c r="AB360" s="161"/>
      <c r="AC360" s="161"/>
      <c r="AD360" s="161"/>
      <c r="AE360" s="161"/>
      <c r="AF360" s="161"/>
      <c r="AG360" s="161"/>
      <c r="AH360" s="161"/>
      <c r="AI360" s="161"/>
      <c r="AJ360" s="161"/>
      <c r="AK360" s="161"/>
      <c r="AL360" s="161"/>
      <c r="AM360" s="161"/>
      <c r="AN360" s="161"/>
      <c r="AO360" s="161"/>
      <c r="AP360" s="161"/>
      <c r="AQ360" s="161">
        <f>SUM(AR360:AU360)</f>
      </c>
      <c r="AR360" s="161"/>
      <c r="AS360" s="161"/>
      <c r="AT360" s="161"/>
      <c r="AU360" s="161"/>
      <c r="AV360" s="161">
        <f>SUM(AW360:BH360)</f>
      </c>
      <c r="AW360" s="161"/>
      <c r="AX360" s="161"/>
      <c r="AY360" s="161"/>
      <c r="AZ360" s="161"/>
      <c r="BA360" s="161"/>
      <c r="BB360" s="161"/>
      <c r="BC360" s="161"/>
      <c r="BD360" s="161"/>
      <c r="BE360" s="161"/>
      <c r="BF360" s="161"/>
      <c r="BG360" s="161"/>
      <c r="BH360" s="161"/>
      <c r="BI360" s="161"/>
      <c r="BJ360" s="161"/>
      <c r="BK360" s="161"/>
      <c r="BL360" s="161"/>
      <c r="BM360" s="161"/>
      <c r="BN360" s="161"/>
      <c r="BO360" s="161"/>
      <c r="BP360" s="161"/>
      <c r="BQ360" s="161"/>
      <c r="BR360" s="161"/>
      <c r="BS360" s="161">
        <f>SUM(BT360:BV360)</f>
      </c>
      <c r="BT360" s="161"/>
      <c r="BU360" s="161"/>
      <c r="BV360" s="161"/>
      <c r="BW360" s="161">
        <f>SUM(BX360:CC360)</f>
      </c>
      <c r="BX360" s="161"/>
      <c r="BY360" s="161"/>
      <c r="BZ360" s="161"/>
      <c r="CA360" s="161"/>
      <c r="CB360" s="161"/>
      <c r="CC360" s="161"/>
      <c r="CD360" s="161"/>
      <c r="CE360" s="161"/>
      <c r="CF360" s="161"/>
      <c r="CG360" s="161"/>
      <c r="CH360" s="161"/>
      <c r="CI360" s="161"/>
      <c r="CJ360" s="161">
        <f>SUM(CK360:CM360)</f>
      </c>
      <c r="CK360" s="161"/>
      <c r="CL360" s="161"/>
      <c r="CM360" s="161"/>
      <c r="CN360" s="161">
        <f>SUM(CO360:CS360)</f>
      </c>
      <c r="CO360" s="161"/>
      <c r="CP360" s="161"/>
      <c r="CQ360" s="161"/>
      <c r="CR360" s="161"/>
      <c r="CS360" s="161"/>
      <c r="CT360" s="161"/>
      <c r="CU360" s="161"/>
      <c r="CV360" s="161"/>
      <c r="CW360" s="161"/>
      <c r="CX360" s="161"/>
      <c r="CY360" s="161"/>
      <c r="CZ360" s="161"/>
      <c r="DA360" s="161"/>
      <c r="DB360" s="161"/>
      <c r="DC360" s="161"/>
      <c r="DD360" s="161"/>
      <c r="DE360" s="161"/>
      <c r="DF360" s="161">
        <f>SUM(DG360:DG360)</f>
      </c>
      <c r="DG360" s="161"/>
      <c r="DH360" s="161"/>
      <c r="DI360" s="161"/>
      <c r="DJ360" s="161">
        <f>SUM(DK360:DP360)</f>
      </c>
      <c r="DK360" s="161"/>
      <c r="DL360" s="161"/>
      <c r="DM360" s="161"/>
      <c r="DN360" s="161"/>
      <c r="DO360" s="161"/>
      <c r="DP360" s="161"/>
      <c r="DQ360" s="161"/>
      <c r="DR360" s="161"/>
      <c r="DS360" s="161"/>
      <c r="DT360" s="161"/>
      <c r="DU360" s="161"/>
      <c r="DV360" s="161"/>
      <c r="DW360" s="161"/>
      <c r="DX360" s="161"/>
      <c r="DY360" s="161"/>
      <c r="DZ360" s="161"/>
      <c r="EA360" s="161"/>
      <c r="EB360" s="161"/>
      <c r="EC360" s="161"/>
      <c r="ED360" s="161"/>
      <c r="EE360" s="161"/>
      <c r="EF360" s="161">
        <f>SUM(EG360:EP360)</f>
      </c>
      <c r="EG360" s="161"/>
      <c r="EH360" s="161"/>
      <c r="EI360" s="161"/>
      <c r="EJ360" s="161"/>
      <c r="EK360" s="161"/>
      <c r="EL360" s="161"/>
      <c r="EM360" s="161"/>
      <c r="EN360" s="161"/>
      <c r="EO360" s="161"/>
      <c r="EP360" s="161"/>
      <c r="EQ360" s="161">
        <f>SUM(ER360:ES360)</f>
      </c>
      <c r="ER360" s="161"/>
      <c r="ES360" s="161"/>
      <c r="ET360" s="161"/>
      <c r="EU360" s="161"/>
      <c r="EV360" s="161"/>
      <c r="EW360" s="161"/>
      <c r="EX360" s="161"/>
      <c r="EY360" s="161"/>
      <c r="EZ360" s="161"/>
      <c r="FA360" s="161"/>
      <c r="FB360" s="161"/>
      <c r="FC360" s="161"/>
      <c r="FD360" s="161"/>
      <c r="FE360" s="161"/>
      <c r="FF360" s="161"/>
      <c r="FG360" s="161"/>
      <c r="FH360" s="166" cm="1">
        <f t="array" ref="FH360">ROW()-ROW(Ongoing[#Headers])</f>
        <v>354</v>
      </c>
      <c r="FI360" s="167"/>
      <c r="FJ360" s="167"/>
      <c r="FK360" s="167"/>
      <c r="FL360" s="167"/>
      <c r="FM360" s="167"/>
      <c r="FN360" s="167"/>
      <c r="FO360" s="167"/>
      <c r="FP360" s="167"/>
    </row>
    <row r="361" spans="2:172" s="115" customFormat="1" ht="11.25" x14ac:dyDescent="0.2">
      <c r="B361" s="148"/>
      <c r="C361" s="148"/>
      <c r="D361" s="148"/>
      <c r="E361" s="148"/>
      <c r="F361" s="148"/>
      <c r="G361" s="148"/>
      <c r="H361" s="148"/>
      <c r="I361" s="148"/>
      <c r="J361" s="148"/>
      <c r="K361" s="148"/>
      <c r="L361" s="148"/>
      <c r="M361" s="160"/>
      <c r="N361" s="160"/>
      <c r="O361" s="148"/>
      <c r="P361" s="161">
        <f>SUM(Q361:AP361)</f>
      </c>
      <c r="Q361" s="161"/>
      <c r="R361" s="161"/>
      <c r="S361" s="161"/>
      <c r="T361" s="161"/>
      <c r="U361" s="161"/>
      <c r="V361" s="161"/>
      <c r="W361" s="161"/>
      <c r="X361" s="161"/>
      <c r="Y361" s="161"/>
      <c r="Z361" s="161"/>
      <c r="AA361" s="161"/>
      <c r="AB361" s="161"/>
      <c r="AC361" s="161"/>
      <c r="AD361" s="161"/>
      <c r="AE361" s="161"/>
      <c r="AF361" s="161"/>
      <c r="AG361" s="161"/>
      <c r="AH361" s="161"/>
      <c r="AI361" s="161"/>
      <c r="AJ361" s="161"/>
      <c r="AK361" s="161"/>
      <c r="AL361" s="161"/>
      <c r="AM361" s="161"/>
      <c r="AN361" s="161"/>
      <c r="AO361" s="161"/>
      <c r="AP361" s="161"/>
      <c r="AQ361" s="161">
        <f>SUM(AR361:AU361)</f>
      </c>
      <c r="AR361" s="161"/>
      <c r="AS361" s="161"/>
      <c r="AT361" s="161"/>
      <c r="AU361" s="161"/>
      <c r="AV361" s="161">
        <f>SUM(AW361:BH361)</f>
      </c>
      <c r="AW361" s="161"/>
      <c r="AX361" s="161"/>
      <c r="AY361" s="161"/>
      <c r="AZ361" s="161"/>
      <c r="BA361" s="161"/>
      <c r="BB361" s="161"/>
      <c r="BC361" s="161"/>
      <c r="BD361" s="161"/>
      <c r="BE361" s="161"/>
      <c r="BF361" s="161"/>
      <c r="BG361" s="161"/>
      <c r="BH361" s="161"/>
      <c r="BI361" s="161"/>
      <c r="BJ361" s="161"/>
      <c r="BK361" s="161"/>
      <c r="BL361" s="161"/>
      <c r="BM361" s="161"/>
      <c r="BN361" s="161"/>
      <c r="BO361" s="161"/>
      <c r="BP361" s="161"/>
      <c r="BQ361" s="161"/>
      <c r="BR361" s="161"/>
      <c r="BS361" s="161">
        <f>SUM(BT361:BV361)</f>
      </c>
      <c r="BT361" s="161"/>
      <c r="BU361" s="161"/>
      <c r="BV361" s="161"/>
      <c r="BW361" s="161">
        <f>SUM(BX361:CC361)</f>
      </c>
      <c r="BX361" s="161"/>
      <c r="BY361" s="161"/>
      <c r="BZ361" s="161"/>
      <c r="CA361" s="161"/>
      <c r="CB361" s="161"/>
      <c r="CC361" s="161"/>
      <c r="CD361" s="161"/>
      <c r="CE361" s="161"/>
      <c r="CF361" s="161"/>
      <c r="CG361" s="161"/>
      <c r="CH361" s="161"/>
      <c r="CI361" s="161"/>
      <c r="CJ361" s="161">
        <f>SUM(CK361:CM361)</f>
      </c>
      <c r="CK361" s="161"/>
      <c r="CL361" s="161"/>
      <c r="CM361" s="161"/>
      <c r="CN361" s="161">
        <f>SUM(CO361:CS361)</f>
      </c>
      <c r="CO361" s="161"/>
      <c r="CP361" s="161"/>
      <c r="CQ361" s="161"/>
      <c r="CR361" s="161"/>
      <c r="CS361" s="161"/>
      <c r="CT361" s="161"/>
      <c r="CU361" s="161"/>
      <c r="CV361" s="161"/>
      <c r="CW361" s="161"/>
      <c r="CX361" s="161"/>
      <c r="CY361" s="161"/>
      <c r="CZ361" s="161"/>
      <c r="DA361" s="161"/>
      <c r="DB361" s="161"/>
      <c r="DC361" s="161"/>
      <c r="DD361" s="161"/>
      <c r="DE361" s="161"/>
      <c r="DF361" s="161">
        <f>SUM(DG361:DG361)</f>
      </c>
      <c r="DG361" s="161"/>
      <c r="DH361" s="161"/>
      <c r="DI361" s="161"/>
      <c r="DJ361" s="161">
        <f>SUM(DK361:DP361)</f>
      </c>
      <c r="DK361" s="161"/>
      <c r="DL361" s="161"/>
      <c r="DM361" s="161"/>
      <c r="DN361" s="161"/>
      <c r="DO361" s="161"/>
      <c r="DP361" s="161"/>
      <c r="DQ361" s="161"/>
      <c r="DR361" s="161"/>
      <c r="DS361" s="161"/>
      <c r="DT361" s="161"/>
      <c r="DU361" s="161"/>
      <c r="DV361" s="161"/>
      <c r="DW361" s="161"/>
      <c r="DX361" s="161"/>
      <c r="DY361" s="161"/>
      <c r="DZ361" s="161"/>
      <c r="EA361" s="161"/>
      <c r="EB361" s="161"/>
      <c r="EC361" s="161"/>
      <c r="ED361" s="161"/>
      <c r="EE361" s="161"/>
      <c r="EF361" s="161">
        <f>SUM(EG361:EP361)</f>
      </c>
      <c r="EG361" s="161"/>
      <c r="EH361" s="161"/>
      <c r="EI361" s="161"/>
      <c r="EJ361" s="161"/>
      <c r="EK361" s="161"/>
      <c r="EL361" s="161"/>
      <c r="EM361" s="161"/>
      <c r="EN361" s="161"/>
      <c r="EO361" s="161"/>
      <c r="EP361" s="161"/>
      <c r="EQ361" s="161">
        <f>SUM(ER361:ES361)</f>
      </c>
      <c r="ER361" s="161"/>
      <c r="ES361" s="161"/>
      <c r="ET361" s="161"/>
      <c r="EU361" s="161"/>
      <c r="EV361" s="161"/>
      <c r="EW361" s="161"/>
      <c r="EX361" s="161"/>
      <c r="EY361" s="161"/>
      <c r="EZ361" s="161"/>
      <c r="FA361" s="161"/>
      <c r="FB361" s="161"/>
      <c r="FC361" s="161"/>
      <c r="FD361" s="161"/>
      <c r="FE361" s="161"/>
      <c r="FF361" s="161"/>
      <c r="FG361" s="161"/>
      <c r="FH361" s="166" cm="1">
        <f t="array" ref="FH361">ROW()-ROW(Ongoing[#Headers])</f>
        <v>355</v>
      </c>
      <c r="FI361" s="167"/>
      <c r="FJ361" s="167"/>
      <c r="FK361" s="167"/>
      <c r="FL361" s="167"/>
      <c r="FM361" s="167"/>
      <c r="FN361" s="167"/>
      <c r="FO361" s="167"/>
      <c r="FP361" s="167"/>
    </row>
    <row r="362" spans="2:172" s="115" customFormat="1" ht="11.25" x14ac:dyDescent="0.2">
      <c r="B362" s="148"/>
      <c r="C362" s="148"/>
      <c r="D362" s="148"/>
      <c r="E362" s="148"/>
      <c r="F362" s="148"/>
      <c r="G362" s="148"/>
      <c r="H362" s="148"/>
      <c r="I362" s="148"/>
      <c r="J362" s="148"/>
      <c r="K362" s="148"/>
      <c r="L362" s="148"/>
      <c r="M362" s="160"/>
      <c r="N362" s="160"/>
      <c r="O362" s="148"/>
      <c r="P362" s="161">
        <f>SUM(Q362:AP362)</f>
      </c>
      <c r="Q362" s="161"/>
      <c r="R362" s="161"/>
      <c r="S362" s="161"/>
      <c r="T362" s="161"/>
      <c r="U362" s="161"/>
      <c r="V362" s="161"/>
      <c r="W362" s="161"/>
      <c r="X362" s="161"/>
      <c r="Y362" s="161"/>
      <c r="Z362" s="161"/>
      <c r="AA362" s="161"/>
      <c r="AB362" s="161"/>
      <c r="AC362" s="161"/>
      <c r="AD362" s="161"/>
      <c r="AE362" s="161"/>
      <c r="AF362" s="161"/>
      <c r="AG362" s="161"/>
      <c r="AH362" s="161"/>
      <c r="AI362" s="161"/>
      <c r="AJ362" s="161"/>
      <c r="AK362" s="161"/>
      <c r="AL362" s="161"/>
      <c r="AM362" s="161"/>
      <c r="AN362" s="161"/>
      <c r="AO362" s="161"/>
      <c r="AP362" s="161"/>
      <c r="AQ362" s="161">
        <f>SUM(AR362:AU362)</f>
      </c>
      <c r="AR362" s="161"/>
      <c r="AS362" s="161"/>
      <c r="AT362" s="161"/>
      <c r="AU362" s="161"/>
      <c r="AV362" s="161">
        <f>SUM(AW362:BH362)</f>
      </c>
      <c r="AW362" s="161"/>
      <c r="AX362" s="161"/>
      <c r="AY362" s="161"/>
      <c r="AZ362" s="161"/>
      <c r="BA362" s="161"/>
      <c r="BB362" s="161"/>
      <c r="BC362" s="161"/>
      <c r="BD362" s="161"/>
      <c r="BE362" s="161"/>
      <c r="BF362" s="161"/>
      <c r="BG362" s="161"/>
      <c r="BH362" s="161"/>
      <c r="BI362" s="161"/>
      <c r="BJ362" s="161"/>
      <c r="BK362" s="161"/>
      <c r="BL362" s="161"/>
      <c r="BM362" s="161"/>
      <c r="BN362" s="161"/>
      <c r="BO362" s="161"/>
      <c r="BP362" s="161"/>
      <c r="BQ362" s="161"/>
      <c r="BR362" s="161"/>
      <c r="BS362" s="161">
        <f>SUM(BT362:BV362)</f>
      </c>
      <c r="BT362" s="161"/>
      <c r="BU362" s="161"/>
      <c r="BV362" s="161"/>
      <c r="BW362" s="161">
        <f>SUM(BX362:CC362)</f>
      </c>
      <c r="BX362" s="161"/>
      <c r="BY362" s="161"/>
      <c r="BZ362" s="161"/>
      <c r="CA362" s="161"/>
      <c r="CB362" s="161"/>
      <c r="CC362" s="161"/>
      <c r="CD362" s="161"/>
      <c r="CE362" s="161"/>
      <c r="CF362" s="161"/>
      <c r="CG362" s="161"/>
      <c r="CH362" s="161"/>
      <c r="CI362" s="161"/>
      <c r="CJ362" s="161">
        <f>SUM(CK362:CM362)</f>
      </c>
      <c r="CK362" s="161"/>
      <c r="CL362" s="161"/>
      <c r="CM362" s="161"/>
      <c r="CN362" s="161">
        <f>SUM(CO362:CS362)</f>
      </c>
      <c r="CO362" s="161"/>
      <c r="CP362" s="161"/>
      <c r="CQ362" s="161"/>
      <c r="CR362" s="161"/>
      <c r="CS362" s="161"/>
      <c r="CT362" s="161"/>
      <c r="CU362" s="161"/>
      <c r="CV362" s="161"/>
      <c r="CW362" s="161"/>
      <c r="CX362" s="161"/>
      <c r="CY362" s="161"/>
      <c r="CZ362" s="161"/>
      <c r="DA362" s="161"/>
      <c r="DB362" s="161"/>
      <c r="DC362" s="161"/>
      <c r="DD362" s="161"/>
      <c r="DE362" s="161"/>
      <c r="DF362" s="161">
        <f>SUM(DG362:DG362)</f>
      </c>
      <c r="DG362" s="161"/>
      <c r="DH362" s="161"/>
      <c r="DI362" s="161"/>
      <c r="DJ362" s="161">
        <f>SUM(DK362:DP362)</f>
      </c>
      <c r="DK362" s="161"/>
      <c r="DL362" s="161"/>
      <c r="DM362" s="161"/>
      <c r="DN362" s="161"/>
      <c r="DO362" s="161"/>
      <c r="DP362" s="161"/>
      <c r="DQ362" s="161"/>
      <c r="DR362" s="161"/>
      <c r="DS362" s="161"/>
      <c r="DT362" s="161"/>
      <c r="DU362" s="161"/>
      <c r="DV362" s="161"/>
      <c r="DW362" s="161"/>
      <c r="DX362" s="161"/>
      <c r="DY362" s="161"/>
      <c r="DZ362" s="161"/>
      <c r="EA362" s="161"/>
      <c r="EB362" s="161"/>
      <c r="EC362" s="161"/>
      <c r="ED362" s="161"/>
      <c r="EE362" s="161"/>
      <c r="EF362" s="161">
        <f>SUM(EG362:EP362)</f>
      </c>
      <c r="EG362" s="161"/>
      <c r="EH362" s="161"/>
      <c r="EI362" s="161"/>
      <c r="EJ362" s="161"/>
      <c r="EK362" s="161"/>
      <c r="EL362" s="161"/>
      <c r="EM362" s="161"/>
      <c r="EN362" s="161"/>
      <c r="EO362" s="161"/>
      <c r="EP362" s="161"/>
      <c r="EQ362" s="161">
        <f>SUM(ER362:ES362)</f>
      </c>
      <c r="ER362" s="161"/>
      <c r="ES362" s="161"/>
      <c r="ET362" s="161"/>
      <c r="EU362" s="161"/>
      <c r="EV362" s="161"/>
      <c r="EW362" s="161"/>
      <c r="EX362" s="161"/>
      <c r="EY362" s="161"/>
      <c r="EZ362" s="161"/>
      <c r="FA362" s="161"/>
      <c r="FB362" s="161"/>
      <c r="FC362" s="161"/>
      <c r="FD362" s="161"/>
      <c r="FE362" s="161"/>
      <c r="FF362" s="161"/>
      <c r="FG362" s="161"/>
      <c r="FH362" s="166" cm="1">
        <f t="array" ref="FH362">ROW()-ROW(Ongoing[#Headers])</f>
        <v>356</v>
      </c>
      <c r="FI362" s="167"/>
      <c r="FJ362" s="167"/>
      <c r="FK362" s="167"/>
      <c r="FL362" s="167"/>
      <c r="FM362" s="167"/>
      <c r="FN362" s="167"/>
      <c r="FO362" s="167"/>
      <c r="FP362" s="167"/>
    </row>
    <row r="363" spans="2:172" s="115" customFormat="1" ht="11.25" x14ac:dyDescent="0.2">
      <c r="B363" s="148"/>
      <c r="C363" s="148"/>
      <c r="D363" s="148"/>
      <c r="E363" s="148"/>
      <c r="F363" s="148"/>
      <c r="G363" s="148"/>
      <c r="H363" s="148"/>
      <c r="I363" s="148"/>
      <c r="J363" s="148"/>
      <c r="K363" s="148"/>
      <c r="L363" s="148"/>
      <c r="M363" s="160"/>
      <c r="N363" s="160"/>
      <c r="O363" s="148"/>
      <c r="P363" s="161">
        <f>SUM(Q363:AP363)</f>
      </c>
      <c r="Q363" s="161"/>
      <c r="R363" s="161"/>
      <c r="S363" s="161"/>
      <c r="T363" s="161"/>
      <c r="U363" s="161"/>
      <c r="V363" s="161"/>
      <c r="W363" s="161"/>
      <c r="X363" s="161"/>
      <c r="Y363" s="161"/>
      <c r="Z363" s="161"/>
      <c r="AA363" s="161"/>
      <c r="AB363" s="161"/>
      <c r="AC363" s="161"/>
      <c r="AD363" s="161"/>
      <c r="AE363" s="161"/>
      <c r="AF363" s="161"/>
      <c r="AG363" s="161"/>
      <c r="AH363" s="161"/>
      <c r="AI363" s="161"/>
      <c r="AJ363" s="161"/>
      <c r="AK363" s="161"/>
      <c r="AL363" s="161"/>
      <c r="AM363" s="161"/>
      <c r="AN363" s="161"/>
      <c r="AO363" s="161"/>
      <c r="AP363" s="161"/>
      <c r="AQ363" s="161">
        <f>SUM(AR363:AU363)</f>
      </c>
      <c r="AR363" s="161"/>
      <c r="AS363" s="161"/>
      <c r="AT363" s="161"/>
      <c r="AU363" s="161"/>
      <c r="AV363" s="161">
        <f>SUM(AW363:BH363)</f>
      </c>
      <c r="AW363" s="161"/>
      <c r="AX363" s="161"/>
      <c r="AY363" s="161"/>
      <c r="AZ363" s="161"/>
      <c r="BA363" s="161"/>
      <c r="BB363" s="161"/>
      <c r="BC363" s="161"/>
      <c r="BD363" s="161"/>
      <c r="BE363" s="161"/>
      <c r="BF363" s="161"/>
      <c r="BG363" s="161"/>
      <c r="BH363" s="161"/>
      <c r="BI363" s="161"/>
      <c r="BJ363" s="161"/>
      <c r="BK363" s="161"/>
      <c r="BL363" s="161"/>
      <c r="BM363" s="161"/>
      <c r="BN363" s="161"/>
      <c r="BO363" s="161"/>
      <c r="BP363" s="161"/>
      <c r="BQ363" s="161"/>
      <c r="BR363" s="161"/>
      <c r="BS363" s="161">
        <f>SUM(BT363:BV363)</f>
      </c>
      <c r="BT363" s="161"/>
      <c r="BU363" s="161"/>
      <c r="BV363" s="161"/>
      <c r="BW363" s="161">
        <f>SUM(BX363:CC363)</f>
      </c>
      <c r="BX363" s="161"/>
      <c r="BY363" s="161"/>
      <c r="BZ363" s="161"/>
      <c r="CA363" s="161"/>
      <c r="CB363" s="161"/>
      <c r="CC363" s="161"/>
      <c r="CD363" s="161"/>
      <c r="CE363" s="161"/>
      <c r="CF363" s="161"/>
      <c r="CG363" s="161"/>
      <c r="CH363" s="161"/>
      <c r="CI363" s="161"/>
      <c r="CJ363" s="161">
        <f>SUM(CK363:CM363)</f>
      </c>
      <c r="CK363" s="161"/>
      <c r="CL363" s="161"/>
      <c r="CM363" s="161"/>
      <c r="CN363" s="161">
        <f>SUM(CO363:CS363)</f>
      </c>
      <c r="CO363" s="161"/>
      <c r="CP363" s="161"/>
      <c r="CQ363" s="161"/>
      <c r="CR363" s="161"/>
      <c r="CS363" s="161"/>
      <c r="CT363" s="161"/>
      <c r="CU363" s="161"/>
      <c r="CV363" s="161"/>
      <c r="CW363" s="161"/>
      <c r="CX363" s="161"/>
      <c r="CY363" s="161"/>
      <c r="CZ363" s="161"/>
      <c r="DA363" s="161"/>
      <c r="DB363" s="161"/>
      <c r="DC363" s="161"/>
      <c r="DD363" s="161"/>
      <c r="DE363" s="161"/>
      <c r="DF363" s="161">
        <f>SUM(DG363:DG363)</f>
      </c>
      <c r="DG363" s="161"/>
      <c r="DH363" s="161"/>
      <c r="DI363" s="161"/>
      <c r="DJ363" s="161">
        <f>SUM(DK363:DP363)</f>
      </c>
      <c r="DK363" s="161"/>
      <c r="DL363" s="161"/>
      <c r="DM363" s="161"/>
      <c r="DN363" s="161"/>
      <c r="DO363" s="161"/>
      <c r="DP363" s="161"/>
      <c r="DQ363" s="161"/>
      <c r="DR363" s="161"/>
      <c r="DS363" s="161"/>
      <c r="DT363" s="161"/>
      <c r="DU363" s="161"/>
      <c r="DV363" s="161"/>
      <c r="DW363" s="161"/>
      <c r="DX363" s="161"/>
      <c r="DY363" s="161"/>
      <c r="DZ363" s="161"/>
      <c r="EA363" s="161"/>
      <c r="EB363" s="161"/>
      <c r="EC363" s="161"/>
      <c r="ED363" s="161"/>
      <c r="EE363" s="161"/>
      <c r="EF363" s="161">
        <f>SUM(EG363:EP363)</f>
      </c>
      <c r="EG363" s="161"/>
      <c r="EH363" s="161"/>
      <c r="EI363" s="161"/>
      <c r="EJ363" s="161"/>
      <c r="EK363" s="161"/>
      <c r="EL363" s="161"/>
      <c r="EM363" s="161"/>
      <c r="EN363" s="161"/>
      <c r="EO363" s="161"/>
      <c r="EP363" s="161"/>
      <c r="EQ363" s="161">
        <f>SUM(ER363:ES363)</f>
      </c>
      <c r="ER363" s="161"/>
      <c r="ES363" s="161"/>
      <c r="ET363" s="161"/>
      <c r="EU363" s="161"/>
      <c r="EV363" s="161"/>
      <c r="EW363" s="161"/>
      <c r="EX363" s="161"/>
      <c r="EY363" s="161"/>
      <c r="EZ363" s="161"/>
      <c r="FA363" s="161"/>
      <c r="FB363" s="161"/>
      <c r="FC363" s="161"/>
      <c r="FD363" s="161"/>
      <c r="FE363" s="161"/>
      <c r="FF363" s="161"/>
      <c r="FG363" s="161"/>
      <c r="FH363" s="166" cm="1">
        <f t="array" ref="FH363">ROW()-ROW(Ongoing[#Headers])</f>
        <v>357</v>
      </c>
      <c r="FI363" s="167"/>
      <c r="FJ363" s="167"/>
      <c r="FK363" s="167"/>
      <c r="FL363" s="167"/>
      <c r="FM363" s="167"/>
      <c r="FN363" s="167"/>
      <c r="FO363" s="167"/>
      <c r="FP363" s="167"/>
    </row>
    <row r="364" spans="2:172" s="115" customFormat="1" ht="11.25" x14ac:dyDescent="0.2">
      <c r="B364" s="148"/>
      <c r="C364" s="148"/>
      <c r="D364" s="148"/>
      <c r="E364" s="148"/>
      <c r="F364" s="148"/>
      <c r="G364" s="148"/>
      <c r="H364" s="148"/>
      <c r="I364" s="148"/>
      <c r="J364" s="148"/>
      <c r="K364" s="148"/>
      <c r="L364" s="148"/>
      <c r="M364" s="160"/>
      <c r="N364" s="160"/>
      <c r="O364" s="148"/>
      <c r="P364" s="161">
        <f>SUM(Q364:AP364)</f>
      </c>
      <c r="Q364" s="161"/>
      <c r="R364" s="161"/>
      <c r="S364" s="161"/>
      <c r="T364" s="161"/>
      <c r="U364" s="161"/>
      <c r="V364" s="161"/>
      <c r="W364" s="161"/>
      <c r="X364" s="161"/>
      <c r="Y364" s="161"/>
      <c r="Z364" s="161"/>
      <c r="AA364" s="161"/>
      <c r="AB364" s="161"/>
      <c r="AC364" s="161"/>
      <c r="AD364" s="161"/>
      <c r="AE364" s="161"/>
      <c r="AF364" s="161"/>
      <c r="AG364" s="161"/>
      <c r="AH364" s="161"/>
      <c r="AI364" s="161"/>
      <c r="AJ364" s="161"/>
      <c r="AK364" s="161"/>
      <c r="AL364" s="161"/>
      <c r="AM364" s="161"/>
      <c r="AN364" s="161"/>
      <c r="AO364" s="161"/>
      <c r="AP364" s="161"/>
      <c r="AQ364" s="161">
        <f>SUM(AR364:AU364)</f>
      </c>
      <c r="AR364" s="161"/>
      <c r="AS364" s="161"/>
      <c r="AT364" s="161"/>
      <c r="AU364" s="161"/>
      <c r="AV364" s="161">
        <f>SUM(AW364:BH364)</f>
      </c>
      <c r="AW364" s="161"/>
      <c r="AX364" s="161"/>
      <c r="AY364" s="161"/>
      <c r="AZ364" s="161"/>
      <c r="BA364" s="161"/>
      <c r="BB364" s="161"/>
      <c r="BC364" s="161"/>
      <c r="BD364" s="161"/>
      <c r="BE364" s="161"/>
      <c r="BF364" s="161"/>
      <c r="BG364" s="161"/>
      <c r="BH364" s="161"/>
      <c r="BI364" s="161"/>
      <c r="BJ364" s="161"/>
      <c r="BK364" s="161"/>
      <c r="BL364" s="161"/>
      <c r="BM364" s="161"/>
      <c r="BN364" s="161"/>
      <c r="BO364" s="161"/>
      <c r="BP364" s="161"/>
      <c r="BQ364" s="161"/>
      <c r="BR364" s="161"/>
      <c r="BS364" s="161">
        <f>SUM(BT364:BV364)</f>
      </c>
      <c r="BT364" s="161"/>
      <c r="BU364" s="161"/>
      <c r="BV364" s="161"/>
      <c r="BW364" s="161">
        <f>SUM(BX364:CC364)</f>
      </c>
      <c r="BX364" s="161"/>
      <c r="BY364" s="161"/>
      <c r="BZ364" s="161"/>
      <c r="CA364" s="161"/>
      <c r="CB364" s="161"/>
      <c r="CC364" s="161"/>
      <c r="CD364" s="161"/>
      <c r="CE364" s="161"/>
      <c r="CF364" s="161"/>
      <c r="CG364" s="161"/>
      <c r="CH364" s="161"/>
      <c r="CI364" s="161"/>
      <c r="CJ364" s="161">
        <f>SUM(CK364:CM364)</f>
      </c>
      <c r="CK364" s="161"/>
      <c r="CL364" s="161"/>
      <c r="CM364" s="161"/>
      <c r="CN364" s="161">
        <f>SUM(CO364:CS364)</f>
      </c>
      <c r="CO364" s="161"/>
      <c r="CP364" s="161"/>
      <c r="CQ364" s="161"/>
      <c r="CR364" s="161"/>
      <c r="CS364" s="161"/>
      <c r="CT364" s="161"/>
      <c r="CU364" s="161"/>
      <c r="CV364" s="161"/>
      <c r="CW364" s="161"/>
      <c r="CX364" s="161"/>
      <c r="CY364" s="161"/>
      <c r="CZ364" s="161"/>
      <c r="DA364" s="161"/>
      <c r="DB364" s="161"/>
      <c r="DC364" s="161"/>
      <c r="DD364" s="161"/>
      <c r="DE364" s="161"/>
      <c r="DF364" s="161">
        <f>SUM(DG364:DG364)</f>
      </c>
      <c r="DG364" s="161"/>
      <c r="DH364" s="161"/>
      <c r="DI364" s="161"/>
      <c r="DJ364" s="161">
        <f>SUM(DK364:DP364)</f>
      </c>
      <c r="DK364" s="161"/>
      <c r="DL364" s="161"/>
      <c r="DM364" s="161"/>
      <c r="DN364" s="161"/>
      <c r="DO364" s="161"/>
      <c r="DP364" s="161"/>
      <c r="DQ364" s="161"/>
      <c r="DR364" s="161"/>
      <c r="DS364" s="161"/>
      <c r="DT364" s="161"/>
      <c r="DU364" s="161"/>
      <c r="DV364" s="161"/>
      <c r="DW364" s="161"/>
      <c r="DX364" s="161"/>
      <c r="DY364" s="161"/>
      <c r="DZ364" s="161"/>
      <c r="EA364" s="161"/>
      <c r="EB364" s="161"/>
      <c r="EC364" s="161"/>
      <c r="ED364" s="161"/>
      <c r="EE364" s="161"/>
      <c r="EF364" s="161">
        <f>SUM(EG364:EP364)</f>
      </c>
      <c r="EG364" s="161"/>
      <c r="EH364" s="161"/>
      <c r="EI364" s="161"/>
      <c r="EJ364" s="161"/>
      <c r="EK364" s="161"/>
      <c r="EL364" s="161"/>
      <c r="EM364" s="161"/>
      <c r="EN364" s="161"/>
      <c r="EO364" s="161"/>
      <c r="EP364" s="161"/>
      <c r="EQ364" s="161">
        <f>SUM(ER364:ES364)</f>
      </c>
      <c r="ER364" s="161"/>
      <c r="ES364" s="161"/>
      <c r="ET364" s="161"/>
      <c r="EU364" s="161"/>
      <c r="EV364" s="161"/>
      <c r="EW364" s="161"/>
      <c r="EX364" s="161"/>
      <c r="EY364" s="161"/>
      <c r="EZ364" s="161"/>
      <c r="FA364" s="161"/>
      <c r="FB364" s="161"/>
      <c r="FC364" s="161"/>
      <c r="FD364" s="161"/>
      <c r="FE364" s="161"/>
      <c r="FF364" s="161"/>
      <c r="FG364" s="161"/>
      <c r="FH364" s="166" cm="1">
        <f t="array" ref="FH364">ROW()-ROW(Ongoing[#Headers])</f>
        <v>358</v>
      </c>
      <c r="FI364" s="167"/>
      <c r="FJ364" s="167"/>
      <c r="FK364" s="167"/>
      <c r="FL364" s="167"/>
      <c r="FM364" s="167"/>
      <c r="FN364" s="167"/>
      <c r="FO364" s="167"/>
      <c r="FP364" s="167"/>
    </row>
    <row r="365" spans="2:172" s="115" customFormat="1" ht="11.25" x14ac:dyDescent="0.2">
      <c r="B365" s="148"/>
      <c r="C365" s="148"/>
      <c r="D365" s="148"/>
      <c r="E365" s="148"/>
      <c r="F365" s="148"/>
      <c r="G365" s="148"/>
      <c r="H365" s="148"/>
      <c r="I365" s="148"/>
      <c r="J365" s="148"/>
      <c r="K365" s="148"/>
      <c r="L365" s="148"/>
      <c r="M365" s="160"/>
      <c r="N365" s="160"/>
      <c r="O365" s="148"/>
      <c r="P365" s="161">
        <f>SUM(Q365:AP365)</f>
      </c>
      <c r="Q365" s="161"/>
      <c r="R365" s="161"/>
      <c r="S365" s="161"/>
      <c r="T365" s="161"/>
      <c r="U365" s="161"/>
      <c r="V365" s="161"/>
      <c r="W365" s="161"/>
      <c r="X365" s="161"/>
      <c r="Y365" s="161"/>
      <c r="Z365" s="161"/>
      <c r="AA365" s="161"/>
      <c r="AB365" s="161"/>
      <c r="AC365" s="161"/>
      <c r="AD365" s="161"/>
      <c r="AE365" s="161"/>
      <c r="AF365" s="161"/>
      <c r="AG365" s="161"/>
      <c r="AH365" s="161"/>
      <c r="AI365" s="161"/>
      <c r="AJ365" s="161"/>
      <c r="AK365" s="161"/>
      <c r="AL365" s="161"/>
      <c r="AM365" s="161"/>
      <c r="AN365" s="161"/>
      <c r="AO365" s="161"/>
      <c r="AP365" s="161"/>
      <c r="AQ365" s="161">
        <f>SUM(AR365:AU365)</f>
      </c>
      <c r="AR365" s="161"/>
      <c r="AS365" s="161"/>
      <c r="AT365" s="161"/>
      <c r="AU365" s="161"/>
      <c r="AV365" s="161">
        <f>SUM(AW365:BH365)</f>
      </c>
      <c r="AW365" s="161"/>
      <c r="AX365" s="161"/>
      <c r="AY365" s="161"/>
      <c r="AZ365" s="161"/>
      <c r="BA365" s="161"/>
      <c r="BB365" s="161"/>
      <c r="BC365" s="161"/>
      <c r="BD365" s="161"/>
      <c r="BE365" s="161"/>
      <c r="BF365" s="161"/>
      <c r="BG365" s="161"/>
      <c r="BH365" s="161"/>
      <c r="BI365" s="161"/>
      <c r="BJ365" s="161"/>
      <c r="BK365" s="161"/>
      <c r="BL365" s="161"/>
      <c r="BM365" s="161"/>
      <c r="BN365" s="161"/>
      <c r="BO365" s="161"/>
      <c r="BP365" s="161"/>
      <c r="BQ365" s="161"/>
      <c r="BR365" s="161"/>
      <c r="BS365" s="161">
        <f>SUM(BT365:BV365)</f>
      </c>
      <c r="BT365" s="161"/>
      <c r="BU365" s="161"/>
      <c r="BV365" s="161"/>
      <c r="BW365" s="161">
        <f>SUM(BX365:CC365)</f>
      </c>
      <c r="BX365" s="161"/>
      <c r="BY365" s="161"/>
      <c r="BZ365" s="161"/>
      <c r="CA365" s="161"/>
      <c r="CB365" s="161"/>
      <c r="CC365" s="161"/>
      <c r="CD365" s="161"/>
      <c r="CE365" s="161"/>
      <c r="CF365" s="161"/>
      <c r="CG365" s="161"/>
      <c r="CH365" s="161"/>
      <c r="CI365" s="161"/>
      <c r="CJ365" s="161">
        <f>SUM(CK365:CM365)</f>
      </c>
      <c r="CK365" s="161"/>
      <c r="CL365" s="161"/>
      <c r="CM365" s="161"/>
      <c r="CN365" s="161">
        <f>SUM(CO365:CS365)</f>
      </c>
      <c r="CO365" s="161"/>
      <c r="CP365" s="161"/>
      <c r="CQ365" s="161"/>
      <c r="CR365" s="161"/>
      <c r="CS365" s="161"/>
      <c r="CT365" s="161"/>
      <c r="CU365" s="161"/>
      <c r="CV365" s="161"/>
      <c r="CW365" s="161"/>
      <c r="CX365" s="161"/>
      <c r="CY365" s="161"/>
      <c r="CZ365" s="161"/>
      <c r="DA365" s="161"/>
      <c r="DB365" s="161"/>
      <c r="DC365" s="161"/>
      <c r="DD365" s="161"/>
      <c r="DE365" s="161"/>
      <c r="DF365" s="161">
        <f>SUM(DG365:DG365)</f>
      </c>
      <c r="DG365" s="161"/>
      <c r="DH365" s="161"/>
      <c r="DI365" s="161"/>
      <c r="DJ365" s="161">
        <f>SUM(DK365:DP365)</f>
      </c>
      <c r="DK365" s="161"/>
      <c r="DL365" s="161"/>
      <c r="DM365" s="161"/>
      <c r="DN365" s="161"/>
      <c r="DO365" s="161"/>
      <c r="DP365" s="161"/>
      <c r="DQ365" s="161"/>
      <c r="DR365" s="161"/>
      <c r="DS365" s="161"/>
      <c r="DT365" s="161"/>
      <c r="DU365" s="161"/>
      <c r="DV365" s="161"/>
      <c r="DW365" s="161"/>
      <c r="DX365" s="161"/>
      <c r="DY365" s="161"/>
      <c r="DZ365" s="161"/>
      <c r="EA365" s="161"/>
      <c r="EB365" s="161"/>
      <c r="EC365" s="161"/>
      <c r="ED365" s="161"/>
      <c r="EE365" s="161"/>
      <c r="EF365" s="161">
        <f>SUM(EG365:EP365)</f>
      </c>
      <c r="EG365" s="161"/>
      <c r="EH365" s="161"/>
      <c r="EI365" s="161"/>
      <c r="EJ365" s="161"/>
      <c r="EK365" s="161"/>
      <c r="EL365" s="161"/>
      <c r="EM365" s="161"/>
      <c r="EN365" s="161"/>
      <c r="EO365" s="161"/>
      <c r="EP365" s="161"/>
      <c r="EQ365" s="161">
        <f>SUM(ER365:ES365)</f>
      </c>
      <c r="ER365" s="161"/>
      <c r="ES365" s="161"/>
      <c r="ET365" s="161"/>
      <c r="EU365" s="161"/>
      <c r="EV365" s="161"/>
      <c r="EW365" s="161"/>
      <c r="EX365" s="161"/>
      <c r="EY365" s="161"/>
      <c r="EZ365" s="161"/>
      <c r="FA365" s="161"/>
      <c r="FB365" s="161"/>
      <c r="FC365" s="161"/>
      <c r="FD365" s="161"/>
      <c r="FE365" s="161"/>
      <c r="FF365" s="161"/>
      <c r="FG365" s="161"/>
      <c r="FH365" s="166" cm="1">
        <f t="array" ref="FH365">ROW()-ROW(Ongoing[#Headers])</f>
        <v>359</v>
      </c>
      <c r="FI365" s="167"/>
      <c r="FJ365" s="167"/>
      <c r="FK365" s="167"/>
      <c r="FL365" s="167"/>
      <c r="FM365" s="167"/>
      <c r="FN365" s="167"/>
      <c r="FO365" s="167"/>
      <c r="FP365" s="167"/>
    </row>
    <row r="366" spans="2:172" s="115" customFormat="1" ht="11.25" x14ac:dyDescent="0.2">
      <c r="B366" s="148"/>
      <c r="C366" s="148"/>
      <c r="D366" s="148"/>
      <c r="E366" s="148"/>
      <c r="F366" s="148"/>
      <c r="G366" s="148"/>
      <c r="H366" s="148"/>
      <c r="I366" s="148"/>
      <c r="J366" s="148"/>
      <c r="K366" s="148"/>
      <c r="L366" s="148"/>
      <c r="M366" s="160"/>
      <c r="N366" s="160"/>
      <c r="O366" s="148"/>
      <c r="P366" s="161">
        <f>SUM(Q366:AP366)</f>
      </c>
      <c r="Q366" s="161"/>
      <c r="R366" s="161"/>
      <c r="S366" s="161"/>
      <c r="T366" s="161"/>
      <c r="U366" s="161"/>
      <c r="V366" s="161"/>
      <c r="W366" s="161"/>
      <c r="X366" s="161"/>
      <c r="Y366" s="161"/>
      <c r="Z366" s="161"/>
      <c r="AA366" s="161"/>
      <c r="AB366" s="161"/>
      <c r="AC366" s="161"/>
      <c r="AD366" s="161"/>
      <c r="AE366" s="161"/>
      <c r="AF366" s="161"/>
      <c r="AG366" s="161"/>
      <c r="AH366" s="161"/>
      <c r="AI366" s="161"/>
      <c r="AJ366" s="161"/>
      <c r="AK366" s="161"/>
      <c r="AL366" s="161"/>
      <c r="AM366" s="161"/>
      <c r="AN366" s="161"/>
      <c r="AO366" s="161"/>
      <c r="AP366" s="161"/>
      <c r="AQ366" s="161">
        <f>SUM(AR366:AU366)</f>
      </c>
      <c r="AR366" s="161"/>
      <c r="AS366" s="161"/>
      <c r="AT366" s="161"/>
      <c r="AU366" s="161"/>
      <c r="AV366" s="161">
        <f>SUM(AW366:BH366)</f>
      </c>
      <c r="AW366" s="161"/>
      <c r="AX366" s="161"/>
      <c r="AY366" s="161"/>
      <c r="AZ366" s="161"/>
      <c r="BA366" s="161"/>
      <c r="BB366" s="161"/>
      <c r="BC366" s="161"/>
      <c r="BD366" s="161"/>
      <c r="BE366" s="161"/>
      <c r="BF366" s="161"/>
      <c r="BG366" s="161"/>
      <c r="BH366" s="161"/>
      <c r="BI366" s="161"/>
      <c r="BJ366" s="161"/>
      <c r="BK366" s="161"/>
      <c r="BL366" s="161"/>
      <c r="BM366" s="161"/>
      <c r="BN366" s="161"/>
      <c r="BO366" s="161"/>
      <c r="BP366" s="161"/>
      <c r="BQ366" s="161"/>
      <c r="BR366" s="161"/>
      <c r="BS366" s="161">
        <f>SUM(BT366:BV366)</f>
      </c>
      <c r="BT366" s="161"/>
      <c r="BU366" s="161"/>
      <c r="BV366" s="161"/>
      <c r="BW366" s="161">
        <f>SUM(BX366:CC366)</f>
      </c>
      <c r="BX366" s="161"/>
      <c r="BY366" s="161"/>
      <c r="BZ366" s="161"/>
      <c r="CA366" s="161"/>
      <c r="CB366" s="161"/>
      <c r="CC366" s="161"/>
      <c r="CD366" s="161"/>
      <c r="CE366" s="161"/>
      <c r="CF366" s="161"/>
      <c r="CG366" s="161"/>
      <c r="CH366" s="161"/>
      <c r="CI366" s="161"/>
      <c r="CJ366" s="161">
        <f>SUM(CK366:CM366)</f>
      </c>
      <c r="CK366" s="161"/>
      <c r="CL366" s="161"/>
      <c r="CM366" s="161"/>
      <c r="CN366" s="161">
        <f>SUM(CO366:CS366)</f>
      </c>
      <c r="CO366" s="161"/>
      <c r="CP366" s="161"/>
      <c r="CQ366" s="161"/>
      <c r="CR366" s="161"/>
      <c r="CS366" s="161"/>
      <c r="CT366" s="161"/>
      <c r="CU366" s="161"/>
      <c r="CV366" s="161"/>
      <c r="CW366" s="161"/>
      <c r="CX366" s="161"/>
      <c r="CY366" s="161"/>
      <c r="CZ366" s="161"/>
      <c r="DA366" s="161"/>
      <c r="DB366" s="161"/>
      <c r="DC366" s="161"/>
      <c r="DD366" s="161"/>
      <c r="DE366" s="161"/>
      <c r="DF366" s="161">
        <f>SUM(DG366:DG366)</f>
      </c>
      <c r="DG366" s="161"/>
      <c r="DH366" s="161"/>
      <c r="DI366" s="161"/>
      <c r="DJ366" s="161">
        <f>SUM(DK366:DP366)</f>
      </c>
      <c r="DK366" s="161"/>
      <c r="DL366" s="161"/>
      <c r="DM366" s="161"/>
      <c r="DN366" s="161"/>
      <c r="DO366" s="161"/>
      <c r="DP366" s="161"/>
      <c r="DQ366" s="161"/>
      <c r="DR366" s="161"/>
      <c r="DS366" s="161"/>
      <c r="DT366" s="161"/>
      <c r="DU366" s="161"/>
      <c r="DV366" s="161"/>
      <c r="DW366" s="161"/>
      <c r="DX366" s="161"/>
      <c r="DY366" s="161"/>
      <c r="DZ366" s="161"/>
      <c r="EA366" s="161"/>
      <c r="EB366" s="161"/>
      <c r="EC366" s="161"/>
      <c r="ED366" s="161"/>
      <c r="EE366" s="161"/>
      <c r="EF366" s="161">
        <f>SUM(EG366:EP366)</f>
      </c>
      <c r="EG366" s="161"/>
      <c r="EH366" s="161"/>
      <c r="EI366" s="161"/>
      <c r="EJ366" s="161"/>
      <c r="EK366" s="161"/>
      <c r="EL366" s="161"/>
      <c r="EM366" s="161"/>
      <c r="EN366" s="161"/>
      <c r="EO366" s="161"/>
      <c r="EP366" s="161"/>
      <c r="EQ366" s="161">
        <f>SUM(ER366:ES366)</f>
      </c>
      <c r="ER366" s="161"/>
      <c r="ES366" s="161"/>
      <c r="ET366" s="161"/>
      <c r="EU366" s="161"/>
      <c r="EV366" s="161"/>
      <c r="EW366" s="161"/>
      <c r="EX366" s="161"/>
      <c r="EY366" s="161"/>
      <c r="EZ366" s="161"/>
      <c r="FA366" s="161"/>
      <c r="FB366" s="161"/>
      <c r="FC366" s="161"/>
      <c r="FD366" s="161"/>
      <c r="FE366" s="161"/>
      <c r="FF366" s="161"/>
      <c r="FG366" s="161"/>
      <c r="FH366" s="166" cm="1">
        <f t="array" ref="FH366">ROW()-ROW(Ongoing[#Headers])</f>
        <v>360</v>
      </c>
      <c r="FI366" s="167"/>
      <c r="FJ366" s="167"/>
      <c r="FK366" s="167"/>
      <c r="FL366" s="167"/>
      <c r="FM366" s="167"/>
      <c r="FN366" s="167"/>
      <c r="FO366" s="167"/>
      <c r="FP366" s="167"/>
    </row>
    <row r="367" spans="2:172" s="115" customFormat="1" ht="11.25" x14ac:dyDescent="0.2">
      <c r="B367" s="148"/>
      <c r="C367" s="148"/>
      <c r="D367" s="148"/>
      <c r="E367" s="148"/>
      <c r="F367" s="148"/>
      <c r="G367" s="148"/>
      <c r="H367" s="148"/>
      <c r="I367" s="148"/>
      <c r="J367" s="148"/>
      <c r="K367" s="148"/>
      <c r="L367" s="148"/>
      <c r="M367" s="160"/>
      <c r="N367" s="160"/>
      <c r="O367" s="148"/>
      <c r="P367" s="161">
        <f>SUM(Q367:AP367)</f>
      </c>
      <c r="Q367" s="161"/>
      <c r="R367" s="161"/>
      <c r="S367" s="161"/>
      <c r="T367" s="161"/>
      <c r="U367" s="161"/>
      <c r="V367" s="161"/>
      <c r="W367" s="161"/>
      <c r="X367" s="161"/>
      <c r="Y367" s="161"/>
      <c r="Z367" s="161"/>
      <c r="AA367" s="161"/>
      <c r="AB367" s="161"/>
      <c r="AC367" s="161"/>
      <c r="AD367" s="161"/>
      <c r="AE367" s="161"/>
      <c r="AF367" s="161"/>
      <c r="AG367" s="161"/>
      <c r="AH367" s="161"/>
      <c r="AI367" s="161"/>
      <c r="AJ367" s="161"/>
      <c r="AK367" s="161"/>
      <c r="AL367" s="161"/>
      <c r="AM367" s="161"/>
      <c r="AN367" s="161"/>
      <c r="AO367" s="161"/>
      <c r="AP367" s="161"/>
      <c r="AQ367" s="161">
        <f>SUM(AR367:AU367)</f>
      </c>
      <c r="AR367" s="161"/>
      <c r="AS367" s="161"/>
      <c r="AT367" s="161"/>
      <c r="AU367" s="161"/>
      <c r="AV367" s="161">
        <f>SUM(AW367:BH367)</f>
      </c>
      <c r="AW367" s="161"/>
      <c r="AX367" s="161"/>
      <c r="AY367" s="161"/>
      <c r="AZ367" s="161"/>
      <c r="BA367" s="161"/>
      <c r="BB367" s="161"/>
      <c r="BC367" s="161"/>
      <c r="BD367" s="161"/>
      <c r="BE367" s="161"/>
      <c r="BF367" s="161"/>
      <c r="BG367" s="161"/>
      <c r="BH367" s="161"/>
      <c r="BI367" s="161"/>
      <c r="BJ367" s="161"/>
      <c r="BK367" s="161"/>
      <c r="BL367" s="161"/>
      <c r="BM367" s="161"/>
      <c r="BN367" s="161"/>
      <c r="BO367" s="161"/>
      <c r="BP367" s="161"/>
      <c r="BQ367" s="161"/>
      <c r="BR367" s="161"/>
      <c r="BS367" s="161">
        <f>SUM(BT367:BV367)</f>
      </c>
      <c r="BT367" s="161"/>
      <c r="BU367" s="161"/>
      <c r="BV367" s="161"/>
      <c r="BW367" s="161">
        <f>SUM(BX367:CC367)</f>
      </c>
      <c r="BX367" s="161"/>
      <c r="BY367" s="161"/>
      <c r="BZ367" s="161"/>
      <c r="CA367" s="161"/>
      <c r="CB367" s="161"/>
      <c r="CC367" s="161"/>
      <c r="CD367" s="161"/>
      <c r="CE367" s="161"/>
      <c r="CF367" s="161"/>
      <c r="CG367" s="161"/>
      <c r="CH367" s="161"/>
      <c r="CI367" s="161"/>
      <c r="CJ367" s="161">
        <f>SUM(CK367:CM367)</f>
      </c>
      <c r="CK367" s="161"/>
      <c r="CL367" s="161"/>
      <c r="CM367" s="161"/>
      <c r="CN367" s="161">
        <f>SUM(CO367:CS367)</f>
      </c>
      <c r="CO367" s="161"/>
      <c r="CP367" s="161"/>
      <c r="CQ367" s="161"/>
      <c r="CR367" s="161"/>
      <c r="CS367" s="161"/>
      <c r="CT367" s="161"/>
      <c r="CU367" s="161"/>
      <c r="CV367" s="161"/>
      <c r="CW367" s="161"/>
      <c r="CX367" s="161"/>
      <c r="CY367" s="161"/>
      <c r="CZ367" s="161"/>
      <c r="DA367" s="161"/>
      <c r="DB367" s="161"/>
      <c r="DC367" s="161"/>
      <c r="DD367" s="161"/>
      <c r="DE367" s="161"/>
      <c r="DF367" s="161">
        <f>SUM(DG367:DG367)</f>
      </c>
      <c r="DG367" s="161"/>
      <c r="DH367" s="161"/>
      <c r="DI367" s="161"/>
      <c r="DJ367" s="161">
        <f>SUM(DK367:DP367)</f>
      </c>
      <c r="DK367" s="161"/>
      <c r="DL367" s="161"/>
      <c r="DM367" s="161"/>
      <c r="DN367" s="161"/>
      <c r="DO367" s="161"/>
      <c r="DP367" s="161"/>
      <c r="DQ367" s="161"/>
      <c r="DR367" s="161"/>
      <c r="DS367" s="161"/>
      <c r="DT367" s="161"/>
      <c r="DU367" s="161"/>
      <c r="DV367" s="161"/>
      <c r="DW367" s="161"/>
      <c r="DX367" s="161"/>
      <c r="DY367" s="161"/>
      <c r="DZ367" s="161"/>
      <c r="EA367" s="161"/>
      <c r="EB367" s="161"/>
      <c r="EC367" s="161"/>
      <c r="ED367" s="161"/>
      <c r="EE367" s="161"/>
      <c r="EF367" s="161">
        <f>SUM(EG367:EP367)</f>
      </c>
      <c r="EG367" s="161"/>
      <c r="EH367" s="161"/>
      <c r="EI367" s="161"/>
      <c r="EJ367" s="161"/>
      <c r="EK367" s="161"/>
      <c r="EL367" s="161"/>
      <c r="EM367" s="161"/>
      <c r="EN367" s="161"/>
      <c r="EO367" s="161"/>
      <c r="EP367" s="161"/>
      <c r="EQ367" s="161">
        <f>SUM(ER367:ES367)</f>
      </c>
      <c r="ER367" s="161"/>
      <c r="ES367" s="161"/>
      <c r="ET367" s="161"/>
      <c r="EU367" s="161"/>
      <c r="EV367" s="161"/>
      <c r="EW367" s="161"/>
      <c r="EX367" s="161"/>
      <c r="EY367" s="161"/>
      <c r="EZ367" s="161"/>
      <c r="FA367" s="161"/>
      <c r="FB367" s="161"/>
      <c r="FC367" s="161"/>
      <c r="FD367" s="161"/>
      <c r="FE367" s="161"/>
      <c r="FF367" s="161"/>
      <c r="FG367" s="161"/>
      <c r="FH367" s="166" cm="1">
        <f t="array" ref="FH367">ROW()-ROW(Ongoing[#Headers])</f>
        <v>361</v>
      </c>
      <c r="FI367" s="167"/>
      <c r="FJ367" s="167"/>
      <c r="FK367" s="167"/>
      <c r="FL367" s="167"/>
      <c r="FM367" s="167"/>
      <c r="FN367" s="167"/>
      <c r="FO367" s="167"/>
      <c r="FP367" s="167"/>
    </row>
    <row r="368" spans="2:172" s="115" customFormat="1" ht="11.25" x14ac:dyDescent="0.2">
      <c r="B368" s="148"/>
      <c r="C368" s="148"/>
      <c r="D368" s="148"/>
      <c r="E368" s="148"/>
      <c r="F368" s="148"/>
      <c r="G368" s="148"/>
      <c r="H368" s="148"/>
      <c r="I368" s="148"/>
      <c r="J368" s="148"/>
      <c r="K368" s="148"/>
      <c r="L368" s="148"/>
      <c r="M368" s="160"/>
      <c r="N368" s="160"/>
      <c r="O368" s="148"/>
      <c r="P368" s="161">
        <f>SUM(Q368:AP368)</f>
      </c>
      <c r="Q368" s="161"/>
      <c r="R368" s="161"/>
      <c r="S368" s="161"/>
      <c r="T368" s="161"/>
      <c r="U368" s="161"/>
      <c r="V368" s="161"/>
      <c r="W368" s="161"/>
      <c r="X368" s="161"/>
      <c r="Y368" s="161"/>
      <c r="Z368" s="161"/>
      <c r="AA368" s="161"/>
      <c r="AB368" s="161"/>
      <c r="AC368" s="161"/>
      <c r="AD368" s="161"/>
      <c r="AE368" s="161"/>
      <c r="AF368" s="161"/>
      <c r="AG368" s="161"/>
      <c r="AH368" s="161"/>
      <c r="AI368" s="161"/>
      <c r="AJ368" s="161"/>
      <c r="AK368" s="161"/>
      <c r="AL368" s="161"/>
      <c r="AM368" s="161"/>
      <c r="AN368" s="161"/>
      <c r="AO368" s="161"/>
      <c r="AP368" s="161"/>
      <c r="AQ368" s="161">
        <f>SUM(AR368:AU368)</f>
      </c>
      <c r="AR368" s="161"/>
      <c r="AS368" s="161"/>
      <c r="AT368" s="161"/>
      <c r="AU368" s="161"/>
      <c r="AV368" s="161">
        <f>SUM(AW368:BH368)</f>
      </c>
      <c r="AW368" s="161"/>
      <c r="AX368" s="161"/>
      <c r="AY368" s="161"/>
      <c r="AZ368" s="161"/>
      <c r="BA368" s="161"/>
      <c r="BB368" s="161"/>
      <c r="BC368" s="161"/>
      <c r="BD368" s="161"/>
      <c r="BE368" s="161"/>
      <c r="BF368" s="161"/>
      <c r="BG368" s="161"/>
      <c r="BH368" s="161"/>
      <c r="BI368" s="161"/>
      <c r="BJ368" s="161"/>
      <c r="BK368" s="161"/>
      <c r="BL368" s="161"/>
      <c r="BM368" s="161"/>
      <c r="BN368" s="161"/>
      <c r="BO368" s="161"/>
      <c r="BP368" s="161"/>
      <c r="BQ368" s="161"/>
      <c r="BR368" s="161"/>
      <c r="BS368" s="161">
        <f>SUM(BT368:BV368)</f>
      </c>
      <c r="BT368" s="161"/>
      <c r="BU368" s="161"/>
      <c r="BV368" s="161"/>
      <c r="BW368" s="161">
        <f>SUM(BX368:CC368)</f>
      </c>
      <c r="BX368" s="161"/>
      <c r="BY368" s="161"/>
      <c r="BZ368" s="161"/>
      <c r="CA368" s="161"/>
      <c r="CB368" s="161"/>
      <c r="CC368" s="161"/>
      <c r="CD368" s="161"/>
      <c r="CE368" s="161"/>
      <c r="CF368" s="161"/>
      <c r="CG368" s="161"/>
      <c r="CH368" s="161"/>
      <c r="CI368" s="161"/>
      <c r="CJ368" s="161">
        <f>SUM(CK368:CM368)</f>
      </c>
      <c r="CK368" s="161"/>
      <c r="CL368" s="161"/>
      <c r="CM368" s="161"/>
      <c r="CN368" s="161">
        <f>SUM(CO368:CS368)</f>
      </c>
      <c r="CO368" s="161"/>
      <c r="CP368" s="161"/>
      <c r="CQ368" s="161"/>
      <c r="CR368" s="161"/>
      <c r="CS368" s="161"/>
      <c r="CT368" s="161"/>
      <c r="CU368" s="161"/>
      <c r="CV368" s="161"/>
      <c r="CW368" s="161"/>
      <c r="CX368" s="161"/>
      <c r="CY368" s="161"/>
      <c r="CZ368" s="161"/>
      <c r="DA368" s="161"/>
      <c r="DB368" s="161"/>
      <c r="DC368" s="161"/>
      <c r="DD368" s="161"/>
      <c r="DE368" s="161"/>
      <c r="DF368" s="161">
        <f>SUM(DG368:DG368)</f>
      </c>
      <c r="DG368" s="161"/>
      <c r="DH368" s="161"/>
      <c r="DI368" s="161"/>
      <c r="DJ368" s="161">
        <f>SUM(DK368:DP368)</f>
      </c>
      <c r="DK368" s="161"/>
      <c r="DL368" s="161"/>
      <c r="DM368" s="161"/>
      <c r="DN368" s="161"/>
      <c r="DO368" s="161"/>
      <c r="DP368" s="161"/>
      <c r="DQ368" s="161"/>
      <c r="DR368" s="161"/>
      <c r="DS368" s="161"/>
      <c r="DT368" s="161"/>
      <c r="DU368" s="161"/>
      <c r="DV368" s="161"/>
      <c r="DW368" s="161"/>
      <c r="DX368" s="161"/>
      <c r="DY368" s="161"/>
      <c r="DZ368" s="161"/>
      <c r="EA368" s="161"/>
      <c r="EB368" s="161"/>
      <c r="EC368" s="161"/>
      <c r="ED368" s="161"/>
      <c r="EE368" s="161"/>
      <c r="EF368" s="161">
        <f>SUM(EG368:EP368)</f>
      </c>
      <c r="EG368" s="161"/>
      <c r="EH368" s="161"/>
      <c r="EI368" s="161"/>
      <c r="EJ368" s="161"/>
      <c r="EK368" s="161"/>
      <c r="EL368" s="161"/>
      <c r="EM368" s="161"/>
      <c r="EN368" s="161"/>
      <c r="EO368" s="161"/>
      <c r="EP368" s="161"/>
      <c r="EQ368" s="161">
        <f>SUM(ER368:ES368)</f>
      </c>
      <c r="ER368" s="161"/>
      <c r="ES368" s="161"/>
      <c r="ET368" s="161"/>
      <c r="EU368" s="161"/>
      <c r="EV368" s="161"/>
      <c r="EW368" s="161"/>
      <c r="EX368" s="161"/>
      <c r="EY368" s="161"/>
      <c r="EZ368" s="161"/>
      <c r="FA368" s="161"/>
      <c r="FB368" s="161"/>
      <c r="FC368" s="161"/>
      <c r="FD368" s="161"/>
      <c r="FE368" s="161"/>
      <c r="FF368" s="161"/>
      <c r="FG368" s="161"/>
      <c r="FH368" s="166" cm="1">
        <f t="array" ref="FH368">ROW()-ROW(Ongoing[#Headers])</f>
        <v>362</v>
      </c>
      <c r="FI368" s="167"/>
      <c r="FJ368" s="167"/>
      <c r="FK368" s="167"/>
      <c r="FL368" s="167"/>
      <c r="FM368" s="167"/>
      <c r="FN368" s="167"/>
      <c r="FO368" s="167"/>
      <c r="FP368" s="167"/>
    </row>
    <row r="369" spans="2:172" s="115" customFormat="1" ht="11.25" x14ac:dyDescent="0.2">
      <c r="B369" s="148"/>
      <c r="C369" s="148"/>
      <c r="D369" s="148"/>
      <c r="E369" s="148"/>
      <c r="F369" s="148"/>
      <c r="G369" s="148"/>
      <c r="H369" s="148"/>
      <c r="I369" s="148"/>
      <c r="J369" s="148"/>
      <c r="K369" s="148"/>
      <c r="L369" s="148"/>
      <c r="M369" s="160"/>
      <c r="N369" s="160"/>
      <c r="O369" s="148"/>
      <c r="P369" s="161">
        <f>SUM(Q369:AP369)</f>
      </c>
      <c r="Q369" s="161"/>
      <c r="R369" s="161"/>
      <c r="S369" s="161"/>
      <c r="T369" s="161"/>
      <c r="U369" s="161"/>
      <c r="V369" s="161"/>
      <c r="W369" s="161"/>
      <c r="X369" s="161"/>
      <c r="Y369" s="161"/>
      <c r="Z369" s="161"/>
      <c r="AA369" s="161"/>
      <c r="AB369" s="161"/>
      <c r="AC369" s="161"/>
      <c r="AD369" s="161"/>
      <c r="AE369" s="161"/>
      <c r="AF369" s="161"/>
      <c r="AG369" s="161"/>
      <c r="AH369" s="161"/>
      <c r="AI369" s="161"/>
      <c r="AJ369" s="161"/>
      <c r="AK369" s="161"/>
      <c r="AL369" s="161"/>
      <c r="AM369" s="161"/>
      <c r="AN369" s="161"/>
      <c r="AO369" s="161"/>
      <c r="AP369" s="161"/>
      <c r="AQ369" s="161">
        <f>SUM(AR369:AU369)</f>
      </c>
      <c r="AR369" s="161"/>
      <c r="AS369" s="161"/>
      <c r="AT369" s="161"/>
      <c r="AU369" s="161"/>
      <c r="AV369" s="161">
        <f>SUM(AW369:BH369)</f>
      </c>
      <c r="AW369" s="161"/>
      <c r="AX369" s="161"/>
      <c r="AY369" s="161"/>
      <c r="AZ369" s="161"/>
      <c r="BA369" s="161"/>
      <c r="BB369" s="161"/>
      <c r="BC369" s="161"/>
      <c r="BD369" s="161"/>
      <c r="BE369" s="161"/>
      <c r="BF369" s="161"/>
      <c r="BG369" s="161"/>
      <c r="BH369" s="161"/>
      <c r="BI369" s="161"/>
      <c r="BJ369" s="161"/>
      <c r="BK369" s="161"/>
      <c r="BL369" s="161"/>
      <c r="BM369" s="161"/>
      <c r="BN369" s="161"/>
      <c r="BO369" s="161"/>
      <c r="BP369" s="161"/>
      <c r="BQ369" s="161"/>
      <c r="BR369" s="161"/>
      <c r="BS369" s="161">
        <f>SUM(BT369:BV369)</f>
      </c>
      <c r="BT369" s="161"/>
      <c r="BU369" s="161"/>
      <c r="BV369" s="161"/>
      <c r="BW369" s="161">
        <f>SUM(BX369:CC369)</f>
      </c>
      <c r="BX369" s="161"/>
      <c r="BY369" s="161"/>
      <c r="BZ369" s="161"/>
      <c r="CA369" s="161"/>
      <c r="CB369" s="161"/>
      <c r="CC369" s="161"/>
      <c r="CD369" s="161"/>
      <c r="CE369" s="161"/>
      <c r="CF369" s="161"/>
      <c r="CG369" s="161"/>
      <c r="CH369" s="161"/>
      <c r="CI369" s="161"/>
      <c r="CJ369" s="161">
        <f>SUM(CK369:CM369)</f>
      </c>
      <c r="CK369" s="161"/>
      <c r="CL369" s="161"/>
      <c r="CM369" s="161"/>
      <c r="CN369" s="161">
        <f>SUM(CO369:CS369)</f>
      </c>
      <c r="CO369" s="161"/>
      <c r="CP369" s="161"/>
      <c r="CQ369" s="161"/>
      <c r="CR369" s="161"/>
      <c r="CS369" s="161"/>
      <c r="CT369" s="161"/>
      <c r="CU369" s="161"/>
      <c r="CV369" s="161"/>
      <c r="CW369" s="161"/>
      <c r="CX369" s="161"/>
      <c r="CY369" s="161"/>
      <c r="CZ369" s="161"/>
      <c r="DA369" s="161"/>
      <c r="DB369" s="161"/>
      <c r="DC369" s="161"/>
      <c r="DD369" s="161"/>
      <c r="DE369" s="161"/>
      <c r="DF369" s="161">
        <f>SUM(DG369:DG369)</f>
      </c>
      <c r="DG369" s="161"/>
      <c r="DH369" s="161"/>
      <c r="DI369" s="161"/>
      <c r="DJ369" s="161">
        <f>SUM(DK369:DP369)</f>
      </c>
      <c r="DK369" s="161"/>
      <c r="DL369" s="161"/>
      <c r="DM369" s="161"/>
      <c r="DN369" s="161"/>
      <c r="DO369" s="161"/>
      <c r="DP369" s="161"/>
      <c r="DQ369" s="161"/>
      <c r="DR369" s="161"/>
      <c r="DS369" s="161"/>
      <c r="DT369" s="161"/>
      <c r="DU369" s="161"/>
      <c r="DV369" s="161"/>
      <c r="DW369" s="161"/>
      <c r="DX369" s="161"/>
      <c r="DY369" s="161"/>
      <c r="DZ369" s="161"/>
      <c r="EA369" s="161"/>
      <c r="EB369" s="161"/>
      <c r="EC369" s="161"/>
      <c r="ED369" s="161"/>
      <c r="EE369" s="161"/>
      <c r="EF369" s="161">
        <f>SUM(EG369:EP369)</f>
      </c>
      <c r="EG369" s="161"/>
      <c r="EH369" s="161"/>
      <c r="EI369" s="161"/>
      <c r="EJ369" s="161"/>
      <c r="EK369" s="161"/>
      <c r="EL369" s="161"/>
      <c r="EM369" s="161"/>
      <c r="EN369" s="161"/>
      <c r="EO369" s="161"/>
      <c r="EP369" s="161"/>
      <c r="EQ369" s="161">
        <f>SUM(ER369:ES369)</f>
      </c>
      <c r="ER369" s="161"/>
      <c r="ES369" s="161"/>
      <c r="ET369" s="161"/>
      <c r="EU369" s="161"/>
      <c r="EV369" s="161"/>
      <c r="EW369" s="161"/>
      <c r="EX369" s="161"/>
      <c r="EY369" s="161"/>
      <c r="EZ369" s="161"/>
      <c r="FA369" s="161"/>
      <c r="FB369" s="161"/>
      <c r="FC369" s="161"/>
      <c r="FD369" s="161"/>
      <c r="FE369" s="161"/>
      <c r="FF369" s="161"/>
      <c r="FG369" s="161"/>
      <c r="FH369" s="166" cm="1">
        <f t="array" ref="FH369">ROW()-ROW(Ongoing[#Headers])</f>
        <v>363</v>
      </c>
      <c r="FI369" s="167"/>
      <c r="FJ369" s="167"/>
      <c r="FK369" s="167"/>
      <c r="FL369" s="167"/>
      <c r="FM369" s="167"/>
      <c r="FN369" s="167"/>
      <c r="FO369" s="167"/>
      <c r="FP369" s="167"/>
    </row>
    <row r="370" spans="2:172" s="115" customFormat="1" ht="11.25" x14ac:dyDescent="0.2">
      <c r="B370" s="148"/>
      <c r="C370" s="148"/>
      <c r="D370" s="148"/>
      <c r="E370" s="148"/>
      <c r="F370" s="148"/>
      <c r="G370" s="148"/>
      <c r="H370" s="148"/>
      <c r="I370" s="148"/>
      <c r="J370" s="148"/>
      <c r="K370" s="148"/>
      <c r="L370" s="148"/>
      <c r="M370" s="160"/>
      <c r="N370" s="160"/>
      <c r="O370" s="148"/>
      <c r="P370" s="161">
        <f>SUM(Q370:AP370)</f>
      </c>
      <c r="Q370" s="161"/>
      <c r="R370" s="161"/>
      <c r="S370" s="161"/>
      <c r="T370" s="161"/>
      <c r="U370" s="161"/>
      <c r="V370" s="161"/>
      <c r="W370" s="161"/>
      <c r="X370" s="161"/>
      <c r="Y370" s="161"/>
      <c r="Z370" s="161"/>
      <c r="AA370" s="161"/>
      <c r="AB370" s="161"/>
      <c r="AC370" s="161"/>
      <c r="AD370" s="161"/>
      <c r="AE370" s="161"/>
      <c r="AF370" s="161"/>
      <c r="AG370" s="161"/>
      <c r="AH370" s="161"/>
      <c r="AI370" s="161"/>
      <c r="AJ370" s="161"/>
      <c r="AK370" s="161"/>
      <c r="AL370" s="161"/>
      <c r="AM370" s="161"/>
      <c r="AN370" s="161"/>
      <c r="AO370" s="161"/>
      <c r="AP370" s="161"/>
      <c r="AQ370" s="161">
        <f>SUM(AR370:AU370)</f>
      </c>
      <c r="AR370" s="161"/>
      <c r="AS370" s="161"/>
      <c r="AT370" s="161"/>
      <c r="AU370" s="161"/>
      <c r="AV370" s="161">
        <f>SUM(AW370:BH370)</f>
      </c>
      <c r="AW370" s="161"/>
      <c r="AX370" s="161"/>
      <c r="AY370" s="161"/>
      <c r="AZ370" s="161"/>
      <c r="BA370" s="161"/>
      <c r="BB370" s="161"/>
      <c r="BC370" s="161"/>
      <c r="BD370" s="161"/>
      <c r="BE370" s="161"/>
      <c r="BF370" s="161"/>
      <c r="BG370" s="161"/>
      <c r="BH370" s="161"/>
      <c r="BI370" s="161"/>
      <c r="BJ370" s="161"/>
      <c r="BK370" s="161"/>
      <c r="BL370" s="161"/>
      <c r="BM370" s="161"/>
      <c r="BN370" s="161"/>
      <c r="BO370" s="161"/>
      <c r="BP370" s="161"/>
      <c r="BQ370" s="161"/>
      <c r="BR370" s="161"/>
      <c r="BS370" s="161">
        <f>SUM(BT370:BV370)</f>
      </c>
      <c r="BT370" s="161"/>
      <c r="BU370" s="161"/>
      <c r="BV370" s="161"/>
      <c r="BW370" s="161">
        <f>SUM(BX370:CC370)</f>
      </c>
      <c r="BX370" s="161"/>
      <c r="BY370" s="161"/>
      <c r="BZ370" s="161"/>
      <c r="CA370" s="161"/>
      <c r="CB370" s="161"/>
      <c r="CC370" s="161"/>
      <c r="CD370" s="161"/>
      <c r="CE370" s="161"/>
      <c r="CF370" s="161"/>
      <c r="CG370" s="161"/>
      <c r="CH370" s="161"/>
      <c r="CI370" s="161"/>
      <c r="CJ370" s="161">
        <f>SUM(CK370:CM370)</f>
      </c>
      <c r="CK370" s="161"/>
      <c r="CL370" s="161"/>
      <c r="CM370" s="161"/>
      <c r="CN370" s="161">
        <f>SUM(CO370:CS370)</f>
      </c>
      <c r="CO370" s="161"/>
      <c r="CP370" s="161"/>
      <c r="CQ370" s="161"/>
      <c r="CR370" s="161"/>
      <c r="CS370" s="161"/>
      <c r="CT370" s="161"/>
      <c r="CU370" s="161"/>
      <c r="CV370" s="161"/>
      <c r="CW370" s="161"/>
      <c r="CX370" s="161"/>
      <c r="CY370" s="161"/>
      <c r="CZ370" s="161"/>
      <c r="DA370" s="161"/>
      <c r="DB370" s="161"/>
      <c r="DC370" s="161"/>
      <c r="DD370" s="161"/>
      <c r="DE370" s="161"/>
      <c r="DF370" s="161">
        <f>SUM(DG370:DG370)</f>
      </c>
      <c r="DG370" s="161"/>
      <c r="DH370" s="161"/>
      <c r="DI370" s="161"/>
      <c r="DJ370" s="161">
        <f>SUM(DK370:DP370)</f>
      </c>
      <c r="DK370" s="161"/>
      <c r="DL370" s="161"/>
      <c r="DM370" s="161"/>
      <c r="DN370" s="161"/>
      <c r="DO370" s="161"/>
      <c r="DP370" s="161"/>
      <c r="DQ370" s="161"/>
      <c r="DR370" s="161"/>
      <c r="DS370" s="161"/>
      <c r="DT370" s="161"/>
      <c r="DU370" s="161"/>
      <c r="DV370" s="161"/>
      <c r="DW370" s="161"/>
      <c r="DX370" s="161"/>
      <c r="DY370" s="161"/>
      <c r="DZ370" s="161"/>
      <c r="EA370" s="161"/>
      <c r="EB370" s="161"/>
      <c r="EC370" s="161"/>
      <c r="ED370" s="161"/>
      <c r="EE370" s="161"/>
      <c r="EF370" s="161">
        <f>SUM(EG370:EP370)</f>
      </c>
      <c r="EG370" s="161"/>
      <c r="EH370" s="161"/>
      <c r="EI370" s="161"/>
      <c r="EJ370" s="161"/>
      <c r="EK370" s="161"/>
      <c r="EL370" s="161"/>
      <c r="EM370" s="161"/>
      <c r="EN370" s="161"/>
      <c r="EO370" s="161"/>
      <c r="EP370" s="161"/>
      <c r="EQ370" s="161">
        <f>SUM(ER370:ES370)</f>
      </c>
      <c r="ER370" s="161"/>
      <c r="ES370" s="161"/>
      <c r="ET370" s="161"/>
      <c r="EU370" s="161"/>
      <c r="EV370" s="161"/>
      <c r="EW370" s="161"/>
      <c r="EX370" s="161"/>
      <c r="EY370" s="161"/>
      <c r="EZ370" s="161"/>
      <c r="FA370" s="161"/>
      <c r="FB370" s="161"/>
      <c r="FC370" s="161"/>
      <c r="FD370" s="161"/>
      <c r="FE370" s="161"/>
      <c r="FF370" s="161"/>
      <c r="FG370" s="161"/>
      <c r="FH370" s="166" cm="1">
        <f t="array" ref="FH370">ROW()-ROW(Ongoing[#Headers])</f>
        <v>364</v>
      </c>
      <c r="FI370" s="167"/>
      <c r="FJ370" s="167"/>
      <c r="FK370" s="167"/>
      <c r="FL370" s="167"/>
      <c r="FM370" s="167"/>
      <c r="FN370" s="167"/>
      <c r="FO370" s="167"/>
      <c r="FP370" s="167"/>
    </row>
    <row r="371" spans="2:172" s="115" customFormat="1" ht="11.25" x14ac:dyDescent="0.2">
      <c r="B371" s="148"/>
      <c r="C371" s="148"/>
      <c r="D371" s="148"/>
      <c r="E371" s="148"/>
      <c r="F371" s="148"/>
      <c r="G371" s="148"/>
      <c r="H371" s="148"/>
      <c r="I371" s="148"/>
      <c r="J371" s="148"/>
      <c r="K371" s="148"/>
      <c r="L371" s="148"/>
      <c r="M371" s="160"/>
      <c r="N371" s="160"/>
      <c r="O371" s="148"/>
      <c r="P371" s="161">
        <f>SUM(Q371:AP371)</f>
      </c>
      <c r="Q371" s="161"/>
      <c r="R371" s="161"/>
      <c r="S371" s="161"/>
      <c r="T371" s="161"/>
      <c r="U371" s="161"/>
      <c r="V371" s="161"/>
      <c r="W371" s="161"/>
      <c r="X371" s="161"/>
      <c r="Y371" s="161"/>
      <c r="Z371" s="161"/>
      <c r="AA371" s="161"/>
      <c r="AB371" s="161"/>
      <c r="AC371" s="161"/>
      <c r="AD371" s="161"/>
      <c r="AE371" s="161"/>
      <c r="AF371" s="161"/>
      <c r="AG371" s="161"/>
      <c r="AH371" s="161"/>
      <c r="AI371" s="161"/>
      <c r="AJ371" s="161"/>
      <c r="AK371" s="161"/>
      <c r="AL371" s="161"/>
      <c r="AM371" s="161"/>
      <c r="AN371" s="161"/>
      <c r="AO371" s="161"/>
      <c r="AP371" s="161"/>
      <c r="AQ371" s="161">
        <f>SUM(AR371:AU371)</f>
      </c>
      <c r="AR371" s="161"/>
      <c r="AS371" s="161"/>
      <c r="AT371" s="161"/>
      <c r="AU371" s="161"/>
      <c r="AV371" s="161">
        <f>SUM(AW371:BH371)</f>
      </c>
      <c r="AW371" s="161"/>
      <c r="AX371" s="161"/>
      <c r="AY371" s="161"/>
      <c r="AZ371" s="161"/>
      <c r="BA371" s="161"/>
      <c r="BB371" s="161"/>
      <c r="BC371" s="161"/>
      <c r="BD371" s="161"/>
      <c r="BE371" s="161"/>
      <c r="BF371" s="161"/>
      <c r="BG371" s="161"/>
      <c r="BH371" s="161"/>
      <c r="BI371" s="161"/>
      <c r="BJ371" s="161"/>
      <c r="BK371" s="161"/>
      <c r="BL371" s="161"/>
      <c r="BM371" s="161"/>
      <c r="BN371" s="161"/>
      <c r="BO371" s="161"/>
      <c r="BP371" s="161"/>
      <c r="BQ371" s="161"/>
      <c r="BR371" s="161"/>
      <c r="BS371" s="161">
        <f>SUM(BT371:BV371)</f>
      </c>
      <c r="BT371" s="161"/>
      <c r="BU371" s="161"/>
      <c r="BV371" s="161"/>
      <c r="BW371" s="161">
        <f>SUM(BX371:CC371)</f>
      </c>
      <c r="BX371" s="161"/>
      <c r="BY371" s="161"/>
      <c r="BZ371" s="161"/>
      <c r="CA371" s="161"/>
      <c r="CB371" s="161"/>
      <c r="CC371" s="161"/>
      <c r="CD371" s="161"/>
      <c r="CE371" s="161"/>
      <c r="CF371" s="161"/>
      <c r="CG371" s="161"/>
      <c r="CH371" s="161"/>
      <c r="CI371" s="161"/>
      <c r="CJ371" s="161">
        <f>SUM(CK371:CM371)</f>
      </c>
      <c r="CK371" s="161"/>
      <c r="CL371" s="161"/>
      <c r="CM371" s="161"/>
      <c r="CN371" s="161">
        <f>SUM(CO371:CS371)</f>
      </c>
      <c r="CO371" s="161"/>
      <c r="CP371" s="161"/>
      <c r="CQ371" s="161"/>
      <c r="CR371" s="161"/>
      <c r="CS371" s="161"/>
      <c r="CT371" s="161"/>
      <c r="CU371" s="161"/>
      <c r="CV371" s="161"/>
      <c r="CW371" s="161"/>
      <c r="CX371" s="161"/>
      <c r="CY371" s="161"/>
      <c r="CZ371" s="161"/>
      <c r="DA371" s="161"/>
      <c r="DB371" s="161"/>
      <c r="DC371" s="161"/>
      <c r="DD371" s="161"/>
      <c r="DE371" s="161"/>
      <c r="DF371" s="161">
        <f>SUM(DG371:DG371)</f>
      </c>
      <c r="DG371" s="161"/>
      <c r="DH371" s="161"/>
      <c r="DI371" s="161"/>
      <c r="DJ371" s="161">
        <f>SUM(DK371:DP371)</f>
      </c>
      <c r="DK371" s="161"/>
      <c r="DL371" s="161"/>
      <c r="DM371" s="161"/>
      <c r="DN371" s="161"/>
      <c r="DO371" s="161"/>
      <c r="DP371" s="161"/>
      <c r="DQ371" s="161"/>
      <c r="DR371" s="161"/>
      <c r="DS371" s="161"/>
      <c r="DT371" s="161"/>
      <c r="DU371" s="161"/>
      <c r="DV371" s="161"/>
      <c r="DW371" s="161"/>
      <c r="DX371" s="161"/>
      <c r="DY371" s="161"/>
      <c r="DZ371" s="161"/>
      <c r="EA371" s="161"/>
      <c r="EB371" s="161"/>
      <c r="EC371" s="161"/>
      <c r="ED371" s="161"/>
      <c r="EE371" s="161"/>
      <c r="EF371" s="161">
        <f>SUM(EG371:EP371)</f>
      </c>
      <c r="EG371" s="161"/>
      <c r="EH371" s="161"/>
      <c r="EI371" s="161"/>
      <c r="EJ371" s="161"/>
      <c r="EK371" s="161"/>
      <c r="EL371" s="161"/>
      <c r="EM371" s="161"/>
      <c r="EN371" s="161"/>
      <c r="EO371" s="161"/>
      <c r="EP371" s="161"/>
      <c r="EQ371" s="161">
        <f>SUM(ER371:ES371)</f>
      </c>
      <c r="ER371" s="161"/>
      <c r="ES371" s="161"/>
      <c r="ET371" s="161"/>
      <c r="EU371" s="161"/>
      <c r="EV371" s="161"/>
      <c r="EW371" s="161"/>
      <c r="EX371" s="161"/>
      <c r="EY371" s="161"/>
      <c r="EZ371" s="161"/>
      <c r="FA371" s="161"/>
      <c r="FB371" s="161"/>
      <c r="FC371" s="161"/>
      <c r="FD371" s="161"/>
      <c r="FE371" s="161"/>
      <c r="FF371" s="161"/>
      <c r="FG371" s="161"/>
      <c r="FH371" s="166" cm="1">
        <f t="array" ref="FH371">ROW()-ROW(Ongoing[#Headers])</f>
        <v>365</v>
      </c>
      <c r="FI371" s="167"/>
      <c r="FJ371" s="167"/>
      <c r="FK371" s="167"/>
      <c r="FL371" s="167"/>
      <c r="FM371" s="167"/>
      <c r="FN371" s="167"/>
      <c r="FO371" s="167"/>
      <c r="FP371" s="167"/>
    </row>
    <row r="372" spans="2:172" s="115" customFormat="1" ht="11.25" x14ac:dyDescent="0.2">
      <c r="B372" s="148"/>
      <c r="C372" s="148"/>
      <c r="D372" s="148"/>
      <c r="E372" s="148"/>
      <c r="F372" s="148"/>
      <c r="G372" s="148"/>
      <c r="H372" s="148"/>
      <c r="I372" s="148"/>
      <c r="J372" s="148"/>
      <c r="K372" s="148"/>
      <c r="L372" s="148"/>
      <c r="M372" s="160"/>
      <c r="N372" s="160"/>
      <c r="O372" s="148"/>
      <c r="P372" s="161">
        <f>SUM(Q372:AP372)</f>
      </c>
      <c r="Q372" s="161"/>
      <c r="R372" s="161"/>
      <c r="S372" s="161"/>
      <c r="T372" s="161"/>
      <c r="U372" s="161"/>
      <c r="V372" s="161"/>
      <c r="W372" s="161"/>
      <c r="X372" s="161"/>
      <c r="Y372" s="161"/>
      <c r="Z372" s="161"/>
      <c r="AA372" s="161"/>
      <c r="AB372" s="161"/>
      <c r="AC372" s="161"/>
      <c r="AD372" s="161"/>
      <c r="AE372" s="161"/>
      <c r="AF372" s="161"/>
      <c r="AG372" s="161"/>
      <c r="AH372" s="161"/>
      <c r="AI372" s="161"/>
      <c r="AJ372" s="161"/>
      <c r="AK372" s="161"/>
      <c r="AL372" s="161"/>
      <c r="AM372" s="161"/>
      <c r="AN372" s="161"/>
      <c r="AO372" s="161"/>
      <c r="AP372" s="161"/>
      <c r="AQ372" s="161">
        <f>SUM(AR372:AU372)</f>
      </c>
      <c r="AR372" s="161"/>
      <c r="AS372" s="161"/>
      <c r="AT372" s="161"/>
      <c r="AU372" s="161"/>
      <c r="AV372" s="161">
        <f>SUM(AW372:BH372)</f>
      </c>
      <c r="AW372" s="161"/>
      <c r="AX372" s="161"/>
      <c r="AY372" s="161"/>
      <c r="AZ372" s="161"/>
      <c r="BA372" s="161"/>
      <c r="BB372" s="161"/>
      <c r="BC372" s="161"/>
      <c r="BD372" s="161"/>
      <c r="BE372" s="161"/>
      <c r="BF372" s="161"/>
      <c r="BG372" s="161"/>
      <c r="BH372" s="161"/>
      <c r="BI372" s="161"/>
      <c r="BJ372" s="161"/>
      <c r="BK372" s="161"/>
      <c r="BL372" s="161"/>
      <c r="BM372" s="161"/>
      <c r="BN372" s="161"/>
      <c r="BO372" s="161"/>
      <c r="BP372" s="161"/>
      <c r="BQ372" s="161"/>
      <c r="BR372" s="161"/>
      <c r="BS372" s="161">
        <f>SUM(BT372:BV372)</f>
      </c>
      <c r="BT372" s="161"/>
      <c r="BU372" s="161"/>
      <c r="BV372" s="161"/>
      <c r="BW372" s="161">
        <f>SUM(BX372:CC372)</f>
      </c>
      <c r="BX372" s="161"/>
      <c r="BY372" s="161"/>
      <c r="BZ372" s="161"/>
      <c r="CA372" s="161"/>
      <c r="CB372" s="161"/>
      <c r="CC372" s="161"/>
      <c r="CD372" s="161"/>
      <c r="CE372" s="161"/>
      <c r="CF372" s="161"/>
      <c r="CG372" s="161"/>
      <c r="CH372" s="161"/>
      <c r="CI372" s="161"/>
      <c r="CJ372" s="161">
        <f>SUM(CK372:CM372)</f>
      </c>
      <c r="CK372" s="161"/>
      <c r="CL372" s="161"/>
      <c r="CM372" s="161"/>
      <c r="CN372" s="161">
        <f>SUM(CO372:CS372)</f>
      </c>
      <c r="CO372" s="161"/>
      <c r="CP372" s="161"/>
      <c r="CQ372" s="161"/>
      <c r="CR372" s="161"/>
      <c r="CS372" s="161"/>
      <c r="CT372" s="161"/>
      <c r="CU372" s="161"/>
      <c r="CV372" s="161"/>
      <c r="CW372" s="161"/>
      <c r="CX372" s="161"/>
      <c r="CY372" s="161"/>
      <c r="CZ372" s="161"/>
      <c r="DA372" s="161"/>
      <c r="DB372" s="161"/>
      <c r="DC372" s="161"/>
      <c r="DD372" s="161"/>
      <c r="DE372" s="161"/>
      <c r="DF372" s="161">
        <f>SUM(DG372:DG372)</f>
      </c>
      <c r="DG372" s="161"/>
      <c r="DH372" s="161"/>
      <c r="DI372" s="161"/>
      <c r="DJ372" s="161">
        <f>SUM(DK372:DP372)</f>
      </c>
      <c r="DK372" s="161"/>
      <c r="DL372" s="161"/>
      <c r="DM372" s="161"/>
      <c r="DN372" s="161"/>
      <c r="DO372" s="161"/>
      <c r="DP372" s="161"/>
      <c r="DQ372" s="161"/>
      <c r="DR372" s="161"/>
      <c r="DS372" s="161"/>
      <c r="DT372" s="161"/>
      <c r="DU372" s="161"/>
      <c r="DV372" s="161"/>
      <c r="DW372" s="161"/>
      <c r="DX372" s="161"/>
      <c r="DY372" s="161"/>
      <c r="DZ372" s="161"/>
      <c r="EA372" s="161"/>
      <c r="EB372" s="161"/>
      <c r="EC372" s="161"/>
      <c r="ED372" s="161"/>
      <c r="EE372" s="161"/>
      <c r="EF372" s="161">
        <f>SUM(EG372:EP372)</f>
      </c>
      <c r="EG372" s="161"/>
      <c r="EH372" s="161"/>
      <c r="EI372" s="161"/>
      <c r="EJ372" s="161"/>
      <c r="EK372" s="161"/>
      <c r="EL372" s="161"/>
      <c r="EM372" s="161"/>
      <c r="EN372" s="161"/>
      <c r="EO372" s="161"/>
      <c r="EP372" s="161"/>
      <c r="EQ372" s="161">
        <f>SUM(ER372:ES372)</f>
      </c>
      <c r="ER372" s="161"/>
      <c r="ES372" s="161"/>
      <c r="ET372" s="161"/>
      <c r="EU372" s="161"/>
      <c r="EV372" s="161"/>
      <c r="EW372" s="161"/>
      <c r="EX372" s="161"/>
      <c r="EY372" s="161"/>
      <c r="EZ372" s="161"/>
      <c r="FA372" s="161"/>
      <c r="FB372" s="161"/>
      <c r="FC372" s="161"/>
      <c r="FD372" s="161"/>
      <c r="FE372" s="161"/>
      <c r="FF372" s="161"/>
      <c r="FG372" s="161"/>
      <c r="FH372" s="166" cm="1">
        <f t="array" ref="FH372">ROW()-ROW(Ongoing[#Headers])</f>
        <v>366</v>
      </c>
      <c r="FI372" s="167"/>
      <c r="FJ372" s="167"/>
      <c r="FK372" s="167"/>
      <c r="FL372" s="167"/>
      <c r="FM372" s="167"/>
      <c r="FN372" s="167"/>
      <c r="FO372" s="167"/>
      <c r="FP372" s="167"/>
    </row>
    <row r="373" spans="2:172" s="115" customFormat="1" ht="11.25" x14ac:dyDescent="0.2">
      <c r="B373" s="148"/>
      <c r="C373" s="148"/>
      <c r="D373" s="148"/>
      <c r="E373" s="148"/>
      <c r="F373" s="148"/>
      <c r="G373" s="148"/>
      <c r="H373" s="148"/>
      <c r="I373" s="148"/>
      <c r="J373" s="148"/>
      <c r="K373" s="148"/>
      <c r="L373" s="148"/>
      <c r="M373" s="160"/>
      <c r="N373" s="160"/>
      <c r="O373" s="148"/>
      <c r="P373" s="161">
        <f>SUM(Q373:AP373)</f>
      </c>
      <c r="Q373" s="161"/>
      <c r="R373" s="161"/>
      <c r="S373" s="161"/>
      <c r="T373" s="161"/>
      <c r="U373" s="161"/>
      <c r="V373" s="161"/>
      <c r="W373" s="161"/>
      <c r="X373" s="161"/>
      <c r="Y373" s="161"/>
      <c r="Z373" s="161"/>
      <c r="AA373" s="161"/>
      <c r="AB373" s="161"/>
      <c r="AC373" s="161"/>
      <c r="AD373" s="161"/>
      <c r="AE373" s="161"/>
      <c r="AF373" s="161"/>
      <c r="AG373" s="161"/>
      <c r="AH373" s="161"/>
      <c r="AI373" s="161"/>
      <c r="AJ373" s="161"/>
      <c r="AK373" s="161"/>
      <c r="AL373" s="161"/>
      <c r="AM373" s="161"/>
      <c r="AN373" s="161"/>
      <c r="AO373" s="161"/>
      <c r="AP373" s="161"/>
      <c r="AQ373" s="161">
        <f>SUM(AR373:AU373)</f>
      </c>
      <c r="AR373" s="161"/>
      <c r="AS373" s="161"/>
      <c r="AT373" s="161"/>
      <c r="AU373" s="161"/>
      <c r="AV373" s="161">
        <f>SUM(AW373:BH373)</f>
      </c>
      <c r="AW373" s="161"/>
      <c r="AX373" s="161"/>
      <c r="AY373" s="161"/>
      <c r="AZ373" s="161"/>
      <c r="BA373" s="161"/>
      <c r="BB373" s="161"/>
      <c r="BC373" s="161"/>
      <c r="BD373" s="161"/>
      <c r="BE373" s="161"/>
      <c r="BF373" s="161"/>
      <c r="BG373" s="161"/>
      <c r="BH373" s="161"/>
      <c r="BI373" s="161"/>
      <c r="BJ373" s="161"/>
      <c r="BK373" s="161"/>
      <c r="BL373" s="161"/>
      <c r="BM373" s="161"/>
      <c r="BN373" s="161"/>
      <c r="BO373" s="161"/>
      <c r="BP373" s="161"/>
      <c r="BQ373" s="161"/>
      <c r="BR373" s="161"/>
      <c r="BS373" s="161">
        <f>SUM(BT373:BV373)</f>
      </c>
      <c r="BT373" s="161"/>
      <c r="BU373" s="161"/>
      <c r="BV373" s="161"/>
      <c r="BW373" s="161">
        <f>SUM(BX373:CC373)</f>
      </c>
      <c r="BX373" s="161"/>
      <c r="BY373" s="161"/>
      <c r="BZ373" s="161"/>
      <c r="CA373" s="161"/>
      <c r="CB373" s="161"/>
      <c r="CC373" s="161"/>
      <c r="CD373" s="161"/>
      <c r="CE373" s="161"/>
      <c r="CF373" s="161"/>
      <c r="CG373" s="161"/>
      <c r="CH373" s="161"/>
      <c r="CI373" s="161"/>
      <c r="CJ373" s="161">
        <f>SUM(CK373:CM373)</f>
      </c>
      <c r="CK373" s="161"/>
      <c r="CL373" s="161"/>
      <c r="CM373" s="161"/>
      <c r="CN373" s="161">
        <f>SUM(CO373:CS373)</f>
      </c>
      <c r="CO373" s="161"/>
      <c r="CP373" s="161"/>
      <c r="CQ373" s="161"/>
      <c r="CR373" s="161"/>
      <c r="CS373" s="161"/>
      <c r="CT373" s="161"/>
      <c r="CU373" s="161"/>
      <c r="CV373" s="161"/>
      <c r="CW373" s="161"/>
      <c r="CX373" s="161"/>
      <c r="CY373" s="161"/>
      <c r="CZ373" s="161"/>
      <c r="DA373" s="161"/>
      <c r="DB373" s="161"/>
      <c r="DC373" s="161"/>
      <c r="DD373" s="161"/>
      <c r="DE373" s="161"/>
      <c r="DF373" s="161">
        <f>SUM(DG373:DG373)</f>
      </c>
      <c r="DG373" s="161"/>
      <c r="DH373" s="161"/>
      <c r="DI373" s="161"/>
      <c r="DJ373" s="161">
        <f>SUM(DK373:DP373)</f>
      </c>
      <c r="DK373" s="161"/>
      <c r="DL373" s="161"/>
      <c r="DM373" s="161"/>
      <c r="DN373" s="161"/>
      <c r="DO373" s="161"/>
      <c r="DP373" s="161"/>
      <c r="DQ373" s="161"/>
      <c r="DR373" s="161"/>
      <c r="DS373" s="161"/>
      <c r="DT373" s="161"/>
      <c r="DU373" s="161"/>
      <c r="DV373" s="161"/>
      <c r="DW373" s="161"/>
      <c r="DX373" s="161"/>
      <c r="DY373" s="161"/>
      <c r="DZ373" s="161"/>
      <c r="EA373" s="161"/>
      <c r="EB373" s="161"/>
      <c r="EC373" s="161"/>
      <c r="ED373" s="161"/>
      <c r="EE373" s="161"/>
      <c r="EF373" s="161">
        <f>SUM(EG373:EP373)</f>
      </c>
      <c r="EG373" s="161"/>
      <c r="EH373" s="161"/>
      <c r="EI373" s="161"/>
      <c r="EJ373" s="161"/>
      <c r="EK373" s="161"/>
      <c r="EL373" s="161"/>
      <c r="EM373" s="161"/>
      <c r="EN373" s="161"/>
      <c r="EO373" s="161"/>
      <c r="EP373" s="161"/>
      <c r="EQ373" s="161">
        <f>SUM(ER373:ES373)</f>
      </c>
      <c r="ER373" s="161"/>
      <c r="ES373" s="161"/>
      <c r="ET373" s="161"/>
      <c r="EU373" s="161"/>
      <c r="EV373" s="161"/>
      <c r="EW373" s="161"/>
      <c r="EX373" s="161"/>
      <c r="EY373" s="161"/>
      <c r="EZ373" s="161"/>
      <c r="FA373" s="161"/>
      <c r="FB373" s="161"/>
      <c r="FC373" s="161"/>
      <c r="FD373" s="161"/>
      <c r="FE373" s="161"/>
      <c r="FF373" s="161"/>
      <c r="FG373" s="161"/>
      <c r="FH373" s="166" cm="1">
        <f t="array" ref="FH373">ROW()-ROW(Ongoing[#Headers])</f>
        <v>367</v>
      </c>
      <c r="FI373" s="167"/>
      <c r="FJ373" s="167"/>
      <c r="FK373" s="167"/>
      <c r="FL373" s="167"/>
      <c r="FM373" s="167"/>
      <c r="FN373" s="167"/>
      <c r="FO373" s="167"/>
      <c r="FP373" s="167"/>
    </row>
    <row r="374" spans="2:172" s="115" customFormat="1" ht="11.25" x14ac:dyDescent="0.2">
      <c r="B374" s="148"/>
      <c r="C374" s="148"/>
      <c r="D374" s="148"/>
      <c r="E374" s="148"/>
      <c r="F374" s="148"/>
      <c r="G374" s="148"/>
      <c r="H374" s="148"/>
      <c r="I374" s="148"/>
      <c r="J374" s="148"/>
      <c r="K374" s="148"/>
      <c r="L374" s="148"/>
      <c r="M374" s="160"/>
      <c r="N374" s="160"/>
      <c r="O374" s="148"/>
      <c r="P374" s="161">
        <f>SUM(Q374:AP374)</f>
      </c>
      <c r="Q374" s="161"/>
      <c r="R374" s="161"/>
      <c r="S374" s="161"/>
      <c r="T374" s="161"/>
      <c r="U374" s="161"/>
      <c r="V374" s="161"/>
      <c r="W374" s="161"/>
      <c r="X374" s="161"/>
      <c r="Y374" s="161"/>
      <c r="Z374" s="161"/>
      <c r="AA374" s="161"/>
      <c r="AB374" s="161"/>
      <c r="AC374" s="161"/>
      <c r="AD374" s="161"/>
      <c r="AE374" s="161"/>
      <c r="AF374" s="161"/>
      <c r="AG374" s="161"/>
      <c r="AH374" s="161"/>
      <c r="AI374" s="161"/>
      <c r="AJ374" s="161"/>
      <c r="AK374" s="161"/>
      <c r="AL374" s="161"/>
      <c r="AM374" s="161"/>
      <c r="AN374" s="161"/>
      <c r="AO374" s="161"/>
      <c r="AP374" s="161"/>
      <c r="AQ374" s="161">
        <f>SUM(AR374:AU374)</f>
      </c>
      <c r="AR374" s="161"/>
      <c r="AS374" s="161"/>
      <c r="AT374" s="161"/>
      <c r="AU374" s="161"/>
      <c r="AV374" s="161">
        <f>SUM(AW374:BH374)</f>
      </c>
      <c r="AW374" s="161"/>
      <c r="AX374" s="161"/>
      <c r="AY374" s="161"/>
      <c r="AZ374" s="161"/>
      <c r="BA374" s="161"/>
      <c r="BB374" s="161"/>
      <c r="BC374" s="161"/>
      <c r="BD374" s="161"/>
      <c r="BE374" s="161"/>
      <c r="BF374" s="161"/>
      <c r="BG374" s="161"/>
      <c r="BH374" s="161"/>
      <c r="BI374" s="161"/>
      <c r="BJ374" s="161"/>
      <c r="BK374" s="161"/>
      <c r="BL374" s="161"/>
      <c r="BM374" s="161"/>
      <c r="BN374" s="161"/>
      <c r="BO374" s="161"/>
      <c r="BP374" s="161"/>
      <c r="BQ374" s="161"/>
      <c r="BR374" s="161"/>
      <c r="BS374" s="161">
        <f>SUM(BT374:BV374)</f>
      </c>
      <c r="BT374" s="161"/>
      <c r="BU374" s="161"/>
      <c r="BV374" s="161"/>
      <c r="BW374" s="161">
        <f>SUM(BX374:CC374)</f>
      </c>
      <c r="BX374" s="161"/>
      <c r="BY374" s="161"/>
      <c r="BZ374" s="161"/>
      <c r="CA374" s="161"/>
      <c r="CB374" s="161"/>
      <c r="CC374" s="161"/>
      <c r="CD374" s="161"/>
      <c r="CE374" s="161"/>
      <c r="CF374" s="161"/>
      <c r="CG374" s="161"/>
      <c r="CH374" s="161"/>
      <c r="CI374" s="161"/>
      <c r="CJ374" s="161">
        <f>SUM(CK374:CM374)</f>
      </c>
      <c r="CK374" s="161"/>
      <c r="CL374" s="161"/>
      <c r="CM374" s="161"/>
      <c r="CN374" s="161">
        <f>SUM(CO374:CS374)</f>
      </c>
      <c r="CO374" s="161"/>
      <c r="CP374" s="161"/>
      <c r="CQ374" s="161"/>
      <c r="CR374" s="161"/>
      <c r="CS374" s="161"/>
      <c r="CT374" s="161"/>
      <c r="CU374" s="161"/>
      <c r="CV374" s="161"/>
      <c r="CW374" s="161"/>
      <c r="CX374" s="161"/>
      <c r="CY374" s="161"/>
      <c r="CZ374" s="161"/>
      <c r="DA374" s="161"/>
      <c r="DB374" s="161"/>
      <c r="DC374" s="161"/>
      <c r="DD374" s="161"/>
      <c r="DE374" s="161"/>
      <c r="DF374" s="161">
        <f>SUM(DG374:DG374)</f>
      </c>
      <c r="DG374" s="161"/>
      <c r="DH374" s="161"/>
      <c r="DI374" s="161"/>
      <c r="DJ374" s="161">
        <f>SUM(DK374:DP374)</f>
      </c>
      <c r="DK374" s="161"/>
      <c r="DL374" s="161"/>
      <c r="DM374" s="161"/>
      <c r="DN374" s="161"/>
      <c r="DO374" s="161"/>
      <c r="DP374" s="161"/>
      <c r="DQ374" s="161"/>
      <c r="DR374" s="161"/>
      <c r="DS374" s="161"/>
      <c r="DT374" s="161"/>
      <c r="DU374" s="161"/>
      <c r="DV374" s="161"/>
      <c r="DW374" s="161"/>
      <c r="DX374" s="161"/>
      <c r="DY374" s="161"/>
      <c r="DZ374" s="161"/>
      <c r="EA374" s="161"/>
      <c r="EB374" s="161"/>
      <c r="EC374" s="161"/>
      <c r="ED374" s="161"/>
      <c r="EE374" s="161"/>
      <c r="EF374" s="161">
        <f>SUM(EG374:EP374)</f>
      </c>
      <c r="EG374" s="161"/>
      <c r="EH374" s="161"/>
      <c r="EI374" s="161"/>
      <c r="EJ374" s="161"/>
      <c r="EK374" s="161"/>
      <c r="EL374" s="161"/>
      <c r="EM374" s="161"/>
      <c r="EN374" s="161"/>
      <c r="EO374" s="161"/>
      <c r="EP374" s="161"/>
      <c r="EQ374" s="161">
        <f>SUM(ER374:ES374)</f>
      </c>
      <c r="ER374" s="161"/>
      <c r="ES374" s="161"/>
      <c r="ET374" s="161"/>
      <c r="EU374" s="161"/>
      <c r="EV374" s="161"/>
      <c r="EW374" s="161"/>
      <c r="EX374" s="161"/>
      <c r="EY374" s="161"/>
      <c r="EZ374" s="161"/>
      <c r="FA374" s="161"/>
      <c r="FB374" s="161"/>
      <c r="FC374" s="161"/>
      <c r="FD374" s="161"/>
      <c r="FE374" s="161"/>
      <c r="FF374" s="161"/>
      <c r="FG374" s="161"/>
      <c r="FH374" s="166" cm="1">
        <f t="array" ref="FH374">ROW()-ROW(Ongoing[#Headers])</f>
        <v>368</v>
      </c>
      <c r="FI374" s="167"/>
      <c r="FJ374" s="167"/>
      <c r="FK374" s="167"/>
      <c r="FL374" s="167"/>
      <c r="FM374" s="167"/>
      <c r="FN374" s="167"/>
      <c r="FO374" s="167"/>
      <c r="FP374" s="167"/>
    </row>
    <row r="375" spans="2:172" s="115" customFormat="1" ht="11.25" x14ac:dyDescent="0.2">
      <c r="B375" s="148"/>
      <c r="C375" s="148"/>
      <c r="D375" s="148"/>
      <c r="E375" s="148"/>
      <c r="F375" s="148"/>
      <c r="G375" s="148"/>
      <c r="H375" s="148"/>
      <c r="I375" s="148"/>
      <c r="J375" s="148"/>
      <c r="K375" s="148"/>
      <c r="L375" s="148"/>
      <c r="M375" s="160"/>
      <c r="N375" s="160"/>
      <c r="O375" s="148"/>
      <c r="P375" s="161">
        <f>SUM(Q375:AP375)</f>
      </c>
      <c r="Q375" s="161"/>
      <c r="R375" s="161"/>
      <c r="S375" s="161"/>
      <c r="T375" s="161"/>
      <c r="U375" s="161"/>
      <c r="V375" s="161"/>
      <c r="W375" s="161"/>
      <c r="X375" s="161"/>
      <c r="Y375" s="161"/>
      <c r="Z375" s="161"/>
      <c r="AA375" s="161"/>
      <c r="AB375" s="161"/>
      <c r="AC375" s="161"/>
      <c r="AD375" s="161"/>
      <c r="AE375" s="161"/>
      <c r="AF375" s="161"/>
      <c r="AG375" s="161"/>
      <c r="AH375" s="161"/>
      <c r="AI375" s="161"/>
      <c r="AJ375" s="161"/>
      <c r="AK375" s="161"/>
      <c r="AL375" s="161"/>
      <c r="AM375" s="161"/>
      <c r="AN375" s="161"/>
      <c r="AO375" s="161"/>
      <c r="AP375" s="161"/>
      <c r="AQ375" s="161">
        <f>SUM(AR375:AU375)</f>
      </c>
      <c r="AR375" s="161"/>
      <c r="AS375" s="161"/>
      <c r="AT375" s="161"/>
      <c r="AU375" s="161"/>
      <c r="AV375" s="161">
        <f>SUM(AW375:BH375)</f>
      </c>
      <c r="AW375" s="161"/>
      <c r="AX375" s="161"/>
      <c r="AY375" s="161"/>
      <c r="AZ375" s="161"/>
      <c r="BA375" s="161"/>
      <c r="BB375" s="161"/>
      <c r="BC375" s="161"/>
      <c r="BD375" s="161"/>
      <c r="BE375" s="161"/>
      <c r="BF375" s="161"/>
      <c r="BG375" s="161"/>
      <c r="BH375" s="161"/>
      <c r="BI375" s="161"/>
      <c r="BJ375" s="161"/>
      <c r="BK375" s="161"/>
      <c r="BL375" s="161"/>
      <c r="BM375" s="161"/>
      <c r="BN375" s="161"/>
      <c r="BO375" s="161"/>
      <c r="BP375" s="161"/>
      <c r="BQ375" s="161"/>
      <c r="BR375" s="161"/>
      <c r="BS375" s="161">
        <f>SUM(BT375:BV375)</f>
      </c>
      <c r="BT375" s="161"/>
      <c r="BU375" s="161"/>
      <c r="BV375" s="161"/>
      <c r="BW375" s="161">
        <f>SUM(BX375:CC375)</f>
      </c>
      <c r="BX375" s="161"/>
      <c r="BY375" s="161"/>
      <c r="BZ375" s="161"/>
      <c r="CA375" s="161"/>
      <c r="CB375" s="161"/>
      <c r="CC375" s="161"/>
      <c r="CD375" s="161"/>
      <c r="CE375" s="161"/>
      <c r="CF375" s="161"/>
      <c r="CG375" s="161"/>
      <c r="CH375" s="161"/>
      <c r="CI375" s="161"/>
      <c r="CJ375" s="161">
        <f>SUM(CK375:CM375)</f>
      </c>
      <c r="CK375" s="161"/>
      <c r="CL375" s="161"/>
      <c r="CM375" s="161"/>
      <c r="CN375" s="161">
        <f>SUM(CO375:CS375)</f>
      </c>
      <c r="CO375" s="161"/>
      <c r="CP375" s="161"/>
      <c r="CQ375" s="161"/>
      <c r="CR375" s="161"/>
      <c r="CS375" s="161"/>
      <c r="CT375" s="161"/>
      <c r="CU375" s="161"/>
      <c r="CV375" s="161"/>
      <c r="CW375" s="161"/>
      <c r="CX375" s="161"/>
      <c r="CY375" s="161"/>
      <c r="CZ375" s="161"/>
      <c r="DA375" s="161"/>
      <c r="DB375" s="161"/>
      <c r="DC375" s="161"/>
      <c r="DD375" s="161"/>
      <c r="DE375" s="161"/>
      <c r="DF375" s="161">
        <f>SUM(DG375:DG375)</f>
      </c>
      <c r="DG375" s="161"/>
      <c r="DH375" s="161"/>
      <c r="DI375" s="161"/>
      <c r="DJ375" s="161">
        <f>SUM(DK375:DP375)</f>
      </c>
      <c r="DK375" s="161"/>
      <c r="DL375" s="161"/>
      <c r="DM375" s="161"/>
      <c r="DN375" s="161"/>
      <c r="DO375" s="161"/>
      <c r="DP375" s="161"/>
      <c r="DQ375" s="161"/>
      <c r="DR375" s="161"/>
      <c r="DS375" s="161"/>
      <c r="DT375" s="161"/>
      <c r="DU375" s="161"/>
      <c r="DV375" s="161"/>
      <c r="DW375" s="161"/>
      <c r="DX375" s="161"/>
      <c r="DY375" s="161"/>
      <c r="DZ375" s="161"/>
      <c r="EA375" s="161"/>
      <c r="EB375" s="161"/>
      <c r="EC375" s="161"/>
      <c r="ED375" s="161"/>
      <c r="EE375" s="161"/>
      <c r="EF375" s="161">
        <f>SUM(EG375:EP375)</f>
      </c>
      <c r="EG375" s="161"/>
      <c r="EH375" s="161"/>
      <c r="EI375" s="161"/>
      <c r="EJ375" s="161"/>
      <c r="EK375" s="161"/>
      <c r="EL375" s="161"/>
      <c r="EM375" s="161"/>
      <c r="EN375" s="161"/>
      <c r="EO375" s="161"/>
      <c r="EP375" s="161"/>
      <c r="EQ375" s="161">
        <f>SUM(ER375:ES375)</f>
      </c>
      <c r="ER375" s="161"/>
      <c r="ES375" s="161"/>
      <c r="ET375" s="161"/>
      <c r="EU375" s="161"/>
      <c r="EV375" s="161"/>
      <c r="EW375" s="161"/>
      <c r="EX375" s="161"/>
      <c r="EY375" s="161"/>
      <c r="EZ375" s="161"/>
      <c r="FA375" s="161"/>
      <c r="FB375" s="161"/>
      <c r="FC375" s="161"/>
      <c r="FD375" s="161"/>
      <c r="FE375" s="161"/>
      <c r="FF375" s="161"/>
      <c r="FG375" s="161"/>
      <c r="FH375" s="166" cm="1">
        <f t="array" ref="FH375">ROW()-ROW(Ongoing[#Headers])</f>
        <v>369</v>
      </c>
      <c r="FI375" s="167"/>
      <c r="FJ375" s="167"/>
      <c r="FK375" s="167"/>
      <c r="FL375" s="167"/>
      <c r="FM375" s="167"/>
      <c r="FN375" s="167"/>
      <c r="FO375" s="167"/>
      <c r="FP375" s="167"/>
    </row>
    <row r="376" spans="2:172" s="115" customFormat="1" ht="11.25" x14ac:dyDescent="0.2">
      <c r="B376" s="148"/>
      <c r="C376" s="148"/>
      <c r="D376" s="148"/>
      <c r="E376" s="148"/>
      <c r="F376" s="148"/>
      <c r="G376" s="148"/>
      <c r="H376" s="148"/>
      <c r="I376" s="148"/>
      <c r="J376" s="148"/>
      <c r="K376" s="148"/>
      <c r="L376" s="148"/>
      <c r="M376" s="160"/>
      <c r="N376" s="160"/>
      <c r="O376" s="148"/>
      <c r="P376" s="161">
        <f>SUM(Q376:AP376)</f>
      </c>
      <c r="Q376" s="161"/>
      <c r="R376" s="161"/>
      <c r="S376" s="161"/>
      <c r="T376" s="161"/>
      <c r="U376" s="161"/>
      <c r="V376" s="161"/>
      <c r="W376" s="161"/>
      <c r="X376" s="161"/>
      <c r="Y376" s="161"/>
      <c r="Z376" s="161"/>
      <c r="AA376" s="161"/>
      <c r="AB376" s="161"/>
      <c r="AC376" s="161"/>
      <c r="AD376" s="161"/>
      <c r="AE376" s="161"/>
      <c r="AF376" s="161"/>
      <c r="AG376" s="161"/>
      <c r="AH376" s="161"/>
      <c r="AI376" s="161"/>
      <c r="AJ376" s="161"/>
      <c r="AK376" s="161"/>
      <c r="AL376" s="161"/>
      <c r="AM376" s="161"/>
      <c r="AN376" s="161"/>
      <c r="AO376" s="161"/>
      <c r="AP376" s="161"/>
      <c r="AQ376" s="161">
        <f>SUM(AR376:AU376)</f>
      </c>
      <c r="AR376" s="161"/>
      <c r="AS376" s="161"/>
      <c r="AT376" s="161"/>
      <c r="AU376" s="161"/>
      <c r="AV376" s="161">
        <f>SUM(AW376:BH376)</f>
      </c>
      <c r="AW376" s="161"/>
      <c r="AX376" s="161"/>
      <c r="AY376" s="161"/>
      <c r="AZ376" s="161"/>
      <c r="BA376" s="161"/>
      <c r="BB376" s="161"/>
      <c r="BC376" s="161"/>
      <c r="BD376" s="161"/>
      <c r="BE376" s="161"/>
      <c r="BF376" s="161"/>
      <c r="BG376" s="161"/>
      <c r="BH376" s="161"/>
      <c r="BI376" s="161"/>
      <c r="BJ376" s="161"/>
      <c r="BK376" s="161"/>
      <c r="BL376" s="161"/>
      <c r="BM376" s="161"/>
      <c r="BN376" s="161"/>
      <c r="BO376" s="161"/>
      <c r="BP376" s="161"/>
      <c r="BQ376" s="161"/>
      <c r="BR376" s="161"/>
      <c r="BS376" s="161">
        <f>SUM(BT376:BV376)</f>
      </c>
      <c r="BT376" s="161"/>
      <c r="BU376" s="161"/>
      <c r="BV376" s="161"/>
      <c r="BW376" s="161">
        <f>SUM(BX376:CC376)</f>
      </c>
      <c r="BX376" s="161"/>
      <c r="BY376" s="161"/>
      <c r="BZ376" s="161"/>
      <c r="CA376" s="161"/>
      <c r="CB376" s="161"/>
      <c r="CC376" s="161"/>
      <c r="CD376" s="161"/>
      <c r="CE376" s="161"/>
      <c r="CF376" s="161"/>
      <c r="CG376" s="161"/>
      <c r="CH376" s="161"/>
      <c r="CI376" s="161"/>
      <c r="CJ376" s="161">
        <f>SUM(CK376:CM376)</f>
      </c>
      <c r="CK376" s="161"/>
      <c r="CL376" s="161"/>
      <c r="CM376" s="161"/>
      <c r="CN376" s="161">
        <f>SUM(CO376:CS376)</f>
      </c>
      <c r="CO376" s="161"/>
      <c r="CP376" s="161"/>
      <c r="CQ376" s="161"/>
      <c r="CR376" s="161"/>
      <c r="CS376" s="161"/>
      <c r="CT376" s="161"/>
      <c r="CU376" s="161"/>
      <c r="CV376" s="161"/>
      <c r="CW376" s="161"/>
      <c r="CX376" s="161"/>
      <c r="CY376" s="161"/>
      <c r="CZ376" s="161"/>
      <c r="DA376" s="161"/>
      <c r="DB376" s="161"/>
      <c r="DC376" s="161"/>
      <c r="DD376" s="161"/>
      <c r="DE376" s="161"/>
      <c r="DF376" s="161">
        <f>SUM(DG376:DG376)</f>
      </c>
      <c r="DG376" s="161"/>
      <c r="DH376" s="161"/>
      <c r="DI376" s="161"/>
      <c r="DJ376" s="161">
        <f>SUM(DK376:DP376)</f>
      </c>
      <c r="DK376" s="161"/>
      <c r="DL376" s="161"/>
      <c r="DM376" s="161"/>
      <c r="DN376" s="161"/>
      <c r="DO376" s="161"/>
      <c r="DP376" s="161"/>
      <c r="DQ376" s="161"/>
      <c r="DR376" s="161"/>
      <c r="DS376" s="161"/>
      <c r="DT376" s="161"/>
      <c r="DU376" s="161"/>
      <c r="DV376" s="161"/>
      <c r="DW376" s="161"/>
      <c r="DX376" s="161"/>
      <c r="DY376" s="161"/>
      <c r="DZ376" s="161"/>
      <c r="EA376" s="161"/>
      <c r="EB376" s="161"/>
      <c r="EC376" s="161"/>
      <c r="ED376" s="161"/>
      <c r="EE376" s="161"/>
      <c r="EF376" s="161">
        <f>SUM(EG376:EP376)</f>
      </c>
      <c r="EG376" s="161"/>
      <c r="EH376" s="161"/>
      <c r="EI376" s="161"/>
      <c r="EJ376" s="161"/>
      <c r="EK376" s="161"/>
      <c r="EL376" s="161"/>
      <c r="EM376" s="161"/>
      <c r="EN376" s="161"/>
      <c r="EO376" s="161"/>
      <c r="EP376" s="161"/>
      <c r="EQ376" s="161">
        <f>SUM(ER376:ES376)</f>
      </c>
      <c r="ER376" s="161"/>
      <c r="ES376" s="161"/>
      <c r="ET376" s="161"/>
      <c r="EU376" s="161"/>
      <c r="EV376" s="161"/>
      <c r="EW376" s="161"/>
      <c r="EX376" s="161"/>
      <c r="EY376" s="161"/>
      <c r="EZ376" s="161"/>
      <c r="FA376" s="161"/>
      <c r="FB376" s="161"/>
      <c r="FC376" s="161"/>
      <c r="FD376" s="161"/>
      <c r="FE376" s="161"/>
      <c r="FF376" s="161"/>
      <c r="FG376" s="161"/>
      <c r="FH376" s="166" cm="1">
        <f t="array" ref="FH376">ROW()-ROW(Ongoing[#Headers])</f>
        <v>370</v>
      </c>
      <c r="FI376" s="167"/>
      <c r="FJ376" s="167"/>
      <c r="FK376" s="167"/>
      <c r="FL376" s="167"/>
      <c r="FM376" s="167"/>
      <c r="FN376" s="167"/>
      <c r="FO376" s="167"/>
      <c r="FP376" s="167"/>
    </row>
    <row r="377" spans="2:172" s="115" customFormat="1" ht="11.25" x14ac:dyDescent="0.2">
      <c r="B377" s="148"/>
      <c r="C377" s="148"/>
      <c r="D377" s="148"/>
      <c r="E377" s="148"/>
      <c r="F377" s="148"/>
      <c r="G377" s="148"/>
      <c r="H377" s="148"/>
      <c r="I377" s="148"/>
      <c r="J377" s="148"/>
      <c r="K377" s="148"/>
      <c r="L377" s="148"/>
      <c r="M377" s="160"/>
      <c r="N377" s="160"/>
      <c r="O377" s="148"/>
      <c r="P377" s="161">
        <f>SUM(Q377:AP377)</f>
      </c>
      <c r="Q377" s="161"/>
      <c r="R377" s="161"/>
      <c r="S377" s="161"/>
      <c r="T377" s="161"/>
      <c r="U377" s="161"/>
      <c r="V377" s="161"/>
      <c r="W377" s="161"/>
      <c r="X377" s="161"/>
      <c r="Y377" s="161"/>
      <c r="Z377" s="161"/>
      <c r="AA377" s="161"/>
      <c r="AB377" s="161"/>
      <c r="AC377" s="161"/>
      <c r="AD377" s="161"/>
      <c r="AE377" s="161"/>
      <c r="AF377" s="161"/>
      <c r="AG377" s="161"/>
      <c r="AH377" s="161"/>
      <c r="AI377" s="161"/>
      <c r="AJ377" s="161"/>
      <c r="AK377" s="161"/>
      <c r="AL377" s="161"/>
      <c r="AM377" s="161"/>
      <c r="AN377" s="161"/>
      <c r="AO377" s="161"/>
      <c r="AP377" s="161"/>
      <c r="AQ377" s="161">
        <f>SUM(AR377:AU377)</f>
      </c>
      <c r="AR377" s="161"/>
      <c r="AS377" s="161"/>
      <c r="AT377" s="161"/>
      <c r="AU377" s="161"/>
      <c r="AV377" s="161">
        <f>SUM(AW377:BH377)</f>
      </c>
      <c r="AW377" s="161"/>
      <c r="AX377" s="161"/>
      <c r="AY377" s="161"/>
      <c r="AZ377" s="161"/>
      <c r="BA377" s="161"/>
      <c r="BB377" s="161"/>
      <c r="BC377" s="161"/>
      <c r="BD377" s="161"/>
      <c r="BE377" s="161"/>
      <c r="BF377" s="161"/>
      <c r="BG377" s="161"/>
      <c r="BH377" s="161"/>
      <c r="BI377" s="161"/>
      <c r="BJ377" s="161"/>
      <c r="BK377" s="161"/>
      <c r="BL377" s="161"/>
      <c r="BM377" s="161"/>
      <c r="BN377" s="161"/>
      <c r="BO377" s="161"/>
      <c r="BP377" s="161"/>
      <c r="BQ377" s="161"/>
      <c r="BR377" s="161"/>
      <c r="BS377" s="161">
        <f>SUM(BT377:BV377)</f>
      </c>
      <c r="BT377" s="161"/>
      <c r="BU377" s="161"/>
      <c r="BV377" s="161"/>
      <c r="BW377" s="161">
        <f>SUM(BX377:CC377)</f>
      </c>
      <c r="BX377" s="161"/>
      <c r="BY377" s="161"/>
      <c r="BZ377" s="161"/>
      <c r="CA377" s="161"/>
      <c r="CB377" s="161"/>
      <c r="CC377" s="161"/>
      <c r="CD377" s="161"/>
      <c r="CE377" s="161"/>
      <c r="CF377" s="161"/>
      <c r="CG377" s="161"/>
      <c r="CH377" s="161"/>
      <c r="CI377" s="161"/>
      <c r="CJ377" s="161">
        <f>SUM(CK377:CM377)</f>
      </c>
      <c r="CK377" s="161"/>
      <c r="CL377" s="161"/>
      <c r="CM377" s="161"/>
      <c r="CN377" s="161">
        <f>SUM(CO377:CS377)</f>
      </c>
      <c r="CO377" s="161"/>
      <c r="CP377" s="161"/>
      <c r="CQ377" s="161"/>
      <c r="CR377" s="161"/>
      <c r="CS377" s="161"/>
      <c r="CT377" s="161"/>
      <c r="CU377" s="161"/>
      <c r="CV377" s="161"/>
      <c r="CW377" s="161"/>
      <c r="CX377" s="161"/>
      <c r="CY377" s="161"/>
      <c r="CZ377" s="161"/>
      <c r="DA377" s="161"/>
      <c r="DB377" s="161"/>
      <c r="DC377" s="161"/>
      <c r="DD377" s="161"/>
      <c r="DE377" s="161"/>
      <c r="DF377" s="161">
        <f>SUM(DG377:DG377)</f>
      </c>
      <c r="DG377" s="161"/>
      <c r="DH377" s="161"/>
      <c r="DI377" s="161"/>
      <c r="DJ377" s="161">
        <f>SUM(DK377:DP377)</f>
      </c>
      <c r="DK377" s="161"/>
      <c r="DL377" s="161"/>
      <c r="DM377" s="161"/>
      <c r="DN377" s="161"/>
      <c r="DO377" s="161"/>
      <c r="DP377" s="161"/>
      <c r="DQ377" s="161"/>
      <c r="DR377" s="161"/>
      <c r="DS377" s="161"/>
      <c r="DT377" s="161"/>
      <c r="DU377" s="161"/>
      <c r="DV377" s="161"/>
      <c r="DW377" s="161"/>
      <c r="DX377" s="161"/>
      <c r="DY377" s="161"/>
      <c r="DZ377" s="161"/>
      <c r="EA377" s="161"/>
      <c r="EB377" s="161"/>
      <c r="EC377" s="161"/>
      <c r="ED377" s="161"/>
      <c r="EE377" s="161"/>
      <c r="EF377" s="161">
        <f>SUM(EG377:EP377)</f>
      </c>
      <c r="EG377" s="161"/>
      <c r="EH377" s="161"/>
      <c r="EI377" s="161"/>
      <c r="EJ377" s="161"/>
      <c r="EK377" s="161"/>
      <c r="EL377" s="161"/>
      <c r="EM377" s="161"/>
      <c r="EN377" s="161"/>
      <c r="EO377" s="161"/>
      <c r="EP377" s="161"/>
      <c r="EQ377" s="161">
        <f>SUM(ER377:ES377)</f>
      </c>
      <c r="ER377" s="161"/>
      <c r="ES377" s="161"/>
      <c r="ET377" s="161"/>
      <c r="EU377" s="161"/>
      <c r="EV377" s="161"/>
      <c r="EW377" s="161"/>
      <c r="EX377" s="161"/>
      <c r="EY377" s="161"/>
      <c r="EZ377" s="161"/>
      <c r="FA377" s="161"/>
      <c r="FB377" s="161"/>
      <c r="FC377" s="161"/>
      <c r="FD377" s="161"/>
      <c r="FE377" s="161"/>
      <c r="FF377" s="161"/>
      <c r="FG377" s="161"/>
      <c r="FH377" s="166" cm="1">
        <f t="array" ref="FH377">ROW()-ROW(Ongoing[#Headers])</f>
        <v>371</v>
      </c>
      <c r="FI377" s="167"/>
      <c r="FJ377" s="167"/>
      <c r="FK377" s="167"/>
      <c r="FL377" s="167"/>
      <c r="FM377" s="167"/>
      <c r="FN377" s="167"/>
      <c r="FO377" s="167"/>
      <c r="FP377" s="167"/>
    </row>
    <row r="378" spans="2:172" s="115" customFormat="1" ht="11.25" x14ac:dyDescent="0.2">
      <c r="B378" s="148"/>
      <c r="C378" s="148"/>
      <c r="D378" s="148"/>
      <c r="E378" s="148"/>
      <c r="F378" s="148"/>
      <c r="G378" s="148"/>
      <c r="H378" s="148"/>
      <c r="I378" s="148"/>
      <c r="J378" s="148"/>
      <c r="K378" s="148"/>
      <c r="L378" s="148"/>
      <c r="M378" s="160"/>
      <c r="N378" s="160"/>
      <c r="O378" s="148"/>
      <c r="P378" s="161">
        <f>SUM(Q378:AP378)</f>
      </c>
      <c r="Q378" s="161"/>
      <c r="R378" s="161"/>
      <c r="S378" s="161"/>
      <c r="T378" s="161"/>
      <c r="U378" s="161"/>
      <c r="V378" s="161"/>
      <c r="W378" s="161"/>
      <c r="X378" s="161"/>
      <c r="Y378" s="161"/>
      <c r="Z378" s="161"/>
      <c r="AA378" s="161"/>
      <c r="AB378" s="161"/>
      <c r="AC378" s="161"/>
      <c r="AD378" s="161"/>
      <c r="AE378" s="161"/>
      <c r="AF378" s="161"/>
      <c r="AG378" s="161"/>
      <c r="AH378" s="161"/>
      <c r="AI378" s="161"/>
      <c r="AJ378" s="161"/>
      <c r="AK378" s="161"/>
      <c r="AL378" s="161"/>
      <c r="AM378" s="161"/>
      <c r="AN378" s="161"/>
      <c r="AO378" s="161"/>
      <c r="AP378" s="161"/>
      <c r="AQ378" s="161">
        <f>SUM(AR378:AU378)</f>
      </c>
      <c r="AR378" s="161"/>
      <c r="AS378" s="161"/>
      <c r="AT378" s="161"/>
      <c r="AU378" s="161"/>
      <c r="AV378" s="161">
        <f>SUM(AW378:BH378)</f>
      </c>
      <c r="AW378" s="161"/>
      <c r="AX378" s="161"/>
      <c r="AY378" s="161"/>
      <c r="AZ378" s="161"/>
      <c r="BA378" s="161"/>
      <c r="BB378" s="161"/>
      <c r="BC378" s="161"/>
      <c r="BD378" s="161"/>
      <c r="BE378" s="161"/>
      <c r="BF378" s="161"/>
      <c r="BG378" s="161"/>
      <c r="BH378" s="161"/>
      <c r="BI378" s="161"/>
      <c r="BJ378" s="161"/>
      <c r="BK378" s="161"/>
      <c r="BL378" s="161"/>
      <c r="BM378" s="161"/>
      <c r="BN378" s="161"/>
      <c r="BO378" s="161"/>
      <c r="BP378" s="161"/>
      <c r="BQ378" s="161"/>
      <c r="BR378" s="161"/>
      <c r="BS378" s="161">
        <f>SUM(BT378:BV378)</f>
      </c>
      <c r="BT378" s="161"/>
      <c r="BU378" s="161"/>
      <c r="BV378" s="161"/>
      <c r="BW378" s="161">
        <f>SUM(BX378:CC378)</f>
      </c>
      <c r="BX378" s="161"/>
      <c r="BY378" s="161"/>
      <c r="BZ378" s="161"/>
      <c r="CA378" s="161"/>
      <c r="CB378" s="161"/>
      <c r="CC378" s="161"/>
      <c r="CD378" s="161"/>
      <c r="CE378" s="161"/>
      <c r="CF378" s="161"/>
      <c r="CG378" s="161"/>
      <c r="CH378" s="161"/>
      <c r="CI378" s="161"/>
      <c r="CJ378" s="161">
        <f>SUM(CK378:CM378)</f>
      </c>
      <c r="CK378" s="161"/>
      <c r="CL378" s="161"/>
      <c r="CM378" s="161"/>
      <c r="CN378" s="161">
        <f>SUM(CO378:CS378)</f>
      </c>
      <c r="CO378" s="161"/>
      <c r="CP378" s="161"/>
      <c r="CQ378" s="161"/>
      <c r="CR378" s="161"/>
      <c r="CS378" s="161"/>
      <c r="CT378" s="161"/>
      <c r="CU378" s="161"/>
      <c r="CV378" s="161"/>
      <c r="CW378" s="161"/>
      <c r="CX378" s="161"/>
      <c r="CY378" s="161"/>
      <c r="CZ378" s="161"/>
      <c r="DA378" s="161"/>
      <c r="DB378" s="161"/>
      <c r="DC378" s="161"/>
      <c r="DD378" s="161"/>
      <c r="DE378" s="161"/>
      <c r="DF378" s="161">
        <f>SUM(DG378:DG378)</f>
      </c>
      <c r="DG378" s="161"/>
      <c r="DH378" s="161"/>
      <c r="DI378" s="161"/>
      <c r="DJ378" s="161">
        <f>SUM(DK378:DP378)</f>
      </c>
      <c r="DK378" s="161"/>
      <c r="DL378" s="161"/>
      <c r="DM378" s="161"/>
      <c r="DN378" s="161"/>
      <c r="DO378" s="161"/>
      <c r="DP378" s="161"/>
      <c r="DQ378" s="161"/>
      <c r="DR378" s="161"/>
      <c r="DS378" s="161"/>
      <c r="DT378" s="161"/>
      <c r="DU378" s="161"/>
      <c r="DV378" s="161"/>
      <c r="DW378" s="161"/>
      <c r="DX378" s="161"/>
      <c r="DY378" s="161"/>
      <c r="DZ378" s="161"/>
      <c r="EA378" s="161"/>
      <c r="EB378" s="161"/>
      <c r="EC378" s="161"/>
      <c r="ED378" s="161"/>
      <c r="EE378" s="161"/>
      <c r="EF378" s="161">
        <f>SUM(EG378:EP378)</f>
      </c>
      <c r="EG378" s="161"/>
      <c r="EH378" s="161"/>
      <c r="EI378" s="161"/>
      <c r="EJ378" s="161"/>
      <c r="EK378" s="161"/>
      <c r="EL378" s="161"/>
      <c r="EM378" s="161"/>
      <c r="EN378" s="161"/>
      <c r="EO378" s="161"/>
      <c r="EP378" s="161"/>
      <c r="EQ378" s="161">
        <f>SUM(ER378:ES378)</f>
      </c>
      <c r="ER378" s="161"/>
      <c r="ES378" s="161"/>
      <c r="ET378" s="161"/>
      <c r="EU378" s="161"/>
      <c r="EV378" s="161"/>
      <c r="EW378" s="161"/>
      <c r="EX378" s="161"/>
      <c r="EY378" s="161"/>
      <c r="EZ378" s="161"/>
      <c r="FA378" s="161"/>
      <c r="FB378" s="161"/>
      <c r="FC378" s="161"/>
      <c r="FD378" s="161"/>
      <c r="FE378" s="161"/>
      <c r="FF378" s="161"/>
      <c r="FG378" s="161"/>
      <c r="FH378" s="166" cm="1">
        <f t="array" ref="FH378">ROW()-ROW(Ongoing[#Headers])</f>
        <v>372</v>
      </c>
      <c r="FI378" s="167"/>
      <c r="FJ378" s="167"/>
      <c r="FK378" s="167"/>
      <c r="FL378" s="167"/>
      <c r="FM378" s="167"/>
      <c r="FN378" s="167"/>
      <c r="FO378" s="167"/>
      <c r="FP378" s="167"/>
    </row>
    <row r="379" spans="2:172" s="115" customFormat="1" ht="11.25" x14ac:dyDescent="0.2">
      <c r="B379" s="148"/>
      <c r="C379" s="148"/>
      <c r="D379" s="148"/>
      <c r="E379" s="148"/>
      <c r="F379" s="148"/>
      <c r="G379" s="148"/>
      <c r="H379" s="148"/>
      <c r="I379" s="148"/>
      <c r="J379" s="148"/>
      <c r="K379" s="148"/>
      <c r="L379" s="148"/>
      <c r="M379" s="160"/>
      <c r="N379" s="160"/>
      <c r="O379" s="148"/>
      <c r="P379" s="161">
        <f>SUM(Q379:AP379)</f>
      </c>
      <c r="Q379" s="161"/>
      <c r="R379" s="161"/>
      <c r="S379" s="161"/>
      <c r="T379" s="161"/>
      <c r="U379" s="161"/>
      <c r="V379" s="161"/>
      <c r="W379" s="161"/>
      <c r="X379" s="161"/>
      <c r="Y379" s="161"/>
      <c r="Z379" s="161"/>
      <c r="AA379" s="161"/>
      <c r="AB379" s="161"/>
      <c r="AC379" s="161"/>
      <c r="AD379" s="161"/>
      <c r="AE379" s="161"/>
      <c r="AF379" s="161"/>
      <c r="AG379" s="161"/>
      <c r="AH379" s="161"/>
      <c r="AI379" s="161"/>
      <c r="AJ379" s="161"/>
      <c r="AK379" s="161"/>
      <c r="AL379" s="161"/>
      <c r="AM379" s="161"/>
      <c r="AN379" s="161"/>
      <c r="AO379" s="161"/>
      <c r="AP379" s="161"/>
      <c r="AQ379" s="161">
        <f>SUM(AR379:AU379)</f>
      </c>
      <c r="AR379" s="161"/>
      <c r="AS379" s="161"/>
      <c r="AT379" s="161"/>
      <c r="AU379" s="161"/>
      <c r="AV379" s="161">
        <f>SUM(AW379:BH379)</f>
      </c>
      <c r="AW379" s="161"/>
      <c r="AX379" s="161"/>
      <c r="AY379" s="161"/>
      <c r="AZ379" s="161"/>
      <c r="BA379" s="161"/>
      <c r="BB379" s="161"/>
      <c r="BC379" s="161"/>
      <c r="BD379" s="161"/>
      <c r="BE379" s="161"/>
      <c r="BF379" s="161"/>
      <c r="BG379" s="161"/>
      <c r="BH379" s="161"/>
      <c r="BI379" s="161"/>
      <c r="BJ379" s="161"/>
      <c r="BK379" s="161"/>
      <c r="BL379" s="161"/>
      <c r="BM379" s="161"/>
      <c r="BN379" s="161"/>
      <c r="BO379" s="161"/>
      <c r="BP379" s="161"/>
      <c r="BQ379" s="161"/>
      <c r="BR379" s="161"/>
      <c r="BS379" s="161">
        <f>SUM(BT379:BV379)</f>
      </c>
      <c r="BT379" s="161"/>
      <c r="BU379" s="161"/>
      <c r="BV379" s="161"/>
      <c r="BW379" s="161">
        <f>SUM(BX379:CC379)</f>
      </c>
      <c r="BX379" s="161"/>
      <c r="BY379" s="161"/>
      <c r="BZ379" s="161"/>
      <c r="CA379" s="161"/>
      <c r="CB379" s="161"/>
      <c r="CC379" s="161"/>
      <c r="CD379" s="161"/>
      <c r="CE379" s="161"/>
      <c r="CF379" s="161"/>
      <c r="CG379" s="161"/>
      <c r="CH379" s="161"/>
      <c r="CI379" s="161"/>
      <c r="CJ379" s="161">
        <f>SUM(CK379:CM379)</f>
      </c>
      <c r="CK379" s="161"/>
      <c r="CL379" s="161"/>
      <c r="CM379" s="161"/>
      <c r="CN379" s="161">
        <f>SUM(CO379:CS379)</f>
      </c>
      <c r="CO379" s="161"/>
      <c r="CP379" s="161"/>
      <c r="CQ379" s="161"/>
      <c r="CR379" s="161"/>
      <c r="CS379" s="161"/>
      <c r="CT379" s="161"/>
      <c r="CU379" s="161"/>
      <c r="CV379" s="161"/>
      <c r="CW379" s="161"/>
      <c r="CX379" s="161"/>
      <c r="CY379" s="161"/>
      <c r="CZ379" s="161"/>
      <c r="DA379" s="161"/>
      <c r="DB379" s="161"/>
      <c r="DC379" s="161"/>
      <c r="DD379" s="161"/>
      <c r="DE379" s="161"/>
      <c r="DF379" s="161">
        <f>SUM(DG379:DG379)</f>
      </c>
      <c r="DG379" s="161"/>
      <c r="DH379" s="161"/>
      <c r="DI379" s="161"/>
      <c r="DJ379" s="161">
        <f>SUM(DK379:DP379)</f>
      </c>
      <c r="DK379" s="161"/>
      <c r="DL379" s="161"/>
      <c r="DM379" s="161"/>
      <c r="DN379" s="161"/>
      <c r="DO379" s="161"/>
      <c r="DP379" s="161"/>
      <c r="DQ379" s="161"/>
      <c r="DR379" s="161"/>
      <c r="DS379" s="161"/>
      <c r="DT379" s="161"/>
      <c r="DU379" s="161"/>
      <c r="DV379" s="161"/>
      <c r="DW379" s="161"/>
      <c r="DX379" s="161"/>
      <c r="DY379" s="161"/>
      <c r="DZ379" s="161"/>
      <c r="EA379" s="161"/>
      <c r="EB379" s="161"/>
      <c r="EC379" s="161"/>
      <c r="ED379" s="161"/>
      <c r="EE379" s="161"/>
      <c r="EF379" s="161">
        <f>SUM(EG379:EP379)</f>
      </c>
      <c r="EG379" s="161"/>
      <c r="EH379" s="161"/>
      <c r="EI379" s="161"/>
      <c r="EJ379" s="161"/>
      <c r="EK379" s="161"/>
      <c r="EL379" s="161"/>
      <c r="EM379" s="161"/>
      <c r="EN379" s="161"/>
      <c r="EO379" s="161"/>
      <c r="EP379" s="161"/>
      <c r="EQ379" s="161">
        <f>SUM(ER379:ES379)</f>
      </c>
      <c r="ER379" s="161"/>
      <c r="ES379" s="161"/>
      <c r="ET379" s="161"/>
      <c r="EU379" s="161"/>
      <c r="EV379" s="161"/>
      <c r="EW379" s="161"/>
      <c r="EX379" s="161"/>
      <c r="EY379" s="161"/>
      <c r="EZ379" s="161"/>
      <c r="FA379" s="161"/>
      <c r="FB379" s="161"/>
      <c r="FC379" s="161"/>
      <c r="FD379" s="161"/>
      <c r="FE379" s="161"/>
      <c r="FF379" s="161"/>
      <c r="FG379" s="161"/>
      <c r="FH379" s="166" cm="1">
        <f t="array" ref="FH379">ROW()-ROW(Ongoing[#Headers])</f>
        <v>373</v>
      </c>
      <c r="FI379" s="167"/>
      <c r="FJ379" s="167"/>
      <c r="FK379" s="167"/>
      <c r="FL379" s="167"/>
      <c r="FM379" s="167"/>
      <c r="FN379" s="167"/>
      <c r="FO379" s="167"/>
      <c r="FP379" s="167"/>
    </row>
    <row r="380" spans="2:172" s="115" customFormat="1" ht="11.25" x14ac:dyDescent="0.2">
      <c r="B380" s="148"/>
      <c r="C380" s="148"/>
      <c r="D380" s="148"/>
      <c r="E380" s="148"/>
      <c r="F380" s="148"/>
      <c r="G380" s="148"/>
      <c r="H380" s="148"/>
      <c r="I380" s="148"/>
      <c r="J380" s="148"/>
      <c r="K380" s="148"/>
      <c r="L380" s="148"/>
      <c r="M380" s="160"/>
      <c r="N380" s="160"/>
      <c r="O380" s="148"/>
      <c r="P380" s="161">
        <f>SUM(Q380:AP380)</f>
      </c>
      <c r="Q380" s="161"/>
      <c r="R380" s="161"/>
      <c r="S380" s="161"/>
      <c r="T380" s="161"/>
      <c r="U380" s="161"/>
      <c r="V380" s="161"/>
      <c r="W380" s="161"/>
      <c r="X380" s="161"/>
      <c r="Y380" s="161"/>
      <c r="Z380" s="161"/>
      <c r="AA380" s="161"/>
      <c r="AB380" s="161"/>
      <c r="AC380" s="161"/>
      <c r="AD380" s="161"/>
      <c r="AE380" s="161"/>
      <c r="AF380" s="161"/>
      <c r="AG380" s="161"/>
      <c r="AH380" s="161"/>
      <c r="AI380" s="161"/>
      <c r="AJ380" s="161"/>
      <c r="AK380" s="161"/>
      <c r="AL380" s="161"/>
      <c r="AM380" s="161"/>
      <c r="AN380" s="161"/>
      <c r="AO380" s="161"/>
      <c r="AP380" s="161"/>
      <c r="AQ380" s="161">
        <f>SUM(AR380:AU380)</f>
      </c>
      <c r="AR380" s="161"/>
      <c r="AS380" s="161"/>
      <c r="AT380" s="161"/>
      <c r="AU380" s="161"/>
      <c r="AV380" s="161">
        <f>SUM(AW380:BH380)</f>
      </c>
      <c r="AW380" s="161"/>
      <c r="AX380" s="161"/>
      <c r="AY380" s="161"/>
      <c r="AZ380" s="161"/>
      <c r="BA380" s="161"/>
      <c r="BB380" s="161"/>
      <c r="BC380" s="161"/>
      <c r="BD380" s="161"/>
      <c r="BE380" s="161"/>
      <c r="BF380" s="161"/>
      <c r="BG380" s="161"/>
      <c r="BH380" s="161"/>
      <c r="BI380" s="161"/>
      <c r="BJ380" s="161"/>
      <c r="BK380" s="161"/>
      <c r="BL380" s="161"/>
      <c r="BM380" s="161"/>
      <c r="BN380" s="161"/>
      <c r="BO380" s="161"/>
      <c r="BP380" s="161"/>
      <c r="BQ380" s="161"/>
      <c r="BR380" s="161"/>
      <c r="BS380" s="161">
        <f>SUM(BT380:BV380)</f>
      </c>
      <c r="BT380" s="161"/>
      <c r="BU380" s="161"/>
      <c r="BV380" s="161"/>
      <c r="BW380" s="161">
        <f>SUM(BX380:CC380)</f>
      </c>
      <c r="BX380" s="161"/>
      <c r="BY380" s="161"/>
      <c r="BZ380" s="161"/>
      <c r="CA380" s="161"/>
      <c r="CB380" s="161"/>
      <c r="CC380" s="161"/>
      <c r="CD380" s="161"/>
      <c r="CE380" s="161"/>
      <c r="CF380" s="161"/>
      <c r="CG380" s="161"/>
      <c r="CH380" s="161"/>
      <c r="CI380" s="161"/>
      <c r="CJ380" s="161">
        <f>SUM(CK380:CM380)</f>
      </c>
      <c r="CK380" s="161"/>
      <c r="CL380" s="161"/>
      <c r="CM380" s="161"/>
      <c r="CN380" s="161">
        <f>SUM(CO380:CS380)</f>
      </c>
      <c r="CO380" s="161"/>
      <c r="CP380" s="161"/>
      <c r="CQ380" s="161"/>
      <c r="CR380" s="161"/>
      <c r="CS380" s="161"/>
      <c r="CT380" s="161"/>
      <c r="CU380" s="161"/>
      <c r="CV380" s="161"/>
      <c r="CW380" s="161"/>
      <c r="CX380" s="161"/>
      <c r="CY380" s="161"/>
      <c r="CZ380" s="161"/>
      <c r="DA380" s="161"/>
      <c r="DB380" s="161"/>
      <c r="DC380" s="161"/>
      <c r="DD380" s="161"/>
      <c r="DE380" s="161"/>
      <c r="DF380" s="161">
        <f>SUM(DG380:DG380)</f>
      </c>
      <c r="DG380" s="161"/>
      <c r="DH380" s="161"/>
      <c r="DI380" s="161"/>
      <c r="DJ380" s="161">
        <f>SUM(DK380:DP380)</f>
      </c>
      <c r="DK380" s="161"/>
      <c r="DL380" s="161"/>
      <c r="DM380" s="161"/>
      <c r="DN380" s="161"/>
      <c r="DO380" s="161"/>
      <c r="DP380" s="161"/>
      <c r="DQ380" s="161"/>
      <c r="DR380" s="161"/>
      <c r="DS380" s="161"/>
      <c r="DT380" s="161"/>
      <c r="DU380" s="161"/>
      <c r="DV380" s="161"/>
      <c r="DW380" s="161"/>
      <c r="DX380" s="161"/>
      <c r="DY380" s="161"/>
      <c r="DZ380" s="161"/>
      <c r="EA380" s="161"/>
      <c r="EB380" s="161"/>
      <c r="EC380" s="161"/>
      <c r="ED380" s="161"/>
      <c r="EE380" s="161"/>
      <c r="EF380" s="161">
        <f>SUM(EG380:EP380)</f>
      </c>
      <c r="EG380" s="161"/>
      <c r="EH380" s="161"/>
      <c r="EI380" s="161"/>
      <c r="EJ380" s="161"/>
      <c r="EK380" s="161"/>
      <c r="EL380" s="161"/>
      <c r="EM380" s="161"/>
      <c r="EN380" s="161"/>
      <c r="EO380" s="161"/>
      <c r="EP380" s="161"/>
      <c r="EQ380" s="161">
        <f>SUM(ER380:ES380)</f>
      </c>
      <c r="ER380" s="161"/>
      <c r="ES380" s="161"/>
      <c r="ET380" s="161"/>
      <c r="EU380" s="161"/>
      <c r="EV380" s="161"/>
      <c r="EW380" s="161"/>
      <c r="EX380" s="161"/>
      <c r="EY380" s="161"/>
      <c r="EZ380" s="161"/>
      <c r="FA380" s="161"/>
      <c r="FB380" s="161"/>
      <c r="FC380" s="161"/>
      <c r="FD380" s="161"/>
      <c r="FE380" s="161"/>
      <c r="FF380" s="161"/>
      <c r="FG380" s="161"/>
      <c r="FH380" s="166" cm="1">
        <f t="array" ref="FH380">ROW()-ROW(Ongoing[#Headers])</f>
        <v>374</v>
      </c>
      <c r="FI380" s="167"/>
      <c r="FJ380" s="167"/>
      <c r="FK380" s="167"/>
      <c r="FL380" s="167"/>
      <c r="FM380" s="167"/>
      <c r="FN380" s="167"/>
      <c r="FO380" s="167"/>
      <c r="FP380" s="167"/>
    </row>
    <row r="381" spans="2:172" s="115" customFormat="1" ht="11.25" x14ac:dyDescent="0.2">
      <c r="B381" s="148"/>
      <c r="C381" s="148"/>
      <c r="D381" s="148"/>
      <c r="E381" s="148"/>
      <c r="F381" s="148"/>
      <c r="G381" s="148"/>
      <c r="H381" s="148"/>
      <c r="I381" s="148"/>
      <c r="J381" s="148"/>
      <c r="K381" s="148"/>
      <c r="L381" s="148"/>
      <c r="M381" s="160"/>
      <c r="N381" s="160"/>
      <c r="O381" s="148"/>
      <c r="P381" s="161">
        <f>SUM(Q381:AP381)</f>
      </c>
      <c r="Q381" s="161"/>
      <c r="R381" s="161"/>
      <c r="S381" s="161"/>
      <c r="T381" s="161"/>
      <c r="U381" s="161"/>
      <c r="V381" s="161"/>
      <c r="W381" s="161"/>
      <c r="X381" s="161"/>
      <c r="Y381" s="161"/>
      <c r="Z381" s="161"/>
      <c r="AA381" s="161"/>
      <c r="AB381" s="161"/>
      <c r="AC381" s="161"/>
      <c r="AD381" s="161"/>
      <c r="AE381" s="161"/>
      <c r="AF381" s="161"/>
      <c r="AG381" s="161"/>
      <c r="AH381" s="161"/>
      <c r="AI381" s="161"/>
      <c r="AJ381" s="161"/>
      <c r="AK381" s="161"/>
      <c r="AL381" s="161"/>
      <c r="AM381" s="161"/>
      <c r="AN381" s="161"/>
      <c r="AO381" s="161"/>
      <c r="AP381" s="161"/>
      <c r="AQ381" s="161">
        <f>SUM(AR381:AU381)</f>
      </c>
      <c r="AR381" s="161"/>
      <c r="AS381" s="161"/>
      <c r="AT381" s="161"/>
      <c r="AU381" s="161"/>
      <c r="AV381" s="161">
        <f>SUM(AW381:BH381)</f>
      </c>
      <c r="AW381" s="161"/>
      <c r="AX381" s="161"/>
      <c r="AY381" s="161"/>
      <c r="AZ381" s="161"/>
      <c r="BA381" s="161"/>
      <c r="BB381" s="161"/>
      <c r="BC381" s="161"/>
      <c r="BD381" s="161"/>
      <c r="BE381" s="161"/>
      <c r="BF381" s="161"/>
      <c r="BG381" s="161"/>
      <c r="BH381" s="161"/>
      <c r="BI381" s="161"/>
      <c r="BJ381" s="161"/>
      <c r="BK381" s="161"/>
      <c r="BL381" s="161"/>
      <c r="BM381" s="161"/>
      <c r="BN381" s="161"/>
      <c r="BO381" s="161"/>
      <c r="BP381" s="161"/>
      <c r="BQ381" s="161"/>
      <c r="BR381" s="161"/>
      <c r="BS381" s="161">
        <f>SUM(BT381:BV381)</f>
      </c>
      <c r="BT381" s="161"/>
      <c r="BU381" s="161"/>
      <c r="BV381" s="161"/>
      <c r="BW381" s="161">
        <f>SUM(BX381:CC381)</f>
      </c>
      <c r="BX381" s="161"/>
      <c r="BY381" s="161"/>
      <c r="BZ381" s="161"/>
      <c r="CA381" s="161"/>
      <c r="CB381" s="161"/>
      <c r="CC381" s="161"/>
      <c r="CD381" s="161"/>
      <c r="CE381" s="161"/>
      <c r="CF381" s="161"/>
      <c r="CG381" s="161"/>
      <c r="CH381" s="161"/>
      <c r="CI381" s="161"/>
      <c r="CJ381" s="161">
        <f>SUM(CK381:CM381)</f>
      </c>
      <c r="CK381" s="161"/>
      <c r="CL381" s="161"/>
      <c r="CM381" s="161"/>
      <c r="CN381" s="161">
        <f>SUM(CO381:CS381)</f>
      </c>
      <c r="CO381" s="161"/>
      <c r="CP381" s="161"/>
      <c r="CQ381" s="161"/>
      <c r="CR381" s="161"/>
      <c r="CS381" s="161"/>
      <c r="CT381" s="161"/>
      <c r="CU381" s="161"/>
      <c r="CV381" s="161"/>
      <c r="CW381" s="161"/>
      <c r="CX381" s="161"/>
      <c r="CY381" s="161"/>
      <c r="CZ381" s="161"/>
      <c r="DA381" s="161"/>
      <c r="DB381" s="161"/>
      <c r="DC381" s="161"/>
      <c r="DD381" s="161"/>
      <c r="DE381" s="161"/>
      <c r="DF381" s="161">
        <f>SUM(DG381:DG381)</f>
      </c>
      <c r="DG381" s="161"/>
      <c r="DH381" s="161"/>
      <c r="DI381" s="161"/>
      <c r="DJ381" s="161">
        <f>SUM(DK381:DP381)</f>
      </c>
      <c r="DK381" s="161"/>
      <c r="DL381" s="161"/>
      <c r="DM381" s="161"/>
      <c r="DN381" s="161"/>
      <c r="DO381" s="161"/>
      <c r="DP381" s="161"/>
      <c r="DQ381" s="161"/>
      <c r="DR381" s="161"/>
      <c r="DS381" s="161"/>
      <c r="DT381" s="161"/>
      <c r="DU381" s="161"/>
      <c r="DV381" s="161"/>
      <c r="DW381" s="161"/>
      <c r="DX381" s="161"/>
      <c r="DY381" s="161"/>
      <c r="DZ381" s="161"/>
      <c r="EA381" s="161"/>
      <c r="EB381" s="161"/>
      <c r="EC381" s="161"/>
      <c r="ED381" s="161"/>
      <c r="EE381" s="161"/>
      <c r="EF381" s="161">
        <f>SUM(EG381:EP381)</f>
      </c>
      <c r="EG381" s="161"/>
      <c r="EH381" s="161"/>
      <c r="EI381" s="161"/>
      <c r="EJ381" s="161"/>
      <c r="EK381" s="161"/>
      <c r="EL381" s="161"/>
      <c r="EM381" s="161"/>
      <c r="EN381" s="161"/>
      <c r="EO381" s="161"/>
      <c r="EP381" s="161"/>
      <c r="EQ381" s="161">
        <f>SUM(ER381:ES381)</f>
      </c>
      <c r="ER381" s="161"/>
      <c r="ES381" s="161"/>
      <c r="ET381" s="161"/>
      <c r="EU381" s="161"/>
      <c r="EV381" s="161"/>
      <c r="EW381" s="161"/>
      <c r="EX381" s="161"/>
      <c r="EY381" s="161"/>
      <c r="EZ381" s="161"/>
      <c r="FA381" s="161"/>
      <c r="FB381" s="161"/>
      <c r="FC381" s="161"/>
      <c r="FD381" s="161"/>
      <c r="FE381" s="161"/>
      <c r="FF381" s="161"/>
      <c r="FG381" s="161"/>
      <c r="FH381" s="166" cm="1">
        <f t="array" ref="FH381">ROW()-ROW(Ongoing[#Headers])</f>
        <v>375</v>
      </c>
      <c r="FI381" s="167"/>
      <c r="FJ381" s="167"/>
      <c r="FK381" s="167"/>
      <c r="FL381" s="167"/>
      <c r="FM381" s="167"/>
      <c r="FN381" s="167"/>
      <c r="FO381" s="167"/>
      <c r="FP381" s="167"/>
    </row>
    <row r="382" spans="2:172" s="115" customFormat="1" ht="11.25" x14ac:dyDescent="0.2">
      <c r="B382" s="148"/>
      <c r="C382" s="148"/>
      <c r="D382" s="148"/>
      <c r="E382" s="148"/>
      <c r="F382" s="148"/>
      <c r="G382" s="148"/>
      <c r="H382" s="148"/>
      <c r="I382" s="148"/>
      <c r="J382" s="148"/>
      <c r="K382" s="148"/>
      <c r="L382" s="148"/>
      <c r="M382" s="160"/>
      <c r="N382" s="160"/>
      <c r="O382" s="148"/>
      <c r="P382" s="161">
        <f>SUM(Q382:AP382)</f>
      </c>
      <c r="Q382" s="161"/>
      <c r="R382" s="161"/>
      <c r="S382" s="161"/>
      <c r="T382" s="161"/>
      <c r="U382" s="161"/>
      <c r="V382" s="161"/>
      <c r="W382" s="161"/>
      <c r="X382" s="161"/>
      <c r="Y382" s="161"/>
      <c r="Z382" s="161"/>
      <c r="AA382" s="161"/>
      <c r="AB382" s="161"/>
      <c r="AC382" s="161"/>
      <c r="AD382" s="161"/>
      <c r="AE382" s="161"/>
      <c r="AF382" s="161"/>
      <c r="AG382" s="161"/>
      <c r="AH382" s="161"/>
      <c r="AI382" s="161"/>
      <c r="AJ382" s="161"/>
      <c r="AK382" s="161"/>
      <c r="AL382" s="161"/>
      <c r="AM382" s="161"/>
      <c r="AN382" s="161"/>
      <c r="AO382" s="161"/>
      <c r="AP382" s="161"/>
      <c r="AQ382" s="161">
        <f>SUM(AR382:AU382)</f>
      </c>
      <c r="AR382" s="161"/>
      <c r="AS382" s="161"/>
      <c r="AT382" s="161"/>
      <c r="AU382" s="161"/>
      <c r="AV382" s="161">
        <f>SUM(AW382:BH382)</f>
      </c>
      <c r="AW382" s="161"/>
      <c r="AX382" s="161"/>
      <c r="AY382" s="161"/>
      <c r="AZ382" s="161"/>
      <c r="BA382" s="161"/>
      <c r="BB382" s="161"/>
      <c r="BC382" s="161"/>
      <c r="BD382" s="161"/>
      <c r="BE382" s="161"/>
      <c r="BF382" s="161"/>
      <c r="BG382" s="161"/>
      <c r="BH382" s="161"/>
      <c r="BI382" s="161"/>
      <c r="BJ382" s="161"/>
      <c r="BK382" s="161"/>
      <c r="BL382" s="161"/>
      <c r="BM382" s="161"/>
      <c r="BN382" s="161"/>
      <c r="BO382" s="161"/>
      <c r="BP382" s="161"/>
      <c r="BQ382" s="161"/>
      <c r="BR382" s="161"/>
      <c r="BS382" s="161">
        <f>SUM(BT382:BV382)</f>
      </c>
      <c r="BT382" s="161"/>
      <c r="BU382" s="161"/>
      <c r="BV382" s="161"/>
      <c r="BW382" s="161">
        <f>SUM(BX382:CC382)</f>
      </c>
      <c r="BX382" s="161"/>
      <c r="BY382" s="161"/>
      <c r="BZ382" s="161"/>
      <c r="CA382" s="161"/>
      <c r="CB382" s="161"/>
      <c r="CC382" s="161"/>
      <c r="CD382" s="161"/>
      <c r="CE382" s="161"/>
      <c r="CF382" s="161"/>
      <c r="CG382" s="161"/>
      <c r="CH382" s="161"/>
      <c r="CI382" s="161"/>
      <c r="CJ382" s="161">
        <f>SUM(CK382:CM382)</f>
      </c>
      <c r="CK382" s="161"/>
      <c r="CL382" s="161"/>
      <c r="CM382" s="161"/>
      <c r="CN382" s="161">
        <f>SUM(CO382:CS382)</f>
      </c>
      <c r="CO382" s="161"/>
      <c r="CP382" s="161"/>
      <c r="CQ382" s="161"/>
      <c r="CR382" s="161"/>
      <c r="CS382" s="161"/>
      <c r="CT382" s="161"/>
      <c r="CU382" s="161"/>
      <c r="CV382" s="161"/>
      <c r="CW382" s="161"/>
      <c r="CX382" s="161"/>
      <c r="CY382" s="161"/>
      <c r="CZ382" s="161"/>
      <c r="DA382" s="161"/>
      <c r="DB382" s="161"/>
      <c r="DC382" s="161"/>
      <c r="DD382" s="161"/>
      <c r="DE382" s="161"/>
      <c r="DF382" s="161">
        <f>SUM(DG382:DG382)</f>
      </c>
      <c r="DG382" s="161"/>
      <c r="DH382" s="161"/>
      <c r="DI382" s="161"/>
      <c r="DJ382" s="161">
        <f>SUM(DK382:DP382)</f>
      </c>
      <c r="DK382" s="161"/>
      <c r="DL382" s="161"/>
      <c r="DM382" s="161"/>
      <c r="DN382" s="161"/>
      <c r="DO382" s="161"/>
      <c r="DP382" s="161"/>
      <c r="DQ382" s="161"/>
      <c r="DR382" s="161"/>
      <c r="DS382" s="161"/>
      <c r="DT382" s="161"/>
      <c r="DU382" s="161"/>
      <c r="DV382" s="161"/>
      <c r="DW382" s="161"/>
      <c r="DX382" s="161"/>
      <c r="DY382" s="161"/>
      <c r="DZ382" s="161"/>
      <c r="EA382" s="161"/>
      <c r="EB382" s="161"/>
      <c r="EC382" s="161"/>
      <c r="ED382" s="161"/>
      <c r="EE382" s="161"/>
      <c r="EF382" s="161">
        <f>SUM(EG382:EP382)</f>
      </c>
      <c r="EG382" s="161"/>
      <c r="EH382" s="161"/>
      <c r="EI382" s="161"/>
      <c r="EJ382" s="161"/>
      <c r="EK382" s="161"/>
      <c r="EL382" s="161"/>
      <c r="EM382" s="161"/>
      <c r="EN382" s="161"/>
      <c r="EO382" s="161"/>
      <c r="EP382" s="161"/>
      <c r="EQ382" s="161">
        <f>SUM(ER382:ES382)</f>
      </c>
      <c r="ER382" s="161"/>
      <c r="ES382" s="161"/>
      <c r="ET382" s="161"/>
      <c r="EU382" s="161"/>
      <c r="EV382" s="161"/>
      <c r="EW382" s="161"/>
      <c r="EX382" s="161"/>
      <c r="EY382" s="161"/>
      <c r="EZ382" s="161"/>
      <c r="FA382" s="161"/>
      <c r="FB382" s="161"/>
      <c r="FC382" s="161"/>
      <c r="FD382" s="161"/>
      <c r="FE382" s="161"/>
      <c r="FF382" s="161"/>
      <c r="FG382" s="161"/>
      <c r="FH382" s="166" cm="1">
        <f t="array" ref="FH382">ROW()-ROW(Ongoing[#Headers])</f>
        <v>376</v>
      </c>
      <c r="FI382" s="167"/>
      <c r="FJ382" s="167"/>
      <c r="FK382" s="167"/>
      <c r="FL382" s="167"/>
      <c r="FM382" s="167"/>
      <c r="FN382" s="167"/>
      <c r="FO382" s="167"/>
      <c r="FP382" s="167"/>
    </row>
    <row r="383" spans="2:172" s="115" customFormat="1" ht="11.25" x14ac:dyDescent="0.2">
      <c r="B383" s="148"/>
      <c r="C383" s="148"/>
      <c r="D383" s="148"/>
      <c r="E383" s="148"/>
      <c r="F383" s="148"/>
      <c r="G383" s="148"/>
      <c r="H383" s="148"/>
      <c r="I383" s="148"/>
      <c r="J383" s="148"/>
      <c r="K383" s="148"/>
      <c r="L383" s="148"/>
      <c r="M383" s="160"/>
      <c r="N383" s="160"/>
      <c r="O383" s="148"/>
      <c r="P383" s="161">
        <f>SUM(Q383:AP383)</f>
      </c>
      <c r="Q383" s="161"/>
      <c r="R383" s="161"/>
      <c r="S383" s="161"/>
      <c r="T383" s="161"/>
      <c r="U383" s="161"/>
      <c r="V383" s="161"/>
      <c r="W383" s="161"/>
      <c r="X383" s="161"/>
      <c r="Y383" s="161"/>
      <c r="Z383" s="161"/>
      <c r="AA383" s="161"/>
      <c r="AB383" s="161"/>
      <c r="AC383" s="161"/>
      <c r="AD383" s="161"/>
      <c r="AE383" s="161"/>
      <c r="AF383" s="161"/>
      <c r="AG383" s="161"/>
      <c r="AH383" s="161"/>
      <c r="AI383" s="161"/>
      <c r="AJ383" s="161"/>
      <c r="AK383" s="161"/>
      <c r="AL383" s="161"/>
      <c r="AM383" s="161"/>
      <c r="AN383" s="161"/>
      <c r="AO383" s="161"/>
      <c r="AP383" s="161"/>
      <c r="AQ383" s="161">
        <f>SUM(AR383:AU383)</f>
      </c>
      <c r="AR383" s="161"/>
      <c r="AS383" s="161"/>
      <c r="AT383" s="161"/>
      <c r="AU383" s="161"/>
      <c r="AV383" s="161">
        <f>SUM(AW383:BH383)</f>
      </c>
      <c r="AW383" s="161"/>
      <c r="AX383" s="161"/>
      <c r="AY383" s="161"/>
      <c r="AZ383" s="161"/>
      <c r="BA383" s="161"/>
      <c r="BB383" s="161"/>
      <c r="BC383" s="161"/>
      <c r="BD383" s="161"/>
      <c r="BE383" s="161"/>
      <c r="BF383" s="161"/>
      <c r="BG383" s="161"/>
      <c r="BH383" s="161"/>
      <c r="BI383" s="161"/>
      <c r="BJ383" s="161"/>
      <c r="BK383" s="161"/>
      <c r="BL383" s="161"/>
      <c r="BM383" s="161"/>
      <c r="BN383" s="161"/>
      <c r="BO383" s="161"/>
      <c r="BP383" s="161"/>
      <c r="BQ383" s="161"/>
      <c r="BR383" s="161"/>
      <c r="BS383" s="161">
        <f>SUM(BT383:BV383)</f>
      </c>
      <c r="BT383" s="161"/>
      <c r="BU383" s="161"/>
      <c r="BV383" s="161"/>
      <c r="BW383" s="161">
        <f>SUM(BX383:CC383)</f>
      </c>
      <c r="BX383" s="161"/>
      <c r="BY383" s="161"/>
      <c r="BZ383" s="161"/>
      <c r="CA383" s="161"/>
      <c r="CB383" s="161"/>
      <c r="CC383" s="161"/>
      <c r="CD383" s="161"/>
      <c r="CE383" s="161"/>
      <c r="CF383" s="161"/>
      <c r="CG383" s="161"/>
      <c r="CH383" s="161"/>
      <c r="CI383" s="161"/>
      <c r="CJ383" s="161">
        <f>SUM(CK383:CM383)</f>
      </c>
      <c r="CK383" s="161"/>
      <c r="CL383" s="161"/>
      <c r="CM383" s="161"/>
      <c r="CN383" s="161">
        <f>SUM(CO383:CS383)</f>
      </c>
      <c r="CO383" s="161"/>
      <c r="CP383" s="161"/>
      <c r="CQ383" s="161"/>
      <c r="CR383" s="161"/>
      <c r="CS383" s="161"/>
      <c r="CT383" s="161"/>
      <c r="CU383" s="161"/>
      <c r="CV383" s="161"/>
      <c r="CW383" s="161"/>
      <c r="CX383" s="161"/>
      <c r="CY383" s="161"/>
      <c r="CZ383" s="161"/>
      <c r="DA383" s="161"/>
      <c r="DB383" s="161"/>
      <c r="DC383" s="161"/>
      <c r="DD383" s="161"/>
      <c r="DE383" s="161"/>
      <c r="DF383" s="161">
        <f>SUM(DG383:DG383)</f>
      </c>
      <c r="DG383" s="161"/>
      <c r="DH383" s="161"/>
      <c r="DI383" s="161"/>
      <c r="DJ383" s="161">
        <f>SUM(DK383:DP383)</f>
      </c>
      <c r="DK383" s="161"/>
      <c r="DL383" s="161"/>
      <c r="DM383" s="161"/>
      <c r="DN383" s="161"/>
      <c r="DO383" s="161"/>
      <c r="DP383" s="161"/>
      <c r="DQ383" s="161"/>
      <c r="DR383" s="161"/>
      <c r="DS383" s="161"/>
      <c r="DT383" s="161"/>
      <c r="DU383" s="161"/>
      <c r="DV383" s="161"/>
      <c r="DW383" s="161"/>
      <c r="DX383" s="161"/>
      <c r="DY383" s="161"/>
      <c r="DZ383" s="161"/>
      <c r="EA383" s="161"/>
      <c r="EB383" s="161"/>
      <c r="EC383" s="161"/>
      <c r="ED383" s="161"/>
      <c r="EE383" s="161"/>
      <c r="EF383" s="161">
        <f>SUM(EG383:EP383)</f>
      </c>
      <c r="EG383" s="161"/>
      <c r="EH383" s="161"/>
      <c r="EI383" s="161"/>
      <c r="EJ383" s="161"/>
      <c r="EK383" s="161"/>
      <c r="EL383" s="161"/>
      <c r="EM383" s="161"/>
      <c r="EN383" s="161"/>
      <c r="EO383" s="161"/>
      <c r="EP383" s="161"/>
      <c r="EQ383" s="161">
        <f>SUM(ER383:ES383)</f>
      </c>
      <c r="ER383" s="161"/>
      <c r="ES383" s="161"/>
      <c r="ET383" s="161"/>
      <c r="EU383" s="161"/>
      <c r="EV383" s="161"/>
      <c r="EW383" s="161"/>
      <c r="EX383" s="161"/>
      <c r="EY383" s="161"/>
      <c r="EZ383" s="161"/>
      <c r="FA383" s="161"/>
      <c r="FB383" s="161"/>
      <c r="FC383" s="161"/>
      <c r="FD383" s="161"/>
      <c r="FE383" s="161"/>
      <c r="FF383" s="161"/>
      <c r="FG383" s="161"/>
      <c r="FH383" s="166" cm="1">
        <f t="array" ref="FH383">ROW()-ROW(Ongoing[#Headers])</f>
        <v>377</v>
      </c>
      <c r="FI383" s="167"/>
      <c r="FJ383" s="167"/>
      <c r="FK383" s="167"/>
      <c r="FL383" s="167"/>
      <c r="FM383" s="167"/>
      <c r="FN383" s="167"/>
      <c r="FO383" s="167"/>
      <c r="FP383" s="167"/>
    </row>
    <row r="384" spans="2:172" s="115" customFormat="1" ht="11.25" x14ac:dyDescent="0.2">
      <c r="B384" s="148"/>
      <c r="C384" s="148"/>
      <c r="D384" s="148"/>
      <c r="E384" s="148"/>
      <c r="F384" s="148"/>
      <c r="G384" s="148"/>
      <c r="H384" s="148"/>
      <c r="I384" s="148"/>
      <c r="J384" s="148"/>
      <c r="K384" s="148"/>
      <c r="L384" s="148"/>
      <c r="M384" s="160"/>
      <c r="N384" s="160"/>
      <c r="O384" s="148"/>
      <c r="P384" s="161">
        <f>SUM(Q384:AP384)</f>
      </c>
      <c r="Q384" s="161"/>
      <c r="R384" s="161"/>
      <c r="S384" s="161"/>
      <c r="T384" s="161"/>
      <c r="U384" s="161"/>
      <c r="V384" s="161"/>
      <c r="W384" s="161"/>
      <c r="X384" s="161"/>
      <c r="Y384" s="161"/>
      <c r="Z384" s="161"/>
      <c r="AA384" s="161"/>
      <c r="AB384" s="161"/>
      <c r="AC384" s="161"/>
      <c r="AD384" s="161"/>
      <c r="AE384" s="161"/>
      <c r="AF384" s="161"/>
      <c r="AG384" s="161"/>
      <c r="AH384" s="161"/>
      <c r="AI384" s="161"/>
      <c r="AJ384" s="161"/>
      <c r="AK384" s="161"/>
      <c r="AL384" s="161"/>
      <c r="AM384" s="161"/>
      <c r="AN384" s="161"/>
      <c r="AO384" s="161"/>
      <c r="AP384" s="161"/>
      <c r="AQ384" s="161">
        <f>SUM(AR384:AU384)</f>
      </c>
      <c r="AR384" s="161"/>
      <c r="AS384" s="161"/>
      <c r="AT384" s="161"/>
      <c r="AU384" s="161"/>
      <c r="AV384" s="161">
        <f>SUM(AW384:BH384)</f>
      </c>
      <c r="AW384" s="161"/>
      <c r="AX384" s="161"/>
      <c r="AY384" s="161"/>
      <c r="AZ384" s="161"/>
      <c r="BA384" s="161"/>
      <c r="BB384" s="161"/>
      <c r="BC384" s="161"/>
      <c r="BD384" s="161"/>
      <c r="BE384" s="161"/>
      <c r="BF384" s="161"/>
      <c r="BG384" s="161"/>
      <c r="BH384" s="161"/>
      <c r="BI384" s="161"/>
      <c r="BJ384" s="161"/>
      <c r="BK384" s="161"/>
      <c r="BL384" s="161"/>
      <c r="BM384" s="161"/>
      <c r="BN384" s="161"/>
      <c r="BO384" s="161"/>
      <c r="BP384" s="161"/>
      <c r="BQ384" s="161"/>
      <c r="BR384" s="161"/>
      <c r="BS384" s="161">
        <f>SUM(BT384:BV384)</f>
      </c>
      <c r="BT384" s="161"/>
      <c r="BU384" s="161"/>
      <c r="BV384" s="161"/>
      <c r="BW384" s="161">
        <f>SUM(BX384:CC384)</f>
      </c>
      <c r="BX384" s="161"/>
      <c r="BY384" s="161"/>
      <c r="BZ384" s="161"/>
      <c r="CA384" s="161"/>
      <c r="CB384" s="161"/>
      <c r="CC384" s="161"/>
      <c r="CD384" s="161"/>
      <c r="CE384" s="161"/>
      <c r="CF384" s="161"/>
      <c r="CG384" s="161"/>
      <c r="CH384" s="161"/>
      <c r="CI384" s="161"/>
      <c r="CJ384" s="161">
        <f>SUM(CK384:CM384)</f>
      </c>
      <c r="CK384" s="161"/>
      <c r="CL384" s="161"/>
      <c r="CM384" s="161"/>
      <c r="CN384" s="161">
        <f>SUM(CO384:CS384)</f>
      </c>
      <c r="CO384" s="161"/>
      <c r="CP384" s="161"/>
      <c r="CQ384" s="161"/>
      <c r="CR384" s="161"/>
      <c r="CS384" s="161"/>
      <c r="CT384" s="161"/>
      <c r="CU384" s="161"/>
      <c r="CV384" s="161"/>
      <c r="CW384" s="161"/>
      <c r="CX384" s="161"/>
      <c r="CY384" s="161"/>
      <c r="CZ384" s="161"/>
      <c r="DA384" s="161"/>
      <c r="DB384" s="161"/>
      <c r="DC384" s="161"/>
      <c r="DD384" s="161"/>
      <c r="DE384" s="161"/>
      <c r="DF384" s="161">
        <f>SUM(DG384:DG384)</f>
      </c>
      <c r="DG384" s="161"/>
      <c r="DH384" s="161"/>
      <c r="DI384" s="161"/>
      <c r="DJ384" s="161">
        <f>SUM(DK384:DP384)</f>
      </c>
      <c r="DK384" s="161"/>
      <c r="DL384" s="161"/>
      <c r="DM384" s="161"/>
      <c r="DN384" s="161"/>
      <c r="DO384" s="161"/>
      <c r="DP384" s="161"/>
      <c r="DQ384" s="161"/>
      <c r="DR384" s="161"/>
      <c r="DS384" s="161"/>
      <c r="DT384" s="161"/>
      <c r="DU384" s="161"/>
      <c r="DV384" s="161"/>
      <c r="DW384" s="161"/>
      <c r="DX384" s="161"/>
      <c r="DY384" s="161"/>
      <c r="DZ384" s="161"/>
      <c r="EA384" s="161"/>
      <c r="EB384" s="161"/>
      <c r="EC384" s="161"/>
      <c r="ED384" s="161"/>
      <c r="EE384" s="161"/>
      <c r="EF384" s="161">
        <f>SUM(EG384:EP384)</f>
      </c>
      <c r="EG384" s="161"/>
      <c r="EH384" s="161"/>
      <c r="EI384" s="161"/>
      <c r="EJ384" s="161"/>
      <c r="EK384" s="161"/>
      <c r="EL384" s="161"/>
      <c r="EM384" s="161"/>
      <c r="EN384" s="161"/>
      <c r="EO384" s="161"/>
      <c r="EP384" s="161"/>
      <c r="EQ384" s="161">
        <f>SUM(ER384:ES384)</f>
      </c>
      <c r="ER384" s="161"/>
      <c r="ES384" s="161"/>
      <c r="ET384" s="161"/>
      <c r="EU384" s="161"/>
      <c r="EV384" s="161"/>
      <c r="EW384" s="161"/>
      <c r="EX384" s="161"/>
      <c r="EY384" s="161"/>
      <c r="EZ384" s="161"/>
      <c r="FA384" s="161"/>
      <c r="FB384" s="161"/>
      <c r="FC384" s="161"/>
      <c r="FD384" s="161"/>
      <c r="FE384" s="161"/>
      <c r="FF384" s="161"/>
      <c r="FG384" s="161"/>
      <c r="FH384" s="166" cm="1">
        <f t="array" ref="FH384">ROW()-ROW(Ongoing[#Headers])</f>
        <v>378</v>
      </c>
      <c r="FI384" s="167"/>
      <c r="FJ384" s="167"/>
      <c r="FK384" s="167"/>
      <c r="FL384" s="167"/>
      <c r="FM384" s="167"/>
      <c r="FN384" s="167"/>
      <c r="FO384" s="167"/>
      <c r="FP384" s="167"/>
    </row>
    <row r="385" spans="2:172" s="115" customFormat="1" ht="11.25" x14ac:dyDescent="0.2">
      <c r="B385" s="148"/>
      <c r="C385" s="148"/>
      <c r="D385" s="148"/>
      <c r="E385" s="148"/>
      <c r="F385" s="148"/>
      <c r="G385" s="148"/>
      <c r="H385" s="148"/>
      <c r="I385" s="148"/>
      <c r="J385" s="148"/>
      <c r="K385" s="148"/>
      <c r="L385" s="148"/>
      <c r="M385" s="160"/>
      <c r="N385" s="160"/>
      <c r="O385" s="148"/>
      <c r="P385" s="161">
        <f>SUM(Q385:AP385)</f>
      </c>
      <c r="Q385" s="161"/>
      <c r="R385" s="161"/>
      <c r="S385" s="161"/>
      <c r="T385" s="161"/>
      <c r="U385" s="161"/>
      <c r="V385" s="161"/>
      <c r="W385" s="161"/>
      <c r="X385" s="161"/>
      <c r="Y385" s="161"/>
      <c r="Z385" s="161"/>
      <c r="AA385" s="161"/>
      <c r="AB385" s="161"/>
      <c r="AC385" s="161"/>
      <c r="AD385" s="161"/>
      <c r="AE385" s="161"/>
      <c r="AF385" s="161"/>
      <c r="AG385" s="161"/>
      <c r="AH385" s="161"/>
      <c r="AI385" s="161"/>
      <c r="AJ385" s="161"/>
      <c r="AK385" s="161"/>
      <c r="AL385" s="161"/>
      <c r="AM385" s="161"/>
      <c r="AN385" s="161"/>
      <c r="AO385" s="161"/>
      <c r="AP385" s="161"/>
      <c r="AQ385" s="161">
        <f>SUM(AR385:AU385)</f>
      </c>
      <c r="AR385" s="161"/>
      <c r="AS385" s="161"/>
      <c r="AT385" s="161"/>
      <c r="AU385" s="161"/>
      <c r="AV385" s="161">
        <f>SUM(AW385:BH385)</f>
      </c>
      <c r="AW385" s="161"/>
      <c r="AX385" s="161"/>
      <c r="AY385" s="161"/>
      <c r="AZ385" s="161"/>
      <c r="BA385" s="161"/>
      <c r="BB385" s="161"/>
      <c r="BC385" s="161"/>
      <c r="BD385" s="161"/>
      <c r="BE385" s="161"/>
      <c r="BF385" s="161"/>
      <c r="BG385" s="161"/>
      <c r="BH385" s="161"/>
      <c r="BI385" s="161"/>
      <c r="BJ385" s="161"/>
      <c r="BK385" s="161"/>
      <c r="BL385" s="161"/>
      <c r="BM385" s="161"/>
      <c r="BN385" s="161"/>
      <c r="BO385" s="161"/>
      <c r="BP385" s="161"/>
      <c r="BQ385" s="161"/>
      <c r="BR385" s="161"/>
      <c r="BS385" s="161">
        <f>SUM(BT385:BV385)</f>
      </c>
      <c r="BT385" s="161"/>
      <c r="BU385" s="161"/>
      <c r="BV385" s="161"/>
      <c r="BW385" s="161">
        <f>SUM(BX385:CC385)</f>
      </c>
      <c r="BX385" s="161"/>
      <c r="BY385" s="161"/>
      <c r="BZ385" s="161"/>
      <c r="CA385" s="161"/>
      <c r="CB385" s="161"/>
      <c r="CC385" s="161"/>
      <c r="CD385" s="161"/>
      <c r="CE385" s="161"/>
      <c r="CF385" s="161"/>
      <c r="CG385" s="161"/>
      <c r="CH385" s="161"/>
      <c r="CI385" s="161"/>
      <c r="CJ385" s="161">
        <f>SUM(CK385:CM385)</f>
      </c>
      <c r="CK385" s="161"/>
      <c r="CL385" s="161"/>
      <c r="CM385" s="161"/>
      <c r="CN385" s="161">
        <f>SUM(CO385:CS385)</f>
      </c>
      <c r="CO385" s="161"/>
      <c r="CP385" s="161"/>
      <c r="CQ385" s="161"/>
      <c r="CR385" s="161"/>
      <c r="CS385" s="161"/>
      <c r="CT385" s="161"/>
      <c r="CU385" s="161"/>
      <c r="CV385" s="161"/>
      <c r="CW385" s="161"/>
      <c r="CX385" s="161"/>
      <c r="CY385" s="161"/>
      <c r="CZ385" s="161"/>
      <c r="DA385" s="161"/>
      <c r="DB385" s="161"/>
      <c r="DC385" s="161"/>
      <c r="DD385" s="161"/>
      <c r="DE385" s="161"/>
      <c r="DF385" s="161">
        <f>SUM(DG385:DG385)</f>
      </c>
      <c r="DG385" s="161"/>
      <c r="DH385" s="161"/>
      <c r="DI385" s="161"/>
      <c r="DJ385" s="161">
        <f>SUM(DK385:DP385)</f>
      </c>
      <c r="DK385" s="161"/>
      <c r="DL385" s="161"/>
      <c r="DM385" s="161"/>
      <c r="DN385" s="161"/>
      <c r="DO385" s="161"/>
      <c r="DP385" s="161"/>
      <c r="DQ385" s="161"/>
      <c r="DR385" s="161"/>
      <c r="DS385" s="161"/>
      <c r="DT385" s="161"/>
      <c r="DU385" s="161"/>
      <c r="DV385" s="161"/>
      <c r="DW385" s="161"/>
      <c r="DX385" s="161"/>
      <c r="DY385" s="161"/>
      <c r="DZ385" s="161"/>
      <c r="EA385" s="161"/>
      <c r="EB385" s="161"/>
      <c r="EC385" s="161"/>
      <c r="ED385" s="161"/>
      <c r="EE385" s="161"/>
      <c r="EF385" s="161">
        <f>SUM(EG385:EP385)</f>
      </c>
      <c r="EG385" s="161"/>
      <c r="EH385" s="161"/>
      <c r="EI385" s="161"/>
      <c r="EJ385" s="161"/>
      <c r="EK385" s="161"/>
      <c r="EL385" s="161"/>
      <c r="EM385" s="161"/>
      <c r="EN385" s="161"/>
      <c r="EO385" s="161"/>
      <c r="EP385" s="161"/>
      <c r="EQ385" s="161">
        <f>SUM(ER385:ES385)</f>
      </c>
      <c r="ER385" s="161"/>
      <c r="ES385" s="161"/>
      <c r="ET385" s="161"/>
      <c r="EU385" s="161"/>
      <c r="EV385" s="161"/>
      <c r="EW385" s="161"/>
      <c r="EX385" s="161"/>
      <c r="EY385" s="161"/>
      <c r="EZ385" s="161"/>
      <c r="FA385" s="161"/>
      <c r="FB385" s="161"/>
      <c r="FC385" s="161"/>
      <c r="FD385" s="161"/>
      <c r="FE385" s="161"/>
      <c r="FF385" s="161"/>
      <c r="FG385" s="161"/>
      <c r="FH385" s="166" cm="1">
        <f t="array" ref="FH385">ROW()-ROW(Ongoing[#Headers])</f>
        <v>379</v>
      </c>
      <c r="FI385" s="167"/>
      <c r="FJ385" s="167"/>
      <c r="FK385" s="167"/>
      <c r="FL385" s="167"/>
      <c r="FM385" s="167"/>
      <c r="FN385" s="167"/>
      <c r="FO385" s="167"/>
      <c r="FP385" s="167"/>
    </row>
    <row r="386" spans="2:172" s="115" customFormat="1" ht="11.25" x14ac:dyDescent="0.2">
      <c r="B386" s="148"/>
      <c r="C386" s="148"/>
      <c r="D386" s="148"/>
      <c r="E386" s="148"/>
      <c r="F386" s="148"/>
      <c r="G386" s="148"/>
      <c r="H386" s="148"/>
      <c r="I386" s="148"/>
      <c r="J386" s="148"/>
      <c r="K386" s="148"/>
      <c r="L386" s="148"/>
      <c r="M386" s="160"/>
      <c r="N386" s="160"/>
      <c r="O386" s="148"/>
      <c r="P386" s="161">
        <f>SUM(Q386:AP386)</f>
      </c>
      <c r="Q386" s="161"/>
      <c r="R386" s="161"/>
      <c r="S386" s="161"/>
      <c r="T386" s="161"/>
      <c r="U386" s="161"/>
      <c r="V386" s="161"/>
      <c r="W386" s="161"/>
      <c r="X386" s="161"/>
      <c r="Y386" s="161"/>
      <c r="Z386" s="161"/>
      <c r="AA386" s="161"/>
      <c r="AB386" s="161"/>
      <c r="AC386" s="161"/>
      <c r="AD386" s="161"/>
      <c r="AE386" s="161"/>
      <c r="AF386" s="161"/>
      <c r="AG386" s="161"/>
      <c r="AH386" s="161"/>
      <c r="AI386" s="161"/>
      <c r="AJ386" s="161"/>
      <c r="AK386" s="161"/>
      <c r="AL386" s="161"/>
      <c r="AM386" s="161"/>
      <c r="AN386" s="161"/>
      <c r="AO386" s="161"/>
      <c r="AP386" s="161"/>
      <c r="AQ386" s="161">
        <f>SUM(AR386:AU386)</f>
      </c>
      <c r="AR386" s="161"/>
      <c r="AS386" s="161"/>
      <c r="AT386" s="161"/>
      <c r="AU386" s="161"/>
      <c r="AV386" s="161">
        <f>SUM(AW386:BH386)</f>
      </c>
      <c r="AW386" s="161"/>
      <c r="AX386" s="161"/>
      <c r="AY386" s="161"/>
      <c r="AZ386" s="161"/>
      <c r="BA386" s="161"/>
      <c r="BB386" s="161"/>
      <c r="BC386" s="161"/>
      <c r="BD386" s="161"/>
      <c r="BE386" s="161"/>
      <c r="BF386" s="161"/>
      <c r="BG386" s="161"/>
      <c r="BH386" s="161"/>
      <c r="BI386" s="161"/>
      <c r="BJ386" s="161"/>
      <c r="BK386" s="161"/>
      <c r="BL386" s="161"/>
      <c r="BM386" s="161"/>
      <c r="BN386" s="161"/>
      <c r="BO386" s="161"/>
      <c r="BP386" s="161"/>
      <c r="BQ386" s="161"/>
      <c r="BR386" s="161"/>
      <c r="BS386" s="161">
        <f>SUM(BT386:BV386)</f>
      </c>
      <c r="BT386" s="161"/>
      <c r="BU386" s="161"/>
      <c r="BV386" s="161"/>
      <c r="BW386" s="161">
        <f>SUM(BX386:CC386)</f>
      </c>
      <c r="BX386" s="161"/>
      <c r="BY386" s="161"/>
      <c r="BZ386" s="161"/>
      <c r="CA386" s="161"/>
      <c r="CB386" s="161"/>
      <c r="CC386" s="161"/>
      <c r="CD386" s="161"/>
      <c r="CE386" s="161"/>
      <c r="CF386" s="161"/>
      <c r="CG386" s="161"/>
      <c r="CH386" s="161"/>
      <c r="CI386" s="161"/>
      <c r="CJ386" s="161">
        <f>SUM(CK386:CM386)</f>
      </c>
      <c r="CK386" s="161"/>
      <c r="CL386" s="161"/>
      <c r="CM386" s="161"/>
      <c r="CN386" s="161">
        <f>SUM(CO386:CS386)</f>
      </c>
      <c r="CO386" s="161"/>
      <c r="CP386" s="161"/>
      <c r="CQ386" s="161"/>
      <c r="CR386" s="161"/>
      <c r="CS386" s="161"/>
      <c r="CT386" s="161"/>
      <c r="CU386" s="161"/>
      <c r="CV386" s="161"/>
      <c r="CW386" s="161"/>
      <c r="CX386" s="161"/>
      <c r="CY386" s="161"/>
      <c r="CZ386" s="161"/>
      <c r="DA386" s="161"/>
      <c r="DB386" s="161"/>
      <c r="DC386" s="161"/>
      <c r="DD386" s="161"/>
      <c r="DE386" s="161"/>
      <c r="DF386" s="161">
        <f>SUM(DG386:DG386)</f>
      </c>
      <c r="DG386" s="161"/>
      <c r="DH386" s="161"/>
      <c r="DI386" s="161"/>
      <c r="DJ386" s="161">
        <f>SUM(DK386:DP386)</f>
      </c>
      <c r="DK386" s="161"/>
      <c r="DL386" s="161"/>
      <c r="DM386" s="161"/>
      <c r="DN386" s="161"/>
      <c r="DO386" s="161"/>
      <c r="DP386" s="161"/>
      <c r="DQ386" s="161"/>
      <c r="DR386" s="161"/>
      <c r="DS386" s="161"/>
      <c r="DT386" s="161"/>
      <c r="DU386" s="161"/>
      <c r="DV386" s="161"/>
      <c r="DW386" s="161"/>
      <c r="DX386" s="161"/>
      <c r="DY386" s="161"/>
      <c r="DZ386" s="161"/>
      <c r="EA386" s="161"/>
      <c r="EB386" s="161"/>
      <c r="EC386" s="161"/>
      <c r="ED386" s="161"/>
      <c r="EE386" s="161"/>
      <c r="EF386" s="161">
        <f>SUM(EG386:EP386)</f>
      </c>
      <c r="EG386" s="161"/>
      <c r="EH386" s="161"/>
      <c r="EI386" s="161"/>
      <c r="EJ386" s="161"/>
      <c r="EK386" s="161"/>
      <c r="EL386" s="161"/>
      <c r="EM386" s="161"/>
      <c r="EN386" s="161"/>
      <c r="EO386" s="161"/>
      <c r="EP386" s="161"/>
      <c r="EQ386" s="161">
        <f>SUM(ER386:ES386)</f>
      </c>
      <c r="ER386" s="161"/>
      <c r="ES386" s="161"/>
      <c r="ET386" s="161"/>
      <c r="EU386" s="161"/>
      <c r="EV386" s="161"/>
      <c r="EW386" s="161"/>
      <c r="EX386" s="161"/>
      <c r="EY386" s="161"/>
      <c r="EZ386" s="161"/>
      <c r="FA386" s="161"/>
      <c r="FB386" s="161"/>
      <c r="FC386" s="161"/>
      <c r="FD386" s="161"/>
      <c r="FE386" s="161"/>
      <c r="FF386" s="161"/>
      <c r="FG386" s="161"/>
      <c r="FH386" s="166" cm="1">
        <f t="array" ref="FH386">ROW()-ROW(Ongoing[#Headers])</f>
        <v>380</v>
      </c>
      <c r="FI386" s="167"/>
      <c r="FJ386" s="167"/>
      <c r="FK386" s="167"/>
      <c r="FL386" s="167"/>
      <c r="FM386" s="167"/>
      <c r="FN386" s="167"/>
      <c r="FO386" s="167"/>
      <c r="FP386" s="167"/>
    </row>
    <row r="387" spans="2:172" s="115" customFormat="1" ht="11.25" x14ac:dyDescent="0.2">
      <c r="B387" s="148"/>
      <c r="C387" s="148"/>
      <c r="D387" s="148"/>
      <c r="E387" s="148"/>
      <c r="F387" s="148"/>
      <c r="G387" s="148"/>
      <c r="H387" s="148"/>
      <c r="I387" s="148"/>
      <c r="J387" s="148"/>
      <c r="K387" s="148"/>
      <c r="L387" s="148"/>
      <c r="M387" s="160"/>
      <c r="N387" s="160"/>
      <c r="O387" s="148"/>
      <c r="P387" s="161">
        <f>SUM(Q387:AP387)</f>
      </c>
      <c r="Q387" s="161"/>
      <c r="R387" s="161"/>
      <c r="S387" s="161"/>
      <c r="T387" s="161"/>
      <c r="U387" s="161"/>
      <c r="V387" s="161"/>
      <c r="W387" s="161"/>
      <c r="X387" s="161"/>
      <c r="Y387" s="161"/>
      <c r="Z387" s="161"/>
      <c r="AA387" s="161"/>
      <c r="AB387" s="161"/>
      <c r="AC387" s="161"/>
      <c r="AD387" s="161"/>
      <c r="AE387" s="161"/>
      <c r="AF387" s="161"/>
      <c r="AG387" s="161"/>
      <c r="AH387" s="161"/>
      <c r="AI387" s="161"/>
      <c r="AJ387" s="161"/>
      <c r="AK387" s="161"/>
      <c r="AL387" s="161"/>
      <c r="AM387" s="161"/>
      <c r="AN387" s="161"/>
      <c r="AO387" s="161"/>
      <c r="AP387" s="161"/>
      <c r="AQ387" s="161">
        <f>SUM(AR387:AU387)</f>
      </c>
      <c r="AR387" s="161"/>
      <c r="AS387" s="161"/>
      <c r="AT387" s="161"/>
      <c r="AU387" s="161"/>
      <c r="AV387" s="161">
        <f>SUM(AW387:BH387)</f>
      </c>
      <c r="AW387" s="161"/>
      <c r="AX387" s="161"/>
      <c r="AY387" s="161"/>
      <c r="AZ387" s="161"/>
      <c r="BA387" s="161"/>
      <c r="BB387" s="161"/>
      <c r="BC387" s="161"/>
      <c r="BD387" s="161"/>
      <c r="BE387" s="161"/>
      <c r="BF387" s="161"/>
      <c r="BG387" s="161"/>
      <c r="BH387" s="161"/>
      <c r="BI387" s="161"/>
      <c r="BJ387" s="161"/>
      <c r="BK387" s="161"/>
      <c r="BL387" s="161"/>
      <c r="BM387" s="161"/>
      <c r="BN387" s="161"/>
      <c r="BO387" s="161"/>
      <c r="BP387" s="161"/>
      <c r="BQ387" s="161"/>
      <c r="BR387" s="161"/>
      <c r="BS387" s="161">
        <f>SUM(BT387:BV387)</f>
      </c>
      <c r="BT387" s="161"/>
      <c r="BU387" s="161"/>
      <c r="BV387" s="161"/>
      <c r="BW387" s="161">
        <f>SUM(BX387:CC387)</f>
      </c>
      <c r="BX387" s="161"/>
      <c r="BY387" s="161"/>
      <c r="BZ387" s="161"/>
      <c r="CA387" s="161"/>
      <c r="CB387" s="161"/>
      <c r="CC387" s="161"/>
      <c r="CD387" s="161"/>
      <c r="CE387" s="161"/>
      <c r="CF387" s="161"/>
      <c r="CG387" s="161"/>
      <c r="CH387" s="161"/>
      <c r="CI387" s="161"/>
      <c r="CJ387" s="161">
        <f>SUM(CK387:CM387)</f>
      </c>
      <c r="CK387" s="161"/>
      <c r="CL387" s="161"/>
      <c r="CM387" s="161"/>
      <c r="CN387" s="161">
        <f>SUM(CO387:CS387)</f>
      </c>
      <c r="CO387" s="161"/>
      <c r="CP387" s="161"/>
      <c r="CQ387" s="161"/>
      <c r="CR387" s="161"/>
      <c r="CS387" s="161"/>
      <c r="CT387" s="161"/>
      <c r="CU387" s="161"/>
      <c r="CV387" s="161"/>
      <c r="CW387" s="161"/>
      <c r="CX387" s="161"/>
      <c r="CY387" s="161"/>
      <c r="CZ387" s="161"/>
      <c r="DA387" s="161"/>
      <c r="DB387" s="161"/>
      <c r="DC387" s="161"/>
      <c r="DD387" s="161"/>
      <c r="DE387" s="161"/>
      <c r="DF387" s="161">
        <f>SUM(DG387:DG387)</f>
      </c>
      <c r="DG387" s="161"/>
      <c r="DH387" s="161"/>
      <c r="DI387" s="161"/>
      <c r="DJ387" s="161">
        <f>SUM(DK387:DP387)</f>
      </c>
      <c r="DK387" s="161"/>
      <c r="DL387" s="161"/>
      <c r="DM387" s="161"/>
      <c r="DN387" s="161"/>
      <c r="DO387" s="161"/>
      <c r="DP387" s="161"/>
      <c r="DQ387" s="161"/>
      <c r="DR387" s="161"/>
      <c r="DS387" s="161"/>
      <c r="DT387" s="161"/>
      <c r="DU387" s="161"/>
      <c r="DV387" s="161"/>
      <c r="DW387" s="161"/>
      <c r="DX387" s="161"/>
      <c r="DY387" s="161"/>
      <c r="DZ387" s="161"/>
      <c r="EA387" s="161"/>
      <c r="EB387" s="161"/>
      <c r="EC387" s="161"/>
      <c r="ED387" s="161"/>
      <c r="EE387" s="161"/>
      <c r="EF387" s="161">
        <f>SUM(EG387:EP387)</f>
      </c>
      <c r="EG387" s="161"/>
      <c r="EH387" s="161"/>
      <c r="EI387" s="161"/>
      <c r="EJ387" s="161"/>
      <c r="EK387" s="161"/>
      <c r="EL387" s="161"/>
      <c r="EM387" s="161"/>
      <c r="EN387" s="161"/>
      <c r="EO387" s="161"/>
      <c r="EP387" s="161"/>
      <c r="EQ387" s="161">
        <f>SUM(ER387:ES387)</f>
      </c>
      <c r="ER387" s="161"/>
      <c r="ES387" s="161"/>
      <c r="ET387" s="161"/>
      <c r="EU387" s="161"/>
      <c r="EV387" s="161"/>
      <c r="EW387" s="161"/>
      <c r="EX387" s="161"/>
      <c r="EY387" s="161"/>
      <c r="EZ387" s="161"/>
      <c r="FA387" s="161"/>
      <c r="FB387" s="161"/>
      <c r="FC387" s="161"/>
      <c r="FD387" s="161"/>
      <c r="FE387" s="161"/>
      <c r="FF387" s="161"/>
      <c r="FG387" s="161"/>
      <c r="FH387" s="166" cm="1">
        <f t="array" ref="FH387">ROW()-ROW(Ongoing[#Headers])</f>
        <v>381</v>
      </c>
      <c r="FI387" s="167"/>
      <c r="FJ387" s="167"/>
      <c r="FK387" s="167"/>
      <c r="FL387" s="167"/>
      <c r="FM387" s="167"/>
      <c r="FN387" s="167"/>
      <c r="FO387" s="167"/>
      <c r="FP387" s="167"/>
    </row>
    <row r="388" spans="2:172" s="115" customFormat="1" ht="11.25" x14ac:dyDescent="0.2">
      <c r="B388" s="148"/>
      <c r="C388" s="148"/>
      <c r="D388" s="148"/>
      <c r="E388" s="148"/>
      <c r="F388" s="148"/>
      <c r="G388" s="148"/>
      <c r="H388" s="148"/>
      <c r="I388" s="148"/>
      <c r="J388" s="148"/>
      <c r="K388" s="148"/>
      <c r="L388" s="148"/>
      <c r="M388" s="160"/>
      <c r="N388" s="160"/>
      <c r="O388" s="148"/>
      <c r="P388" s="161">
        <f>SUM(Q388:AP388)</f>
      </c>
      <c r="Q388" s="161"/>
      <c r="R388" s="161"/>
      <c r="S388" s="161"/>
      <c r="T388" s="161"/>
      <c r="U388" s="161"/>
      <c r="V388" s="161"/>
      <c r="W388" s="161"/>
      <c r="X388" s="161"/>
      <c r="Y388" s="161"/>
      <c r="Z388" s="161"/>
      <c r="AA388" s="161"/>
      <c r="AB388" s="161"/>
      <c r="AC388" s="161"/>
      <c r="AD388" s="161"/>
      <c r="AE388" s="161"/>
      <c r="AF388" s="161"/>
      <c r="AG388" s="161"/>
      <c r="AH388" s="161"/>
      <c r="AI388" s="161"/>
      <c r="AJ388" s="161"/>
      <c r="AK388" s="161"/>
      <c r="AL388" s="161"/>
      <c r="AM388" s="161"/>
      <c r="AN388" s="161"/>
      <c r="AO388" s="161"/>
      <c r="AP388" s="161"/>
      <c r="AQ388" s="161">
        <f>SUM(AR388:AU388)</f>
      </c>
      <c r="AR388" s="161"/>
      <c r="AS388" s="161"/>
      <c r="AT388" s="161"/>
      <c r="AU388" s="161"/>
      <c r="AV388" s="161">
        <f>SUM(AW388:BH388)</f>
      </c>
      <c r="AW388" s="161"/>
      <c r="AX388" s="161"/>
      <c r="AY388" s="161"/>
      <c r="AZ388" s="161"/>
      <c r="BA388" s="161"/>
      <c r="BB388" s="161"/>
      <c r="BC388" s="161"/>
      <c r="BD388" s="161"/>
      <c r="BE388" s="161"/>
      <c r="BF388" s="161"/>
      <c r="BG388" s="161"/>
      <c r="BH388" s="161"/>
      <c r="BI388" s="161"/>
      <c r="BJ388" s="161"/>
      <c r="BK388" s="161"/>
      <c r="BL388" s="161"/>
      <c r="BM388" s="161"/>
      <c r="BN388" s="161"/>
      <c r="BO388" s="161"/>
      <c r="BP388" s="161"/>
      <c r="BQ388" s="161"/>
      <c r="BR388" s="161"/>
      <c r="BS388" s="161">
        <f>SUM(BT388:BV388)</f>
      </c>
      <c r="BT388" s="161"/>
      <c r="BU388" s="161"/>
      <c r="BV388" s="161"/>
      <c r="BW388" s="161">
        <f>SUM(BX388:CC388)</f>
      </c>
      <c r="BX388" s="161"/>
      <c r="BY388" s="161"/>
      <c r="BZ388" s="161"/>
      <c r="CA388" s="161"/>
      <c r="CB388" s="161"/>
      <c r="CC388" s="161"/>
      <c r="CD388" s="161"/>
      <c r="CE388" s="161"/>
      <c r="CF388" s="161"/>
      <c r="CG388" s="161"/>
      <c r="CH388" s="161"/>
      <c r="CI388" s="161"/>
      <c r="CJ388" s="161">
        <f>SUM(CK388:CM388)</f>
      </c>
      <c r="CK388" s="161"/>
      <c r="CL388" s="161"/>
      <c r="CM388" s="161"/>
      <c r="CN388" s="161">
        <f>SUM(CO388:CS388)</f>
      </c>
      <c r="CO388" s="161"/>
      <c r="CP388" s="161"/>
      <c r="CQ388" s="161"/>
      <c r="CR388" s="161"/>
      <c r="CS388" s="161"/>
      <c r="CT388" s="161"/>
      <c r="CU388" s="161"/>
      <c r="CV388" s="161"/>
      <c r="CW388" s="161"/>
      <c r="CX388" s="161"/>
      <c r="CY388" s="161"/>
      <c r="CZ388" s="161"/>
      <c r="DA388" s="161"/>
      <c r="DB388" s="161"/>
      <c r="DC388" s="161"/>
      <c r="DD388" s="161"/>
      <c r="DE388" s="161"/>
      <c r="DF388" s="161">
        <f>SUM(DG388:DG388)</f>
      </c>
      <c r="DG388" s="161"/>
      <c r="DH388" s="161"/>
      <c r="DI388" s="161"/>
      <c r="DJ388" s="161">
        <f>SUM(DK388:DP388)</f>
      </c>
      <c r="DK388" s="161"/>
      <c r="DL388" s="161"/>
      <c r="DM388" s="161"/>
      <c r="DN388" s="161"/>
      <c r="DO388" s="161"/>
      <c r="DP388" s="161"/>
      <c r="DQ388" s="161"/>
      <c r="DR388" s="161"/>
      <c r="DS388" s="161"/>
      <c r="DT388" s="161"/>
      <c r="DU388" s="161"/>
      <c r="DV388" s="161"/>
      <c r="DW388" s="161"/>
      <c r="DX388" s="161"/>
      <c r="DY388" s="161"/>
      <c r="DZ388" s="161"/>
      <c r="EA388" s="161"/>
      <c r="EB388" s="161"/>
      <c r="EC388" s="161"/>
      <c r="ED388" s="161"/>
      <c r="EE388" s="161"/>
      <c r="EF388" s="161">
        <f>SUM(EG388:EP388)</f>
      </c>
      <c r="EG388" s="161"/>
      <c r="EH388" s="161"/>
      <c r="EI388" s="161"/>
      <c r="EJ388" s="161"/>
      <c r="EK388" s="161"/>
      <c r="EL388" s="161"/>
      <c r="EM388" s="161"/>
      <c r="EN388" s="161"/>
      <c r="EO388" s="161"/>
      <c r="EP388" s="161"/>
      <c r="EQ388" s="161">
        <f>SUM(ER388:ES388)</f>
      </c>
      <c r="ER388" s="161"/>
      <c r="ES388" s="161"/>
      <c r="ET388" s="161"/>
      <c r="EU388" s="161"/>
      <c r="EV388" s="161"/>
      <c r="EW388" s="161"/>
      <c r="EX388" s="161"/>
      <c r="EY388" s="161"/>
      <c r="EZ388" s="161"/>
      <c r="FA388" s="161"/>
      <c r="FB388" s="161"/>
      <c r="FC388" s="161"/>
      <c r="FD388" s="161"/>
      <c r="FE388" s="161"/>
      <c r="FF388" s="161"/>
      <c r="FG388" s="161"/>
      <c r="FH388" s="166" cm="1">
        <f t="array" ref="FH388">ROW()-ROW(Ongoing[#Headers])</f>
        <v>382</v>
      </c>
      <c r="FI388" s="167"/>
      <c r="FJ388" s="167"/>
      <c r="FK388" s="167"/>
      <c r="FL388" s="167"/>
      <c r="FM388" s="167"/>
      <c r="FN388" s="167"/>
      <c r="FO388" s="167"/>
      <c r="FP388" s="167"/>
    </row>
    <row r="389" spans="2:172" s="115" customFormat="1" ht="11.25" x14ac:dyDescent="0.2">
      <c r="B389" s="148"/>
      <c r="C389" s="148"/>
      <c r="D389" s="148"/>
      <c r="E389" s="148"/>
      <c r="F389" s="148"/>
      <c r="G389" s="148"/>
      <c r="H389" s="148"/>
      <c r="I389" s="148"/>
      <c r="J389" s="148"/>
      <c r="K389" s="148"/>
      <c r="L389" s="148"/>
      <c r="M389" s="160"/>
      <c r="N389" s="160"/>
      <c r="O389" s="148"/>
      <c r="P389" s="161">
        <f>SUM(Q389:AP389)</f>
      </c>
      <c r="Q389" s="161"/>
      <c r="R389" s="161"/>
      <c r="S389" s="161"/>
      <c r="T389" s="161"/>
      <c r="U389" s="161"/>
      <c r="V389" s="161"/>
      <c r="W389" s="161"/>
      <c r="X389" s="161"/>
      <c r="Y389" s="161"/>
      <c r="Z389" s="161"/>
      <c r="AA389" s="161"/>
      <c r="AB389" s="161"/>
      <c r="AC389" s="161"/>
      <c r="AD389" s="161"/>
      <c r="AE389" s="161"/>
      <c r="AF389" s="161"/>
      <c r="AG389" s="161"/>
      <c r="AH389" s="161"/>
      <c r="AI389" s="161"/>
      <c r="AJ389" s="161"/>
      <c r="AK389" s="161"/>
      <c r="AL389" s="161"/>
      <c r="AM389" s="161"/>
      <c r="AN389" s="161"/>
      <c r="AO389" s="161"/>
      <c r="AP389" s="161"/>
      <c r="AQ389" s="161">
        <f>SUM(AR389:AU389)</f>
      </c>
      <c r="AR389" s="161"/>
      <c r="AS389" s="161"/>
      <c r="AT389" s="161"/>
      <c r="AU389" s="161"/>
      <c r="AV389" s="161">
        <f>SUM(AW389:BH389)</f>
      </c>
      <c r="AW389" s="161"/>
      <c r="AX389" s="161"/>
      <c r="AY389" s="161"/>
      <c r="AZ389" s="161"/>
      <c r="BA389" s="161"/>
      <c r="BB389" s="161"/>
      <c r="BC389" s="161"/>
      <c r="BD389" s="161"/>
      <c r="BE389" s="161"/>
      <c r="BF389" s="161"/>
      <c r="BG389" s="161"/>
      <c r="BH389" s="161"/>
      <c r="BI389" s="161"/>
      <c r="BJ389" s="161"/>
      <c r="BK389" s="161"/>
      <c r="BL389" s="161"/>
      <c r="BM389" s="161"/>
      <c r="BN389" s="161"/>
      <c r="BO389" s="161"/>
      <c r="BP389" s="161"/>
      <c r="BQ389" s="161"/>
      <c r="BR389" s="161"/>
      <c r="BS389" s="161">
        <f>SUM(BT389:BV389)</f>
      </c>
      <c r="BT389" s="161"/>
      <c r="BU389" s="161"/>
      <c r="BV389" s="161"/>
      <c r="BW389" s="161">
        <f>SUM(BX389:CC389)</f>
      </c>
      <c r="BX389" s="161"/>
      <c r="BY389" s="161"/>
      <c r="BZ389" s="161"/>
      <c r="CA389" s="161"/>
      <c r="CB389" s="161"/>
      <c r="CC389" s="161"/>
      <c r="CD389" s="161"/>
      <c r="CE389" s="161"/>
      <c r="CF389" s="161"/>
      <c r="CG389" s="161"/>
      <c r="CH389" s="161"/>
      <c r="CI389" s="161"/>
      <c r="CJ389" s="161">
        <f>SUM(CK389:CM389)</f>
      </c>
      <c r="CK389" s="161"/>
      <c r="CL389" s="161"/>
      <c r="CM389" s="161"/>
      <c r="CN389" s="161">
        <f>SUM(CO389:CS389)</f>
      </c>
      <c r="CO389" s="161"/>
      <c r="CP389" s="161"/>
      <c r="CQ389" s="161"/>
      <c r="CR389" s="161"/>
      <c r="CS389" s="161"/>
      <c r="CT389" s="161"/>
      <c r="CU389" s="161"/>
      <c r="CV389" s="161"/>
      <c r="CW389" s="161"/>
      <c r="CX389" s="161"/>
      <c r="CY389" s="161"/>
      <c r="CZ389" s="161"/>
      <c r="DA389" s="161"/>
      <c r="DB389" s="161"/>
      <c r="DC389" s="161"/>
      <c r="DD389" s="161"/>
      <c r="DE389" s="161"/>
      <c r="DF389" s="161">
        <f>SUM(DG389:DG389)</f>
      </c>
      <c r="DG389" s="161"/>
      <c r="DH389" s="161"/>
      <c r="DI389" s="161"/>
      <c r="DJ389" s="161">
        <f>SUM(DK389:DP389)</f>
      </c>
      <c r="DK389" s="161"/>
      <c r="DL389" s="161"/>
      <c r="DM389" s="161"/>
      <c r="DN389" s="161"/>
      <c r="DO389" s="161"/>
      <c r="DP389" s="161"/>
      <c r="DQ389" s="161"/>
      <c r="DR389" s="161"/>
      <c r="DS389" s="161"/>
      <c r="DT389" s="161"/>
      <c r="DU389" s="161"/>
      <c r="DV389" s="161"/>
      <c r="DW389" s="161"/>
      <c r="DX389" s="161"/>
      <c r="DY389" s="161"/>
      <c r="DZ389" s="161"/>
      <c r="EA389" s="161"/>
      <c r="EB389" s="161"/>
      <c r="EC389" s="161"/>
      <c r="ED389" s="161"/>
      <c r="EE389" s="161"/>
      <c r="EF389" s="161">
        <f>SUM(EG389:EP389)</f>
      </c>
      <c r="EG389" s="161"/>
      <c r="EH389" s="161"/>
      <c r="EI389" s="161"/>
      <c r="EJ389" s="161"/>
      <c r="EK389" s="161"/>
      <c r="EL389" s="161"/>
      <c r="EM389" s="161"/>
      <c r="EN389" s="161"/>
      <c r="EO389" s="161"/>
      <c r="EP389" s="161"/>
      <c r="EQ389" s="161">
        <f>SUM(ER389:ES389)</f>
      </c>
      <c r="ER389" s="161"/>
      <c r="ES389" s="161"/>
      <c r="ET389" s="161"/>
      <c r="EU389" s="161"/>
      <c r="EV389" s="161"/>
      <c r="EW389" s="161"/>
      <c r="EX389" s="161"/>
      <c r="EY389" s="161"/>
      <c r="EZ389" s="161"/>
      <c r="FA389" s="161"/>
      <c r="FB389" s="161"/>
      <c r="FC389" s="161"/>
      <c r="FD389" s="161"/>
      <c r="FE389" s="161"/>
      <c r="FF389" s="161"/>
      <c r="FG389" s="161"/>
      <c r="FH389" s="166" cm="1">
        <f t="array" ref="FH389">ROW()-ROW(Ongoing[#Headers])</f>
        <v>383</v>
      </c>
      <c r="FI389" s="167"/>
      <c r="FJ389" s="167"/>
      <c r="FK389" s="167"/>
      <c r="FL389" s="167"/>
      <c r="FM389" s="167"/>
      <c r="FN389" s="167"/>
      <c r="FO389" s="167"/>
      <c r="FP389" s="167"/>
    </row>
    <row r="390" spans="2:172" s="115" customFormat="1" ht="11.25" x14ac:dyDescent="0.2">
      <c r="B390" s="148"/>
      <c r="C390" s="148"/>
      <c r="D390" s="148"/>
      <c r="E390" s="148"/>
      <c r="F390" s="148"/>
      <c r="G390" s="148"/>
      <c r="H390" s="148"/>
      <c r="I390" s="148"/>
      <c r="J390" s="148"/>
      <c r="K390" s="148"/>
      <c r="L390" s="148"/>
      <c r="M390" s="160"/>
      <c r="N390" s="160"/>
      <c r="O390" s="148"/>
      <c r="P390" s="161">
        <f>SUM(Q390:AP390)</f>
      </c>
      <c r="Q390" s="161"/>
      <c r="R390" s="161"/>
      <c r="S390" s="161"/>
      <c r="T390" s="161"/>
      <c r="U390" s="161"/>
      <c r="V390" s="161"/>
      <c r="W390" s="161"/>
      <c r="X390" s="161"/>
      <c r="Y390" s="161"/>
      <c r="Z390" s="161"/>
      <c r="AA390" s="161"/>
      <c r="AB390" s="161"/>
      <c r="AC390" s="161"/>
      <c r="AD390" s="161"/>
      <c r="AE390" s="161"/>
      <c r="AF390" s="161"/>
      <c r="AG390" s="161"/>
      <c r="AH390" s="161"/>
      <c r="AI390" s="161"/>
      <c r="AJ390" s="161"/>
      <c r="AK390" s="161"/>
      <c r="AL390" s="161"/>
      <c r="AM390" s="161"/>
      <c r="AN390" s="161"/>
      <c r="AO390" s="161"/>
      <c r="AP390" s="161"/>
      <c r="AQ390" s="161">
        <f>SUM(AR390:AU390)</f>
      </c>
      <c r="AR390" s="161"/>
      <c r="AS390" s="161"/>
      <c r="AT390" s="161"/>
      <c r="AU390" s="161"/>
      <c r="AV390" s="161">
        <f>SUM(AW390:BH390)</f>
      </c>
      <c r="AW390" s="161"/>
      <c r="AX390" s="161"/>
      <c r="AY390" s="161"/>
      <c r="AZ390" s="161"/>
      <c r="BA390" s="161"/>
      <c r="BB390" s="161"/>
      <c r="BC390" s="161"/>
      <c r="BD390" s="161"/>
      <c r="BE390" s="161"/>
      <c r="BF390" s="161"/>
      <c r="BG390" s="161"/>
      <c r="BH390" s="161"/>
      <c r="BI390" s="161"/>
      <c r="BJ390" s="161"/>
      <c r="BK390" s="161"/>
      <c r="BL390" s="161"/>
      <c r="BM390" s="161"/>
      <c r="BN390" s="161"/>
      <c r="BO390" s="161"/>
      <c r="BP390" s="161"/>
      <c r="BQ390" s="161"/>
      <c r="BR390" s="161"/>
      <c r="BS390" s="161">
        <f>SUM(BT390:BV390)</f>
      </c>
      <c r="BT390" s="161"/>
      <c r="BU390" s="161"/>
      <c r="BV390" s="161"/>
      <c r="BW390" s="161">
        <f>SUM(BX390:CC390)</f>
      </c>
      <c r="BX390" s="161"/>
      <c r="BY390" s="161"/>
      <c r="BZ390" s="161"/>
      <c r="CA390" s="161"/>
      <c r="CB390" s="161"/>
      <c r="CC390" s="161"/>
      <c r="CD390" s="161"/>
      <c r="CE390" s="161"/>
      <c r="CF390" s="161"/>
      <c r="CG390" s="161"/>
      <c r="CH390" s="161"/>
      <c r="CI390" s="161"/>
      <c r="CJ390" s="161">
        <f>SUM(CK390:CM390)</f>
      </c>
      <c r="CK390" s="161"/>
      <c r="CL390" s="161"/>
      <c r="CM390" s="161"/>
      <c r="CN390" s="161">
        <f>SUM(CO390:CS390)</f>
      </c>
      <c r="CO390" s="161"/>
      <c r="CP390" s="161"/>
      <c r="CQ390" s="161"/>
      <c r="CR390" s="161"/>
      <c r="CS390" s="161"/>
      <c r="CT390" s="161"/>
      <c r="CU390" s="161"/>
      <c r="CV390" s="161"/>
      <c r="CW390" s="161"/>
      <c r="CX390" s="161"/>
      <c r="CY390" s="161"/>
      <c r="CZ390" s="161"/>
      <c r="DA390" s="161"/>
      <c r="DB390" s="161"/>
      <c r="DC390" s="161"/>
      <c r="DD390" s="161"/>
      <c r="DE390" s="161"/>
      <c r="DF390" s="161">
        <f>SUM(DG390:DG390)</f>
      </c>
      <c r="DG390" s="161"/>
      <c r="DH390" s="161"/>
      <c r="DI390" s="161"/>
      <c r="DJ390" s="161">
        <f>SUM(DK390:DP390)</f>
      </c>
      <c r="DK390" s="161"/>
      <c r="DL390" s="161"/>
      <c r="DM390" s="161"/>
      <c r="DN390" s="161"/>
      <c r="DO390" s="161"/>
      <c r="DP390" s="161"/>
      <c r="DQ390" s="161"/>
      <c r="DR390" s="161"/>
      <c r="DS390" s="161"/>
      <c r="DT390" s="161"/>
      <c r="DU390" s="161"/>
      <c r="DV390" s="161"/>
      <c r="DW390" s="161"/>
      <c r="DX390" s="161"/>
      <c r="DY390" s="161"/>
      <c r="DZ390" s="161"/>
      <c r="EA390" s="161"/>
      <c r="EB390" s="161"/>
      <c r="EC390" s="161"/>
      <c r="ED390" s="161"/>
      <c r="EE390" s="161"/>
      <c r="EF390" s="161">
        <f>SUM(EG390:EP390)</f>
      </c>
      <c r="EG390" s="161"/>
      <c r="EH390" s="161"/>
      <c r="EI390" s="161"/>
      <c r="EJ390" s="161"/>
      <c r="EK390" s="161"/>
      <c r="EL390" s="161"/>
      <c r="EM390" s="161"/>
      <c r="EN390" s="161"/>
      <c r="EO390" s="161"/>
      <c r="EP390" s="161"/>
      <c r="EQ390" s="161">
        <f>SUM(ER390:ES390)</f>
      </c>
      <c r="ER390" s="161"/>
      <c r="ES390" s="161"/>
      <c r="ET390" s="161"/>
      <c r="EU390" s="161"/>
      <c r="EV390" s="161"/>
      <c r="EW390" s="161"/>
      <c r="EX390" s="161"/>
      <c r="EY390" s="161"/>
      <c r="EZ390" s="161"/>
      <c r="FA390" s="161"/>
      <c r="FB390" s="161"/>
      <c r="FC390" s="161"/>
      <c r="FD390" s="161"/>
      <c r="FE390" s="161"/>
      <c r="FF390" s="161"/>
      <c r="FG390" s="161"/>
      <c r="FH390" s="166" cm="1">
        <f t="array" ref="FH390">ROW()-ROW(Ongoing[#Headers])</f>
        <v>384</v>
      </c>
      <c r="FI390" s="167"/>
      <c r="FJ390" s="167"/>
      <c r="FK390" s="167"/>
      <c r="FL390" s="167"/>
      <c r="FM390" s="167"/>
      <c r="FN390" s="167"/>
      <c r="FO390" s="167"/>
      <c r="FP390" s="167"/>
    </row>
    <row r="391" spans="2:172" s="115" customFormat="1" ht="11.25" x14ac:dyDescent="0.2">
      <c r="B391" s="148"/>
      <c r="C391" s="148"/>
      <c r="D391" s="148"/>
      <c r="E391" s="148"/>
      <c r="F391" s="148"/>
      <c r="G391" s="148"/>
      <c r="H391" s="148"/>
      <c r="I391" s="148"/>
      <c r="J391" s="148"/>
      <c r="K391" s="148"/>
      <c r="L391" s="148"/>
      <c r="M391" s="160"/>
      <c r="N391" s="160"/>
      <c r="O391" s="148"/>
      <c r="P391" s="161">
        <f>SUM(Q391:AP391)</f>
      </c>
      <c r="Q391" s="161"/>
      <c r="R391" s="161"/>
      <c r="S391" s="161"/>
      <c r="T391" s="161"/>
      <c r="U391" s="161"/>
      <c r="V391" s="161"/>
      <c r="W391" s="161"/>
      <c r="X391" s="161"/>
      <c r="Y391" s="161"/>
      <c r="Z391" s="161"/>
      <c r="AA391" s="161"/>
      <c r="AB391" s="161"/>
      <c r="AC391" s="161"/>
      <c r="AD391" s="161"/>
      <c r="AE391" s="161"/>
      <c r="AF391" s="161"/>
      <c r="AG391" s="161"/>
      <c r="AH391" s="161"/>
      <c r="AI391" s="161"/>
      <c r="AJ391" s="161"/>
      <c r="AK391" s="161"/>
      <c r="AL391" s="161"/>
      <c r="AM391" s="161"/>
      <c r="AN391" s="161"/>
      <c r="AO391" s="161"/>
      <c r="AP391" s="161"/>
      <c r="AQ391" s="161">
        <f>SUM(AR391:AU391)</f>
      </c>
      <c r="AR391" s="161"/>
      <c r="AS391" s="161"/>
      <c r="AT391" s="161"/>
      <c r="AU391" s="161"/>
      <c r="AV391" s="161">
        <f>SUM(AW391:BH391)</f>
      </c>
      <c r="AW391" s="161"/>
      <c r="AX391" s="161"/>
      <c r="AY391" s="161"/>
      <c r="AZ391" s="161"/>
      <c r="BA391" s="161"/>
      <c r="BB391" s="161"/>
      <c r="BC391" s="161"/>
      <c r="BD391" s="161"/>
      <c r="BE391" s="161"/>
      <c r="BF391" s="161"/>
      <c r="BG391" s="161"/>
      <c r="BH391" s="161"/>
      <c r="BI391" s="161"/>
      <c r="BJ391" s="161"/>
      <c r="BK391" s="161"/>
      <c r="BL391" s="161"/>
      <c r="BM391" s="161"/>
      <c r="BN391" s="161"/>
      <c r="BO391" s="161"/>
      <c r="BP391" s="161"/>
      <c r="BQ391" s="161"/>
      <c r="BR391" s="161"/>
      <c r="BS391" s="161">
        <f>SUM(BT391:BV391)</f>
      </c>
      <c r="BT391" s="161"/>
      <c r="BU391" s="161"/>
      <c r="BV391" s="161"/>
      <c r="BW391" s="161">
        <f>SUM(BX391:CC391)</f>
      </c>
      <c r="BX391" s="161"/>
      <c r="BY391" s="161"/>
      <c r="BZ391" s="161"/>
      <c r="CA391" s="161"/>
      <c r="CB391" s="161"/>
      <c r="CC391" s="161"/>
      <c r="CD391" s="161"/>
      <c r="CE391" s="161"/>
      <c r="CF391" s="161"/>
      <c r="CG391" s="161"/>
      <c r="CH391" s="161"/>
      <c r="CI391" s="161"/>
      <c r="CJ391" s="161">
        <f>SUM(CK391:CM391)</f>
      </c>
      <c r="CK391" s="161"/>
      <c r="CL391" s="161"/>
      <c r="CM391" s="161"/>
      <c r="CN391" s="161">
        <f>SUM(CO391:CS391)</f>
      </c>
      <c r="CO391" s="161"/>
      <c r="CP391" s="161"/>
      <c r="CQ391" s="161"/>
      <c r="CR391" s="161"/>
      <c r="CS391" s="161"/>
      <c r="CT391" s="161"/>
      <c r="CU391" s="161"/>
      <c r="CV391" s="161"/>
      <c r="CW391" s="161"/>
      <c r="CX391" s="161"/>
      <c r="CY391" s="161"/>
      <c r="CZ391" s="161"/>
      <c r="DA391" s="161"/>
      <c r="DB391" s="161"/>
      <c r="DC391" s="161"/>
      <c r="DD391" s="161"/>
      <c r="DE391" s="161"/>
      <c r="DF391" s="161">
        <f>SUM(DG391:DG391)</f>
      </c>
      <c r="DG391" s="161"/>
      <c r="DH391" s="161"/>
      <c r="DI391" s="161"/>
      <c r="DJ391" s="161">
        <f>SUM(DK391:DP391)</f>
      </c>
      <c r="DK391" s="161"/>
      <c r="DL391" s="161"/>
      <c r="DM391" s="161"/>
      <c r="DN391" s="161"/>
      <c r="DO391" s="161"/>
      <c r="DP391" s="161"/>
      <c r="DQ391" s="161"/>
      <c r="DR391" s="161"/>
      <c r="DS391" s="161"/>
      <c r="DT391" s="161"/>
      <c r="DU391" s="161"/>
      <c r="DV391" s="161"/>
      <c r="DW391" s="161"/>
      <c r="DX391" s="161"/>
      <c r="DY391" s="161"/>
      <c r="DZ391" s="161"/>
      <c r="EA391" s="161"/>
      <c r="EB391" s="161"/>
      <c r="EC391" s="161"/>
      <c r="ED391" s="161"/>
      <c r="EE391" s="161"/>
      <c r="EF391" s="161">
        <f>SUM(EG391:EP391)</f>
      </c>
      <c r="EG391" s="161"/>
      <c r="EH391" s="161"/>
      <c r="EI391" s="161"/>
      <c r="EJ391" s="161"/>
      <c r="EK391" s="161"/>
      <c r="EL391" s="161"/>
      <c r="EM391" s="161"/>
      <c r="EN391" s="161"/>
      <c r="EO391" s="161"/>
      <c r="EP391" s="161"/>
      <c r="EQ391" s="161">
        <f>SUM(ER391:ES391)</f>
      </c>
      <c r="ER391" s="161"/>
      <c r="ES391" s="161"/>
      <c r="ET391" s="161"/>
      <c r="EU391" s="161"/>
      <c r="EV391" s="161"/>
      <c r="EW391" s="161"/>
      <c r="EX391" s="161"/>
      <c r="EY391" s="161"/>
      <c r="EZ391" s="161"/>
      <c r="FA391" s="161"/>
      <c r="FB391" s="161"/>
      <c r="FC391" s="161"/>
      <c r="FD391" s="161"/>
      <c r="FE391" s="161"/>
      <c r="FF391" s="161"/>
      <c r="FG391" s="161"/>
      <c r="FH391" s="166" cm="1">
        <f t="array" ref="FH391">ROW()-ROW(Ongoing[#Headers])</f>
        <v>385</v>
      </c>
      <c r="FI391" s="167"/>
      <c r="FJ391" s="167"/>
      <c r="FK391" s="167"/>
      <c r="FL391" s="167"/>
      <c r="FM391" s="167"/>
      <c r="FN391" s="167"/>
      <c r="FO391" s="167"/>
      <c r="FP391" s="167"/>
    </row>
    <row r="392" spans="2:172" s="115" customFormat="1" ht="11.25" x14ac:dyDescent="0.2">
      <c r="B392" s="148"/>
      <c r="C392" s="148"/>
      <c r="D392" s="148"/>
      <c r="E392" s="148"/>
      <c r="F392" s="148"/>
      <c r="G392" s="148"/>
      <c r="H392" s="148"/>
      <c r="I392" s="148"/>
      <c r="J392" s="148"/>
      <c r="K392" s="148"/>
      <c r="L392" s="148"/>
      <c r="M392" s="160"/>
      <c r="N392" s="160"/>
      <c r="O392" s="148"/>
      <c r="P392" s="161">
        <f>SUM(Q392:AP392)</f>
      </c>
      <c r="Q392" s="161"/>
      <c r="R392" s="161"/>
      <c r="S392" s="161"/>
      <c r="T392" s="161"/>
      <c r="U392" s="161"/>
      <c r="V392" s="161"/>
      <c r="W392" s="161"/>
      <c r="X392" s="161"/>
      <c r="Y392" s="161"/>
      <c r="Z392" s="161"/>
      <c r="AA392" s="161"/>
      <c r="AB392" s="161"/>
      <c r="AC392" s="161"/>
      <c r="AD392" s="161"/>
      <c r="AE392" s="161"/>
      <c r="AF392" s="161"/>
      <c r="AG392" s="161"/>
      <c r="AH392" s="161"/>
      <c r="AI392" s="161"/>
      <c r="AJ392" s="161"/>
      <c r="AK392" s="161"/>
      <c r="AL392" s="161"/>
      <c r="AM392" s="161"/>
      <c r="AN392" s="161"/>
      <c r="AO392" s="161"/>
      <c r="AP392" s="161"/>
      <c r="AQ392" s="161">
        <f>SUM(AR392:AU392)</f>
      </c>
      <c r="AR392" s="161"/>
      <c r="AS392" s="161"/>
      <c r="AT392" s="161"/>
      <c r="AU392" s="161"/>
      <c r="AV392" s="161">
        <f>SUM(AW392:BH392)</f>
      </c>
      <c r="AW392" s="161"/>
      <c r="AX392" s="161"/>
      <c r="AY392" s="161"/>
      <c r="AZ392" s="161"/>
      <c r="BA392" s="161"/>
      <c r="BB392" s="161"/>
      <c r="BC392" s="161"/>
      <c r="BD392" s="161"/>
      <c r="BE392" s="161"/>
      <c r="BF392" s="161"/>
      <c r="BG392" s="161"/>
      <c r="BH392" s="161"/>
      <c r="BI392" s="161"/>
      <c r="BJ392" s="161"/>
      <c r="BK392" s="161"/>
      <c r="BL392" s="161"/>
      <c r="BM392" s="161"/>
      <c r="BN392" s="161"/>
      <c r="BO392" s="161"/>
      <c r="BP392" s="161"/>
      <c r="BQ392" s="161"/>
      <c r="BR392" s="161"/>
      <c r="BS392" s="161">
        <f>SUM(BT392:BV392)</f>
      </c>
      <c r="BT392" s="161"/>
      <c r="BU392" s="161"/>
      <c r="BV392" s="161"/>
      <c r="BW392" s="161">
        <f>SUM(BX392:CC392)</f>
      </c>
      <c r="BX392" s="161"/>
      <c r="BY392" s="161"/>
      <c r="BZ392" s="161"/>
      <c r="CA392" s="161"/>
      <c r="CB392" s="161"/>
      <c r="CC392" s="161"/>
      <c r="CD392" s="161"/>
      <c r="CE392" s="161"/>
      <c r="CF392" s="161"/>
      <c r="CG392" s="161"/>
      <c r="CH392" s="161"/>
      <c r="CI392" s="161"/>
      <c r="CJ392" s="161">
        <f>SUM(CK392:CM392)</f>
      </c>
      <c r="CK392" s="161"/>
      <c r="CL392" s="161"/>
      <c r="CM392" s="161"/>
      <c r="CN392" s="161">
        <f>SUM(CO392:CS392)</f>
      </c>
      <c r="CO392" s="161"/>
      <c r="CP392" s="161"/>
      <c r="CQ392" s="161"/>
      <c r="CR392" s="161"/>
      <c r="CS392" s="161"/>
      <c r="CT392" s="161"/>
      <c r="CU392" s="161"/>
      <c r="CV392" s="161"/>
      <c r="CW392" s="161"/>
      <c r="CX392" s="161"/>
      <c r="CY392" s="161"/>
      <c r="CZ392" s="161"/>
      <c r="DA392" s="161"/>
      <c r="DB392" s="161"/>
      <c r="DC392" s="161"/>
      <c r="DD392" s="161"/>
      <c r="DE392" s="161"/>
      <c r="DF392" s="161">
        <f>SUM(DG392:DG392)</f>
      </c>
      <c r="DG392" s="161"/>
      <c r="DH392" s="161"/>
      <c r="DI392" s="161"/>
      <c r="DJ392" s="161">
        <f>SUM(DK392:DP392)</f>
      </c>
      <c r="DK392" s="161"/>
      <c r="DL392" s="161"/>
      <c r="DM392" s="161"/>
      <c r="DN392" s="161"/>
      <c r="DO392" s="161"/>
      <c r="DP392" s="161"/>
      <c r="DQ392" s="161"/>
      <c r="DR392" s="161"/>
      <c r="DS392" s="161"/>
      <c r="DT392" s="161"/>
      <c r="DU392" s="161"/>
      <c r="DV392" s="161"/>
      <c r="DW392" s="161"/>
      <c r="DX392" s="161"/>
      <c r="DY392" s="161"/>
      <c r="DZ392" s="161"/>
      <c r="EA392" s="161"/>
      <c r="EB392" s="161"/>
      <c r="EC392" s="161"/>
      <c r="ED392" s="161"/>
      <c r="EE392" s="161"/>
      <c r="EF392" s="161">
        <f>SUM(EG392:EP392)</f>
      </c>
      <c r="EG392" s="161"/>
      <c r="EH392" s="161"/>
      <c r="EI392" s="161"/>
      <c r="EJ392" s="161"/>
      <c r="EK392" s="161"/>
      <c r="EL392" s="161"/>
      <c r="EM392" s="161"/>
      <c r="EN392" s="161"/>
      <c r="EO392" s="161"/>
      <c r="EP392" s="161"/>
      <c r="EQ392" s="161">
        <f>SUM(ER392:ES392)</f>
      </c>
      <c r="ER392" s="161"/>
      <c r="ES392" s="161"/>
      <c r="ET392" s="161"/>
      <c r="EU392" s="161"/>
      <c r="EV392" s="161"/>
      <c r="EW392" s="161"/>
      <c r="EX392" s="161"/>
      <c r="EY392" s="161"/>
      <c r="EZ392" s="161"/>
      <c r="FA392" s="161"/>
      <c r="FB392" s="161"/>
      <c r="FC392" s="161"/>
      <c r="FD392" s="161"/>
      <c r="FE392" s="161"/>
      <c r="FF392" s="161"/>
      <c r="FG392" s="161"/>
      <c r="FH392" s="166" cm="1">
        <f t="array" ref="FH392">ROW()-ROW(Ongoing[#Headers])</f>
        <v>386</v>
      </c>
      <c r="FI392" s="167"/>
      <c r="FJ392" s="167"/>
      <c r="FK392" s="167"/>
      <c r="FL392" s="167"/>
      <c r="FM392" s="167"/>
      <c r="FN392" s="167"/>
      <c r="FO392" s="167"/>
      <c r="FP392" s="167"/>
    </row>
    <row r="393" spans="2:172" s="115" customFormat="1" ht="11.25" x14ac:dyDescent="0.2">
      <c r="B393" s="148"/>
      <c r="C393" s="148"/>
      <c r="D393" s="148"/>
      <c r="E393" s="148"/>
      <c r="F393" s="148"/>
      <c r="G393" s="148"/>
      <c r="H393" s="148"/>
      <c r="I393" s="148"/>
      <c r="J393" s="148"/>
      <c r="K393" s="148"/>
      <c r="L393" s="148"/>
      <c r="M393" s="160"/>
      <c r="N393" s="160"/>
      <c r="O393" s="148"/>
      <c r="P393" s="161">
        <f>SUM(Q393:AP393)</f>
      </c>
      <c r="Q393" s="161"/>
      <c r="R393" s="161"/>
      <c r="S393" s="161"/>
      <c r="T393" s="161"/>
      <c r="U393" s="161"/>
      <c r="V393" s="161"/>
      <c r="W393" s="161"/>
      <c r="X393" s="161"/>
      <c r="Y393" s="161"/>
      <c r="Z393" s="161"/>
      <c r="AA393" s="161"/>
      <c r="AB393" s="161"/>
      <c r="AC393" s="161"/>
      <c r="AD393" s="161"/>
      <c r="AE393" s="161"/>
      <c r="AF393" s="161"/>
      <c r="AG393" s="161"/>
      <c r="AH393" s="161"/>
      <c r="AI393" s="161"/>
      <c r="AJ393" s="161"/>
      <c r="AK393" s="161"/>
      <c r="AL393" s="161"/>
      <c r="AM393" s="161"/>
      <c r="AN393" s="161"/>
      <c r="AO393" s="161"/>
      <c r="AP393" s="161"/>
      <c r="AQ393" s="161">
        <f>SUM(AR393:AU393)</f>
      </c>
      <c r="AR393" s="161"/>
      <c r="AS393" s="161"/>
      <c r="AT393" s="161"/>
      <c r="AU393" s="161"/>
      <c r="AV393" s="161">
        <f>SUM(AW393:BH393)</f>
      </c>
      <c r="AW393" s="161"/>
      <c r="AX393" s="161"/>
      <c r="AY393" s="161"/>
      <c r="AZ393" s="161"/>
      <c r="BA393" s="161"/>
      <c r="BB393" s="161"/>
      <c r="BC393" s="161"/>
      <c r="BD393" s="161"/>
      <c r="BE393" s="161"/>
      <c r="BF393" s="161"/>
      <c r="BG393" s="161"/>
      <c r="BH393" s="161"/>
      <c r="BI393" s="161"/>
      <c r="BJ393" s="161"/>
      <c r="BK393" s="161"/>
      <c r="BL393" s="161"/>
      <c r="BM393" s="161"/>
      <c r="BN393" s="161"/>
      <c r="BO393" s="161"/>
      <c r="BP393" s="161"/>
      <c r="BQ393" s="161"/>
      <c r="BR393" s="161"/>
      <c r="BS393" s="161">
        <f>SUM(BT393:BV393)</f>
      </c>
      <c r="BT393" s="161"/>
      <c r="BU393" s="161"/>
      <c r="BV393" s="161"/>
      <c r="BW393" s="161">
        <f>SUM(BX393:CC393)</f>
      </c>
      <c r="BX393" s="161"/>
      <c r="BY393" s="161"/>
      <c r="BZ393" s="161"/>
      <c r="CA393" s="161"/>
      <c r="CB393" s="161"/>
      <c r="CC393" s="161"/>
      <c r="CD393" s="161"/>
      <c r="CE393" s="161"/>
      <c r="CF393" s="161"/>
      <c r="CG393" s="161"/>
      <c r="CH393" s="161"/>
      <c r="CI393" s="161"/>
      <c r="CJ393" s="161">
        <f>SUM(CK393:CM393)</f>
      </c>
      <c r="CK393" s="161"/>
      <c r="CL393" s="161"/>
      <c r="CM393" s="161"/>
      <c r="CN393" s="161">
        <f>SUM(CO393:CS393)</f>
      </c>
      <c r="CO393" s="161"/>
      <c r="CP393" s="161"/>
      <c r="CQ393" s="161"/>
      <c r="CR393" s="161"/>
      <c r="CS393" s="161"/>
      <c r="CT393" s="161"/>
      <c r="CU393" s="161"/>
      <c r="CV393" s="161"/>
      <c r="CW393" s="161"/>
      <c r="CX393" s="161"/>
      <c r="CY393" s="161"/>
      <c r="CZ393" s="161"/>
      <c r="DA393" s="161"/>
      <c r="DB393" s="161"/>
      <c r="DC393" s="161"/>
      <c r="DD393" s="161"/>
      <c r="DE393" s="161"/>
      <c r="DF393" s="161">
        <f>SUM(DG393:DG393)</f>
      </c>
      <c r="DG393" s="161"/>
      <c r="DH393" s="161"/>
      <c r="DI393" s="161"/>
      <c r="DJ393" s="161">
        <f>SUM(DK393:DP393)</f>
      </c>
      <c r="DK393" s="161"/>
      <c r="DL393" s="161"/>
      <c r="DM393" s="161"/>
      <c r="DN393" s="161"/>
      <c r="DO393" s="161"/>
      <c r="DP393" s="161"/>
      <c r="DQ393" s="161"/>
      <c r="DR393" s="161"/>
      <c r="DS393" s="161"/>
      <c r="DT393" s="161"/>
      <c r="DU393" s="161"/>
      <c r="DV393" s="161"/>
      <c r="DW393" s="161"/>
      <c r="DX393" s="161"/>
      <c r="DY393" s="161"/>
      <c r="DZ393" s="161"/>
      <c r="EA393" s="161"/>
      <c r="EB393" s="161"/>
      <c r="EC393" s="161"/>
      <c r="ED393" s="161"/>
      <c r="EE393" s="161"/>
      <c r="EF393" s="161">
        <f>SUM(EG393:EP393)</f>
      </c>
      <c r="EG393" s="161"/>
      <c r="EH393" s="161"/>
      <c r="EI393" s="161"/>
      <c r="EJ393" s="161"/>
      <c r="EK393" s="161"/>
      <c r="EL393" s="161"/>
      <c r="EM393" s="161"/>
      <c r="EN393" s="161"/>
      <c r="EO393" s="161"/>
      <c r="EP393" s="161"/>
      <c r="EQ393" s="161">
        <f>SUM(ER393:ES393)</f>
      </c>
      <c r="ER393" s="161"/>
      <c r="ES393" s="161"/>
      <c r="ET393" s="161"/>
      <c r="EU393" s="161"/>
      <c r="EV393" s="161"/>
      <c r="EW393" s="161"/>
      <c r="EX393" s="161"/>
      <c r="EY393" s="161"/>
      <c r="EZ393" s="161"/>
      <c r="FA393" s="161"/>
      <c r="FB393" s="161"/>
      <c r="FC393" s="161"/>
      <c r="FD393" s="161"/>
      <c r="FE393" s="161"/>
      <c r="FF393" s="161"/>
      <c r="FG393" s="161"/>
      <c r="FH393" s="166" cm="1">
        <f t="array" ref="FH393">ROW()-ROW(Ongoing[#Headers])</f>
        <v>387</v>
      </c>
      <c r="FI393" s="167"/>
      <c r="FJ393" s="167"/>
      <c r="FK393" s="167"/>
      <c r="FL393" s="167"/>
      <c r="FM393" s="167"/>
      <c r="FN393" s="167"/>
      <c r="FO393" s="167"/>
      <c r="FP393" s="167"/>
    </row>
    <row r="394" spans="2:172" s="115" customFormat="1" ht="11.25" x14ac:dyDescent="0.2">
      <c r="B394" s="148"/>
      <c r="C394" s="148"/>
      <c r="D394" s="148"/>
      <c r="E394" s="148"/>
      <c r="F394" s="148"/>
      <c r="G394" s="148"/>
      <c r="H394" s="148"/>
      <c r="I394" s="148"/>
      <c r="J394" s="148"/>
      <c r="K394" s="148"/>
      <c r="L394" s="148"/>
      <c r="M394" s="160"/>
      <c r="N394" s="160"/>
      <c r="O394" s="148"/>
      <c r="P394" s="161">
        <f>SUM(Q394:AP394)</f>
      </c>
      <c r="Q394" s="161"/>
      <c r="R394" s="161"/>
      <c r="S394" s="161"/>
      <c r="T394" s="161"/>
      <c r="U394" s="161"/>
      <c r="V394" s="161"/>
      <c r="W394" s="161"/>
      <c r="X394" s="161"/>
      <c r="Y394" s="161"/>
      <c r="Z394" s="161"/>
      <c r="AA394" s="161"/>
      <c r="AB394" s="161"/>
      <c r="AC394" s="161"/>
      <c r="AD394" s="161"/>
      <c r="AE394" s="161"/>
      <c r="AF394" s="161"/>
      <c r="AG394" s="161"/>
      <c r="AH394" s="161"/>
      <c r="AI394" s="161"/>
      <c r="AJ394" s="161"/>
      <c r="AK394" s="161"/>
      <c r="AL394" s="161"/>
      <c r="AM394" s="161"/>
      <c r="AN394" s="161"/>
      <c r="AO394" s="161"/>
      <c r="AP394" s="161"/>
      <c r="AQ394" s="161">
        <f>SUM(AR394:AU394)</f>
      </c>
      <c r="AR394" s="161"/>
      <c r="AS394" s="161"/>
      <c r="AT394" s="161"/>
      <c r="AU394" s="161"/>
      <c r="AV394" s="161">
        <f>SUM(AW394:BH394)</f>
      </c>
      <c r="AW394" s="161"/>
      <c r="AX394" s="161"/>
      <c r="AY394" s="161"/>
      <c r="AZ394" s="161"/>
      <c r="BA394" s="161"/>
      <c r="BB394" s="161"/>
      <c r="BC394" s="161"/>
      <c r="BD394" s="161"/>
      <c r="BE394" s="161"/>
      <c r="BF394" s="161"/>
      <c r="BG394" s="161"/>
      <c r="BH394" s="161"/>
      <c r="BI394" s="161"/>
      <c r="BJ394" s="161"/>
      <c r="BK394" s="161"/>
      <c r="BL394" s="161"/>
      <c r="BM394" s="161"/>
      <c r="BN394" s="161"/>
      <c r="BO394" s="161"/>
      <c r="BP394" s="161"/>
      <c r="BQ394" s="161"/>
      <c r="BR394" s="161"/>
      <c r="BS394" s="161">
        <f>SUM(BT394:BV394)</f>
      </c>
      <c r="BT394" s="161"/>
      <c r="BU394" s="161"/>
      <c r="BV394" s="161"/>
      <c r="BW394" s="161">
        <f>SUM(BX394:CC394)</f>
      </c>
      <c r="BX394" s="161"/>
      <c r="BY394" s="161"/>
      <c r="BZ394" s="161"/>
      <c r="CA394" s="161"/>
      <c r="CB394" s="161"/>
      <c r="CC394" s="161"/>
      <c r="CD394" s="161"/>
      <c r="CE394" s="161"/>
      <c r="CF394" s="161"/>
      <c r="CG394" s="161"/>
      <c r="CH394" s="161"/>
      <c r="CI394" s="161"/>
      <c r="CJ394" s="161">
        <f>SUM(CK394:CM394)</f>
      </c>
      <c r="CK394" s="161"/>
      <c r="CL394" s="161"/>
      <c r="CM394" s="161"/>
      <c r="CN394" s="161">
        <f>SUM(CO394:CS394)</f>
      </c>
      <c r="CO394" s="161"/>
      <c r="CP394" s="161"/>
      <c r="CQ394" s="161"/>
      <c r="CR394" s="161"/>
      <c r="CS394" s="161"/>
      <c r="CT394" s="161"/>
      <c r="CU394" s="161"/>
      <c r="CV394" s="161"/>
      <c r="CW394" s="161"/>
      <c r="CX394" s="161"/>
      <c r="CY394" s="161"/>
      <c r="CZ394" s="161"/>
      <c r="DA394" s="161"/>
      <c r="DB394" s="161"/>
      <c r="DC394" s="161"/>
      <c r="DD394" s="161"/>
      <c r="DE394" s="161"/>
      <c r="DF394" s="161">
        <f>SUM(DG394:DG394)</f>
      </c>
      <c r="DG394" s="161"/>
      <c r="DH394" s="161"/>
      <c r="DI394" s="161"/>
      <c r="DJ394" s="161">
        <f>SUM(DK394:DP394)</f>
      </c>
      <c r="DK394" s="161"/>
      <c r="DL394" s="161"/>
      <c r="DM394" s="161"/>
      <c r="DN394" s="161"/>
      <c r="DO394" s="161"/>
      <c r="DP394" s="161"/>
      <c r="DQ394" s="161"/>
      <c r="DR394" s="161"/>
      <c r="DS394" s="161"/>
      <c r="DT394" s="161"/>
      <c r="DU394" s="161"/>
      <c r="DV394" s="161"/>
      <c r="DW394" s="161"/>
      <c r="DX394" s="161"/>
      <c r="DY394" s="161"/>
      <c r="DZ394" s="161"/>
      <c r="EA394" s="161"/>
      <c r="EB394" s="161"/>
      <c r="EC394" s="161"/>
      <c r="ED394" s="161"/>
      <c r="EE394" s="161"/>
      <c r="EF394" s="161">
        <f>SUM(EG394:EP394)</f>
      </c>
      <c r="EG394" s="161"/>
      <c r="EH394" s="161"/>
      <c r="EI394" s="161"/>
      <c r="EJ394" s="161"/>
      <c r="EK394" s="161"/>
      <c r="EL394" s="161"/>
      <c r="EM394" s="161"/>
      <c r="EN394" s="161"/>
      <c r="EO394" s="161"/>
      <c r="EP394" s="161"/>
      <c r="EQ394" s="161">
        <f>SUM(ER394:ES394)</f>
      </c>
      <c r="ER394" s="161"/>
      <c r="ES394" s="161"/>
      <c r="ET394" s="161"/>
      <c r="EU394" s="161"/>
      <c r="EV394" s="161"/>
      <c r="EW394" s="161"/>
      <c r="EX394" s="161"/>
      <c r="EY394" s="161"/>
      <c r="EZ394" s="161"/>
      <c r="FA394" s="161"/>
      <c r="FB394" s="161"/>
      <c r="FC394" s="161"/>
      <c r="FD394" s="161"/>
      <c r="FE394" s="161"/>
      <c r="FF394" s="161"/>
      <c r="FG394" s="161"/>
      <c r="FH394" s="166" cm="1">
        <f t="array" ref="FH394">ROW()-ROW(Ongoing[#Headers])</f>
        <v>388</v>
      </c>
      <c r="FI394" s="167"/>
      <c r="FJ394" s="167"/>
      <c r="FK394" s="167"/>
      <c r="FL394" s="167"/>
      <c r="FM394" s="167"/>
      <c r="FN394" s="167"/>
      <c r="FO394" s="167"/>
      <c r="FP394" s="167"/>
    </row>
    <row r="395" spans="2:172" s="115" customFormat="1" ht="11.25" x14ac:dyDescent="0.2">
      <c r="B395" s="148"/>
      <c r="C395" s="148"/>
      <c r="D395" s="148"/>
      <c r="E395" s="148"/>
      <c r="F395" s="148"/>
      <c r="G395" s="148"/>
      <c r="H395" s="148"/>
      <c r="I395" s="148"/>
      <c r="J395" s="148"/>
      <c r="K395" s="148"/>
      <c r="L395" s="148"/>
      <c r="M395" s="160"/>
      <c r="N395" s="160"/>
      <c r="O395" s="148"/>
      <c r="P395" s="161">
        <f>SUM(Q395:AP395)</f>
      </c>
      <c r="Q395" s="161"/>
      <c r="R395" s="161"/>
      <c r="S395" s="161"/>
      <c r="T395" s="161"/>
      <c r="U395" s="161"/>
      <c r="V395" s="161"/>
      <c r="W395" s="161"/>
      <c r="X395" s="161"/>
      <c r="Y395" s="161"/>
      <c r="Z395" s="161"/>
      <c r="AA395" s="161"/>
      <c r="AB395" s="161"/>
      <c r="AC395" s="161"/>
      <c r="AD395" s="161"/>
      <c r="AE395" s="161"/>
      <c r="AF395" s="161"/>
      <c r="AG395" s="161"/>
      <c r="AH395" s="161"/>
      <c r="AI395" s="161"/>
      <c r="AJ395" s="161"/>
      <c r="AK395" s="161"/>
      <c r="AL395" s="161"/>
      <c r="AM395" s="161"/>
      <c r="AN395" s="161"/>
      <c r="AO395" s="161"/>
      <c r="AP395" s="161"/>
      <c r="AQ395" s="161">
        <f>SUM(AR395:AU395)</f>
      </c>
      <c r="AR395" s="161"/>
      <c r="AS395" s="161"/>
      <c r="AT395" s="161"/>
      <c r="AU395" s="161"/>
      <c r="AV395" s="161">
        <f>SUM(AW395:BH395)</f>
      </c>
      <c r="AW395" s="161"/>
      <c r="AX395" s="161"/>
      <c r="AY395" s="161"/>
      <c r="AZ395" s="161"/>
      <c r="BA395" s="161"/>
      <c r="BB395" s="161"/>
      <c r="BC395" s="161"/>
      <c r="BD395" s="161"/>
      <c r="BE395" s="161"/>
      <c r="BF395" s="161"/>
      <c r="BG395" s="161"/>
      <c r="BH395" s="161"/>
      <c r="BI395" s="161"/>
      <c r="BJ395" s="161"/>
      <c r="BK395" s="161"/>
      <c r="BL395" s="161"/>
      <c r="BM395" s="161"/>
      <c r="BN395" s="161"/>
      <c r="BO395" s="161"/>
      <c r="BP395" s="161"/>
      <c r="BQ395" s="161"/>
      <c r="BR395" s="161"/>
      <c r="BS395" s="161">
        <f>SUM(BT395:BV395)</f>
      </c>
      <c r="BT395" s="161"/>
      <c r="BU395" s="161"/>
      <c r="BV395" s="161"/>
      <c r="BW395" s="161">
        <f>SUM(BX395:CC395)</f>
      </c>
      <c r="BX395" s="161"/>
      <c r="BY395" s="161"/>
      <c r="BZ395" s="161"/>
      <c r="CA395" s="161"/>
      <c r="CB395" s="161"/>
      <c r="CC395" s="161"/>
      <c r="CD395" s="161"/>
      <c r="CE395" s="161"/>
      <c r="CF395" s="161"/>
      <c r="CG395" s="161"/>
      <c r="CH395" s="161"/>
      <c r="CI395" s="161"/>
      <c r="CJ395" s="161">
        <f>SUM(CK395:CM395)</f>
      </c>
      <c r="CK395" s="161"/>
      <c r="CL395" s="161"/>
      <c r="CM395" s="161"/>
      <c r="CN395" s="161">
        <f>SUM(CO395:CS395)</f>
      </c>
      <c r="CO395" s="161"/>
      <c r="CP395" s="161"/>
      <c r="CQ395" s="161"/>
      <c r="CR395" s="161"/>
      <c r="CS395" s="161"/>
      <c r="CT395" s="161"/>
      <c r="CU395" s="161"/>
      <c r="CV395" s="161"/>
      <c r="CW395" s="161"/>
      <c r="CX395" s="161"/>
      <c r="CY395" s="161"/>
      <c r="CZ395" s="161"/>
      <c r="DA395" s="161"/>
      <c r="DB395" s="161"/>
      <c r="DC395" s="161"/>
      <c r="DD395" s="161"/>
      <c r="DE395" s="161"/>
      <c r="DF395" s="161">
        <f>SUM(DG395:DG395)</f>
      </c>
      <c r="DG395" s="161"/>
      <c r="DH395" s="161"/>
      <c r="DI395" s="161"/>
      <c r="DJ395" s="161">
        <f>SUM(DK395:DP395)</f>
      </c>
      <c r="DK395" s="161"/>
      <c r="DL395" s="161"/>
      <c r="DM395" s="161"/>
      <c r="DN395" s="161"/>
      <c r="DO395" s="161"/>
      <c r="DP395" s="161"/>
      <c r="DQ395" s="161"/>
      <c r="DR395" s="161"/>
      <c r="DS395" s="161"/>
      <c r="DT395" s="161"/>
      <c r="DU395" s="161"/>
      <c r="DV395" s="161"/>
      <c r="DW395" s="161"/>
      <c r="DX395" s="161"/>
      <c r="DY395" s="161"/>
      <c r="DZ395" s="161"/>
      <c r="EA395" s="161"/>
      <c r="EB395" s="161"/>
      <c r="EC395" s="161"/>
      <c r="ED395" s="161"/>
      <c r="EE395" s="161"/>
      <c r="EF395" s="161">
        <f>SUM(EG395:EP395)</f>
      </c>
      <c r="EG395" s="161"/>
      <c r="EH395" s="161"/>
      <c r="EI395" s="161"/>
      <c r="EJ395" s="161"/>
      <c r="EK395" s="161"/>
      <c r="EL395" s="161"/>
      <c r="EM395" s="161"/>
      <c r="EN395" s="161"/>
      <c r="EO395" s="161"/>
      <c r="EP395" s="161"/>
      <c r="EQ395" s="161">
        <f>SUM(ER395:ES395)</f>
      </c>
      <c r="ER395" s="161"/>
      <c r="ES395" s="161"/>
      <c r="ET395" s="161"/>
      <c r="EU395" s="161"/>
      <c r="EV395" s="161"/>
      <c r="EW395" s="161"/>
      <c r="EX395" s="161"/>
      <c r="EY395" s="161"/>
      <c r="EZ395" s="161"/>
      <c r="FA395" s="161"/>
      <c r="FB395" s="161"/>
      <c r="FC395" s="161"/>
      <c r="FD395" s="161"/>
      <c r="FE395" s="161"/>
      <c r="FF395" s="161"/>
      <c r="FG395" s="161"/>
      <c r="FH395" s="166" cm="1">
        <f t="array" ref="FH395">ROW()-ROW(Ongoing[#Headers])</f>
        <v>389</v>
      </c>
      <c r="FI395" s="167"/>
      <c r="FJ395" s="167"/>
      <c r="FK395" s="167"/>
      <c r="FL395" s="167"/>
      <c r="FM395" s="167"/>
      <c r="FN395" s="167"/>
      <c r="FO395" s="167"/>
      <c r="FP395" s="167"/>
    </row>
    <row r="396" spans="2:172" s="115" customFormat="1" ht="11.25" x14ac:dyDescent="0.2">
      <c r="B396" s="148"/>
      <c r="C396" s="148"/>
      <c r="D396" s="148"/>
      <c r="E396" s="148"/>
      <c r="F396" s="148"/>
      <c r="G396" s="148"/>
      <c r="H396" s="148"/>
      <c r="I396" s="148"/>
      <c r="J396" s="148"/>
      <c r="K396" s="148"/>
      <c r="L396" s="148"/>
      <c r="M396" s="160"/>
      <c r="N396" s="160"/>
      <c r="O396" s="148"/>
      <c r="P396" s="161">
        <f>SUM(Q396:AP396)</f>
      </c>
      <c r="Q396" s="161"/>
      <c r="R396" s="161"/>
      <c r="S396" s="161"/>
      <c r="T396" s="161"/>
      <c r="U396" s="161"/>
      <c r="V396" s="161"/>
      <c r="W396" s="161"/>
      <c r="X396" s="161"/>
      <c r="Y396" s="161"/>
      <c r="Z396" s="161"/>
      <c r="AA396" s="161"/>
      <c r="AB396" s="161"/>
      <c r="AC396" s="161"/>
      <c r="AD396" s="161"/>
      <c r="AE396" s="161"/>
      <c r="AF396" s="161"/>
      <c r="AG396" s="161"/>
      <c r="AH396" s="161"/>
      <c r="AI396" s="161"/>
      <c r="AJ396" s="161"/>
      <c r="AK396" s="161"/>
      <c r="AL396" s="161"/>
      <c r="AM396" s="161"/>
      <c r="AN396" s="161"/>
      <c r="AO396" s="161"/>
      <c r="AP396" s="161"/>
      <c r="AQ396" s="161">
        <f>SUM(AR396:AU396)</f>
      </c>
      <c r="AR396" s="161"/>
      <c r="AS396" s="161"/>
      <c r="AT396" s="161"/>
      <c r="AU396" s="161"/>
      <c r="AV396" s="161">
        <f>SUM(AW396:BH396)</f>
      </c>
      <c r="AW396" s="161"/>
      <c r="AX396" s="161"/>
      <c r="AY396" s="161"/>
      <c r="AZ396" s="161"/>
      <c r="BA396" s="161"/>
      <c r="BB396" s="161"/>
      <c r="BC396" s="161"/>
      <c r="BD396" s="161"/>
      <c r="BE396" s="161"/>
      <c r="BF396" s="161"/>
      <c r="BG396" s="161"/>
      <c r="BH396" s="161"/>
      <c r="BI396" s="161"/>
      <c r="BJ396" s="161"/>
      <c r="BK396" s="161"/>
      <c r="BL396" s="161"/>
      <c r="BM396" s="161"/>
      <c r="BN396" s="161"/>
      <c r="BO396" s="161"/>
      <c r="BP396" s="161"/>
      <c r="BQ396" s="161"/>
      <c r="BR396" s="161"/>
      <c r="BS396" s="161">
        <f>SUM(BT396:BV396)</f>
      </c>
      <c r="BT396" s="161"/>
      <c r="BU396" s="161"/>
      <c r="BV396" s="161"/>
      <c r="BW396" s="161">
        <f>SUM(BX396:CC396)</f>
      </c>
      <c r="BX396" s="161"/>
      <c r="BY396" s="161"/>
      <c r="BZ396" s="161"/>
      <c r="CA396" s="161"/>
      <c r="CB396" s="161"/>
      <c r="CC396" s="161"/>
      <c r="CD396" s="161"/>
      <c r="CE396" s="161"/>
      <c r="CF396" s="161"/>
      <c r="CG396" s="161"/>
      <c r="CH396" s="161"/>
      <c r="CI396" s="161"/>
      <c r="CJ396" s="161">
        <f>SUM(CK396:CM396)</f>
      </c>
      <c r="CK396" s="161"/>
      <c r="CL396" s="161"/>
      <c r="CM396" s="161"/>
      <c r="CN396" s="161">
        <f>SUM(CO396:CS396)</f>
      </c>
      <c r="CO396" s="161"/>
      <c r="CP396" s="161"/>
      <c r="CQ396" s="161"/>
      <c r="CR396" s="161"/>
      <c r="CS396" s="161"/>
      <c r="CT396" s="161"/>
      <c r="CU396" s="161"/>
      <c r="CV396" s="161"/>
      <c r="CW396" s="161"/>
      <c r="CX396" s="161"/>
      <c r="CY396" s="161"/>
      <c r="CZ396" s="161"/>
      <c r="DA396" s="161"/>
      <c r="DB396" s="161"/>
      <c r="DC396" s="161"/>
      <c r="DD396" s="161"/>
      <c r="DE396" s="161"/>
      <c r="DF396" s="161">
        <f>SUM(DG396:DG396)</f>
      </c>
      <c r="DG396" s="161"/>
      <c r="DH396" s="161"/>
      <c r="DI396" s="161"/>
      <c r="DJ396" s="161">
        <f>SUM(DK396:DP396)</f>
      </c>
      <c r="DK396" s="161"/>
      <c r="DL396" s="161"/>
      <c r="DM396" s="161"/>
      <c r="DN396" s="161"/>
      <c r="DO396" s="161"/>
      <c r="DP396" s="161"/>
      <c r="DQ396" s="161"/>
      <c r="DR396" s="161"/>
      <c r="DS396" s="161"/>
      <c r="DT396" s="161"/>
      <c r="DU396" s="161"/>
      <c r="DV396" s="161"/>
      <c r="DW396" s="161"/>
      <c r="DX396" s="161"/>
      <c r="DY396" s="161"/>
      <c r="DZ396" s="161"/>
      <c r="EA396" s="161"/>
      <c r="EB396" s="161"/>
      <c r="EC396" s="161"/>
      <c r="ED396" s="161"/>
      <c r="EE396" s="161"/>
      <c r="EF396" s="161">
        <f>SUM(EG396:EP396)</f>
      </c>
      <c r="EG396" s="161"/>
      <c r="EH396" s="161"/>
      <c r="EI396" s="161"/>
      <c r="EJ396" s="161"/>
      <c r="EK396" s="161"/>
      <c r="EL396" s="161"/>
      <c r="EM396" s="161"/>
      <c r="EN396" s="161"/>
      <c r="EO396" s="161"/>
      <c r="EP396" s="161"/>
      <c r="EQ396" s="161">
        <f>SUM(ER396:ES396)</f>
      </c>
      <c r="ER396" s="161"/>
      <c r="ES396" s="161"/>
      <c r="ET396" s="161"/>
      <c r="EU396" s="161"/>
      <c r="EV396" s="161"/>
      <c r="EW396" s="161"/>
      <c r="EX396" s="161"/>
      <c r="EY396" s="161"/>
      <c r="EZ396" s="161"/>
      <c r="FA396" s="161"/>
      <c r="FB396" s="161"/>
      <c r="FC396" s="161"/>
      <c r="FD396" s="161"/>
      <c r="FE396" s="161"/>
      <c r="FF396" s="161"/>
      <c r="FG396" s="161"/>
      <c r="FH396" s="166" cm="1">
        <f t="array" ref="FH396">ROW()-ROW(Ongoing[#Headers])</f>
        <v>390</v>
      </c>
      <c r="FI396" s="167"/>
      <c r="FJ396" s="167"/>
      <c r="FK396" s="167"/>
      <c r="FL396" s="167"/>
      <c r="FM396" s="167"/>
      <c r="FN396" s="167"/>
      <c r="FO396" s="167"/>
      <c r="FP396" s="167"/>
    </row>
    <row r="397" spans="2:172" s="115" customFormat="1" ht="11.25" x14ac:dyDescent="0.2">
      <c r="B397" s="148"/>
      <c r="C397" s="148"/>
      <c r="D397" s="148"/>
      <c r="E397" s="148"/>
      <c r="F397" s="148"/>
      <c r="G397" s="148"/>
      <c r="H397" s="148"/>
      <c r="I397" s="148"/>
      <c r="J397" s="148"/>
      <c r="K397" s="148"/>
      <c r="L397" s="148"/>
      <c r="M397" s="160"/>
      <c r="N397" s="160"/>
      <c r="O397" s="148"/>
      <c r="P397" s="161">
        <f>SUM(Q397:AP397)</f>
      </c>
      <c r="Q397" s="161"/>
      <c r="R397" s="161"/>
      <c r="S397" s="161"/>
      <c r="T397" s="161"/>
      <c r="U397" s="161"/>
      <c r="V397" s="161"/>
      <c r="W397" s="161"/>
      <c r="X397" s="161"/>
      <c r="Y397" s="161"/>
      <c r="Z397" s="161"/>
      <c r="AA397" s="161"/>
      <c r="AB397" s="161"/>
      <c r="AC397" s="161"/>
      <c r="AD397" s="161"/>
      <c r="AE397" s="161"/>
      <c r="AF397" s="161"/>
      <c r="AG397" s="161"/>
      <c r="AH397" s="161"/>
      <c r="AI397" s="161"/>
      <c r="AJ397" s="161"/>
      <c r="AK397" s="161"/>
      <c r="AL397" s="161"/>
      <c r="AM397" s="161"/>
      <c r="AN397" s="161"/>
      <c r="AO397" s="161"/>
      <c r="AP397" s="161"/>
      <c r="AQ397" s="161">
        <f>SUM(AR397:AU397)</f>
      </c>
      <c r="AR397" s="161"/>
      <c r="AS397" s="161"/>
      <c r="AT397" s="161"/>
      <c r="AU397" s="161"/>
      <c r="AV397" s="161">
        <f>SUM(AW397:BH397)</f>
      </c>
      <c r="AW397" s="161"/>
      <c r="AX397" s="161"/>
      <c r="AY397" s="161"/>
      <c r="AZ397" s="161"/>
      <c r="BA397" s="161"/>
      <c r="BB397" s="161"/>
      <c r="BC397" s="161"/>
      <c r="BD397" s="161"/>
      <c r="BE397" s="161"/>
      <c r="BF397" s="161"/>
      <c r="BG397" s="161"/>
      <c r="BH397" s="161"/>
      <c r="BI397" s="161"/>
      <c r="BJ397" s="161"/>
      <c r="BK397" s="161"/>
      <c r="BL397" s="161"/>
      <c r="BM397" s="161"/>
      <c r="BN397" s="161"/>
      <c r="BO397" s="161"/>
      <c r="BP397" s="161"/>
      <c r="BQ397" s="161"/>
      <c r="BR397" s="161"/>
      <c r="BS397" s="161">
        <f>SUM(BT397:BV397)</f>
      </c>
      <c r="BT397" s="161"/>
      <c r="BU397" s="161"/>
      <c r="BV397" s="161"/>
      <c r="BW397" s="161">
        <f>SUM(BX397:CC397)</f>
      </c>
      <c r="BX397" s="161"/>
      <c r="BY397" s="161"/>
      <c r="BZ397" s="161"/>
      <c r="CA397" s="161"/>
      <c r="CB397" s="161"/>
      <c r="CC397" s="161"/>
      <c r="CD397" s="161"/>
      <c r="CE397" s="161"/>
      <c r="CF397" s="161"/>
      <c r="CG397" s="161"/>
      <c r="CH397" s="161"/>
      <c r="CI397" s="161"/>
      <c r="CJ397" s="161">
        <f>SUM(CK397:CM397)</f>
      </c>
      <c r="CK397" s="161"/>
      <c r="CL397" s="161"/>
      <c r="CM397" s="161"/>
      <c r="CN397" s="161">
        <f>SUM(CO397:CS397)</f>
      </c>
      <c r="CO397" s="161"/>
      <c r="CP397" s="161"/>
      <c r="CQ397" s="161"/>
      <c r="CR397" s="161"/>
      <c r="CS397" s="161"/>
      <c r="CT397" s="161"/>
      <c r="CU397" s="161"/>
      <c r="CV397" s="161"/>
      <c r="CW397" s="161"/>
      <c r="CX397" s="161"/>
      <c r="CY397" s="161"/>
      <c r="CZ397" s="161"/>
      <c r="DA397" s="161"/>
      <c r="DB397" s="161"/>
      <c r="DC397" s="161"/>
      <c r="DD397" s="161"/>
      <c r="DE397" s="161"/>
      <c r="DF397" s="161">
        <f>SUM(DG397:DG397)</f>
      </c>
      <c r="DG397" s="161"/>
      <c r="DH397" s="161"/>
      <c r="DI397" s="161"/>
      <c r="DJ397" s="161">
        <f>SUM(DK397:DP397)</f>
      </c>
      <c r="DK397" s="161"/>
      <c r="DL397" s="161"/>
      <c r="DM397" s="161"/>
      <c r="DN397" s="161"/>
      <c r="DO397" s="161"/>
      <c r="DP397" s="161"/>
      <c r="DQ397" s="161"/>
      <c r="DR397" s="161"/>
      <c r="DS397" s="161"/>
      <c r="DT397" s="161"/>
      <c r="DU397" s="161"/>
      <c r="DV397" s="161"/>
      <c r="DW397" s="161"/>
      <c r="DX397" s="161"/>
      <c r="DY397" s="161"/>
      <c r="DZ397" s="161"/>
      <c r="EA397" s="161"/>
      <c r="EB397" s="161"/>
      <c r="EC397" s="161"/>
      <c r="ED397" s="161"/>
      <c r="EE397" s="161"/>
      <c r="EF397" s="161">
        <f>SUM(EG397:EP397)</f>
      </c>
      <c r="EG397" s="161"/>
      <c r="EH397" s="161"/>
      <c r="EI397" s="161"/>
      <c r="EJ397" s="161"/>
      <c r="EK397" s="161"/>
      <c r="EL397" s="161"/>
      <c r="EM397" s="161"/>
      <c r="EN397" s="161"/>
      <c r="EO397" s="161"/>
      <c r="EP397" s="161"/>
      <c r="EQ397" s="161">
        <f>SUM(ER397:ES397)</f>
      </c>
      <c r="ER397" s="161"/>
      <c r="ES397" s="161"/>
      <c r="ET397" s="161"/>
      <c r="EU397" s="161"/>
      <c r="EV397" s="161"/>
      <c r="EW397" s="161"/>
      <c r="EX397" s="161"/>
      <c r="EY397" s="161"/>
      <c r="EZ397" s="161"/>
      <c r="FA397" s="161"/>
      <c r="FB397" s="161"/>
      <c r="FC397" s="161"/>
      <c r="FD397" s="161"/>
      <c r="FE397" s="161"/>
      <c r="FF397" s="161"/>
      <c r="FG397" s="161"/>
      <c r="FH397" s="166" cm="1">
        <f t="array" ref="FH397">ROW()-ROW(Ongoing[#Headers])</f>
        <v>391</v>
      </c>
      <c r="FI397" s="167"/>
      <c r="FJ397" s="167"/>
      <c r="FK397" s="167"/>
      <c r="FL397" s="167"/>
      <c r="FM397" s="167"/>
      <c r="FN397" s="167"/>
      <c r="FO397" s="167"/>
      <c r="FP397" s="167"/>
    </row>
    <row r="398" spans="2:172" s="115" customFormat="1" ht="11.25" x14ac:dyDescent="0.2">
      <c r="B398" s="148"/>
      <c r="C398" s="148"/>
      <c r="D398" s="148"/>
      <c r="E398" s="148"/>
      <c r="F398" s="148"/>
      <c r="G398" s="148"/>
      <c r="H398" s="148"/>
      <c r="I398" s="148"/>
      <c r="J398" s="148"/>
      <c r="K398" s="148"/>
      <c r="L398" s="148"/>
      <c r="M398" s="160"/>
      <c r="N398" s="160"/>
      <c r="O398" s="148"/>
      <c r="P398" s="161">
        <f>SUM(Q398:AP398)</f>
      </c>
      <c r="Q398" s="161"/>
      <c r="R398" s="161"/>
      <c r="S398" s="161"/>
      <c r="T398" s="161"/>
      <c r="U398" s="161"/>
      <c r="V398" s="161"/>
      <c r="W398" s="161"/>
      <c r="X398" s="161"/>
      <c r="Y398" s="161"/>
      <c r="Z398" s="161"/>
      <c r="AA398" s="161"/>
      <c r="AB398" s="161"/>
      <c r="AC398" s="161"/>
      <c r="AD398" s="161"/>
      <c r="AE398" s="161"/>
      <c r="AF398" s="161"/>
      <c r="AG398" s="161"/>
      <c r="AH398" s="161"/>
      <c r="AI398" s="161"/>
      <c r="AJ398" s="161"/>
      <c r="AK398" s="161"/>
      <c r="AL398" s="161"/>
      <c r="AM398" s="161"/>
      <c r="AN398" s="161"/>
      <c r="AO398" s="161"/>
      <c r="AP398" s="161"/>
      <c r="AQ398" s="161">
        <f>SUM(AR398:AU398)</f>
      </c>
      <c r="AR398" s="161"/>
      <c r="AS398" s="161"/>
      <c r="AT398" s="161"/>
      <c r="AU398" s="161"/>
      <c r="AV398" s="161">
        <f>SUM(AW398:BH398)</f>
      </c>
      <c r="AW398" s="161"/>
      <c r="AX398" s="161"/>
      <c r="AY398" s="161"/>
      <c r="AZ398" s="161"/>
      <c r="BA398" s="161"/>
      <c r="BB398" s="161"/>
      <c r="BC398" s="161"/>
      <c r="BD398" s="161"/>
      <c r="BE398" s="161"/>
      <c r="BF398" s="161"/>
      <c r="BG398" s="161"/>
      <c r="BH398" s="161"/>
      <c r="BI398" s="161"/>
      <c r="BJ398" s="161"/>
      <c r="BK398" s="161"/>
      <c r="BL398" s="161"/>
      <c r="BM398" s="161"/>
      <c r="BN398" s="161"/>
      <c r="BO398" s="161"/>
      <c r="BP398" s="161"/>
      <c r="BQ398" s="161"/>
      <c r="BR398" s="161"/>
      <c r="BS398" s="161">
        <f>SUM(BT398:BV398)</f>
      </c>
      <c r="BT398" s="161"/>
      <c r="BU398" s="161"/>
      <c r="BV398" s="161"/>
      <c r="BW398" s="161">
        <f>SUM(BX398:CC398)</f>
      </c>
      <c r="BX398" s="161"/>
      <c r="BY398" s="161"/>
      <c r="BZ398" s="161"/>
      <c r="CA398" s="161"/>
      <c r="CB398" s="161"/>
      <c r="CC398" s="161"/>
      <c r="CD398" s="161"/>
      <c r="CE398" s="161"/>
      <c r="CF398" s="161"/>
      <c r="CG398" s="161"/>
      <c r="CH398" s="161"/>
      <c r="CI398" s="161"/>
      <c r="CJ398" s="161">
        <f>SUM(CK398:CM398)</f>
      </c>
      <c r="CK398" s="161"/>
      <c r="CL398" s="161"/>
      <c r="CM398" s="161"/>
      <c r="CN398" s="161">
        <f>SUM(CO398:CS398)</f>
      </c>
      <c r="CO398" s="161"/>
      <c r="CP398" s="161"/>
      <c r="CQ398" s="161"/>
      <c r="CR398" s="161"/>
      <c r="CS398" s="161"/>
      <c r="CT398" s="161"/>
      <c r="CU398" s="161"/>
      <c r="CV398" s="161"/>
      <c r="CW398" s="161"/>
      <c r="CX398" s="161"/>
      <c r="CY398" s="161"/>
      <c r="CZ398" s="161"/>
      <c r="DA398" s="161"/>
      <c r="DB398" s="161"/>
      <c r="DC398" s="161"/>
      <c r="DD398" s="161"/>
      <c r="DE398" s="161"/>
      <c r="DF398" s="161">
        <f>SUM(DG398:DG398)</f>
      </c>
      <c r="DG398" s="161"/>
      <c r="DH398" s="161"/>
      <c r="DI398" s="161"/>
      <c r="DJ398" s="161">
        <f>SUM(DK398:DP398)</f>
      </c>
      <c r="DK398" s="161"/>
      <c r="DL398" s="161"/>
      <c r="DM398" s="161"/>
      <c r="DN398" s="161"/>
      <c r="DO398" s="161"/>
      <c r="DP398" s="161"/>
      <c r="DQ398" s="161"/>
      <c r="DR398" s="161"/>
      <c r="DS398" s="161"/>
      <c r="DT398" s="161"/>
      <c r="DU398" s="161"/>
      <c r="DV398" s="161"/>
      <c r="DW398" s="161"/>
      <c r="DX398" s="161"/>
      <c r="DY398" s="161"/>
      <c r="DZ398" s="161"/>
      <c r="EA398" s="161"/>
      <c r="EB398" s="161"/>
      <c r="EC398" s="161"/>
      <c r="ED398" s="161"/>
      <c r="EE398" s="161"/>
      <c r="EF398" s="161">
        <f>SUM(EG398:EP398)</f>
      </c>
      <c r="EG398" s="161"/>
      <c r="EH398" s="161"/>
      <c r="EI398" s="161"/>
      <c r="EJ398" s="161"/>
      <c r="EK398" s="161"/>
      <c r="EL398" s="161"/>
      <c r="EM398" s="161"/>
      <c r="EN398" s="161"/>
      <c r="EO398" s="161"/>
      <c r="EP398" s="161"/>
      <c r="EQ398" s="161">
        <f>SUM(ER398:ES398)</f>
      </c>
      <c r="ER398" s="161"/>
      <c r="ES398" s="161"/>
      <c r="ET398" s="161"/>
      <c r="EU398" s="161"/>
      <c r="EV398" s="161"/>
      <c r="EW398" s="161"/>
      <c r="EX398" s="161"/>
      <c r="EY398" s="161"/>
      <c r="EZ398" s="161"/>
      <c r="FA398" s="161"/>
      <c r="FB398" s="161"/>
      <c r="FC398" s="161"/>
      <c r="FD398" s="161"/>
      <c r="FE398" s="161"/>
      <c r="FF398" s="161"/>
      <c r="FG398" s="161"/>
      <c r="FH398" s="166" cm="1">
        <f t="array" ref="FH398">ROW()-ROW(Ongoing[#Headers])</f>
        <v>392</v>
      </c>
      <c r="FI398" s="167"/>
      <c r="FJ398" s="167"/>
      <c r="FK398" s="167"/>
      <c r="FL398" s="167"/>
      <c r="FM398" s="167"/>
      <c r="FN398" s="167"/>
      <c r="FO398" s="167"/>
      <c r="FP398" s="167"/>
    </row>
    <row r="399" spans="2:172" s="115" customFormat="1" ht="11.25" x14ac:dyDescent="0.2">
      <c r="B399" s="148"/>
      <c r="C399" s="148"/>
      <c r="D399" s="148"/>
      <c r="E399" s="148"/>
      <c r="F399" s="148"/>
      <c r="G399" s="148"/>
      <c r="H399" s="148"/>
      <c r="I399" s="148"/>
      <c r="J399" s="148"/>
      <c r="K399" s="148"/>
      <c r="L399" s="148"/>
      <c r="M399" s="160"/>
      <c r="N399" s="160"/>
      <c r="O399" s="148"/>
      <c r="P399" s="161">
        <f>SUM(Q399:AP399)</f>
      </c>
      <c r="Q399" s="161"/>
      <c r="R399" s="161"/>
      <c r="S399" s="161"/>
      <c r="T399" s="161"/>
      <c r="U399" s="161"/>
      <c r="V399" s="161"/>
      <c r="W399" s="161"/>
      <c r="X399" s="161"/>
      <c r="Y399" s="161"/>
      <c r="Z399" s="161"/>
      <c r="AA399" s="161"/>
      <c r="AB399" s="161"/>
      <c r="AC399" s="161"/>
      <c r="AD399" s="161"/>
      <c r="AE399" s="161"/>
      <c r="AF399" s="161"/>
      <c r="AG399" s="161"/>
      <c r="AH399" s="161"/>
      <c r="AI399" s="161"/>
      <c r="AJ399" s="161"/>
      <c r="AK399" s="161"/>
      <c r="AL399" s="161"/>
      <c r="AM399" s="161"/>
      <c r="AN399" s="161"/>
      <c r="AO399" s="161"/>
      <c r="AP399" s="161"/>
      <c r="AQ399" s="161">
        <f>SUM(AR399:AU399)</f>
      </c>
      <c r="AR399" s="161"/>
      <c r="AS399" s="161"/>
      <c r="AT399" s="161"/>
      <c r="AU399" s="161"/>
      <c r="AV399" s="161">
        <f>SUM(AW399:BH399)</f>
      </c>
      <c r="AW399" s="161"/>
      <c r="AX399" s="161"/>
      <c r="AY399" s="161"/>
      <c r="AZ399" s="161"/>
      <c r="BA399" s="161"/>
      <c r="BB399" s="161"/>
      <c r="BC399" s="161"/>
      <c r="BD399" s="161"/>
      <c r="BE399" s="161"/>
      <c r="BF399" s="161"/>
      <c r="BG399" s="161"/>
      <c r="BH399" s="161"/>
      <c r="BI399" s="161"/>
      <c r="BJ399" s="161"/>
      <c r="BK399" s="161"/>
      <c r="BL399" s="161"/>
      <c r="BM399" s="161"/>
      <c r="BN399" s="161"/>
      <c r="BO399" s="161"/>
      <c r="BP399" s="161"/>
      <c r="BQ399" s="161"/>
      <c r="BR399" s="161"/>
      <c r="BS399" s="161">
        <f>SUM(BT399:BV399)</f>
      </c>
      <c r="BT399" s="161"/>
      <c r="BU399" s="161"/>
      <c r="BV399" s="161"/>
      <c r="BW399" s="161">
        <f>SUM(BX399:CC399)</f>
      </c>
      <c r="BX399" s="161"/>
      <c r="BY399" s="161"/>
      <c r="BZ399" s="161"/>
      <c r="CA399" s="161"/>
      <c r="CB399" s="161"/>
      <c r="CC399" s="161"/>
      <c r="CD399" s="161"/>
      <c r="CE399" s="161"/>
      <c r="CF399" s="161"/>
      <c r="CG399" s="161"/>
      <c r="CH399" s="161"/>
      <c r="CI399" s="161"/>
      <c r="CJ399" s="161">
        <f>SUM(CK399:CM399)</f>
      </c>
      <c r="CK399" s="161"/>
      <c r="CL399" s="161"/>
      <c r="CM399" s="161"/>
      <c r="CN399" s="161">
        <f>SUM(CO399:CS399)</f>
      </c>
      <c r="CO399" s="161"/>
      <c r="CP399" s="161"/>
      <c r="CQ399" s="161"/>
      <c r="CR399" s="161"/>
      <c r="CS399" s="161"/>
      <c r="CT399" s="161"/>
      <c r="CU399" s="161"/>
      <c r="CV399" s="161"/>
      <c r="CW399" s="161"/>
      <c r="CX399" s="161"/>
      <c r="CY399" s="161"/>
      <c r="CZ399" s="161"/>
      <c r="DA399" s="161"/>
      <c r="DB399" s="161"/>
      <c r="DC399" s="161"/>
      <c r="DD399" s="161"/>
      <c r="DE399" s="161"/>
      <c r="DF399" s="161">
        <f>SUM(DG399:DG399)</f>
      </c>
      <c r="DG399" s="161"/>
      <c r="DH399" s="161"/>
      <c r="DI399" s="161"/>
      <c r="DJ399" s="161">
        <f>SUM(DK399:DP399)</f>
      </c>
      <c r="DK399" s="161"/>
      <c r="DL399" s="161"/>
      <c r="DM399" s="161"/>
      <c r="DN399" s="161"/>
      <c r="DO399" s="161"/>
      <c r="DP399" s="161"/>
      <c r="DQ399" s="161"/>
      <c r="DR399" s="161"/>
      <c r="DS399" s="161"/>
      <c r="DT399" s="161"/>
      <c r="DU399" s="161"/>
      <c r="DV399" s="161"/>
      <c r="DW399" s="161"/>
      <c r="DX399" s="161"/>
      <c r="DY399" s="161"/>
      <c r="DZ399" s="161"/>
      <c r="EA399" s="161"/>
      <c r="EB399" s="161"/>
      <c r="EC399" s="161"/>
      <c r="ED399" s="161"/>
      <c r="EE399" s="161"/>
      <c r="EF399" s="161">
        <f>SUM(EG399:EP399)</f>
      </c>
      <c r="EG399" s="161"/>
      <c r="EH399" s="161"/>
      <c r="EI399" s="161"/>
      <c r="EJ399" s="161"/>
      <c r="EK399" s="161"/>
      <c r="EL399" s="161"/>
      <c r="EM399" s="161"/>
      <c r="EN399" s="161"/>
      <c r="EO399" s="161"/>
      <c r="EP399" s="161"/>
      <c r="EQ399" s="161">
        <f>SUM(ER399:ES399)</f>
      </c>
      <c r="ER399" s="161"/>
      <c r="ES399" s="161"/>
      <c r="ET399" s="161"/>
      <c r="EU399" s="161"/>
      <c r="EV399" s="161"/>
      <c r="EW399" s="161"/>
      <c r="EX399" s="161"/>
      <c r="EY399" s="161"/>
      <c r="EZ399" s="161"/>
      <c r="FA399" s="161"/>
      <c r="FB399" s="161"/>
      <c r="FC399" s="161"/>
      <c r="FD399" s="161"/>
      <c r="FE399" s="161"/>
      <c r="FF399" s="161"/>
      <c r="FG399" s="161"/>
      <c r="FH399" s="166" cm="1">
        <f t="array" ref="FH399">ROW()-ROW(Ongoing[#Headers])</f>
        <v>393</v>
      </c>
      <c r="FI399" s="167"/>
      <c r="FJ399" s="167"/>
      <c r="FK399" s="167"/>
      <c r="FL399" s="167"/>
      <c r="FM399" s="167"/>
      <c r="FN399" s="167"/>
      <c r="FO399" s="167"/>
      <c r="FP399" s="167"/>
    </row>
    <row r="400" spans="2:172" s="115" customFormat="1" ht="11.25" x14ac:dyDescent="0.2">
      <c r="B400" s="148"/>
      <c r="C400" s="148"/>
      <c r="D400" s="148"/>
      <c r="E400" s="148"/>
      <c r="F400" s="148"/>
      <c r="G400" s="148"/>
      <c r="H400" s="148"/>
      <c r="I400" s="148"/>
      <c r="J400" s="148"/>
      <c r="K400" s="148"/>
      <c r="L400" s="148"/>
      <c r="M400" s="160"/>
      <c r="N400" s="160"/>
      <c r="O400" s="148"/>
      <c r="P400" s="161">
        <f>SUM(Q400:AP400)</f>
      </c>
      <c r="Q400" s="161"/>
      <c r="R400" s="161"/>
      <c r="S400" s="161"/>
      <c r="T400" s="161"/>
      <c r="U400" s="161"/>
      <c r="V400" s="161"/>
      <c r="W400" s="161"/>
      <c r="X400" s="161"/>
      <c r="Y400" s="161"/>
      <c r="Z400" s="161"/>
      <c r="AA400" s="161"/>
      <c r="AB400" s="161"/>
      <c r="AC400" s="161"/>
      <c r="AD400" s="161"/>
      <c r="AE400" s="161"/>
      <c r="AF400" s="161"/>
      <c r="AG400" s="161"/>
      <c r="AH400" s="161"/>
      <c r="AI400" s="161"/>
      <c r="AJ400" s="161"/>
      <c r="AK400" s="161"/>
      <c r="AL400" s="161"/>
      <c r="AM400" s="161"/>
      <c r="AN400" s="161"/>
      <c r="AO400" s="161"/>
      <c r="AP400" s="161"/>
      <c r="AQ400" s="161">
        <f>SUM(AR400:AU400)</f>
      </c>
      <c r="AR400" s="161"/>
      <c r="AS400" s="161"/>
      <c r="AT400" s="161"/>
      <c r="AU400" s="161"/>
      <c r="AV400" s="161">
        <f>SUM(AW400:BH400)</f>
      </c>
      <c r="AW400" s="161"/>
      <c r="AX400" s="161"/>
      <c r="AY400" s="161"/>
      <c r="AZ400" s="161"/>
      <c r="BA400" s="161"/>
      <c r="BB400" s="161"/>
      <c r="BC400" s="161"/>
      <c r="BD400" s="161"/>
      <c r="BE400" s="161"/>
      <c r="BF400" s="161"/>
      <c r="BG400" s="161"/>
      <c r="BH400" s="161"/>
      <c r="BI400" s="161"/>
      <c r="BJ400" s="161"/>
      <c r="BK400" s="161"/>
      <c r="BL400" s="161"/>
      <c r="BM400" s="161"/>
      <c r="BN400" s="161"/>
      <c r="BO400" s="161"/>
      <c r="BP400" s="161"/>
      <c r="BQ400" s="161"/>
      <c r="BR400" s="161"/>
      <c r="BS400" s="161">
        <f>SUM(BT400:BV400)</f>
      </c>
      <c r="BT400" s="161"/>
      <c r="BU400" s="161"/>
      <c r="BV400" s="161"/>
      <c r="BW400" s="161">
        <f>SUM(BX400:CC400)</f>
      </c>
      <c r="BX400" s="161"/>
      <c r="BY400" s="161"/>
      <c r="BZ400" s="161"/>
      <c r="CA400" s="161"/>
      <c r="CB400" s="161"/>
      <c r="CC400" s="161"/>
      <c r="CD400" s="161"/>
      <c r="CE400" s="161"/>
      <c r="CF400" s="161"/>
      <c r="CG400" s="161"/>
      <c r="CH400" s="161"/>
      <c r="CI400" s="161"/>
      <c r="CJ400" s="161">
        <f>SUM(CK400:CM400)</f>
      </c>
      <c r="CK400" s="161"/>
      <c r="CL400" s="161"/>
      <c r="CM400" s="161"/>
      <c r="CN400" s="161">
        <f>SUM(CO400:CS400)</f>
      </c>
      <c r="CO400" s="161"/>
      <c r="CP400" s="161"/>
      <c r="CQ400" s="161"/>
      <c r="CR400" s="161"/>
      <c r="CS400" s="161"/>
      <c r="CT400" s="161"/>
      <c r="CU400" s="161"/>
      <c r="CV400" s="161"/>
      <c r="CW400" s="161"/>
      <c r="CX400" s="161"/>
      <c r="CY400" s="161"/>
      <c r="CZ400" s="161"/>
      <c r="DA400" s="161"/>
      <c r="DB400" s="161"/>
      <c r="DC400" s="161"/>
      <c r="DD400" s="161"/>
      <c r="DE400" s="161"/>
      <c r="DF400" s="161">
        <f>SUM(DG400:DG400)</f>
      </c>
      <c r="DG400" s="161"/>
      <c r="DH400" s="161"/>
      <c r="DI400" s="161"/>
      <c r="DJ400" s="161">
        <f>SUM(DK400:DP400)</f>
      </c>
      <c r="DK400" s="161"/>
      <c r="DL400" s="161"/>
      <c r="DM400" s="161"/>
      <c r="DN400" s="161"/>
      <c r="DO400" s="161"/>
      <c r="DP400" s="161"/>
      <c r="DQ400" s="161"/>
      <c r="DR400" s="161"/>
      <c r="DS400" s="161"/>
      <c r="DT400" s="161"/>
      <c r="DU400" s="161"/>
      <c r="DV400" s="161"/>
      <c r="DW400" s="161"/>
      <c r="DX400" s="161"/>
      <c r="DY400" s="161"/>
      <c r="DZ400" s="161"/>
      <c r="EA400" s="161"/>
      <c r="EB400" s="161"/>
      <c r="EC400" s="161"/>
      <c r="ED400" s="161"/>
      <c r="EE400" s="161"/>
      <c r="EF400" s="161">
        <f>SUM(EG400:EP400)</f>
      </c>
      <c r="EG400" s="161"/>
      <c r="EH400" s="161"/>
      <c r="EI400" s="161"/>
      <c r="EJ400" s="161"/>
      <c r="EK400" s="161"/>
      <c r="EL400" s="161"/>
      <c r="EM400" s="161"/>
      <c r="EN400" s="161"/>
      <c r="EO400" s="161"/>
      <c r="EP400" s="161"/>
      <c r="EQ400" s="161">
        <f>SUM(ER400:ES400)</f>
      </c>
      <c r="ER400" s="161"/>
      <c r="ES400" s="161"/>
      <c r="ET400" s="161"/>
      <c r="EU400" s="161"/>
      <c r="EV400" s="161"/>
      <c r="EW400" s="161"/>
      <c r="EX400" s="161"/>
      <c r="EY400" s="161"/>
      <c r="EZ400" s="161"/>
      <c r="FA400" s="161"/>
      <c r="FB400" s="161"/>
      <c r="FC400" s="161"/>
      <c r="FD400" s="161"/>
      <c r="FE400" s="161"/>
      <c r="FF400" s="161"/>
      <c r="FG400" s="161"/>
      <c r="FH400" s="166" cm="1">
        <f t="array" ref="FH400">ROW()-ROW(Ongoing[#Headers])</f>
        <v>394</v>
      </c>
      <c r="FI400" s="167"/>
      <c r="FJ400" s="167"/>
      <c r="FK400" s="167"/>
      <c r="FL400" s="167"/>
      <c r="FM400" s="167"/>
      <c r="FN400" s="167"/>
      <c r="FO400" s="167"/>
      <c r="FP400" s="167"/>
    </row>
    <row r="401" spans="2:172" x14ac:dyDescent="0.2">
      <c r="B401" s="134"/>
      <c r="C401" s="134"/>
      <c r="D401" s="134"/>
      <c r="E401" s="134"/>
      <c r="F401" s="134"/>
      <c r="G401" s="134"/>
      <c r="H401" s="134"/>
      <c r="I401" s="134"/>
      <c r="J401" s="134"/>
      <c r="K401" s="134"/>
      <c r="L401" s="134"/>
      <c r="M401" s="135"/>
      <c r="N401" s="135"/>
      <c r="O401" s="134"/>
      <c r="P401" s="136"/>
      <c r="Q401" s="136"/>
      <c r="R401" s="136"/>
      <c r="S401" s="136"/>
      <c r="T401" s="136"/>
      <c r="U401" s="136"/>
      <c r="V401" s="136"/>
      <c r="W401" s="136"/>
      <c r="X401" s="136"/>
      <c r="Y401" s="136"/>
      <c r="Z401" s="136"/>
      <c r="AA401" s="136"/>
      <c r="AB401" s="136"/>
      <c r="AC401" s="136"/>
      <c r="AD401" s="136"/>
      <c r="AE401" s="136"/>
      <c r="AF401" s="136"/>
      <c r="AG401" s="136"/>
      <c r="AH401" s="136"/>
      <c r="AI401" s="136"/>
      <c r="AJ401" s="136"/>
      <c r="AK401" s="136"/>
      <c r="AL401" s="136"/>
      <c r="AM401" s="136"/>
      <c r="AN401" s="136"/>
      <c r="AO401" s="136"/>
      <c r="AP401" s="136"/>
      <c r="AQ401" s="136"/>
      <c r="AR401" s="136"/>
      <c r="AS401" s="136"/>
      <c r="AT401" s="136"/>
      <c r="AU401" s="136"/>
      <c r="AV401" s="136"/>
      <c r="AW401" s="136"/>
      <c r="AX401" s="136"/>
      <c r="AY401" s="136"/>
      <c r="AZ401" s="136"/>
      <c r="BA401" s="136"/>
      <c r="BB401" s="136"/>
      <c r="BC401" s="136"/>
      <c r="BD401" s="136"/>
      <c r="BE401" s="136"/>
      <c r="BF401" s="136"/>
      <c r="BG401" s="136"/>
      <c r="BH401" s="136"/>
      <c r="BI401" s="136"/>
      <c r="BJ401" s="136"/>
      <c r="BK401" s="136"/>
      <c r="BL401" s="136"/>
      <c r="BM401" s="136"/>
      <c r="BN401" s="136"/>
      <c r="BO401" s="136"/>
      <c r="BP401" s="136"/>
      <c r="BQ401" s="136"/>
      <c r="BR401" s="136"/>
      <c r="BS401" s="136"/>
      <c r="BT401" s="136"/>
      <c r="BU401" s="136"/>
      <c r="BV401" s="136"/>
      <c r="BW401" s="136"/>
      <c r="BX401" s="136"/>
      <c r="BY401" s="136"/>
      <c r="BZ401" s="136"/>
      <c r="CA401" s="136"/>
      <c r="CB401" s="136"/>
      <c r="CC401" s="136"/>
      <c r="CD401" s="136"/>
      <c r="CE401" s="136"/>
      <c r="CF401" s="136"/>
      <c r="CG401" s="136"/>
      <c r="CH401" s="136"/>
      <c r="CI401" s="136"/>
      <c r="CJ401" s="136"/>
      <c r="CK401" s="136"/>
      <c r="CL401" s="136"/>
      <c r="CM401" s="136"/>
      <c r="CN401" s="136"/>
      <c r="CO401" s="136"/>
      <c r="CP401" s="136"/>
      <c r="CQ401" s="136"/>
      <c r="CR401" s="136"/>
      <c r="CS401" s="136"/>
      <c r="CT401" s="136"/>
      <c r="CU401" s="136"/>
      <c r="CV401" s="136"/>
      <c r="CW401" s="136"/>
      <c r="CX401" s="136"/>
      <c r="CY401" s="136"/>
      <c r="CZ401" s="136"/>
      <c r="DA401" s="136"/>
      <c r="DB401" s="136"/>
      <c r="DC401" s="136"/>
      <c r="DD401" s="136"/>
      <c r="DE401" s="136"/>
      <c r="DF401" s="136"/>
      <c r="DG401" s="136"/>
      <c r="DH401" s="136"/>
      <c r="DI401" s="136"/>
      <c r="DJ401" s="136"/>
      <c r="DK401" s="136"/>
      <c r="DL401" s="136"/>
      <c r="DM401" s="136"/>
      <c r="DN401" s="136"/>
      <c r="DO401" s="136"/>
      <c r="DP401" s="136"/>
      <c r="DQ401" s="136"/>
      <c r="DR401" s="136"/>
      <c r="DS401" s="136"/>
      <c r="DT401" s="136"/>
      <c r="DU401" s="136"/>
      <c r="DV401" s="136"/>
      <c r="DW401" s="136"/>
      <c r="DX401" s="136"/>
      <c r="DY401" s="136"/>
      <c r="DZ401" s="136"/>
      <c r="EA401" s="136"/>
      <c r="EB401" s="136"/>
      <c r="EC401" s="136"/>
      <c r="ED401" s="136"/>
      <c r="EE401" s="136"/>
      <c r="EF401" s="136"/>
      <c r="EG401" s="136"/>
      <c r="EH401" s="136"/>
      <c r="EI401" s="136"/>
      <c r="EJ401" s="136"/>
      <c r="EK401" s="136"/>
      <c r="EL401" s="136"/>
      <c r="EM401" s="136"/>
      <c r="EN401" s="136"/>
      <c r="EO401" s="136"/>
      <c r="EP401" s="136"/>
      <c r="EQ401" s="136"/>
      <c r="ER401" s="136"/>
      <c r="ES401" s="136"/>
      <c r="ET401" s="136"/>
      <c r="EU401" s="136"/>
      <c r="EV401" s="136"/>
      <c r="EW401" s="136"/>
      <c r="EX401" s="136"/>
      <c r="EY401" s="136"/>
      <c r="EZ401" s="136"/>
      <c r="FA401" s="136"/>
      <c r="FB401" s="136"/>
      <c r="FC401" s="136"/>
      <c r="FD401" s="136"/>
      <c r="FE401" s="136"/>
      <c r="FF401" s="136"/>
      <c r="FG401" s="136"/>
      <c r="FH401" s="137"/>
      <c r="FI401" s="138"/>
      <c r="FJ401" s="138"/>
      <c r="FK401" s="138"/>
      <c r="FL401" s="138"/>
      <c r="FM401" s="138"/>
      <c r="FN401" s="138"/>
      <c r="FO401" s="138"/>
      <c r="FP401" s="138"/>
    </row>
    <row r="402" spans="2:172" x14ac:dyDescent="0.2">
      <c r="B402" s="134"/>
      <c r="C402" s="134"/>
      <c r="D402" s="134"/>
      <c r="E402" s="134"/>
      <c r="F402" s="134"/>
      <c r="G402" s="134"/>
      <c r="H402" s="134"/>
      <c r="I402" s="134"/>
      <c r="J402" s="134"/>
      <c r="K402" s="134"/>
      <c r="L402" s="134"/>
      <c r="M402" s="135"/>
      <c r="N402" s="135"/>
      <c r="O402" s="134"/>
      <c r="P402" s="136"/>
      <c r="Q402" s="136"/>
      <c r="R402" s="136"/>
      <c r="S402" s="136"/>
      <c r="T402" s="136"/>
      <c r="U402" s="136"/>
      <c r="V402" s="136"/>
      <c r="W402" s="136"/>
      <c r="X402" s="136"/>
      <c r="Y402" s="136"/>
      <c r="Z402" s="136"/>
      <c r="AA402" s="136"/>
      <c r="AB402" s="136"/>
      <c r="AC402" s="136"/>
      <c r="AD402" s="136"/>
      <c r="AE402" s="136"/>
      <c r="AF402" s="136"/>
      <c r="AG402" s="136"/>
      <c r="AH402" s="136"/>
      <c r="AI402" s="136"/>
      <c r="AJ402" s="136"/>
      <c r="AK402" s="136"/>
      <c r="AL402" s="136"/>
      <c r="AM402" s="136"/>
      <c r="AN402" s="136"/>
      <c r="AO402" s="136"/>
      <c r="AP402" s="136"/>
      <c r="AQ402" s="136"/>
      <c r="AR402" s="136"/>
      <c r="AS402" s="136"/>
      <c r="AT402" s="136"/>
      <c r="AU402" s="136"/>
      <c r="AV402" s="136"/>
      <c r="AW402" s="136"/>
      <c r="AX402" s="136"/>
      <c r="AY402" s="136"/>
      <c r="AZ402" s="136"/>
      <c r="BA402" s="136"/>
      <c r="BB402" s="136"/>
      <c r="BC402" s="136"/>
      <c r="BD402" s="136"/>
      <c r="BE402" s="136"/>
      <c r="BF402" s="136"/>
      <c r="BG402" s="136"/>
      <c r="BH402" s="136"/>
      <c r="BI402" s="136"/>
      <c r="BJ402" s="136"/>
      <c r="BK402" s="136"/>
      <c r="BL402" s="136"/>
      <c r="BM402" s="136"/>
      <c r="BN402" s="136"/>
      <c r="BO402" s="136"/>
      <c r="BP402" s="136"/>
      <c r="BQ402" s="136"/>
      <c r="BR402" s="136"/>
      <c r="BS402" s="136"/>
      <c r="BT402" s="136"/>
      <c r="BU402" s="136"/>
      <c r="BV402" s="136"/>
      <c r="BW402" s="136"/>
      <c r="BX402" s="136"/>
      <c r="BY402" s="136"/>
      <c r="BZ402" s="136"/>
      <c r="CA402" s="136"/>
      <c r="CB402" s="136"/>
      <c r="CC402" s="136"/>
      <c r="CD402" s="136"/>
      <c r="CE402" s="136"/>
      <c r="CF402" s="136"/>
      <c r="CG402" s="136"/>
      <c r="CH402" s="136"/>
      <c r="CI402" s="136"/>
      <c r="CJ402" s="136"/>
      <c r="CK402" s="136"/>
      <c r="CL402" s="136"/>
      <c r="CM402" s="136"/>
      <c r="CN402" s="136"/>
      <c r="CO402" s="136"/>
      <c r="CP402" s="136"/>
      <c r="CQ402" s="136"/>
      <c r="CR402" s="136"/>
      <c r="CS402" s="136"/>
      <c r="CT402" s="136"/>
      <c r="CU402" s="136"/>
      <c r="CV402" s="136"/>
      <c r="CW402" s="136"/>
      <c r="CX402" s="136"/>
      <c r="CY402" s="136"/>
      <c r="CZ402" s="136"/>
      <c r="DA402" s="136"/>
      <c r="DB402" s="136"/>
      <c r="DC402" s="136"/>
      <c r="DD402" s="136"/>
      <c r="DE402" s="136"/>
      <c r="DF402" s="136"/>
      <c r="DG402" s="136"/>
      <c r="DH402" s="136"/>
      <c r="DI402" s="136"/>
      <c r="DJ402" s="136"/>
      <c r="DK402" s="136"/>
      <c r="DL402" s="136"/>
      <c r="DM402" s="136"/>
      <c r="DN402" s="136"/>
      <c r="DO402" s="136"/>
      <c r="DP402" s="136"/>
      <c r="DQ402" s="136"/>
      <c r="DR402" s="136"/>
      <c r="DS402" s="136"/>
      <c r="DT402" s="136"/>
      <c r="DU402" s="136"/>
      <c r="DV402" s="136"/>
      <c r="DW402" s="136"/>
      <c r="DX402" s="136"/>
      <c r="DY402" s="136"/>
      <c r="DZ402" s="136"/>
      <c r="EA402" s="136"/>
      <c r="EB402" s="136"/>
      <c r="EC402" s="136"/>
      <c r="ED402" s="136"/>
      <c r="EE402" s="136"/>
      <c r="EF402" s="136"/>
      <c r="EG402" s="136"/>
      <c r="EH402" s="136"/>
      <c r="EI402" s="136"/>
      <c r="EJ402" s="136"/>
      <c r="EK402" s="136"/>
      <c r="EL402" s="136"/>
      <c r="EM402" s="136"/>
      <c r="EN402" s="136"/>
      <c r="EO402" s="136"/>
      <c r="EP402" s="136"/>
      <c r="EQ402" s="136"/>
      <c r="ER402" s="136"/>
      <c r="ES402" s="136"/>
      <c r="ET402" s="136"/>
      <c r="EU402" s="136"/>
      <c r="EV402" s="136"/>
      <c r="EW402" s="136"/>
      <c r="EX402" s="136"/>
      <c r="EY402" s="136"/>
      <c r="EZ402" s="136"/>
      <c r="FA402" s="136"/>
      <c r="FB402" s="136"/>
      <c r="FC402" s="136"/>
      <c r="FD402" s="136"/>
      <c r="FE402" s="136"/>
      <c r="FF402" s="136"/>
      <c r="FG402" s="136"/>
      <c r="FH402" s="137"/>
      <c r="FI402" s="138"/>
      <c r="FJ402" s="138"/>
      <c r="FK402" s="138"/>
      <c r="FL402" s="138"/>
      <c r="FM402" s="138"/>
      <c r="FN402" s="138"/>
      <c r="FO402" s="138"/>
      <c r="FP402" s="138"/>
    </row>
    <row r="403" spans="2:172" x14ac:dyDescent="0.2">
      <c r="B403" s="134"/>
      <c r="C403" s="134"/>
      <c r="D403" s="134"/>
      <c r="E403" s="134"/>
      <c r="F403" s="134"/>
      <c r="G403" s="134"/>
      <c r="H403" s="134"/>
      <c r="I403" s="134"/>
      <c r="J403" s="134"/>
      <c r="K403" s="134"/>
      <c r="L403" s="134"/>
      <c r="M403" s="135"/>
      <c r="N403" s="135"/>
      <c r="O403" s="134"/>
      <c r="P403" s="136"/>
      <c r="Q403" s="136"/>
      <c r="R403" s="136"/>
      <c r="S403" s="136"/>
      <c r="T403" s="136"/>
      <c r="U403" s="136"/>
      <c r="V403" s="136"/>
      <c r="W403" s="136"/>
      <c r="X403" s="136"/>
      <c r="Y403" s="136"/>
      <c r="Z403" s="136"/>
      <c r="AA403" s="136"/>
      <c r="AB403" s="136"/>
      <c r="AC403" s="136"/>
      <c r="AD403" s="136"/>
      <c r="AE403" s="136"/>
      <c r="AF403" s="136"/>
      <c r="AG403" s="136"/>
      <c r="AH403" s="136"/>
      <c r="AI403" s="136"/>
      <c r="AJ403" s="136"/>
      <c r="AK403" s="136"/>
      <c r="AL403" s="136"/>
      <c r="AM403" s="136"/>
      <c r="AN403" s="136"/>
      <c r="AO403" s="136"/>
      <c r="AP403" s="136"/>
      <c r="AQ403" s="136"/>
      <c r="AR403" s="136"/>
      <c r="AS403" s="136"/>
      <c r="AT403" s="136"/>
      <c r="AU403" s="136"/>
      <c r="AV403" s="136"/>
      <c r="AW403" s="136"/>
      <c r="AX403" s="136"/>
      <c r="AY403" s="136"/>
      <c r="AZ403" s="136"/>
      <c r="BA403" s="136"/>
      <c r="BB403" s="136"/>
      <c r="BC403" s="136"/>
      <c r="BD403" s="136"/>
      <c r="BE403" s="136"/>
      <c r="BF403" s="136"/>
      <c r="BG403" s="136"/>
      <c r="BH403" s="136"/>
      <c r="BI403" s="136"/>
      <c r="BJ403" s="136"/>
      <c r="BK403" s="136"/>
      <c r="BL403" s="136"/>
      <c r="BM403" s="136"/>
      <c r="BN403" s="136"/>
      <c r="BO403" s="136"/>
      <c r="BP403" s="136"/>
      <c r="BQ403" s="136"/>
      <c r="BR403" s="136"/>
      <c r="BS403" s="136"/>
      <c r="BT403" s="136"/>
      <c r="BU403" s="136"/>
      <c r="BV403" s="136"/>
      <c r="BW403" s="136"/>
      <c r="BX403" s="136"/>
      <c r="BY403" s="136"/>
      <c r="BZ403" s="136"/>
      <c r="CA403" s="136"/>
      <c r="CB403" s="136"/>
      <c r="CC403" s="136"/>
      <c r="CD403" s="136"/>
      <c r="CE403" s="136"/>
      <c r="CF403" s="136"/>
      <c r="CG403" s="136"/>
      <c r="CH403" s="136"/>
      <c r="CI403" s="136"/>
      <c r="CJ403" s="136"/>
      <c r="CK403" s="136"/>
      <c r="CL403" s="136"/>
      <c r="CM403" s="136"/>
      <c r="CN403" s="136"/>
      <c r="CO403" s="136"/>
      <c r="CP403" s="136"/>
      <c r="CQ403" s="136"/>
      <c r="CR403" s="136"/>
      <c r="CS403" s="136"/>
      <c r="CT403" s="136"/>
      <c r="CU403" s="136"/>
      <c r="CV403" s="136"/>
      <c r="CW403" s="136"/>
      <c r="CX403" s="136"/>
      <c r="CY403" s="136"/>
      <c r="CZ403" s="136"/>
      <c r="DA403" s="136"/>
      <c r="DB403" s="136"/>
      <c r="DC403" s="136"/>
      <c r="DD403" s="136"/>
      <c r="DE403" s="136"/>
      <c r="DF403" s="136"/>
      <c r="DG403" s="136"/>
      <c r="DH403" s="136"/>
      <c r="DI403" s="136"/>
      <c r="DJ403" s="136"/>
      <c r="DK403" s="136"/>
      <c r="DL403" s="136"/>
      <c r="DM403" s="136"/>
      <c r="DN403" s="136"/>
      <c r="DO403" s="136"/>
      <c r="DP403" s="136"/>
      <c r="DQ403" s="136"/>
      <c r="DR403" s="136"/>
      <c r="DS403" s="136"/>
      <c r="DT403" s="136"/>
      <c r="DU403" s="136"/>
      <c r="DV403" s="136"/>
      <c r="DW403" s="136"/>
      <c r="DX403" s="136"/>
      <c r="DY403" s="136"/>
      <c r="DZ403" s="136"/>
      <c r="EA403" s="136"/>
      <c r="EB403" s="136"/>
      <c r="EC403" s="136"/>
      <c r="ED403" s="136"/>
      <c r="EE403" s="136"/>
      <c r="EF403" s="136"/>
      <c r="EG403" s="136"/>
      <c r="EH403" s="136"/>
      <c r="EI403" s="136"/>
      <c r="EJ403" s="136"/>
      <c r="EK403" s="136"/>
      <c r="EL403" s="136"/>
      <c r="EM403" s="136"/>
      <c r="EN403" s="136"/>
      <c r="EO403" s="136"/>
      <c r="EP403" s="136"/>
      <c r="EQ403" s="136"/>
      <c r="ER403" s="136"/>
      <c r="ES403" s="136"/>
      <c r="ET403" s="136"/>
      <c r="EU403" s="136"/>
      <c r="EV403" s="136"/>
      <c r="EW403" s="136"/>
      <c r="EX403" s="136"/>
      <c r="EY403" s="136"/>
      <c r="EZ403" s="136"/>
      <c r="FA403" s="136"/>
      <c r="FB403" s="136"/>
      <c r="FC403" s="136"/>
      <c r="FD403" s="136"/>
      <c r="FE403" s="136"/>
      <c r="FF403" s="136"/>
      <c r="FG403" s="136"/>
      <c r="FH403" s="137"/>
      <c r="FI403" s="138"/>
      <c r="FJ403" s="138"/>
      <c r="FK403" s="138"/>
      <c r="FL403" s="138"/>
      <c r="FM403" s="138"/>
      <c r="FN403" s="138"/>
      <c r="FO403" s="138"/>
      <c r="FP403" s="138"/>
    </row>
    <row r="404" spans="2:172" x14ac:dyDescent="0.2">
      <c r="B404" s="134"/>
      <c r="C404" s="134"/>
      <c r="D404" s="134"/>
      <c r="E404" s="134"/>
      <c r="F404" s="134"/>
      <c r="G404" s="134"/>
      <c r="H404" s="134"/>
      <c r="I404" s="134"/>
      <c r="J404" s="134"/>
      <c r="K404" s="134"/>
      <c r="L404" s="134"/>
      <c r="M404" s="135"/>
      <c r="N404" s="135"/>
      <c r="O404" s="134"/>
      <c r="P404" s="136"/>
      <c r="Q404" s="136"/>
      <c r="R404" s="136"/>
      <c r="S404" s="136"/>
      <c r="T404" s="136"/>
      <c r="U404" s="136"/>
      <c r="V404" s="136"/>
      <c r="W404" s="136"/>
      <c r="X404" s="136"/>
      <c r="Y404" s="136"/>
      <c r="Z404" s="136"/>
      <c r="AA404" s="136"/>
      <c r="AB404" s="136"/>
      <c r="AC404" s="136"/>
      <c r="AD404" s="136"/>
      <c r="AE404" s="136"/>
      <c r="AF404" s="136"/>
      <c r="AG404" s="136"/>
      <c r="AH404" s="136"/>
      <c r="AI404" s="136"/>
      <c r="AJ404" s="136"/>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c r="CO404" s="136"/>
      <c r="CP404" s="136"/>
      <c r="CQ404" s="136"/>
      <c r="CR404" s="136"/>
      <c r="CS404" s="136"/>
      <c r="CT404" s="136"/>
      <c r="CU404" s="136"/>
      <c r="CV404" s="136"/>
      <c r="CW404" s="136"/>
      <c r="CX404" s="136"/>
      <c r="CY404" s="136"/>
      <c r="CZ404" s="136"/>
      <c r="DA404" s="136"/>
      <c r="DB404" s="136"/>
      <c r="DC404" s="136"/>
      <c r="DD404" s="136"/>
      <c r="DE404" s="136"/>
      <c r="DF404" s="136"/>
      <c r="DG404" s="136"/>
      <c r="DH404" s="136"/>
      <c r="DI404" s="136"/>
      <c r="DJ404" s="136"/>
      <c r="DK404" s="136"/>
      <c r="DL404" s="136"/>
      <c r="DM404" s="136"/>
      <c r="DN404" s="136"/>
      <c r="DO404" s="136"/>
      <c r="DP404" s="136"/>
      <c r="DQ404" s="136"/>
      <c r="DR404" s="136"/>
      <c r="DS404" s="136"/>
      <c r="DT404" s="136"/>
      <c r="DU404" s="136"/>
      <c r="DV404" s="136"/>
      <c r="DW404" s="136"/>
      <c r="DX404" s="136"/>
      <c r="DY404" s="136"/>
      <c r="DZ404" s="136"/>
      <c r="EA404" s="136"/>
      <c r="EB404" s="136"/>
      <c r="EC404" s="136"/>
      <c r="ED404" s="136"/>
      <c r="EE404" s="136"/>
      <c r="EF404" s="136"/>
      <c r="EG404" s="136"/>
      <c r="EH404" s="136"/>
      <c r="EI404" s="136"/>
      <c r="EJ404" s="136"/>
      <c r="EK404" s="136"/>
      <c r="EL404" s="136"/>
      <c r="EM404" s="136"/>
      <c r="EN404" s="136"/>
      <c r="EO404" s="136"/>
      <c r="EP404" s="136"/>
      <c r="EQ404" s="136"/>
      <c r="ER404" s="136"/>
      <c r="ES404" s="136"/>
      <c r="ET404" s="136"/>
      <c r="EU404" s="136"/>
      <c r="EV404" s="136"/>
      <c r="EW404" s="136"/>
      <c r="EX404" s="136"/>
      <c r="EY404" s="136"/>
      <c r="EZ404" s="136"/>
      <c r="FA404" s="136"/>
      <c r="FB404" s="136"/>
      <c r="FC404" s="136"/>
      <c r="FD404" s="136"/>
      <c r="FE404" s="136"/>
      <c r="FF404" s="136"/>
      <c r="FG404" s="136"/>
      <c r="FH404" s="137"/>
      <c r="FI404" s="138"/>
      <c r="FJ404" s="138"/>
      <c r="FK404" s="138"/>
      <c r="FL404" s="138"/>
      <c r="FM404" s="138"/>
      <c r="FN404" s="138"/>
      <c r="FO404" s="138"/>
      <c r="FP404" s="138"/>
    </row>
    <row r="405" spans="2:172" x14ac:dyDescent="0.2">
      <c r="B405" s="134"/>
      <c r="C405" s="134"/>
      <c r="D405" s="134"/>
      <c r="E405" s="134"/>
      <c r="F405" s="134"/>
      <c r="G405" s="134"/>
      <c r="H405" s="134"/>
      <c r="I405" s="134"/>
      <c r="J405" s="134"/>
      <c r="K405" s="134"/>
      <c r="L405" s="134"/>
      <c r="M405" s="135"/>
      <c r="N405" s="135"/>
      <c r="O405" s="134"/>
      <c r="P405" s="136"/>
      <c r="Q405" s="136"/>
      <c r="R405" s="136"/>
      <c r="S405" s="136"/>
      <c r="T405" s="136"/>
      <c r="U405" s="136"/>
      <c r="V405" s="136"/>
      <c r="W405" s="136"/>
      <c r="X405" s="136"/>
      <c r="Y405" s="136"/>
      <c r="Z405" s="136"/>
      <c r="AA405" s="136"/>
      <c r="AB405" s="136"/>
      <c r="AC405" s="136"/>
      <c r="AD405" s="136"/>
      <c r="AE405" s="136"/>
      <c r="AF405" s="136"/>
      <c r="AG405" s="136"/>
      <c r="AH405" s="136"/>
      <c r="AI405" s="136"/>
      <c r="AJ405" s="136"/>
      <c r="AK405" s="136"/>
      <c r="AL405" s="136"/>
      <c r="AM405" s="136"/>
      <c r="AN405" s="136"/>
      <c r="AO405" s="136"/>
      <c r="AP405" s="136"/>
      <c r="AQ405" s="136"/>
      <c r="AR405" s="136"/>
      <c r="AS405" s="136"/>
      <c r="AT405" s="136"/>
      <c r="AU405" s="136"/>
      <c r="AV405" s="136"/>
      <c r="AW405" s="136"/>
      <c r="AX405" s="136"/>
      <c r="AY405" s="136"/>
      <c r="AZ405" s="136"/>
      <c r="BA405" s="136"/>
      <c r="BB405" s="136"/>
      <c r="BC405" s="136"/>
      <c r="BD405" s="136"/>
      <c r="BE405" s="136"/>
      <c r="BF405" s="136"/>
      <c r="BG405" s="136"/>
      <c r="BH405" s="136"/>
      <c r="BI405" s="136"/>
      <c r="BJ405" s="136"/>
      <c r="BK405" s="136"/>
      <c r="BL405" s="136"/>
      <c r="BM405" s="136"/>
      <c r="BN405" s="136"/>
      <c r="BO405" s="136"/>
      <c r="BP405" s="136"/>
      <c r="BQ405" s="136"/>
      <c r="BR405" s="136"/>
      <c r="BS405" s="136"/>
      <c r="BT405" s="136"/>
      <c r="BU405" s="136"/>
      <c r="BV405" s="136"/>
      <c r="BW405" s="136"/>
      <c r="BX405" s="136"/>
      <c r="BY405" s="136"/>
      <c r="BZ405" s="136"/>
      <c r="CA405" s="136"/>
      <c r="CB405" s="136"/>
      <c r="CC405" s="136"/>
      <c r="CD405" s="136"/>
      <c r="CE405" s="136"/>
      <c r="CF405" s="136"/>
      <c r="CG405" s="136"/>
      <c r="CH405" s="136"/>
      <c r="CI405" s="136"/>
      <c r="CJ405" s="136"/>
      <c r="CK405" s="136"/>
      <c r="CL405" s="136"/>
      <c r="CM405" s="136"/>
      <c r="CN405" s="136"/>
      <c r="CO405" s="136"/>
      <c r="CP405" s="136"/>
      <c r="CQ405" s="136"/>
      <c r="CR405" s="136"/>
      <c r="CS405" s="136"/>
      <c r="CT405" s="136"/>
      <c r="CU405" s="136"/>
      <c r="CV405" s="136"/>
      <c r="CW405" s="136"/>
      <c r="CX405" s="136"/>
      <c r="CY405" s="136"/>
      <c r="CZ405" s="136"/>
      <c r="DA405" s="136"/>
      <c r="DB405" s="136"/>
      <c r="DC405" s="136"/>
      <c r="DD405" s="136"/>
      <c r="DE405" s="136"/>
      <c r="DF405" s="136"/>
      <c r="DG405" s="136"/>
      <c r="DH405" s="136"/>
      <c r="DI405" s="136"/>
      <c r="DJ405" s="136"/>
      <c r="DK405" s="136"/>
      <c r="DL405" s="136"/>
      <c r="DM405" s="136"/>
      <c r="DN405" s="136"/>
      <c r="DO405" s="136"/>
      <c r="DP405" s="136"/>
      <c r="DQ405" s="136"/>
      <c r="DR405" s="136"/>
      <c r="DS405" s="136"/>
      <c r="DT405" s="136"/>
      <c r="DU405" s="136"/>
      <c r="DV405" s="136"/>
      <c r="DW405" s="136"/>
      <c r="DX405" s="136"/>
      <c r="DY405" s="136"/>
      <c r="DZ405" s="136"/>
      <c r="EA405" s="136"/>
      <c r="EB405" s="136"/>
      <c r="EC405" s="136"/>
      <c r="ED405" s="136"/>
      <c r="EE405" s="136"/>
      <c r="EF405" s="136"/>
      <c r="EG405" s="136"/>
      <c r="EH405" s="136"/>
      <c r="EI405" s="136"/>
      <c r="EJ405" s="136"/>
      <c r="EK405" s="136"/>
      <c r="EL405" s="136"/>
      <c r="EM405" s="136"/>
      <c r="EN405" s="136"/>
      <c r="EO405" s="136"/>
      <c r="EP405" s="136"/>
      <c r="EQ405" s="136"/>
      <c r="ER405" s="136"/>
      <c r="ES405" s="136"/>
      <c r="ET405" s="136"/>
      <c r="EU405" s="136"/>
      <c r="EV405" s="136"/>
      <c r="EW405" s="136"/>
      <c r="EX405" s="136"/>
      <c r="EY405" s="136"/>
      <c r="EZ405" s="136"/>
      <c r="FA405" s="136"/>
      <c r="FB405" s="136"/>
      <c r="FC405" s="136"/>
      <c r="FD405" s="136"/>
      <c r="FE405" s="136"/>
      <c r="FF405" s="136"/>
      <c r="FG405" s="136"/>
      <c r="FH405" s="137"/>
      <c r="FI405" s="138"/>
      <c r="FJ405" s="138"/>
      <c r="FK405" s="138"/>
      <c r="FL405" s="138"/>
      <c r="FM405" s="138"/>
      <c r="FN405" s="138"/>
      <c r="FO405" s="138"/>
      <c r="FP405" s="138"/>
    </row>
    <row r="406" spans="2:172" x14ac:dyDescent="0.2">
      <c r="B406" s="134"/>
      <c r="C406" s="134"/>
      <c r="D406" s="134"/>
      <c r="E406" s="134"/>
      <c r="F406" s="134"/>
      <c r="G406" s="134"/>
      <c r="H406" s="134"/>
      <c r="I406" s="134"/>
      <c r="J406" s="134"/>
      <c r="K406" s="134"/>
      <c r="L406" s="134"/>
      <c r="M406" s="135"/>
      <c r="N406" s="135"/>
      <c r="O406" s="134"/>
      <c r="P406" s="136"/>
      <c r="Q406" s="136"/>
      <c r="R406" s="136"/>
      <c r="S406" s="136"/>
      <c r="T406" s="136"/>
      <c r="U406" s="136"/>
      <c r="V406" s="136"/>
      <c r="W406" s="136"/>
      <c r="X406" s="136"/>
      <c r="Y406" s="136"/>
      <c r="Z406" s="136"/>
      <c r="AA406" s="136"/>
      <c r="AB406" s="136"/>
      <c r="AC406" s="136"/>
      <c r="AD406" s="136"/>
      <c r="AE406" s="136"/>
      <c r="AF406" s="136"/>
      <c r="AG406" s="136"/>
      <c r="AH406" s="136"/>
      <c r="AI406" s="136"/>
      <c r="AJ406" s="136"/>
      <c r="AK406" s="136"/>
      <c r="AL406" s="136"/>
      <c r="AM406" s="136"/>
      <c r="AN406" s="136"/>
      <c r="AO406" s="136"/>
      <c r="AP406" s="136"/>
      <c r="AQ406" s="136"/>
      <c r="AR406" s="136"/>
      <c r="AS406" s="136"/>
      <c r="AT406" s="136"/>
      <c r="AU406" s="136"/>
      <c r="AV406" s="136"/>
      <c r="AW406" s="136"/>
      <c r="AX406" s="136"/>
      <c r="AY406" s="136"/>
      <c r="AZ406" s="136"/>
      <c r="BA406" s="136"/>
      <c r="BB406" s="136"/>
      <c r="BC406" s="136"/>
      <c r="BD406" s="136"/>
      <c r="BE406" s="136"/>
      <c r="BF406" s="136"/>
      <c r="BG406" s="136"/>
      <c r="BH406" s="136"/>
      <c r="BI406" s="136"/>
      <c r="BJ406" s="136"/>
      <c r="BK406" s="136"/>
      <c r="BL406" s="136"/>
      <c r="BM406" s="136"/>
      <c r="BN406" s="136"/>
      <c r="BO406" s="136"/>
      <c r="BP406" s="136"/>
      <c r="BQ406" s="136"/>
      <c r="BR406" s="136"/>
      <c r="BS406" s="136"/>
      <c r="BT406" s="136"/>
      <c r="BU406" s="136"/>
      <c r="BV406" s="136"/>
      <c r="BW406" s="136"/>
      <c r="BX406" s="136"/>
      <c r="BY406" s="136"/>
      <c r="BZ406" s="136"/>
      <c r="CA406" s="136"/>
      <c r="CB406" s="136"/>
      <c r="CC406" s="136"/>
      <c r="CD406" s="136"/>
      <c r="CE406" s="136"/>
      <c r="CF406" s="136"/>
      <c r="CG406" s="136"/>
      <c r="CH406" s="136"/>
      <c r="CI406" s="136"/>
      <c r="CJ406" s="136"/>
      <c r="CK406" s="136"/>
      <c r="CL406" s="136"/>
      <c r="CM406" s="136"/>
      <c r="CN406" s="136"/>
      <c r="CO406" s="136"/>
      <c r="CP406" s="136"/>
      <c r="CQ406" s="136"/>
      <c r="CR406" s="136"/>
      <c r="CS406" s="136"/>
      <c r="CT406" s="136"/>
      <c r="CU406" s="136"/>
      <c r="CV406" s="136"/>
      <c r="CW406" s="136"/>
      <c r="CX406" s="136"/>
      <c r="CY406" s="136"/>
      <c r="CZ406" s="136"/>
      <c r="DA406" s="136"/>
      <c r="DB406" s="136"/>
      <c r="DC406" s="136"/>
      <c r="DD406" s="136"/>
      <c r="DE406" s="136"/>
      <c r="DF406" s="136"/>
      <c r="DG406" s="136"/>
      <c r="DH406" s="136"/>
      <c r="DI406" s="136"/>
      <c r="DJ406" s="136"/>
      <c r="DK406" s="136"/>
      <c r="DL406" s="136"/>
      <c r="DM406" s="136"/>
      <c r="DN406" s="136"/>
      <c r="DO406" s="136"/>
      <c r="DP406" s="136"/>
      <c r="DQ406" s="136"/>
      <c r="DR406" s="136"/>
      <c r="DS406" s="136"/>
      <c r="DT406" s="136"/>
      <c r="DU406" s="136"/>
      <c r="DV406" s="136"/>
      <c r="DW406" s="136"/>
      <c r="DX406" s="136"/>
      <c r="DY406" s="136"/>
      <c r="DZ406" s="136"/>
      <c r="EA406" s="136"/>
      <c r="EB406" s="136"/>
      <c r="EC406" s="136"/>
      <c r="ED406" s="136"/>
      <c r="EE406" s="136"/>
      <c r="EF406" s="136"/>
      <c r="EG406" s="136"/>
      <c r="EH406" s="136"/>
      <c r="EI406" s="136"/>
      <c r="EJ406" s="136"/>
      <c r="EK406" s="136"/>
      <c r="EL406" s="136"/>
      <c r="EM406" s="136"/>
      <c r="EN406" s="136"/>
      <c r="EO406" s="136"/>
      <c r="EP406" s="136"/>
      <c r="EQ406" s="136"/>
      <c r="ER406" s="136"/>
      <c r="ES406" s="136"/>
      <c r="ET406" s="136"/>
      <c r="EU406" s="136"/>
      <c r="EV406" s="136"/>
      <c r="EW406" s="136"/>
      <c r="EX406" s="136"/>
      <c r="EY406" s="136"/>
      <c r="EZ406" s="136"/>
      <c r="FA406" s="136"/>
      <c r="FB406" s="136"/>
      <c r="FC406" s="136"/>
      <c r="FD406" s="136"/>
      <c r="FE406" s="136"/>
      <c r="FF406" s="136"/>
      <c r="FG406" s="136"/>
      <c r="FH406" s="137"/>
      <c r="FI406" s="138"/>
      <c r="FJ406" s="138"/>
      <c r="FK406" s="138"/>
      <c r="FL406" s="138"/>
      <c r="FM406" s="138"/>
      <c r="FN406" s="138"/>
      <c r="FO406" s="138"/>
      <c r="FP406" s="138"/>
    </row>
    <row r="407" spans="2:172" x14ac:dyDescent="0.2">
      <c r="B407" s="134"/>
      <c r="C407" s="134"/>
      <c r="D407" s="134"/>
      <c r="E407" s="134"/>
      <c r="F407" s="134"/>
      <c r="G407" s="134"/>
      <c r="H407" s="134"/>
      <c r="I407" s="134"/>
      <c r="J407" s="134"/>
      <c r="K407" s="134"/>
      <c r="L407" s="134"/>
      <c r="M407" s="135"/>
      <c r="N407" s="135"/>
      <c r="O407" s="134"/>
      <c r="P407" s="136"/>
      <c r="Q407" s="136"/>
      <c r="R407" s="136"/>
      <c r="S407" s="136"/>
      <c r="T407" s="136"/>
      <c r="U407" s="136"/>
      <c r="V407" s="136"/>
      <c r="W407" s="136"/>
      <c r="X407" s="136"/>
      <c r="Y407" s="136"/>
      <c r="Z407" s="136"/>
      <c r="AA407" s="136"/>
      <c r="AB407" s="136"/>
      <c r="AC407" s="136"/>
      <c r="AD407" s="136"/>
      <c r="AE407" s="136"/>
      <c r="AF407" s="136"/>
      <c r="AG407" s="136"/>
      <c r="AH407" s="136"/>
      <c r="AI407" s="136"/>
      <c r="AJ407" s="136"/>
      <c r="AK407" s="136"/>
      <c r="AL407" s="136"/>
      <c r="AM407" s="136"/>
      <c r="AN407" s="136"/>
      <c r="AO407" s="136"/>
      <c r="AP407" s="136"/>
      <c r="AQ407" s="136"/>
      <c r="AR407" s="136"/>
      <c r="AS407" s="136"/>
      <c r="AT407" s="136"/>
      <c r="AU407" s="136"/>
      <c r="AV407" s="136"/>
      <c r="AW407" s="136"/>
      <c r="AX407" s="136"/>
      <c r="AY407" s="136"/>
      <c r="AZ407" s="136"/>
      <c r="BA407" s="136"/>
      <c r="BB407" s="136"/>
      <c r="BC407" s="136"/>
      <c r="BD407" s="136"/>
      <c r="BE407" s="136"/>
      <c r="BF407" s="136"/>
      <c r="BG407" s="136"/>
      <c r="BH407" s="136"/>
      <c r="BI407" s="136"/>
      <c r="BJ407" s="136"/>
      <c r="BK407" s="136"/>
      <c r="BL407" s="136"/>
      <c r="BM407" s="136"/>
      <c r="BN407" s="136"/>
      <c r="BO407" s="136"/>
      <c r="BP407" s="136"/>
      <c r="BQ407" s="136"/>
      <c r="BR407" s="136"/>
      <c r="BS407" s="136"/>
      <c r="BT407" s="136"/>
      <c r="BU407" s="136"/>
      <c r="BV407" s="136"/>
      <c r="BW407" s="136"/>
      <c r="BX407" s="136"/>
      <c r="BY407" s="136"/>
      <c r="BZ407" s="136"/>
      <c r="CA407" s="136"/>
      <c r="CB407" s="136"/>
      <c r="CC407" s="136"/>
      <c r="CD407" s="136"/>
      <c r="CE407" s="136"/>
      <c r="CF407" s="136"/>
      <c r="CG407" s="136"/>
      <c r="CH407" s="136"/>
      <c r="CI407" s="136"/>
      <c r="CJ407" s="136"/>
      <c r="CK407" s="136"/>
      <c r="CL407" s="136"/>
      <c r="CM407" s="136"/>
      <c r="CN407" s="136"/>
      <c r="CO407" s="136"/>
      <c r="CP407" s="136"/>
      <c r="CQ407" s="136"/>
      <c r="CR407" s="136"/>
      <c r="CS407" s="136"/>
      <c r="CT407" s="136"/>
      <c r="CU407" s="136"/>
      <c r="CV407" s="136"/>
      <c r="CW407" s="136"/>
      <c r="CX407" s="136"/>
      <c r="CY407" s="136"/>
      <c r="CZ407" s="136"/>
      <c r="DA407" s="136"/>
      <c r="DB407" s="136"/>
      <c r="DC407" s="136"/>
      <c r="DD407" s="136"/>
      <c r="DE407" s="136"/>
      <c r="DF407" s="136"/>
      <c r="DG407" s="136"/>
      <c r="DH407" s="136"/>
      <c r="DI407" s="136"/>
      <c r="DJ407" s="136"/>
      <c r="DK407" s="136"/>
      <c r="DL407" s="136"/>
      <c r="DM407" s="136"/>
      <c r="DN407" s="136"/>
      <c r="DO407" s="136"/>
      <c r="DP407" s="136"/>
      <c r="DQ407" s="136"/>
      <c r="DR407" s="136"/>
      <c r="DS407" s="136"/>
      <c r="DT407" s="136"/>
      <c r="DU407" s="136"/>
      <c r="DV407" s="136"/>
      <c r="DW407" s="136"/>
      <c r="DX407" s="136"/>
      <c r="DY407" s="136"/>
      <c r="DZ407" s="136"/>
      <c r="EA407" s="136"/>
      <c r="EB407" s="136"/>
      <c r="EC407" s="136"/>
      <c r="ED407" s="136"/>
      <c r="EE407" s="136"/>
      <c r="EF407" s="136"/>
      <c r="EG407" s="136"/>
      <c r="EH407" s="136"/>
      <c r="EI407" s="136"/>
      <c r="EJ407" s="136"/>
      <c r="EK407" s="136"/>
      <c r="EL407" s="136"/>
      <c r="EM407" s="136"/>
      <c r="EN407" s="136"/>
      <c r="EO407" s="136"/>
      <c r="EP407" s="136"/>
      <c r="EQ407" s="136"/>
      <c r="ER407" s="136"/>
      <c r="ES407" s="136"/>
      <c r="ET407" s="136"/>
      <c r="EU407" s="136"/>
      <c r="EV407" s="136"/>
      <c r="EW407" s="136"/>
      <c r="EX407" s="136"/>
      <c r="EY407" s="136"/>
      <c r="EZ407" s="136"/>
      <c r="FA407" s="136"/>
      <c r="FB407" s="136"/>
      <c r="FC407" s="136"/>
      <c r="FD407" s="136"/>
      <c r="FE407" s="136"/>
      <c r="FF407" s="136"/>
      <c r="FG407" s="136"/>
      <c r="FH407" s="137"/>
      <c r="FI407" s="138"/>
      <c r="FJ407" s="138"/>
      <c r="FK407" s="138"/>
      <c r="FL407" s="138"/>
      <c r="FM407" s="138"/>
      <c r="FN407" s="138"/>
      <c r="FO407" s="138"/>
      <c r="FP407" s="138"/>
    </row>
    <row r="408" spans="2:172" x14ac:dyDescent="0.2">
      <c r="B408" s="134"/>
      <c r="C408" s="134"/>
      <c r="D408" s="134"/>
      <c r="E408" s="134"/>
      <c r="F408" s="134"/>
      <c r="G408" s="134"/>
      <c r="H408" s="134"/>
      <c r="I408" s="134"/>
      <c r="J408" s="134"/>
      <c r="K408" s="134"/>
      <c r="L408" s="134"/>
      <c r="M408" s="135"/>
      <c r="N408" s="135"/>
      <c r="O408" s="134"/>
      <c r="P408" s="136"/>
      <c r="Q408" s="136"/>
      <c r="R408" s="136"/>
      <c r="S408" s="136"/>
      <c r="T408" s="136"/>
      <c r="U408" s="136"/>
      <c r="V408" s="136"/>
      <c r="W408" s="136"/>
      <c r="X408" s="136"/>
      <c r="Y408" s="136"/>
      <c r="Z408" s="136"/>
      <c r="AA408" s="136"/>
      <c r="AB408" s="136"/>
      <c r="AC408" s="136"/>
      <c r="AD408" s="136"/>
      <c r="AE408" s="136"/>
      <c r="AF408" s="136"/>
      <c r="AG408" s="136"/>
      <c r="AH408" s="136"/>
      <c r="AI408" s="136"/>
      <c r="AJ408" s="136"/>
      <c r="AK408" s="136"/>
      <c r="AL408" s="136"/>
      <c r="AM408" s="136"/>
      <c r="AN408" s="136"/>
      <c r="AO408" s="136"/>
      <c r="AP408" s="136"/>
      <c r="AQ408" s="136"/>
      <c r="AR408" s="136"/>
      <c r="AS408" s="136"/>
      <c r="AT408" s="136"/>
      <c r="AU408" s="136"/>
      <c r="AV408" s="136"/>
      <c r="AW408" s="136"/>
      <c r="AX408" s="136"/>
      <c r="AY408" s="136"/>
      <c r="AZ408" s="136"/>
      <c r="BA408" s="136"/>
      <c r="BB408" s="136"/>
      <c r="BC408" s="136"/>
      <c r="BD408" s="136"/>
      <c r="BE408" s="136"/>
      <c r="BF408" s="136"/>
      <c r="BG408" s="136"/>
      <c r="BH408" s="136"/>
      <c r="BI408" s="136"/>
      <c r="BJ408" s="136"/>
      <c r="BK408" s="136"/>
      <c r="BL408" s="136"/>
      <c r="BM408" s="136"/>
      <c r="BN408" s="136"/>
      <c r="BO408" s="136"/>
      <c r="BP408" s="136"/>
      <c r="BQ408" s="136"/>
      <c r="BR408" s="136"/>
      <c r="BS408" s="136"/>
      <c r="BT408" s="136"/>
      <c r="BU408" s="136"/>
      <c r="BV408" s="136"/>
      <c r="BW408" s="136"/>
      <c r="BX408" s="136"/>
      <c r="BY408" s="136"/>
      <c r="BZ408" s="136"/>
      <c r="CA408" s="136"/>
      <c r="CB408" s="136"/>
      <c r="CC408" s="136"/>
      <c r="CD408" s="136"/>
      <c r="CE408" s="136"/>
      <c r="CF408" s="136"/>
      <c r="CG408" s="136"/>
      <c r="CH408" s="136"/>
      <c r="CI408" s="136"/>
      <c r="CJ408" s="136"/>
      <c r="CK408" s="136"/>
      <c r="CL408" s="136"/>
      <c r="CM408" s="136"/>
      <c r="CN408" s="136"/>
      <c r="CO408" s="136"/>
      <c r="CP408" s="136"/>
      <c r="CQ408" s="136"/>
      <c r="CR408" s="136"/>
      <c r="CS408" s="136"/>
      <c r="CT408" s="136"/>
      <c r="CU408" s="136"/>
      <c r="CV408" s="136"/>
      <c r="CW408" s="136"/>
      <c r="CX408" s="136"/>
      <c r="CY408" s="136"/>
      <c r="CZ408" s="136"/>
      <c r="DA408" s="136"/>
      <c r="DB408" s="136"/>
      <c r="DC408" s="136"/>
      <c r="DD408" s="136"/>
      <c r="DE408" s="136"/>
      <c r="DF408" s="136"/>
      <c r="DG408" s="136"/>
      <c r="DH408" s="136"/>
      <c r="DI408" s="136"/>
      <c r="DJ408" s="136"/>
      <c r="DK408" s="136"/>
      <c r="DL408" s="136"/>
      <c r="DM408" s="136"/>
      <c r="DN408" s="136"/>
      <c r="DO408" s="136"/>
      <c r="DP408" s="136"/>
      <c r="DQ408" s="136"/>
      <c r="DR408" s="136"/>
      <c r="DS408" s="136"/>
      <c r="DT408" s="136"/>
      <c r="DU408" s="136"/>
      <c r="DV408" s="136"/>
      <c r="DW408" s="136"/>
      <c r="DX408" s="136"/>
      <c r="DY408" s="136"/>
      <c r="DZ408" s="136"/>
      <c r="EA408" s="136"/>
      <c r="EB408" s="136"/>
      <c r="EC408" s="136"/>
      <c r="ED408" s="136"/>
      <c r="EE408" s="136"/>
      <c r="EF408" s="136"/>
      <c r="EG408" s="136"/>
      <c r="EH408" s="136"/>
      <c r="EI408" s="136"/>
      <c r="EJ408" s="136"/>
      <c r="EK408" s="136"/>
      <c r="EL408" s="136"/>
      <c r="EM408" s="136"/>
      <c r="EN408" s="136"/>
      <c r="EO408" s="136"/>
      <c r="EP408" s="136"/>
      <c r="EQ408" s="136"/>
      <c r="ER408" s="136"/>
      <c r="ES408" s="136"/>
      <c r="ET408" s="136"/>
      <c r="EU408" s="136"/>
      <c r="EV408" s="136"/>
      <c r="EW408" s="136"/>
      <c r="EX408" s="136"/>
      <c r="EY408" s="136"/>
      <c r="EZ408" s="136"/>
      <c r="FA408" s="136"/>
      <c r="FB408" s="136"/>
      <c r="FC408" s="136"/>
      <c r="FD408" s="136"/>
      <c r="FE408" s="136"/>
      <c r="FF408" s="136"/>
      <c r="FG408" s="136"/>
      <c r="FH408" s="137"/>
      <c r="FI408" s="138"/>
      <c r="FJ408" s="138"/>
      <c r="FK408" s="138"/>
      <c r="FL408" s="138"/>
      <c r="FM408" s="138"/>
      <c r="FN408" s="138"/>
      <c r="FO408" s="138"/>
      <c r="FP408" s="138"/>
    </row>
    <row r="409" spans="2:172" x14ac:dyDescent="0.2">
      <c r="B409" s="134"/>
      <c r="C409" s="134"/>
      <c r="D409" s="134"/>
      <c r="E409" s="134"/>
      <c r="F409" s="134"/>
      <c r="G409" s="134"/>
      <c r="H409" s="134"/>
      <c r="I409" s="134"/>
      <c r="J409" s="134"/>
      <c r="K409" s="134"/>
      <c r="L409" s="134"/>
      <c r="M409" s="135"/>
      <c r="N409" s="135"/>
      <c r="O409" s="134"/>
      <c r="P409" s="136"/>
      <c r="Q409" s="136"/>
      <c r="R409" s="136"/>
      <c r="S409" s="136"/>
      <c r="T409" s="136"/>
      <c r="U409" s="136"/>
      <c r="V409" s="136"/>
      <c r="W409" s="136"/>
      <c r="X409" s="136"/>
      <c r="Y409" s="136"/>
      <c r="Z409" s="136"/>
      <c r="AA409" s="136"/>
      <c r="AB409" s="136"/>
      <c r="AC409" s="136"/>
      <c r="AD409" s="136"/>
      <c r="AE409" s="136"/>
      <c r="AF409" s="136"/>
      <c r="AG409" s="136"/>
      <c r="AH409" s="136"/>
      <c r="AI409" s="136"/>
      <c r="AJ409" s="136"/>
      <c r="AK409" s="136"/>
      <c r="AL409" s="136"/>
      <c r="AM409" s="136"/>
      <c r="AN409" s="136"/>
      <c r="AO409" s="136"/>
      <c r="AP409" s="136"/>
      <c r="AQ409" s="136"/>
      <c r="AR409" s="136"/>
      <c r="AS409" s="136"/>
      <c r="AT409" s="136"/>
      <c r="AU409" s="136"/>
      <c r="AV409" s="136"/>
      <c r="AW409" s="136"/>
      <c r="AX409" s="136"/>
      <c r="AY409" s="136"/>
      <c r="AZ409" s="136"/>
      <c r="BA409" s="136"/>
      <c r="BB409" s="136"/>
      <c r="BC409" s="136"/>
      <c r="BD409" s="136"/>
      <c r="BE409" s="136"/>
      <c r="BF409" s="136"/>
      <c r="BG409" s="136"/>
      <c r="BH409" s="136"/>
      <c r="BI409" s="136"/>
      <c r="BJ409" s="136"/>
      <c r="BK409" s="136"/>
      <c r="BL409" s="136"/>
      <c r="BM409" s="136"/>
      <c r="BN409" s="136"/>
      <c r="BO409" s="136"/>
      <c r="BP409" s="136"/>
      <c r="BQ409" s="136"/>
      <c r="BR409" s="136"/>
      <c r="BS409" s="136"/>
      <c r="BT409" s="136"/>
      <c r="BU409" s="136"/>
      <c r="BV409" s="136"/>
      <c r="BW409" s="136"/>
      <c r="BX409" s="136"/>
      <c r="BY409" s="136"/>
      <c r="BZ409" s="136"/>
      <c r="CA409" s="136"/>
      <c r="CB409" s="136"/>
      <c r="CC409" s="136"/>
      <c r="CD409" s="136"/>
      <c r="CE409" s="136"/>
      <c r="CF409" s="136"/>
      <c r="CG409" s="136"/>
      <c r="CH409" s="136"/>
      <c r="CI409" s="136"/>
      <c r="CJ409" s="136"/>
      <c r="CK409" s="136"/>
      <c r="CL409" s="136"/>
      <c r="CM409" s="136"/>
      <c r="CN409" s="136"/>
      <c r="CO409" s="136"/>
      <c r="CP409" s="136"/>
      <c r="CQ409" s="136"/>
      <c r="CR409" s="136"/>
      <c r="CS409" s="136"/>
      <c r="CT409" s="136"/>
      <c r="CU409" s="136"/>
      <c r="CV409" s="136"/>
      <c r="CW409" s="136"/>
      <c r="CX409" s="136"/>
      <c r="CY409" s="136"/>
      <c r="CZ409" s="136"/>
      <c r="DA409" s="136"/>
      <c r="DB409" s="136"/>
      <c r="DC409" s="136"/>
      <c r="DD409" s="136"/>
      <c r="DE409" s="136"/>
      <c r="DF409" s="136"/>
      <c r="DG409" s="136"/>
      <c r="DH409" s="136"/>
      <c r="DI409" s="136"/>
      <c r="DJ409" s="136"/>
      <c r="DK409" s="136"/>
      <c r="DL409" s="136"/>
      <c r="DM409" s="136"/>
      <c r="DN409" s="136"/>
      <c r="DO409" s="136"/>
      <c r="DP409" s="136"/>
      <c r="DQ409" s="136"/>
      <c r="DR409" s="136"/>
      <c r="DS409" s="136"/>
      <c r="DT409" s="136"/>
      <c r="DU409" s="136"/>
      <c r="DV409" s="136"/>
      <c r="DW409" s="136"/>
      <c r="DX409" s="136"/>
      <c r="DY409" s="136"/>
      <c r="DZ409" s="136"/>
      <c r="EA409" s="136"/>
      <c r="EB409" s="136"/>
      <c r="EC409" s="136"/>
      <c r="ED409" s="136"/>
      <c r="EE409" s="136"/>
      <c r="EF409" s="136"/>
      <c r="EG409" s="136"/>
      <c r="EH409" s="136"/>
      <c r="EI409" s="136"/>
      <c r="EJ409" s="136"/>
      <c r="EK409" s="136"/>
      <c r="EL409" s="136"/>
      <c r="EM409" s="136"/>
      <c r="EN409" s="136"/>
      <c r="EO409" s="136"/>
      <c r="EP409" s="136"/>
      <c r="EQ409" s="136"/>
      <c r="ER409" s="136"/>
      <c r="ES409" s="136"/>
      <c r="ET409" s="136"/>
      <c r="EU409" s="136"/>
      <c r="EV409" s="136"/>
      <c r="EW409" s="136"/>
      <c r="EX409" s="136"/>
      <c r="EY409" s="136"/>
      <c r="EZ409" s="136"/>
      <c r="FA409" s="136"/>
      <c r="FB409" s="136"/>
      <c r="FC409" s="136"/>
      <c r="FD409" s="136"/>
      <c r="FE409" s="136"/>
      <c r="FF409" s="136"/>
      <c r="FG409" s="136"/>
      <c r="FH409" s="137"/>
      <c r="FI409" s="138"/>
      <c r="FJ409" s="138"/>
      <c r="FK409" s="138"/>
      <c r="FL409" s="138"/>
      <c r="FM409" s="138"/>
      <c r="FN409" s="138"/>
      <c r="FO409" s="138"/>
      <c r="FP409" s="138"/>
    </row>
    <row r="410" spans="2:172" x14ac:dyDescent="0.2">
      <c r="B410" s="134"/>
      <c r="C410" s="134"/>
      <c r="D410" s="134"/>
      <c r="E410" s="134"/>
      <c r="F410" s="134"/>
      <c r="G410" s="134"/>
      <c r="H410" s="134"/>
      <c r="I410" s="134"/>
      <c r="J410" s="134"/>
      <c r="K410" s="134"/>
      <c r="L410" s="134"/>
      <c r="M410" s="135"/>
      <c r="N410" s="135"/>
      <c r="O410" s="134"/>
      <c r="P410" s="136"/>
      <c r="Q410" s="136"/>
      <c r="R410" s="136"/>
      <c r="S410" s="136"/>
      <c r="T410" s="136"/>
      <c r="U410" s="136"/>
      <c r="V410" s="136"/>
      <c r="W410" s="136"/>
      <c r="X410" s="136"/>
      <c r="Y410" s="136"/>
      <c r="Z410" s="136"/>
      <c r="AA410" s="136"/>
      <c r="AB410" s="136"/>
      <c r="AC410" s="136"/>
      <c r="AD410" s="136"/>
      <c r="AE410" s="136"/>
      <c r="AF410" s="136"/>
      <c r="AG410" s="136"/>
      <c r="AH410" s="136"/>
      <c r="AI410" s="136"/>
      <c r="AJ410" s="136"/>
      <c r="AK410" s="136"/>
      <c r="AL410" s="136"/>
      <c r="AM410" s="136"/>
      <c r="AN410" s="136"/>
      <c r="AO410" s="136"/>
      <c r="AP410" s="136"/>
      <c r="AQ410" s="136"/>
      <c r="AR410" s="136"/>
      <c r="AS410" s="136"/>
      <c r="AT410" s="136"/>
      <c r="AU410" s="136"/>
      <c r="AV410" s="136"/>
      <c r="AW410" s="136"/>
      <c r="AX410" s="136"/>
      <c r="AY410" s="136"/>
      <c r="AZ410" s="136"/>
      <c r="BA410" s="136"/>
      <c r="BB410" s="136"/>
      <c r="BC410" s="136"/>
      <c r="BD410" s="136"/>
      <c r="BE410" s="136"/>
      <c r="BF410" s="136"/>
      <c r="BG410" s="136"/>
      <c r="BH410" s="136"/>
      <c r="BI410" s="136"/>
      <c r="BJ410" s="136"/>
      <c r="BK410" s="136"/>
      <c r="BL410" s="136"/>
      <c r="BM410" s="136"/>
      <c r="BN410" s="136"/>
      <c r="BO410" s="136"/>
      <c r="BP410" s="136"/>
      <c r="BQ410" s="136"/>
      <c r="BR410" s="136"/>
      <c r="BS410" s="136"/>
      <c r="BT410" s="136"/>
      <c r="BU410" s="136"/>
      <c r="BV410" s="136"/>
      <c r="BW410" s="136"/>
      <c r="BX410" s="136"/>
      <c r="BY410" s="136"/>
      <c r="BZ410" s="136"/>
      <c r="CA410" s="136"/>
      <c r="CB410" s="136"/>
      <c r="CC410" s="136"/>
      <c r="CD410" s="136"/>
      <c r="CE410" s="136"/>
      <c r="CF410" s="136"/>
      <c r="CG410" s="136"/>
      <c r="CH410" s="136"/>
      <c r="CI410" s="136"/>
      <c r="CJ410" s="136"/>
      <c r="CK410" s="136"/>
      <c r="CL410" s="136"/>
      <c r="CM410" s="136"/>
      <c r="CN410" s="136"/>
      <c r="CO410" s="136"/>
      <c r="CP410" s="136"/>
      <c r="CQ410" s="136"/>
      <c r="CR410" s="136"/>
      <c r="CS410" s="136"/>
      <c r="CT410" s="136"/>
      <c r="CU410" s="136"/>
      <c r="CV410" s="136"/>
      <c r="CW410" s="136"/>
      <c r="CX410" s="136"/>
      <c r="CY410" s="136"/>
      <c r="CZ410" s="136"/>
      <c r="DA410" s="136"/>
      <c r="DB410" s="136"/>
      <c r="DC410" s="136"/>
      <c r="DD410" s="136"/>
      <c r="DE410" s="136"/>
      <c r="DF410" s="136"/>
      <c r="DG410" s="136"/>
      <c r="DH410" s="136"/>
      <c r="DI410" s="136"/>
      <c r="DJ410" s="136"/>
      <c r="DK410" s="136"/>
      <c r="DL410" s="136"/>
      <c r="DM410" s="136"/>
      <c r="DN410" s="136"/>
      <c r="DO410" s="136"/>
      <c r="DP410" s="136"/>
      <c r="DQ410" s="136"/>
      <c r="DR410" s="136"/>
      <c r="DS410" s="136"/>
      <c r="DT410" s="136"/>
      <c r="DU410" s="136"/>
      <c r="DV410" s="136"/>
      <c r="DW410" s="136"/>
      <c r="DX410" s="136"/>
      <c r="DY410" s="136"/>
      <c r="DZ410" s="136"/>
      <c r="EA410" s="136"/>
      <c r="EB410" s="136"/>
      <c r="EC410" s="136"/>
      <c r="ED410" s="136"/>
      <c r="EE410" s="136"/>
      <c r="EF410" s="136"/>
      <c r="EG410" s="136"/>
      <c r="EH410" s="136"/>
      <c r="EI410" s="136"/>
      <c r="EJ410" s="136"/>
      <c r="EK410" s="136"/>
      <c r="EL410" s="136"/>
      <c r="EM410" s="136"/>
      <c r="EN410" s="136"/>
      <c r="EO410" s="136"/>
      <c r="EP410" s="136"/>
      <c r="EQ410" s="136"/>
      <c r="ER410" s="136"/>
      <c r="ES410" s="136"/>
      <c r="ET410" s="136"/>
      <c r="EU410" s="136"/>
      <c r="EV410" s="136"/>
      <c r="EW410" s="136"/>
      <c r="EX410" s="136"/>
      <c r="EY410" s="136"/>
      <c r="EZ410" s="136"/>
      <c r="FA410" s="136"/>
      <c r="FB410" s="136"/>
      <c r="FC410" s="136"/>
      <c r="FD410" s="136"/>
      <c r="FE410" s="136"/>
      <c r="FF410" s="136"/>
      <c r="FG410" s="136"/>
      <c r="FH410" s="137"/>
      <c r="FI410" s="138"/>
      <c r="FJ410" s="138"/>
      <c r="FK410" s="138"/>
      <c r="FL410" s="138"/>
      <c r="FM410" s="138"/>
      <c r="FN410" s="138"/>
      <c r="FO410" s="138"/>
      <c r="FP410" s="138"/>
    </row>
    <row r="411" spans="2:172" x14ac:dyDescent="0.2">
      <c r="B411" s="134"/>
      <c r="C411" s="134"/>
      <c r="D411" s="134"/>
      <c r="E411" s="134"/>
      <c r="F411" s="134"/>
      <c r="G411" s="134"/>
      <c r="H411" s="134"/>
      <c r="I411" s="134"/>
      <c r="J411" s="134"/>
      <c r="K411" s="134"/>
      <c r="L411" s="134"/>
      <c r="M411" s="135"/>
      <c r="N411" s="135"/>
      <c r="O411" s="134"/>
      <c r="P411" s="136"/>
      <c r="Q411" s="136"/>
      <c r="R411" s="136"/>
      <c r="S411" s="136"/>
      <c r="T411" s="136"/>
      <c r="U411" s="136"/>
      <c r="V411" s="136"/>
      <c r="W411" s="136"/>
      <c r="X411" s="136"/>
      <c r="Y411" s="136"/>
      <c r="Z411" s="136"/>
      <c r="AA411" s="136"/>
      <c r="AB411" s="136"/>
      <c r="AC411" s="136"/>
      <c r="AD411" s="136"/>
      <c r="AE411" s="136"/>
      <c r="AF411" s="136"/>
      <c r="AG411" s="136"/>
      <c r="AH411" s="136"/>
      <c r="AI411" s="136"/>
      <c r="AJ411" s="136"/>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c r="CO411" s="136"/>
      <c r="CP411" s="136"/>
      <c r="CQ411" s="136"/>
      <c r="CR411" s="136"/>
      <c r="CS411" s="136"/>
      <c r="CT411" s="136"/>
      <c r="CU411" s="136"/>
      <c r="CV411" s="136"/>
      <c r="CW411" s="136"/>
      <c r="CX411" s="136"/>
      <c r="CY411" s="136"/>
      <c r="CZ411" s="136"/>
      <c r="DA411" s="136"/>
      <c r="DB411" s="136"/>
      <c r="DC411" s="136"/>
      <c r="DD411" s="136"/>
      <c r="DE411" s="136"/>
      <c r="DF411" s="136"/>
      <c r="DG411" s="136"/>
      <c r="DH411" s="136"/>
      <c r="DI411" s="136"/>
      <c r="DJ411" s="136"/>
      <c r="DK411" s="136"/>
      <c r="DL411" s="136"/>
      <c r="DM411" s="136"/>
      <c r="DN411" s="136"/>
      <c r="DO411" s="136"/>
      <c r="DP411" s="136"/>
      <c r="DQ411" s="136"/>
      <c r="DR411" s="136"/>
      <c r="DS411" s="136"/>
      <c r="DT411" s="136"/>
      <c r="DU411" s="136"/>
      <c r="DV411" s="136"/>
      <c r="DW411" s="136"/>
      <c r="DX411" s="136"/>
      <c r="DY411" s="136"/>
      <c r="DZ411" s="136"/>
      <c r="EA411" s="136"/>
      <c r="EB411" s="136"/>
      <c r="EC411" s="136"/>
      <c r="ED411" s="136"/>
      <c r="EE411" s="136"/>
      <c r="EF411" s="136"/>
      <c r="EG411" s="136"/>
      <c r="EH411" s="136"/>
      <c r="EI411" s="136"/>
      <c r="EJ411" s="136"/>
      <c r="EK411" s="136"/>
      <c r="EL411" s="136"/>
      <c r="EM411" s="136"/>
      <c r="EN411" s="136"/>
      <c r="EO411" s="136"/>
      <c r="EP411" s="136"/>
      <c r="EQ411" s="136"/>
      <c r="ER411" s="136"/>
      <c r="ES411" s="136"/>
      <c r="ET411" s="136"/>
      <c r="EU411" s="136"/>
      <c r="EV411" s="136"/>
      <c r="EW411" s="136"/>
      <c r="EX411" s="136"/>
      <c r="EY411" s="136"/>
      <c r="EZ411" s="136"/>
      <c r="FA411" s="136"/>
      <c r="FB411" s="136"/>
      <c r="FC411" s="136"/>
      <c r="FD411" s="136"/>
      <c r="FE411" s="136"/>
      <c r="FF411" s="136"/>
      <c r="FG411" s="136"/>
      <c r="FH411" s="137"/>
      <c r="FI411" s="138"/>
      <c r="FJ411" s="138"/>
      <c r="FK411" s="138"/>
      <c r="FL411" s="138"/>
      <c r="FM411" s="138"/>
      <c r="FN411" s="138"/>
      <c r="FO411" s="138"/>
      <c r="FP411" s="138"/>
    </row>
    <row r="412" spans="2:172" x14ac:dyDescent="0.2">
      <c r="B412" s="134"/>
      <c r="C412" s="134"/>
      <c r="D412" s="134"/>
      <c r="E412" s="134"/>
      <c r="F412" s="134"/>
      <c r="G412" s="134"/>
      <c r="H412" s="134"/>
      <c r="I412" s="134"/>
      <c r="J412" s="134"/>
      <c r="K412" s="134"/>
      <c r="L412" s="134"/>
      <c r="M412" s="135"/>
      <c r="N412" s="135"/>
      <c r="O412" s="134"/>
      <c r="P412" s="136"/>
      <c r="Q412" s="136"/>
      <c r="R412" s="136"/>
      <c r="S412" s="136"/>
      <c r="T412" s="136"/>
      <c r="U412" s="136"/>
      <c r="V412" s="136"/>
      <c r="W412" s="136"/>
      <c r="X412" s="136"/>
      <c r="Y412" s="136"/>
      <c r="Z412" s="136"/>
      <c r="AA412" s="136"/>
      <c r="AB412" s="136"/>
      <c r="AC412" s="136"/>
      <c r="AD412" s="136"/>
      <c r="AE412" s="136"/>
      <c r="AF412" s="136"/>
      <c r="AG412" s="136"/>
      <c r="AH412" s="136"/>
      <c r="AI412" s="136"/>
      <c r="AJ412" s="136"/>
      <c r="AK412" s="136"/>
      <c r="AL412" s="136"/>
      <c r="AM412" s="136"/>
      <c r="AN412" s="136"/>
      <c r="AO412" s="136"/>
      <c r="AP412" s="136"/>
      <c r="AQ412" s="136"/>
      <c r="AR412" s="136"/>
      <c r="AS412" s="136"/>
      <c r="AT412" s="136"/>
      <c r="AU412" s="136"/>
      <c r="AV412" s="136"/>
      <c r="AW412" s="136"/>
      <c r="AX412" s="136"/>
      <c r="AY412" s="136"/>
      <c r="AZ412" s="136"/>
      <c r="BA412" s="136"/>
      <c r="BB412" s="136"/>
      <c r="BC412" s="136"/>
      <c r="BD412" s="136"/>
      <c r="BE412" s="136"/>
      <c r="BF412" s="136"/>
      <c r="BG412" s="136"/>
      <c r="BH412" s="136"/>
      <c r="BI412" s="136"/>
      <c r="BJ412" s="136"/>
      <c r="BK412" s="136"/>
      <c r="BL412" s="136"/>
      <c r="BM412" s="136"/>
      <c r="BN412" s="136"/>
      <c r="BO412" s="136"/>
      <c r="BP412" s="136"/>
      <c r="BQ412" s="136"/>
      <c r="BR412" s="136"/>
      <c r="BS412" s="136"/>
      <c r="BT412" s="136"/>
      <c r="BU412" s="136"/>
      <c r="BV412" s="136"/>
      <c r="BW412" s="136"/>
      <c r="BX412" s="136"/>
      <c r="BY412" s="136"/>
      <c r="BZ412" s="136"/>
      <c r="CA412" s="136"/>
      <c r="CB412" s="136"/>
      <c r="CC412" s="136"/>
      <c r="CD412" s="136"/>
      <c r="CE412" s="136"/>
      <c r="CF412" s="136"/>
      <c r="CG412" s="136"/>
      <c r="CH412" s="136"/>
      <c r="CI412" s="136"/>
      <c r="CJ412" s="136"/>
      <c r="CK412" s="136"/>
      <c r="CL412" s="136"/>
      <c r="CM412" s="136"/>
      <c r="CN412" s="136"/>
      <c r="CO412" s="136"/>
      <c r="CP412" s="136"/>
      <c r="CQ412" s="136"/>
      <c r="CR412" s="136"/>
      <c r="CS412" s="136"/>
      <c r="CT412" s="136"/>
      <c r="CU412" s="136"/>
      <c r="CV412" s="136"/>
      <c r="CW412" s="136"/>
      <c r="CX412" s="136"/>
      <c r="CY412" s="136"/>
      <c r="CZ412" s="136"/>
      <c r="DA412" s="136"/>
      <c r="DB412" s="136"/>
      <c r="DC412" s="136"/>
      <c r="DD412" s="136"/>
      <c r="DE412" s="136"/>
      <c r="DF412" s="136"/>
      <c r="DG412" s="136"/>
      <c r="DH412" s="136"/>
      <c r="DI412" s="136"/>
      <c r="DJ412" s="136"/>
      <c r="DK412" s="136"/>
      <c r="DL412" s="136"/>
      <c r="DM412" s="136"/>
      <c r="DN412" s="136"/>
      <c r="DO412" s="136"/>
      <c r="DP412" s="136"/>
      <c r="DQ412" s="136"/>
      <c r="DR412" s="136"/>
      <c r="DS412" s="136"/>
      <c r="DT412" s="136"/>
      <c r="DU412" s="136"/>
      <c r="DV412" s="136"/>
      <c r="DW412" s="136"/>
      <c r="DX412" s="136"/>
      <c r="DY412" s="136"/>
      <c r="DZ412" s="136"/>
      <c r="EA412" s="136"/>
      <c r="EB412" s="136"/>
      <c r="EC412" s="136"/>
      <c r="ED412" s="136"/>
      <c r="EE412" s="136"/>
      <c r="EF412" s="136"/>
      <c r="EG412" s="136"/>
      <c r="EH412" s="136"/>
      <c r="EI412" s="136"/>
      <c r="EJ412" s="136"/>
      <c r="EK412" s="136"/>
      <c r="EL412" s="136"/>
      <c r="EM412" s="136"/>
      <c r="EN412" s="136"/>
      <c r="EO412" s="136"/>
      <c r="EP412" s="136"/>
      <c r="EQ412" s="136"/>
      <c r="ER412" s="136"/>
      <c r="ES412" s="136"/>
      <c r="ET412" s="136"/>
      <c r="EU412" s="136"/>
      <c r="EV412" s="136"/>
      <c r="EW412" s="136"/>
      <c r="EX412" s="136"/>
      <c r="EY412" s="136"/>
      <c r="EZ412" s="136"/>
      <c r="FA412" s="136"/>
      <c r="FB412" s="136"/>
      <c r="FC412" s="136"/>
      <c r="FD412" s="136"/>
      <c r="FE412" s="136"/>
      <c r="FF412" s="136"/>
      <c r="FG412" s="136"/>
      <c r="FH412" s="137"/>
      <c r="FI412" s="138"/>
      <c r="FJ412" s="138"/>
      <c r="FK412" s="138"/>
      <c r="FL412" s="138"/>
      <c r="FM412" s="138"/>
      <c r="FN412" s="138"/>
      <c r="FO412" s="138"/>
      <c r="FP412" s="138"/>
    </row>
    <row r="413" spans="2:172" x14ac:dyDescent="0.2">
      <c r="B413" s="134"/>
      <c r="C413" s="134"/>
      <c r="D413" s="134"/>
      <c r="E413" s="134"/>
      <c r="F413" s="134"/>
      <c r="G413" s="134"/>
      <c r="H413" s="134"/>
      <c r="I413" s="134"/>
      <c r="J413" s="134"/>
      <c r="K413" s="134"/>
      <c r="L413" s="134"/>
      <c r="M413" s="135"/>
      <c r="N413" s="135"/>
      <c r="O413" s="134"/>
      <c r="P413" s="136"/>
      <c r="Q413" s="136"/>
      <c r="R413" s="136"/>
      <c r="S413" s="136"/>
      <c r="T413" s="136"/>
      <c r="U413" s="136"/>
      <c r="V413" s="136"/>
      <c r="W413" s="136"/>
      <c r="X413" s="136"/>
      <c r="Y413" s="136"/>
      <c r="Z413" s="136"/>
      <c r="AA413" s="136"/>
      <c r="AB413" s="136"/>
      <c r="AC413" s="136"/>
      <c r="AD413" s="136"/>
      <c r="AE413" s="136"/>
      <c r="AF413" s="136"/>
      <c r="AG413" s="136"/>
      <c r="AH413" s="136"/>
      <c r="AI413" s="136"/>
      <c r="AJ413" s="136"/>
      <c r="AK413" s="136"/>
      <c r="AL413" s="136"/>
      <c r="AM413" s="136"/>
      <c r="AN413" s="136"/>
      <c r="AO413" s="136"/>
      <c r="AP413" s="136"/>
      <c r="AQ413" s="136"/>
      <c r="AR413" s="136"/>
      <c r="AS413" s="136"/>
      <c r="AT413" s="136"/>
      <c r="AU413" s="136"/>
      <c r="AV413" s="136"/>
      <c r="AW413" s="136"/>
      <c r="AX413" s="136"/>
      <c r="AY413" s="136"/>
      <c r="AZ413" s="136"/>
      <c r="BA413" s="136"/>
      <c r="BB413" s="136"/>
      <c r="BC413" s="136"/>
      <c r="BD413" s="136"/>
      <c r="BE413" s="136"/>
      <c r="BF413" s="136"/>
      <c r="BG413" s="136"/>
      <c r="BH413" s="136"/>
      <c r="BI413" s="136"/>
      <c r="BJ413" s="136"/>
      <c r="BK413" s="136"/>
      <c r="BL413" s="136"/>
      <c r="BM413" s="136"/>
      <c r="BN413" s="136"/>
      <c r="BO413" s="136"/>
      <c r="BP413" s="136"/>
      <c r="BQ413" s="136"/>
      <c r="BR413" s="136"/>
      <c r="BS413" s="136"/>
      <c r="BT413" s="136"/>
      <c r="BU413" s="136"/>
      <c r="BV413" s="136"/>
      <c r="BW413" s="136"/>
      <c r="BX413" s="136"/>
      <c r="BY413" s="136"/>
      <c r="BZ413" s="136"/>
      <c r="CA413" s="136"/>
      <c r="CB413" s="136"/>
      <c r="CC413" s="136"/>
      <c r="CD413" s="136"/>
      <c r="CE413" s="136"/>
      <c r="CF413" s="136"/>
      <c r="CG413" s="136"/>
      <c r="CH413" s="136"/>
      <c r="CI413" s="136"/>
      <c r="CJ413" s="136"/>
      <c r="CK413" s="136"/>
      <c r="CL413" s="136"/>
      <c r="CM413" s="136"/>
      <c r="CN413" s="136"/>
      <c r="CO413" s="136"/>
      <c r="CP413" s="136"/>
      <c r="CQ413" s="136"/>
      <c r="CR413" s="136"/>
      <c r="CS413" s="136"/>
      <c r="CT413" s="136"/>
      <c r="CU413" s="136"/>
      <c r="CV413" s="136"/>
      <c r="CW413" s="136"/>
      <c r="CX413" s="136"/>
      <c r="CY413" s="136"/>
      <c r="CZ413" s="136"/>
      <c r="DA413" s="136"/>
      <c r="DB413" s="136"/>
      <c r="DC413" s="136"/>
      <c r="DD413" s="136"/>
      <c r="DE413" s="136"/>
      <c r="DF413" s="136"/>
      <c r="DG413" s="136"/>
      <c r="DH413" s="136"/>
      <c r="DI413" s="136"/>
      <c r="DJ413" s="136"/>
      <c r="DK413" s="136"/>
      <c r="DL413" s="136"/>
      <c r="DM413" s="136"/>
      <c r="DN413" s="136"/>
      <c r="DO413" s="136"/>
      <c r="DP413" s="136"/>
      <c r="DQ413" s="136"/>
      <c r="DR413" s="136"/>
      <c r="DS413" s="136"/>
      <c r="DT413" s="136"/>
      <c r="DU413" s="136"/>
      <c r="DV413" s="136"/>
      <c r="DW413" s="136"/>
      <c r="DX413" s="136"/>
      <c r="DY413" s="136"/>
      <c r="DZ413" s="136"/>
      <c r="EA413" s="136"/>
      <c r="EB413" s="136"/>
      <c r="EC413" s="136"/>
      <c r="ED413" s="136"/>
      <c r="EE413" s="136"/>
      <c r="EF413" s="136"/>
      <c r="EG413" s="136"/>
      <c r="EH413" s="136"/>
      <c r="EI413" s="136"/>
      <c r="EJ413" s="136"/>
      <c r="EK413" s="136"/>
      <c r="EL413" s="136"/>
      <c r="EM413" s="136"/>
      <c r="EN413" s="136"/>
      <c r="EO413" s="136"/>
      <c r="EP413" s="136"/>
      <c r="EQ413" s="136"/>
      <c r="ER413" s="136"/>
      <c r="ES413" s="136"/>
      <c r="ET413" s="136"/>
      <c r="EU413" s="136"/>
      <c r="EV413" s="136"/>
      <c r="EW413" s="136"/>
      <c r="EX413" s="136"/>
      <c r="EY413" s="136"/>
      <c r="EZ413" s="136"/>
      <c r="FA413" s="136"/>
      <c r="FB413" s="136"/>
      <c r="FC413" s="136"/>
      <c r="FD413" s="136"/>
      <c r="FE413" s="136"/>
      <c r="FF413" s="136"/>
      <c r="FG413" s="136"/>
      <c r="FH413" s="137"/>
      <c r="FI413" s="138"/>
      <c r="FJ413" s="138"/>
      <c r="FK413" s="138"/>
      <c r="FL413" s="138"/>
      <c r="FM413" s="138"/>
      <c r="FN413" s="138"/>
      <c r="FO413" s="138"/>
      <c r="FP413" s="138"/>
    </row>
    <row r="414" spans="2:172" x14ac:dyDescent="0.2">
      <c r="B414" s="134"/>
      <c r="C414" s="134"/>
      <c r="D414" s="134"/>
      <c r="E414" s="134"/>
      <c r="F414" s="134"/>
      <c r="G414" s="134"/>
      <c r="H414" s="134"/>
      <c r="I414" s="134"/>
      <c r="J414" s="134"/>
      <c r="K414" s="134"/>
      <c r="L414" s="134"/>
      <c r="M414" s="135"/>
      <c r="N414" s="135"/>
      <c r="O414" s="134"/>
      <c r="P414" s="136"/>
      <c r="Q414" s="136"/>
      <c r="R414" s="136"/>
      <c r="S414" s="136"/>
      <c r="T414" s="136"/>
      <c r="U414" s="136"/>
      <c r="V414" s="136"/>
      <c r="W414" s="136"/>
      <c r="X414" s="136"/>
      <c r="Y414" s="136"/>
      <c r="Z414" s="136"/>
      <c r="AA414" s="136"/>
      <c r="AB414" s="136"/>
      <c r="AC414" s="136"/>
      <c r="AD414" s="136"/>
      <c r="AE414" s="136"/>
      <c r="AF414" s="136"/>
      <c r="AG414" s="136"/>
      <c r="AH414" s="136"/>
      <c r="AI414" s="136"/>
      <c r="AJ414" s="136"/>
      <c r="AK414" s="136"/>
      <c r="AL414" s="136"/>
      <c r="AM414" s="136"/>
      <c r="AN414" s="136"/>
      <c r="AO414" s="136"/>
      <c r="AP414" s="136"/>
      <c r="AQ414" s="136"/>
      <c r="AR414" s="136"/>
      <c r="AS414" s="136"/>
      <c r="AT414" s="136"/>
      <c r="AU414" s="136"/>
      <c r="AV414" s="136"/>
      <c r="AW414" s="136"/>
      <c r="AX414" s="136"/>
      <c r="AY414" s="136"/>
      <c r="AZ414" s="136"/>
      <c r="BA414" s="136"/>
      <c r="BB414" s="136"/>
      <c r="BC414" s="136"/>
      <c r="BD414" s="136"/>
      <c r="BE414" s="136"/>
      <c r="BF414" s="136"/>
      <c r="BG414" s="136"/>
      <c r="BH414" s="136"/>
      <c r="BI414" s="136"/>
      <c r="BJ414" s="136"/>
      <c r="BK414" s="136"/>
      <c r="BL414" s="136"/>
      <c r="BM414" s="136"/>
      <c r="BN414" s="136"/>
      <c r="BO414" s="136"/>
      <c r="BP414" s="136"/>
      <c r="BQ414" s="136"/>
      <c r="BR414" s="136"/>
      <c r="BS414" s="136"/>
      <c r="BT414" s="136"/>
      <c r="BU414" s="136"/>
      <c r="BV414" s="136"/>
      <c r="BW414" s="136"/>
      <c r="BX414" s="136"/>
      <c r="BY414" s="136"/>
      <c r="BZ414" s="136"/>
      <c r="CA414" s="136"/>
      <c r="CB414" s="136"/>
      <c r="CC414" s="136"/>
      <c r="CD414" s="136"/>
      <c r="CE414" s="136"/>
      <c r="CF414" s="136"/>
      <c r="CG414" s="136"/>
      <c r="CH414" s="136"/>
      <c r="CI414" s="136"/>
      <c r="CJ414" s="136"/>
      <c r="CK414" s="136"/>
      <c r="CL414" s="136"/>
      <c r="CM414" s="136"/>
      <c r="CN414" s="136"/>
      <c r="CO414" s="136"/>
      <c r="CP414" s="136"/>
      <c r="CQ414" s="136"/>
      <c r="CR414" s="136"/>
      <c r="CS414" s="136"/>
      <c r="CT414" s="136"/>
      <c r="CU414" s="136"/>
      <c r="CV414" s="136"/>
      <c r="CW414" s="136"/>
      <c r="CX414" s="136"/>
      <c r="CY414" s="136"/>
      <c r="CZ414" s="136"/>
      <c r="DA414" s="136"/>
      <c r="DB414" s="136"/>
      <c r="DC414" s="136"/>
      <c r="DD414" s="136"/>
      <c r="DE414" s="136"/>
      <c r="DF414" s="136"/>
      <c r="DG414" s="136"/>
      <c r="DH414" s="136"/>
      <c r="DI414" s="136"/>
      <c r="DJ414" s="136"/>
      <c r="DK414" s="136"/>
      <c r="DL414" s="136"/>
      <c r="DM414" s="136"/>
      <c r="DN414" s="136"/>
      <c r="DO414" s="136"/>
      <c r="DP414" s="136"/>
      <c r="DQ414" s="136"/>
      <c r="DR414" s="136"/>
      <c r="DS414" s="136"/>
      <c r="DT414" s="136"/>
      <c r="DU414" s="136"/>
      <c r="DV414" s="136"/>
      <c r="DW414" s="136"/>
      <c r="DX414" s="136"/>
      <c r="DY414" s="136"/>
      <c r="DZ414" s="136"/>
      <c r="EA414" s="136"/>
      <c r="EB414" s="136"/>
      <c r="EC414" s="136"/>
      <c r="ED414" s="136"/>
      <c r="EE414" s="136"/>
      <c r="EF414" s="136"/>
      <c r="EG414" s="136"/>
      <c r="EH414" s="136"/>
      <c r="EI414" s="136"/>
      <c r="EJ414" s="136"/>
      <c r="EK414" s="136"/>
      <c r="EL414" s="136"/>
      <c r="EM414" s="136"/>
      <c r="EN414" s="136"/>
      <c r="EO414" s="136"/>
      <c r="EP414" s="136"/>
      <c r="EQ414" s="136"/>
      <c r="ER414" s="136"/>
      <c r="ES414" s="136"/>
      <c r="ET414" s="136"/>
      <c r="EU414" s="136"/>
      <c r="EV414" s="136"/>
      <c r="EW414" s="136"/>
      <c r="EX414" s="136"/>
      <c r="EY414" s="136"/>
      <c r="EZ414" s="136"/>
      <c r="FA414" s="136"/>
      <c r="FB414" s="136"/>
      <c r="FC414" s="136"/>
      <c r="FD414" s="136"/>
      <c r="FE414" s="136"/>
      <c r="FF414" s="136"/>
      <c r="FG414" s="136"/>
      <c r="FH414" s="137"/>
      <c r="FI414" s="138"/>
      <c r="FJ414" s="138"/>
      <c r="FK414" s="138"/>
      <c r="FL414" s="138"/>
      <c r="FM414" s="138"/>
      <c r="FN414" s="138"/>
      <c r="FO414" s="138"/>
      <c r="FP414" s="138"/>
    </row>
    <row r="415" spans="2:172" x14ac:dyDescent="0.2">
      <c r="B415" s="134"/>
      <c r="C415" s="134"/>
      <c r="D415" s="134"/>
      <c r="E415" s="134"/>
      <c r="F415" s="134"/>
      <c r="G415" s="134"/>
      <c r="H415" s="134"/>
      <c r="I415" s="134"/>
      <c r="J415" s="134"/>
      <c r="K415" s="134"/>
      <c r="L415" s="134"/>
      <c r="M415" s="135"/>
      <c r="N415" s="135"/>
      <c r="O415" s="134"/>
      <c r="P415" s="136"/>
      <c r="Q415" s="136"/>
      <c r="R415" s="136"/>
      <c r="S415" s="136"/>
      <c r="T415" s="136"/>
      <c r="U415" s="136"/>
      <c r="V415" s="136"/>
      <c r="W415" s="136"/>
      <c r="X415" s="136"/>
      <c r="Y415" s="136"/>
      <c r="Z415" s="136"/>
      <c r="AA415" s="136"/>
      <c r="AB415" s="136"/>
      <c r="AC415" s="136"/>
      <c r="AD415" s="136"/>
      <c r="AE415" s="136"/>
      <c r="AF415" s="136"/>
      <c r="AG415" s="136"/>
      <c r="AH415" s="136"/>
      <c r="AI415" s="136"/>
      <c r="AJ415" s="136"/>
      <c r="AK415" s="136"/>
      <c r="AL415" s="136"/>
      <c r="AM415" s="136"/>
      <c r="AN415" s="136"/>
      <c r="AO415" s="136"/>
      <c r="AP415" s="136"/>
      <c r="AQ415" s="136"/>
      <c r="AR415" s="136"/>
      <c r="AS415" s="136"/>
      <c r="AT415" s="136"/>
      <c r="AU415" s="136"/>
      <c r="AV415" s="136"/>
      <c r="AW415" s="136"/>
      <c r="AX415" s="136"/>
      <c r="AY415" s="136"/>
      <c r="AZ415" s="136"/>
      <c r="BA415" s="136"/>
      <c r="BB415" s="136"/>
      <c r="BC415" s="136"/>
      <c r="BD415" s="136"/>
      <c r="BE415" s="136"/>
      <c r="BF415" s="136"/>
      <c r="BG415" s="136"/>
      <c r="BH415" s="136"/>
      <c r="BI415" s="136"/>
      <c r="BJ415" s="136"/>
      <c r="BK415" s="136"/>
      <c r="BL415" s="136"/>
      <c r="BM415" s="136"/>
      <c r="BN415" s="136"/>
      <c r="BO415" s="136"/>
      <c r="BP415" s="136"/>
      <c r="BQ415" s="136"/>
      <c r="BR415" s="136"/>
      <c r="BS415" s="136"/>
      <c r="BT415" s="136"/>
      <c r="BU415" s="136"/>
      <c r="BV415" s="136"/>
      <c r="BW415" s="136"/>
      <c r="BX415" s="136"/>
      <c r="BY415" s="136"/>
      <c r="BZ415" s="136"/>
      <c r="CA415" s="136"/>
      <c r="CB415" s="136"/>
      <c r="CC415" s="136"/>
      <c r="CD415" s="136"/>
      <c r="CE415" s="136"/>
      <c r="CF415" s="136"/>
      <c r="CG415" s="136"/>
      <c r="CH415" s="136"/>
      <c r="CI415" s="136"/>
      <c r="CJ415" s="136"/>
      <c r="CK415" s="136"/>
      <c r="CL415" s="136"/>
      <c r="CM415" s="136"/>
      <c r="CN415" s="136"/>
      <c r="CO415" s="136"/>
      <c r="CP415" s="136"/>
      <c r="CQ415" s="136"/>
      <c r="CR415" s="136"/>
      <c r="CS415" s="136"/>
      <c r="CT415" s="136"/>
      <c r="CU415" s="136"/>
      <c r="CV415" s="136"/>
      <c r="CW415" s="136"/>
      <c r="CX415" s="136"/>
      <c r="CY415" s="136"/>
      <c r="CZ415" s="136"/>
      <c r="DA415" s="136"/>
      <c r="DB415" s="136"/>
      <c r="DC415" s="136"/>
      <c r="DD415" s="136"/>
      <c r="DE415" s="136"/>
      <c r="DF415" s="136"/>
      <c r="DG415" s="136"/>
      <c r="DH415" s="136"/>
      <c r="DI415" s="136"/>
      <c r="DJ415" s="136"/>
      <c r="DK415" s="136"/>
      <c r="DL415" s="136"/>
      <c r="DM415" s="136"/>
      <c r="DN415" s="136"/>
      <c r="DO415" s="136"/>
      <c r="DP415" s="136"/>
      <c r="DQ415" s="136"/>
      <c r="DR415" s="136"/>
      <c r="DS415" s="136"/>
      <c r="DT415" s="136"/>
      <c r="DU415" s="136"/>
      <c r="DV415" s="136"/>
      <c r="DW415" s="136"/>
      <c r="DX415" s="136"/>
      <c r="DY415" s="136"/>
      <c r="DZ415" s="136"/>
      <c r="EA415" s="136"/>
      <c r="EB415" s="136"/>
      <c r="EC415" s="136"/>
      <c r="ED415" s="136"/>
      <c r="EE415" s="136"/>
      <c r="EF415" s="136"/>
      <c r="EG415" s="136"/>
      <c r="EH415" s="136"/>
      <c r="EI415" s="136"/>
      <c r="EJ415" s="136"/>
      <c r="EK415" s="136"/>
      <c r="EL415" s="136"/>
      <c r="EM415" s="136"/>
      <c r="EN415" s="136"/>
      <c r="EO415" s="136"/>
      <c r="EP415" s="136"/>
      <c r="EQ415" s="136"/>
      <c r="ER415" s="136"/>
      <c r="ES415" s="136"/>
      <c r="ET415" s="136"/>
      <c r="EU415" s="136"/>
      <c r="EV415" s="136"/>
      <c r="EW415" s="136"/>
      <c r="EX415" s="136"/>
      <c r="EY415" s="136"/>
      <c r="EZ415" s="136"/>
      <c r="FA415" s="136"/>
      <c r="FB415" s="136"/>
      <c r="FC415" s="136"/>
      <c r="FD415" s="136"/>
      <c r="FE415" s="136"/>
      <c r="FF415" s="136"/>
      <c r="FG415" s="136"/>
      <c r="FH415" s="137"/>
      <c r="FI415" s="138"/>
      <c r="FJ415" s="138"/>
      <c r="FK415" s="138"/>
      <c r="FL415" s="138"/>
      <c r="FM415" s="138"/>
      <c r="FN415" s="138"/>
      <c r="FO415" s="138"/>
      <c r="FP415" s="138"/>
    </row>
    <row r="416" spans="2:172" x14ac:dyDescent="0.2">
      <c r="B416" s="134"/>
      <c r="C416" s="134"/>
      <c r="D416" s="134"/>
      <c r="E416" s="134"/>
      <c r="F416" s="134"/>
      <c r="G416" s="134"/>
      <c r="H416" s="134"/>
      <c r="I416" s="134"/>
      <c r="J416" s="134"/>
      <c r="K416" s="134"/>
      <c r="L416" s="134"/>
      <c r="M416" s="135"/>
      <c r="N416" s="135"/>
      <c r="O416" s="134"/>
      <c r="P416" s="136"/>
      <c r="Q416" s="136"/>
      <c r="R416" s="136"/>
      <c r="S416" s="136"/>
      <c r="T416" s="136"/>
      <c r="U416" s="136"/>
      <c r="V416" s="136"/>
      <c r="W416" s="136"/>
      <c r="X416" s="136"/>
      <c r="Y416" s="136"/>
      <c r="Z416" s="136"/>
      <c r="AA416" s="136"/>
      <c r="AB416" s="136"/>
      <c r="AC416" s="136"/>
      <c r="AD416" s="136"/>
      <c r="AE416" s="136"/>
      <c r="AF416" s="136"/>
      <c r="AG416" s="136"/>
      <c r="AH416" s="136"/>
      <c r="AI416" s="136"/>
      <c r="AJ416" s="136"/>
      <c r="AK416" s="136"/>
      <c r="AL416" s="136"/>
      <c r="AM416" s="136"/>
      <c r="AN416" s="136"/>
      <c r="AO416" s="136"/>
      <c r="AP416" s="136"/>
      <c r="AQ416" s="136"/>
      <c r="AR416" s="136"/>
      <c r="AS416" s="136"/>
      <c r="AT416" s="136"/>
      <c r="AU416" s="136"/>
      <c r="AV416" s="136"/>
      <c r="AW416" s="136"/>
      <c r="AX416" s="136"/>
      <c r="AY416" s="136"/>
      <c r="AZ416" s="136"/>
      <c r="BA416" s="136"/>
      <c r="BB416" s="136"/>
      <c r="BC416" s="136"/>
      <c r="BD416" s="136"/>
      <c r="BE416" s="136"/>
      <c r="BF416" s="136"/>
      <c r="BG416" s="136"/>
      <c r="BH416" s="136"/>
      <c r="BI416" s="136"/>
      <c r="BJ416" s="136"/>
      <c r="BK416" s="136"/>
      <c r="BL416" s="136"/>
      <c r="BM416" s="136"/>
      <c r="BN416" s="136"/>
      <c r="BO416" s="136"/>
      <c r="BP416" s="136"/>
      <c r="BQ416" s="136"/>
      <c r="BR416" s="136"/>
      <c r="BS416" s="136"/>
      <c r="BT416" s="136"/>
      <c r="BU416" s="136"/>
      <c r="BV416" s="136"/>
      <c r="BW416" s="136"/>
      <c r="BX416" s="136"/>
      <c r="BY416" s="136"/>
      <c r="BZ416" s="136"/>
      <c r="CA416" s="136"/>
      <c r="CB416" s="136"/>
      <c r="CC416" s="136"/>
      <c r="CD416" s="136"/>
      <c r="CE416" s="136"/>
      <c r="CF416" s="136"/>
      <c r="CG416" s="136"/>
      <c r="CH416" s="136"/>
      <c r="CI416" s="136"/>
      <c r="CJ416" s="136"/>
      <c r="CK416" s="136"/>
      <c r="CL416" s="136"/>
      <c r="CM416" s="136"/>
      <c r="CN416" s="136"/>
      <c r="CO416" s="136"/>
      <c r="CP416" s="136"/>
      <c r="CQ416" s="136"/>
      <c r="CR416" s="136"/>
      <c r="CS416" s="136"/>
      <c r="CT416" s="136"/>
      <c r="CU416" s="136"/>
      <c r="CV416" s="136"/>
      <c r="CW416" s="136"/>
      <c r="CX416" s="136"/>
      <c r="CY416" s="136"/>
      <c r="CZ416" s="136"/>
      <c r="DA416" s="136"/>
      <c r="DB416" s="136"/>
      <c r="DC416" s="136"/>
      <c r="DD416" s="136"/>
      <c r="DE416" s="136"/>
      <c r="DF416" s="136"/>
      <c r="DG416" s="136"/>
      <c r="DH416" s="136"/>
      <c r="DI416" s="136"/>
      <c r="DJ416" s="136"/>
      <c r="DK416" s="136"/>
      <c r="DL416" s="136"/>
      <c r="DM416" s="136"/>
      <c r="DN416" s="136"/>
      <c r="DO416" s="136"/>
      <c r="DP416" s="136"/>
      <c r="DQ416" s="136"/>
      <c r="DR416" s="136"/>
      <c r="DS416" s="136"/>
      <c r="DT416" s="136"/>
      <c r="DU416" s="136"/>
      <c r="DV416" s="136"/>
      <c r="DW416" s="136"/>
      <c r="DX416" s="136"/>
      <c r="DY416" s="136"/>
      <c r="DZ416" s="136"/>
      <c r="EA416" s="136"/>
      <c r="EB416" s="136"/>
      <c r="EC416" s="136"/>
      <c r="ED416" s="136"/>
      <c r="EE416" s="136"/>
      <c r="EF416" s="136"/>
      <c r="EG416" s="136"/>
      <c r="EH416" s="136"/>
      <c r="EI416" s="136"/>
      <c r="EJ416" s="136"/>
      <c r="EK416" s="136"/>
      <c r="EL416" s="136"/>
      <c r="EM416" s="136"/>
      <c r="EN416" s="136"/>
      <c r="EO416" s="136"/>
      <c r="EP416" s="136"/>
      <c r="EQ416" s="136"/>
      <c r="ER416" s="136"/>
      <c r="ES416" s="136"/>
      <c r="ET416" s="136"/>
      <c r="EU416" s="136"/>
      <c r="EV416" s="136"/>
      <c r="EW416" s="136"/>
      <c r="EX416" s="136"/>
      <c r="EY416" s="136"/>
      <c r="EZ416" s="136"/>
      <c r="FA416" s="136"/>
      <c r="FB416" s="136"/>
      <c r="FC416" s="136"/>
      <c r="FD416" s="136"/>
      <c r="FE416" s="136"/>
      <c r="FF416" s="136"/>
      <c r="FG416" s="136"/>
      <c r="FH416" s="137"/>
      <c r="FI416" s="138"/>
      <c r="FJ416" s="138"/>
      <c r="FK416" s="138"/>
      <c r="FL416" s="138"/>
      <c r="FM416" s="138"/>
      <c r="FN416" s="138"/>
      <c r="FO416" s="138"/>
      <c r="FP416" s="138"/>
    </row>
    <row r="417" spans="2:172" x14ac:dyDescent="0.2">
      <c r="B417" s="134"/>
      <c r="C417" s="134"/>
      <c r="D417" s="134"/>
      <c r="E417" s="134"/>
      <c r="F417" s="134"/>
      <c r="G417" s="134"/>
      <c r="H417" s="134"/>
      <c r="I417" s="134"/>
      <c r="J417" s="134"/>
      <c r="K417" s="134"/>
      <c r="L417" s="134"/>
      <c r="M417" s="135"/>
      <c r="N417" s="135"/>
      <c r="O417" s="134"/>
      <c r="P417" s="136"/>
      <c r="Q417" s="136"/>
      <c r="R417" s="136"/>
      <c r="S417" s="136"/>
      <c r="T417" s="136"/>
      <c r="U417" s="136"/>
      <c r="V417" s="136"/>
      <c r="W417" s="136"/>
      <c r="X417" s="136"/>
      <c r="Y417" s="136"/>
      <c r="Z417" s="136"/>
      <c r="AA417" s="136"/>
      <c r="AB417" s="136"/>
      <c r="AC417" s="136"/>
      <c r="AD417" s="136"/>
      <c r="AE417" s="136"/>
      <c r="AF417" s="136"/>
      <c r="AG417" s="136"/>
      <c r="AH417" s="136"/>
      <c r="AI417" s="136"/>
      <c r="AJ417" s="136"/>
      <c r="AK417" s="136"/>
      <c r="AL417" s="136"/>
      <c r="AM417" s="136"/>
      <c r="AN417" s="136"/>
      <c r="AO417" s="136"/>
      <c r="AP417" s="136"/>
      <c r="AQ417" s="136"/>
      <c r="AR417" s="136"/>
      <c r="AS417" s="136"/>
      <c r="AT417" s="136"/>
      <c r="AU417" s="136"/>
      <c r="AV417" s="136"/>
      <c r="AW417" s="136"/>
      <c r="AX417" s="136"/>
      <c r="AY417" s="136"/>
      <c r="AZ417" s="136"/>
      <c r="BA417" s="136"/>
      <c r="BB417" s="136"/>
      <c r="BC417" s="136"/>
      <c r="BD417" s="136"/>
      <c r="BE417" s="136"/>
      <c r="BF417" s="136"/>
      <c r="BG417" s="136"/>
      <c r="BH417" s="136"/>
      <c r="BI417" s="136"/>
      <c r="BJ417" s="136"/>
      <c r="BK417" s="136"/>
      <c r="BL417" s="136"/>
      <c r="BM417" s="136"/>
      <c r="BN417" s="136"/>
      <c r="BO417" s="136"/>
      <c r="BP417" s="136"/>
      <c r="BQ417" s="136"/>
      <c r="BR417" s="136"/>
      <c r="BS417" s="136"/>
      <c r="BT417" s="136"/>
      <c r="BU417" s="136"/>
      <c r="BV417" s="136"/>
      <c r="BW417" s="136"/>
      <c r="BX417" s="136"/>
      <c r="BY417" s="136"/>
      <c r="BZ417" s="136"/>
      <c r="CA417" s="136"/>
      <c r="CB417" s="136"/>
      <c r="CC417" s="136"/>
      <c r="CD417" s="136"/>
      <c r="CE417" s="136"/>
      <c r="CF417" s="136"/>
      <c r="CG417" s="136"/>
      <c r="CH417" s="136"/>
      <c r="CI417" s="136"/>
      <c r="CJ417" s="136"/>
      <c r="CK417" s="136"/>
      <c r="CL417" s="136"/>
      <c r="CM417" s="136"/>
      <c r="CN417" s="136"/>
      <c r="CO417" s="136"/>
      <c r="CP417" s="136"/>
      <c r="CQ417" s="136"/>
      <c r="CR417" s="136"/>
      <c r="CS417" s="136"/>
      <c r="CT417" s="136"/>
      <c r="CU417" s="136"/>
      <c r="CV417" s="136"/>
      <c r="CW417" s="136"/>
      <c r="CX417" s="136"/>
      <c r="CY417" s="136"/>
      <c r="CZ417" s="136"/>
      <c r="DA417" s="136"/>
      <c r="DB417" s="136"/>
      <c r="DC417" s="136"/>
      <c r="DD417" s="136"/>
      <c r="DE417" s="136"/>
      <c r="DF417" s="136"/>
      <c r="DG417" s="136"/>
      <c r="DH417" s="136"/>
      <c r="DI417" s="136"/>
      <c r="DJ417" s="136"/>
      <c r="DK417" s="136"/>
      <c r="DL417" s="136"/>
      <c r="DM417" s="136"/>
      <c r="DN417" s="136"/>
      <c r="DO417" s="136"/>
      <c r="DP417" s="136"/>
      <c r="DQ417" s="136"/>
      <c r="DR417" s="136"/>
      <c r="DS417" s="136"/>
      <c r="DT417" s="136"/>
      <c r="DU417" s="136"/>
      <c r="DV417" s="136"/>
      <c r="DW417" s="136"/>
      <c r="DX417" s="136"/>
      <c r="DY417" s="136"/>
      <c r="DZ417" s="136"/>
      <c r="EA417" s="136"/>
      <c r="EB417" s="136"/>
      <c r="EC417" s="136"/>
      <c r="ED417" s="136"/>
      <c r="EE417" s="136"/>
      <c r="EF417" s="136"/>
      <c r="EG417" s="136"/>
      <c r="EH417" s="136"/>
      <c r="EI417" s="136"/>
      <c r="EJ417" s="136"/>
      <c r="EK417" s="136"/>
      <c r="EL417" s="136"/>
      <c r="EM417" s="136"/>
      <c r="EN417" s="136"/>
      <c r="EO417" s="136"/>
      <c r="EP417" s="136"/>
      <c r="EQ417" s="136"/>
      <c r="ER417" s="136"/>
      <c r="ES417" s="136"/>
      <c r="ET417" s="136"/>
      <c r="EU417" s="136"/>
      <c r="EV417" s="136"/>
      <c r="EW417" s="136"/>
      <c r="EX417" s="136"/>
      <c r="EY417" s="136"/>
      <c r="EZ417" s="136"/>
      <c r="FA417" s="136"/>
      <c r="FB417" s="136"/>
      <c r="FC417" s="136"/>
      <c r="FD417" s="136"/>
      <c r="FE417" s="136"/>
      <c r="FF417" s="136"/>
      <c r="FG417" s="136"/>
      <c r="FH417" s="137"/>
      <c r="FI417" s="138"/>
      <c r="FJ417" s="138"/>
      <c r="FK417" s="138"/>
      <c r="FL417" s="138"/>
      <c r="FM417" s="138"/>
      <c r="FN417" s="138"/>
      <c r="FO417" s="138"/>
      <c r="FP417" s="138"/>
    </row>
    <row r="418" spans="2:172" x14ac:dyDescent="0.2">
      <c r="B418" s="134"/>
      <c r="C418" s="134"/>
      <c r="D418" s="134"/>
      <c r="E418" s="134"/>
      <c r="F418" s="134"/>
      <c r="G418" s="134"/>
      <c r="H418" s="134"/>
      <c r="I418" s="134"/>
      <c r="J418" s="134"/>
      <c r="K418" s="134"/>
      <c r="L418" s="134"/>
      <c r="M418" s="135"/>
      <c r="N418" s="135"/>
      <c r="O418" s="134"/>
      <c r="P418" s="136"/>
      <c r="Q418" s="136"/>
      <c r="R418" s="136"/>
      <c r="S418" s="136"/>
      <c r="T418" s="136"/>
      <c r="U418" s="136"/>
      <c r="V418" s="136"/>
      <c r="W418" s="136"/>
      <c r="X418" s="136"/>
      <c r="Y418" s="136"/>
      <c r="Z418" s="136"/>
      <c r="AA418" s="136"/>
      <c r="AB418" s="136"/>
      <c r="AC418" s="136"/>
      <c r="AD418" s="136"/>
      <c r="AE418" s="136"/>
      <c r="AF418" s="136"/>
      <c r="AG418" s="136"/>
      <c r="AH418" s="136"/>
      <c r="AI418" s="136"/>
      <c r="AJ418" s="136"/>
      <c r="AK418" s="136"/>
      <c r="AL418" s="136"/>
      <c r="AM418" s="136"/>
      <c r="AN418" s="136"/>
      <c r="AO418" s="136"/>
      <c r="AP418" s="136"/>
      <c r="AQ418" s="136"/>
      <c r="AR418" s="136"/>
      <c r="AS418" s="136"/>
      <c r="AT418" s="136"/>
      <c r="AU418" s="136"/>
      <c r="AV418" s="136"/>
      <c r="AW418" s="136"/>
      <c r="AX418" s="136"/>
      <c r="AY418" s="136"/>
      <c r="AZ418" s="136"/>
      <c r="BA418" s="136"/>
      <c r="BB418" s="136"/>
      <c r="BC418" s="136"/>
      <c r="BD418" s="136"/>
      <c r="BE418" s="136"/>
      <c r="BF418" s="136"/>
      <c r="BG418" s="136"/>
      <c r="BH418" s="136"/>
      <c r="BI418" s="136"/>
      <c r="BJ418" s="136"/>
      <c r="BK418" s="136"/>
      <c r="BL418" s="136"/>
      <c r="BM418" s="136"/>
      <c r="BN418" s="136"/>
      <c r="BO418" s="136"/>
      <c r="BP418" s="136"/>
      <c r="BQ418" s="136"/>
      <c r="BR418" s="136"/>
      <c r="BS418" s="136"/>
      <c r="BT418" s="136"/>
      <c r="BU418" s="136"/>
      <c r="BV418" s="136"/>
      <c r="BW418" s="136"/>
      <c r="BX418" s="136"/>
      <c r="BY418" s="136"/>
      <c r="BZ418" s="136"/>
      <c r="CA418" s="136"/>
      <c r="CB418" s="136"/>
      <c r="CC418" s="136"/>
      <c r="CD418" s="136"/>
      <c r="CE418" s="136"/>
      <c r="CF418" s="136"/>
      <c r="CG418" s="136"/>
      <c r="CH418" s="136"/>
      <c r="CI418" s="136"/>
      <c r="CJ418" s="136"/>
      <c r="CK418" s="136"/>
      <c r="CL418" s="136"/>
      <c r="CM418" s="136"/>
      <c r="CN418" s="136"/>
      <c r="CO418" s="136"/>
      <c r="CP418" s="136"/>
      <c r="CQ418" s="136"/>
      <c r="CR418" s="136"/>
      <c r="CS418" s="136"/>
      <c r="CT418" s="136"/>
      <c r="CU418" s="136"/>
      <c r="CV418" s="136"/>
      <c r="CW418" s="136"/>
      <c r="CX418" s="136"/>
      <c r="CY418" s="136"/>
      <c r="CZ418" s="136"/>
      <c r="DA418" s="136"/>
      <c r="DB418" s="136"/>
      <c r="DC418" s="136"/>
      <c r="DD418" s="136"/>
      <c r="DE418" s="136"/>
      <c r="DF418" s="136"/>
      <c r="DG418" s="136"/>
      <c r="DH418" s="136"/>
      <c r="DI418" s="136"/>
      <c r="DJ418" s="136"/>
      <c r="DK418" s="136"/>
      <c r="DL418" s="136"/>
      <c r="DM418" s="136"/>
      <c r="DN418" s="136"/>
      <c r="DO418" s="136"/>
      <c r="DP418" s="136"/>
      <c r="DQ418" s="136"/>
      <c r="DR418" s="136"/>
      <c r="DS418" s="136"/>
      <c r="DT418" s="136"/>
      <c r="DU418" s="136"/>
      <c r="DV418" s="136"/>
      <c r="DW418" s="136"/>
      <c r="DX418" s="136"/>
      <c r="DY418" s="136"/>
      <c r="DZ418" s="136"/>
      <c r="EA418" s="136"/>
      <c r="EB418" s="136"/>
      <c r="EC418" s="136"/>
      <c r="ED418" s="136"/>
      <c r="EE418" s="136"/>
      <c r="EF418" s="136"/>
      <c r="EG418" s="136"/>
      <c r="EH418" s="136"/>
      <c r="EI418" s="136"/>
      <c r="EJ418" s="136"/>
      <c r="EK418" s="136"/>
      <c r="EL418" s="136"/>
      <c r="EM418" s="136"/>
      <c r="EN418" s="136"/>
      <c r="EO418" s="136"/>
      <c r="EP418" s="136"/>
      <c r="EQ418" s="136"/>
      <c r="ER418" s="136"/>
      <c r="ES418" s="136"/>
      <c r="ET418" s="136"/>
      <c r="EU418" s="136"/>
      <c r="EV418" s="136"/>
      <c r="EW418" s="136"/>
      <c r="EX418" s="136"/>
      <c r="EY418" s="136"/>
      <c r="EZ418" s="136"/>
      <c r="FA418" s="136"/>
      <c r="FB418" s="136"/>
      <c r="FC418" s="136"/>
      <c r="FD418" s="136"/>
      <c r="FE418" s="136"/>
      <c r="FF418" s="136"/>
      <c r="FG418" s="136"/>
      <c r="FH418" s="137"/>
      <c r="FI418" s="138"/>
      <c r="FJ418" s="138"/>
      <c r="FK418" s="138"/>
      <c r="FL418" s="138"/>
      <c r="FM418" s="138"/>
      <c r="FN418" s="138"/>
      <c r="FO418" s="138"/>
      <c r="FP418" s="138"/>
    </row>
    <row r="419" spans="2:172" x14ac:dyDescent="0.2">
      <c r="B419" s="134"/>
      <c r="C419" s="134"/>
      <c r="D419" s="134"/>
      <c r="E419" s="134"/>
      <c r="F419" s="134"/>
      <c r="G419" s="134"/>
      <c r="H419" s="134"/>
      <c r="I419" s="134"/>
      <c r="J419" s="134"/>
      <c r="K419" s="134"/>
      <c r="L419" s="134"/>
      <c r="M419" s="135"/>
      <c r="N419" s="135"/>
      <c r="O419" s="134"/>
      <c r="P419" s="136"/>
      <c r="Q419" s="136"/>
      <c r="R419" s="136"/>
      <c r="S419" s="136"/>
      <c r="T419" s="136"/>
      <c r="U419" s="136"/>
      <c r="V419" s="136"/>
      <c r="W419" s="136"/>
      <c r="X419" s="136"/>
      <c r="Y419" s="136"/>
      <c r="Z419" s="136"/>
      <c r="AA419" s="136"/>
      <c r="AB419" s="136"/>
      <c r="AC419" s="136"/>
      <c r="AD419" s="136"/>
      <c r="AE419" s="136"/>
      <c r="AF419" s="136"/>
      <c r="AG419" s="136"/>
      <c r="AH419" s="136"/>
      <c r="AI419" s="136"/>
      <c r="AJ419" s="136"/>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c r="BZ419" s="136"/>
      <c r="CA419" s="136"/>
      <c r="CB419" s="136"/>
      <c r="CC419" s="136"/>
      <c r="CD419" s="136"/>
      <c r="CE419" s="136"/>
      <c r="CF419" s="136"/>
      <c r="CG419" s="136"/>
      <c r="CH419" s="136"/>
      <c r="CI419" s="136"/>
      <c r="CJ419" s="136"/>
      <c r="CK419" s="136"/>
      <c r="CL419" s="136"/>
      <c r="CM419" s="136"/>
      <c r="CN419" s="136"/>
      <c r="CO419" s="136"/>
      <c r="CP419" s="136"/>
      <c r="CQ419" s="136"/>
      <c r="CR419" s="136"/>
      <c r="CS419" s="136"/>
      <c r="CT419" s="136"/>
      <c r="CU419" s="136"/>
      <c r="CV419" s="136"/>
      <c r="CW419" s="136"/>
      <c r="CX419" s="136"/>
      <c r="CY419" s="136"/>
      <c r="CZ419" s="136"/>
      <c r="DA419" s="136"/>
      <c r="DB419" s="136"/>
      <c r="DC419" s="136"/>
      <c r="DD419" s="136"/>
      <c r="DE419" s="136"/>
      <c r="DF419" s="136"/>
      <c r="DG419" s="136"/>
      <c r="DH419" s="136"/>
      <c r="DI419" s="136"/>
      <c r="DJ419" s="136"/>
      <c r="DK419" s="136"/>
      <c r="DL419" s="136"/>
      <c r="DM419" s="136"/>
      <c r="DN419" s="136"/>
      <c r="DO419" s="136"/>
      <c r="DP419" s="136"/>
      <c r="DQ419" s="136"/>
      <c r="DR419" s="136"/>
      <c r="DS419" s="136"/>
      <c r="DT419" s="136"/>
      <c r="DU419" s="136"/>
      <c r="DV419" s="136"/>
      <c r="DW419" s="136"/>
      <c r="DX419" s="136"/>
      <c r="DY419" s="136"/>
      <c r="DZ419" s="136"/>
      <c r="EA419" s="136"/>
      <c r="EB419" s="136"/>
      <c r="EC419" s="136"/>
      <c r="ED419" s="136"/>
      <c r="EE419" s="136"/>
      <c r="EF419" s="136"/>
      <c r="EG419" s="136"/>
      <c r="EH419" s="136"/>
      <c r="EI419" s="136"/>
      <c r="EJ419" s="136"/>
      <c r="EK419" s="136"/>
      <c r="EL419" s="136"/>
      <c r="EM419" s="136"/>
      <c r="EN419" s="136"/>
      <c r="EO419" s="136"/>
      <c r="EP419" s="136"/>
      <c r="EQ419" s="136"/>
      <c r="ER419" s="136"/>
      <c r="ES419" s="136"/>
      <c r="ET419" s="136"/>
      <c r="EU419" s="136"/>
      <c r="EV419" s="136"/>
      <c r="EW419" s="136"/>
      <c r="EX419" s="136"/>
      <c r="EY419" s="136"/>
      <c r="EZ419" s="136"/>
      <c r="FA419" s="136"/>
      <c r="FB419" s="136"/>
      <c r="FC419" s="136"/>
      <c r="FD419" s="136"/>
      <c r="FE419" s="136"/>
      <c r="FF419" s="136"/>
      <c r="FG419" s="136"/>
      <c r="FH419" s="137"/>
      <c r="FI419" s="138"/>
      <c r="FJ419" s="138"/>
      <c r="FK419" s="138"/>
      <c r="FL419" s="138"/>
      <c r="FM419" s="138"/>
      <c r="FN419" s="138"/>
      <c r="FO419" s="138"/>
      <c r="FP419" s="138"/>
    </row>
    <row r="420" spans="2:172" x14ac:dyDescent="0.2">
      <c r="B420" s="134"/>
      <c r="C420" s="134"/>
      <c r="D420" s="134"/>
      <c r="E420" s="134"/>
      <c r="F420" s="134"/>
      <c r="G420" s="134"/>
      <c r="H420" s="134"/>
      <c r="I420" s="134"/>
      <c r="J420" s="134"/>
      <c r="K420" s="134"/>
      <c r="L420" s="134"/>
      <c r="M420" s="135"/>
      <c r="N420" s="135"/>
      <c r="O420" s="134"/>
      <c r="P420" s="136"/>
      <c r="Q420" s="136"/>
      <c r="R420" s="136"/>
      <c r="S420" s="136"/>
      <c r="T420" s="136"/>
      <c r="U420" s="136"/>
      <c r="V420" s="136"/>
      <c r="W420" s="136"/>
      <c r="X420" s="136"/>
      <c r="Y420" s="136"/>
      <c r="Z420" s="136"/>
      <c r="AA420" s="136"/>
      <c r="AB420" s="136"/>
      <c r="AC420" s="136"/>
      <c r="AD420" s="136"/>
      <c r="AE420" s="136"/>
      <c r="AF420" s="136"/>
      <c r="AG420" s="136"/>
      <c r="AH420" s="136"/>
      <c r="AI420" s="136"/>
      <c r="AJ420" s="136"/>
      <c r="AK420" s="136"/>
      <c r="AL420" s="136"/>
      <c r="AM420" s="136"/>
      <c r="AN420" s="136"/>
      <c r="AO420" s="136"/>
      <c r="AP420" s="136"/>
      <c r="AQ420" s="136"/>
      <c r="AR420" s="136"/>
      <c r="AS420" s="136"/>
      <c r="AT420" s="136"/>
      <c r="AU420" s="136"/>
      <c r="AV420" s="136"/>
      <c r="AW420" s="136"/>
      <c r="AX420" s="136"/>
      <c r="AY420" s="136"/>
      <c r="AZ420" s="136"/>
      <c r="BA420" s="136"/>
      <c r="BB420" s="136"/>
      <c r="BC420" s="136"/>
      <c r="BD420" s="136"/>
      <c r="BE420" s="136"/>
      <c r="BF420" s="136"/>
      <c r="BG420" s="136"/>
      <c r="BH420" s="136"/>
      <c r="BI420" s="136"/>
      <c r="BJ420" s="136"/>
      <c r="BK420" s="136"/>
      <c r="BL420" s="136"/>
      <c r="BM420" s="136"/>
      <c r="BN420" s="136"/>
      <c r="BO420" s="136"/>
      <c r="BP420" s="136"/>
      <c r="BQ420" s="136"/>
      <c r="BR420" s="136"/>
      <c r="BS420" s="136"/>
      <c r="BT420" s="136"/>
      <c r="BU420" s="136"/>
      <c r="BV420" s="136"/>
      <c r="BW420" s="136"/>
      <c r="BX420" s="136"/>
      <c r="BY420" s="136"/>
      <c r="BZ420" s="136"/>
      <c r="CA420" s="136"/>
      <c r="CB420" s="136"/>
      <c r="CC420" s="136"/>
      <c r="CD420" s="136"/>
      <c r="CE420" s="136"/>
      <c r="CF420" s="136"/>
      <c r="CG420" s="136"/>
      <c r="CH420" s="136"/>
      <c r="CI420" s="136"/>
      <c r="CJ420" s="136"/>
      <c r="CK420" s="136"/>
      <c r="CL420" s="136"/>
      <c r="CM420" s="136"/>
      <c r="CN420" s="136"/>
      <c r="CO420" s="136"/>
      <c r="CP420" s="136"/>
      <c r="CQ420" s="136"/>
      <c r="CR420" s="136"/>
      <c r="CS420" s="136"/>
      <c r="CT420" s="136"/>
      <c r="CU420" s="136"/>
      <c r="CV420" s="136"/>
      <c r="CW420" s="136"/>
      <c r="CX420" s="136"/>
      <c r="CY420" s="136"/>
      <c r="CZ420" s="136"/>
      <c r="DA420" s="136"/>
      <c r="DB420" s="136"/>
      <c r="DC420" s="136"/>
      <c r="DD420" s="136"/>
      <c r="DE420" s="136"/>
      <c r="DF420" s="136"/>
      <c r="DG420" s="136"/>
      <c r="DH420" s="136"/>
      <c r="DI420" s="136"/>
      <c r="DJ420" s="136"/>
      <c r="DK420" s="136"/>
      <c r="DL420" s="136"/>
      <c r="DM420" s="136"/>
      <c r="DN420" s="136"/>
      <c r="DO420" s="136"/>
      <c r="DP420" s="136"/>
      <c r="DQ420" s="136"/>
      <c r="DR420" s="136"/>
      <c r="DS420" s="136"/>
      <c r="DT420" s="136"/>
      <c r="DU420" s="136"/>
      <c r="DV420" s="136"/>
      <c r="DW420" s="136"/>
      <c r="DX420" s="136"/>
      <c r="DY420" s="136"/>
      <c r="DZ420" s="136"/>
      <c r="EA420" s="136"/>
      <c r="EB420" s="136"/>
      <c r="EC420" s="136"/>
      <c r="ED420" s="136"/>
      <c r="EE420" s="136"/>
      <c r="EF420" s="136"/>
      <c r="EG420" s="136"/>
      <c r="EH420" s="136"/>
      <c r="EI420" s="136"/>
      <c r="EJ420" s="136"/>
      <c r="EK420" s="136"/>
      <c r="EL420" s="136"/>
      <c r="EM420" s="136"/>
      <c r="EN420" s="136"/>
      <c r="EO420" s="136"/>
      <c r="EP420" s="136"/>
      <c r="EQ420" s="136"/>
      <c r="ER420" s="136"/>
      <c r="ES420" s="136"/>
      <c r="ET420" s="136"/>
      <c r="EU420" s="136"/>
      <c r="EV420" s="136"/>
      <c r="EW420" s="136"/>
      <c r="EX420" s="136"/>
      <c r="EY420" s="136"/>
      <c r="EZ420" s="136"/>
      <c r="FA420" s="136"/>
      <c r="FB420" s="136"/>
      <c r="FC420" s="136"/>
      <c r="FD420" s="136"/>
      <c r="FE420" s="136"/>
      <c r="FF420" s="136"/>
      <c r="FG420" s="136"/>
      <c r="FH420" s="137"/>
      <c r="FI420" s="138"/>
      <c r="FJ420" s="138"/>
      <c r="FK420" s="138"/>
      <c r="FL420" s="138"/>
      <c r="FM420" s="138"/>
      <c r="FN420" s="138"/>
      <c r="FO420" s="138"/>
      <c r="FP420" s="138"/>
    </row>
    <row r="421" spans="2:172" x14ac:dyDescent="0.2">
      <c r="B421" s="134"/>
      <c r="C421" s="134"/>
      <c r="D421" s="134"/>
      <c r="E421" s="134"/>
      <c r="F421" s="134"/>
      <c r="G421" s="134"/>
      <c r="H421" s="134"/>
      <c r="I421" s="134"/>
      <c r="J421" s="134"/>
      <c r="K421" s="134"/>
      <c r="L421" s="134"/>
      <c r="M421" s="135"/>
      <c r="N421" s="135"/>
      <c r="O421" s="134"/>
      <c r="P421" s="136"/>
      <c r="Q421" s="136"/>
      <c r="R421" s="136"/>
      <c r="S421" s="136"/>
      <c r="T421" s="136"/>
      <c r="U421" s="136"/>
      <c r="V421" s="136"/>
      <c r="W421" s="136"/>
      <c r="X421" s="136"/>
      <c r="Y421" s="136"/>
      <c r="Z421" s="136"/>
      <c r="AA421" s="136"/>
      <c r="AB421" s="136"/>
      <c r="AC421" s="136"/>
      <c r="AD421" s="136"/>
      <c r="AE421" s="136"/>
      <c r="AF421" s="136"/>
      <c r="AG421" s="136"/>
      <c r="AH421" s="136"/>
      <c r="AI421" s="136"/>
      <c r="AJ421" s="136"/>
      <c r="AK421" s="136"/>
      <c r="AL421" s="136"/>
      <c r="AM421" s="136"/>
      <c r="AN421" s="136"/>
      <c r="AO421" s="136"/>
      <c r="AP421" s="136"/>
      <c r="AQ421" s="136"/>
      <c r="AR421" s="136"/>
      <c r="AS421" s="136"/>
      <c r="AT421" s="136"/>
      <c r="AU421" s="136"/>
      <c r="AV421" s="136"/>
      <c r="AW421" s="136"/>
      <c r="AX421" s="136"/>
      <c r="AY421" s="136"/>
      <c r="AZ421" s="136"/>
      <c r="BA421" s="136"/>
      <c r="BB421" s="136"/>
      <c r="BC421" s="136"/>
      <c r="BD421" s="136"/>
      <c r="BE421" s="136"/>
      <c r="BF421" s="136"/>
      <c r="BG421" s="136"/>
      <c r="BH421" s="136"/>
      <c r="BI421" s="136"/>
      <c r="BJ421" s="136"/>
      <c r="BK421" s="136"/>
      <c r="BL421" s="136"/>
      <c r="BM421" s="136"/>
      <c r="BN421" s="136"/>
      <c r="BO421" s="136"/>
      <c r="BP421" s="136"/>
      <c r="BQ421" s="136"/>
      <c r="BR421" s="136"/>
      <c r="BS421" s="136"/>
      <c r="BT421" s="136"/>
      <c r="BU421" s="136"/>
      <c r="BV421" s="136"/>
      <c r="BW421" s="136"/>
      <c r="BX421" s="136"/>
      <c r="BY421" s="136"/>
      <c r="BZ421" s="136"/>
      <c r="CA421" s="136"/>
      <c r="CB421" s="136"/>
      <c r="CC421" s="136"/>
      <c r="CD421" s="136"/>
      <c r="CE421" s="136"/>
      <c r="CF421" s="136"/>
      <c r="CG421" s="136"/>
      <c r="CH421" s="136"/>
      <c r="CI421" s="136"/>
      <c r="CJ421" s="136"/>
      <c r="CK421" s="136"/>
      <c r="CL421" s="136"/>
      <c r="CM421" s="136"/>
      <c r="CN421" s="136"/>
      <c r="CO421" s="136"/>
      <c r="CP421" s="136"/>
      <c r="CQ421" s="136"/>
      <c r="CR421" s="136"/>
      <c r="CS421" s="136"/>
      <c r="CT421" s="136"/>
      <c r="CU421" s="136"/>
      <c r="CV421" s="136"/>
      <c r="CW421" s="136"/>
      <c r="CX421" s="136"/>
      <c r="CY421" s="136"/>
      <c r="CZ421" s="136"/>
      <c r="DA421" s="136"/>
      <c r="DB421" s="136"/>
      <c r="DC421" s="136"/>
      <c r="DD421" s="136"/>
      <c r="DE421" s="136"/>
      <c r="DF421" s="136"/>
      <c r="DG421" s="136"/>
      <c r="DH421" s="136"/>
      <c r="DI421" s="136"/>
      <c r="DJ421" s="136"/>
      <c r="DK421" s="136"/>
      <c r="DL421" s="136"/>
      <c r="DM421" s="136"/>
      <c r="DN421" s="136"/>
      <c r="DO421" s="136"/>
      <c r="DP421" s="136"/>
      <c r="DQ421" s="136"/>
      <c r="DR421" s="136"/>
      <c r="DS421" s="136"/>
      <c r="DT421" s="136"/>
      <c r="DU421" s="136"/>
      <c r="DV421" s="136"/>
      <c r="DW421" s="136"/>
      <c r="DX421" s="136"/>
      <c r="DY421" s="136"/>
      <c r="DZ421" s="136"/>
      <c r="EA421" s="136"/>
      <c r="EB421" s="136"/>
      <c r="EC421" s="136"/>
      <c r="ED421" s="136"/>
      <c r="EE421" s="136"/>
      <c r="EF421" s="136"/>
      <c r="EG421" s="136"/>
      <c r="EH421" s="136"/>
      <c r="EI421" s="136"/>
      <c r="EJ421" s="136"/>
      <c r="EK421" s="136"/>
      <c r="EL421" s="136"/>
      <c r="EM421" s="136"/>
      <c r="EN421" s="136"/>
      <c r="EO421" s="136"/>
      <c r="EP421" s="136"/>
      <c r="EQ421" s="136"/>
      <c r="ER421" s="136"/>
      <c r="ES421" s="136"/>
      <c r="ET421" s="136"/>
      <c r="EU421" s="136"/>
      <c r="EV421" s="136"/>
      <c r="EW421" s="136"/>
      <c r="EX421" s="136"/>
      <c r="EY421" s="136"/>
      <c r="EZ421" s="136"/>
      <c r="FA421" s="136"/>
      <c r="FB421" s="136"/>
      <c r="FC421" s="136"/>
      <c r="FD421" s="136"/>
      <c r="FE421" s="136"/>
      <c r="FF421" s="136"/>
      <c r="FG421" s="136"/>
      <c r="FH421" s="137"/>
      <c r="FI421" s="138"/>
      <c r="FJ421" s="138"/>
      <c r="FK421" s="138"/>
      <c r="FL421" s="138"/>
      <c r="FM421" s="138"/>
      <c r="FN421" s="138"/>
      <c r="FO421" s="138"/>
      <c r="FP421" s="138"/>
    </row>
    <row r="422" spans="2:172" x14ac:dyDescent="0.2">
      <c r="B422" s="134"/>
      <c r="C422" s="134"/>
      <c r="D422" s="134"/>
      <c r="E422" s="134"/>
      <c r="F422" s="134"/>
      <c r="G422" s="134"/>
      <c r="H422" s="134"/>
      <c r="I422" s="134"/>
      <c r="J422" s="134"/>
      <c r="K422" s="134"/>
      <c r="L422" s="134"/>
      <c r="M422" s="135"/>
      <c r="N422" s="135"/>
      <c r="O422" s="134"/>
      <c r="P422" s="136"/>
      <c r="Q422" s="136"/>
      <c r="R422" s="136"/>
      <c r="S422" s="136"/>
      <c r="T422" s="136"/>
      <c r="U422" s="136"/>
      <c r="V422" s="136"/>
      <c r="W422" s="136"/>
      <c r="X422" s="136"/>
      <c r="Y422" s="136"/>
      <c r="Z422" s="136"/>
      <c r="AA422" s="136"/>
      <c r="AB422" s="136"/>
      <c r="AC422" s="136"/>
      <c r="AD422" s="136"/>
      <c r="AE422" s="136"/>
      <c r="AF422" s="136"/>
      <c r="AG422" s="136"/>
      <c r="AH422" s="136"/>
      <c r="AI422" s="136"/>
      <c r="AJ422" s="136"/>
      <c r="AK422" s="136"/>
      <c r="AL422" s="136"/>
      <c r="AM422" s="136"/>
      <c r="AN422" s="136"/>
      <c r="AO422" s="136"/>
      <c r="AP422" s="136"/>
      <c r="AQ422" s="136"/>
      <c r="AR422" s="136"/>
      <c r="AS422" s="136"/>
      <c r="AT422" s="136"/>
      <c r="AU422" s="136"/>
      <c r="AV422" s="136"/>
      <c r="AW422" s="136"/>
      <c r="AX422" s="136"/>
      <c r="AY422" s="136"/>
      <c r="AZ422" s="136"/>
      <c r="BA422" s="136"/>
      <c r="BB422" s="136"/>
      <c r="BC422" s="136"/>
      <c r="BD422" s="136"/>
      <c r="BE422" s="136"/>
      <c r="BF422" s="136"/>
      <c r="BG422" s="136"/>
      <c r="BH422" s="136"/>
      <c r="BI422" s="136"/>
      <c r="BJ422" s="136"/>
      <c r="BK422" s="136"/>
      <c r="BL422" s="136"/>
      <c r="BM422" s="136"/>
      <c r="BN422" s="136"/>
      <c r="BO422" s="136"/>
      <c r="BP422" s="136"/>
      <c r="BQ422" s="136"/>
      <c r="BR422" s="136"/>
      <c r="BS422" s="136"/>
      <c r="BT422" s="136"/>
      <c r="BU422" s="136"/>
      <c r="BV422" s="136"/>
      <c r="BW422" s="136"/>
      <c r="BX422" s="136"/>
      <c r="BY422" s="136"/>
      <c r="BZ422" s="136"/>
      <c r="CA422" s="136"/>
      <c r="CB422" s="136"/>
      <c r="CC422" s="136"/>
      <c r="CD422" s="136"/>
      <c r="CE422" s="136"/>
      <c r="CF422" s="136"/>
      <c r="CG422" s="136"/>
      <c r="CH422" s="136"/>
      <c r="CI422" s="136"/>
      <c r="CJ422" s="136"/>
      <c r="CK422" s="136"/>
      <c r="CL422" s="136"/>
      <c r="CM422" s="136"/>
      <c r="CN422" s="136"/>
      <c r="CO422" s="136"/>
      <c r="CP422" s="136"/>
      <c r="CQ422" s="136"/>
      <c r="CR422" s="136"/>
      <c r="CS422" s="136"/>
      <c r="CT422" s="136"/>
      <c r="CU422" s="136"/>
      <c r="CV422" s="136"/>
      <c r="CW422" s="136"/>
      <c r="CX422" s="136"/>
      <c r="CY422" s="136"/>
      <c r="CZ422" s="136"/>
      <c r="DA422" s="136"/>
      <c r="DB422" s="136"/>
      <c r="DC422" s="136"/>
      <c r="DD422" s="136"/>
      <c r="DE422" s="136"/>
      <c r="DF422" s="136"/>
      <c r="DG422" s="136"/>
      <c r="DH422" s="136"/>
      <c r="DI422" s="136"/>
      <c r="DJ422" s="136"/>
      <c r="DK422" s="136"/>
      <c r="DL422" s="136"/>
      <c r="DM422" s="136"/>
      <c r="DN422" s="136"/>
      <c r="DO422" s="136"/>
      <c r="DP422" s="136"/>
      <c r="DQ422" s="136"/>
      <c r="DR422" s="136"/>
      <c r="DS422" s="136"/>
      <c r="DT422" s="136"/>
      <c r="DU422" s="136"/>
      <c r="DV422" s="136"/>
      <c r="DW422" s="136"/>
      <c r="DX422" s="136"/>
      <c r="DY422" s="136"/>
      <c r="DZ422" s="136"/>
      <c r="EA422" s="136"/>
      <c r="EB422" s="136"/>
      <c r="EC422" s="136"/>
      <c r="ED422" s="136"/>
      <c r="EE422" s="136"/>
      <c r="EF422" s="136"/>
      <c r="EG422" s="136"/>
      <c r="EH422" s="136"/>
      <c r="EI422" s="136"/>
      <c r="EJ422" s="136"/>
      <c r="EK422" s="136"/>
      <c r="EL422" s="136"/>
      <c r="EM422" s="136"/>
      <c r="EN422" s="136"/>
      <c r="EO422" s="136"/>
      <c r="EP422" s="136"/>
      <c r="EQ422" s="136"/>
      <c r="ER422" s="136"/>
      <c r="ES422" s="136"/>
      <c r="ET422" s="136"/>
      <c r="EU422" s="136"/>
      <c r="EV422" s="136"/>
      <c r="EW422" s="136"/>
      <c r="EX422" s="136"/>
      <c r="EY422" s="136"/>
      <c r="EZ422" s="136"/>
      <c r="FA422" s="136"/>
      <c r="FB422" s="136"/>
      <c r="FC422" s="136"/>
      <c r="FD422" s="136"/>
      <c r="FE422" s="136"/>
      <c r="FF422" s="136"/>
      <c r="FG422" s="136"/>
      <c r="FH422" s="137"/>
      <c r="FI422" s="138"/>
      <c r="FJ422" s="138"/>
      <c r="FK422" s="138"/>
      <c r="FL422" s="138"/>
      <c r="FM422" s="138"/>
      <c r="FN422" s="138"/>
      <c r="FO422" s="138"/>
      <c r="FP422" s="138"/>
    </row>
    <row r="423" spans="2:172" x14ac:dyDescent="0.2">
      <c r="B423" s="134"/>
      <c r="C423" s="134"/>
      <c r="D423" s="134"/>
      <c r="E423" s="134"/>
      <c r="F423" s="134"/>
      <c r="G423" s="134"/>
      <c r="H423" s="134"/>
      <c r="I423" s="134"/>
      <c r="J423" s="134"/>
      <c r="K423" s="134"/>
      <c r="L423" s="134"/>
      <c r="M423" s="135"/>
      <c r="N423" s="135"/>
      <c r="O423" s="134"/>
      <c r="P423" s="136"/>
      <c r="Q423" s="136"/>
      <c r="R423" s="136"/>
      <c r="S423" s="136"/>
      <c r="T423" s="136"/>
      <c r="U423" s="136"/>
      <c r="V423" s="136"/>
      <c r="W423" s="136"/>
      <c r="X423" s="136"/>
      <c r="Y423" s="136"/>
      <c r="Z423" s="136"/>
      <c r="AA423" s="136"/>
      <c r="AB423" s="136"/>
      <c r="AC423" s="136"/>
      <c r="AD423" s="136"/>
      <c r="AE423" s="136"/>
      <c r="AF423" s="136"/>
      <c r="AG423" s="136"/>
      <c r="AH423" s="136"/>
      <c r="AI423" s="136"/>
      <c r="AJ423" s="136"/>
      <c r="AK423" s="136"/>
      <c r="AL423" s="136"/>
      <c r="AM423" s="136"/>
      <c r="AN423" s="136"/>
      <c r="AO423" s="136"/>
      <c r="AP423" s="136"/>
      <c r="AQ423" s="136"/>
      <c r="AR423" s="136"/>
      <c r="AS423" s="136"/>
      <c r="AT423" s="136"/>
      <c r="AU423" s="136"/>
      <c r="AV423" s="136"/>
      <c r="AW423" s="136"/>
      <c r="AX423" s="136"/>
      <c r="AY423" s="136"/>
      <c r="AZ423" s="136"/>
      <c r="BA423" s="136"/>
      <c r="BB423" s="136"/>
      <c r="BC423" s="136"/>
      <c r="BD423" s="136"/>
      <c r="BE423" s="136"/>
      <c r="BF423" s="136"/>
      <c r="BG423" s="136"/>
      <c r="BH423" s="136"/>
      <c r="BI423" s="136"/>
      <c r="BJ423" s="136"/>
      <c r="BK423" s="136"/>
      <c r="BL423" s="136"/>
      <c r="BM423" s="136"/>
      <c r="BN423" s="136"/>
      <c r="BO423" s="136"/>
      <c r="BP423" s="136"/>
      <c r="BQ423" s="136"/>
      <c r="BR423" s="136"/>
      <c r="BS423" s="136"/>
      <c r="BT423" s="136"/>
      <c r="BU423" s="136"/>
      <c r="BV423" s="136"/>
      <c r="BW423" s="136"/>
      <c r="BX423" s="136"/>
      <c r="BY423" s="136"/>
      <c r="BZ423" s="136"/>
      <c r="CA423" s="136"/>
      <c r="CB423" s="136"/>
      <c r="CC423" s="136"/>
      <c r="CD423" s="136"/>
      <c r="CE423" s="136"/>
      <c r="CF423" s="136"/>
      <c r="CG423" s="136"/>
      <c r="CH423" s="136"/>
      <c r="CI423" s="136"/>
      <c r="CJ423" s="136"/>
      <c r="CK423" s="136"/>
      <c r="CL423" s="136"/>
      <c r="CM423" s="136"/>
      <c r="CN423" s="136"/>
      <c r="CO423" s="136"/>
      <c r="CP423" s="136"/>
      <c r="CQ423" s="136"/>
      <c r="CR423" s="136"/>
      <c r="CS423" s="136"/>
      <c r="CT423" s="136"/>
      <c r="CU423" s="136"/>
      <c r="CV423" s="136"/>
      <c r="CW423" s="136"/>
      <c r="CX423" s="136"/>
      <c r="CY423" s="136"/>
      <c r="CZ423" s="136"/>
      <c r="DA423" s="136"/>
      <c r="DB423" s="136"/>
      <c r="DC423" s="136"/>
      <c r="DD423" s="136"/>
      <c r="DE423" s="136"/>
      <c r="DF423" s="136"/>
      <c r="DG423" s="136"/>
      <c r="DH423" s="136"/>
      <c r="DI423" s="136"/>
      <c r="DJ423" s="136"/>
      <c r="DK423" s="136"/>
      <c r="DL423" s="136"/>
      <c r="DM423" s="136"/>
      <c r="DN423" s="136"/>
      <c r="DO423" s="136"/>
      <c r="DP423" s="136"/>
      <c r="DQ423" s="136"/>
      <c r="DR423" s="136"/>
      <c r="DS423" s="136"/>
      <c r="DT423" s="136"/>
      <c r="DU423" s="136"/>
      <c r="DV423" s="136"/>
      <c r="DW423" s="136"/>
      <c r="DX423" s="136"/>
      <c r="DY423" s="136"/>
      <c r="DZ423" s="136"/>
      <c r="EA423" s="136"/>
      <c r="EB423" s="136"/>
      <c r="EC423" s="136"/>
      <c r="ED423" s="136"/>
      <c r="EE423" s="136"/>
      <c r="EF423" s="136"/>
      <c r="EG423" s="136"/>
      <c r="EH423" s="136"/>
      <c r="EI423" s="136"/>
      <c r="EJ423" s="136"/>
      <c r="EK423" s="136"/>
      <c r="EL423" s="136"/>
      <c r="EM423" s="136"/>
      <c r="EN423" s="136"/>
      <c r="EO423" s="136"/>
      <c r="EP423" s="136"/>
      <c r="EQ423" s="136"/>
      <c r="ER423" s="136"/>
      <c r="ES423" s="136"/>
      <c r="ET423" s="136"/>
      <c r="EU423" s="136"/>
      <c r="EV423" s="136"/>
      <c r="EW423" s="136"/>
      <c r="EX423" s="136"/>
      <c r="EY423" s="136"/>
      <c r="EZ423" s="136"/>
      <c r="FA423" s="136"/>
      <c r="FB423" s="136"/>
      <c r="FC423" s="136"/>
      <c r="FD423" s="136"/>
      <c r="FE423" s="136"/>
      <c r="FF423" s="136"/>
      <c r="FG423" s="136"/>
      <c r="FH423" s="137"/>
      <c r="FI423" s="138"/>
      <c r="FJ423" s="138"/>
      <c r="FK423" s="138"/>
      <c r="FL423" s="138"/>
      <c r="FM423" s="138"/>
      <c r="FN423" s="138"/>
      <c r="FO423" s="138"/>
      <c r="FP423" s="138"/>
    </row>
    <row r="424" spans="2:172" x14ac:dyDescent="0.2">
      <c r="B424" s="134"/>
      <c r="C424" s="134"/>
      <c r="D424" s="134"/>
      <c r="E424" s="134"/>
      <c r="F424" s="134"/>
      <c r="G424" s="134"/>
      <c r="H424" s="134"/>
      <c r="I424" s="134"/>
      <c r="J424" s="134"/>
      <c r="K424" s="134"/>
      <c r="L424" s="134"/>
      <c r="M424" s="135"/>
      <c r="N424" s="135"/>
      <c r="O424" s="134"/>
      <c r="P424" s="136"/>
      <c r="Q424" s="136"/>
      <c r="R424" s="136"/>
      <c r="S424" s="136"/>
      <c r="T424" s="136"/>
      <c r="U424" s="136"/>
      <c r="V424" s="136"/>
      <c r="W424" s="136"/>
      <c r="X424" s="136"/>
      <c r="Y424" s="136"/>
      <c r="Z424" s="136"/>
      <c r="AA424" s="136"/>
      <c r="AB424" s="136"/>
      <c r="AC424" s="136"/>
      <c r="AD424" s="136"/>
      <c r="AE424" s="136"/>
      <c r="AF424" s="136"/>
      <c r="AG424" s="136"/>
      <c r="AH424" s="136"/>
      <c r="AI424" s="136"/>
      <c r="AJ424" s="136"/>
      <c r="AK424" s="136"/>
      <c r="AL424" s="136"/>
      <c r="AM424" s="136"/>
      <c r="AN424" s="136"/>
      <c r="AO424" s="136"/>
      <c r="AP424" s="136"/>
      <c r="AQ424" s="136"/>
      <c r="AR424" s="136"/>
      <c r="AS424" s="136"/>
      <c r="AT424" s="136"/>
      <c r="AU424" s="136"/>
      <c r="AV424" s="136"/>
      <c r="AW424" s="136"/>
      <c r="AX424" s="136"/>
      <c r="AY424" s="136"/>
      <c r="AZ424" s="136"/>
      <c r="BA424" s="136"/>
      <c r="BB424" s="136"/>
      <c r="BC424" s="136"/>
      <c r="BD424" s="136"/>
      <c r="BE424" s="136"/>
      <c r="BF424" s="136"/>
      <c r="BG424" s="136"/>
      <c r="BH424" s="136"/>
      <c r="BI424" s="136"/>
      <c r="BJ424" s="136"/>
      <c r="BK424" s="136"/>
      <c r="BL424" s="136"/>
      <c r="BM424" s="136"/>
      <c r="BN424" s="136"/>
      <c r="BO424" s="136"/>
      <c r="BP424" s="136"/>
      <c r="BQ424" s="136"/>
      <c r="BR424" s="136"/>
      <c r="BS424" s="136"/>
      <c r="BT424" s="136"/>
      <c r="BU424" s="136"/>
      <c r="BV424" s="136"/>
      <c r="BW424" s="136"/>
      <c r="BX424" s="136"/>
      <c r="BY424" s="136"/>
      <c r="BZ424" s="136"/>
      <c r="CA424" s="136"/>
      <c r="CB424" s="136"/>
      <c r="CC424" s="136"/>
      <c r="CD424" s="136"/>
      <c r="CE424" s="136"/>
      <c r="CF424" s="136"/>
      <c r="CG424" s="136"/>
      <c r="CH424" s="136"/>
      <c r="CI424" s="136"/>
      <c r="CJ424" s="136"/>
      <c r="CK424" s="136"/>
      <c r="CL424" s="136"/>
      <c r="CM424" s="136"/>
      <c r="CN424" s="136"/>
      <c r="CO424" s="136"/>
      <c r="CP424" s="136"/>
      <c r="CQ424" s="136"/>
      <c r="CR424" s="136"/>
      <c r="CS424" s="136"/>
      <c r="CT424" s="136"/>
      <c r="CU424" s="136"/>
      <c r="CV424" s="136"/>
      <c r="CW424" s="136"/>
      <c r="CX424" s="136"/>
      <c r="CY424" s="136"/>
      <c r="CZ424" s="136"/>
      <c r="DA424" s="136"/>
      <c r="DB424" s="136"/>
      <c r="DC424" s="136"/>
      <c r="DD424" s="136"/>
      <c r="DE424" s="136"/>
      <c r="DF424" s="136"/>
      <c r="DG424" s="136"/>
      <c r="DH424" s="136"/>
      <c r="DI424" s="136"/>
      <c r="DJ424" s="136"/>
      <c r="DK424" s="136"/>
      <c r="DL424" s="136"/>
      <c r="DM424" s="136"/>
      <c r="DN424" s="136"/>
      <c r="DO424" s="136"/>
      <c r="DP424" s="136"/>
      <c r="DQ424" s="136"/>
      <c r="DR424" s="136"/>
      <c r="DS424" s="136"/>
      <c r="DT424" s="136"/>
      <c r="DU424" s="136"/>
      <c r="DV424" s="136"/>
      <c r="DW424" s="136"/>
      <c r="DX424" s="136"/>
      <c r="DY424" s="136"/>
      <c r="DZ424" s="136"/>
      <c r="EA424" s="136"/>
      <c r="EB424" s="136"/>
      <c r="EC424" s="136"/>
      <c r="ED424" s="136"/>
      <c r="EE424" s="136"/>
      <c r="EF424" s="136"/>
      <c r="EG424" s="136"/>
      <c r="EH424" s="136"/>
      <c r="EI424" s="136"/>
      <c r="EJ424" s="136"/>
      <c r="EK424" s="136"/>
      <c r="EL424" s="136"/>
      <c r="EM424" s="136"/>
      <c r="EN424" s="136"/>
      <c r="EO424" s="136"/>
      <c r="EP424" s="136"/>
      <c r="EQ424" s="136"/>
      <c r="ER424" s="136"/>
      <c r="ES424" s="136"/>
      <c r="ET424" s="136"/>
      <c r="EU424" s="136"/>
      <c r="EV424" s="136"/>
      <c r="EW424" s="136"/>
      <c r="EX424" s="136"/>
      <c r="EY424" s="136"/>
      <c r="EZ424" s="136"/>
      <c r="FA424" s="136"/>
      <c r="FB424" s="136"/>
      <c r="FC424" s="136"/>
      <c r="FD424" s="136"/>
      <c r="FE424" s="136"/>
      <c r="FF424" s="136"/>
      <c r="FG424" s="136"/>
      <c r="FH424" s="137"/>
      <c r="FI424" s="138"/>
      <c r="FJ424" s="138"/>
      <c r="FK424" s="138"/>
      <c r="FL424" s="138"/>
      <c r="FM424" s="138"/>
      <c r="FN424" s="138"/>
      <c r="FO424" s="138"/>
      <c r="FP424" s="138"/>
    </row>
    <row r="425" spans="2:172" x14ac:dyDescent="0.2">
      <c r="B425" s="134"/>
      <c r="C425" s="134"/>
      <c r="D425" s="134"/>
      <c r="E425" s="134"/>
      <c r="F425" s="134"/>
      <c r="G425" s="134"/>
      <c r="H425" s="134"/>
      <c r="I425" s="134"/>
      <c r="J425" s="134"/>
      <c r="K425" s="134"/>
      <c r="L425" s="134"/>
      <c r="M425" s="135"/>
      <c r="N425" s="135"/>
      <c r="O425" s="134"/>
      <c r="P425" s="136"/>
      <c r="Q425" s="136"/>
      <c r="R425" s="136"/>
      <c r="S425" s="136"/>
      <c r="T425" s="136"/>
      <c r="U425" s="136"/>
      <c r="V425" s="136"/>
      <c r="W425" s="136"/>
      <c r="X425" s="136"/>
      <c r="Y425" s="136"/>
      <c r="Z425" s="136"/>
      <c r="AA425" s="136"/>
      <c r="AB425" s="136"/>
      <c r="AC425" s="136"/>
      <c r="AD425" s="136"/>
      <c r="AE425" s="136"/>
      <c r="AF425" s="136"/>
      <c r="AG425" s="136"/>
      <c r="AH425" s="136"/>
      <c r="AI425" s="136"/>
      <c r="AJ425" s="136"/>
      <c r="AK425" s="136"/>
      <c r="AL425" s="136"/>
      <c r="AM425" s="136"/>
      <c r="AN425" s="136"/>
      <c r="AO425" s="136"/>
      <c r="AP425" s="136"/>
      <c r="AQ425" s="136"/>
      <c r="AR425" s="136"/>
      <c r="AS425" s="136"/>
      <c r="AT425" s="136"/>
      <c r="AU425" s="136"/>
      <c r="AV425" s="136"/>
      <c r="AW425" s="136"/>
      <c r="AX425" s="136"/>
      <c r="AY425" s="136"/>
      <c r="AZ425" s="136"/>
      <c r="BA425" s="136"/>
      <c r="BB425" s="136"/>
      <c r="BC425" s="136"/>
      <c r="BD425" s="136"/>
      <c r="BE425" s="136"/>
      <c r="BF425" s="136"/>
      <c r="BG425" s="136"/>
      <c r="BH425" s="136"/>
      <c r="BI425" s="136"/>
      <c r="BJ425" s="136"/>
      <c r="BK425" s="136"/>
      <c r="BL425" s="136"/>
      <c r="BM425" s="136"/>
      <c r="BN425" s="136"/>
      <c r="BO425" s="136"/>
      <c r="BP425" s="136"/>
      <c r="BQ425" s="136"/>
      <c r="BR425" s="136"/>
      <c r="BS425" s="136"/>
      <c r="BT425" s="136"/>
      <c r="BU425" s="136"/>
      <c r="BV425" s="136"/>
      <c r="BW425" s="136"/>
      <c r="BX425" s="136"/>
      <c r="BY425" s="136"/>
      <c r="BZ425" s="136"/>
      <c r="CA425" s="136"/>
      <c r="CB425" s="136"/>
      <c r="CC425" s="136"/>
      <c r="CD425" s="136"/>
      <c r="CE425" s="136"/>
      <c r="CF425" s="136"/>
      <c r="CG425" s="136"/>
      <c r="CH425" s="136"/>
      <c r="CI425" s="136"/>
      <c r="CJ425" s="136"/>
      <c r="CK425" s="136"/>
      <c r="CL425" s="136"/>
      <c r="CM425" s="136"/>
      <c r="CN425" s="136"/>
      <c r="CO425" s="136"/>
      <c r="CP425" s="136"/>
      <c r="CQ425" s="136"/>
      <c r="CR425" s="136"/>
      <c r="CS425" s="136"/>
      <c r="CT425" s="136"/>
      <c r="CU425" s="136"/>
      <c r="CV425" s="136"/>
      <c r="CW425" s="136"/>
      <c r="CX425" s="136"/>
      <c r="CY425" s="136"/>
      <c r="CZ425" s="136"/>
      <c r="DA425" s="136"/>
      <c r="DB425" s="136"/>
      <c r="DC425" s="136"/>
      <c r="DD425" s="136"/>
      <c r="DE425" s="136"/>
      <c r="DF425" s="136"/>
      <c r="DG425" s="136"/>
      <c r="DH425" s="136"/>
      <c r="DI425" s="136"/>
      <c r="DJ425" s="136"/>
      <c r="DK425" s="136"/>
      <c r="DL425" s="136"/>
      <c r="DM425" s="136"/>
      <c r="DN425" s="136"/>
      <c r="DO425" s="136"/>
      <c r="DP425" s="136"/>
      <c r="DQ425" s="136"/>
      <c r="DR425" s="136"/>
      <c r="DS425" s="136"/>
      <c r="DT425" s="136"/>
      <c r="DU425" s="136"/>
      <c r="DV425" s="136"/>
      <c r="DW425" s="136"/>
      <c r="DX425" s="136"/>
      <c r="DY425" s="136"/>
      <c r="DZ425" s="136"/>
      <c r="EA425" s="136"/>
      <c r="EB425" s="136"/>
      <c r="EC425" s="136"/>
      <c r="ED425" s="136"/>
      <c r="EE425" s="136"/>
      <c r="EF425" s="136"/>
      <c r="EG425" s="136"/>
      <c r="EH425" s="136"/>
      <c r="EI425" s="136"/>
      <c r="EJ425" s="136"/>
      <c r="EK425" s="136"/>
      <c r="EL425" s="136"/>
      <c r="EM425" s="136"/>
      <c r="EN425" s="136"/>
      <c r="EO425" s="136"/>
      <c r="EP425" s="136"/>
      <c r="EQ425" s="136"/>
      <c r="ER425" s="136"/>
      <c r="ES425" s="136"/>
      <c r="ET425" s="136"/>
      <c r="EU425" s="136"/>
      <c r="EV425" s="136"/>
      <c r="EW425" s="136"/>
      <c r="EX425" s="136"/>
      <c r="EY425" s="136"/>
      <c r="EZ425" s="136"/>
      <c r="FA425" s="136"/>
      <c r="FB425" s="136"/>
      <c r="FC425" s="136"/>
      <c r="FD425" s="136"/>
      <c r="FE425" s="136"/>
      <c r="FF425" s="136"/>
      <c r="FG425" s="136"/>
      <c r="FH425" s="137"/>
      <c r="FI425" s="138"/>
      <c r="FJ425" s="138"/>
      <c r="FK425" s="138"/>
      <c r="FL425" s="138"/>
      <c r="FM425" s="138"/>
      <c r="FN425" s="138"/>
      <c r="FO425" s="138"/>
      <c r="FP425" s="138"/>
    </row>
    <row r="426" spans="2:172" x14ac:dyDescent="0.2">
      <c r="B426" s="134"/>
      <c r="C426" s="134"/>
      <c r="D426" s="134"/>
      <c r="E426" s="134"/>
      <c r="F426" s="134"/>
      <c r="G426" s="134"/>
      <c r="H426" s="134"/>
      <c r="I426" s="134"/>
      <c r="J426" s="134"/>
      <c r="K426" s="134"/>
      <c r="L426" s="134"/>
      <c r="M426" s="135"/>
      <c r="N426" s="135"/>
      <c r="O426" s="134"/>
      <c r="P426" s="136"/>
      <c r="Q426" s="136"/>
      <c r="R426" s="136"/>
      <c r="S426" s="136"/>
      <c r="T426" s="136"/>
      <c r="U426" s="136"/>
      <c r="V426" s="136"/>
      <c r="W426" s="136"/>
      <c r="X426" s="136"/>
      <c r="Y426" s="136"/>
      <c r="Z426" s="136"/>
      <c r="AA426" s="136"/>
      <c r="AB426" s="136"/>
      <c r="AC426" s="136"/>
      <c r="AD426" s="136"/>
      <c r="AE426" s="136"/>
      <c r="AF426" s="136"/>
      <c r="AG426" s="136"/>
      <c r="AH426" s="136"/>
      <c r="AI426" s="136"/>
      <c r="AJ426" s="136"/>
      <c r="AK426" s="136"/>
      <c r="AL426" s="136"/>
      <c r="AM426" s="136"/>
      <c r="AN426" s="136"/>
      <c r="AO426" s="136"/>
      <c r="AP426" s="136"/>
      <c r="AQ426" s="136"/>
      <c r="AR426" s="136"/>
      <c r="AS426" s="136"/>
      <c r="AT426" s="136"/>
      <c r="AU426" s="136"/>
      <c r="AV426" s="136"/>
      <c r="AW426" s="136"/>
      <c r="AX426" s="136"/>
      <c r="AY426" s="136"/>
      <c r="AZ426" s="136"/>
      <c r="BA426" s="136"/>
      <c r="BB426" s="136"/>
      <c r="BC426" s="136"/>
      <c r="BD426" s="136"/>
      <c r="BE426" s="136"/>
      <c r="BF426" s="136"/>
      <c r="BG426" s="136"/>
      <c r="BH426" s="136"/>
      <c r="BI426" s="136"/>
      <c r="BJ426" s="136"/>
      <c r="BK426" s="136"/>
      <c r="BL426" s="136"/>
      <c r="BM426" s="136"/>
      <c r="BN426" s="136"/>
      <c r="BO426" s="136"/>
      <c r="BP426" s="136"/>
      <c r="BQ426" s="136"/>
      <c r="BR426" s="136"/>
      <c r="BS426" s="136"/>
      <c r="BT426" s="136"/>
      <c r="BU426" s="136"/>
      <c r="BV426" s="136"/>
      <c r="BW426" s="136"/>
      <c r="BX426" s="136"/>
      <c r="BY426" s="136"/>
      <c r="BZ426" s="136"/>
      <c r="CA426" s="136"/>
      <c r="CB426" s="136"/>
      <c r="CC426" s="136"/>
      <c r="CD426" s="136"/>
      <c r="CE426" s="136"/>
      <c r="CF426" s="136"/>
      <c r="CG426" s="136"/>
      <c r="CH426" s="136"/>
      <c r="CI426" s="136"/>
      <c r="CJ426" s="136"/>
      <c r="CK426" s="136"/>
      <c r="CL426" s="136"/>
      <c r="CM426" s="136"/>
      <c r="CN426" s="136"/>
      <c r="CO426" s="136"/>
      <c r="CP426" s="136"/>
      <c r="CQ426" s="136"/>
      <c r="CR426" s="136"/>
      <c r="CS426" s="136"/>
      <c r="CT426" s="136"/>
      <c r="CU426" s="136"/>
      <c r="CV426" s="136"/>
      <c r="CW426" s="136"/>
      <c r="CX426" s="136"/>
      <c r="CY426" s="136"/>
      <c r="CZ426" s="136"/>
      <c r="DA426" s="136"/>
      <c r="DB426" s="136"/>
      <c r="DC426" s="136"/>
      <c r="DD426" s="136"/>
      <c r="DE426" s="136"/>
      <c r="DF426" s="136"/>
      <c r="DG426" s="136"/>
      <c r="DH426" s="136"/>
      <c r="DI426" s="136"/>
      <c r="DJ426" s="136"/>
      <c r="DK426" s="136"/>
      <c r="DL426" s="136"/>
      <c r="DM426" s="136"/>
      <c r="DN426" s="136"/>
      <c r="DO426" s="136"/>
      <c r="DP426" s="136"/>
      <c r="DQ426" s="136"/>
      <c r="DR426" s="136"/>
      <c r="DS426" s="136"/>
      <c r="DT426" s="136"/>
      <c r="DU426" s="136"/>
      <c r="DV426" s="136"/>
      <c r="DW426" s="136"/>
      <c r="DX426" s="136"/>
      <c r="DY426" s="136"/>
      <c r="DZ426" s="136"/>
      <c r="EA426" s="136"/>
      <c r="EB426" s="136"/>
      <c r="EC426" s="136"/>
      <c r="ED426" s="136"/>
      <c r="EE426" s="136"/>
      <c r="EF426" s="136"/>
      <c r="EG426" s="136"/>
      <c r="EH426" s="136"/>
      <c r="EI426" s="136"/>
      <c r="EJ426" s="136"/>
      <c r="EK426" s="136"/>
      <c r="EL426" s="136"/>
      <c r="EM426" s="136"/>
      <c r="EN426" s="136"/>
      <c r="EO426" s="136"/>
      <c r="EP426" s="136"/>
      <c r="EQ426" s="136"/>
      <c r="ER426" s="136"/>
      <c r="ES426" s="136"/>
      <c r="ET426" s="136"/>
      <c r="EU426" s="136"/>
      <c r="EV426" s="136"/>
      <c r="EW426" s="136"/>
      <c r="EX426" s="136"/>
      <c r="EY426" s="136"/>
      <c r="EZ426" s="136"/>
      <c r="FA426" s="136"/>
      <c r="FB426" s="136"/>
      <c r="FC426" s="136"/>
      <c r="FD426" s="136"/>
      <c r="FE426" s="136"/>
      <c r="FF426" s="136"/>
      <c r="FG426" s="136"/>
      <c r="FH426" s="137"/>
      <c r="FI426" s="138"/>
      <c r="FJ426" s="138"/>
      <c r="FK426" s="138"/>
      <c r="FL426" s="138"/>
      <c r="FM426" s="138"/>
      <c r="FN426" s="138"/>
      <c r="FO426" s="138"/>
      <c r="FP426" s="138"/>
    </row>
    <row r="427" spans="2:172" x14ac:dyDescent="0.2">
      <c r="B427" s="134"/>
      <c r="C427" s="134"/>
      <c r="D427" s="134"/>
      <c r="E427" s="134"/>
      <c r="F427" s="134"/>
      <c r="G427" s="134"/>
      <c r="H427" s="134"/>
      <c r="I427" s="134"/>
      <c r="J427" s="134"/>
      <c r="K427" s="134"/>
      <c r="L427" s="134"/>
      <c r="M427" s="135"/>
      <c r="N427" s="135"/>
      <c r="O427" s="134"/>
      <c r="P427" s="136"/>
      <c r="Q427" s="136"/>
      <c r="R427" s="136"/>
      <c r="S427" s="136"/>
      <c r="T427" s="136"/>
      <c r="U427" s="136"/>
      <c r="V427" s="136"/>
      <c r="W427" s="136"/>
      <c r="X427" s="136"/>
      <c r="Y427" s="136"/>
      <c r="Z427" s="136"/>
      <c r="AA427" s="136"/>
      <c r="AB427" s="136"/>
      <c r="AC427" s="136"/>
      <c r="AD427" s="136"/>
      <c r="AE427" s="136"/>
      <c r="AF427" s="136"/>
      <c r="AG427" s="136"/>
      <c r="AH427" s="136"/>
      <c r="AI427" s="136"/>
      <c r="AJ427" s="136"/>
      <c r="AK427" s="136"/>
      <c r="AL427" s="136"/>
      <c r="AM427" s="136"/>
      <c r="AN427" s="136"/>
      <c r="AO427" s="136"/>
      <c r="AP427" s="136"/>
      <c r="AQ427" s="136"/>
      <c r="AR427" s="136"/>
      <c r="AS427" s="136"/>
      <c r="AT427" s="136"/>
      <c r="AU427" s="136"/>
      <c r="AV427" s="136"/>
      <c r="AW427" s="136"/>
      <c r="AX427" s="136"/>
      <c r="AY427" s="136"/>
      <c r="AZ427" s="136"/>
      <c r="BA427" s="136"/>
      <c r="BB427" s="136"/>
      <c r="BC427" s="136"/>
      <c r="BD427" s="136"/>
      <c r="BE427" s="136"/>
      <c r="BF427" s="136"/>
      <c r="BG427" s="136"/>
      <c r="BH427" s="136"/>
      <c r="BI427" s="136"/>
      <c r="BJ427" s="136"/>
      <c r="BK427" s="136"/>
      <c r="BL427" s="136"/>
      <c r="BM427" s="136"/>
      <c r="BN427" s="136"/>
      <c r="BO427" s="136"/>
      <c r="BP427" s="136"/>
      <c r="BQ427" s="136"/>
      <c r="BR427" s="136"/>
      <c r="BS427" s="136"/>
      <c r="BT427" s="136"/>
      <c r="BU427" s="136"/>
      <c r="BV427" s="136"/>
      <c r="BW427" s="136"/>
      <c r="BX427" s="136"/>
      <c r="BY427" s="136"/>
      <c r="BZ427" s="136"/>
      <c r="CA427" s="136"/>
      <c r="CB427" s="136"/>
      <c r="CC427" s="136"/>
      <c r="CD427" s="136"/>
      <c r="CE427" s="136"/>
      <c r="CF427" s="136"/>
      <c r="CG427" s="136"/>
      <c r="CH427" s="136"/>
      <c r="CI427" s="136"/>
      <c r="CJ427" s="136"/>
      <c r="CK427" s="136"/>
      <c r="CL427" s="136"/>
      <c r="CM427" s="136"/>
      <c r="CN427" s="136"/>
      <c r="CO427" s="136"/>
      <c r="CP427" s="136"/>
      <c r="CQ427" s="136"/>
      <c r="CR427" s="136"/>
      <c r="CS427" s="136"/>
      <c r="CT427" s="136"/>
      <c r="CU427" s="136"/>
      <c r="CV427" s="136"/>
      <c r="CW427" s="136"/>
      <c r="CX427" s="136"/>
      <c r="CY427" s="136"/>
      <c r="CZ427" s="136"/>
      <c r="DA427" s="136"/>
      <c r="DB427" s="136"/>
      <c r="DC427" s="136"/>
      <c r="DD427" s="136"/>
      <c r="DE427" s="136"/>
      <c r="DF427" s="136"/>
      <c r="DG427" s="136"/>
      <c r="DH427" s="136"/>
      <c r="DI427" s="136"/>
      <c r="DJ427" s="136"/>
      <c r="DK427" s="136"/>
      <c r="DL427" s="136"/>
      <c r="DM427" s="136"/>
      <c r="DN427" s="136"/>
      <c r="DO427" s="136"/>
      <c r="DP427" s="136"/>
      <c r="DQ427" s="136"/>
      <c r="DR427" s="136"/>
      <c r="DS427" s="136"/>
      <c r="DT427" s="136"/>
      <c r="DU427" s="136"/>
      <c r="DV427" s="136"/>
      <c r="DW427" s="136"/>
      <c r="DX427" s="136"/>
      <c r="DY427" s="136"/>
      <c r="DZ427" s="136"/>
      <c r="EA427" s="136"/>
      <c r="EB427" s="136"/>
      <c r="EC427" s="136"/>
      <c r="ED427" s="136"/>
      <c r="EE427" s="136"/>
      <c r="EF427" s="136"/>
      <c r="EG427" s="136"/>
      <c r="EH427" s="136"/>
      <c r="EI427" s="136"/>
      <c r="EJ427" s="136"/>
      <c r="EK427" s="136"/>
      <c r="EL427" s="136"/>
      <c r="EM427" s="136"/>
      <c r="EN427" s="136"/>
      <c r="EO427" s="136"/>
      <c r="EP427" s="136"/>
      <c r="EQ427" s="136"/>
      <c r="ER427" s="136"/>
      <c r="ES427" s="136"/>
      <c r="ET427" s="136"/>
      <c r="EU427" s="136"/>
      <c r="EV427" s="136"/>
      <c r="EW427" s="136"/>
      <c r="EX427" s="136"/>
      <c r="EY427" s="136"/>
      <c r="EZ427" s="136"/>
      <c r="FA427" s="136"/>
      <c r="FB427" s="136"/>
      <c r="FC427" s="136"/>
      <c r="FD427" s="136"/>
      <c r="FE427" s="136"/>
      <c r="FF427" s="136"/>
      <c r="FG427" s="136"/>
      <c r="FH427" s="137"/>
      <c r="FI427" s="138"/>
      <c r="FJ427" s="138"/>
      <c r="FK427" s="138"/>
      <c r="FL427" s="138"/>
      <c r="FM427" s="138"/>
      <c r="FN427" s="138"/>
      <c r="FO427" s="138"/>
      <c r="FP427" s="138"/>
    </row>
    <row r="428" spans="2:172" x14ac:dyDescent="0.2">
      <c r="B428" s="134"/>
      <c r="C428" s="134"/>
      <c r="D428" s="134"/>
      <c r="E428" s="134"/>
      <c r="F428" s="134"/>
      <c r="G428" s="134"/>
      <c r="H428" s="134"/>
      <c r="I428" s="134"/>
      <c r="J428" s="134"/>
      <c r="K428" s="134"/>
      <c r="L428" s="134"/>
      <c r="M428" s="135"/>
      <c r="N428" s="135"/>
      <c r="O428" s="134"/>
      <c r="P428" s="136"/>
      <c r="Q428" s="136"/>
      <c r="R428" s="136"/>
      <c r="S428" s="136"/>
      <c r="T428" s="136"/>
      <c r="U428" s="136"/>
      <c r="V428" s="136"/>
      <c r="W428" s="136"/>
      <c r="X428" s="136"/>
      <c r="Y428" s="136"/>
      <c r="Z428" s="136"/>
      <c r="AA428" s="136"/>
      <c r="AB428" s="136"/>
      <c r="AC428" s="136"/>
      <c r="AD428" s="136"/>
      <c r="AE428" s="136"/>
      <c r="AF428" s="136"/>
      <c r="AG428" s="136"/>
      <c r="AH428" s="136"/>
      <c r="AI428" s="136"/>
      <c r="AJ428" s="136"/>
      <c r="AK428" s="136"/>
      <c r="AL428" s="136"/>
      <c r="AM428" s="136"/>
      <c r="AN428" s="136"/>
      <c r="AO428" s="136"/>
      <c r="AP428" s="136"/>
      <c r="AQ428" s="136"/>
      <c r="AR428" s="136"/>
      <c r="AS428" s="136"/>
      <c r="AT428" s="136"/>
      <c r="AU428" s="136"/>
      <c r="AV428" s="136"/>
      <c r="AW428" s="136"/>
      <c r="AX428" s="136"/>
      <c r="AY428" s="136"/>
      <c r="AZ428" s="136"/>
      <c r="BA428" s="136"/>
      <c r="BB428" s="136"/>
      <c r="BC428" s="136"/>
      <c r="BD428" s="136"/>
      <c r="BE428" s="136"/>
      <c r="BF428" s="136"/>
      <c r="BG428" s="136"/>
      <c r="BH428" s="136"/>
      <c r="BI428" s="136"/>
      <c r="BJ428" s="136"/>
      <c r="BK428" s="136"/>
      <c r="BL428" s="136"/>
      <c r="BM428" s="136"/>
      <c r="BN428" s="136"/>
      <c r="BO428" s="136"/>
      <c r="BP428" s="136"/>
      <c r="BQ428" s="136"/>
      <c r="BR428" s="136"/>
      <c r="BS428" s="136"/>
      <c r="BT428" s="136"/>
      <c r="BU428" s="136"/>
      <c r="BV428" s="136"/>
      <c r="BW428" s="136"/>
      <c r="BX428" s="136"/>
      <c r="BY428" s="136"/>
      <c r="BZ428" s="136"/>
      <c r="CA428" s="136"/>
      <c r="CB428" s="136"/>
      <c r="CC428" s="136"/>
      <c r="CD428" s="136"/>
      <c r="CE428" s="136"/>
      <c r="CF428" s="136"/>
      <c r="CG428" s="136"/>
      <c r="CH428" s="136"/>
      <c r="CI428" s="136"/>
      <c r="CJ428" s="136"/>
      <c r="CK428" s="136"/>
      <c r="CL428" s="136"/>
      <c r="CM428" s="136"/>
      <c r="CN428" s="136"/>
      <c r="CO428" s="136"/>
      <c r="CP428" s="136"/>
      <c r="CQ428" s="136"/>
      <c r="CR428" s="136"/>
      <c r="CS428" s="136"/>
      <c r="CT428" s="136"/>
      <c r="CU428" s="136"/>
      <c r="CV428" s="136"/>
      <c r="CW428" s="136"/>
      <c r="CX428" s="136"/>
      <c r="CY428" s="136"/>
      <c r="CZ428" s="136"/>
      <c r="DA428" s="136"/>
      <c r="DB428" s="136"/>
      <c r="DC428" s="136"/>
      <c r="DD428" s="136"/>
      <c r="DE428" s="136"/>
      <c r="DF428" s="136"/>
      <c r="DG428" s="136"/>
      <c r="DH428" s="136"/>
      <c r="DI428" s="136"/>
      <c r="DJ428" s="136"/>
      <c r="DK428" s="136"/>
      <c r="DL428" s="136"/>
      <c r="DM428" s="136"/>
      <c r="DN428" s="136"/>
      <c r="DO428" s="136"/>
      <c r="DP428" s="136"/>
      <c r="DQ428" s="136"/>
      <c r="DR428" s="136"/>
      <c r="DS428" s="136"/>
      <c r="DT428" s="136"/>
      <c r="DU428" s="136"/>
      <c r="DV428" s="136"/>
      <c r="DW428" s="136"/>
      <c r="DX428" s="136"/>
      <c r="DY428" s="136"/>
      <c r="DZ428" s="136"/>
      <c r="EA428" s="136"/>
      <c r="EB428" s="136"/>
      <c r="EC428" s="136"/>
      <c r="ED428" s="136"/>
      <c r="EE428" s="136"/>
      <c r="EF428" s="136"/>
      <c r="EG428" s="136"/>
      <c r="EH428" s="136"/>
      <c r="EI428" s="136"/>
      <c r="EJ428" s="136"/>
      <c r="EK428" s="136"/>
      <c r="EL428" s="136"/>
      <c r="EM428" s="136"/>
      <c r="EN428" s="136"/>
      <c r="EO428" s="136"/>
      <c r="EP428" s="136"/>
      <c r="EQ428" s="136"/>
      <c r="ER428" s="136"/>
      <c r="ES428" s="136"/>
      <c r="ET428" s="136"/>
      <c r="EU428" s="136"/>
      <c r="EV428" s="136"/>
      <c r="EW428" s="136"/>
      <c r="EX428" s="136"/>
      <c r="EY428" s="136"/>
      <c r="EZ428" s="136"/>
      <c r="FA428" s="136"/>
      <c r="FB428" s="136"/>
      <c r="FC428" s="136"/>
      <c r="FD428" s="136"/>
      <c r="FE428" s="136"/>
      <c r="FF428" s="136"/>
      <c r="FG428" s="136"/>
      <c r="FH428" s="137"/>
      <c r="FI428" s="138"/>
      <c r="FJ428" s="138"/>
      <c r="FK428" s="138"/>
      <c r="FL428" s="138"/>
      <c r="FM428" s="138"/>
      <c r="FN428" s="138"/>
      <c r="FO428" s="138"/>
      <c r="FP428" s="138"/>
    </row>
    <row r="429" spans="2:172" x14ac:dyDescent="0.2">
      <c r="B429" s="134"/>
      <c r="C429" s="134"/>
      <c r="D429" s="134"/>
      <c r="E429" s="134"/>
      <c r="F429" s="134"/>
      <c r="G429" s="134"/>
      <c r="H429" s="134"/>
      <c r="I429" s="134"/>
      <c r="J429" s="134"/>
      <c r="K429" s="134"/>
      <c r="L429" s="134"/>
      <c r="M429" s="135"/>
      <c r="N429" s="135"/>
      <c r="O429" s="134"/>
      <c r="P429" s="136"/>
      <c r="Q429" s="136"/>
      <c r="R429" s="136"/>
      <c r="S429" s="136"/>
      <c r="T429" s="136"/>
      <c r="U429" s="136"/>
      <c r="V429" s="136"/>
      <c r="W429" s="136"/>
      <c r="X429" s="136"/>
      <c r="Y429" s="136"/>
      <c r="Z429" s="136"/>
      <c r="AA429" s="136"/>
      <c r="AB429" s="136"/>
      <c r="AC429" s="136"/>
      <c r="AD429" s="136"/>
      <c r="AE429" s="136"/>
      <c r="AF429" s="136"/>
      <c r="AG429" s="136"/>
      <c r="AH429" s="136"/>
      <c r="AI429" s="136"/>
      <c r="AJ429" s="136"/>
      <c r="AK429" s="136"/>
      <c r="AL429" s="136"/>
      <c r="AM429" s="136"/>
      <c r="AN429" s="136"/>
      <c r="AO429" s="136"/>
      <c r="AP429" s="136"/>
      <c r="AQ429" s="136"/>
      <c r="AR429" s="136"/>
      <c r="AS429" s="136"/>
      <c r="AT429" s="136"/>
      <c r="AU429" s="136"/>
      <c r="AV429" s="136"/>
      <c r="AW429" s="136"/>
      <c r="AX429" s="136"/>
      <c r="AY429" s="136"/>
      <c r="AZ429" s="136"/>
      <c r="BA429" s="136"/>
      <c r="BB429" s="136"/>
      <c r="BC429" s="136"/>
      <c r="BD429" s="136"/>
      <c r="BE429" s="136"/>
      <c r="BF429" s="136"/>
      <c r="BG429" s="136"/>
      <c r="BH429" s="136"/>
      <c r="BI429" s="136"/>
      <c r="BJ429" s="136"/>
      <c r="BK429" s="136"/>
      <c r="BL429" s="136"/>
      <c r="BM429" s="136"/>
      <c r="BN429" s="136"/>
      <c r="BO429" s="136"/>
      <c r="BP429" s="136"/>
      <c r="BQ429" s="136"/>
      <c r="BR429" s="136"/>
      <c r="BS429" s="136"/>
      <c r="BT429" s="136"/>
      <c r="BU429" s="136"/>
      <c r="BV429" s="136"/>
      <c r="BW429" s="136"/>
      <c r="BX429" s="136"/>
      <c r="BY429" s="136"/>
      <c r="BZ429" s="136"/>
      <c r="CA429" s="136"/>
      <c r="CB429" s="136"/>
      <c r="CC429" s="136"/>
      <c r="CD429" s="136"/>
      <c r="CE429" s="136"/>
      <c r="CF429" s="136"/>
      <c r="CG429" s="136"/>
      <c r="CH429" s="136"/>
      <c r="CI429" s="136"/>
      <c r="CJ429" s="136"/>
      <c r="CK429" s="136"/>
      <c r="CL429" s="136"/>
      <c r="CM429" s="136"/>
      <c r="CN429" s="136"/>
      <c r="CO429" s="136"/>
      <c r="CP429" s="136"/>
      <c r="CQ429" s="136"/>
      <c r="CR429" s="136"/>
      <c r="CS429" s="136"/>
      <c r="CT429" s="136"/>
      <c r="CU429" s="136"/>
      <c r="CV429" s="136"/>
      <c r="CW429" s="136"/>
      <c r="CX429" s="136"/>
      <c r="CY429" s="136"/>
      <c r="CZ429" s="136"/>
      <c r="DA429" s="136"/>
      <c r="DB429" s="136"/>
      <c r="DC429" s="136"/>
      <c r="DD429" s="136"/>
      <c r="DE429" s="136"/>
      <c r="DF429" s="136"/>
      <c r="DG429" s="136"/>
      <c r="DH429" s="136"/>
      <c r="DI429" s="136"/>
      <c r="DJ429" s="136"/>
      <c r="DK429" s="136"/>
      <c r="DL429" s="136"/>
      <c r="DM429" s="136"/>
      <c r="DN429" s="136"/>
      <c r="DO429" s="136"/>
      <c r="DP429" s="136"/>
      <c r="DQ429" s="136"/>
      <c r="DR429" s="136"/>
      <c r="DS429" s="136"/>
      <c r="DT429" s="136"/>
      <c r="DU429" s="136"/>
      <c r="DV429" s="136"/>
      <c r="DW429" s="136"/>
      <c r="DX429" s="136"/>
      <c r="DY429" s="136"/>
      <c r="DZ429" s="136"/>
      <c r="EA429" s="136"/>
      <c r="EB429" s="136"/>
      <c r="EC429" s="136"/>
      <c r="ED429" s="136"/>
      <c r="EE429" s="136"/>
      <c r="EF429" s="136"/>
      <c r="EG429" s="136"/>
      <c r="EH429" s="136"/>
      <c r="EI429" s="136"/>
      <c r="EJ429" s="136"/>
      <c r="EK429" s="136"/>
      <c r="EL429" s="136"/>
      <c r="EM429" s="136"/>
      <c r="EN429" s="136"/>
      <c r="EO429" s="136"/>
      <c r="EP429" s="136"/>
      <c r="EQ429" s="136"/>
      <c r="ER429" s="136"/>
      <c r="ES429" s="136"/>
      <c r="ET429" s="136"/>
      <c r="EU429" s="136"/>
      <c r="EV429" s="136"/>
      <c r="EW429" s="136"/>
      <c r="EX429" s="136"/>
      <c r="EY429" s="136"/>
      <c r="EZ429" s="136"/>
      <c r="FA429" s="136"/>
      <c r="FB429" s="136"/>
      <c r="FC429" s="136"/>
      <c r="FD429" s="136"/>
      <c r="FE429" s="136"/>
      <c r="FF429" s="136"/>
      <c r="FG429" s="136"/>
      <c r="FH429" s="137"/>
      <c r="FI429" s="138"/>
      <c r="FJ429" s="138"/>
      <c r="FK429" s="138"/>
      <c r="FL429" s="138"/>
      <c r="FM429" s="138"/>
      <c r="FN429" s="138"/>
      <c r="FO429" s="138"/>
      <c r="FP429" s="138"/>
    </row>
    <row r="430" spans="2:172" x14ac:dyDescent="0.2">
      <c r="B430" s="134"/>
      <c r="C430" s="134"/>
      <c r="D430" s="134"/>
      <c r="E430" s="134"/>
      <c r="F430" s="134"/>
      <c r="G430" s="134"/>
      <c r="H430" s="134"/>
      <c r="I430" s="134"/>
      <c r="J430" s="134"/>
      <c r="K430" s="134"/>
      <c r="L430" s="134"/>
      <c r="M430" s="135"/>
      <c r="N430" s="135"/>
      <c r="O430" s="134"/>
      <c r="P430" s="136"/>
      <c r="Q430" s="136"/>
      <c r="R430" s="136"/>
      <c r="S430" s="136"/>
      <c r="T430" s="136"/>
      <c r="U430" s="136"/>
      <c r="V430" s="136"/>
      <c r="W430" s="136"/>
      <c r="X430" s="136"/>
      <c r="Y430" s="136"/>
      <c r="Z430" s="136"/>
      <c r="AA430" s="136"/>
      <c r="AB430" s="136"/>
      <c r="AC430" s="136"/>
      <c r="AD430" s="136"/>
      <c r="AE430" s="136"/>
      <c r="AF430" s="136"/>
      <c r="AG430" s="136"/>
      <c r="AH430" s="136"/>
      <c r="AI430" s="136"/>
      <c r="AJ430" s="136"/>
      <c r="AK430" s="136"/>
      <c r="AL430" s="136"/>
      <c r="AM430" s="136"/>
      <c r="AN430" s="136"/>
      <c r="AO430" s="136"/>
      <c r="AP430" s="136"/>
      <c r="AQ430" s="136"/>
      <c r="AR430" s="136"/>
      <c r="AS430" s="136"/>
      <c r="AT430" s="136"/>
      <c r="AU430" s="136"/>
      <c r="AV430" s="136"/>
      <c r="AW430" s="136"/>
      <c r="AX430" s="136"/>
      <c r="AY430" s="136"/>
      <c r="AZ430" s="136"/>
      <c r="BA430" s="136"/>
      <c r="BB430" s="136"/>
      <c r="BC430" s="136"/>
      <c r="BD430" s="136"/>
      <c r="BE430" s="136"/>
      <c r="BF430" s="136"/>
      <c r="BG430" s="136"/>
      <c r="BH430" s="136"/>
      <c r="BI430" s="136"/>
      <c r="BJ430" s="136"/>
      <c r="BK430" s="136"/>
      <c r="BL430" s="136"/>
      <c r="BM430" s="136"/>
      <c r="BN430" s="136"/>
      <c r="BO430" s="136"/>
      <c r="BP430" s="136"/>
      <c r="BQ430" s="136"/>
      <c r="BR430" s="136"/>
      <c r="BS430" s="136"/>
      <c r="BT430" s="136"/>
      <c r="BU430" s="136"/>
      <c r="BV430" s="136"/>
      <c r="BW430" s="136"/>
      <c r="BX430" s="136"/>
      <c r="BY430" s="136"/>
      <c r="BZ430" s="136"/>
      <c r="CA430" s="136"/>
      <c r="CB430" s="136"/>
      <c r="CC430" s="136"/>
      <c r="CD430" s="136"/>
      <c r="CE430" s="136"/>
      <c r="CF430" s="136"/>
      <c r="CG430" s="136"/>
      <c r="CH430" s="136"/>
      <c r="CI430" s="136"/>
      <c r="CJ430" s="136"/>
      <c r="CK430" s="136"/>
      <c r="CL430" s="136"/>
      <c r="CM430" s="136"/>
      <c r="CN430" s="136"/>
      <c r="CO430" s="136"/>
      <c r="CP430" s="136"/>
      <c r="CQ430" s="136"/>
      <c r="CR430" s="136"/>
      <c r="CS430" s="136"/>
      <c r="CT430" s="136"/>
      <c r="CU430" s="136"/>
      <c r="CV430" s="136"/>
      <c r="CW430" s="136"/>
      <c r="CX430" s="136"/>
      <c r="CY430" s="136"/>
      <c r="CZ430" s="136"/>
      <c r="DA430" s="136"/>
      <c r="DB430" s="136"/>
      <c r="DC430" s="136"/>
      <c r="DD430" s="136"/>
      <c r="DE430" s="136"/>
      <c r="DF430" s="136"/>
      <c r="DG430" s="136"/>
      <c r="DH430" s="136"/>
      <c r="DI430" s="136"/>
      <c r="DJ430" s="136"/>
      <c r="DK430" s="136"/>
      <c r="DL430" s="136"/>
      <c r="DM430" s="136"/>
      <c r="DN430" s="136"/>
      <c r="DO430" s="136"/>
      <c r="DP430" s="136"/>
      <c r="DQ430" s="136"/>
      <c r="DR430" s="136"/>
      <c r="DS430" s="136"/>
      <c r="DT430" s="136"/>
      <c r="DU430" s="136"/>
      <c r="DV430" s="136"/>
      <c r="DW430" s="136"/>
      <c r="DX430" s="136"/>
      <c r="DY430" s="136"/>
      <c r="DZ430" s="136"/>
      <c r="EA430" s="136"/>
      <c r="EB430" s="136"/>
      <c r="EC430" s="136"/>
      <c r="ED430" s="136"/>
      <c r="EE430" s="136"/>
      <c r="EF430" s="136"/>
      <c r="EG430" s="136"/>
      <c r="EH430" s="136"/>
      <c r="EI430" s="136"/>
      <c r="EJ430" s="136"/>
      <c r="EK430" s="136"/>
      <c r="EL430" s="136"/>
      <c r="EM430" s="136"/>
      <c r="EN430" s="136"/>
      <c r="EO430" s="136"/>
      <c r="EP430" s="136"/>
      <c r="EQ430" s="136"/>
      <c r="ER430" s="136"/>
      <c r="ES430" s="136"/>
      <c r="ET430" s="136"/>
      <c r="EU430" s="136"/>
      <c r="EV430" s="136"/>
      <c r="EW430" s="136"/>
      <c r="EX430" s="136"/>
      <c r="EY430" s="136"/>
      <c r="EZ430" s="136"/>
      <c r="FA430" s="136"/>
      <c r="FB430" s="136"/>
      <c r="FC430" s="136"/>
      <c r="FD430" s="136"/>
      <c r="FE430" s="136"/>
      <c r="FF430" s="136"/>
      <c r="FG430" s="136"/>
      <c r="FH430" s="137"/>
      <c r="FI430" s="138"/>
      <c r="FJ430" s="138"/>
      <c r="FK430" s="138"/>
      <c r="FL430" s="138"/>
      <c r="FM430" s="138"/>
      <c r="FN430" s="138"/>
      <c r="FO430" s="138"/>
      <c r="FP430" s="138"/>
    </row>
    <row r="431" spans="2:172" x14ac:dyDescent="0.2">
      <c r="B431" s="134"/>
      <c r="C431" s="134"/>
      <c r="D431" s="134"/>
      <c r="E431" s="134"/>
      <c r="F431" s="134"/>
      <c r="G431" s="134"/>
      <c r="H431" s="134"/>
      <c r="I431" s="134"/>
      <c r="J431" s="134"/>
      <c r="K431" s="134"/>
      <c r="L431" s="134"/>
      <c r="M431" s="135"/>
      <c r="N431" s="135"/>
      <c r="O431" s="134"/>
      <c r="P431" s="136"/>
      <c r="Q431" s="136"/>
      <c r="R431" s="136"/>
      <c r="S431" s="136"/>
      <c r="T431" s="136"/>
      <c r="U431" s="136"/>
      <c r="V431" s="136"/>
      <c r="W431" s="136"/>
      <c r="X431" s="136"/>
      <c r="Y431" s="136"/>
      <c r="Z431" s="136"/>
      <c r="AA431" s="136"/>
      <c r="AB431" s="136"/>
      <c r="AC431" s="136"/>
      <c r="AD431" s="136"/>
      <c r="AE431" s="136"/>
      <c r="AF431" s="136"/>
      <c r="AG431" s="136"/>
      <c r="AH431" s="136"/>
      <c r="AI431" s="136"/>
      <c r="AJ431" s="136"/>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c r="BZ431" s="136"/>
      <c r="CA431" s="136"/>
      <c r="CB431" s="136"/>
      <c r="CC431" s="136"/>
      <c r="CD431" s="136"/>
      <c r="CE431" s="136"/>
      <c r="CF431" s="136"/>
      <c r="CG431" s="136"/>
      <c r="CH431" s="136"/>
      <c r="CI431" s="136"/>
      <c r="CJ431" s="136"/>
      <c r="CK431" s="136"/>
      <c r="CL431" s="136"/>
      <c r="CM431" s="136"/>
      <c r="CN431" s="136"/>
      <c r="CO431" s="136"/>
      <c r="CP431" s="136"/>
      <c r="CQ431" s="136"/>
      <c r="CR431" s="136"/>
      <c r="CS431" s="136"/>
      <c r="CT431" s="136"/>
      <c r="CU431" s="136"/>
      <c r="CV431" s="136"/>
      <c r="CW431" s="136"/>
      <c r="CX431" s="136"/>
      <c r="CY431" s="136"/>
      <c r="CZ431" s="136"/>
      <c r="DA431" s="136"/>
      <c r="DB431" s="136"/>
      <c r="DC431" s="136"/>
      <c r="DD431" s="136"/>
      <c r="DE431" s="136"/>
      <c r="DF431" s="136"/>
      <c r="DG431" s="136"/>
      <c r="DH431" s="136"/>
      <c r="DI431" s="136"/>
      <c r="DJ431" s="136"/>
      <c r="DK431" s="136"/>
      <c r="DL431" s="136"/>
      <c r="DM431" s="136"/>
      <c r="DN431" s="136"/>
      <c r="DO431" s="136"/>
      <c r="DP431" s="136"/>
      <c r="DQ431" s="136"/>
      <c r="DR431" s="136"/>
      <c r="DS431" s="136"/>
      <c r="DT431" s="136"/>
      <c r="DU431" s="136"/>
      <c r="DV431" s="136"/>
      <c r="DW431" s="136"/>
      <c r="DX431" s="136"/>
      <c r="DY431" s="136"/>
      <c r="DZ431" s="136"/>
      <c r="EA431" s="136"/>
      <c r="EB431" s="136"/>
      <c r="EC431" s="136"/>
      <c r="ED431" s="136"/>
      <c r="EE431" s="136"/>
      <c r="EF431" s="136"/>
      <c r="EG431" s="136"/>
      <c r="EH431" s="136"/>
      <c r="EI431" s="136"/>
      <c r="EJ431" s="136"/>
      <c r="EK431" s="136"/>
      <c r="EL431" s="136"/>
      <c r="EM431" s="136"/>
      <c r="EN431" s="136"/>
      <c r="EO431" s="136"/>
      <c r="EP431" s="136"/>
      <c r="EQ431" s="136"/>
      <c r="ER431" s="136"/>
      <c r="ES431" s="136"/>
      <c r="ET431" s="136"/>
      <c r="EU431" s="136"/>
      <c r="EV431" s="136"/>
      <c r="EW431" s="136"/>
      <c r="EX431" s="136"/>
      <c r="EY431" s="136"/>
      <c r="EZ431" s="136"/>
      <c r="FA431" s="136"/>
      <c r="FB431" s="136"/>
      <c r="FC431" s="136"/>
      <c r="FD431" s="136"/>
      <c r="FE431" s="136"/>
      <c r="FF431" s="136"/>
      <c r="FG431" s="136"/>
      <c r="FH431" s="137"/>
      <c r="FI431" s="138"/>
      <c r="FJ431" s="138"/>
      <c r="FK431" s="138"/>
      <c r="FL431" s="138"/>
      <c r="FM431" s="138"/>
      <c r="FN431" s="138"/>
      <c r="FO431" s="138"/>
      <c r="FP431" s="138"/>
    </row>
    <row r="432" spans="2:172" x14ac:dyDescent="0.2">
      <c r="B432" s="134"/>
      <c r="C432" s="134"/>
      <c r="D432" s="134"/>
      <c r="E432" s="134"/>
      <c r="F432" s="134"/>
      <c r="G432" s="134"/>
      <c r="H432" s="134"/>
      <c r="I432" s="134"/>
      <c r="J432" s="134"/>
      <c r="K432" s="134"/>
      <c r="L432" s="134"/>
      <c r="M432" s="135"/>
      <c r="N432" s="135"/>
      <c r="O432" s="134"/>
      <c r="P432" s="136"/>
      <c r="Q432" s="136"/>
      <c r="R432" s="136"/>
      <c r="S432" s="136"/>
      <c r="T432" s="136"/>
      <c r="U432" s="136"/>
      <c r="V432" s="136"/>
      <c r="W432" s="136"/>
      <c r="X432" s="136"/>
      <c r="Y432" s="136"/>
      <c r="Z432" s="136"/>
      <c r="AA432" s="136"/>
      <c r="AB432" s="136"/>
      <c r="AC432" s="136"/>
      <c r="AD432" s="136"/>
      <c r="AE432" s="136"/>
      <c r="AF432" s="136"/>
      <c r="AG432" s="136"/>
      <c r="AH432" s="136"/>
      <c r="AI432" s="136"/>
      <c r="AJ432" s="136"/>
      <c r="AK432" s="136"/>
      <c r="AL432" s="136"/>
      <c r="AM432" s="136"/>
      <c r="AN432" s="136"/>
      <c r="AO432" s="136"/>
      <c r="AP432" s="136"/>
      <c r="AQ432" s="136"/>
      <c r="AR432" s="136"/>
      <c r="AS432" s="136"/>
      <c r="AT432" s="136"/>
      <c r="AU432" s="136"/>
      <c r="AV432" s="136"/>
      <c r="AW432" s="136"/>
      <c r="AX432" s="136"/>
      <c r="AY432" s="136"/>
      <c r="AZ432" s="136"/>
      <c r="BA432" s="136"/>
      <c r="BB432" s="136"/>
      <c r="BC432" s="136"/>
      <c r="BD432" s="136"/>
      <c r="BE432" s="136"/>
      <c r="BF432" s="136"/>
      <c r="BG432" s="136"/>
      <c r="BH432" s="136"/>
      <c r="BI432" s="136"/>
      <c r="BJ432" s="136"/>
      <c r="BK432" s="136"/>
      <c r="BL432" s="136"/>
      <c r="BM432" s="136"/>
      <c r="BN432" s="136"/>
      <c r="BO432" s="136"/>
      <c r="BP432" s="136"/>
      <c r="BQ432" s="136"/>
      <c r="BR432" s="136"/>
      <c r="BS432" s="136"/>
      <c r="BT432" s="136"/>
      <c r="BU432" s="136"/>
      <c r="BV432" s="136"/>
      <c r="BW432" s="136"/>
      <c r="BX432" s="136"/>
      <c r="BY432" s="136"/>
      <c r="BZ432" s="136"/>
      <c r="CA432" s="136"/>
      <c r="CB432" s="136"/>
      <c r="CC432" s="136"/>
      <c r="CD432" s="136"/>
      <c r="CE432" s="136"/>
      <c r="CF432" s="136"/>
      <c r="CG432" s="136"/>
      <c r="CH432" s="136"/>
      <c r="CI432" s="136"/>
      <c r="CJ432" s="136"/>
      <c r="CK432" s="136"/>
      <c r="CL432" s="136"/>
      <c r="CM432" s="136"/>
      <c r="CN432" s="136"/>
      <c r="CO432" s="136"/>
      <c r="CP432" s="136"/>
      <c r="CQ432" s="136"/>
      <c r="CR432" s="136"/>
      <c r="CS432" s="136"/>
      <c r="CT432" s="136"/>
      <c r="CU432" s="136"/>
      <c r="CV432" s="136"/>
      <c r="CW432" s="136"/>
      <c r="CX432" s="136"/>
      <c r="CY432" s="136"/>
      <c r="CZ432" s="136"/>
      <c r="DA432" s="136"/>
      <c r="DB432" s="136"/>
      <c r="DC432" s="136"/>
      <c r="DD432" s="136"/>
      <c r="DE432" s="136"/>
      <c r="DF432" s="136"/>
      <c r="DG432" s="136"/>
      <c r="DH432" s="136"/>
      <c r="DI432" s="136"/>
      <c r="DJ432" s="136"/>
      <c r="DK432" s="136"/>
      <c r="DL432" s="136"/>
      <c r="DM432" s="136"/>
      <c r="DN432" s="136"/>
      <c r="DO432" s="136"/>
      <c r="DP432" s="136"/>
      <c r="DQ432" s="136"/>
      <c r="DR432" s="136"/>
      <c r="DS432" s="136"/>
      <c r="DT432" s="136"/>
      <c r="DU432" s="136"/>
      <c r="DV432" s="136"/>
      <c r="DW432" s="136"/>
      <c r="DX432" s="136"/>
      <c r="DY432" s="136"/>
      <c r="DZ432" s="136"/>
      <c r="EA432" s="136"/>
      <c r="EB432" s="136"/>
      <c r="EC432" s="136"/>
      <c r="ED432" s="136"/>
      <c r="EE432" s="136"/>
      <c r="EF432" s="136"/>
      <c r="EG432" s="136"/>
      <c r="EH432" s="136"/>
      <c r="EI432" s="136"/>
      <c r="EJ432" s="136"/>
      <c r="EK432" s="136"/>
      <c r="EL432" s="136"/>
      <c r="EM432" s="136"/>
      <c r="EN432" s="136"/>
      <c r="EO432" s="136"/>
      <c r="EP432" s="136"/>
      <c r="EQ432" s="136"/>
      <c r="ER432" s="136"/>
      <c r="ES432" s="136"/>
      <c r="ET432" s="136"/>
      <c r="EU432" s="136"/>
      <c r="EV432" s="136"/>
      <c r="EW432" s="136"/>
      <c r="EX432" s="136"/>
      <c r="EY432" s="136"/>
      <c r="EZ432" s="136"/>
      <c r="FA432" s="136"/>
      <c r="FB432" s="136"/>
      <c r="FC432" s="136"/>
      <c r="FD432" s="136"/>
      <c r="FE432" s="136"/>
      <c r="FF432" s="136"/>
      <c r="FG432" s="136"/>
      <c r="FH432" s="137"/>
      <c r="FI432" s="138"/>
      <c r="FJ432" s="138"/>
      <c r="FK432" s="138"/>
      <c r="FL432" s="138"/>
      <c r="FM432" s="138"/>
      <c r="FN432" s="138"/>
      <c r="FO432" s="138"/>
      <c r="FP432" s="138"/>
    </row>
    <row r="433" spans="2:172" x14ac:dyDescent="0.2">
      <c r="B433" s="134"/>
      <c r="C433" s="134"/>
      <c r="D433" s="134"/>
      <c r="E433" s="134"/>
      <c r="F433" s="134"/>
      <c r="G433" s="134"/>
      <c r="H433" s="134"/>
      <c r="I433" s="134"/>
      <c r="J433" s="134"/>
      <c r="K433" s="134"/>
      <c r="L433" s="134"/>
      <c r="M433" s="135"/>
      <c r="N433" s="135"/>
      <c r="O433" s="134"/>
      <c r="P433" s="136"/>
      <c r="Q433" s="136"/>
      <c r="R433" s="136"/>
      <c r="S433" s="136"/>
      <c r="T433" s="136"/>
      <c r="U433" s="136"/>
      <c r="V433" s="136"/>
      <c r="W433" s="136"/>
      <c r="X433" s="136"/>
      <c r="Y433" s="136"/>
      <c r="Z433" s="136"/>
      <c r="AA433" s="136"/>
      <c r="AB433" s="136"/>
      <c r="AC433" s="136"/>
      <c r="AD433" s="136"/>
      <c r="AE433" s="136"/>
      <c r="AF433" s="136"/>
      <c r="AG433" s="136"/>
      <c r="AH433" s="136"/>
      <c r="AI433" s="136"/>
      <c r="AJ433" s="136"/>
      <c r="AK433" s="136"/>
      <c r="AL433" s="136"/>
      <c r="AM433" s="136"/>
      <c r="AN433" s="136"/>
      <c r="AO433" s="136"/>
      <c r="AP433" s="136"/>
      <c r="AQ433" s="136"/>
      <c r="AR433" s="136"/>
      <c r="AS433" s="136"/>
      <c r="AT433" s="136"/>
      <c r="AU433" s="136"/>
      <c r="AV433" s="136"/>
      <c r="AW433" s="136"/>
      <c r="AX433" s="136"/>
      <c r="AY433" s="136"/>
      <c r="AZ433" s="136"/>
      <c r="BA433" s="136"/>
      <c r="BB433" s="136"/>
      <c r="BC433" s="136"/>
      <c r="BD433" s="136"/>
      <c r="BE433" s="136"/>
      <c r="BF433" s="136"/>
      <c r="BG433" s="136"/>
      <c r="BH433" s="136"/>
      <c r="BI433" s="136"/>
      <c r="BJ433" s="136"/>
      <c r="BK433" s="136"/>
      <c r="BL433" s="136"/>
      <c r="BM433" s="136"/>
      <c r="BN433" s="136"/>
      <c r="BO433" s="136"/>
      <c r="BP433" s="136"/>
      <c r="BQ433" s="136"/>
      <c r="BR433" s="136"/>
      <c r="BS433" s="136"/>
      <c r="BT433" s="136"/>
      <c r="BU433" s="136"/>
      <c r="BV433" s="136"/>
      <c r="BW433" s="136"/>
      <c r="BX433" s="136"/>
      <c r="BY433" s="136"/>
      <c r="BZ433" s="136"/>
      <c r="CA433" s="136"/>
      <c r="CB433" s="136"/>
      <c r="CC433" s="136"/>
      <c r="CD433" s="136"/>
      <c r="CE433" s="136"/>
      <c r="CF433" s="136"/>
      <c r="CG433" s="136"/>
      <c r="CH433" s="136"/>
      <c r="CI433" s="136"/>
      <c r="CJ433" s="136"/>
      <c r="CK433" s="136"/>
      <c r="CL433" s="136"/>
      <c r="CM433" s="136"/>
      <c r="CN433" s="136"/>
      <c r="CO433" s="136"/>
      <c r="CP433" s="136"/>
      <c r="CQ433" s="136"/>
      <c r="CR433" s="136"/>
      <c r="CS433" s="136"/>
      <c r="CT433" s="136"/>
      <c r="CU433" s="136"/>
      <c r="CV433" s="136"/>
      <c r="CW433" s="136"/>
      <c r="CX433" s="136"/>
      <c r="CY433" s="136"/>
      <c r="CZ433" s="136"/>
      <c r="DA433" s="136"/>
      <c r="DB433" s="136"/>
      <c r="DC433" s="136"/>
      <c r="DD433" s="136"/>
      <c r="DE433" s="136"/>
      <c r="DF433" s="136"/>
      <c r="DG433" s="136"/>
      <c r="DH433" s="136"/>
      <c r="DI433" s="136"/>
      <c r="DJ433" s="136"/>
      <c r="DK433" s="136"/>
      <c r="DL433" s="136"/>
      <c r="DM433" s="136"/>
      <c r="DN433" s="136"/>
      <c r="DO433" s="136"/>
      <c r="DP433" s="136"/>
      <c r="DQ433" s="136"/>
      <c r="DR433" s="136"/>
      <c r="DS433" s="136"/>
      <c r="DT433" s="136"/>
      <c r="DU433" s="136"/>
      <c r="DV433" s="136"/>
      <c r="DW433" s="136"/>
      <c r="DX433" s="136"/>
      <c r="DY433" s="136"/>
      <c r="DZ433" s="136"/>
      <c r="EA433" s="136"/>
      <c r="EB433" s="136"/>
      <c r="EC433" s="136"/>
      <c r="ED433" s="136"/>
      <c r="EE433" s="136"/>
      <c r="EF433" s="136"/>
      <c r="EG433" s="136"/>
      <c r="EH433" s="136"/>
      <c r="EI433" s="136"/>
      <c r="EJ433" s="136"/>
      <c r="EK433" s="136"/>
      <c r="EL433" s="136"/>
      <c r="EM433" s="136"/>
      <c r="EN433" s="136"/>
      <c r="EO433" s="136"/>
      <c r="EP433" s="136"/>
      <c r="EQ433" s="136"/>
      <c r="ER433" s="136"/>
      <c r="ES433" s="136"/>
      <c r="ET433" s="136"/>
      <c r="EU433" s="136"/>
      <c r="EV433" s="136"/>
      <c r="EW433" s="136"/>
      <c r="EX433" s="136"/>
      <c r="EY433" s="136"/>
      <c r="EZ433" s="136"/>
      <c r="FA433" s="136"/>
      <c r="FB433" s="136"/>
      <c r="FC433" s="136"/>
      <c r="FD433" s="136"/>
      <c r="FE433" s="136"/>
      <c r="FF433" s="136"/>
      <c r="FG433" s="136"/>
      <c r="FH433" s="137"/>
      <c r="FI433" s="138"/>
      <c r="FJ433" s="138"/>
      <c r="FK433" s="138"/>
      <c r="FL433" s="138"/>
      <c r="FM433" s="138"/>
      <c r="FN433" s="138"/>
      <c r="FO433" s="138"/>
      <c r="FP433" s="138"/>
    </row>
    <row r="434" spans="2:172" x14ac:dyDescent="0.2">
      <c r="B434" s="134"/>
      <c r="C434" s="134"/>
      <c r="D434" s="134"/>
      <c r="E434" s="134"/>
      <c r="F434" s="134"/>
      <c r="G434" s="134"/>
      <c r="H434" s="134"/>
      <c r="I434" s="134"/>
      <c r="J434" s="134"/>
      <c r="K434" s="134"/>
      <c r="L434" s="134"/>
      <c r="M434" s="135"/>
      <c r="N434" s="135"/>
      <c r="O434" s="134"/>
      <c r="P434" s="136"/>
      <c r="Q434" s="136"/>
      <c r="R434" s="136"/>
      <c r="S434" s="136"/>
      <c r="T434" s="136"/>
      <c r="U434" s="136"/>
      <c r="V434" s="136"/>
      <c r="W434" s="136"/>
      <c r="X434" s="136"/>
      <c r="Y434" s="136"/>
      <c r="Z434" s="136"/>
      <c r="AA434" s="136"/>
      <c r="AB434" s="136"/>
      <c r="AC434" s="136"/>
      <c r="AD434" s="136"/>
      <c r="AE434" s="136"/>
      <c r="AF434" s="136"/>
      <c r="AG434" s="136"/>
      <c r="AH434" s="136"/>
      <c r="AI434" s="136"/>
      <c r="AJ434" s="136"/>
      <c r="AK434" s="136"/>
      <c r="AL434" s="136"/>
      <c r="AM434" s="136"/>
      <c r="AN434" s="136"/>
      <c r="AO434" s="136"/>
      <c r="AP434" s="136"/>
      <c r="AQ434" s="136"/>
      <c r="AR434" s="136"/>
      <c r="AS434" s="136"/>
      <c r="AT434" s="136"/>
      <c r="AU434" s="136"/>
      <c r="AV434" s="136"/>
      <c r="AW434" s="136"/>
      <c r="AX434" s="136"/>
      <c r="AY434" s="136"/>
      <c r="AZ434" s="136"/>
      <c r="BA434" s="136"/>
      <c r="BB434" s="136"/>
      <c r="BC434" s="136"/>
      <c r="BD434" s="136"/>
      <c r="BE434" s="136"/>
      <c r="BF434" s="136"/>
      <c r="BG434" s="136"/>
      <c r="BH434" s="136"/>
      <c r="BI434" s="136"/>
      <c r="BJ434" s="136"/>
      <c r="BK434" s="136"/>
      <c r="BL434" s="136"/>
      <c r="BM434" s="136"/>
      <c r="BN434" s="136"/>
      <c r="BO434" s="136"/>
      <c r="BP434" s="136"/>
      <c r="BQ434" s="136"/>
      <c r="BR434" s="136"/>
      <c r="BS434" s="136"/>
      <c r="BT434" s="136"/>
      <c r="BU434" s="136"/>
      <c r="BV434" s="136"/>
      <c r="BW434" s="136"/>
      <c r="BX434" s="136"/>
      <c r="BY434" s="136"/>
      <c r="BZ434" s="136"/>
      <c r="CA434" s="136"/>
      <c r="CB434" s="136"/>
      <c r="CC434" s="136"/>
      <c r="CD434" s="136"/>
      <c r="CE434" s="136"/>
      <c r="CF434" s="136"/>
      <c r="CG434" s="136"/>
      <c r="CH434" s="136"/>
      <c r="CI434" s="136"/>
      <c r="CJ434" s="136"/>
      <c r="CK434" s="136"/>
      <c r="CL434" s="136"/>
      <c r="CM434" s="136"/>
      <c r="CN434" s="136"/>
      <c r="CO434" s="136"/>
      <c r="CP434" s="136"/>
      <c r="CQ434" s="136"/>
      <c r="CR434" s="136"/>
      <c r="CS434" s="136"/>
      <c r="CT434" s="136"/>
      <c r="CU434" s="136"/>
      <c r="CV434" s="136"/>
      <c r="CW434" s="136"/>
      <c r="CX434" s="136"/>
      <c r="CY434" s="136"/>
      <c r="CZ434" s="136"/>
      <c r="DA434" s="136"/>
      <c r="DB434" s="136"/>
      <c r="DC434" s="136"/>
      <c r="DD434" s="136"/>
      <c r="DE434" s="136"/>
      <c r="DF434" s="136"/>
      <c r="DG434" s="136"/>
      <c r="DH434" s="136"/>
      <c r="DI434" s="136"/>
      <c r="DJ434" s="136"/>
      <c r="DK434" s="136"/>
      <c r="DL434" s="136"/>
      <c r="DM434" s="136"/>
      <c r="DN434" s="136"/>
      <c r="DO434" s="136"/>
      <c r="DP434" s="136"/>
      <c r="DQ434" s="136"/>
      <c r="DR434" s="136"/>
      <c r="DS434" s="136"/>
      <c r="DT434" s="136"/>
      <c r="DU434" s="136"/>
      <c r="DV434" s="136"/>
      <c r="DW434" s="136"/>
      <c r="DX434" s="136"/>
      <c r="DY434" s="136"/>
      <c r="DZ434" s="136"/>
      <c r="EA434" s="136"/>
      <c r="EB434" s="136"/>
      <c r="EC434" s="136"/>
      <c r="ED434" s="136"/>
      <c r="EE434" s="136"/>
      <c r="EF434" s="136"/>
      <c r="EG434" s="136"/>
      <c r="EH434" s="136"/>
      <c r="EI434" s="136"/>
      <c r="EJ434" s="136"/>
      <c r="EK434" s="136"/>
      <c r="EL434" s="136"/>
      <c r="EM434" s="136"/>
      <c r="EN434" s="136"/>
      <c r="EO434" s="136"/>
      <c r="EP434" s="136"/>
      <c r="EQ434" s="136"/>
      <c r="ER434" s="136"/>
      <c r="ES434" s="136"/>
      <c r="ET434" s="136"/>
      <c r="EU434" s="136"/>
      <c r="EV434" s="136"/>
      <c r="EW434" s="136"/>
      <c r="EX434" s="136"/>
      <c r="EY434" s="136"/>
      <c r="EZ434" s="136"/>
      <c r="FA434" s="136"/>
      <c r="FB434" s="136"/>
      <c r="FC434" s="136"/>
      <c r="FD434" s="136"/>
      <c r="FE434" s="136"/>
      <c r="FF434" s="136"/>
      <c r="FG434" s="136"/>
      <c r="FH434" s="137"/>
      <c r="FI434" s="138"/>
      <c r="FJ434" s="138"/>
      <c r="FK434" s="138"/>
      <c r="FL434" s="138"/>
      <c r="FM434" s="138"/>
      <c r="FN434" s="138"/>
      <c r="FO434" s="138"/>
      <c r="FP434" s="138"/>
    </row>
    <row r="435" spans="2:172" x14ac:dyDescent="0.2">
      <c r="B435" s="134"/>
      <c r="C435" s="134"/>
      <c r="D435" s="134"/>
      <c r="E435" s="134"/>
      <c r="F435" s="134"/>
      <c r="G435" s="134"/>
      <c r="H435" s="134"/>
      <c r="I435" s="134"/>
      <c r="J435" s="134"/>
      <c r="K435" s="134"/>
      <c r="L435" s="134"/>
      <c r="M435" s="135"/>
      <c r="N435" s="135"/>
      <c r="O435" s="134"/>
      <c r="P435" s="136"/>
      <c r="Q435" s="136"/>
      <c r="R435" s="136"/>
      <c r="S435" s="136"/>
      <c r="T435" s="136"/>
      <c r="U435" s="136"/>
      <c r="V435" s="136"/>
      <c r="W435" s="136"/>
      <c r="X435" s="136"/>
      <c r="Y435" s="136"/>
      <c r="Z435" s="136"/>
      <c r="AA435" s="136"/>
      <c r="AB435" s="136"/>
      <c r="AC435" s="136"/>
      <c r="AD435" s="136"/>
      <c r="AE435" s="136"/>
      <c r="AF435" s="136"/>
      <c r="AG435" s="136"/>
      <c r="AH435" s="136"/>
      <c r="AI435" s="136"/>
      <c r="AJ435" s="136"/>
      <c r="AK435" s="136"/>
      <c r="AL435" s="136"/>
      <c r="AM435" s="136"/>
      <c r="AN435" s="136"/>
      <c r="AO435" s="136"/>
      <c r="AP435" s="136"/>
      <c r="AQ435" s="136"/>
      <c r="AR435" s="136"/>
      <c r="AS435" s="136"/>
      <c r="AT435" s="136"/>
      <c r="AU435" s="136"/>
      <c r="AV435" s="136"/>
      <c r="AW435" s="136"/>
      <c r="AX435" s="136"/>
      <c r="AY435" s="136"/>
      <c r="AZ435" s="136"/>
      <c r="BA435" s="136"/>
      <c r="BB435" s="136"/>
      <c r="BC435" s="136"/>
      <c r="BD435" s="136"/>
      <c r="BE435" s="136"/>
      <c r="BF435" s="136"/>
      <c r="BG435" s="136"/>
      <c r="BH435" s="136"/>
      <c r="BI435" s="136"/>
      <c r="BJ435" s="136"/>
      <c r="BK435" s="136"/>
      <c r="BL435" s="136"/>
      <c r="BM435" s="136"/>
      <c r="BN435" s="136"/>
      <c r="BO435" s="136"/>
      <c r="BP435" s="136"/>
      <c r="BQ435" s="136"/>
      <c r="BR435" s="136"/>
      <c r="BS435" s="136"/>
      <c r="BT435" s="136"/>
      <c r="BU435" s="136"/>
      <c r="BV435" s="136"/>
      <c r="BW435" s="136"/>
      <c r="BX435" s="136"/>
      <c r="BY435" s="136"/>
      <c r="BZ435" s="136"/>
      <c r="CA435" s="136"/>
      <c r="CB435" s="136"/>
      <c r="CC435" s="136"/>
      <c r="CD435" s="136"/>
      <c r="CE435" s="136"/>
      <c r="CF435" s="136"/>
      <c r="CG435" s="136"/>
      <c r="CH435" s="136"/>
      <c r="CI435" s="136"/>
      <c r="CJ435" s="136"/>
      <c r="CK435" s="136"/>
      <c r="CL435" s="136"/>
      <c r="CM435" s="136"/>
      <c r="CN435" s="136"/>
      <c r="CO435" s="136"/>
      <c r="CP435" s="136"/>
      <c r="CQ435" s="136"/>
      <c r="CR435" s="136"/>
      <c r="CS435" s="136"/>
      <c r="CT435" s="136"/>
      <c r="CU435" s="136"/>
      <c r="CV435" s="136"/>
      <c r="CW435" s="136"/>
      <c r="CX435" s="136"/>
      <c r="CY435" s="136"/>
      <c r="CZ435" s="136"/>
      <c r="DA435" s="136"/>
      <c r="DB435" s="136"/>
      <c r="DC435" s="136"/>
      <c r="DD435" s="136"/>
      <c r="DE435" s="136"/>
      <c r="DF435" s="136"/>
      <c r="DG435" s="136"/>
      <c r="DH435" s="136"/>
      <c r="DI435" s="136"/>
      <c r="DJ435" s="136"/>
      <c r="DK435" s="136"/>
      <c r="DL435" s="136"/>
      <c r="DM435" s="136"/>
      <c r="DN435" s="136"/>
      <c r="DO435" s="136"/>
      <c r="DP435" s="136"/>
      <c r="DQ435" s="136"/>
      <c r="DR435" s="136"/>
      <c r="DS435" s="136"/>
      <c r="DT435" s="136"/>
      <c r="DU435" s="136"/>
      <c r="DV435" s="136"/>
      <c r="DW435" s="136"/>
      <c r="DX435" s="136"/>
      <c r="DY435" s="136"/>
      <c r="DZ435" s="136"/>
      <c r="EA435" s="136"/>
      <c r="EB435" s="136"/>
      <c r="EC435" s="136"/>
      <c r="ED435" s="136"/>
      <c r="EE435" s="136"/>
      <c r="EF435" s="136"/>
      <c r="EG435" s="136"/>
      <c r="EH435" s="136"/>
      <c r="EI435" s="136"/>
      <c r="EJ435" s="136"/>
      <c r="EK435" s="136"/>
      <c r="EL435" s="136"/>
      <c r="EM435" s="136"/>
      <c r="EN435" s="136"/>
      <c r="EO435" s="136"/>
      <c r="EP435" s="136"/>
      <c r="EQ435" s="136"/>
      <c r="ER435" s="136"/>
      <c r="ES435" s="136"/>
      <c r="ET435" s="136"/>
      <c r="EU435" s="136"/>
      <c r="EV435" s="136"/>
      <c r="EW435" s="136"/>
      <c r="EX435" s="136"/>
      <c r="EY435" s="136"/>
      <c r="EZ435" s="136"/>
      <c r="FA435" s="136"/>
      <c r="FB435" s="136"/>
      <c r="FC435" s="136"/>
      <c r="FD435" s="136"/>
      <c r="FE435" s="136"/>
      <c r="FF435" s="136"/>
      <c r="FG435" s="136"/>
      <c r="FH435" s="137"/>
      <c r="FI435" s="138"/>
      <c r="FJ435" s="138"/>
      <c r="FK435" s="138"/>
      <c r="FL435" s="138"/>
      <c r="FM435" s="138"/>
      <c r="FN435" s="138"/>
      <c r="FO435" s="138"/>
      <c r="FP435" s="138"/>
    </row>
    <row r="436" spans="2:172" x14ac:dyDescent="0.2">
      <c r="B436" s="134"/>
      <c r="C436" s="134"/>
      <c r="D436" s="134"/>
      <c r="E436" s="134"/>
      <c r="F436" s="134"/>
      <c r="G436" s="134"/>
      <c r="H436" s="134"/>
      <c r="I436" s="134"/>
      <c r="J436" s="134"/>
      <c r="K436" s="134"/>
      <c r="L436" s="134"/>
      <c r="M436" s="135"/>
      <c r="N436" s="135"/>
      <c r="O436" s="134"/>
      <c r="P436" s="136"/>
      <c r="Q436" s="136"/>
      <c r="R436" s="136"/>
      <c r="S436" s="136"/>
      <c r="T436" s="136"/>
      <c r="U436" s="136"/>
      <c r="V436" s="136"/>
      <c r="W436" s="136"/>
      <c r="X436" s="136"/>
      <c r="Y436" s="136"/>
      <c r="Z436" s="136"/>
      <c r="AA436" s="136"/>
      <c r="AB436" s="136"/>
      <c r="AC436" s="136"/>
      <c r="AD436" s="136"/>
      <c r="AE436" s="136"/>
      <c r="AF436" s="136"/>
      <c r="AG436" s="136"/>
      <c r="AH436" s="136"/>
      <c r="AI436" s="136"/>
      <c r="AJ436" s="136"/>
      <c r="AK436" s="136"/>
      <c r="AL436" s="136"/>
      <c r="AM436" s="136"/>
      <c r="AN436" s="136"/>
      <c r="AO436" s="136"/>
      <c r="AP436" s="136"/>
      <c r="AQ436" s="136"/>
      <c r="AR436" s="136"/>
      <c r="AS436" s="136"/>
      <c r="AT436" s="136"/>
      <c r="AU436" s="136"/>
      <c r="AV436" s="136"/>
      <c r="AW436" s="136"/>
      <c r="AX436" s="136"/>
      <c r="AY436" s="136"/>
      <c r="AZ436" s="136"/>
      <c r="BA436" s="136"/>
      <c r="BB436" s="136"/>
      <c r="BC436" s="136"/>
      <c r="BD436" s="136"/>
      <c r="BE436" s="136"/>
      <c r="BF436" s="136"/>
      <c r="BG436" s="136"/>
      <c r="BH436" s="136"/>
      <c r="BI436" s="136"/>
      <c r="BJ436" s="136"/>
      <c r="BK436" s="136"/>
      <c r="BL436" s="136"/>
      <c r="BM436" s="136"/>
      <c r="BN436" s="136"/>
      <c r="BO436" s="136"/>
      <c r="BP436" s="136"/>
      <c r="BQ436" s="136"/>
      <c r="BR436" s="136"/>
      <c r="BS436" s="136"/>
      <c r="BT436" s="136"/>
      <c r="BU436" s="136"/>
      <c r="BV436" s="136"/>
      <c r="BW436" s="136"/>
      <c r="BX436" s="136"/>
      <c r="BY436" s="136"/>
      <c r="BZ436" s="136"/>
      <c r="CA436" s="136"/>
      <c r="CB436" s="136"/>
      <c r="CC436" s="136"/>
      <c r="CD436" s="136"/>
      <c r="CE436" s="136"/>
      <c r="CF436" s="136"/>
      <c r="CG436" s="136"/>
      <c r="CH436" s="136"/>
      <c r="CI436" s="136"/>
      <c r="CJ436" s="136"/>
      <c r="CK436" s="136"/>
      <c r="CL436" s="136"/>
      <c r="CM436" s="136"/>
      <c r="CN436" s="136"/>
      <c r="CO436" s="136"/>
      <c r="CP436" s="136"/>
      <c r="CQ436" s="136"/>
      <c r="CR436" s="136"/>
      <c r="CS436" s="136"/>
      <c r="CT436" s="136"/>
      <c r="CU436" s="136"/>
      <c r="CV436" s="136"/>
      <c r="CW436" s="136"/>
      <c r="CX436" s="136"/>
      <c r="CY436" s="136"/>
      <c r="CZ436" s="136"/>
      <c r="DA436" s="136"/>
      <c r="DB436" s="136"/>
      <c r="DC436" s="136"/>
      <c r="DD436" s="136"/>
      <c r="DE436" s="136"/>
      <c r="DF436" s="136"/>
      <c r="DG436" s="136"/>
      <c r="DH436" s="136"/>
      <c r="DI436" s="136"/>
      <c r="DJ436" s="136"/>
      <c r="DK436" s="136"/>
      <c r="DL436" s="136"/>
      <c r="DM436" s="136"/>
      <c r="DN436" s="136"/>
      <c r="DO436" s="136"/>
      <c r="DP436" s="136"/>
      <c r="DQ436" s="136"/>
      <c r="DR436" s="136"/>
      <c r="DS436" s="136"/>
      <c r="DT436" s="136"/>
      <c r="DU436" s="136"/>
      <c r="DV436" s="136"/>
      <c r="DW436" s="136"/>
      <c r="DX436" s="136"/>
      <c r="DY436" s="136"/>
      <c r="DZ436" s="136"/>
      <c r="EA436" s="136"/>
      <c r="EB436" s="136"/>
      <c r="EC436" s="136"/>
      <c r="ED436" s="136"/>
      <c r="EE436" s="136"/>
      <c r="EF436" s="136"/>
      <c r="EG436" s="136"/>
      <c r="EH436" s="136"/>
      <c r="EI436" s="136"/>
      <c r="EJ436" s="136"/>
      <c r="EK436" s="136"/>
      <c r="EL436" s="136"/>
      <c r="EM436" s="136"/>
      <c r="EN436" s="136"/>
      <c r="EO436" s="136"/>
      <c r="EP436" s="136"/>
      <c r="EQ436" s="136"/>
      <c r="ER436" s="136"/>
      <c r="ES436" s="136"/>
      <c r="ET436" s="136"/>
      <c r="EU436" s="136"/>
      <c r="EV436" s="136"/>
      <c r="EW436" s="136"/>
      <c r="EX436" s="136"/>
      <c r="EY436" s="136"/>
      <c r="EZ436" s="136"/>
      <c r="FA436" s="136"/>
      <c r="FB436" s="136"/>
      <c r="FC436" s="136"/>
      <c r="FD436" s="136"/>
      <c r="FE436" s="136"/>
      <c r="FF436" s="136"/>
      <c r="FG436" s="136"/>
      <c r="FH436" s="137"/>
      <c r="FI436" s="138"/>
      <c r="FJ436" s="138"/>
      <c r="FK436" s="138"/>
      <c r="FL436" s="138"/>
      <c r="FM436" s="138"/>
      <c r="FN436" s="138"/>
      <c r="FO436" s="138"/>
      <c r="FP436" s="138"/>
    </row>
    <row r="437" spans="2:172" x14ac:dyDescent="0.2">
      <c r="B437" s="134"/>
      <c r="C437" s="134"/>
      <c r="D437" s="134"/>
      <c r="E437" s="134"/>
      <c r="F437" s="134"/>
      <c r="G437" s="134"/>
      <c r="H437" s="134"/>
      <c r="I437" s="134"/>
      <c r="J437" s="134"/>
      <c r="K437" s="134"/>
      <c r="L437" s="134"/>
      <c r="M437" s="135"/>
      <c r="N437" s="135"/>
      <c r="O437" s="134"/>
      <c r="P437" s="136"/>
      <c r="Q437" s="136"/>
      <c r="R437" s="136"/>
      <c r="S437" s="136"/>
      <c r="T437" s="136"/>
      <c r="U437" s="136"/>
      <c r="V437" s="136"/>
      <c r="W437" s="136"/>
      <c r="X437" s="136"/>
      <c r="Y437" s="136"/>
      <c r="Z437" s="136"/>
      <c r="AA437" s="136"/>
      <c r="AB437" s="136"/>
      <c r="AC437" s="136"/>
      <c r="AD437" s="136"/>
      <c r="AE437" s="136"/>
      <c r="AF437" s="136"/>
      <c r="AG437" s="136"/>
      <c r="AH437" s="136"/>
      <c r="AI437" s="136"/>
      <c r="AJ437" s="136"/>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c r="BZ437" s="136"/>
      <c r="CA437" s="136"/>
      <c r="CB437" s="136"/>
      <c r="CC437" s="136"/>
      <c r="CD437" s="136"/>
      <c r="CE437" s="136"/>
      <c r="CF437" s="136"/>
      <c r="CG437" s="136"/>
      <c r="CH437" s="136"/>
      <c r="CI437" s="136"/>
      <c r="CJ437" s="136"/>
      <c r="CK437" s="136"/>
      <c r="CL437" s="136"/>
      <c r="CM437" s="136"/>
      <c r="CN437" s="136"/>
      <c r="CO437" s="136"/>
      <c r="CP437" s="136"/>
      <c r="CQ437" s="136"/>
      <c r="CR437" s="136"/>
      <c r="CS437" s="136"/>
      <c r="CT437" s="136"/>
      <c r="CU437" s="136"/>
      <c r="CV437" s="136"/>
      <c r="CW437" s="136"/>
      <c r="CX437" s="136"/>
      <c r="CY437" s="136"/>
      <c r="CZ437" s="136"/>
      <c r="DA437" s="136"/>
      <c r="DB437" s="136"/>
      <c r="DC437" s="136"/>
      <c r="DD437" s="136"/>
      <c r="DE437" s="136"/>
      <c r="DF437" s="136"/>
      <c r="DG437" s="136"/>
      <c r="DH437" s="136"/>
      <c r="DI437" s="136"/>
      <c r="DJ437" s="136"/>
      <c r="DK437" s="136"/>
      <c r="DL437" s="136"/>
      <c r="DM437" s="136"/>
      <c r="DN437" s="136"/>
      <c r="DO437" s="136"/>
      <c r="DP437" s="136"/>
      <c r="DQ437" s="136"/>
      <c r="DR437" s="136"/>
      <c r="DS437" s="136"/>
      <c r="DT437" s="136"/>
      <c r="DU437" s="136"/>
      <c r="DV437" s="136"/>
      <c r="DW437" s="136"/>
      <c r="DX437" s="136"/>
      <c r="DY437" s="136"/>
      <c r="DZ437" s="136"/>
      <c r="EA437" s="136"/>
      <c r="EB437" s="136"/>
      <c r="EC437" s="136"/>
      <c r="ED437" s="136"/>
      <c r="EE437" s="136"/>
      <c r="EF437" s="136"/>
      <c r="EG437" s="136"/>
      <c r="EH437" s="136"/>
      <c r="EI437" s="136"/>
      <c r="EJ437" s="136"/>
      <c r="EK437" s="136"/>
      <c r="EL437" s="136"/>
      <c r="EM437" s="136"/>
      <c r="EN437" s="136"/>
      <c r="EO437" s="136"/>
      <c r="EP437" s="136"/>
      <c r="EQ437" s="136"/>
      <c r="ER437" s="136"/>
      <c r="ES437" s="136"/>
      <c r="ET437" s="136"/>
      <c r="EU437" s="136"/>
      <c r="EV437" s="136"/>
      <c r="EW437" s="136"/>
      <c r="EX437" s="136"/>
      <c r="EY437" s="136"/>
      <c r="EZ437" s="136"/>
      <c r="FA437" s="136"/>
      <c r="FB437" s="136"/>
      <c r="FC437" s="136"/>
      <c r="FD437" s="136"/>
      <c r="FE437" s="136"/>
      <c r="FF437" s="136"/>
      <c r="FG437" s="136"/>
      <c r="FH437" s="137"/>
      <c r="FI437" s="138"/>
      <c r="FJ437" s="138"/>
      <c r="FK437" s="138"/>
      <c r="FL437" s="138"/>
      <c r="FM437" s="138"/>
      <c r="FN437" s="138"/>
      <c r="FO437" s="138"/>
      <c r="FP437" s="138"/>
    </row>
    <row r="438" spans="2:172" x14ac:dyDescent="0.2">
      <c r="B438" s="134"/>
      <c r="C438" s="134"/>
      <c r="D438" s="134"/>
      <c r="E438" s="134"/>
      <c r="F438" s="134"/>
      <c r="G438" s="134"/>
      <c r="H438" s="134"/>
      <c r="I438" s="134"/>
      <c r="J438" s="134"/>
      <c r="K438" s="134"/>
      <c r="L438" s="134"/>
      <c r="M438" s="135"/>
      <c r="N438" s="135"/>
      <c r="O438" s="134"/>
      <c r="P438" s="136"/>
      <c r="Q438" s="136"/>
      <c r="R438" s="136"/>
      <c r="S438" s="136"/>
      <c r="T438" s="136"/>
      <c r="U438" s="136"/>
      <c r="V438" s="136"/>
      <c r="W438" s="136"/>
      <c r="X438" s="136"/>
      <c r="Y438" s="136"/>
      <c r="Z438" s="136"/>
      <c r="AA438" s="136"/>
      <c r="AB438" s="136"/>
      <c r="AC438" s="136"/>
      <c r="AD438" s="136"/>
      <c r="AE438" s="136"/>
      <c r="AF438" s="136"/>
      <c r="AG438" s="136"/>
      <c r="AH438" s="136"/>
      <c r="AI438" s="136"/>
      <c r="AJ438" s="136"/>
      <c r="AK438" s="136"/>
      <c r="AL438" s="136"/>
      <c r="AM438" s="136"/>
      <c r="AN438" s="136"/>
      <c r="AO438" s="136"/>
      <c r="AP438" s="136"/>
      <c r="AQ438" s="136"/>
      <c r="AR438" s="136"/>
      <c r="AS438" s="136"/>
      <c r="AT438" s="136"/>
      <c r="AU438" s="136"/>
      <c r="AV438" s="136"/>
      <c r="AW438" s="136"/>
      <c r="AX438" s="136"/>
      <c r="AY438" s="136"/>
      <c r="AZ438" s="136"/>
      <c r="BA438" s="136"/>
      <c r="BB438" s="136"/>
      <c r="BC438" s="136"/>
      <c r="BD438" s="136"/>
      <c r="BE438" s="136"/>
      <c r="BF438" s="136"/>
      <c r="BG438" s="136"/>
      <c r="BH438" s="136"/>
      <c r="BI438" s="136"/>
      <c r="BJ438" s="136"/>
      <c r="BK438" s="136"/>
      <c r="BL438" s="136"/>
      <c r="BM438" s="136"/>
      <c r="BN438" s="136"/>
      <c r="BO438" s="136"/>
      <c r="BP438" s="136"/>
      <c r="BQ438" s="136"/>
      <c r="BR438" s="136"/>
      <c r="BS438" s="136"/>
      <c r="BT438" s="136"/>
      <c r="BU438" s="136"/>
      <c r="BV438" s="136"/>
      <c r="BW438" s="136"/>
      <c r="BX438" s="136"/>
      <c r="BY438" s="136"/>
      <c r="BZ438" s="136"/>
      <c r="CA438" s="136"/>
      <c r="CB438" s="136"/>
      <c r="CC438" s="136"/>
      <c r="CD438" s="136"/>
      <c r="CE438" s="136"/>
      <c r="CF438" s="136"/>
      <c r="CG438" s="136"/>
      <c r="CH438" s="136"/>
      <c r="CI438" s="136"/>
      <c r="CJ438" s="136"/>
      <c r="CK438" s="136"/>
      <c r="CL438" s="136"/>
      <c r="CM438" s="136"/>
      <c r="CN438" s="136"/>
      <c r="CO438" s="136"/>
      <c r="CP438" s="136"/>
      <c r="CQ438" s="136"/>
      <c r="CR438" s="136"/>
      <c r="CS438" s="136"/>
      <c r="CT438" s="136"/>
      <c r="CU438" s="136"/>
      <c r="CV438" s="136"/>
      <c r="CW438" s="136"/>
      <c r="CX438" s="136"/>
      <c r="CY438" s="136"/>
      <c r="CZ438" s="136"/>
      <c r="DA438" s="136"/>
      <c r="DB438" s="136"/>
      <c r="DC438" s="136"/>
      <c r="DD438" s="136"/>
      <c r="DE438" s="136"/>
      <c r="DF438" s="136"/>
      <c r="DG438" s="136"/>
      <c r="DH438" s="136"/>
      <c r="DI438" s="136"/>
      <c r="DJ438" s="136"/>
      <c r="DK438" s="136"/>
      <c r="DL438" s="136"/>
      <c r="DM438" s="136"/>
      <c r="DN438" s="136"/>
      <c r="DO438" s="136"/>
      <c r="DP438" s="136"/>
      <c r="DQ438" s="136"/>
      <c r="DR438" s="136"/>
      <c r="DS438" s="136"/>
      <c r="DT438" s="136"/>
      <c r="DU438" s="136"/>
      <c r="DV438" s="136"/>
      <c r="DW438" s="136"/>
      <c r="DX438" s="136"/>
      <c r="DY438" s="136"/>
      <c r="DZ438" s="136"/>
      <c r="EA438" s="136"/>
      <c r="EB438" s="136"/>
      <c r="EC438" s="136"/>
      <c r="ED438" s="136"/>
      <c r="EE438" s="136"/>
      <c r="EF438" s="136"/>
      <c r="EG438" s="136"/>
      <c r="EH438" s="136"/>
      <c r="EI438" s="136"/>
      <c r="EJ438" s="136"/>
      <c r="EK438" s="136"/>
      <c r="EL438" s="136"/>
      <c r="EM438" s="136"/>
      <c r="EN438" s="136"/>
      <c r="EO438" s="136"/>
      <c r="EP438" s="136"/>
      <c r="EQ438" s="136"/>
      <c r="ER438" s="136"/>
      <c r="ES438" s="136"/>
      <c r="ET438" s="136"/>
      <c r="EU438" s="136"/>
      <c r="EV438" s="136"/>
      <c r="EW438" s="136"/>
      <c r="EX438" s="136"/>
      <c r="EY438" s="136"/>
      <c r="EZ438" s="136"/>
      <c r="FA438" s="136"/>
      <c r="FB438" s="136"/>
      <c r="FC438" s="136"/>
      <c r="FD438" s="136"/>
      <c r="FE438" s="136"/>
      <c r="FF438" s="136"/>
      <c r="FG438" s="136"/>
      <c r="FH438" s="137"/>
      <c r="FI438" s="138"/>
      <c r="FJ438" s="138"/>
      <c r="FK438" s="138"/>
      <c r="FL438" s="138"/>
      <c r="FM438" s="138"/>
      <c r="FN438" s="138"/>
      <c r="FO438" s="138"/>
      <c r="FP438" s="138"/>
    </row>
    <row r="439" spans="2:172" x14ac:dyDescent="0.2">
      <c r="B439" s="134"/>
      <c r="C439" s="134"/>
      <c r="D439" s="134"/>
      <c r="E439" s="134"/>
      <c r="F439" s="134"/>
      <c r="G439" s="134"/>
      <c r="H439" s="134"/>
      <c r="I439" s="134"/>
      <c r="J439" s="134"/>
      <c r="K439" s="134"/>
      <c r="L439" s="134"/>
      <c r="M439" s="135"/>
      <c r="N439" s="135"/>
      <c r="O439" s="134"/>
      <c r="P439" s="136"/>
      <c r="Q439" s="136"/>
      <c r="R439" s="136"/>
      <c r="S439" s="136"/>
      <c r="T439" s="136"/>
      <c r="U439" s="136"/>
      <c r="V439" s="136"/>
      <c r="W439" s="136"/>
      <c r="X439" s="136"/>
      <c r="Y439" s="136"/>
      <c r="Z439" s="136"/>
      <c r="AA439" s="136"/>
      <c r="AB439" s="136"/>
      <c r="AC439" s="136"/>
      <c r="AD439" s="136"/>
      <c r="AE439" s="136"/>
      <c r="AF439" s="136"/>
      <c r="AG439" s="136"/>
      <c r="AH439" s="136"/>
      <c r="AI439" s="136"/>
      <c r="AJ439" s="136"/>
      <c r="AK439" s="136"/>
      <c r="AL439" s="136"/>
      <c r="AM439" s="136"/>
      <c r="AN439" s="136"/>
      <c r="AO439" s="136"/>
      <c r="AP439" s="136"/>
      <c r="AQ439" s="136"/>
      <c r="AR439" s="136"/>
      <c r="AS439" s="136"/>
      <c r="AT439" s="136"/>
      <c r="AU439" s="136"/>
      <c r="AV439" s="136"/>
      <c r="AW439" s="136"/>
      <c r="AX439" s="136"/>
      <c r="AY439" s="136"/>
      <c r="AZ439" s="136"/>
      <c r="BA439" s="136"/>
      <c r="BB439" s="136"/>
      <c r="BC439" s="136"/>
      <c r="BD439" s="136"/>
      <c r="BE439" s="136"/>
      <c r="BF439" s="136"/>
      <c r="BG439" s="136"/>
      <c r="BH439" s="136"/>
      <c r="BI439" s="136"/>
      <c r="BJ439" s="136"/>
      <c r="BK439" s="136"/>
      <c r="BL439" s="136"/>
      <c r="BM439" s="136"/>
      <c r="BN439" s="136"/>
      <c r="BO439" s="136"/>
      <c r="BP439" s="136"/>
      <c r="BQ439" s="136"/>
      <c r="BR439" s="136"/>
      <c r="BS439" s="136"/>
      <c r="BT439" s="136"/>
      <c r="BU439" s="136"/>
      <c r="BV439" s="136"/>
      <c r="BW439" s="136"/>
      <c r="BX439" s="136"/>
      <c r="BY439" s="136"/>
      <c r="BZ439" s="136"/>
      <c r="CA439" s="136"/>
      <c r="CB439" s="136"/>
      <c r="CC439" s="136"/>
      <c r="CD439" s="136"/>
      <c r="CE439" s="136"/>
      <c r="CF439" s="136"/>
      <c r="CG439" s="136"/>
      <c r="CH439" s="136"/>
      <c r="CI439" s="136"/>
      <c r="CJ439" s="136"/>
      <c r="CK439" s="136"/>
      <c r="CL439" s="136"/>
      <c r="CM439" s="136"/>
      <c r="CN439" s="136"/>
      <c r="CO439" s="136"/>
      <c r="CP439" s="136"/>
      <c r="CQ439" s="136"/>
      <c r="CR439" s="136"/>
      <c r="CS439" s="136"/>
      <c r="CT439" s="136"/>
      <c r="CU439" s="136"/>
      <c r="CV439" s="136"/>
      <c r="CW439" s="136"/>
      <c r="CX439" s="136"/>
      <c r="CY439" s="136"/>
      <c r="CZ439" s="136"/>
      <c r="DA439" s="136"/>
      <c r="DB439" s="136"/>
      <c r="DC439" s="136"/>
      <c r="DD439" s="136"/>
      <c r="DE439" s="136"/>
      <c r="DF439" s="136"/>
      <c r="DG439" s="136"/>
      <c r="DH439" s="136"/>
      <c r="DI439" s="136"/>
      <c r="DJ439" s="136"/>
      <c r="DK439" s="136"/>
      <c r="DL439" s="136"/>
      <c r="DM439" s="136"/>
      <c r="DN439" s="136"/>
      <c r="DO439" s="136"/>
      <c r="DP439" s="136"/>
      <c r="DQ439" s="136"/>
      <c r="DR439" s="136"/>
      <c r="DS439" s="136"/>
      <c r="DT439" s="136"/>
      <c r="DU439" s="136"/>
      <c r="DV439" s="136"/>
      <c r="DW439" s="136"/>
      <c r="DX439" s="136"/>
      <c r="DY439" s="136"/>
      <c r="DZ439" s="136"/>
      <c r="EA439" s="136"/>
      <c r="EB439" s="136"/>
      <c r="EC439" s="136"/>
      <c r="ED439" s="136"/>
      <c r="EE439" s="136"/>
      <c r="EF439" s="136"/>
      <c r="EG439" s="136"/>
      <c r="EH439" s="136"/>
      <c r="EI439" s="136"/>
      <c r="EJ439" s="136"/>
      <c r="EK439" s="136"/>
      <c r="EL439" s="136"/>
      <c r="EM439" s="136"/>
      <c r="EN439" s="136"/>
      <c r="EO439" s="136"/>
      <c r="EP439" s="136"/>
      <c r="EQ439" s="136"/>
      <c r="ER439" s="136"/>
      <c r="ES439" s="136"/>
      <c r="ET439" s="136"/>
      <c r="EU439" s="136"/>
      <c r="EV439" s="136"/>
      <c r="EW439" s="136"/>
      <c r="EX439" s="136"/>
      <c r="EY439" s="136"/>
      <c r="EZ439" s="136"/>
      <c r="FA439" s="136"/>
      <c r="FB439" s="136"/>
      <c r="FC439" s="136"/>
      <c r="FD439" s="136"/>
      <c r="FE439" s="136"/>
      <c r="FF439" s="136"/>
      <c r="FG439" s="136"/>
      <c r="FH439" s="137"/>
      <c r="FI439" s="138"/>
      <c r="FJ439" s="138"/>
      <c r="FK439" s="138"/>
      <c r="FL439" s="138"/>
      <c r="FM439" s="138"/>
      <c r="FN439" s="138"/>
      <c r="FO439" s="138"/>
      <c r="FP439" s="138"/>
    </row>
    <row r="440" spans="2:172" x14ac:dyDescent="0.2">
      <c r="B440" s="134"/>
      <c r="C440" s="134"/>
      <c r="D440" s="134"/>
      <c r="E440" s="134"/>
      <c r="F440" s="134"/>
      <c r="G440" s="134"/>
      <c r="H440" s="134"/>
      <c r="I440" s="134"/>
      <c r="J440" s="134"/>
      <c r="K440" s="134"/>
      <c r="L440" s="134"/>
      <c r="M440" s="135"/>
      <c r="N440" s="135"/>
      <c r="O440" s="134"/>
      <c r="P440" s="136"/>
      <c r="Q440" s="136"/>
      <c r="R440" s="136"/>
      <c r="S440" s="136"/>
      <c r="T440" s="136"/>
      <c r="U440" s="136"/>
      <c r="V440" s="136"/>
      <c r="W440" s="136"/>
      <c r="X440" s="136"/>
      <c r="Y440" s="136"/>
      <c r="Z440" s="136"/>
      <c r="AA440" s="136"/>
      <c r="AB440" s="136"/>
      <c r="AC440" s="136"/>
      <c r="AD440" s="136"/>
      <c r="AE440" s="136"/>
      <c r="AF440" s="136"/>
      <c r="AG440" s="136"/>
      <c r="AH440" s="136"/>
      <c r="AI440" s="136"/>
      <c r="AJ440" s="136"/>
      <c r="AK440" s="136"/>
      <c r="AL440" s="136"/>
      <c r="AM440" s="136"/>
      <c r="AN440" s="136"/>
      <c r="AO440" s="136"/>
      <c r="AP440" s="136"/>
      <c r="AQ440" s="136"/>
      <c r="AR440" s="136"/>
      <c r="AS440" s="136"/>
      <c r="AT440" s="136"/>
      <c r="AU440" s="136"/>
      <c r="AV440" s="136"/>
      <c r="AW440" s="136"/>
      <c r="AX440" s="136"/>
      <c r="AY440" s="136"/>
      <c r="AZ440" s="136"/>
      <c r="BA440" s="136"/>
      <c r="BB440" s="136"/>
      <c r="BC440" s="136"/>
      <c r="BD440" s="136"/>
      <c r="BE440" s="136"/>
      <c r="BF440" s="136"/>
      <c r="BG440" s="136"/>
      <c r="BH440" s="136"/>
      <c r="BI440" s="136"/>
      <c r="BJ440" s="136"/>
      <c r="BK440" s="136"/>
      <c r="BL440" s="136"/>
      <c r="BM440" s="136"/>
      <c r="BN440" s="136"/>
      <c r="BO440" s="136"/>
      <c r="BP440" s="136"/>
      <c r="BQ440" s="136"/>
      <c r="BR440" s="136"/>
      <c r="BS440" s="136"/>
      <c r="BT440" s="136"/>
      <c r="BU440" s="136"/>
      <c r="BV440" s="136"/>
      <c r="BW440" s="136"/>
      <c r="BX440" s="136"/>
      <c r="BY440" s="136"/>
      <c r="BZ440" s="136"/>
      <c r="CA440" s="136"/>
      <c r="CB440" s="136"/>
      <c r="CC440" s="136"/>
      <c r="CD440" s="136"/>
      <c r="CE440" s="136"/>
      <c r="CF440" s="136"/>
      <c r="CG440" s="136"/>
      <c r="CH440" s="136"/>
      <c r="CI440" s="136"/>
      <c r="CJ440" s="136"/>
      <c r="CK440" s="136"/>
      <c r="CL440" s="136"/>
      <c r="CM440" s="136"/>
      <c r="CN440" s="136"/>
      <c r="CO440" s="136"/>
      <c r="CP440" s="136"/>
      <c r="CQ440" s="136"/>
      <c r="CR440" s="136"/>
      <c r="CS440" s="136"/>
      <c r="CT440" s="136"/>
      <c r="CU440" s="136"/>
      <c r="CV440" s="136"/>
      <c r="CW440" s="136"/>
      <c r="CX440" s="136"/>
      <c r="CY440" s="136"/>
      <c r="CZ440" s="136"/>
      <c r="DA440" s="136"/>
      <c r="DB440" s="136"/>
      <c r="DC440" s="136"/>
      <c r="DD440" s="136"/>
      <c r="DE440" s="136"/>
      <c r="DF440" s="136"/>
      <c r="DG440" s="136"/>
      <c r="DH440" s="136"/>
      <c r="DI440" s="136"/>
      <c r="DJ440" s="136"/>
      <c r="DK440" s="136"/>
      <c r="DL440" s="136"/>
      <c r="DM440" s="136"/>
      <c r="DN440" s="136"/>
      <c r="DO440" s="136"/>
      <c r="DP440" s="136"/>
      <c r="DQ440" s="136"/>
      <c r="DR440" s="136"/>
      <c r="DS440" s="136"/>
      <c r="DT440" s="136"/>
      <c r="DU440" s="136"/>
      <c r="DV440" s="136"/>
      <c r="DW440" s="136"/>
      <c r="DX440" s="136"/>
      <c r="DY440" s="136"/>
      <c r="DZ440" s="136"/>
      <c r="EA440" s="136"/>
      <c r="EB440" s="136"/>
      <c r="EC440" s="136"/>
      <c r="ED440" s="136"/>
      <c r="EE440" s="136"/>
      <c r="EF440" s="136"/>
      <c r="EG440" s="136"/>
      <c r="EH440" s="136"/>
      <c r="EI440" s="136"/>
      <c r="EJ440" s="136"/>
      <c r="EK440" s="136"/>
      <c r="EL440" s="136"/>
      <c r="EM440" s="136"/>
      <c r="EN440" s="136"/>
      <c r="EO440" s="136"/>
      <c r="EP440" s="136"/>
      <c r="EQ440" s="136"/>
      <c r="ER440" s="136"/>
      <c r="ES440" s="136"/>
      <c r="ET440" s="136"/>
      <c r="EU440" s="136"/>
      <c r="EV440" s="136"/>
      <c r="EW440" s="136"/>
      <c r="EX440" s="136"/>
      <c r="EY440" s="136"/>
      <c r="EZ440" s="136"/>
      <c r="FA440" s="136"/>
      <c r="FB440" s="136"/>
      <c r="FC440" s="136"/>
      <c r="FD440" s="136"/>
      <c r="FE440" s="136"/>
      <c r="FF440" s="136"/>
      <c r="FG440" s="136"/>
      <c r="FH440" s="137"/>
      <c r="FI440" s="138"/>
      <c r="FJ440" s="138"/>
      <c r="FK440" s="138"/>
      <c r="FL440" s="138"/>
      <c r="FM440" s="138"/>
      <c r="FN440" s="138"/>
      <c r="FO440" s="138"/>
      <c r="FP440" s="138"/>
    </row>
    <row r="441" spans="2:172" x14ac:dyDescent="0.2">
      <c r="B441" s="134"/>
      <c r="C441" s="134"/>
      <c r="D441" s="134"/>
      <c r="E441" s="134"/>
      <c r="F441" s="134"/>
      <c r="G441" s="134"/>
      <c r="H441" s="134"/>
      <c r="I441" s="134"/>
      <c r="J441" s="134"/>
      <c r="K441" s="134"/>
      <c r="L441" s="134"/>
      <c r="M441" s="135"/>
      <c r="N441" s="135"/>
      <c r="O441" s="134"/>
      <c r="P441" s="136"/>
      <c r="Q441" s="136"/>
      <c r="R441" s="136"/>
      <c r="S441" s="136"/>
      <c r="T441" s="136"/>
      <c r="U441" s="136"/>
      <c r="V441" s="136"/>
      <c r="W441" s="136"/>
      <c r="X441" s="136"/>
      <c r="Y441" s="136"/>
      <c r="Z441" s="136"/>
      <c r="AA441" s="136"/>
      <c r="AB441" s="136"/>
      <c r="AC441" s="136"/>
      <c r="AD441" s="136"/>
      <c r="AE441" s="136"/>
      <c r="AF441" s="136"/>
      <c r="AG441" s="136"/>
      <c r="AH441" s="136"/>
      <c r="AI441" s="136"/>
      <c r="AJ441" s="136"/>
      <c r="AK441" s="136"/>
      <c r="AL441" s="136"/>
      <c r="AM441" s="136"/>
      <c r="AN441" s="136"/>
      <c r="AO441" s="136"/>
      <c r="AP441" s="136"/>
      <c r="AQ441" s="136"/>
      <c r="AR441" s="136"/>
      <c r="AS441" s="136"/>
      <c r="AT441" s="136"/>
      <c r="AU441" s="136"/>
      <c r="AV441" s="136"/>
      <c r="AW441" s="136"/>
      <c r="AX441" s="136"/>
      <c r="AY441" s="136"/>
      <c r="AZ441" s="136"/>
      <c r="BA441" s="136"/>
      <c r="BB441" s="136"/>
      <c r="BC441" s="136"/>
      <c r="BD441" s="136"/>
      <c r="BE441" s="136"/>
      <c r="BF441" s="136"/>
      <c r="BG441" s="136"/>
      <c r="BH441" s="136"/>
      <c r="BI441" s="136"/>
      <c r="BJ441" s="136"/>
      <c r="BK441" s="136"/>
      <c r="BL441" s="136"/>
      <c r="BM441" s="136"/>
      <c r="BN441" s="136"/>
      <c r="BO441" s="136"/>
      <c r="BP441" s="136"/>
      <c r="BQ441" s="136"/>
      <c r="BR441" s="136"/>
      <c r="BS441" s="136"/>
      <c r="BT441" s="136"/>
      <c r="BU441" s="136"/>
      <c r="BV441" s="136"/>
      <c r="BW441" s="136"/>
      <c r="BX441" s="136"/>
      <c r="BY441" s="136"/>
      <c r="BZ441" s="136"/>
      <c r="CA441" s="136"/>
      <c r="CB441" s="136"/>
      <c r="CC441" s="136"/>
      <c r="CD441" s="136"/>
      <c r="CE441" s="136"/>
      <c r="CF441" s="136"/>
      <c r="CG441" s="136"/>
      <c r="CH441" s="136"/>
      <c r="CI441" s="136"/>
      <c r="CJ441" s="136"/>
      <c r="CK441" s="136"/>
      <c r="CL441" s="136"/>
      <c r="CM441" s="136"/>
      <c r="CN441" s="136"/>
      <c r="CO441" s="136"/>
      <c r="CP441" s="136"/>
      <c r="CQ441" s="136"/>
      <c r="CR441" s="136"/>
      <c r="CS441" s="136"/>
      <c r="CT441" s="136"/>
      <c r="CU441" s="136"/>
      <c r="CV441" s="136"/>
      <c r="CW441" s="136"/>
      <c r="CX441" s="136"/>
      <c r="CY441" s="136"/>
      <c r="CZ441" s="136"/>
      <c r="DA441" s="136"/>
      <c r="DB441" s="136"/>
      <c r="DC441" s="136"/>
      <c r="DD441" s="136"/>
      <c r="DE441" s="136"/>
      <c r="DF441" s="136"/>
      <c r="DG441" s="136"/>
      <c r="DH441" s="136"/>
      <c r="DI441" s="136"/>
      <c r="DJ441" s="136"/>
      <c r="DK441" s="136"/>
      <c r="DL441" s="136"/>
      <c r="DM441" s="136"/>
      <c r="DN441" s="136"/>
      <c r="DO441" s="136"/>
      <c r="DP441" s="136"/>
      <c r="DQ441" s="136"/>
      <c r="DR441" s="136"/>
      <c r="DS441" s="136"/>
      <c r="DT441" s="136"/>
      <c r="DU441" s="136"/>
      <c r="DV441" s="136"/>
      <c r="DW441" s="136"/>
      <c r="DX441" s="136"/>
      <c r="DY441" s="136"/>
      <c r="DZ441" s="136"/>
      <c r="EA441" s="136"/>
      <c r="EB441" s="136"/>
      <c r="EC441" s="136"/>
      <c r="ED441" s="136"/>
      <c r="EE441" s="136"/>
      <c r="EF441" s="136"/>
      <c r="EG441" s="136"/>
      <c r="EH441" s="136"/>
      <c r="EI441" s="136"/>
      <c r="EJ441" s="136"/>
      <c r="EK441" s="136"/>
      <c r="EL441" s="136"/>
      <c r="EM441" s="136"/>
      <c r="EN441" s="136"/>
      <c r="EO441" s="136"/>
      <c r="EP441" s="136"/>
      <c r="EQ441" s="136"/>
      <c r="ER441" s="136"/>
      <c r="ES441" s="136"/>
      <c r="ET441" s="136"/>
      <c r="EU441" s="136"/>
      <c r="EV441" s="136"/>
      <c r="EW441" s="136"/>
      <c r="EX441" s="136"/>
      <c r="EY441" s="136"/>
      <c r="EZ441" s="136"/>
      <c r="FA441" s="136"/>
      <c r="FB441" s="136"/>
      <c r="FC441" s="136"/>
      <c r="FD441" s="136"/>
      <c r="FE441" s="136"/>
      <c r="FF441" s="136"/>
      <c r="FG441" s="136"/>
      <c r="FH441" s="137"/>
      <c r="FI441" s="138"/>
      <c r="FJ441" s="138"/>
      <c r="FK441" s="138"/>
      <c r="FL441" s="138"/>
      <c r="FM441" s="138"/>
      <c r="FN441" s="138"/>
      <c r="FO441" s="138"/>
      <c r="FP441" s="138"/>
    </row>
    <row r="442" spans="2:172" x14ac:dyDescent="0.2">
      <c r="B442" s="134"/>
      <c r="C442" s="134"/>
      <c r="D442" s="134"/>
      <c r="E442" s="134"/>
      <c r="F442" s="134"/>
      <c r="G442" s="134"/>
      <c r="H442" s="134"/>
      <c r="I442" s="134"/>
      <c r="J442" s="134"/>
      <c r="K442" s="134"/>
      <c r="L442" s="134"/>
      <c r="M442" s="135"/>
      <c r="N442" s="135"/>
      <c r="O442" s="134"/>
      <c r="P442" s="136"/>
      <c r="Q442" s="136"/>
      <c r="R442" s="136"/>
      <c r="S442" s="136"/>
      <c r="T442" s="136"/>
      <c r="U442" s="136"/>
      <c r="V442" s="136"/>
      <c r="W442" s="136"/>
      <c r="X442" s="136"/>
      <c r="Y442" s="136"/>
      <c r="Z442" s="136"/>
      <c r="AA442" s="136"/>
      <c r="AB442" s="136"/>
      <c r="AC442" s="136"/>
      <c r="AD442" s="136"/>
      <c r="AE442" s="136"/>
      <c r="AF442" s="136"/>
      <c r="AG442" s="136"/>
      <c r="AH442" s="136"/>
      <c r="AI442" s="136"/>
      <c r="AJ442" s="136"/>
      <c r="AK442" s="136"/>
      <c r="AL442" s="136"/>
      <c r="AM442" s="136"/>
      <c r="AN442" s="136"/>
      <c r="AO442" s="136"/>
      <c r="AP442" s="136"/>
      <c r="AQ442" s="136"/>
      <c r="AR442" s="136"/>
      <c r="AS442" s="136"/>
      <c r="AT442" s="136"/>
      <c r="AU442" s="136"/>
      <c r="AV442" s="136"/>
      <c r="AW442" s="136"/>
      <c r="AX442" s="136"/>
      <c r="AY442" s="136"/>
      <c r="AZ442" s="136"/>
      <c r="BA442" s="136"/>
      <c r="BB442" s="136"/>
      <c r="BC442" s="136"/>
      <c r="BD442" s="136"/>
      <c r="BE442" s="136"/>
      <c r="BF442" s="136"/>
      <c r="BG442" s="136"/>
      <c r="BH442" s="136"/>
      <c r="BI442" s="136"/>
      <c r="BJ442" s="136"/>
      <c r="BK442" s="136"/>
      <c r="BL442" s="136"/>
      <c r="BM442" s="136"/>
      <c r="BN442" s="136"/>
      <c r="BO442" s="136"/>
      <c r="BP442" s="136"/>
      <c r="BQ442" s="136"/>
      <c r="BR442" s="136"/>
      <c r="BS442" s="136"/>
      <c r="BT442" s="136"/>
      <c r="BU442" s="136"/>
      <c r="BV442" s="136"/>
      <c r="BW442" s="136"/>
      <c r="BX442" s="136"/>
      <c r="BY442" s="136"/>
      <c r="BZ442" s="136"/>
      <c r="CA442" s="136"/>
      <c r="CB442" s="136"/>
      <c r="CC442" s="136"/>
      <c r="CD442" s="136"/>
      <c r="CE442" s="136"/>
      <c r="CF442" s="136"/>
      <c r="CG442" s="136"/>
      <c r="CH442" s="136"/>
      <c r="CI442" s="136"/>
      <c r="CJ442" s="136"/>
      <c r="CK442" s="136"/>
      <c r="CL442" s="136"/>
      <c r="CM442" s="136"/>
      <c r="CN442" s="136"/>
      <c r="CO442" s="136"/>
      <c r="CP442" s="136"/>
      <c r="CQ442" s="136"/>
      <c r="CR442" s="136"/>
      <c r="CS442" s="136"/>
      <c r="CT442" s="136"/>
      <c r="CU442" s="136"/>
      <c r="CV442" s="136"/>
      <c r="CW442" s="136"/>
      <c r="CX442" s="136"/>
      <c r="CY442" s="136"/>
      <c r="CZ442" s="136"/>
      <c r="DA442" s="136"/>
      <c r="DB442" s="136"/>
      <c r="DC442" s="136"/>
      <c r="DD442" s="136"/>
      <c r="DE442" s="136"/>
      <c r="DF442" s="136"/>
      <c r="DG442" s="136"/>
      <c r="DH442" s="136"/>
      <c r="DI442" s="136"/>
      <c r="DJ442" s="136"/>
      <c r="DK442" s="136"/>
      <c r="DL442" s="136"/>
      <c r="DM442" s="136"/>
      <c r="DN442" s="136"/>
      <c r="DO442" s="136"/>
      <c r="DP442" s="136"/>
      <c r="DQ442" s="136"/>
      <c r="DR442" s="136"/>
      <c r="DS442" s="136"/>
      <c r="DT442" s="136"/>
      <c r="DU442" s="136"/>
      <c r="DV442" s="136"/>
      <c r="DW442" s="136"/>
      <c r="DX442" s="136"/>
      <c r="DY442" s="136"/>
      <c r="DZ442" s="136"/>
      <c r="EA442" s="136"/>
      <c r="EB442" s="136"/>
      <c r="EC442" s="136"/>
      <c r="ED442" s="136"/>
      <c r="EE442" s="136"/>
      <c r="EF442" s="136"/>
      <c r="EG442" s="136"/>
      <c r="EH442" s="136"/>
      <c r="EI442" s="136"/>
      <c r="EJ442" s="136"/>
      <c r="EK442" s="136"/>
      <c r="EL442" s="136"/>
      <c r="EM442" s="136"/>
      <c r="EN442" s="136"/>
      <c r="EO442" s="136"/>
      <c r="EP442" s="136"/>
      <c r="EQ442" s="136"/>
      <c r="ER442" s="136"/>
      <c r="ES442" s="136"/>
      <c r="ET442" s="136"/>
      <c r="EU442" s="136"/>
      <c r="EV442" s="136"/>
      <c r="EW442" s="136"/>
      <c r="EX442" s="136"/>
      <c r="EY442" s="136"/>
      <c r="EZ442" s="136"/>
      <c r="FA442" s="136"/>
      <c r="FB442" s="136"/>
      <c r="FC442" s="136"/>
      <c r="FD442" s="136"/>
      <c r="FE442" s="136"/>
      <c r="FF442" s="136"/>
      <c r="FG442" s="136"/>
      <c r="FH442" s="137"/>
      <c r="FI442" s="138"/>
      <c r="FJ442" s="138"/>
      <c r="FK442" s="138"/>
      <c r="FL442" s="138"/>
      <c r="FM442" s="138"/>
      <c r="FN442" s="138"/>
      <c r="FO442" s="138"/>
      <c r="FP442" s="138"/>
    </row>
    <row r="443" spans="2:172" x14ac:dyDescent="0.2">
      <c r="B443" s="134"/>
      <c r="C443" s="134"/>
      <c r="D443" s="134"/>
      <c r="E443" s="134"/>
      <c r="F443" s="134"/>
      <c r="G443" s="134"/>
      <c r="H443" s="134"/>
      <c r="I443" s="134"/>
      <c r="J443" s="134"/>
      <c r="K443" s="134"/>
      <c r="L443" s="134"/>
      <c r="M443" s="135"/>
      <c r="N443" s="135"/>
      <c r="O443" s="134"/>
      <c r="P443" s="136"/>
      <c r="Q443" s="136"/>
      <c r="R443" s="136"/>
      <c r="S443" s="136"/>
      <c r="T443" s="136"/>
      <c r="U443" s="136"/>
      <c r="V443" s="136"/>
      <c r="W443" s="136"/>
      <c r="X443" s="136"/>
      <c r="Y443" s="136"/>
      <c r="Z443" s="136"/>
      <c r="AA443" s="136"/>
      <c r="AB443" s="136"/>
      <c r="AC443" s="136"/>
      <c r="AD443" s="136"/>
      <c r="AE443" s="136"/>
      <c r="AF443" s="136"/>
      <c r="AG443" s="136"/>
      <c r="AH443" s="136"/>
      <c r="AI443" s="136"/>
      <c r="AJ443" s="136"/>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c r="BZ443" s="136"/>
      <c r="CA443" s="136"/>
      <c r="CB443" s="136"/>
      <c r="CC443" s="136"/>
      <c r="CD443" s="136"/>
      <c r="CE443" s="136"/>
      <c r="CF443" s="136"/>
      <c r="CG443" s="136"/>
      <c r="CH443" s="136"/>
      <c r="CI443" s="136"/>
      <c r="CJ443" s="136"/>
      <c r="CK443" s="136"/>
      <c r="CL443" s="136"/>
      <c r="CM443" s="136"/>
      <c r="CN443" s="136"/>
      <c r="CO443" s="136"/>
      <c r="CP443" s="136"/>
      <c r="CQ443" s="136"/>
      <c r="CR443" s="136"/>
      <c r="CS443" s="136"/>
      <c r="CT443" s="136"/>
      <c r="CU443" s="136"/>
      <c r="CV443" s="136"/>
      <c r="CW443" s="136"/>
      <c r="CX443" s="136"/>
      <c r="CY443" s="136"/>
      <c r="CZ443" s="136"/>
      <c r="DA443" s="136"/>
      <c r="DB443" s="136"/>
      <c r="DC443" s="136"/>
      <c r="DD443" s="136"/>
      <c r="DE443" s="136"/>
      <c r="DF443" s="136"/>
      <c r="DG443" s="136"/>
      <c r="DH443" s="136"/>
      <c r="DI443" s="136"/>
      <c r="DJ443" s="136"/>
      <c r="DK443" s="136"/>
      <c r="DL443" s="136"/>
      <c r="DM443" s="136"/>
      <c r="DN443" s="136"/>
      <c r="DO443" s="136"/>
      <c r="DP443" s="136"/>
      <c r="DQ443" s="136"/>
      <c r="DR443" s="136"/>
      <c r="DS443" s="136"/>
      <c r="DT443" s="136"/>
      <c r="DU443" s="136"/>
      <c r="DV443" s="136"/>
      <c r="DW443" s="136"/>
      <c r="DX443" s="136"/>
      <c r="DY443" s="136"/>
      <c r="DZ443" s="136"/>
      <c r="EA443" s="136"/>
      <c r="EB443" s="136"/>
      <c r="EC443" s="136"/>
      <c r="ED443" s="136"/>
      <c r="EE443" s="136"/>
      <c r="EF443" s="136"/>
      <c r="EG443" s="136"/>
      <c r="EH443" s="136"/>
      <c r="EI443" s="136"/>
      <c r="EJ443" s="136"/>
      <c r="EK443" s="136"/>
      <c r="EL443" s="136"/>
      <c r="EM443" s="136"/>
      <c r="EN443" s="136"/>
      <c r="EO443" s="136"/>
      <c r="EP443" s="136"/>
      <c r="EQ443" s="136"/>
      <c r="ER443" s="136"/>
      <c r="ES443" s="136"/>
      <c r="ET443" s="136"/>
      <c r="EU443" s="136"/>
      <c r="EV443" s="136"/>
      <c r="EW443" s="136"/>
      <c r="EX443" s="136"/>
      <c r="EY443" s="136"/>
      <c r="EZ443" s="136"/>
      <c r="FA443" s="136"/>
      <c r="FB443" s="136"/>
      <c r="FC443" s="136"/>
      <c r="FD443" s="136"/>
      <c r="FE443" s="136"/>
      <c r="FF443" s="136"/>
      <c r="FG443" s="136"/>
      <c r="FH443" s="137"/>
      <c r="FI443" s="138"/>
      <c r="FJ443" s="138"/>
      <c r="FK443" s="138"/>
      <c r="FL443" s="138"/>
      <c r="FM443" s="138"/>
      <c r="FN443" s="138"/>
      <c r="FO443" s="138"/>
      <c r="FP443" s="138"/>
    </row>
    <row r="444" spans="2:172" x14ac:dyDescent="0.2">
      <c r="B444" s="134"/>
      <c r="C444" s="134"/>
      <c r="D444" s="134"/>
      <c r="E444" s="134"/>
      <c r="F444" s="134"/>
      <c r="G444" s="134"/>
      <c r="H444" s="134"/>
      <c r="I444" s="134"/>
      <c r="J444" s="134"/>
      <c r="K444" s="134"/>
      <c r="L444" s="134"/>
      <c r="M444" s="135"/>
      <c r="N444" s="135"/>
      <c r="O444" s="134"/>
      <c r="P444" s="136"/>
      <c r="Q444" s="136"/>
      <c r="R444" s="136"/>
      <c r="S444" s="136"/>
      <c r="T444" s="136"/>
      <c r="U444" s="136"/>
      <c r="V444" s="136"/>
      <c r="W444" s="136"/>
      <c r="X444" s="136"/>
      <c r="Y444" s="136"/>
      <c r="Z444" s="136"/>
      <c r="AA444" s="136"/>
      <c r="AB444" s="136"/>
      <c r="AC444" s="136"/>
      <c r="AD444" s="136"/>
      <c r="AE444" s="136"/>
      <c r="AF444" s="136"/>
      <c r="AG444" s="136"/>
      <c r="AH444" s="136"/>
      <c r="AI444" s="136"/>
      <c r="AJ444" s="136"/>
      <c r="AK444" s="136"/>
      <c r="AL444" s="136"/>
      <c r="AM444" s="136"/>
      <c r="AN444" s="136"/>
      <c r="AO444" s="136"/>
      <c r="AP444" s="136"/>
      <c r="AQ444" s="136"/>
      <c r="AR444" s="136"/>
      <c r="AS444" s="136"/>
      <c r="AT444" s="136"/>
      <c r="AU444" s="136"/>
      <c r="AV444" s="136"/>
      <c r="AW444" s="136"/>
      <c r="AX444" s="136"/>
      <c r="AY444" s="136"/>
      <c r="AZ444" s="136"/>
      <c r="BA444" s="136"/>
      <c r="BB444" s="136"/>
      <c r="BC444" s="136"/>
      <c r="BD444" s="136"/>
      <c r="BE444" s="136"/>
      <c r="BF444" s="136"/>
      <c r="BG444" s="136"/>
      <c r="BH444" s="136"/>
      <c r="BI444" s="136"/>
      <c r="BJ444" s="136"/>
      <c r="BK444" s="136"/>
      <c r="BL444" s="136"/>
      <c r="BM444" s="136"/>
      <c r="BN444" s="136"/>
      <c r="BO444" s="136"/>
      <c r="BP444" s="136"/>
      <c r="BQ444" s="136"/>
      <c r="BR444" s="136"/>
      <c r="BS444" s="136"/>
      <c r="BT444" s="136"/>
      <c r="BU444" s="136"/>
      <c r="BV444" s="136"/>
      <c r="BW444" s="136"/>
      <c r="BX444" s="136"/>
      <c r="BY444" s="136"/>
      <c r="BZ444" s="136"/>
      <c r="CA444" s="136"/>
      <c r="CB444" s="136"/>
      <c r="CC444" s="136"/>
      <c r="CD444" s="136"/>
      <c r="CE444" s="136"/>
      <c r="CF444" s="136"/>
      <c r="CG444" s="136"/>
      <c r="CH444" s="136"/>
      <c r="CI444" s="136"/>
      <c r="CJ444" s="136"/>
      <c r="CK444" s="136"/>
      <c r="CL444" s="136"/>
      <c r="CM444" s="136"/>
      <c r="CN444" s="136"/>
      <c r="CO444" s="136"/>
      <c r="CP444" s="136"/>
      <c r="CQ444" s="136"/>
      <c r="CR444" s="136"/>
      <c r="CS444" s="136"/>
      <c r="CT444" s="136"/>
      <c r="CU444" s="136"/>
      <c r="CV444" s="136"/>
      <c r="CW444" s="136"/>
      <c r="CX444" s="136"/>
      <c r="CY444" s="136"/>
      <c r="CZ444" s="136"/>
      <c r="DA444" s="136"/>
      <c r="DB444" s="136"/>
      <c r="DC444" s="136"/>
      <c r="DD444" s="136"/>
      <c r="DE444" s="136"/>
      <c r="DF444" s="136"/>
      <c r="DG444" s="136"/>
      <c r="DH444" s="136"/>
      <c r="DI444" s="136"/>
      <c r="DJ444" s="136"/>
      <c r="DK444" s="136"/>
      <c r="DL444" s="136"/>
      <c r="DM444" s="136"/>
      <c r="DN444" s="136"/>
      <c r="DO444" s="136"/>
      <c r="DP444" s="136"/>
      <c r="DQ444" s="136"/>
      <c r="DR444" s="136"/>
      <c r="DS444" s="136"/>
      <c r="DT444" s="136"/>
      <c r="DU444" s="136"/>
      <c r="DV444" s="136"/>
      <c r="DW444" s="136"/>
      <c r="DX444" s="136"/>
      <c r="DY444" s="136"/>
      <c r="DZ444" s="136"/>
      <c r="EA444" s="136"/>
      <c r="EB444" s="136"/>
      <c r="EC444" s="136"/>
      <c r="ED444" s="136"/>
      <c r="EE444" s="136"/>
      <c r="EF444" s="136"/>
      <c r="EG444" s="136"/>
      <c r="EH444" s="136"/>
      <c r="EI444" s="136"/>
      <c r="EJ444" s="136"/>
      <c r="EK444" s="136"/>
      <c r="EL444" s="136"/>
      <c r="EM444" s="136"/>
      <c r="EN444" s="136"/>
      <c r="EO444" s="136"/>
      <c r="EP444" s="136"/>
      <c r="EQ444" s="136"/>
      <c r="ER444" s="136"/>
      <c r="ES444" s="136"/>
      <c r="ET444" s="136"/>
      <c r="EU444" s="136"/>
      <c r="EV444" s="136"/>
      <c r="EW444" s="136"/>
      <c r="EX444" s="136"/>
      <c r="EY444" s="136"/>
      <c r="EZ444" s="136"/>
      <c r="FA444" s="136"/>
      <c r="FB444" s="136"/>
      <c r="FC444" s="136"/>
      <c r="FD444" s="136"/>
      <c r="FE444" s="136"/>
      <c r="FF444" s="136"/>
      <c r="FG444" s="136"/>
      <c r="FH444" s="137"/>
      <c r="FI444" s="138"/>
      <c r="FJ444" s="138"/>
      <c r="FK444" s="138"/>
      <c r="FL444" s="138"/>
      <c r="FM444" s="138"/>
      <c r="FN444" s="138"/>
      <c r="FO444" s="138"/>
      <c r="FP444" s="138"/>
    </row>
    <row r="445" spans="2:172" x14ac:dyDescent="0.2">
      <c r="B445" s="134"/>
      <c r="C445" s="134"/>
      <c r="D445" s="134"/>
      <c r="E445" s="134"/>
      <c r="F445" s="134"/>
      <c r="G445" s="134"/>
      <c r="H445" s="134"/>
      <c r="I445" s="134"/>
      <c r="J445" s="134"/>
      <c r="K445" s="134"/>
      <c r="L445" s="134"/>
      <c r="M445" s="135"/>
      <c r="N445" s="135"/>
      <c r="O445" s="134"/>
      <c r="P445" s="136"/>
      <c r="Q445" s="136"/>
      <c r="R445" s="136"/>
      <c r="S445" s="136"/>
      <c r="T445" s="136"/>
      <c r="U445" s="136"/>
      <c r="V445" s="136"/>
      <c r="W445" s="136"/>
      <c r="X445" s="136"/>
      <c r="Y445" s="136"/>
      <c r="Z445" s="136"/>
      <c r="AA445" s="136"/>
      <c r="AB445" s="136"/>
      <c r="AC445" s="136"/>
      <c r="AD445" s="136"/>
      <c r="AE445" s="136"/>
      <c r="AF445" s="136"/>
      <c r="AG445" s="136"/>
      <c r="AH445" s="136"/>
      <c r="AI445" s="136"/>
      <c r="AJ445" s="136"/>
      <c r="AK445" s="136"/>
      <c r="AL445" s="136"/>
      <c r="AM445" s="136"/>
      <c r="AN445" s="136"/>
      <c r="AO445" s="136"/>
      <c r="AP445" s="136"/>
      <c r="AQ445" s="136"/>
      <c r="AR445" s="136"/>
      <c r="AS445" s="136"/>
      <c r="AT445" s="136"/>
      <c r="AU445" s="136"/>
      <c r="AV445" s="136"/>
      <c r="AW445" s="136"/>
      <c r="AX445" s="136"/>
      <c r="AY445" s="136"/>
      <c r="AZ445" s="136"/>
      <c r="BA445" s="136"/>
      <c r="BB445" s="136"/>
      <c r="BC445" s="136"/>
      <c r="BD445" s="136"/>
      <c r="BE445" s="136"/>
      <c r="BF445" s="136"/>
      <c r="BG445" s="136"/>
      <c r="BH445" s="136"/>
      <c r="BI445" s="136"/>
      <c r="BJ445" s="136"/>
      <c r="BK445" s="136"/>
      <c r="BL445" s="136"/>
      <c r="BM445" s="136"/>
      <c r="BN445" s="136"/>
      <c r="BO445" s="136"/>
      <c r="BP445" s="136"/>
      <c r="BQ445" s="136"/>
      <c r="BR445" s="136"/>
      <c r="BS445" s="136"/>
      <c r="BT445" s="136"/>
      <c r="BU445" s="136"/>
      <c r="BV445" s="136"/>
      <c r="BW445" s="136"/>
      <c r="BX445" s="136"/>
      <c r="BY445" s="136"/>
      <c r="BZ445" s="136"/>
      <c r="CA445" s="136"/>
      <c r="CB445" s="136"/>
      <c r="CC445" s="136"/>
      <c r="CD445" s="136"/>
      <c r="CE445" s="136"/>
      <c r="CF445" s="136"/>
      <c r="CG445" s="136"/>
      <c r="CH445" s="136"/>
      <c r="CI445" s="136"/>
      <c r="CJ445" s="136"/>
      <c r="CK445" s="136"/>
      <c r="CL445" s="136"/>
      <c r="CM445" s="136"/>
      <c r="CN445" s="136"/>
      <c r="CO445" s="136"/>
      <c r="CP445" s="136"/>
      <c r="CQ445" s="136"/>
      <c r="CR445" s="136"/>
      <c r="CS445" s="136"/>
      <c r="CT445" s="136"/>
      <c r="CU445" s="136"/>
      <c r="CV445" s="136"/>
      <c r="CW445" s="136"/>
      <c r="CX445" s="136"/>
      <c r="CY445" s="136"/>
      <c r="CZ445" s="136"/>
      <c r="DA445" s="136"/>
      <c r="DB445" s="136"/>
      <c r="DC445" s="136"/>
      <c r="DD445" s="136"/>
      <c r="DE445" s="136"/>
      <c r="DF445" s="136"/>
      <c r="DG445" s="136"/>
      <c r="DH445" s="136"/>
      <c r="DI445" s="136"/>
      <c r="DJ445" s="136"/>
      <c r="DK445" s="136"/>
      <c r="DL445" s="136"/>
      <c r="DM445" s="136"/>
      <c r="DN445" s="136"/>
      <c r="DO445" s="136"/>
      <c r="DP445" s="136"/>
      <c r="DQ445" s="136"/>
      <c r="DR445" s="136"/>
      <c r="DS445" s="136"/>
      <c r="DT445" s="136"/>
      <c r="DU445" s="136"/>
      <c r="DV445" s="136"/>
      <c r="DW445" s="136"/>
      <c r="DX445" s="136"/>
      <c r="DY445" s="136"/>
      <c r="DZ445" s="136"/>
      <c r="EA445" s="136"/>
      <c r="EB445" s="136"/>
      <c r="EC445" s="136"/>
      <c r="ED445" s="136"/>
      <c r="EE445" s="136"/>
      <c r="EF445" s="136"/>
      <c r="EG445" s="136"/>
      <c r="EH445" s="136"/>
      <c r="EI445" s="136"/>
      <c r="EJ445" s="136"/>
      <c r="EK445" s="136"/>
      <c r="EL445" s="136"/>
      <c r="EM445" s="136"/>
      <c r="EN445" s="136"/>
      <c r="EO445" s="136"/>
      <c r="EP445" s="136"/>
      <c r="EQ445" s="136"/>
      <c r="ER445" s="136"/>
      <c r="ES445" s="136"/>
      <c r="ET445" s="136"/>
      <c r="EU445" s="136"/>
      <c r="EV445" s="136"/>
      <c r="EW445" s="136"/>
      <c r="EX445" s="136"/>
      <c r="EY445" s="136"/>
      <c r="EZ445" s="136"/>
      <c r="FA445" s="136"/>
      <c r="FB445" s="136"/>
      <c r="FC445" s="136"/>
      <c r="FD445" s="136"/>
      <c r="FE445" s="136"/>
      <c r="FF445" s="136"/>
      <c r="FG445" s="136"/>
      <c r="FH445" s="137"/>
      <c r="FI445" s="138"/>
      <c r="FJ445" s="138"/>
      <c r="FK445" s="138"/>
      <c r="FL445" s="138"/>
      <c r="FM445" s="138"/>
      <c r="FN445" s="138"/>
      <c r="FO445" s="138"/>
      <c r="FP445" s="138"/>
    </row>
    <row r="446" spans="2:172" x14ac:dyDescent="0.2">
      <c r="B446" s="134"/>
      <c r="C446" s="134"/>
      <c r="D446" s="134"/>
      <c r="E446" s="134"/>
      <c r="F446" s="134"/>
      <c r="G446" s="134"/>
      <c r="H446" s="134"/>
      <c r="I446" s="134"/>
      <c r="J446" s="134"/>
      <c r="K446" s="134"/>
      <c r="L446" s="134"/>
      <c r="M446" s="135"/>
      <c r="N446" s="135"/>
      <c r="O446" s="134"/>
      <c r="P446" s="136"/>
      <c r="Q446" s="136"/>
      <c r="R446" s="136"/>
      <c r="S446" s="136"/>
      <c r="T446" s="136"/>
      <c r="U446" s="136"/>
      <c r="V446" s="136"/>
      <c r="W446" s="136"/>
      <c r="X446" s="136"/>
      <c r="Y446" s="136"/>
      <c r="Z446" s="136"/>
      <c r="AA446" s="136"/>
      <c r="AB446" s="136"/>
      <c r="AC446" s="136"/>
      <c r="AD446" s="136"/>
      <c r="AE446" s="136"/>
      <c r="AF446" s="136"/>
      <c r="AG446" s="136"/>
      <c r="AH446" s="136"/>
      <c r="AI446" s="136"/>
      <c r="AJ446" s="136"/>
      <c r="AK446" s="136"/>
      <c r="AL446" s="136"/>
      <c r="AM446" s="136"/>
      <c r="AN446" s="136"/>
      <c r="AO446" s="136"/>
      <c r="AP446" s="136"/>
      <c r="AQ446" s="136"/>
      <c r="AR446" s="136"/>
      <c r="AS446" s="136"/>
      <c r="AT446" s="136"/>
      <c r="AU446" s="136"/>
      <c r="AV446" s="136"/>
      <c r="AW446" s="136"/>
      <c r="AX446" s="136"/>
      <c r="AY446" s="136"/>
      <c r="AZ446" s="136"/>
      <c r="BA446" s="136"/>
      <c r="BB446" s="136"/>
      <c r="BC446" s="136"/>
      <c r="BD446" s="136"/>
      <c r="BE446" s="136"/>
      <c r="BF446" s="136"/>
      <c r="BG446" s="136"/>
      <c r="BH446" s="136"/>
      <c r="BI446" s="136"/>
      <c r="BJ446" s="136"/>
      <c r="BK446" s="136"/>
      <c r="BL446" s="136"/>
      <c r="BM446" s="136"/>
      <c r="BN446" s="136"/>
      <c r="BO446" s="136"/>
      <c r="BP446" s="136"/>
      <c r="BQ446" s="136"/>
      <c r="BR446" s="136"/>
      <c r="BS446" s="136"/>
      <c r="BT446" s="136"/>
      <c r="BU446" s="136"/>
      <c r="BV446" s="136"/>
      <c r="BW446" s="136"/>
      <c r="BX446" s="136"/>
      <c r="BY446" s="136"/>
      <c r="BZ446" s="136"/>
      <c r="CA446" s="136"/>
      <c r="CB446" s="136"/>
      <c r="CC446" s="136"/>
      <c r="CD446" s="136"/>
      <c r="CE446" s="136"/>
      <c r="CF446" s="136"/>
      <c r="CG446" s="136"/>
      <c r="CH446" s="136"/>
      <c r="CI446" s="136"/>
      <c r="CJ446" s="136"/>
      <c r="CK446" s="136"/>
      <c r="CL446" s="136"/>
      <c r="CM446" s="136"/>
      <c r="CN446" s="136"/>
      <c r="CO446" s="136"/>
      <c r="CP446" s="136"/>
      <c r="CQ446" s="136"/>
      <c r="CR446" s="136"/>
      <c r="CS446" s="136"/>
      <c r="CT446" s="136"/>
      <c r="CU446" s="136"/>
      <c r="CV446" s="136"/>
      <c r="CW446" s="136"/>
      <c r="CX446" s="136"/>
      <c r="CY446" s="136"/>
      <c r="CZ446" s="136"/>
      <c r="DA446" s="136"/>
      <c r="DB446" s="136"/>
      <c r="DC446" s="136"/>
      <c r="DD446" s="136"/>
      <c r="DE446" s="136"/>
      <c r="DF446" s="136"/>
      <c r="DG446" s="136"/>
      <c r="DH446" s="136"/>
      <c r="DI446" s="136"/>
      <c r="DJ446" s="136"/>
      <c r="DK446" s="136"/>
      <c r="DL446" s="136"/>
      <c r="DM446" s="136"/>
      <c r="DN446" s="136"/>
      <c r="DO446" s="136"/>
      <c r="DP446" s="136"/>
      <c r="DQ446" s="136"/>
      <c r="DR446" s="136"/>
      <c r="DS446" s="136"/>
      <c r="DT446" s="136"/>
      <c r="DU446" s="136"/>
      <c r="DV446" s="136"/>
      <c r="DW446" s="136"/>
      <c r="DX446" s="136"/>
      <c r="DY446" s="136"/>
      <c r="DZ446" s="136"/>
      <c r="EA446" s="136"/>
      <c r="EB446" s="136"/>
      <c r="EC446" s="136"/>
      <c r="ED446" s="136"/>
      <c r="EE446" s="136"/>
      <c r="EF446" s="136"/>
      <c r="EG446" s="136"/>
      <c r="EH446" s="136"/>
      <c r="EI446" s="136"/>
      <c r="EJ446" s="136"/>
      <c r="EK446" s="136"/>
      <c r="EL446" s="136"/>
      <c r="EM446" s="136"/>
      <c r="EN446" s="136"/>
      <c r="EO446" s="136"/>
      <c r="EP446" s="136"/>
      <c r="EQ446" s="136"/>
      <c r="ER446" s="136"/>
      <c r="ES446" s="136"/>
      <c r="ET446" s="136"/>
      <c r="EU446" s="136"/>
      <c r="EV446" s="136"/>
      <c r="EW446" s="136"/>
      <c r="EX446" s="136"/>
      <c r="EY446" s="136"/>
      <c r="EZ446" s="136"/>
      <c r="FA446" s="136"/>
      <c r="FB446" s="136"/>
      <c r="FC446" s="136"/>
      <c r="FD446" s="136"/>
      <c r="FE446" s="136"/>
      <c r="FF446" s="136"/>
      <c r="FG446" s="136"/>
      <c r="FH446" s="137"/>
      <c r="FI446" s="138"/>
      <c r="FJ446" s="138"/>
      <c r="FK446" s="138"/>
      <c r="FL446" s="138"/>
      <c r="FM446" s="138"/>
      <c r="FN446" s="138"/>
      <c r="FO446" s="138"/>
      <c r="FP446" s="138"/>
    </row>
    <row r="447" spans="2:172" x14ac:dyDescent="0.2">
      <c r="B447" s="134"/>
      <c r="C447" s="134"/>
      <c r="D447" s="134"/>
      <c r="E447" s="134"/>
      <c r="F447" s="134"/>
      <c r="G447" s="134"/>
      <c r="H447" s="134"/>
      <c r="I447" s="134"/>
      <c r="J447" s="134"/>
      <c r="K447" s="134"/>
      <c r="L447" s="134"/>
      <c r="M447" s="135"/>
      <c r="N447" s="135"/>
      <c r="O447" s="134"/>
      <c r="P447" s="136"/>
      <c r="Q447" s="136"/>
      <c r="R447" s="136"/>
      <c r="S447" s="136"/>
      <c r="T447" s="136"/>
      <c r="U447" s="136"/>
      <c r="V447" s="136"/>
      <c r="W447" s="136"/>
      <c r="X447" s="136"/>
      <c r="Y447" s="136"/>
      <c r="Z447" s="136"/>
      <c r="AA447" s="136"/>
      <c r="AB447" s="136"/>
      <c r="AC447" s="136"/>
      <c r="AD447" s="136"/>
      <c r="AE447" s="136"/>
      <c r="AF447" s="136"/>
      <c r="AG447" s="136"/>
      <c r="AH447" s="136"/>
      <c r="AI447" s="136"/>
      <c r="AJ447" s="136"/>
      <c r="AK447" s="136"/>
      <c r="AL447" s="136"/>
      <c r="AM447" s="136"/>
      <c r="AN447" s="136"/>
      <c r="AO447" s="136"/>
      <c r="AP447" s="136"/>
      <c r="AQ447" s="136"/>
      <c r="AR447" s="136"/>
      <c r="AS447" s="136"/>
      <c r="AT447" s="136"/>
      <c r="AU447" s="136"/>
      <c r="AV447" s="136"/>
      <c r="AW447" s="136"/>
      <c r="AX447" s="136"/>
      <c r="AY447" s="136"/>
      <c r="AZ447" s="136"/>
      <c r="BA447" s="136"/>
      <c r="BB447" s="136"/>
      <c r="BC447" s="136"/>
      <c r="BD447" s="136"/>
      <c r="BE447" s="136"/>
      <c r="BF447" s="136"/>
      <c r="BG447" s="136"/>
      <c r="BH447" s="136"/>
      <c r="BI447" s="136"/>
      <c r="BJ447" s="136"/>
      <c r="BK447" s="136"/>
      <c r="BL447" s="136"/>
      <c r="BM447" s="136"/>
      <c r="BN447" s="136"/>
      <c r="BO447" s="136"/>
      <c r="BP447" s="136"/>
      <c r="BQ447" s="136"/>
      <c r="BR447" s="136"/>
      <c r="BS447" s="136"/>
      <c r="BT447" s="136"/>
      <c r="BU447" s="136"/>
      <c r="BV447" s="136"/>
      <c r="BW447" s="136"/>
      <c r="BX447" s="136"/>
      <c r="BY447" s="136"/>
      <c r="BZ447" s="136"/>
      <c r="CA447" s="136"/>
      <c r="CB447" s="136"/>
      <c r="CC447" s="136"/>
      <c r="CD447" s="136"/>
      <c r="CE447" s="136"/>
      <c r="CF447" s="136"/>
      <c r="CG447" s="136"/>
      <c r="CH447" s="136"/>
      <c r="CI447" s="136"/>
      <c r="CJ447" s="136"/>
      <c r="CK447" s="136"/>
      <c r="CL447" s="136"/>
      <c r="CM447" s="136"/>
      <c r="CN447" s="136"/>
      <c r="CO447" s="136"/>
      <c r="CP447" s="136"/>
      <c r="CQ447" s="136"/>
      <c r="CR447" s="136"/>
      <c r="CS447" s="136"/>
      <c r="CT447" s="136"/>
      <c r="CU447" s="136"/>
      <c r="CV447" s="136"/>
      <c r="CW447" s="136"/>
      <c r="CX447" s="136"/>
      <c r="CY447" s="136"/>
      <c r="CZ447" s="136"/>
      <c r="DA447" s="136"/>
      <c r="DB447" s="136"/>
      <c r="DC447" s="136"/>
      <c r="DD447" s="136"/>
      <c r="DE447" s="136"/>
      <c r="DF447" s="136"/>
      <c r="DG447" s="136"/>
      <c r="DH447" s="136"/>
      <c r="DI447" s="136"/>
      <c r="DJ447" s="136"/>
      <c r="DK447" s="136"/>
      <c r="DL447" s="136"/>
      <c r="DM447" s="136"/>
      <c r="DN447" s="136"/>
      <c r="DO447" s="136"/>
      <c r="DP447" s="136"/>
      <c r="DQ447" s="136"/>
      <c r="DR447" s="136"/>
      <c r="DS447" s="136"/>
      <c r="DT447" s="136"/>
      <c r="DU447" s="136"/>
      <c r="DV447" s="136"/>
      <c r="DW447" s="136"/>
      <c r="DX447" s="136"/>
      <c r="DY447" s="136"/>
      <c r="DZ447" s="136"/>
      <c r="EA447" s="136"/>
      <c r="EB447" s="136"/>
      <c r="EC447" s="136"/>
      <c r="ED447" s="136"/>
      <c r="EE447" s="136"/>
      <c r="EF447" s="136"/>
      <c r="EG447" s="136"/>
      <c r="EH447" s="136"/>
      <c r="EI447" s="136"/>
      <c r="EJ447" s="136"/>
      <c r="EK447" s="136"/>
      <c r="EL447" s="136"/>
      <c r="EM447" s="136"/>
      <c r="EN447" s="136"/>
      <c r="EO447" s="136"/>
      <c r="EP447" s="136"/>
      <c r="EQ447" s="136"/>
      <c r="ER447" s="136"/>
      <c r="ES447" s="136"/>
      <c r="ET447" s="136"/>
      <c r="EU447" s="136"/>
      <c r="EV447" s="136"/>
      <c r="EW447" s="136"/>
      <c r="EX447" s="136"/>
      <c r="EY447" s="136"/>
      <c r="EZ447" s="136"/>
      <c r="FA447" s="136"/>
      <c r="FB447" s="136"/>
      <c r="FC447" s="136"/>
      <c r="FD447" s="136"/>
      <c r="FE447" s="136"/>
      <c r="FF447" s="136"/>
      <c r="FG447" s="136"/>
      <c r="FH447" s="137"/>
      <c r="FI447" s="138"/>
      <c r="FJ447" s="138"/>
      <c r="FK447" s="138"/>
      <c r="FL447" s="138"/>
      <c r="FM447" s="138"/>
      <c r="FN447" s="138"/>
      <c r="FO447" s="138"/>
      <c r="FP447" s="138"/>
    </row>
    <row r="448" spans="2:172" x14ac:dyDescent="0.2">
      <c r="B448" s="134"/>
      <c r="C448" s="134"/>
      <c r="D448" s="134"/>
      <c r="E448" s="134"/>
      <c r="F448" s="134"/>
      <c r="G448" s="134"/>
      <c r="H448" s="134"/>
      <c r="I448" s="134"/>
      <c r="J448" s="134"/>
      <c r="K448" s="134"/>
      <c r="L448" s="134"/>
      <c r="M448" s="135"/>
      <c r="N448" s="135"/>
      <c r="O448" s="134"/>
      <c r="P448" s="136"/>
      <c r="Q448" s="136"/>
      <c r="R448" s="136"/>
      <c r="S448" s="136"/>
      <c r="T448" s="136"/>
      <c r="U448" s="136"/>
      <c r="V448" s="136"/>
      <c r="W448" s="136"/>
      <c r="X448" s="136"/>
      <c r="Y448" s="136"/>
      <c r="Z448" s="136"/>
      <c r="AA448" s="136"/>
      <c r="AB448" s="136"/>
      <c r="AC448" s="136"/>
      <c r="AD448" s="136"/>
      <c r="AE448" s="136"/>
      <c r="AF448" s="136"/>
      <c r="AG448" s="136"/>
      <c r="AH448" s="136"/>
      <c r="AI448" s="136"/>
      <c r="AJ448" s="136"/>
      <c r="AK448" s="136"/>
      <c r="AL448" s="136"/>
      <c r="AM448" s="136"/>
      <c r="AN448" s="136"/>
      <c r="AO448" s="136"/>
      <c r="AP448" s="136"/>
      <c r="AQ448" s="136"/>
      <c r="AR448" s="136"/>
      <c r="AS448" s="136"/>
      <c r="AT448" s="136"/>
      <c r="AU448" s="136"/>
      <c r="AV448" s="136"/>
      <c r="AW448" s="136"/>
      <c r="AX448" s="136"/>
      <c r="AY448" s="136"/>
      <c r="AZ448" s="136"/>
      <c r="BA448" s="136"/>
      <c r="BB448" s="136"/>
      <c r="BC448" s="136"/>
      <c r="BD448" s="136"/>
      <c r="BE448" s="136"/>
      <c r="BF448" s="136"/>
      <c r="BG448" s="136"/>
      <c r="BH448" s="136"/>
      <c r="BI448" s="136"/>
      <c r="BJ448" s="136"/>
      <c r="BK448" s="136"/>
      <c r="BL448" s="136"/>
      <c r="BM448" s="136"/>
      <c r="BN448" s="136"/>
      <c r="BO448" s="136"/>
      <c r="BP448" s="136"/>
      <c r="BQ448" s="136"/>
      <c r="BR448" s="136"/>
      <c r="BS448" s="136"/>
      <c r="BT448" s="136"/>
      <c r="BU448" s="136"/>
      <c r="BV448" s="136"/>
      <c r="BW448" s="136"/>
      <c r="BX448" s="136"/>
      <c r="BY448" s="136"/>
      <c r="BZ448" s="136"/>
      <c r="CA448" s="136"/>
      <c r="CB448" s="136"/>
      <c r="CC448" s="136"/>
      <c r="CD448" s="136"/>
      <c r="CE448" s="136"/>
      <c r="CF448" s="136"/>
      <c r="CG448" s="136"/>
      <c r="CH448" s="136"/>
      <c r="CI448" s="136"/>
      <c r="CJ448" s="136"/>
      <c r="CK448" s="136"/>
      <c r="CL448" s="136"/>
      <c r="CM448" s="136"/>
      <c r="CN448" s="136"/>
      <c r="CO448" s="136"/>
      <c r="CP448" s="136"/>
      <c r="CQ448" s="136"/>
      <c r="CR448" s="136"/>
      <c r="CS448" s="136"/>
      <c r="CT448" s="136"/>
      <c r="CU448" s="136"/>
      <c r="CV448" s="136"/>
      <c r="CW448" s="136"/>
      <c r="CX448" s="136"/>
      <c r="CY448" s="136"/>
      <c r="CZ448" s="136"/>
      <c r="DA448" s="136"/>
      <c r="DB448" s="136"/>
      <c r="DC448" s="136"/>
      <c r="DD448" s="136"/>
      <c r="DE448" s="136"/>
      <c r="DF448" s="136"/>
      <c r="DG448" s="136"/>
      <c r="DH448" s="136"/>
      <c r="DI448" s="136"/>
      <c r="DJ448" s="136"/>
      <c r="DK448" s="136"/>
      <c r="DL448" s="136"/>
      <c r="DM448" s="136"/>
      <c r="DN448" s="136"/>
      <c r="DO448" s="136"/>
      <c r="DP448" s="136"/>
      <c r="DQ448" s="136"/>
      <c r="DR448" s="136"/>
      <c r="DS448" s="136"/>
      <c r="DT448" s="136"/>
      <c r="DU448" s="136"/>
      <c r="DV448" s="136"/>
      <c r="DW448" s="136"/>
      <c r="DX448" s="136"/>
      <c r="DY448" s="136"/>
      <c r="DZ448" s="136"/>
      <c r="EA448" s="136"/>
      <c r="EB448" s="136"/>
      <c r="EC448" s="136"/>
      <c r="ED448" s="136"/>
      <c r="EE448" s="136"/>
      <c r="EF448" s="136"/>
      <c r="EG448" s="136"/>
      <c r="EH448" s="136"/>
      <c r="EI448" s="136"/>
      <c r="EJ448" s="136"/>
      <c r="EK448" s="136"/>
      <c r="EL448" s="136"/>
      <c r="EM448" s="136"/>
      <c r="EN448" s="136"/>
      <c r="EO448" s="136"/>
      <c r="EP448" s="136"/>
      <c r="EQ448" s="136"/>
      <c r="ER448" s="136"/>
      <c r="ES448" s="136"/>
      <c r="ET448" s="136"/>
      <c r="EU448" s="136"/>
      <c r="EV448" s="136"/>
      <c r="EW448" s="136"/>
      <c r="EX448" s="136"/>
      <c r="EY448" s="136"/>
      <c r="EZ448" s="136"/>
      <c r="FA448" s="136"/>
      <c r="FB448" s="136"/>
      <c r="FC448" s="136"/>
      <c r="FD448" s="136"/>
      <c r="FE448" s="136"/>
      <c r="FF448" s="136"/>
      <c r="FG448" s="136"/>
      <c r="FH448" s="137"/>
      <c r="FI448" s="138"/>
      <c r="FJ448" s="138"/>
      <c r="FK448" s="138"/>
      <c r="FL448" s="138"/>
      <c r="FM448" s="138"/>
      <c r="FN448" s="138"/>
      <c r="FO448" s="138"/>
      <c r="FP448" s="138"/>
    </row>
    <row r="449" spans="2:172" x14ac:dyDescent="0.2">
      <c r="B449" s="134"/>
      <c r="C449" s="134"/>
      <c r="D449" s="134"/>
      <c r="E449" s="134"/>
      <c r="F449" s="134"/>
      <c r="G449" s="134"/>
      <c r="H449" s="134"/>
      <c r="I449" s="134"/>
      <c r="J449" s="134"/>
      <c r="K449" s="134"/>
      <c r="L449" s="134"/>
      <c r="M449" s="135"/>
      <c r="N449" s="135"/>
      <c r="O449" s="134"/>
      <c r="P449" s="136"/>
      <c r="Q449" s="136"/>
      <c r="R449" s="136"/>
      <c r="S449" s="136"/>
      <c r="T449" s="136"/>
      <c r="U449" s="136"/>
      <c r="V449" s="136"/>
      <c r="W449" s="136"/>
      <c r="X449" s="136"/>
      <c r="Y449" s="136"/>
      <c r="Z449" s="136"/>
      <c r="AA449" s="136"/>
      <c r="AB449" s="136"/>
      <c r="AC449" s="136"/>
      <c r="AD449" s="136"/>
      <c r="AE449" s="136"/>
      <c r="AF449" s="136"/>
      <c r="AG449" s="136"/>
      <c r="AH449" s="136"/>
      <c r="AI449" s="136"/>
      <c r="AJ449" s="136"/>
      <c r="AK449" s="136"/>
      <c r="AL449" s="136"/>
      <c r="AM449" s="136"/>
      <c r="AN449" s="136"/>
      <c r="AO449" s="136"/>
      <c r="AP449" s="136"/>
      <c r="AQ449" s="136"/>
      <c r="AR449" s="136"/>
      <c r="AS449" s="136"/>
      <c r="AT449" s="136"/>
      <c r="AU449" s="136"/>
      <c r="AV449" s="136"/>
      <c r="AW449" s="136"/>
      <c r="AX449" s="136"/>
      <c r="AY449" s="136"/>
      <c r="AZ449" s="136"/>
      <c r="BA449" s="136"/>
      <c r="BB449" s="136"/>
      <c r="BC449" s="136"/>
      <c r="BD449" s="136"/>
      <c r="BE449" s="136"/>
      <c r="BF449" s="136"/>
      <c r="BG449" s="136"/>
      <c r="BH449" s="136"/>
      <c r="BI449" s="136"/>
      <c r="BJ449" s="136"/>
      <c r="BK449" s="136"/>
      <c r="BL449" s="136"/>
      <c r="BM449" s="136"/>
      <c r="BN449" s="136"/>
      <c r="BO449" s="136"/>
      <c r="BP449" s="136"/>
      <c r="BQ449" s="136"/>
      <c r="BR449" s="136"/>
      <c r="BS449" s="136"/>
      <c r="BT449" s="136"/>
      <c r="BU449" s="136"/>
      <c r="BV449" s="136"/>
      <c r="BW449" s="136"/>
      <c r="BX449" s="136"/>
      <c r="BY449" s="136"/>
      <c r="BZ449" s="136"/>
      <c r="CA449" s="136"/>
      <c r="CB449" s="136"/>
      <c r="CC449" s="136"/>
      <c r="CD449" s="136"/>
      <c r="CE449" s="136"/>
      <c r="CF449" s="136"/>
      <c r="CG449" s="136"/>
      <c r="CH449" s="136"/>
      <c r="CI449" s="136"/>
      <c r="CJ449" s="136"/>
      <c r="CK449" s="136"/>
      <c r="CL449" s="136"/>
      <c r="CM449" s="136"/>
      <c r="CN449" s="136"/>
      <c r="CO449" s="136"/>
      <c r="CP449" s="136"/>
      <c r="CQ449" s="136"/>
      <c r="CR449" s="136"/>
      <c r="CS449" s="136"/>
      <c r="CT449" s="136"/>
      <c r="CU449" s="136"/>
      <c r="CV449" s="136"/>
      <c r="CW449" s="136"/>
      <c r="CX449" s="136"/>
      <c r="CY449" s="136"/>
      <c r="CZ449" s="136"/>
      <c r="DA449" s="136"/>
      <c r="DB449" s="136"/>
      <c r="DC449" s="136"/>
      <c r="DD449" s="136"/>
      <c r="DE449" s="136"/>
      <c r="DF449" s="136"/>
      <c r="DG449" s="136"/>
      <c r="DH449" s="136"/>
      <c r="DI449" s="136"/>
      <c r="DJ449" s="136"/>
      <c r="DK449" s="136"/>
      <c r="DL449" s="136"/>
      <c r="DM449" s="136"/>
      <c r="DN449" s="136"/>
      <c r="DO449" s="136"/>
      <c r="DP449" s="136"/>
      <c r="DQ449" s="136"/>
      <c r="DR449" s="136"/>
      <c r="DS449" s="136"/>
      <c r="DT449" s="136"/>
      <c r="DU449" s="136"/>
      <c r="DV449" s="136"/>
      <c r="DW449" s="136"/>
      <c r="DX449" s="136"/>
      <c r="DY449" s="136"/>
      <c r="DZ449" s="136"/>
      <c r="EA449" s="136"/>
      <c r="EB449" s="136"/>
      <c r="EC449" s="136"/>
      <c r="ED449" s="136"/>
      <c r="EE449" s="136"/>
      <c r="EF449" s="136"/>
      <c r="EG449" s="136"/>
      <c r="EH449" s="136"/>
      <c r="EI449" s="136"/>
      <c r="EJ449" s="136"/>
      <c r="EK449" s="136"/>
      <c r="EL449" s="136"/>
      <c r="EM449" s="136"/>
      <c r="EN449" s="136"/>
      <c r="EO449" s="136"/>
      <c r="EP449" s="136"/>
      <c r="EQ449" s="136"/>
      <c r="ER449" s="136"/>
      <c r="ES449" s="136"/>
      <c r="ET449" s="136"/>
      <c r="EU449" s="136"/>
      <c r="EV449" s="136"/>
      <c r="EW449" s="136"/>
      <c r="EX449" s="136"/>
      <c r="EY449" s="136"/>
      <c r="EZ449" s="136"/>
      <c r="FA449" s="136"/>
      <c r="FB449" s="136"/>
      <c r="FC449" s="136"/>
      <c r="FD449" s="136"/>
      <c r="FE449" s="136"/>
      <c r="FF449" s="136"/>
      <c r="FG449" s="136"/>
      <c r="FH449" s="137"/>
      <c r="FI449" s="138"/>
      <c r="FJ449" s="138"/>
      <c r="FK449" s="138"/>
      <c r="FL449" s="138"/>
      <c r="FM449" s="138"/>
      <c r="FN449" s="138"/>
      <c r="FO449" s="138"/>
      <c r="FP449" s="138"/>
    </row>
    <row r="450" spans="2:172" x14ac:dyDescent="0.2">
      <c r="B450" s="134"/>
      <c r="C450" s="134"/>
      <c r="D450" s="134"/>
      <c r="E450" s="134"/>
      <c r="F450" s="134"/>
      <c r="G450" s="134"/>
      <c r="H450" s="134"/>
      <c r="I450" s="134"/>
      <c r="J450" s="134"/>
      <c r="K450" s="134"/>
      <c r="L450" s="134"/>
      <c r="M450" s="135"/>
      <c r="N450" s="135"/>
      <c r="O450" s="134"/>
      <c r="P450" s="136"/>
      <c r="Q450" s="136"/>
      <c r="R450" s="136"/>
      <c r="S450" s="136"/>
      <c r="T450" s="136"/>
      <c r="U450" s="136"/>
      <c r="V450" s="136"/>
      <c r="W450" s="136"/>
      <c r="X450" s="136"/>
      <c r="Y450" s="136"/>
      <c r="Z450" s="136"/>
      <c r="AA450" s="136"/>
      <c r="AB450" s="136"/>
      <c r="AC450" s="136"/>
      <c r="AD450" s="136"/>
      <c r="AE450" s="136"/>
      <c r="AF450" s="136"/>
      <c r="AG450" s="136"/>
      <c r="AH450" s="136"/>
      <c r="AI450" s="136"/>
      <c r="AJ450" s="136"/>
      <c r="AK450" s="136"/>
      <c r="AL450" s="136"/>
      <c r="AM450" s="136"/>
      <c r="AN450" s="136"/>
      <c r="AO450" s="136"/>
      <c r="AP450" s="136"/>
      <c r="AQ450" s="136"/>
      <c r="AR450" s="136"/>
      <c r="AS450" s="136"/>
      <c r="AT450" s="136"/>
      <c r="AU450" s="136"/>
      <c r="AV450" s="136"/>
      <c r="AW450" s="136"/>
      <c r="AX450" s="136"/>
      <c r="AY450" s="136"/>
      <c r="AZ450" s="136"/>
      <c r="BA450" s="136"/>
      <c r="BB450" s="136"/>
      <c r="BC450" s="136"/>
      <c r="BD450" s="136"/>
      <c r="BE450" s="136"/>
      <c r="BF450" s="136"/>
      <c r="BG450" s="136"/>
      <c r="BH450" s="136"/>
      <c r="BI450" s="136"/>
      <c r="BJ450" s="136"/>
      <c r="BK450" s="136"/>
      <c r="BL450" s="136"/>
      <c r="BM450" s="136"/>
      <c r="BN450" s="136"/>
      <c r="BO450" s="136"/>
      <c r="BP450" s="136"/>
      <c r="BQ450" s="136"/>
      <c r="BR450" s="136"/>
      <c r="BS450" s="136"/>
      <c r="BT450" s="136"/>
      <c r="BU450" s="136"/>
      <c r="BV450" s="136"/>
      <c r="BW450" s="136"/>
      <c r="BX450" s="136"/>
      <c r="BY450" s="136"/>
      <c r="BZ450" s="136"/>
      <c r="CA450" s="136"/>
      <c r="CB450" s="136"/>
      <c r="CC450" s="136"/>
      <c r="CD450" s="136"/>
      <c r="CE450" s="136"/>
      <c r="CF450" s="136"/>
      <c r="CG450" s="136"/>
      <c r="CH450" s="136"/>
      <c r="CI450" s="136"/>
      <c r="CJ450" s="136"/>
      <c r="CK450" s="136"/>
      <c r="CL450" s="136"/>
      <c r="CM450" s="136"/>
      <c r="CN450" s="136"/>
      <c r="CO450" s="136"/>
      <c r="CP450" s="136"/>
      <c r="CQ450" s="136"/>
      <c r="CR450" s="136"/>
      <c r="CS450" s="136"/>
      <c r="CT450" s="136"/>
      <c r="CU450" s="136"/>
      <c r="CV450" s="136"/>
      <c r="CW450" s="136"/>
      <c r="CX450" s="136"/>
      <c r="CY450" s="136"/>
      <c r="CZ450" s="136"/>
      <c r="DA450" s="136"/>
      <c r="DB450" s="136"/>
      <c r="DC450" s="136"/>
      <c r="DD450" s="136"/>
      <c r="DE450" s="136"/>
      <c r="DF450" s="136"/>
      <c r="DG450" s="136"/>
      <c r="DH450" s="136"/>
      <c r="DI450" s="136"/>
      <c r="DJ450" s="136"/>
      <c r="DK450" s="136"/>
      <c r="DL450" s="136"/>
      <c r="DM450" s="136"/>
      <c r="DN450" s="136"/>
      <c r="DO450" s="136"/>
      <c r="DP450" s="136"/>
      <c r="DQ450" s="136"/>
      <c r="DR450" s="136"/>
      <c r="DS450" s="136"/>
      <c r="DT450" s="136"/>
      <c r="DU450" s="136"/>
      <c r="DV450" s="136"/>
      <c r="DW450" s="136"/>
      <c r="DX450" s="136"/>
      <c r="DY450" s="136"/>
      <c r="DZ450" s="136"/>
      <c r="EA450" s="136"/>
      <c r="EB450" s="136"/>
      <c r="EC450" s="136"/>
      <c r="ED450" s="136"/>
      <c r="EE450" s="136"/>
      <c r="EF450" s="136"/>
      <c r="EG450" s="136"/>
      <c r="EH450" s="136"/>
      <c r="EI450" s="136"/>
      <c r="EJ450" s="136"/>
      <c r="EK450" s="136"/>
      <c r="EL450" s="136"/>
      <c r="EM450" s="136"/>
      <c r="EN450" s="136"/>
      <c r="EO450" s="136"/>
      <c r="EP450" s="136"/>
      <c r="EQ450" s="136"/>
      <c r="ER450" s="136"/>
      <c r="ES450" s="136"/>
      <c r="ET450" s="136"/>
      <c r="EU450" s="136"/>
      <c r="EV450" s="136"/>
      <c r="EW450" s="136"/>
      <c r="EX450" s="136"/>
      <c r="EY450" s="136"/>
      <c r="EZ450" s="136"/>
      <c r="FA450" s="136"/>
      <c r="FB450" s="136"/>
      <c r="FC450" s="136"/>
      <c r="FD450" s="136"/>
      <c r="FE450" s="136"/>
      <c r="FF450" s="136"/>
      <c r="FG450" s="136"/>
      <c r="FH450" s="137"/>
      <c r="FI450" s="138"/>
      <c r="FJ450" s="138"/>
      <c r="FK450" s="138"/>
      <c r="FL450" s="138"/>
      <c r="FM450" s="138"/>
      <c r="FN450" s="138"/>
      <c r="FO450" s="138"/>
      <c r="FP450" s="138"/>
    </row>
    <row r="451" spans="2:172" x14ac:dyDescent="0.2">
      <c r="B451" s="134"/>
      <c r="C451" s="134"/>
      <c r="D451" s="134"/>
      <c r="E451" s="134"/>
      <c r="F451" s="134"/>
      <c r="G451" s="134"/>
      <c r="H451" s="134"/>
      <c r="I451" s="134"/>
      <c r="J451" s="134"/>
      <c r="K451" s="134"/>
      <c r="L451" s="134"/>
      <c r="M451" s="135"/>
      <c r="N451" s="135"/>
      <c r="O451" s="134"/>
      <c r="P451" s="136"/>
      <c r="Q451" s="136"/>
      <c r="R451" s="136"/>
      <c r="S451" s="136"/>
      <c r="T451" s="136"/>
      <c r="U451" s="136"/>
      <c r="V451" s="136"/>
      <c r="W451" s="136"/>
      <c r="X451" s="136"/>
      <c r="Y451" s="136"/>
      <c r="Z451" s="136"/>
      <c r="AA451" s="136"/>
      <c r="AB451" s="136"/>
      <c r="AC451" s="136"/>
      <c r="AD451" s="136"/>
      <c r="AE451" s="136"/>
      <c r="AF451" s="136"/>
      <c r="AG451" s="136"/>
      <c r="AH451" s="136"/>
      <c r="AI451" s="136"/>
      <c r="AJ451" s="136"/>
      <c r="AK451" s="136"/>
      <c r="AL451" s="136"/>
      <c r="AM451" s="136"/>
      <c r="AN451" s="136"/>
      <c r="AO451" s="136"/>
      <c r="AP451" s="136"/>
      <c r="AQ451" s="136"/>
      <c r="AR451" s="136"/>
      <c r="AS451" s="136"/>
      <c r="AT451" s="136"/>
      <c r="AU451" s="136"/>
      <c r="AV451" s="136"/>
      <c r="AW451" s="136"/>
      <c r="AX451" s="136"/>
      <c r="AY451" s="136"/>
      <c r="AZ451" s="136"/>
      <c r="BA451" s="136"/>
      <c r="BB451" s="136"/>
      <c r="BC451" s="136"/>
      <c r="BD451" s="136"/>
      <c r="BE451" s="136"/>
      <c r="BF451" s="136"/>
      <c r="BG451" s="136"/>
      <c r="BH451" s="136"/>
      <c r="BI451" s="136"/>
      <c r="BJ451" s="136"/>
      <c r="BK451" s="136"/>
      <c r="BL451" s="136"/>
      <c r="BM451" s="136"/>
      <c r="BN451" s="136"/>
      <c r="BO451" s="136"/>
      <c r="BP451" s="136"/>
      <c r="BQ451" s="136"/>
      <c r="BR451" s="136"/>
      <c r="BS451" s="136"/>
      <c r="BT451" s="136"/>
      <c r="BU451" s="136"/>
      <c r="BV451" s="136"/>
      <c r="BW451" s="136"/>
      <c r="BX451" s="136"/>
      <c r="BY451" s="136"/>
      <c r="BZ451" s="136"/>
      <c r="CA451" s="136"/>
      <c r="CB451" s="136"/>
      <c r="CC451" s="136"/>
      <c r="CD451" s="136"/>
      <c r="CE451" s="136"/>
      <c r="CF451" s="136"/>
      <c r="CG451" s="136"/>
      <c r="CH451" s="136"/>
      <c r="CI451" s="136"/>
      <c r="CJ451" s="136"/>
      <c r="CK451" s="136"/>
      <c r="CL451" s="136"/>
      <c r="CM451" s="136"/>
      <c r="CN451" s="136"/>
      <c r="CO451" s="136"/>
      <c r="CP451" s="136"/>
      <c r="CQ451" s="136"/>
      <c r="CR451" s="136"/>
      <c r="CS451" s="136"/>
      <c r="CT451" s="136"/>
      <c r="CU451" s="136"/>
      <c r="CV451" s="136"/>
      <c r="CW451" s="136"/>
      <c r="CX451" s="136"/>
      <c r="CY451" s="136"/>
      <c r="CZ451" s="136"/>
      <c r="DA451" s="136"/>
      <c r="DB451" s="136"/>
      <c r="DC451" s="136"/>
      <c r="DD451" s="136"/>
      <c r="DE451" s="136"/>
      <c r="DF451" s="136"/>
      <c r="DG451" s="136"/>
      <c r="DH451" s="136"/>
      <c r="DI451" s="136"/>
      <c r="DJ451" s="136"/>
      <c r="DK451" s="136"/>
      <c r="DL451" s="136"/>
      <c r="DM451" s="136"/>
      <c r="DN451" s="136"/>
      <c r="DO451" s="136"/>
      <c r="DP451" s="136"/>
      <c r="DQ451" s="136"/>
      <c r="DR451" s="136"/>
      <c r="DS451" s="136"/>
      <c r="DT451" s="136"/>
      <c r="DU451" s="136"/>
      <c r="DV451" s="136"/>
      <c r="DW451" s="136"/>
      <c r="DX451" s="136"/>
      <c r="DY451" s="136"/>
      <c r="DZ451" s="136"/>
      <c r="EA451" s="136"/>
      <c r="EB451" s="136"/>
      <c r="EC451" s="136"/>
      <c r="ED451" s="136"/>
      <c r="EE451" s="136"/>
      <c r="EF451" s="136"/>
      <c r="EG451" s="136"/>
      <c r="EH451" s="136"/>
      <c r="EI451" s="136"/>
      <c r="EJ451" s="136"/>
      <c r="EK451" s="136"/>
      <c r="EL451" s="136"/>
      <c r="EM451" s="136"/>
      <c r="EN451" s="136"/>
      <c r="EO451" s="136"/>
      <c r="EP451" s="136"/>
      <c r="EQ451" s="136"/>
      <c r="ER451" s="136"/>
      <c r="ES451" s="136"/>
      <c r="ET451" s="136"/>
      <c r="EU451" s="136"/>
      <c r="EV451" s="136"/>
      <c r="EW451" s="136"/>
      <c r="EX451" s="136"/>
      <c r="EY451" s="136"/>
      <c r="EZ451" s="136"/>
      <c r="FA451" s="136"/>
      <c r="FB451" s="136"/>
      <c r="FC451" s="136"/>
      <c r="FD451" s="136"/>
      <c r="FE451" s="136"/>
      <c r="FF451" s="136"/>
      <c r="FG451" s="136"/>
      <c r="FH451" s="137"/>
      <c r="FI451" s="138"/>
      <c r="FJ451" s="138"/>
      <c r="FK451" s="138"/>
      <c r="FL451" s="138"/>
      <c r="FM451" s="138"/>
      <c r="FN451" s="138"/>
      <c r="FO451" s="138"/>
      <c r="FP451" s="138"/>
    </row>
    <row r="452" spans="2:172" x14ac:dyDescent="0.2">
      <c r="B452" s="134"/>
      <c r="C452" s="134"/>
      <c r="D452" s="134"/>
      <c r="E452" s="134"/>
      <c r="F452" s="134"/>
      <c r="G452" s="134"/>
      <c r="H452" s="134"/>
      <c r="I452" s="134"/>
      <c r="J452" s="134"/>
      <c r="K452" s="134"/>
      <c r="L452" s="134"/>
      <c r="M452" s="135"/>
      <c r="N452" s="135"/>
      <c r="O452" s="134"/>
      <c r="P452" s="136"/>
      <c r="Q452" s="136"/>
      <c r="R452" s="136"/>
      <c r="S452" s="136"/>
      <c r="T452" s="136"/>
      <c r="U452" s="136"/>
      <c r="V452" s="136"/>
      <c r="W452" s="136"/>
      <c r="X452" s="136"/>
      <c r="Y452" s="136"/>
      <c r="Z452" s="136"/>
      <c r="AA452" s="136"/>
      <c r="AB452" s="136"/>
      <c r="AC452" s="136"/>
      <c r="AD452" s="136"/>
      <c r="AE452" s="136"/>
      <c r="AF452" s="136"/>
      <c r="AG452" s="136"/>
      <c r="AH452" s="136"/>
      <c r="AI452" s="136"/>
      <c r="AJ452" s="136"/>
      <c r="AK452" s="136"/>
      <c r="AL452" s="136"/>
      <c r="AM452" s="136"/>
      <c r="AN452" s="136"/>
      <c r="AO452" s="136"/>
      <c r="AP452" s="136"/>
      <c r="AQ452" s="136"/>
      <c r="AR452" s="136"/>
      <c r="AS452" s="136"/>
      <c r="AT452" s="136"/>
      <c r="AU452" s="136"/>
      <c r="AV452" s="136"/>
      <c r="AW452" s="136"/>
      <c r="AX452" s="136"/>
      <c r="AY452" s="136"/>
      <c r="AZ452" s="136"/>
      <c r="BA452" s="136"/>
      <c r="BB452" s="136"/>
      <c r="BC452" s="136"/>
      <c r="BD452" s="136"/>
      <c r="BE452" s="136"/>
      <c r="BF452" s="136"/>
      <c r="BG452" s="136"/>
      <c r="BH452" s="136"/>
      <c r="BI452" s="136"/>
      <c r="BJ452" s="136"/>
      <c r="BK452" s="136"/>
      <c r="BL452" s="136"/>
      <c r="BM452" s="136"/>
      <c r="BN452" s="136"/>
      <c r="BO452" s="136"/>
      <c r="BP452" s="136"/>
      <c r="BQ452" s="136"/>
      <c r="BR452" s="136"/>
      <c r="BS452" s="136"/>
      <c r="BT452" s="136"/>
      <c r="BU452" s="136"/>
      <c r="BV452" s="136"/>
      <c r="BW452" s="136"/>
      <c r="BX452" s="136"/>
      <c r="BY452" s="136"/>
      <c r="BZ452" s="136"/>
      <c r="CA452" s="136"/>
      <c r="CB452" s="136"/>
      <c r="CC452" s="136"/>
      <c r="CD452" s="136"/>
      <c r="CE452" s="136"/>
      <c r="CF452" s="136"/>
      <c r="CG452" s="136"/>
      <c r="CH452" s="136"/>
      <c r="CI452" s="136"/>
      <c r="CJ452" s="136"/>
      <c r="CK452" s="136"/>
      <c r="CL452" s="136"/>
      <c r="CM452" s="136"/>
      <c r="CN452" s="136"/>
      <c r="CO452" s="136"/>
      <c r="CP452" s="136"/>
      <c r="CQ452" s="136"/>
      <c r="CR452" s="136"/>
      <c r="CS452" s="136"/>
      <c r="CT452" s="136"/>
      <c r="CU452" s="136"/>
      <c r="CV452" s="136"/>
      <c r="CW452" s="136"/>
      <c r="CX452" s="136"/>
      <c r="CY452" s="136"/>
      <c r="CZ452" s="136"/>
      <c r="DA452" s="136"/>
      <c r="DB452" s="136"/>
      <c r="DC452" s="136"/>
      <c r="DD452" s="136"/>
      <c r="DE452" s="136"/>
      <c r="DF452" s="136"/>
      <c r="DG452" s="136"/>
      <c r="DH452" s="136"/>
      <c r="DI452" s="136"/>
      <c r="DJ452" s="136"/>
      <c r="DK452" s="136"/>
      <c r="DL452" s="136"/>
      <c r="DM452" s="136"/>
      <c r="DN452" s="136"/>
      <c r="DO452" s="136"/>
      <c r="DP452" s="136"/>
      <c r="DQ452" s="136"/>
      <c r="DR452" s="136"/>
      <c r="DS452" s="136"/>
      <c r="DT452" s="136"/>
      <c r="DU452" s="136"/>
      <c r="DV452" s="136"/>
      <c r="DW452" s="136"/>
      <c r="DX452" s="136"/>
      <c r="DY452" s="136"/>
      <c r="DZ452" s="136"/>
      <c r="EA452" s="136"/>
      <c r="EB452" s="136"/>
      <c r="EC452" s="136"/>
      <c r="ED452" s="136"/>
      <c r="EE452" s="136"/>
      <c r="EF452" s="136"/>
      <c r="EG452" s="136"/>
      <c r="EH452" s="136"/>
      <c r="EI452" s="136"/>
      <c r="EJ452" s="136"/>
      <c r="EK452" s="136"/>
      <c r="EL452" s="136"/>
      <c r="EM452" s="136"/>
      <c r="EN452" s="136"/>
      <c r="EO452" s="136"/>
      <c r="EP452" s="136"/>
      <c r="EQ452" s="136"/>
      <c r="ER452" s="136"/>
      <c r="ES452" s="136"/>
      <c r="ET452" s="136"/>
      <c r="EU452" s="136"/>
      <c r="EV452" s="136"/>
      <c r="EW452" s="136"/>
      <c r="EX452" s="136"/>
      <c r="EY452" s="136"/>
      <c r="EZ452" s="136"/>
      <c r="FA452" s="136"/>
      <c r="FB452" s="136"/>
      <c r="FC452" s="136"/>
      <c r="FD452" s="136"/>
      <c r="FE452" s="136"/>
      <c r="FF452" s="136"/>
      <c r="FG452" s="136"/>
      <c r="FH452" s="137"/>
      <c r="FI452" s="138"/>
      <c r="FJ452" s="138"/>
      <c r="FK452" s="138"/>
      <c r="FL452" s="138"/>
      <c r="FM452" s="138"/>
      <c r="FN452" s="138"/>
      <c r="FO452" s="138"/>
      <c r="FP452" s="138"/>
    </row>
    <row r="453" spans="2:172" x14ac:dyDescent="0.2">
      <c r="B453" s="134"/>
      <c r="C453" s="134"/>
      <c r="D453" s="134"/>
      <c r="E453" s="134"/>
      <c r="F453" s="134"/>
      <c r="G453" s="134"/>
      <c r="H453" s="134"/>
      <c r="I453" s="134"/>
      <c r="J453" s="134"/>
      <c r="K453" s="134"/>
      <c r="L453" s="134"/>
      <c r="M453" s="135"/>
      <c r="N453" s="135"/>
      <c r="O453" s="134"/>
      <c r="P453" s="136"/>
      <c r="Q453" s="136"/>
      <c r="R453" s="136"/>
      <c r="S453" s="136"/>
      <c r="T453" s="136"/>
      <c r="U453" s="136"/>
      <c r="V453" s="136"/>
      <c r="W453" s="136"/>
      <c r="X453" s="136"/>
      <c r="Y453" s="136"/>
      <c r="Z453" s="136"/>
      <c r="AA453" s="136"/>
      <c r="AB453" s="136"/>
      <c r="AC453" s="136"/>
      <c r="AD453" s="136"/>
      <c r="AE453" s="136"/>
      <c r="AF453" s="136"/>
      <c r="AG453" s="136"/>
      <c r="AH453" s="136"/>
      <c r="AI453" s="136"/>
      <c r="AJ453" s="136"/>
      <c r="AK453" s="136"/>
      <c r="AL453" s="136"/>
      <c r="AM453" s="136"/>
      <c r="AN453" s="136"/>
      <c r="AO453" s="136"/>
      <c r="AP453" s="136"/>
      <c r="AQ453" s="136"/>
      <c r="AR453" s="136"/>
      <c r="AS453" s="136"/>
      <c r="AT453" s="136"/>
      <c r="AU453" s="136"/>
      <c r="AV453" s="136"/>
      <c r="AW453" s="136"/>
      <c r="AX453" s="136"/>
      <c r="AY453" s="136"/>
      <c r="AZ453" s="136"/>
      <c r="BA453" s="136"/>
      <c r="BB453" s="136"/>
      <c r="BC453" s="136"/>
      <c r="BD453" s="136"/>
      <c r="BE453" s="136"/>
      <c r="BF453" s="136"/>
      <c r="BG453" s="136"/>
      <c r="BH453" s="136"/>
      <c r="BI453" s="136"/>
      <c r="BJ453" s="136"/>
      <c r="BK453" s="136"/>
      <c r="BL453" s="136"/>
      <c r="BM453" s="136"/>
      <c r="BN453" s="136"/>
      <c r="BO453" s="136"/>
      <c r="BP453" s="136"/>
      <c r="BQ453" s="136"/>
      <c r="BR453" s="136"/>
      <c r="BS453" s="136"/>
      <c r="BT453" s="136"/>
      <c r="BU453" s="136"/>
      <c r="BV453" s="136"/>
      <c r="BW453" s="136"/>
      <c r="BX453" s="136"/>
      <c r="BY453" s="136"/>
      <c r="BZ453" s="136"/>
      <c r="CA453" s="136"/>
      <c r="CB453" s="136"/>
      <c r="CC453" s="136"/>
      <c r="CD453" s="136"/>
      <c r="CE453" s="136"/>
      <c r="CF453" s="136"/>
      <c r="CG453" s="136"/>
      <c r="CH453" s="136"/>
      <c r="CI453" s="136"/>
      <c r="CJ453" s="136"/>
      <c r="CK453" s="136"/>
      <c r="CL453" s="136"/>
      <c r="CM453" s="136"/>
      <c r="CN453" s="136"/>
      <c r="CO453" s="136"/>
      <c r="CP453" s="136"/>
      <c r="CQ453" s="136"/>
      <c r="CR453" s="136"/>
      <c r="CS453" s="136"/>
      <c r="CT453" s="136"/>
      <c r="CU453" s="136"/>
      <c r="CV453" s="136"/>
      <c r="CW453" s="136"/>
      <c r="CX453" s="136"/>
      <c r="CY453" s="136"/>
      <c r="CZ453" s="136"/>
      <c r="DA453" s="136"/>
      <c r="DB453" s="136"/>
      <c r="DC453" s="136"/>
      <c r="DD453" s="136"/>
      <c r="DE453" s="136"/>
      <c r="DF453" s="136"/>
      <c r="DG453" s="136"/>
      <c r="DH453" s="136"/>
      <c r="DI453" s="136"/>
      <c r="DJ453" s="136"/>
      <c r="DK453" s="136"/>
      <c r="DL453" s="136"/>
      <c r="DM453" s="136"/>
      <c r="DN453" s="136"/>
      <c r="DO453" s="136"/>
      <c r="DP453" s="136"/>
      <c r="DQ453" s="136"/>
      <c r="DR453" s="136"/>
      <c r="DS453" s="136"/>
      <c r="DT453" s="136"/>
      <c r="DU453" s="136"/>
      <c r="DV453" s="136"/>
      <c r="DW453" s="136"/>
      <c r="DX453" s="136"/>
      <c r="DY453" s="136"/>
      <c r="DZ453" s="136"/>
      <c r="EA453" s="136"/>
      <c r="EB453" s="136"/>
      <c r="EC453" s="136"/>
      <c r="ED453" s="136"/>
      <c r="EE453" s="136"/>
      <c r="EF453" s="136"/>
      <c r="EG453" s="136"/>
      <c r="EH453" s="136"/>
      <c r="EI453" s="136"/>
      <c r="EJ453" s="136"/>
      <c r="EK453" s="136"/>
      <c r="EL453" s="136"/>
      <c r="EM453" s="136"/>
      <c r="EN453" s="136"/>
      <c r="EO453" s="136"/>
      <c r="EP453" s="136"/>
      <c r="EQ453" s="136"/>
      <c r="ER453" s="136"/>
      <c r="ES453" s="136"/>
      <c r="ET453" s="136"/>
      <c r="EU453" s="136"/>
      <c r="EV453" s="136"/>
      <c r="EW453" s="136"/>
      <c r="EX453" s="136"/>
      <c r="EY453" s="136"/>
      <c r="EZ453" s="136"/>
      <c r="FA453" s="136"/>
      <c r="FB453" s="136"/>
      <c r="FC453" s="136"/>
      <c r="FD453" s="136"/>
      <c r="FE453" s="136"/>
      <c r="FF453" s="136"/>
      <c r="FG453" s="136"/>
      <c r="FH453" s="137"/>
      <c r="FI453" s="138"/>
      <c r="FJ453" s="138"/>
      <c r="FK453" s="138"/>
      <c r="FL453" s="138"/>
      <c r="FM453" s="138"/>
      <c r="FN453" s="138"/>
      <c r="FO453" s="138"/>
      <c r="FP453" s="138"/>
    </row>
    <row r="454" spans="2:172" x14ac:dyDescent="0.2">
      <c r="B454" s="134"/>
      <c r="C454" s="134"/>
      <c r="D454" s="134"/>
      <c r="E454" s="134"/>
      <c r="F454" s="134"/>
      <c r="G454" s="134"/>
      <c r="H454" s="134"/>
      <c r="I454" s="134"/>
      <c r="J454" s="134"/>
      <c r="K454" s="134"/>
      <c r="L454" s="134"/>
      <c r="M454" s="135"/>
      <c r="N454" s="135"/>
      <c r="O454" s="134"/>
      <c r="P454" s="136"/>
      <c r="Q454" s="136"/>
      <c r="R454" s="136"/>
      <c r="S454" s="136"/>
      <c r="T454" s="136"/>
      <c r="U454" s="136"/>
      <c r="V454" s="136"/>
      <c r="W454" s="136"/>
      <c r="X454" s="136"/>
      <c r="Y454" s="136"/>
      <c r="Z454" s="136"/>
      <c r="AA454" s="136"/>
      <c r="AB454" s="136"/>
      <c r="AC454" s="136"/>
      <c r="AD454" s="136"/>
      <c r="AE454" s="136"/>
      <c r="AF454" s="136"/>
      <c r="AG454" s="136"/>
      <c r="AH454" s="136"/>
      <c r="AI454" s="136"/>
      <c r="AJ454" s="136"/>
      <c r="AK454" s="136"/>
      <c r="AL454" s="136"/>
      <c r="AM454" s="136"/>
      <c r="AN454" s="136"/>
      <c r="AO454" s="136"/>
      <c r="AP454" s="136"/>
      <c r="AQ454" s="136"/>
      <c r="AR454" s="136"/>
      <c r="AS454" s="136"/>
      <c r="AT454" s="136"/>
      <c r="AU454" s="136"/>
      <c r="AV454" s="136"/>
      <c r="AW454" s="136"/>
      <c r="AX454" s="136"/>
      <c r="AY454" s="136"/>
      <c r="AZ454" s="136"/>
      <c r="BA454" s="136"/>
      <c r="BB454" s="136"/>
      <c r="BC454" s="136"/>
      <c r="BD454" s="136"/>
      <c r="BE454" s="136"/>
      <c r="BF454" s="136"/>
      <c r="BG454" s="136"/>
      <c r="BH454" s="136"/>
      <c r="BI454" s="136"/>
      <c r="BJ454" s="136"/>
      <c r="BK454" s="136"/>
      <c r="BL454" s="136"/>
      <c r="BM454" s="136"/>
      <c r="BN454" s="136"/>
      <c r="BO454" s="136"/>
      <c r="BP454" s="136"/>
      <c r="BQ454" s="136"/>
      <c r="BR454" s="136"/>
      <c r="BS454" s="136"/>
      <c r="BT454" s="136"/>
      <c r="BU454" s="136"/>
      <c r="BV454" s="136"/>
      <c r="BW454" s="136"/>
      <c r="BX454" s="136"/>
      <c r="BY454" s="136"/>
      <c r="BZ454" s="136"/>
      <c r="CA454" s="136"/>
      <c r="CB454" s="136"/>
      <c r="CC454" s="136"/>
      <c r="CD454" s="136"/>
      <c r="CE454" s="136"/>
      <c r="CF454" s="136"/>
      <c r="CG454" s="136"/>
      <c r="CH454" s="136"/>
      <c r="CI454" s="136"/>
      <c r="CJ454" s="136"/>
      <c r="CK454" s="136"/>
      <c r="CL454" s="136"/>
      <c r="CM454" s="136"/>
      <c r="CN454" s="136"/>
      <c r="CO454" s="136"/>
      <c r="CP454" s="136"/>
      <c r="CQ454" s="136"/>
      <c r="CR454" s="136"/>
      <c r="CS454" s="136"/>
      <c r="CT454" s="136"/>
      <c r="CU454" s="136"/>
      <c r="CV454" s="136"/>
      <c r="CW454" s="136"/>
      <c r="CX454" s="136"/>
      <c r="CY454" s="136"/>
      <c r="CZ454" s="136"/>
      <c r="DA454" s="136"/>
      <c r="DB454" s="136"/>
      <c r="DC454" s="136"/>
      <c r="DD454" s="136"/>
      <c r="DE454" s="136"/>
      <c r="DF454" s="136"/>
      <c r="DG454" s="136"/>
      <c r="DH454" s="136"/>
      <c r="DI454" s="136"/>
      <c r="DJ454" s="136"/>
      <c r="DK454" s="136"/>
      <c r="DL454" s="136"/>
      <c r="DM454" s="136"/>
      <c r="DN454" s="136"/>
      <c r="DO454" s="136"/>
      <c r="DP454" s="136"/>
      <c r="DQ454" s="136"/>
      <c r="DR454" s="136"/>
      <c r="DS454" s="136"/>
      <c r="DT454" s="136"/>
      <c r="DU454" s="136"/>
      <c r="DV454" s="136"/>
      <c r="DW454" s="136"/>
      <c r="DX454" s="136"/>
      <c r="DY454" s="136"/>
      <c r="DZ454" s="136"/>
      <c r="EA454" s="136"/>
      <c r="EB454" s="136"/>
      <c r="EC454" s="136"/>
      <c r="ED454" s="136"/>
      <c r="EE454" s="136"/>
      <c r="EF454" s="136"/>
      <c r="EG454" s="136"/>
      <c r="EH454" s="136"/>
      <c r="EI454" s="136"/>
      <c r="EJ454" s="136"/>
      <c r="EK454" s="136"/>
      <c r="EL454" s="136"/>
      <c r="EM454" s="136"/>
      <c r="EN454" s="136"/>
      <c r="EO454" s="136"/>
      <c r="EP454" s="136"/>
      <c r="EQ454" s="136"/>
      <c r="ER454" s="136"/>
      <c r="ES454" s="136"/>
      <c r="ET454" s="136"/>
      <c r="EU454" s="136"/>
      <c r="EV454" s="136"/>
      <c r="EW454" s="136"/>
      <c r="EX454" s="136"/>
      <c r="EY454" s="136"/>
      <c r="EZ454" s="136"/>
      <c r="FA454" s="136"/>
      <c r="FB454" s="136"/>
      <c r="FC454" s="136"/>
      <c r="FD454" s="136"/>
      <c r="FE454" s="136"/>
      <c r="FF454" s="136"/>
      <c r="FG454" s="136"/>
      <c r="FH454" s="137"/>
      <c r="FI454" s="138"/>
      <c r="FJ454" s="138"/>
      <c r="FK454" s="138"/>
      <c r="FL454" s="138"/>
      <c r="FM454" s="138"/>
      <c r="FN454" s="138"/>
      <c r="FO454" s="138"/>
      <c r="FP454" s="138"/>
    </row>
    <row r="455" spans="2:172" x14ac:dyDescent="0.2">
      <c r="B455" s="134"/>
      <c r="C455" s="134"/>
      <c r="D455" s="134"/>
      <c r="E455" s="134"/>
      <c r="F455" s="134"/>
      <c r="G455" s="134"/>
      <c r="H455" s="134"/>
      <c r="I455" s="134"/>
      <c r="J455" s="134"/>
      <c r="K455" s="134"/>
      <c r="L455" s="134"/>
      <c r="M455" s="135"/>
      <c r="N455" s="135"/>
      <c r="O455" s="134"/>
      <c r="P455" s="136"/>
      <c r="Q455" s="136"/>
      <c r="R455" s="136"/>
      <c r="S455" s="136"/>
      <c r="T455" s="136"/>
      <c r="U455" s="136"/>
      <c r="V455" s="136"/>
      <c r="W455" s="136"/>
      <c r="X455" s="136"/>
      <c r="Y455" s="136"/>
      <c r="Z455" s="136"/>
      <c r="AA455" s="136"/>
      <c r="AB455" s="136"/>
      <c r="AC455" s="136"/>
      <c r="AD455" s="136"/>
      <c r="AE455" s="136"/>
      <c r="AF455" s="136"/>
      <c r="AG455" s="136"/>
      <c r="AH455" s="136"/>
      <c r="AI455" s="136"/>
      <c r="AJ455" s="136"/>
      <c r="AK455" s="136"/>
      <c r="AL455" s="136"/>
      <c r="AM455" s="136"/>
      <c r="AN455" s="136"/>
      <c r="AO455" s="136"/>
      <c r="AP455" s="136"/>
      <c r="AQ455" s="136"/>
      <c r="AR455" s="136"/>
      <c r="AS455" s="136"/>
      <c r="AT455" s="136"/>
      <c r="AU455" s="136"/>
      <c r="AV455" s="136"/>
      <c r="AW455" s="136"/>
      <c r="AX455" s="136"/>
      <c r="AY455" s="136"/>
      <c r="AZ455" s="136"/>
      <c r="BA455" s="136"/>
      <c r="BB455" s="136"/>
      <c r="BC455" s="136"/>
      <c r="BD455" s="136"/>
      <c r="BE455" s="136"/>
      <c r="BF455" s="136"/>
      <c r="BG455" s="136"/>
      <c r="BH455" s="136"/>
      <c r="BI455" s="136"/>
      <c r="BJ455" s="136"/>
      <c r="BK455" s="136"/>
      <c r="BL455" s="136"/>
      <c r="BM455" s="136"/>
      <c r="BN455" s="136"/>
      <c r="BO455" s="136"/>
      <c r="BP455" s="136"/>
      <c r="BQ455" s="136"/>
      <c r="BR455" s="136"/>
      <c r="BS455" s="136"/>
      <c r="BT455" s="136"/>
      <c r="BU455" s="136"/>
      <c r="BV455" s="136"/>
      <c r="BW455" s="136"/>
      <c r="BX455" s="136"/>
      <c r="BY455" s="136"/>
      <c r="BZ455" s="136"/>
      <c r="CA455" s="136"/>
      <c r="CB455" s="136"/>
      <c r="CC455" s="136"/>
      <c r="CD455" s="136"/>
      <c r="CE455" s="136"/>
      <c r="CF455" s="136"/>
      <c r="CG455" s="136"/>
      <c r="CH455" s="136"/>
      <c r="CI455" s="136"/>
      <c r="CJ455" s="136"/>
      <c r="CK455" s="136"/>
      <c r="CL455" s="136"/>
      <c r="CM455" s="136"/>
      <c r="CN455" s="136"/>
      <c r="CO455" s="136"/>
      <c r="CP455" s="136"/>
      <c r="CQ455" s="136"/>
      <c r="CR455" s="136"/>
      <c r="CS455" s="136"/>
      <c r="CT455" s="136"/>
      <c r="CU455" s="136"/>
      <c r="CV455" s="136"/>
      <c r="CW455" s="136"/>
      <c r="CX455" s="136"/>
      <c r="CY455" s="136"/>
      <c r="CZ455" s="136"/>
      <c r="DA455" s="136"/>
      <c r="DB455" s="136"/>
      <c r="DC455" s="136"/>
      <c r="DD455" s="136"/>
      <c r="DE455" s="136"/>
      <c r="DF455" s="136"/>
      <c r="DG455" s="136"/>
      <c r="DH455" s="136"/>
      <c r="DI455" s="136"/>
      <c r="DJ455" s="136"/>
      <c r="DK455" s="136"/>
      <c r="DL455" s="136"/>
      <c r="DM455" s="136"/>
      <c r="DN455" s="136"/>
      <c r="DO455" s="136"/>
      <c r="DP455" s="136"/>
      <c r="DQ455" s="136"/>
      <c r="DR455" s="136"/>
      <c r="DS455" s="136"/>
      <c r="DT455" s="136"/>
      <c r="DU455" s="136"/>
      <c r="DV455" s="136"/>
      <c r="DW455" s="136"/>
      <c r="DX455" s="136"/>
      <c r="DY455" s="136"/>
      <c r="DZ455" s="136"/>
      <c r="EA455" s="136"/>
      <c r="EB455" s="136"/>
      <c r="EC455" s="136"/>
      <c r="ED455" s="136"/>
      <c r="EE455" s="136"/>
      <c r="EF455" s="136"/>
      <c r="EG455" s="136"/>
      <c r="EH455" s="136"/>
      <c r="EI455" s="136"/>
      <c r="EJ455" s="136"/>
      <c r="EK455" s="136"/>
      <c r="EL455" s="136"/>
      <c r="EM455" s="136"/>
      <c r="EN455" s="136"/>
      <c r="EO455" s="136"/>
      <c r="EP455" s="136"/>
      <c r="EQ455" s="136"/>
      <c r="ER455" s="136"/>
      <c r="ES455" s="136"/>
      <c r="ET455" s="136"/>
      <c r="EU455" s="136"/>
      <c r="EV455" s="136"/>
      <c r="EW455" s="136"/>
      <c r="EX455" s="136"/>
      <c r="EY455" s="136"/>
      <c r="EZ455" s="136"/>
      <c r="FA455" s="136"/>
      <c r="FB455" s="136"/>
      <c r="FC455" s="136"/>
      <c r="FD455" s="136"/>
      <c r="FE455" s="136"/>
      <c r="FF455" s="136"/>
      <c r="FG455" s="136"/>
      <c r="FH455" s="137"/>
      <c r="FI455" s="138"/>
      <c r="FJ455" s="138"/>
      <c r="FK455" s="138"/>
      <c r="FL455" s="138"/>
      <c r="FM455" s="138"/>
      <c r="FN455" s="138"/>
      <c r="FO455" s="138"/>
      <c r="FP455" s="138"/>
    </row>
    <row r="456" spans="2:172" x14ac:dyDescent="0.2">
      <c r="B456" s="134"/>
      <c r="C456" s="134"/>
      <c r="D456" s="134"/>
      <c r="E456" s="134"/>
      <c r="F456" s="134"/>
      <c r="G456" s="134"/>
      <c r="H456" s="134"/>
      <c r="I456" s="134"/>
      <c r="J456" s="134"/>
      <c r="K456" s="134"/>
      <c r="L456" s="134"/>
      <c r="M456" s="135"/>
      <c r="N456" s="135"/>
      <c r="O456" s="134"/>
      <c r="P456" s="136"/>
      <c r="Q456" s="136"/>
      <c r="R456" s="136"/>
      <c r="S456" s="136"/>
      <c r="T456" s="136"/>
      <c r="U456" s="136"/>
      <c r="V456" s="136"/>
      <c r="W456" s="136"/>
      <c r="X456" s="136"/>
      <c r="Y456" s="136"/>
      <c r="Z456" s="136"/>
      <c r="AA456" s="136"/>
      <c r="AB456" s="136"/>
      <c r="AC456" s="136"/>
      <c r="AD456" s="136"/>
      <c r="AE456" s="136"/>
      <c r="AF456" s="136"/>
      <c r="AG456" s="136"/>
      <c r="AH456" s="136"/>
      <c r="AI456" s="136"/>
      <c r="AJ456" s="136"/>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c r="BZ456" s="136"/>
      <c r="CA456" s="136"/>
      <c r="CB456" s="136"/>
      <c r="CC456" s="136"/>
      <c r="CD456" s="136"/>
      <c r="CE456" s="136"/>
      <c r="CF456" s="136"/>
      <c r="CG456" s="136"/>
      <c r="CH456" s="136"/>
      <c r="CI456" s="136"/>
      <c r="CJ456" s="136"/>
      <c r="CK456" s="136"/>
      <c r="CL456" s="136"/>
      <c r="CM456" s="136"/>
      <c r="CN456" s="136"/>
      <c r="CO456" s="136"/>
      <c r="CP456" s="136"/>
      <c r="CQ456" s="136"/>
      <c r="CR456" s="136"/>
      <c r="CS456" s="136"/>
      <c r="CT456" s="136"/>
      <c r="CU456" s="136"/>
      <c r="CV456" s="136"/>
      <c r="CW456" s="136"/>
      <c r="CX456" s="136"/>
      <c r="CY456" s="136"/>
      <c r="CZ456" s="136"/>
      <c r="DA456" s="136"/>
      <c r="DB456" s="136"/>
      <c r="DC456" s="136"/>
      <c r="DD456" s="136"/>
      <c r="DE456" s="136"/>
      <c r="DF456" s="136"/>
      <c r="DG456" s="136"/>
      <c r="DH456" s="136"/>
      <c r="DI456" s="136"/>
      <c r="DJ456" s="136"/>
      <c r="DK456" s="136"/>
      <c r="DL456" s="136"/>
      <c r="DM456" s="136"/>
      <c r="DN456" s="136"/>
      <c r="DO456" s="136"/>
      <c r="DP456" s="136"/>
      <c r="DQ456" s="136"/>
      <c r="DR456" s="136"/>
      <c r="DS456" s="136"/>
      <c r="DT456" s="136"/>
      <c r="DU456" s="136"/>
      <c r="DV456" s="136"/>
      <c r="DW456" s="136"/>
      <c r="DX456" s="136"/>
      <c r="DY456" s="136"/>
      <c r="DZ456" s="136"/>
      <c r="EA456" s="136"/>
      <c r="EB456" s="136"/>
      <c r="EC456" s="136"/>
      <c r="ED456" s="136"/>
      <c r="EE456" s="136"/>
      <c r="EF456" s="136"/>
      <c r="EG456" s="136"/>
      <c r="EH456" s="136"/>
      <c r="EI456" s="136"/>
      <c r="EJ456" s="136"/>
      <c r="EK456" s="136"/>
      <c r="EL456" s="136"/>
      <c r="EM456" s="136"/>
      <c r="EN456" s="136"/>
      <c r="EO456" s="136"/>
      <c r="EP456" s="136"/>
      <c r="EQ456" s="136"/>
      <c r="ER456" s="136"/>
      <c r="ES456" s="136"/>
      <c r="ET456" s="136"/>
      <c r="EU456" s="136"/>
      <c r="EV456" s="136"/>
      <c r="EW456" s="136"/>
      <c r="EX456" s="136"/>
      <c r="EY456" s="136"/>
      <c r="EZ456" s="136"/>
      <c r="FA456" s="136"/>
      <c r="FB456" s="136"/>
      <c r="FC456" s="136"/>
      <c r="FD456" s="136"/>
      <c r="FE456" s="136"/>
      <c r="FF456" s="136"/>
      <c r="FG456" s="136"/>
      <c r="FH456" s="137"/>
      <c r="FI456" s="138"/>
      <c r="FJ456" s="138"/>
      <c r="FK456" s="138"/>
      <c r="FL456" s="138"/>
      <c r="FM456" s="138"/>
      <c r="FN456" s="138"/>
      <c r="FO456" s="138"/>
      <c r="FP456" s="138"/>
    </row>
    <row r="457" spans="2:172" x14ac:dyDescent="0.2">
      <c r="B457" s="134"/>
      <c r="C457" s="134"/>
      <c r="D457" s="134"/>
      <c r="E457" s="134"/>
      <c r="F457" s="134"/>
      <c r="G457" s="134"/>
      <c r="H457" s="134"/>
      <c r="I457" s="134"/>
      <c r="J457" s="134"/>
      <c r="K457" s="134"/>
      <c r="L457" s="134"/>
      <c r="M457" s="135"/>
      <c r="N457" s="135"/>
      <c r="O457" s="134"/>
      <c r="P457" s="136"/>
      <c r="Q457" s="136"/>
      <c r="R457" s="136"/>
      <c r="S457" s="136"/>
      <c r="T457" s="136"/>
      <c r="U457" s="136"/>
      <c r="V457" s="136"/>
      <c r="W457" s="136"/>
      <c r="X457" s="136"/>
      <c r="Y457" s="136"/>
      <c r="Z457" s="136"/>
      <c r="AA457" s="136"/>
      <c r="AB457" s="136"/>
      <c r="AC457" s="136"/>
      <c r="AD457" s="136"/>
      <c r="AE457" s="136"/>
      <c r="AF457" s="136"/>
      <c r="AG457" s="136"/>
      <c r="AH457" s="136"/>
      <c r="AI457" s="136"/>
      <c r="AJ457" s="136"/>
      <c r="AK457" s="136"/>
      <c r="AL457" s="136"/>
      <c r="AM457" s="136"/>
      <c r="AN457" s="136"/>
      <c r="AO457" s="136"/>
      <c r="AP457" s="136"/>
      <c r="AQ457" s="136"/>
      <c r="AR457" s="136"/>
      <c r="AS457" s="136"/>
      <c r="AT457" s="136"/>
      <c r="AU457" s="136"/>
      <c r="AV457" s="136"/>
      <c r="AW457" s="136"/>
      <c r="AX457" s="136"/>
      <c r="AY457" s="136"/>
      <c r="AZ457" s="136"/>
      <c r="BA457" s="136"/>
      <c r="BB457" s="136"/>
      <c r="BC457" s="136"/>
      <c r="BD457" s="136"/>
      <c r="BE457" s="136"/>
      <c r="BF457" s="136"/>
      <c r="BG457" s="136"/>
      <c r="BH457" s="136"/>
      <c r="BI457" s="136"/>
      <c r="BJ457" s="136"/>
      <c r="BK457" s="136"/>
      <c r="BL457" s="136"/>
      <c r="BM457" s="136"/>
      <c r="BN457" s="136"/>
      <c r="BO457" s="136"/>
      <c r="BP457" s="136"/>
      <c r="BQ457" s="136"/>
      <c r="BR457" s="136"/>
      <c r="BS457" s="136"/>
      <c r="BT457" s="136"/>
      <c r="BU457" s="136"/>
      <c r="BV457" s="136"/>
      <c r="BW457" s="136"/>
      <c r="BX457" s="136"/>
      <c r="BY457" s="136"/>
      <c r="BZ457" s="136"/>
      <c r="CA457" s="136"/>
      <c r="CB457" s="136"/>
      <c r="CC457" s="136"/>
      <c r="CD457" s="136"/>
      <c r="CE457" s="136"/>
      <c r="CF457" s="136"/>
      <c r="CG457" s="136"/>
      <c r="CH457" s="136"/>
      <c r="CI457" s="136"/>
      <c r="CJ457" s="136"/>
      <c r="CK457" s="136"/>
      <c r="CL457" s="136"/>
      <c r="CM457" s="136"/>
      <c r="CN457" s="136"/>
      <c r="CO457" s="136"/>
      <c r="CP457" s="136"/>
      <c r="CQ457" s="136"/>
      <c r="CR457" s="136"/>
      <c r="CS457" s="136"/>
      <c r="CT457" s="136"/>
      <c r="CU457" s="136"/>
      <c r="CV457" s="136"/>
      <c r="CW457" s="136"/>
      <c r="CX457" s="136"/>
      <c r="CY457" s="136"/>
      <c r="CZ457" s="136"/>
      <c r="DA457" s="136"/>
      <c r="DB457" s="136"/>
      <c r="DC457" s="136"/>
      <c r="DD457" s="136"/>
      <c r="DE457" s="136"/>
      <c r="DF457" s="136"/>
      <c r="DG457" s="136"/>
      <c r="DH457" s="136"/>
      <c r="DI457" s="136"/>
      <c r="DJ457" s="136"/>
      <c r="DK457" s="136"/>
      <c r="DL457" s="136"/>
      <c r="DM457" s="136"/>
      <c r="DN457" s="136"/>
      <c r="DO457" s="136"/>
      <c r="DP457" s="136"/>
      <c r="DQ457" s="136"/>
      <c r="DR457" s="136"/>
      <c r="DS457" s="136"/>
      <c r="DT457" s="136"/>
      <c r="DU457" s="136"/>
      <c r="DV457" s="136"/>
      <c r="DW457" s="136"/>
      <c r="DX457" s="136"/>
      <c r="DY457" s="136"/>
      <c r="DZ457" s="136"/>
      <c r="EA457" s="136"/>
      <c r="EB457" s="136"/>
      <c r="EC457" s="136"/>
      <c r="ED457" s="136"/>
      <c r="EE457" s="136"/>
      <c r="EF457" s="136"/>
      <c r="EG457" s="136"/>
      <c r="EH457" s="136"/>
      <c r="EI457" s="136"/>
      <c r="EJ457" s="136"/>
      <c r="EK457" s="136"/>
      <c r="EL457" s="136"/>
      <c r="EM457" s="136"/>
      <c r="EN457" s="136"/>
      <c r="EO457" s="136"/>
      <c r="EP457" s="136"/>
      <c r="EQ457" s="136"/>
      <c r="ER457" s="136"/>
      <c r="ES457" s="136"/>
      <c r="ET457" s="136"/>
      <c r="EU457" s="136"/>
      <c r="EV457" s="136"/>
      <c r="EW457" s="136"/>
      <c r="EX457" s="136"/>
      <c r="EY457" s="136"/>
      <c r="EZ457" s="136"/>
      <c r="FA457" s="136"/>
      <c r="FB457" s="136"/>
      <c r="FC457" s="136"/>
      <c r="FD457" s="136"/>
      <c r="FE457" s="136"/>
      <c r="FF457" s="136"/>
      <c r="FG457" s="136"/>
      <c r="FH457" s="137"/>
      <c r="FI457" s="138"/>
      <c r="FJ457" s="138"/>
      <c r="FK457" s="138"/>
      <c r="FL457" s="138"/>
      <c r="FM457" s="138"/>
      <c r="FN457" s="138"/>
      <c r="FO457" s="138"/>
      <c r="FP457" s="138"/>
    </row>
    <row r="458" spans="2:172" x14ac:dyDescent="0.2">
      <c r="B458" s="134"/>
      <c r="C458" s="134"/>
      <c r="D458" s="134"/>
      <c r="E458" s="134"/>
      <c r="F458" s="134"/>
      <c r="G458" s="134"/>
      <c r="H458" s="134"/>
      <c r="I458" s="134"/>
      <c r="J458" s="134"/>
      <c r="K458" s="134"/>
      <c r="L458" s="134"/>
      <c r="M458" s="135"/>
      <c r="N458" s="135"/>
      <c r="O458" s="134"/>
      <c r="P458" s="136"/>
      <c r="Q458" s="136"/>
      <c r="R458" s="136"/>
      <c r="S458" s="136"/>
      <c r="T458" s="136"/>
      <c r="U458" s="136"/>
      <c r="V458" s="136"/>
      <c r="W458" s="136"/>
      <c r="X458" s="136"/>
      <c r="Y458" s="136"/>
      <c r="Z458" s="136"/>
      <c r="AA458" s="136"/>
      <c r="AB458" s="136"/>
      <c r="AC458" s="136"/>
      <c r="AD458" s="136"/>
      <c r="AE458" s="136"/>
      <c r="AF458" s="136"/>
      <c r="AG458" s="136"/>
      <c r="AH458" s="136"/>
      <c r="AI458" s="136"/>
      <c r="AJ458" s="136"/>
      <c r="AK458" s="136"/>
      <c r="AL458" s="136"/>
      <c r="AM458" s="136"/>
      <c r="AN458" s="136"/>
      <c r="AO458" s="136"/>
      <c r="AP458" s="136"/>
      <c r="AQ458" s="136"/>
      <c r="AR458" s="136"/>
      <c r="AS458" s="136"/>
      <c r="AT458" s="136"/>
      <c r="AU458" s="136"/>
      <c r="AV458" s="136"/>
      <c r="AW458" s="136"/>
      <c r="AX458" s="136"/>
      <c r="AY458" s="136"/>
      <c r="AZ458" s="136"/>
      <c r="BA458" s="136"/>
      <c r="BB458" s="136"/>
      <c r="BC458" s="136"/>
      <c r="BD458" s="136"/>
      <c r="BE458" s="136"/>
      <c r="BF458" s="136"/>
      <c r="BG458" s="136"/>
      <c r="BH458" s="136"/>
      <c r="BI458" s="136"/>
      <c r="BJ458" s="136"/>
      <c r="BK458" s="136"/>
      <c r="BL458" s="136"/>
      <c r="BM458" s="136"/>
      <c r="BN458" s="136"/>
      <c r="BO458" s="136"/>
      <c r="BP458" s="136"/>
      <c r="BQ458" s="136"/>
      <c r="BR458" s="136"/>
      <c r="BS458" s="136"/>
      <c r="BT458" s="136"/>
      <c r="BU458" s="136"/>
      <c r="BV458" s="136"/>
      <c r="BW458" s="136"/>
      <c r="BX458" s="136"/>
      <c r="BY458" s="136"/>
      <c r="BZ458" s="136"/>
      <c r="CA458" s="136"/>
      <c r="CB458" s="136"/>
      <c r="CC458" s="136"/>
      <c r="CD458" s="136"/>
      <c r="CE458" s="136"/>
      <c r="CF458" s="136"/>
      <c r="CG458" s="136"/>
      <c r="CH458" s="136"/>
      <c r="CI458" s="136"/>
      <c r="CJ458" s="136"/>
      <c r="CK458" s="136"/>
      <c r="CL458" s="136"/>
      <c r="CM458" s="136"/>
      <c r="CN458" s="136"/>
      <c r="CO458" s="136"/>
      <c r="CP458" s="136"/>
      <c r="CQ458" s="136"/>
      <c r="CR458" s="136"/>
      <c r="CS458" s="136"/>
      <c r="CT458" s="136"/>
      <c r="CU458" s="136"/>
      <c r="CV458" s="136"/>
      <c r="CW458" s="136"/>
      <c r="CX458" s="136"/>
      <c r="CY458" s="136"/>
      <c r="CZ458" s="136"/>
      <c r="DA458" s="136"/>
      <c r="DB458" s="136"/>
      <c r="DC458" s="136"/>
      <c r="DD458" s="136"/>
      <c r="DE458" s="136"/>
      <c r="DF458" s="136"/>
      <c r="DG458" s="136"/>
      <c r="DH458" s="136"/>
      <c r="DI458" s="136"/>
      <c r="DJ458" s="136"/>
      <c r="DK458" s="136"/>
      <c r="DL458" s="136"/>
      <c r="DM458" s="136"/>
      <c r="DN458" s="136"/>
      <c r="DO458" s="136"/>
      <c r="DP458" s="136"/>
      <c r="DQ458" s="136"/>
      <c r="DR458" s="136"/>
      <c r="DS458" s="136"/>
      <c r="DT458" s="136"/>
      <c r="DU458" s="136"/>
      <c r="DV458" s="136"/>
      <c r="DW458" s="136"/>
      <c r="DX458" s="136"/>
      <c r="DY458" s="136"/>
      <c r="DZ458" s="136"/>
      <c r="EA458" s="136"/>
      <c r="EB458" s="136"/>
      <c r="EC458" s="136"/>
      <c r="ED458" s="136"/>
      <c r="EE458" s="136"/>
      <c r="EF458" s="136"/>
      <c r="EG458" s="136"/>
      <c r="EH458" s="136"/>
      <c r="EI458" s="136"/>
      <c r="EJ458" s="136"/>
      <c r="EK458" s="136"/>
      <c r="EL458" s="136"/>
      <c r="EM458" s="136"/>
      <c r="EN458" s="136"/>
      <c r="EO458" s="136"/>
      <c r="EP458" s="136"/>
      <c r="EQ458" s="136"/>
      <c r="ER458" s="136"/>
      <c r="ES458" s="136"/>
      <c r="ET458" s="136"/>
      <c r="EU458" s="136"/>
      <c r="EV458" s="136"/>
      <c r="EW458" s="136"/>
      <c r="EX458" s="136"/>
      <c r="EY458" s="136"/>
      <c r="EZ458" s="136"/>
      <c r="FA458" s="136"/>
      <c r="FB458" s="136"/>
      <c r="FC458" s="136"/>
      <c r="FD458" s="136"/>
      <c r="FE458" s="136"/>
      <c r="FF458" s="136"/>
      <c r="FG458" s="136"/>
      <c r="FH458" s="137"/>
      <c r="FI458" s="138"/>
      <c r="FJ458" s="138"/>
      <c r="FK458" s="138"/>
      <c r="FL458" s="138"/>
      <c r="FM458" s="138"/>
      <c r="FN458" s="138"/>
      <c r="FO458" s="138"/>
      <c r="FP458" s="138"/>
    </row>
    <row r="459" spans="2:172" x14ac:dyDescent="0.2">
      <c r="B459" s="134"/>
      <c r="C459" s="134"/>
      <c r="D459" s="134"/>
      <c r="E459" s="134"/>
      <c r="F459" s="134"/>
      <c r="G459" s="134"/>
      <c r="H459" s="134"/>
      <c r="I459" s="134"/>
      <c r="J459" s="134"/>
      <c r="K459" s="134"/>
      <c r="L459" s="134"/>
      <c r="M459" s="135"/>
      <c r="N459" s="135"/>
      <c r="O459" s="134"/>
      <c r="P459" s="136"/>
      <c r="Q459" s="136"/>
      <c r="R459" s="136"/>
      <c r="S459" s="136"/>
      <c r="T459" s="136"/>
      <c r="U459" s="136"/>
      <c r="V459" s="136"/>
      <c r="W459" s="136"/>
      <c r="X459" s="136"/>
      <c r="Y459" s="136"/>
      <c r="Z459" s="136"/>
      <c r="AA459" s="136"/>
      <c r="AB459" s="136"/>
      <c r="AC459" s="136"/>
      <c r="AD459" s="136"/>
      <c r="AE459" s="136"/>
      <c r="AF459" s="136"/>
      <c r="AG459" s="136"/>
      <c r="AH459" s="136"/>
      <c r="AI459" s="136"/>
      <c r="AJ459" s="136"/>
      <c r="AK459" s="136"/>
      <c r="AL459" s="136"/>
      <c r="AM459" s="136"/>
      <c r="AN459" s="136"/>
      <c r="AO459" s="136"/>
      <c r="AP459" s="136"/>
      <c r="AQ459" s="136"/>
      <c r="AR459" s="136"/>
      <c r="AS459" s="136"/>
      <c r="AT459" s="136"/>
      <c r="AU459" s="136"/>
      <c r="AV459" s="136"/>
      <c r="AW459" s="136"/>
      <c r="AX459" s="136"/>
      <c r="AY459" s="136"/>
      <c r="AZ459" s="136"/>
      <c r="BA459" s="136"/>
      <c r="BB459" s="136"/>
      <c r="BC459" s="136"/>
      <c r="BD459" s="136"/>
      <c r="BE459" s="136"/>
      <c r="BF459" s="136"/>
      <c r="BG459" s="136"/>
      <c r="BH459" s="136"/>
      <c r="BI459" s="136"/>
      <c r="BJ459" s="136"/>
      <c r="BK459" s="136"/>
      <c r="BL459" s="136"/>
      <c r="BM459" s="136"/>
      <c r="BN459" s="136"/>
      <c r="BO459" s="136"/>
      <c r="BP459" s="136"/>
      <c r="BQ459" s="136"/>
      <c r="BR459" s="136"/>
      <c r="BS459" s="136"/>
      <c r="BT459" s="136"/>
      <c r="BU459" s="136"/>
      <c r="BV459" s="136"/>
      <c r="BW459" s="136"/>
      <c r="BX459" s="136"/>
      <c r="BY459" s="136"/>
      <c r="BZ459" s="136"/>
      <c r="CA459" s="136"/>
      <c r="CB459" s="136"/>
      <c r="CC459" s="136"/>
      <c r="CD459" s="136"/>
      <c r="CE459" s="136"/>
      <c r="CF459" s="136"/>
      <c r="CG459" s="136"/>
      <c r="CH459" s="136"/>
      <c r="CI459" s="136"/>
      <c r="CJ459" s="136"/>
      <c r="CK459" s="136"/>
      <c r="CL459" s="136"/>
      <c r="CM459" s="136"/>
      <c r="CN459" s="136"/>
      <c r="CO459" s="136"/>
      <c r="CP459" s="136"/>
      <c r="CQ459" s="136"/>
      <c r="CR459" s="136"/>
      <c r="CS459" s="136"/>
      <c r="CT459" s="136"/>
      <c r="CU459" s="136"/>
      <c r="CV459" s="136"/>
      <c r="CW459" s="136"/>
      <c r="CX459" s="136"/>
      <c r="CY459" s="136"/>
      <c r="CZ459" s="136"/>
      <c r="DA459" s="136"/>
      <c r="DB459" s="136"/>
      <c r="DC459" s="136"/>
      <c r="DD459" s="136"/>
      <c r="DE459" s="136"/>
      <c r="DF459" s="136"/>
      <c r="DG459" s="136"/>
      <c r="DH459" s="136"/>
      <c r="DI459" s="136"/>
      <c r="DJ459" s="136"/>
      <c r="DK459" s="136"/>
      <c r="DL459" s="136"/>
      <c r="DM459" s="136"/>
      <c r="DN459" s="136"/>
      <c r="DO459" s="136"/>
      <c r="DP459" s="136"/>
      <c r="DQ459" s="136"/>
      <c r="DR459" s="136"/>
      <c r="DS459" s="136"/>
      <c r="DT459" s="136"/>
      <c r="DU459" s="136"/>
      <c r="DV459" s="136"/>
      <c r="DW459" s="136"/>
      <c r="DX459" s="136"/>
      <c r="DY459" s="136"/>
      <c r="DZ459" s="136"/>
      <c r="EA459" s="136"/>
      <c r="EB459" s="136"/>
      <c r="EC459" s="136"/>
      <c r="ED459" s="136"/>
      <c r="EE459" s="136"/>
      <c r="EF459" s="136"/>
      <c r="EG459" s="136"/>
      <c r="EH459" s="136"/>
      <c r="EI459" s="136"/>
      <c r="EJ459" s="136"/>
      <c r="EK459" s="136"/>
      <c r="EL459" s="136"/>
      <c r="EM459" s="136"/>
      <c r="EN459" s="136"/>
      <c r="EO459" s="136"/>
      <c r="EP459" s="136"/>
      <c r="EQ459" s="136"/>
      <c r="ER459" s="136"/>
      <c r="ES459" s="136"/>
      <c r="ET459" s="136"/>
      <c r="EU459" s="136"/>
      <c r="EV459" s="136"/>
      <c r="EW459" s="136"/>
      <c r="EX459" s="136"/>
      <c r="EY459" s="136"/>
      <c r="EZ459" s="136"/>
      <c r="FA459" s="136"/>
      <c r="FB459" s="136"/>
      <c r="FC459" s="136"/>
      <c r="FD459" s="136"/>
      <c r="FE459" s="136"/>
      <c r="FF459" s="136"/>
      <c r="FG459" s="136"/>
      <c r="FH459" s="137"/>
      <c r="FI459" s="138"/>
      <c r="FJ459" s="138"/>
      <c r="FK459" s="138"/>
      <c r="FL459" s="138"/>
      <c r="FM459" s="138"/>
      <c r="FN459" s="138"/>
      <c r="FO459" s="138"/>
      <c r="FP459" s="138"/>
    </row>
    <row r="460" spans="2:172" x14ac:dyDescent="0.2">
      <c r="B460" s="134"/>
      <c r="C460" s="134"/>
      <c r="D460" s="134"/>
      <c r="E460" s="134"/>
      <c r="F460" s="134"/>
      <c r="G460" s="134"/>
      <c r="H460" s="134"/>
      <c r="I460" s="134"/>
      <c r="J460" s="134"/>
      <c r="K460" s="134"/>
      <c r="L460" s="134"/>
      <c r="M460" s="135"/>
      <c r="N460" s="135"/>
      <c r="O460" s="134"/>
      <c r="P460" s="136"/>
      <c r="Q460" s="136"/>
      <c r="R460" s="136"/>
      <c r="S460" s="136"/>
      <c r="T460" s="136"/>
      <c r="U460" s="136"/>
      <c r="V460" s="136"/>
      <c r="W460" s="136"/>
      <c r="X460" s="136"/>
      <c r="Y460" s="136"/>
      <c r="Z460" s="136"/>
      <c r="AA460" s="136"/>
      <c r="AB460" s="136"/>
      <c r="AC460" s="136"/>
      <c r="AD460" s="136"/>
      <c r="AE460" s="136"/>
      <c r="AF460" s="136"/>
      <c r="AG460" s="136"/>
      <c r="AH460" s="136"/>
      <c r="AI460" s="136"/>
      <c r="AJ460" s="136"/>
      <c r="AK460" s="136"/>
      <c r="AL460" s="136"/>
      <c r="AM460" s="136"/>
      <c r="AN460" s="136"/>
      <c r="AO460" s="136"/>
      <c r="AP460" s="136"/>
      <c r="AQ460" s="136"/>
      <c r="AR460" s="136"/>
      <c r="AS460" s="136"/>
      <c r="AT460" s="136"/>
      <c r="AU460" s="136"/>
      <c r="AV460" s="136"/>
      <c r="AW460" s="136"/>
      <c r="AX460" s="136"/>
      <c r="AY460" s="136"/>
      <c r="AZ460" s="136"/>
      <c r="BA460" s="136"/>
      <c r="BB460" s="136"/>
      <c r="BC460" s="136"/>
      <c r="BD460" s="136"/>
      <c r="BE460" s="136"/>
      <c r="BF460" s="136"/>
      <c r="BG460" s="136"/>
      <c r="BH460" s="136"/>
      <c r="BI460" s="136"/>
      <c r="BJ460" s="136"/>
      <c r="BK460" s="136"/>
      <c r="BL460" s="136"/>
      <c r="BM460" s="136"/>
      <c r="BN460" s="136"/>
      <c r="BO460" s="136"/>
      <c r="BP460" s="136"/>
      <c r="BQ460" s="136"/>
      <c r="BR460" s="136"/>
      <c r="BS460" s="136"/>
      <c r="BT460" s="136"/>
      <c r="BU460" s="136"/>
      <c r="BV460" s="136"/>
      <c r="BW460" s="136"/>
      <c r="BX460" s="136"/>
      <c r="BY460" s="136"/>
      <c r="BZ460" s="136"/>
      <c r="CA460" s="136"/>
      <c r="CB460" s="136"/>
      <c r="CC460" s="136"/>
      <c r="CD460" s="136"/>
      <c r="CE460" s="136"/>
      <c r="CF460" s="136"/>
      <c r="CG460" s="136"/>
      <c r="CH460" s="136"/>
      <c r="CI460" s="136"/>
      <c r="CJ460" s="136"/>
      <c r="CK460" s="136"/>
      <c r="CL460" s="136"/>
      <c r="CM460" s="136"/>
      <c r="CN460" s="136"/>
      <c r="CO460" s="136"/>
      <c r="CP460" s="136"/>
      <c r="CQ460" s="136"/>
      <c r="CR460" s="136"/>
      <c r="CS460" s="136"/>
      <c r="CT460" s="136"/>
      <c r="CU460" s="136"/>
      <c r="CV460" s="136"/>
      <c r="CW460" s="136"/>
      <c r="CX460" s="136"/>
      <c r="CY460" s="136"/>
      <c r="CZ460" s="136"/>
      <c r="DA460" s="136"/>
      <c r="DB460" s="136"/>
      <c r="DC460" s="136"/>
      <c r="DD460" s="136"/>
      <c r="DE460" s="136"/>
      <c r="DF460" s="136"/>
      <c r="DG460" s="136"/>
      <c r="DH460" s="136"/>
      <c r="DI460" s="136"/>
      <c r="DJ460" s="136"/>
      <c r="DK460" s="136"/>
      <c r="DL460" s="136"/>
      <c r="DM460" s="136"/>
      <c r="DN460" s="136"/>
      <c r="DO460" s="136"/>
      <c r="DP460" s="136"/>
      <c r="DQ460" s="136"/>
      <c r="DR460" s="136"/>
      <c r="DS460" s="136"/>
      <c r="DT460" s="136"/>
      <c r="DU460" s="136"/>
      <c r="DV460" s="136"/>
      <c r="DW460" s="136"/>
      <c r="DX460" s="136"/>
      <c r="DY460" s="136"/>
      <c r="DZ460" s="136"/>
      <c r="EA460" s="136"/>
      <c r="EB460" s="136"/>
      <c r="EC460" s="136"/>
      <c r="ED460" s="136"/>
      <c r="EE460" s="136"/>
      <c r="EF460" s="136"/>
      <c r="EG460" s="136"/>
      <c r="EH460" s="136"/>
      <c r="EI460" s="136"/>
      <c r="EJ460" s="136"/>
      <c r="EK460" s="136"/>
      <c r="EL460" s="136"/>
      <c r="EM460" s="136"/>
      <c r="EN460" s="136"/>
      <c r="EO460" s="136"/>
      <c r="EP460" s="136"/>
      <c r="EQ460" s="136"/>
      <c r="ER460" s="136"/>
      <c r="ES460" s="136"/>
      <c r="ET460" s="136"/>
      <c r="EU460" s="136"/>
      <c r="EV460" s="136"/>
      <c r="EW460" s="136"/>
      <c r="EX460" s="136"/>
      <c r="EY460" s="136"/>
      <c r="EZ460" s="136"/>
      <c r="FA460" s="136"/>
      <c r="FB460" s="136"/>
      <c r="FC460" s="136"/>
      <c r="FD460" s="136"/>
      <c r="FE460" s="136"/>
      <c r="FF460" s="136"/>
      <c r="FG460" s="136"/>
      <c r="FH460" s="137"/>
      <c r="FI460" s="138"/>
      <c r="FJ460" s="138"/>
      <c r="FK460" s="138"/>
      <c r="FL460" s="138"/>
      <c r="FM460" s="138"/>
      <c r="FN460" s="138"/>
      <c r="FO460" s="138"/>
      <c r="FP460" s="138"/>
    </row>
    <row r="461" spans="2:172" x14ac:dyDescent="0.2">
      <c r="B461" s="134"/>
      <c r="C461" s="134"/>
      <c r="D461" s="134"/>
      <c r="E461" s="134"/>
      <c r="F461" s="134"/>
      <c r="G461" s="134"/>
      <c r="H461" s="134"/>
      <c r="I461" s="134"/>
      <c r="J461" s="134"/>
      <c r="K461" s="134"/>
      <c r="L461" s="134"/>
      <c r="M461" s="135"/>
      <c r="N461" s="135"/>
      <c r="O461" s="134"/>
      <c r="P461" s="136"/>
      <c r="Q461" s="136"/>
      <c r="R461" s="136"/>
      <c r="S461" s="136"/>
      <c r="T461" s="136"/>
      <c r="U461" s="136"/>
      <c r="V461" s="136"/>
      <c r="W461" s="136"/>
      <c r="X461" s="136"/>
      <c r="Y461" s="136"/>
      <c r="Z461" s="136"/>
      <c r="AA461" s="136"/>
      <c r="AB461" s="136"/>
      <c r="AC461" s="136"/>
      <c r="AD461" s="136"/>
      <c r="AE461" s="136"/>
      <c r="AF461" s="136"/>
      <c r="AG461" s="136"/>
      <c r="AH461" s="136"/>
      <c r="AI461" s="136"/>
      <c r="AJ461" s="136"/>
      <c r="AK461" s="136"/>
      <c r="AL461" s="136"/>
      <c r="AM461" s="136"/>
      <c r="AN461" s="136"/>
      <c r="AO461" s="136"/>
      <c r="AP461" s="136"/>
      <c r="AQ461" s="136"/>
      <c r="AR461" s="136"/>
      <c r="AS461" s="136"/>
      <c r="AT461" s="136"/>
      <c r="AU461" s="136"/>
      <c r="AV461" s="136"/>
      <c r="AW461" s="136"/>
      <c r="AX461" s="136"/>
      <c r="AY461" s="136"/>
      <c r="AZ461" s="136"/>
      <c r="BA461" s="136"/>
      <c r="BB461" s="136"/>
      <c r="BC461" s="136"/>
      <c r="BD461" s="136"/>
      <c r="BE461" s="136"/>
      <c r="BF461" s="136"/>
      <c r="BG461" s="136"/>
      <c r="BH461" s="136"/>
      <c r="BI461" s="136"/>
      <c r="BJ461" s="136"/>
      <c r="BK461" s="136"/>
      <c r="BL461" s="136"/>
      <c r="BM461" s="136"/>
      <c r="BN461" s="136"/>
      <c r="BO461" s="136"/>
      <c r="BP461" s="136"/>
      <c r="BQ461" s="136"/>
      <c r="BR461" s="136"/>
      <c r="BS461" s="136"/>
      <c r="BT461" s="136"/>
      <c r="BU461" s="136"/>
      <c r="BV461" s="136"/>
      <c r="BW461" s="136"/>
      <c r="BX461" s="136"/>
      <c r="BY461" s="136"/>
      <c r="BZ461" s="136"/>
      <c r="CA461" s="136"/>
      <c r="CB461" s="136"/>
      <c r="CC461" s="136"/>
      <c r="CD461" s="136"/>
      <c r="CE461" s="136"/>
      <c r="CF461" s="136"/>
      <c r="CG461" s="136"/>
      <c r="CH461" s="136"/>
      <c r="CI461" s="136"/>
      <c r="CJ461" s="136"/>
      <c r="CK461" s="136"/>
      <c r="CL461" s="136"/>
      <c r="CM461" s="136"/>
      <c r="CN461" s="136"/>
      <c r="CO461" s="136"/>
      <c r="CP461" s="136"/>
      <c r="CQ461" s="136"/>
      <c r="CR461" s="136"/>
      <c r="CS461" s="136"/>
      <c r="CT461" s="136"/>
      <c r="CU461" s="136"/>
      <c r="CV461" s="136"/>
      <c r="CW461" s="136"/>
      <c r="CX461" s="136"/>
      <c r="CY461" s="136"/>
      <c r="CZ461" s="136"/>
      <c r="DA461" s="136"/>
      <c r="DB461" s="136"/>
      <c r="DC461" s="136"/>
      <c r="DD461" s="136"/>
      <c r="DE461" s="136"/>
      <c r="DF461" s="136"/>
      <c r="DG461" s="136"/>
      <c r="DH461" s="136"/>
      <c r="DI461" s="136"/>
      <c r="DJ461" s="136"/>
      <c r="DK461" s="136"/>
      <c r="DL461" s="136"/>
      <c r="DM461" s="136"/>
      <c r="DN461" s="136"/>
      <c r="DO461" s="136"/>
      <c r="DP461" s="136"/>
      <c r="DQ461" s="136"/>
      <c r="DR461" s="136"/>
      <c r="DS461" s="136"/>
      <c r="DT461" s="136"/>
      <c r="DU461" s="136"/>
      <c r="DV461" s="136"/>
      <c r="DW461" s="136"/>
      <c r="DX461" s="136"/>
      <c r="DY461" s="136"/>
      <c r="DZ461" s="136"/>
      <c r="EA461" s="136"/>
      <c r="EB461" s="136"/>
      <c r="EC461" s="136"/>
      <c r="ED461" s="136"/>
      <c r="EE461" s="136"/>
      <c r="EF461" s="136"/>
      <c r="EG461" s="136"/>
      <c r="EH461" s="136"/>
      <c r="EI461" s="136"/>
      <c r="EJ461" s="136"/>
      <c r="EK461" s="136"/>
      <c r="EL461" s="136"/>
      <c r="EM461" s="136"/>
      <c r="EN461" s="136"/>
      <c r="EO461" s="136"/>
      <c r="EP461" s="136"/>
      <c r="EQ461" s="136"/>
      <c r="ER461" s="136"/>
      <c r="ES461" s="136"/>
      <c r="ET461" s="136"/>
      <c r="EU461" s="136"/>
      <c r="EV461" s="136"/>
      <c r="EW461" s="136"/>
      <c r="EX461" s="136"/>
      <c r="EY461" s="136"/>
      <c r="EZ461" s="136"/>
      <c r="FA461" s="136"/>
      <c r="FB461" s="136"/>
      <c r="FC461" s="136"/>
      <c r="FD461" s="136"/>
      <c r="FE461" s="136"/>
      <c r="FF461" s="136"/>
      <c r="FG461" s="136"/>
      <c r="FH461" s="137"/>
      <c r="FI461" s="138"/>
      <c r="FJ461" s="138"/>
      <c r="FK461" s="138"/>
      <c r="FL461" s="138"/>
      <c r="FM461" s="138"/>
      <c r="FN461" s="138"/>
      <c r="FO461" s="138"/>
      <c r="FP461" s="138"/>
    </row>
    <row r="462" spans="2:172" x14ac:dyDescent="0.2">
      <c r="B462" s="134"/>
      <c r="C462" s="134"/>
      <c r="D462" s="134"/>
      <c r="E462" s="134"/>
      <c r="F462" s="134"/>
      <c r="G462" s="134"/>
      <c r="H462" s="134"/>
      <c r="I462" s="134"/>
      <c r="J462" s="134"/>
      <c r="K462" s="134"/>
      <c r="L462" s="134"/>
      <c r="M462" s="135"/>
      <c r="N462" s="135"/>
      <c r="O462" s="134"/>
      <c r="P462" s="136"/>
      <c r="Q462" s="136"/>
      <c r="R462" s="136"/>
      <c r="S462" s="136"/>
      <c r="T462" s="136"/>
      <c r="U462" s="136"/>
      <c r="V462" s="136"/>
      <c r="W462" s="136"/>
      <c r="X462" s="136"/>
      <c r="Y462" s="136"/>
      <c r="Z462" s="136"/>
      <c r="AA462" s="136"/>
      <c r="AB462" s="136"/>
      <c r="AC462" s="136"/>
      <c r="AD462" s="136"/>
      <c r="AE462" s="136"/>
      <c r="AF462" s="136"/>
      <c r="AG462" s="136"/>
      <c r="AH462" s="136"/>
      <c r="AI462" s="136"/>
      <c r="AJ462" s="136"/>
      <c r="AK462" s="136"/>
      <c r="AL462" s="136"/>
      <c r="AM462" s="136"/>
      <c r="AN462" s="136"/>
      <c r="AO462" s="136"/>
      <c r="AP462" s="136"/>
      <c r="AQ462" s="136"/>
      <c r="AR462" s="136"/>
      <c r="AS462" s="136"/>
      <c r="AT462" s="136"/>
      <c r="AU462" s="136"/>
      <c r="AV462" s="136"/>
      <c r="AW462" s="136"/>
      <c r="AX462" s="136"/>
      <c r="AY462" s="136"/>
      <c r="AZ462" s="136"/>
      <c r="BA462" s="136"/>
      <c r="BB462" s="136"/>
      <c r="BC462" s="136"/>
      <c r="BD462" s="136"/>
      <c r="BE462" s="136"/>
      <c r="BF462" s="136"/>
      <c r="BG462" s="136"/>
      <c r="BH462" s="136"/>
      <c r="BI462" s="136"/>
      <c r="BJ462" s="136"/>
      <c r="BK462" s="136"/>
      <c r="BL462" s="136"/>
      <c r="BM462" s="136"/>
      <c r="BN462" s="136"/>
      <c r="BO462" s="136"/>
      <c r="BP462" s="136"/>
      <c r="BQ462" s="136"/>
      <c r="BR462" s="136"/>
      <c r="BS462" s="136"/>
      <c r="BT462" s="136"/>
      <c r="BU462" s="136"/>
      <c r="BV462" s="136"/>
      <c r="BW462" s="136"/>
      <c r="BX462" s="136"/>
      <c r="BY462" s="136"/>
      <c r="BZ462" s="136"/>
      <c r="CA462" s="136"/>
      <c r="CB462" s="136"/>
      <c r="CC462" s="136"/>
      <c r="CD462" s="136"/>
      <c r="CE462" s="136"/>
      <c r="CF462" s="136"/>
      <c r="CG462" s="136"/>
      <c r="CH462" s="136"/>
      <c r="CI462" s="136"/>
      <c r="CJ462" s="136"/>
      <c r="CK462" s="136"/>
      <c r="CL462" s="136"/>
      <c r="CM462" s="136"/>
      <c r="CN462" s="136"/>
      <c r="CO462" s="136"/>
      <c r="CP462" s="136"/>
      <c r="CQ462" s="136"/>
      <c r="CR462" s="136"/>
      <c r="CS462" s="136"/>
      <c r="CT462" s="136"/>
      <c r="CU462" s="136"/>
      <c r="CV462" s="136"/>
      <c r="CW462" s="136"/>
      <c r="CX462" s="136"/>
      <c r="CY462" s="136"/>
      <c r="CZ462" s="136"/>
      <c r="DA462" s="136"/>
      <c r="DB462" s="136"/>
      <c r="DC462" s="136"/>
      <c r="DD462" s="136"/>
      <c r="DE462" s="136"/>
      <c r="DF462" s="136"/>
      <c r="DG462" s="136"/>
      <c r="DH462" s="136"/>
      <c r="DI462" s="136"/>
      <c r="DJ462" s="136"/>
      <c r="DK462" s="136"/>
      <c r="DL462" s="136"/>
      <c r="DM462" s="136"/>
      <c r="DN462" s="136"/>
      <c r="DO462" s="136"/>
      <c r="DP462" s="136"/>
      <c r="DQ462" s="136"/>
      <c r="DR462" s="136"/>
      <c r="DS462" s="136"/>
      <c r="DT462" s="136"/>
      <c r="DU462" s="136"/>
      <c r="DV462" s="136"/>
      <c r="DW462" s="136"/>
      <c r="DX462" s="136"/>
      <c r="DY462" s="136"/>
      <c r="DZ462" s="136"/>
      <c r="EA462" s="136"/>
      <c r="EB462" s="136"/>
      <c r="EC462" s="136"/>
      <c r="ED462" s="136"/>
      <c r="EE462" s="136"/>
      <c r="EF462" s="136"/>
      <c r="EG462" s="136"/>
      <c r="EH462" s="136"/>
      <c r="EI462" s="136"/>
      <c r="EJ462" s="136"/>
      <c r="EK462" s="136"/>
      <c r="EL462" s="136"/>
      <c r="EM462" s="136"/>
      <c r="EN462" s="136"/>
      <c r="EO462" s="136"/>
      <c r="EP462" s="136"/>
      <c r="EQ462" s="136"/>
      <c r="ER462" s="136"/>
      <c r="ES462" s="136"/>
      <c r="ET462" s="136"/>
      <c r="EU462" s="136"/>
      <c r="EV462" s="136"/>
      <c r="EW462" s="136"/>
      <c r="EX462" s="136"/>
      <c r="EY462" s="136"/>
      <c r="EZ462" s="136"/>
      <c r="FA462" s="136"/>
      <c r="FB462" s="136"/>
      <c r="FC462" s="136"/>
      <c r="FD462" s="136"/>
      <c r="FE462" s="136"/>
      <c r="FF462" s="136"/>
      <c r="FG462" s="136"/>
      <c r="FH462" s="137"/>
      <c r="FI462" s="138"/>
      <c r="FJ462" s="138"/>
      <c r="FK462" s="138"/>
      <c r="FL462" s="138"/>
      <c r="FM462" s="138"/>
      <c r="FN462" s="138"/>
      <c r="FO462" s="138"/>
      <c r="FP462" s="138"/>
    </row>
    <row r="463" spans="2:172" x14ac:dyDescent="0.2">
      <c r="B463" s="134"/>
      <c r="C463" s="134"/>
      <c r="D463" s="134"/>
      <c r="E463" s="134"/>
      <c r="F463" s="134"/>
      <c r="G463" s="134"/>
      <c r="H463" s="134"/>
      <c r="I463" s="134"/>
      <c r="J463" s="134"/>
      <c r="K463" s="134"/>
      <c r="L463" s="134"/>
      <c r="M463" s="135"/>
      <c r="N463" s="135"/>
      <c r="O463" s="134"/>
      <c r="P463" s="136"/>
      <c r="Q463" s="136"/>
      <c r="R463" s="136"/>
      <c r="S463" s="136"/>
      <c r="T463" s="136"/>
      <c r="U463" s="136"/>
      <c r="V463" s="136"/>
      <c r="W463" s="136"/>
      <c r="X463" s="136"/>
      <c r="Y463" s="136"/>
      <c r="Z463" s="136"/>
      <c r="AA463" s="136"/>
      <c r="AB463" s="136"/>
      <c r="AC463" s="136"/>
      <c r="AD463" s="136"/>
      <c r="AE463" s="136"/>
      <c r="AF463" s="136"/>
      <c r="AG463" s="136"/>
      <c r="AH463" s="136"/>
      <c r="AI463" s="136"/>
      <c r="AJ463" s="136"/>
      <c r="AK463" s="136"/>
      <c r="AL463" s="136"/>
      <c r="AM463" s="136"/>
      <c r="AN463" s="136"/>
      <c r="AO463" s="136"/>
      <c r="AP463" s="136"/>
      <c r="AQ463" s="136"/>
      <c r="AR463" s="136"/>
      <c r="AS463" s="136"/>
      <c r="AT463" s="136"/>
      <c r="AU463" s="136"/>
      <c r="AV463" s="136"/>
      <c r="AW463" s="136"/>
      <c r="AX463" s="136"/>
      <c r="AY463" s="136"/>
      <c r="AZ463" s="136"/>
      <c r="BA463" s="136"/>
      <c r="BB463" s="136"/>
      <c r="BC463" s="136"/>
      <c r="BD463" s="136"/>
      <c r="BE463" s="136"/>
      <c r="BF463" s="136"/>
      <c r="BG463" s="136"/>
      <c r="BH463" s="136"/>
      <c r="BI463" s="136"/>
      <c r="BJ463" s="136"/>
      <c r="BK463" s="136"/>
      <c r="BL463" s="136"/>
      <c r="BM463" s="136"/>
      <c r="BN463" s="136"/>
      <c r="BO463" s="136"/>
      <c r="BP463" s="136"/>
      <c r="BQ463" s="136"/>
      <c r="BR463" s="136"/>
      <c r="BS463" s="136"/>
      <c r="BT463" s="136"/>
      <c r="BU463" s="136"/>
      <c r="BV463" s="136"/>
      <c r="BW463" s="136"/>
      <c r="BX463" s="136"/>
      <c r="BY463" s="136"/>
      <c r="BZ463" s="136"/>
      <c r="CA463" s="136"/>
      <c r="CB463" s="136"/>
      <c r="CC463" s="136"/>
      <c r="CD463" s="136"/>
      <c r="CE463" s="136"/>
      <c r="CF463" s="136"/>
      <c r="CG463" s="136"/>
      <c r="CH463" s="136"/>
      <c r="CI463" s="136"/>
      <c r="CJ463" s="136"/>
      <c r="CK463" s="136"/>
      <c r="CL463" s="136"/>
      <c r="CM463" s="136"/>
      <c r="CN463" s="136"/>
      <c r="CO463" s="136"/>
      <c r="CP463" s="136"/>
      <c r="CQ463" s="136"/>
      <c r="CR463" s="136"/>
      <c r="CS463" s="136"/>
      <c r="CT463" s="136"/>
      <c r="CU463" s="136"/>
      <c r="CV463" s="136"/>
      <c r="CW463" s="136"/>
      <c r="CX463" s="136"/>
      <c r="CY463" s="136"/>
      <c r="CZ463" s="136"/>
      <c r="DA463" s="136"/>
      <c r="DB463" s="136"/>
      <c r="DC463" s="136"/>
      <c r="DD463" s="136"/>
      <c r="DE463" s="136"/>
      <c r="DF463" s="136"/>
      <c r="DG463" s="136"/>
      <c r="DH463" s="136"/>
      <c r="DI463" s="136"/>
      <c r="DJ463" s="136"/>
      <c r="DK463" s="136"/>
      <c r="DL463" s="136"/>
      <c r="DM463" s="136"/>
      <c r="DN463" s="136"/>
      <c r="DO463" s="136"/>
      <c r="DP463" s="136"/>
      <c r="DQ463" s="136"/>
      <c r="DR463" s="136"/>
      <c r="DS463" s="136"/>
      <c r="DT463" s="136"/>
      <c r="DU463" s="136"/>
      <c r="DV463" s="136"/>
      <c r="DW463" s="136"/>
      <c r="DX463" s="136"/>
      <c r="DY463" s="136"/>
      <c r="DZ463" s="136"/>
      <c r="EA463" s="136"/>
      <c r="EB463" s="136"/>
      <c r="EC463" s="136"/>
      <c r="ED463" s="136"/>
      <c r="EE463" s="136"/>
      <c r="EF463" s="136"/>
      <c r="EG463" s="136"/>
      <c r="EH463" s="136"/>
      <c r="EI463" s="136"/>
      <c r="EJ463" s="136"/>
      <c r="EK463" s="136"/>
      <c r="EL463" s="136"/>
      <c r="EM463" s="136"/>
      <c r="EN463" s="136"/>
      <c r="EO463" s="136"/>
      <c r="EP463" s="136"/>
      <c r="EQ463" s="136"/>
      <c r="ER463" s="136"/>
      <c r="ES463" s="136"/>
      <c r="ET463" s="136"/>
      <c r="EU463" s="136"/>
      <c r="EV463" s="136"/>
      <c r="EW463" s="136"/>
      <c r="EX463" s="136"/>
      <c r="EY463" s="136"/>
      <c r="EZ463" s="136"/>
      <c r="FA463" s="136"/>
      <c r="FB463" s="136"/>
      <c r="FC463" s="136"/>
      <c r="FD463" s="136"/>
      <c r="FE463" s="136"/>
      <c r="FF463" s="136"/>
      <c r="FG463" s="136"/>
      <c r="FH463" s="137"/>
      <c r="FI463" s="138"/>
      <c r="FJ463" s="138"/>
      <c r="FK463" s="138"/>
      <c r="FL463" s="138"/>
      <c r="FM463" s="138"/>
      <c r="FN463" s="138"/>
      <c r="FO463" s="138"/>
      <c r="FP463" s="138"/>
    </row>
    <row r="464" spans="2:172" x14ac:dyDescent="0.2">
      <c r="B464" s="134"/>
      <c r="C464" s="134"/>
      <c r="D464" s="134"/>
      <c r="E464" s="134"/>
      <c r="F464" s="134"/>
      <c r="G464" s="134"/>
      <c r="H464" s="134"/>
      <c r="I464" s="134"/>
      <c r="J464" s="134"/>
      <c r="K464" s="134"/>
      <c r="L464" s="134"/>
      <c r="M464" s="135"/>
      <c r="N464" s="135"/>
      <c r="O464" s="134"/>
      <c r="P464" s="136"/>
      <c r="Q464" s="136"/>
      <c r="R464" s="136"/>
      <c r="S464" s="136"/>
      <c r="T464" s="136"/>
      <c r="U464" s="136"/>
      <c r="V464" s="136"/>
      <c r="W464" s="136"/>
      <c r="X464" s="136"/>
      <c r="Y464" s="136"/>
      <c r="Z464" s="136"/>
      <c r="AA464" s="136"/>
      <c r="AB464" s="136"/>
      <c r="AC464" s="136"/>
      <c r="AD464" s="136"/>
      <c r="AE464" s="136"/>
      <c r="AF464" s="136"/>
      <c r="AG464" s="136"/>
      <c r="AH464" s="136"/>
      <c r="AI464" s="136"/>
      <c r="AJ464" s="136"/>
      <c r="AK464" s="136"/>
      <c r="AL464" s="136"/>
      <c r="AM464" s="136"/>
      <c r="AN464" s="136"/>
      <c r="AO464" s="136"/>
      <c r="AP464" s="136"/>
      <c r="AQ464" s="136"/>
      <c r="AR464" s="136"/>
      <c r="AS464" s="136"/>
      <c r="AT464" s="136"/>
      <c r="AU464" s="136"/>
      <c r="AV464" s="136"/>
      <c r="AW464" s="136"/>
      <c r="AX464" s="136"/>
      <c r="AY464" s="136"/>
      <c r="AZ464" s="136"/>
      <c r="BA464" s="136"/>
      <c r="BB464" s="136"/>
      <c r="BC464" s="136"/>
      <c r="BD464" s="136"/>
      <c r="BE464" s="136"/>
      <c r="BF464" s="136"/>
      <c r="BG464" s="136"/>
      <c r="BH464" s="136"/>
      <c r="BI464" s="136"/>
      <c r="BJ464" s="136"/>
      <c r="BK464" s="136"/>
      <c r="BL464" s="136"/>
      <c r="BM464" s="136"/>
      <c r="BN464" s="136"/>
      <c r="BO464" s="136"/>
      <c r="BP464" s="136"/>
      <c r="BQ464" s="136"/>
      <c r="BR464" s="136"/>
      <c r="BS464" s="136"/>
      <c r="BT464" s="136"/>
      <c r="BU464" s="136"/>
      <c r="BV464" s="136"/>
      <c r="BW464" s="136"/>
      <c r="BX464" s="136"/>
      <c r="BY464" s="136"/>
      <c r="BZ464" s="136"/>
      <c r="CA464" s="136"/>
      <c r="CB464" s="136"/>
      <c r="CC464" s="136"/>
      <c r="CD464" s="136"/>
      <c r="CE464" s="136"/>
      <c r="CF464" s="136"/>
      <c r="CG464" s="136"/>
      <c r="CH464" s="136"/>
      <c r="CI464" s="136"/>
      <c r="CJ464" s="136"/>
      <c r="CK464" s="136"/>
      <c r="CL464" s="136"/>
      <c r="CM464" s="136"/>
      <c r="CN464" s="136"/>
      <c r="CO464" s="136"/>
      <c r="CP464" s="136"/>
      <c r="CQ464" s="136"/>
      <c r="CR464" s="136"/>
      <c r="CS464" s="136"/>
      <c r="CT464" s="136"/>
      <c r="CU464" s="136"/>
      <c r="CV464" s="136"/>
      <c r="CW464" s="136"/>
      <c r="CX464" s="136"/>
      <c r="CY464" s="136"/>
      <c r="CZ464" s="136"/>
      <c r="DA464" s="136"/>
      <c r="DB464" s="136"/>
      <c r="DC464" s="136"/>
      <c r="DD464" s="136"/>
      <c r="DE464" s="136"/>
      <c r="DF464" s="136"/>
      <c r="DG464" s="136"/>
      <c r="DH464" s="136"/>
      <c r="DI464" s="136"/>
      <c r="DJ464" s="136"/>
      <c r="DK464" s="136"/>
      <c r="DL464" s="136"/>
      <c r="DM464" s="136"/>
      <c r="DN464" s="136"/>
      <c r="DO464" s="136"/>
      <c r="DP464" s="136"/>
      <c r="DQ464" s="136"/>
      <c r="DR464" s="136"/>
      <c r="DS464" s="136"/>
      <c r="DT464" s="136"/>
      <c r="DU464" s="136"/>
      <c r="DV464" s="136"/>
      <c r="DW464" s="136"/>
      <c r="DX464" s="136"/>
      <c r="DY464" s="136"/>
      <c r="DZ464" s="136"/>
      <c r="EA464" s="136"/>
      <c r="EB464" s="136"/>
      <c r="EC464" s="136"/>
      <c r="ED464" s="136"/>
      <c r="EE464" s="136"/>
      <c r="EF464" s="136"/>
      <c r="EG464" s="136"/>
      <c r="EH464" s="136"/>
      <c r="EI464" s="136"/>
      <c r="EJ464" s="136"/>
      <c r="EK464" s="136"/>
      <c r="EL464" s="136"/>
      <c r="EM464" s="136"/>
      <c r="EN464" s="136"/>
      <c r="EO464" s="136"/>
      <c r="EP464" s="136"/>
      <c r="EQ464" s="136"/>
      <c r="ER464" s="136"/>
      <c r="ES464" s="136"/>
      <c r="ET464" s="136"/>
      <c r="EU464" s="136"/>
      <c r="EV464" s="136"/>
      <c r="EW464" s="136"/>
      <c r="EX464" s="136"/>
      <c r="EY464" s="136"/>
      <c r="EZ464" s="136"/>
      <c r="FA464" s="136"/>
      <c r="FB464" s="136"/>
      <c r="FC464" s="136"/>
      <c r="FD464" s="136"/>
      <c r="FE464" s="136"/>
      <c r="FF464" s="136"/>
      <c r="FG464" s="136"/>
      <c r="FH464" s="137"/>
      <c r="FI464" s="138"/>
      <c r="FJ464" s="138"/>
      <c r="FK464" s="138"/>
      <c r="FL464" s="138"/>
      <c r="FM464" s="138"/>
      <c r="FN464" s="138"/>
      <c r="FO464" s="138"/>
      <c r="FP464" s="138"/>
    </row>
    <row r="465" spans="2:172" x14ac:dyDescent="0.2">
      <c r="B465" s="134"/>
      <c r="C465" s="134"/>
      <c r="D465" s="134"/>
      <c r="E465" s="134"/>
      <c r="F465" s="134"/>
      <c r="G465" s="134"/>
      <c r="H465" s="134"/>
      <c r="I465" s="134"/>
      <c r="J465" s="134"/>
      <c r="K465" s="134"/>
      <c r="L465" s="134"/>
      <c r="M465" s="135"/>
      <c r="N465" s="135"/>
      <c r="O465" s="134"/>
      <c r="P465" s="136"/>
      <c r="Q465" s="136"/>
      <c r="R465" s="136"/>
      <c r="S465" s="136"/>
      <c r="T465" s="136"/>
      <c r="U465" s="136"/>
      <c r="V465" s="136"/>
      <c r="W465" s="136"/>
      <c r="X465" s="136"/>
      <c r="Y465" s="136"/>
      <c r="Z465" s="136"/>
      <c r="AA465" s="136"/>
      <c r="AB465" s="136"/>
      <c r="AC465" s="136"/>
      <c r="AD465" s="136"/>
      <c r="AE465" s="136"/>
      <c r="AF465" s="136"/>
      <c r="AG465" s="136"/>
      <c r="AH465" s="136"/>
      <c r="AI465" s="136"/>
      <c r="AJ465" s="136"/>
      <c r="AK465" s="136"/>
      <c r="AL465" s="136"/>
      <c r="AM465" s="136"/>
      <c r="AN465" s="136"/>
      <c r="AO465" s="136"/>
      <c r="AP465" s="136"/>
      <c r="AQ465" s="136"/>
      <c r="AR465" s="136"/>
      <c r="AS465" s="136"/>
      <c r="AT465" s="136"/>
      <c r="AU465" s="136"/>
      <c r="AV465" s="136"/>
      <c r="AW465" s="136"/>
      <c r="AX465" s="136"/>
      <c r="AY465" s="136"/>
      <c r="AZ465" s="136"/>
      <c r="BA465" s="136"/>
      <c r="BB465" s="136"/>
      <c r="BC465" s="136"/>
      <c r="BD465" s="136"/>
      <c r="BE465" s="136"/>
      <c r="BF465" s="136"/>
      <c r="BG465" s="136"/>
      <c r="BH465" s="136"/>
      <c r="BI465" s="136"/>
      <c r="BJ465" s="136"/>
      <c r="BK465" s="136"/>
      <c r="BL465" s="136"/>
      <c r="BM465" s="136"/>
      <c r="BN465" s="136"/>
      <c r="BO465" s="136"/>
      <c r="BP465" s="136"/>
      <c r="BQ465" s="136"/>
      <c r="BR465" s="136"/>
      <c r="BS465" s="136"/>
      <c r="BT465" s="136"/>
      <c r="BU465" s="136"/>
      <c r="BV465" s="136"/>
      <c r="BW465" s="136"/>
      <c r="BX465" s="136"/>
      <c r="BY465" s="136"/>
      <c r="BZ465" s="136"/>
      <c r="CA465" s="136"/>
      <c r="CB465" s="136"/>
      <c r="CC465" s="136"/>
      <c r="CD465" s="136"/>
      <c r="CE465" s="136"/>
      <c r="CF465" s="136"/>
      <c r="CG465" s="136"/>
      <c r="CH465" s="136"/>
      <c r="CI465" s="136"/>
      <c r="CJ465" s="136"/>
      <c r="CK465" s="136"/>
      <c r="CL465" s="136"/>
      <c r="CM465" s="136"/>
      <c r="CN465" s="136"/>
      <c r="CO465" s="136"/>
      <c r="CP465" s="136"/>
      <c r="CQ465" s="136"/>
      <c r="CR465" s="136"/>
      <c r="CS465" s="136"/>
      <c r="CT465" s="136"/>
      <c r="CU465" s="136"/>
      <c r="CV465" s="136"/>
      <c r="CW465" s="136"/>
      <c r="CX465" s="136"/>
      <c r="CY465" s="136"/>
      <c r="CZ465" s="136"/>
      <c r="DA465" s="136"/>
      <c r="DB465" s="136"/>
      <c r="DC465" s="136"/>
      <c r="DD465" s="136"/>
      <c r="DE465" s="136"/>
      <c r="DF465" s="136"/>
      <c r="DG465" s="136"/>
      <c r="DH465" s="136"/>
      <c r="DI465" s="136"/>
      <c r="DJ465" s="136"/>
      <c r="DK465" s="136"/>
      <c r="DL465" s="136"/>
      <c r="DM465" s="136"/>
      <c r="DN465" s="136"/>
      <c r="DO465" s="136"/>
      <c r="DP465" s="136"/>
      <c r="DQ465" s="136"/>
      <c r="DR465" s="136"/>
      <c r="DS465" s="136"/>
      <c r="DT465" s="136"/>
      <c r="DU465" s="136"/>
      <c r="DV465" s="136"/>
      <c r="DW465" s="136"/>
      <c r="DX465" s="136"/>
      <c r="DY465" s="136"/>
      <c r="DZ465" s="136"/>
      <c r="EA465" s="136"/>
      <c r="EB465" s="136"/>
      <c r="EC465" s="136"/>
      <c r="ED465" s="136"/>
      <c r="EE465" s="136"/>
      <c r="EF465" s="136"/>
      <c r="EG465" s="136"/>
      <c r="EH465" s="136"/>
      <c r="EI465" s="136"/>
      <c r="EJ465" s="136"/>
      <c r="EK465" s="136"/>
      <c r="EL465" s="136"/>
      <c r="EM465" s="136"/>
      <c r="EN465" s="136"/>
      <c r="EO465" s="136"/>
      <c r="EP465" s="136"/>
      <c r="EQ465" s="136"/>
      <c r="ER465" s="136"/>
      <c r="ES465" s="136"/>
      <c r="ET465" s="136"/>
      <c r="EU465" s="136"/>
      <c r="EV465" s="136"/>
      <c r="EW465" s="136"/>
      <c r="EX465" s="136"/>
      <c r="EY465" s="136"/>
      <c r="EZ465" s="136"/>
      <c r="FA465" s="136"/>
      <c r="FB465" s="136"/>
      <c r="FC465" s="136"/>
      <c r="FD465" s="136"/>
      <c r="FE465" s="136"/>
      <c r="FF465" s="136"/>
      <c r="FG465" s="136"/>
      <c r="FH465" s="137"/>
      <c r="FI465" s="138"/>
      <c r="FJ465" s="138"/>
      <c r="FK465" s="138"/>
      <c r="FL465" s="138"/>
      <c r="FM465" s="138"/>
      <c r="FN465" s="138"/>
      <c r="FO465" s="138"/>
      <c r="FP465" s="138"/>
    </row>
    <row r="466" spans="2:172" x14ac:dyDescent="0.2">
      <c r="B466" s="134"/>
      <c r="C466" s="134"/>
      <c r="D466" s="134"/>
      <c r="E466" s="134"/>
      <c r="F466" s="134"/>
      <c r="G466" s="134"/>
      <c r="H466" s="134"/>
      <c r="I466" s="134"/>
      <c r="J466" s="134"/>
      <c r="K466" s="134"/>
      <c r="L466" s="134"/>
      <c r="M466" s="135"/>
      <c r="N466" s="135"/>
      <c r="O466" s="134"/>
      <c r="P466" s="136"/>
      <c r="Q466" s="136"/>
      <c r="R466" s="136"/>
      <c r="S466" s="136"/>
      <c r="T466" s="136"/>
      <c r="U466" s="136"/>
      <c r="V466" s="136"/>
      <c r="W466" s="136"/>
      <c r="X466" s="136"/>
      <c r="Y466" s="136"/>
      <c r="Z466" s="136"/>
      <c r="AA466" s="136"/>
      <c r="AB466" s="136"/>
      <c r="AC466" s="136"/>
      <c r="AD466" s="136"/>
      <c r="AE466" s="136"/>
      <c r="AF466" s="136"/>
      <c r="AG466" s="136"/>
      <c r="AH466" s="136"/>
      <c r="AI466" s="136"/>
      <c r="AJ466" s="136"/>
      <c r="AK466" s="136"/>
      <c r="AL466" s="136"/>
      <c r="AM466" s="136"/>
      <c r="AN466" s="136"/>
      <c r="AO466" s="136"/>
      <c r="AP466" s="136"/>
      <c r="AQ466" s="136"/>
      <c r="AR466" s="136"/>
      <c r="AS466" s="136"/>
      <c r="AT466" s="136"/>
      <c r="AU466" s="136"/>
      <c r="AV466" s="136"/>
      <c r="AW466" s="136"/>
      <c r="AX466" s="136"/>
      <c r="AY466" s="136"/>
      <c r="AZ466" s="136"/>
      <c r="BA466" s="136"/>
      <c r="BB466" s="136"/>
      <c r="BC466" s="136"/>
      <c r="BD466" s="136"/>
      <c r="BE466" s="136"/>
      <c r="BF466" s="136"/>
      <c r="BG466" s="136"/>
      <c r="BH466" s="136"/>
      <c r="BI466" s="136"/>
      <c r="BJ466" s="136"/>
      <c r="BK466" s="136"/>
      <c r="BL466" s="136"/>
      <c r="BM466" s="136"/>
      <c r="BN466" s="136"/>
      <c r="BO466" s="136"/>
      <c r="BP466" s="136"/>
      <c r="BQ466" s="136"/>
      <c r="BR466" s="136"/>
      <c r="BS466" s="136"/>
      <c r="BT466" s="136"/>
      <c r="BU466" s="136"/>
      <c r="BV466" s="136"/>
      <c r="BW466" s="136"/>
      <c r="BX466" s="136"/>
      <c r="BY466" s="136"/>
      <c r="BZ466" s="136"/>
      <c r="CA466" s="136"/>
      <c r="CB466" s="136"/>
      <c r="CC466" s="136"/>
      <c r="CD466" s="136"/>
      <c r="CE466" s="136"/>
      <c r="CF466" s="136"/>
      <c r="CG466" s="136"/>
      <c r="CH466" s="136"/>
      <c r="CI466" s="136"/>
      <c r="CJ466" s="136"/>
      <c r="CK466" s="136"/>
      <c r="CL466" s="136"/>
      <c r="CM466" s="136"/>
      <c r="CN466" s="136"/>
      <c r="CO466" s="136"/>
      <c r="CP466" s="136"/>
      <c r="CQ466" s="136"/>
      <c r="CR466" s="136"/>
      <c r="CS466" s="136"/>
      <c r="CT466" s="136"/>
      <c r="CU466" s="136"/>
      <c r="CV466" s="136"/>
      <c r="CW466" s="136"/>
      <c r="CX466" s="136"/>
      <c r="CY466" s="136"/>
      <c r="CZ466" s="136"/>
      <c r="DA466" s="136"/>
      <c r="DB466" s="136"/>
      <c r="DC466" s="136"/>
      <c r="DD466" s="136"/>
      <c r="DE466" s="136"/>
      <c r="DF466" s="136"/>
      <c r="DG466" s="136"/>
      <c r="DH466" s="136"/>
      <c r="DI466" s="136"/>
      <c r="DJ466" s="136"/>
      <c r="DK466" s="136"/>
      <c r="DL466" s="136"/>
      <c r="DM466" s="136"/>
      <c r="DN466" s="136"/>
      <c r="DO466" s="136"/>
      <c r="DP466" s="136"/>
      <c r="DQ466" s="136"/>
      <c r="DR466" s="136"/>
      <c r="DS466" s="136"/>
      <c r="DT466" s="136"/>
      <c r="DU466" s="136"/>
      <c r="DV466" s="136"/>
      <c r="DW466" s="136"/>
      <c r="DX466" s="136"/>
      <c r="DY466" s="136"/>
      <c r="DZ466" s="136"/>
      <c r="EA466" s="136"/>
      <c r="EB466" s="136"/>
      <c r="EC466" s="136"/>
      <c r="ED466" s="136"/>
      <c r="EE466" s="136"/>
      <c r="EF466" s="136"/>
      <c r="EG466" s="136"/>
      <c r="EH466" s="136"/>
      <c r="EI466" s="136"/>
      <c r="EJ466" s="136"/>
      <c r="EK466" s="136"/>
      <c r="EL466" s="136"/>
      <c r="EM466" s="136"/>
      <c r="EN466" s="136"/>
      <c r="EO466" s="136"/>
      <c r="EP466" s="136"/>
      <c r="EQ466" s="136"/>
      <c r="ER466" s="136"/>
      <c r="ES466" s="136"/>
      <c r="ET466" s="136"/>
      <c r="EU466" s="136"/>
      <c r="EV466" s="136"/>
      <c r="EW466" s="136"/>
      <c r="EX466" s="136"/>
      <c r="EY466" s="136"/>
      <c r="EZ466" s="136"/>
      <c r="FA466" s="136"/>
      <c r="FB466" s="136"/>
      <c r="FC466" s="136"/>
      <c r="FD466" s="136"/>
      <c r="FE466" s="136"/>
      <c r="FF466" s="136"/>
      <c r="FG466" s="136"/>
      <c r="FH466" s="137"/>
      <c r="FI466" s="138"/>
      <c r="FJ466" s="138"/>
      <c r="FK466" s="138"/>
      <c r="FL466" s="138"/>
      <c r="FM466" s="138"/>
      <c r="FN466" s="138"/>
      <c r="FO466" s="138"/>
      <c r="FP466" s="138"/>
    </row>
    <row r="467" spans="2:172" x14ac:dyDescent="0.2">
      <c r="B467" s="134"/>
      <c r="C467" s="134"/>
      <c r="D467" s="134"/>
      <c r="E467" s="134"/>
      <c r="F467" s="134"/>
      <c r="G467" s="134"/>
      <c r="H467" s="134"/>
      <c r="I467" s="134"/>
      <c r="J467" s="134"/>
      <c r="K467" s="134"/>
      <c r="L467" s="134"/>
      <c r="M467" s="135"/>
      <c r="N467" s="135"/>
      <c r="O467" s="134"/>
      <c r="P467" s="136"/>
      <c r="Q467" s="136"/>
      <c r="R467" s="136"/>
      <c r="S467" s="136"/>
      <c r="T467" s="136"/>
      <c r="U467" s="136"/>
      <c r="V467" s="136"/>
      <c r="W467" s="136"/>
      <c r="X467" s="136"/>
      <c r="Y467" s="136"/>
      <c r="Z467" s="136"/>
      <c r="AA467" s="136"/>
      <c r="AB467" s="136"/>
      <c r="AC467" s="136"/>
      <c r="AD467" s="136"/>
      <c r="AE467" s="136"/>
      <c r="AF467" s="136"/>
      <c r="AG467" s="136"/>
      <c r="AH467" s="136"/>
      <c r="AI467" s="136"/>
      <c r="AJ467" s="136"/>
      <c r="AK467" s="136"/>
      <c r="AL467" s="136"/>
      <c r="AM467" s="136"/>
      <c r="AN467" s="136"/>
      <c r="AO467" s="136"/>
      <c r="AP467" s="136"/>
      <c r="AQ467" s="136"/>
      <c r="AR467" s="136"/>
      <c r="AS467" s="136"/>
      <c r="AT467" s="136"/>
      <c r="AU467" s="136"/>
      <c r="AV467" s="136"/>
      <c r="AW467" s="136"/>
      <c r="AX467" s="136"/>
      <c r="AY467" s="136"/>
      <c r="AZ467" s="136"/>
      <c r="BA467" s="136"/>
      <c r="BB467" s="136"/>
      <c r="BC467" s="136"/>
      <c r="BD467" s="136"/>
      <c r="BE467" s="136"/>
      <c r="BF467" s="136"/>
      <c r="BG467" s="136"/>
      <c r="BH467" s="136"/>
      <c r="BI467" s="136"/>
      <c r="BJ467" s="136"/>
      <c r="BK467" s="136"/>
      <c r="BL467" s="136"/>
      <c r="BM467" s="136"/>
      <c r="BN467" s="136"/>
      <c r="BO467" s="136"/>
      <c r="BP467" s="136"/>
      <c r="BQ467" s="136"/>
      <c r="BR467" s="136"/>
      <c r="BS467" s="136"/>
      <c r="BT467" s="136"/>
      <c r="BU467" s="136"/>
      <c r="BV467" s="136"/>
      <c r="BW467" s="136"/>
      <c r="BX467" s="136"/>
      <c r="BY467" s="136"/>
      <c r="BZ467" s="136"/>
      <c r="CA467" s="136"/>
      <c r="CB467" s="136"/>
      <c r="CC467" s="136"/>
      <c r="CD467" s="136"/>
      <c r="CE467" s="136"/>
      <c r="CF467" s="136"/>
      <c r="CG467" s="136"/>
      <c r="CH467" s="136"/>
      <c r="CI467" s="136"/>
      <c r="CJ467" s="136"/>
      <c r="CK467" s="136"/>
      <c r="CL467" s="136"/>
      <c r="CM467" s="136"/>
      <c r="CN467" s="136"/>
      <c r="CO467" s="136"/>
      <c r="CP467" s="136"/>
      <c r="CQ467" s="136"/>
      <c r="CR467" s="136"/>
      <c r="CS467" s="136"/>
      <c r="CT467" s="136"/>
      <c r="CU467" s="136"/>
      <c r="CV467" s="136"/>
      <c r="CW467" s="136"/>
      <c r="CX467" s="136"/>
      <c r="CY467" s="136"/>
      <c r="CZ467" s="136"/>
      <c r="DA467" s="136"/>
      <c r="DB467" s="136"/>
      <c r="DC467" s="136"/>
      <c r="DD467" s="136"/>
      <c r="DE467" s="136"/>
      <c r="DF467" s="136"/>
      <c r="DG467" s="136"/>
      <c r="DH467" s="136"/>
      <c r="DI467" s="136"/>
      <c r="DJ467" s="136"/>
      <c r="DK467" s="136"/>
      <c r="DL467" s="136"/>
      <c r="DM467" s="136"/>
      <c r="DN467" s="136"/>
      <c r="DO467" s="136"/>
      <c r="DP467" s="136"/>
      <c r="DQ467" s="136"/>
      <c r="DR467" s="136"/>
      <c r="DS467" s="136"/>
      <c r="DT467" s="136"/>
      <c r="DU467" s="136"/>
      <c r="DV467" s="136"/>
      <c r="DW467" s="136"/>
      <c r="DX467" s="136"/>
      <c r="DY467" s="136"/>
      <c r="DZ467" s="136"/>
      <c r="EA467" s="136"/>
      <c r="EB467" s="136"/>
      <c r="EC467" s="136"/>
      <c r="ED467" s="136"/>
      <c r="EE467" s="136"/>
      <c r="EF467" s="136"/>
      <c r="EG467" s="136"/>
      <c r="EH467" s="136"/>
      <c r="EI467" s="136"/>
      <c r="EJ467" s="136"/>
      <c r="EK467" s="136"/>
      <c r="EL467" s="136"/>
      <c r="EM467" s="136"/>
      <c r="EN467" s="136"/>
      <c r="EO467" s="136"/>
      <c r="EP467" s="136"/>
      <c r="EQ467" s="136"/>
      <c r="ER467" s="136"/>
      <c r="ES467" s="136"/>
      <c r="ET467" s="136"/>
      <c r="EU467" s="136"/>
      <c r="EV467" s="136"/>
      <c r="EW467" s="136"/>
      <c r="EX467" s="136"/>
      <c r="EY467" s="136"/>
      <c r="EZ467" s="136"/>
      <c r="FA467" s="136"/>
      <c r="FB467" s="136"/>
      <c r="FC467" s="136"/>
      <c r="FD467" s="136"/>
      <c r="FE467" s="136"/>
      <c r="FF467" s="136"/>
      <c r="FG467" s="136"/>
      <c r="FH467" s="137"/>
      <c r="FI467" s="138"/>
      <c r="FJ467" s="138"/>
      <c r="FK467" s="138"/>
      <c r="FL467" s="138"/>
      <c r="FM467" s="138"/>
      <c r="FN467" s="138"/>
      <c r="FO467" s="138"/>
      <c r="FP467" s="138"/>
    </row>
    <row r="468" spans="2:172" x14ac:dyDescent="0.2">
      <c r="B468" s="134"/>
      <c r="C468" s="134"/>
      <c r="D468" s="134"/>
      <c r="E468" s="134"/>
      <c r="F468" s="134"/>
      <c r="G468" s="134"/>
      <c r="H468" s="134"/>
      <c r="I468" s="134"/>
      <c r="J468" s="134"/>
      <c r="K468" s="134"/>
      <c r="L468" s="134"/>
      <c r="M468" s="135"/>
      <c r="N468" s="135"/>
      <c r="O468" s="134"/>
      <c r="P468" s="136"/>
      <c r="Q468" s="136"/>
      <c r="R468" s="136"/>
      <c r="S468" s="136"/>
      <c r="T468" s="136"/>
      <c r="U468" s="136"/>
      <c r="V468" s="136"/>
      <c r="W468" s="136"/>
      <c r="X468" s="136"/>
      <c r="Y468" s="136"/>
      <c r="Z468" s="136"/>
      <c r="AA468" s="136"/>
      <c r="AB468" s="136"/>
      <c r="AC468" s="136"/>
      <c r="AD468" s="136"/>
      <c r="AE468" s="136"/>
      <c r="AF468" s="136"/>
      <c r="AG468" s="136"/>
      <c r="AH468" s="136"/>
      <c r="AI468" s="136"/>
      <c r="AJ468" s="136"/>
      <c r="AK468" s="136"/>
      <c r="AL468" s="136"/>
      <c r="AM468" s="136"/>
      <c r="AN468" s="136"/>
      <c r="AO468" s="136"/>
      <c r="AP468" s="136"/>
      <c r="AQ468" s="136"/>
      <c r="AR468" s="136"/>
      <c r="AS468" s="136"/>
      <c r="AT468" s="136"/>
      <c r="AU468" s="136"/>
      <c r="AV468" s="136"/>
      <c r="AW468" s="136"/>
      <c r="AX468" s="136"/>
      <c r="AY468" s="136"/>
      <c r="AZ468" s="136"/>
      <c r="BA468" s="136"/>
      <c r="BB468" s="136"/>
      <c r="BC468" s="136"/>
      <c r="BD468" s="136"/>
      <c r="BE468" s="136"/>
      <c r="BF468" s="136"/>
      <c r="BG468" s="136"/>
      <c r="BH468" s="136"/>
      <c r="BI468" s="136"/>
      <c r="BJ468" s="136"/>
      <c r="BK468" s="136"/>
      <c r="BL468" s="136"/>
      <c r="BM468" s="136"/>
      <c r="BN468" s="136"/>
      <c r="BO468" s="136"/>
      <c r="BP468" s="136"/>
      <c r="BQ468" s="136"/>
      <c r="BR468" s="136"/>
      <c r="BS468" s="136"/>
      <c r="BT468" s="136"/>
      <c r="BU468" s="136"/>
      <c r="BV468" s="136"/>
      <c r="BW468" s="136"/>
      <c r="BX468" s="136"/>
      <c r="BY468" s="136"/>
      <c r="BZ468" s="136"/>
      <c r="CA468" s="136"/>
      <c r="CB468" s="136"/>
      <c r="CC468" s="136"/>
      <c r="CD468" s="136"/>
      <c r="CE468" s="136"/>
      <c r="CF468" s="136"/>
      <c r="CG468" s="136"/>
      <c r="CH468" s="136"/>
      <c r="CI468" s="136"/>
      <c r="CJ468" s="136"/>
      <c r="CK468" s="136"/>
      <c r="CL468" s="136"/>
      <c r="CM468" s="136"/>
      <c r="CN468" s="136"/>
      <c r="CO468" s="136"/>
      <c r="CP468" s="136"/>
      <c r="CQ468" s="136"/>
      <c r="CR468" s="136"/>
      <c r="CS468" s="136"/>
      <c r="CT468" s="136"/>
      <c r="CU468" s="136"/>
      <c r="CV468" s="136"/>
      <c r="CW468" s="136"/>
      <c r="CX468" s="136"/>
      <c r="CY468" s="136"/>
      <c r="CZ468" s="136"/>
      <c r="DA468" s="136"/>
      <c r="DB468" s="136"/>
      <c r="DC468" s="136"/>
      <c r="DD468" s="136"/>
      <c r="DE468" s="136"/>
      <c r="DF468" s="136"/>
      <c r="DG468" s="136"/>
      <c r="DH468" s="136"/>
      <c r="DI468" s="136"/>
      <c r="DJ468" s="136"/>
      <c r="DK468" s="136"/>
      <c r="DL468" s="136"/>
      <c r="DM468" s="136"/>
      <c r="DN468" s="136"/>
      <c r="DO468" s="136"/>
      <c r="DP468" s="136"/>
      <c r="DQ468" s="136"/>
      <c r="DR468" s="136"/>
      <c r="DS468" s="136"/>
      <c r="DT468" s="136"/>
      <c r="DU468" s="136"/>
      <c r="DV468" s="136"/>
      <c r="DW468" s="136"/>
      <c r="DX468" s="136"/>
      <c r="DY468" s="136"/>
      <c r="DZ468" s="136"/>
      <c r="EA468" s="136"/>
      <c r="EB468" s="136"/>
      <c r="EC468" s="136"/>
      <c r="ED468" s="136"/>
      <c r="EE468" s="136"/>
      <c r="EF468" s="136"/>
      <c r="EG468" s="136"/>
      <c r="EH468" s="136"/>
      <c r="EI468" s="136"/>
      <c r="EJ468" s="136"/>
      <c r="EK468" s="136"/>
      <c r="EL468" s="136"/>
      <c r="EM468" s="136"/>
      <c r="EN468" s="136"/>
      <c r="EO468" s="136"/>
      <c r="EP468" s="136"/>
      <c r="EQ468" s="136"/>
      <c r="ER468" s="136"/>
      <c r="ES468" s="136"/>
      <c r="ET468" s="136"/>
      <c r="EU468" s="136"/>
      <c r="EV468" s="136"/>
      <c r="EW468" s="136"/>
      <c r="EX468" s="136"/>
      <c r="EY468" s="136"/>
      <c r="EZ468" s="136"/>
      <c r="FA468" s="136"/>
      <c r="FB468" s="136"/>
      <c r="FC468" s="136"/>
      <c r="FD468" s="136"/>
      <c r="FE468" s="136"/>
      <c r="FF468" s="136"/>
      <c r="FG468" s="136"/>
      <c r="FH468" s="137"/>
      <c r="FI468" s="138"/>
      <c r="FJ468" s="138"/>
      <c r="FK468" s="138"/>
      <c r="FL468" s="138"/>
      <c r="FM468" s="138"/>
      <c r="FN468" s="138"/>
      <c r="FO468" s="138"/>
      <c r="FP468" s="138"/>
    </row>
    <row r="469" spans="2:172" x14ac:dyDescent="0.2">
      <c r="B469" s="134"/>
      <c r="C469" s="134"/>
      <c r="D469" s="134"/>
      <c r="E469" s="134"/>
      <c r="F469" s="134"/>
      <c r="G469" s="134"/>
      <c r="H469" s="134"/>
      <c r="I469" s="134"/>
      <c r="J469" s="134"/>
      <c r="K469" s="134"/>
      <c r="L469" s="134"/>
      <c r="M469" s="135"/>
      <c r="N469" s="135"/>
      <c r="O469" s="134"/>
      <c r="P469" s="136"/>
      <c r="Q469" s="136"/>
      <c r="R469" s="136"/>
      <c r="S469" s="136"/>
      <c r="T469" s="136"/>
      <c r="U469" s="136"/>
      <c r="V469" s="136"/>
      <c r="W469" s="136"/>
      <c r="X469" s="136"/>
      <c r="Y469" s="136"/>
      <c r="Z469" s="136"/>
      <c r="AA469" s="136"/>
      <c r="AB469" s="136"/>
      <c r="AC469" s="136"/>
      <c r="AD469" s="136"/>
      <c r="AE469" s="136"/>
      <c r="AF469" s="136"/>
      <c r="AG469" s="136"/>
      <c r="AH469" s="136"/>
      <c r="AI469" s="136"/>
      <c r="AJ469" s="136"/>
      <c r="AK469" s="136"/>
      <c r="AL469" s="136"/>
      <c r="AM469" s="136"/>
      <c r="AN469" s="136"/>
      <c r="AO469" s="136"/>
      <c r="AP469" s="136"/>
      <c r="AQ469" s="136"/>
      <c r="AR469" s="136"/>
      <c r="AS469" s="136"/>
      <c r="AT469" s="136"/>
      <c r="AU469" s="136"/>
      <c r="AV469" s="136"/>
      <c r="AW469" s="136"/>
      <c r="AX469" s="136"/>
      <c r="AY469" s="136"/>
      <c r="AZ469" s="136"/>
      <c r="BA469" s="136"/>
      <c r="BB469" s="136"/>
      <c r="BC469" s="136"/>
      <c r="BD469" s="136"/>
      <c r="BE469" s="136"/>
      <c r="BF469" s="136"/>
      <c r="BG469" s="136"/>
      <c r="BH469" s="136"/>
      <c r="BI469" s="136"/>
      <c r="BJ469" s="136"/>
      <c r="BK469" s="136"/>
      <c r="BL469" s="136"/>
      <c r="BM469" s="136"/>
      <c r="BN469" s="136"/>
      <c r="BO469" s="136"/>
      <c r="BP469" s="136"/>
      <c r="BQ469" s="136"/>
      <c r="BR469" s="136"/>
      <c r="BS469" s="136"/>
      <c r="BT469" s="136"/>
      <c r="BU469" s="136"/>
      <c r="BV469" s="136"/>
      <c r="BW469" s="136"/>
      <c r="BX469" s="136"/>
      <c r="BY469" s="136"/>
      <c r="BZ469" s="136"/>
      <c r="CA469" s="136"/>
      <c r="CB469" s="136"/>
      <c r="CC469" s="136"/>
      <c r="CD469" s="136"/>
      <c r="CE469" s="136"/>
      <c r="CF469" s="136"/>
      <c r="CG469" s="136"/>
      <c r="CH469" s="136"/>
      <c r="CI469" s="136"/>
      <c r="CJ469" s="136"/>
      <c r="CK469" s="136"/>
      <c r="CL469" s="136"/>
      <c r="CM469" s="136"/>
      <c r="CN469" s="136"/>
      <c r="CO469" s="136"/>
      <c r="CP469" s="136"/>
      <c r="CQ469" s="136"/>
      <c r="CR469" s="136"/>
      <c r="CS469" s="136"/>
      <c r="CT469" s="136"/>
      <c r="CU469" s="136"/>
      <c r="CV469" s="136"/>
      <c r="CW469" s="136"/>
      <c r="CX469" s="136"/>
      <c r="CY469" s="136"/>
      <c r="CZ469" s="136"/>
      <c r="DA469" s="136"/>
      <c r="DB469" s="136"/>
      <c r="DC469" s="136"/>
      <c r="DD469" s="136"/>
      <c r="DE469" s="136"/>
      <c r="DF469" s="136"/>
      <c r="DG469" s="136"/>
      <c r="DH469" s="136"/>
      <c r="DI469" s="136"/>
      <c r="DJ469" s="136"/>
      <c r="DK469" s="136"/>
      <c r="DL469" s="136"/>
      <c r="DM469" s="136"/>
      <c r="DN469" s="136"/>
      <c r="DO469" s="136"/>
      <c r="DP469" s="136"/>
      <c r="DQ469" s="136"/>
      <c r="DR469" s="136"/>
      <c r="DS469" s="136"/>
      <c r="DT469" s="136"/>
      <c r="DU469" s="136"/>
      <c r="DV469" s="136"/>
      <c r="DW469" s="136"/>
      <c r="DX469" s="136"/>
      <c r="DY469" s="136"/>
      <c r="DZ469" s="136"/>
      <c r="EA469" s="136"/>
      <c r="EB469" s="136"/>
      <c r="EC469" s="136"/>
      <c r="ED469" s="136"/>
      <c r="EE469" s="136"/>
      <c r="EF469" s="136"/>
      <c r="EG469" s="136"/>
      <c r="EH469" s="136"/>
      <c r="EI469" s="136"/>
      <c r="EJ469" s="136"/>
      <c r="EK469" s="136"/>
      <c r="EL469" s="136"/>
      <c r="EM469" s="136"/>
      <c r="EN469" s="136"/>
      <c r="EO469" s="136"/>
      <c r="EP469" s="136"/>
      <c r="EQ469" s="136"/>
      <c r="ER469" s="136"/>
      <c r="ES469" s="136"/>
      <c r="ET469" s="136"/>
      <c r="EU469" s="136"/>
      <c r="EV469" s="136"/>
      <c r="EW469" s="136"/>
      <c r="EX469" s="136"/>
      <c r="EY469" s="136"/>
      <c r="EZ469" s="136"/>
      <c r="FA469" s="136"/>
      <c r="FB469" s="136"/>
      <c r="FC469" s="136"/>
      <c r="FD469" s="136"/>
      <c r="FE469" s="136"/>
      <c r="FF469" s="136"/>
      <c r="FG469" s="136"/>
      <c r="FH469" s="137"/>
      <c r="FI469" s="138"/>
      <c r="FJ469" s="138"/>
      <c r="FK469" s="138"/>
      <c r="FL469" s="138"/>
      <c r="FM469" s="138"/>
      <c r="FN469" s="138"/>
      <c r="FO469" s="138"/>
      <c r="FP469" s="138"/>
    </row>
    <row r="470" spans="2:172" x14ac:dyDescent="0.2">
      <c r="B470" s="134"/>
      <c r="C470" s="134"/>
      <c r="D470" s="134"/>
      <c r="E470" s="134"/>
      <c r="F470" s="134"/>
      <c r="G470" s="134"/>
      <c r="H470" s="134"/>
      <c r="I470" s="134"/>
      <c r="J470" s="134"/>
      <c r="K470" s="134"/>
      <c r="L470" s="134"/>
      <c r="M470" s="135"/>
      <c r="N470" s="135"/>
      <c r="O470" s="134"/>
      <c r="P470" s="136"/>
      <c r="Q470" s="136"/>
      <c r="R470" s="136"/>
      <c r="S470" s="136"/>
      <c r="T470" s="136"/>
      <c r="U470" s="136"/>
      <c r="V470" s="136"/>
      <c r="W470" s="136"/>
      <c r="X470" s="136"/>
      <c r="Y470" s="136"/>
      <c r="Z470" s="136"/>
      <c r="AA470" s="136"/>
      <c r="AB470" s="136"/>
      <c r="AC470" s="136"/>
      <c r="AD470" s="136"/>
      <c r="AE470" s="136"/>
      <c r="AF470" s="136"/>
      <c r="AG470" s="136"/>
      <c r="AH470" s="136"/>
      <c r="AI470" s="136"/>
      <c r="AJ470" s="136"/>
      <c r="AK470" s="136"/>
      <c r="AL470" s="136"/>
      <c r="AM470" s="136"/>
      <c r="AN470" s="136"/>
      <c r="AO470" s="136"/>
      <c r="AP470" s="136"/>
      <c r="AQ470" s="136"/>
      <c r="AR470" s="136"/>
      <c r="AS470" s="136"/>
      <c r="AT470" s="136"/>
      <c r="AU470" s="136"/>
      <c r="AV470" s="136"/>
      <c r="AW470" s="136"/>
      <c r="AX470" s="136"/>
      <c r="AY470" s="136"/>
      <c r="AZ470" s="136"/>
      <c r="BA470" s="136"/>
      <c r="BB470" s="136"/>
      <c r="BC470" s="136"/>
      <c r="BD470" s="136"/>
      <c r="BE470" s="136"/>
      <c r="BF470" s="136"/>
      <c r="BG470" s="136"/>
      <c r="BH470" s="136"/>
      <c r="BI470" s="136"/>
      <c r="BJ470" s="136"/>
      <c r="BK470" s="136"/>
      <c r="BL470" s="136"/>
      <c r="BM470" s="136"/>
      <c r="BN470" s="136"/>
      <c r="BO470" s="136"/>
      <c r="BP470" s="136"/>
      <c r="BQ470" s="136"/>
      <c r="BR470" s="136"/>
      <c r="BS470" s="136"/>
      <c r="BT470" s="136"/>
      <c r="BU470" s="136"/>
      <c r="BV470" s="136"/>
      <c r="BW470" s="136"/>
      <c r="BX470" s="136"/>
      <c r="BY470" s="136"/>
      <c r="BZ470" s="136"/>
      <c r="CA470" s="136"/>
      <c r="CB470" s="136"/>
      <c r="CC470" s="136"/>
      <c r="CD470" s="136"/>
      <c r="CE470" s="136"/>
      <c r="CF470" s="136"/>
      <c r="CG470" s="136"/>
      <c r="CH470" s="136"/>
      <c r="CI470" s="136"/>
      <c r="CJ470" s="136"/>
      <c r="CK470" s="136"/>
      <c r="CL470" s="136"/>
      <c r="CM470" s="136"/>
      <c r="CN470" s="136"/>
      <c r="CO470" s="136"/>
      <c r="CP470" s="136"/>
      <c r="CQ470" s="136"/>
      <c r="CR470" s="136"/>
      <c r="CS470" s="136"/>
      <c r="CT470" s="136"/>
      <c r="CU470" s="136"/>
      <c r="CV470" s="136"/>
      <c r="CW470" s="136"/>
      <c r="CX470" s="136"/>
      <c r="CY470" s="136"/>
      <c r="CZ470" s="136"/>
      <c r="DA470" s="136"/>
      <c r="DB470" s="136"/>
      <c r="DC470" s="136"/>
      <c r="DD470" s="136"/>
      <c r="DE470" s="136"/>
      <c r="DF470" s="136"/>
      <c r="DG470" s="136"/>
      <c r="DH470" s="136"/>
      <c r="DI470" s="136"/>
      <c r="DJ470" s="136"/>
      <c r="DK470" s="136"/>
      <c r="DL470" s="136"/>
      <c r="DM470" s="136"/>
      <c r="DN470" s="136"/>
      <c r="DO470" s="136"/>
      <c r="DP470" s="136"/>
      <c r="DQ470" s="136"/>
      <c r="DR470" s="136"/>
      <c r="DS470" s="136"/>
      <c r="DT470" s="136"/>
      <c r="DU470" s="136"/>
      <c r="DV470" s="136"/>
      <c r="DW470" s="136"/>
      <c r="DX470" s="136"/>
      <c r="DY470" s="136"/>
      <c r="DZ470" s="136"/>
      <c r="EA470" s="136"/>
      <c r="EB470" s="136"/>
      <c r="EC470" s="136"/>
      <c r="ED470" s="136"/>
      <c r="EE470" s="136"/>
      <c r="EF470" s="136"/>
      <c r="EG470" s="136"/>
      <c r="EH470" s="136"/>
      <c r="EI470" s="136"/>
      <c r="EJ470" s="136"/>
      <c r="EK470" s="136"/>
      <c r="EL470" s="136"/>
      <c r="EM470" s="136"/>
      <c r="EN470" s="136"/>
      <c r="EO470" s="136"/>
      <c r="EP470" s="136"/>
      <c r="EQ470" s="136"/>
      <c r="ER470" s="136"/>
      <c r="ES470" s="136"/>
      <c r="ET470" s="136"/>
      <c r="EU470" s="136"/>
      <c r="EV470" s="136"/>
      <c r="EW470" s="136"/>
      <c r="EX470" s="136"/>
      <c r="EY470" s="136"/>
      <c r="EZ470" s="136"/>
      <c r="FA470" s="136"/>
      <c r="FB470" s="136"/>
      <c r="FC470" s="136"/>
      <c r="FD470" s="136"/>
      <c r="FE470" s="136"/>
      <c r="FF470" s="136"/>
      <c r="FG470" s="136"/>
      <c r="FH470" s="137"/>
      <c r="FI470" s="138"/>
      <c r="FJ470" s="138"/>
      <c r="FK470" s="138"/>
      <c r="FL470" s="138"/>
      <c r="FM470" s="138"/>
      <c r="FN470" s="138"/>
      <c r="FO470" s="138"/>
      <c r="FP470" s="138"/>
    </row>
    <row r="471" spans="2:172" x14ac:dyDescent="0.2">
      <c r="B471" s="134"/>
      <c r="C471" s="134"/>
      <c r="D471" s="134"/>
      <c r="E471" s="134"/>
      <c r="F471" s="134"/>
      <c r="G471" s="134"/>
      <c r="H471" s="134"/>
      <c r="I471" s="134"/>
      <c r="J471" s="134"/>
      <c r="K471" s="134"/>
      <c r="L471" s="134"/>
      <c r="M471" s="135"/>
      <c r="N471" s="135"/>
      <c r="O471" s="134"/>
      <c r="P471" s="136"/>
      <c r="Q471" s="136"/>
      <c r="R471" s="136"/>
      <c r="S471" s="136"/>
      <c r="T471" s="136"/>
      <c r="U471" s="136"/>
      <c r="V471" s="136"/>
      <c r="W471" s="136"/>
      <c r="X471" s="136"/>
      <c r="Y471" s="136"/>
      <c r="Z471" s="136"/>
      <c r="AA471" s="136"/>
      <c r="AB471" s="136"/>
      <c r="AC471" s="136"/>
      <c r="AD471" s="136"/>
      <c r="AE471" s="136"/>
      <c r="AF471" s="136"/>
      <c r="AG471" s="136"/>
      <c r="AH471" s="136"/>
      <c r="AI471" s="136"/>
      <c r="AJ471" s="136"/>
      <c r="AK471" s="136"/>
      <c r="AL471" s="136"/>
      <c r="AM471" s="136"/>
      <c r="AN471" s="136"/>
      <c r="AO471" s="136"/>
      <c r="AP471" s="136"/>
      <c r="AQ471" s="136"/>
      <c r="AR471" s="136"/>
      <c r="AS471" s="136"/>
      <c r="AT471" s="136"/>
      <c r="AU471" s="136"/>
      <c r="AV471" s="136"/>
      <c r="AW471" s="136"/>
      <c r="AX471" s="136"/>
      <c r="AY471" s="136"/>
      <c r="AZ471" s="136"/>
      <c r="BA471" s="136"/>
      <c r="BB471" s="136"/>
      <c r="BC471" s="136"/>
      <c r="BD471" s="136"/>
      <c r="BE471" s="136"/>
      <c r="BF471" s="136"/>
      <c r="BG471" s="136"/>
      <c r="BH471" s="136"/>
      <c r="BI471" s="136"/>
      <c r="BJ471" s="136"/>
      <c r="BK471" s="136"/>
      <c r="BL471" s="136"/>
      <c r="BM471" s="136"/>
      <c r="BN471" s="136"/>
      <c r="BO471" s="136"/>
      <c r="BP471" s="136"/>
      <c r="BQ471" s="136"/>
      <c r="BR471" s="136"/>
      <c r="BS471" s="136"/>
      <c r="BT471" s="136"/>
      <c r="BU471" s="136"/>
      <c r="BV471" s="136"/>
      <c r="BW471" s="136"/>
      <c r="BX471" s="136"/>
      <c r="BY471" s="136"/>
      <c r="BZ471" s="136"/>
      <c r="CA471" s="136"/>
      <c r="CB471" s="136"/>
      <c r="CC471" s="136"/>
      <c r="CD471" s="136"/>
      <c r="CE471" s="136"/>
      <c r="CF471" s="136"/>
      <c r="CG471" s="136"/>
      <c r="CH471" s="136"/>
      <c r="CI471" s="136"/>
      <c r="CJ471" s="136"/>
      <c r="CK471" s="136"/>
      <c r="CL471" s="136"/>
      <c r="CM471" s="136"/>
      <c r="CN471" s="136"/>
      <c r="CO471" s="136"/>
      <c r="CP471" s="136"/>
      <c r="CQ471" s="136"/>
      <c r="CR471" s="136"/>
      <c r="CS471" s="136"/>
      <c r="CT471" s="136"/>
      <c r="CU471" s="136"/>
      <c r="CV471" s="136"/>
      <c r="CW471" s="136"/>
      <c r="CX471" s="136"/>
      <c r="CY471" s="136"/>
      <c r="CZ471" s="136"/>
      <c r="DA471" s="136"/>
      <c r="DB471" s="136"/>
      <c r="DC471" s="136"/>
      <c r="DD471" s="136"/>
      <c r="DE471" s="136"/>
      <c r="DF471" s="136"/>
      <c r="DG471" s="136"/>
      <c r="DH471" s="136"/>
      <c r="DI471" s="136"/>
      <c r="DJ471" s="136"/>
      <c r="DK471" s="136"/>
      <c r="DL471" s="136"/>
      <c r="DM471" s="136"/>
      <c r="DN471" s="136"/>
      <c r="DO471" s="136"/>
      <c r="DP471" s="136"/>
      <c r="DQ471" s="136"/>
      <c r="DR471" s="136"/>
      <c r="DS471" s="136"/>
      <c r="DT471" s="136"/>
      <c r="DU471" s="136"/>
      <c r="DV471" s="136"/>
      <c r="DW471" s="136"/>
      <c r="DX471" s="136"/>
      <c r="DY471" s="136"/>
      <c r="DZ471" s="136"/>
      <c r="EA471" s="136"/>
      <c r="EB471" s="136"/>
      <c r="EC471" s="136"/>
      <c r="ED471" s="136"/>
      <c r="EE471" s="136"/>
      <c r="EF471" s="136"/>
      <c r="EG471" s="136"/>
      <c r="EH471" s="136"/>
      <c r="EI471" s="136"/>
      <c r="EJ471" s="136"/>
      <c r="EK471" s="136"/>
      <c r="EL471" s="136"/>
      <c r="EM471" s="136"/>
      <c r="EN471" s="136"/>
      <c r="EO471" s="136"/>
      <c r="EP471" s="136"/>
      <c r="EQ471" s="136"/>
      <c r="ER471" s="136"/>
      <c r="ES471" s="136"/>
      <c r="ET471" s="136"/>
      <c r="EU471" s="136"/>
      <c r="EV471" s="136"/>
      <c r="EW471" s="136"/>
      <c r="EX471" s="136"/>
      <c r="EY471" s="136"/>
      <c r="EZ471" s="136"/>
      <c r="FA471" s="136"/>
      <c r="FB471" s="136"/>
      <c r="FC471" s="136"/>
      <c r="FD471" s="136"/>
      <c r="FE471" s="136"/>
      <c r="FF471" s="136"/>
      <c r="FG471" s="136"/>
      <c r="FH471" s="137"/>
      <c r="FI471" s="138"/>
      <c r="FJ471" s="138"/>
      <c r="FK471" s="138"/>
      <c r="FL471" s="138"/>
      <c r="FM471" s="138"/>
      <c r="FN471" s="138"/>
      <c r="FO471" s="138"/>
      <c r="FP471" s="138"/>
    </row>
    <row r="472" spans="2:172" x14ac:dyDescent="0.2">
      <c r="B472" s="134"/>
      <c r="C472" s="134"/>
      <c r="D472" s="134"/>
      <c r="E472" s="134"/>
      <c r="F472" s="134"/>
      <c r="G472" s="134"/>
      <c r="H472" s="134"/>
      <c r="I472" s="134"/>
      <c r="J472" s="134"/>
      <c r="K472" s="134"/>
      <c r="L472" s="134"/>
      <c r="M472" s="135"/>
      <c r="N472" s="135"/>
      <c r="O472" s="134"/>
      <c r="P472" s="136"/>
      <c r="Q472" s="136"/>
      <c r="R472" s="136"/>
      <c r="S472" s="136"/>
      <c r="T472" s="136"/>
      <c r="U472" s="136"/>
      <c r="V472" s="136"/>
      <c r="W472" s="136"/>
      <c r="X472" s="136"/>
      <c r="Y472" s="136"/>
      <c r="Z472" s="136"/>
      <c r="AA472" s="136"/>
      <c r="AB472" s="136"/>
      <c r="AC472" s="136"/>
      <c r="AD472" s="136"/>
      <c r="AE472" s="136"/>
      <c r="AF472" s="136"/>
      <c r="AG472" s="136"/>
      <c r="AH472" s="136"/>
      <c r="AI472" s="136"/>
      <c r="AJ472" s="136"/>
      <c r="AK472" s="136"/>
      <c r="AL472" s="136"/>
      <c r="AM472" s="136"/>
      <c r="AN472" s="136"/>
      <c r="AO472" s="136"/>
      <c r="AP472" s="136"/>
      <c r="AQ472" s="136"/>
      <c r="AR472" s="136"/>
      <c r="AS472" s="136"/>
      <c r="AT472" s="136"/>
      <c r="AU472" s="136"/>
      <c r="AV472" s="136"/>
      <c r="AW472" s="136"/>
      <c r="AX472" s="136"/>
      <c r="AY472" s="136"/>
      <c r="AZ472" s="136"/>
      <c r="BA472" s="136"/>
      <c r="BB472" s="136"/>
      <c r="BC472" s="136"/>
      <c r="BD472" s="136"/>
      <c r="BE472" s="136"/>
      <c r="BF472" s="136"/>
      <c r="BG472" s="136"/>
      <c r="BH472" s="136"/>
      <c r="BI472" s="136"/>
      <c r="BJ472" s="136"/>
      <c r="BK472" s="136"/>
      <c r="BL472" s="136"/>
      <c r="BM472" s="136"/>
      <c r="BN472" s="136"/>
      <c r="BO472" s="136"/>
      <c r="BP472" s="136"/>
      <c r="BQ472" s="136"/>
      <c r="BR472" s="136"/>
      <c r="BS472" s="136"/>
      <c r="BT472" s="136"/>
      <c r="BU472" s="136"/>
      <c r="BV472" s="136"/>
      <c r="BW472" s="136"/>
      <c r="BX472" s="136"/>
      <c r="BY472" s="136"/>
      <c r="BZ472" s="136"/>
      <c r="CA472" s="136"/>
      <c r="CB472" s="136"/>
      <c r="CC472" s="136"/>
      <c r="CD472" s="136"/>
      <c r="CE472" s="136"/>
      <c r="CF472" s="136"/>
      <c r="CG472" s="136"/>
      <c r="CH472" s="136"/>
      <c r="CI472" s="136"/>
      <c r="CJ472" s="136"/>
      <c r="CK472" s="136"/>
      <c r="CL472" s="136"/>
      <c r="CM472" s="136"/>
      <c r="CN472" s="136"/>
      <c r="CO472" s="136"/>
      <c r="CP472" s="136"/>
      <c r="CQ472" s="136"/>
      <c r="CR472" s="136"/>
      <c r="CS472" s="136"/>
      <c r="CT472" s="136"/>
      <c r="CU472" s="136"/>
      <c r="CV472" s="136"/>
      <c r="CW472" s="136"/>
      <c r="CX472" s="136"/>
      <c r="CY472" s="136"/>
      <c r="CZ472" s="136"/>
      <c r="DA472" s="136"/>
      <c r="DB472" s="136"/>
      <c r="DC472" s="136"/>
      <c r="DD472" s="136"/>
      <c r="DE472" s="136"/>
      <c r="DF472" s="136"/>
      <c r="DG472" s="136"/>
      <c r="DH472" s="136"/>
      <c r="DI472" s="136"/>
      <c r="DJ472" s="136"/>
      <c r="DK472" s="136"/>
      <c r="DL472" s="136"/>
      <c r="DM472" s="136"/>
      <c r="DN472" s="136"/>
      <c r="DO472" s="136"/>
      <c r="DP472" s="136"/>
      <c r="DQ472" s="136"/>
      <c r="DR472" s="136"/>
      <c r="DS472" s="136"/>
      <c r="DT472" s="136"/>
      <c r="DU472" s="136"/>
      <c r="DV472" s="136"/>
      <c r="DW472" s="136"/>
      <c r="DX472" s="136"/>
      <c r="DY472" s="136"/>
      <c r="DZ472" s="136"/>
      <c r="EA472" s="136"/>
      <c r="EB472" s="136"/>
      <c r="EC472" s="136"/>
      <c r="ED472" s="136"/>
      <c r="EE472" s="136"/>
      <c r="EF472" s="136"/>
      <c r="EG472" s="136"/>
      <c r="EH472" s="136"/>
      <c r="EI472" s="136"/>
      <c r="EJ472" s="136"/>
      <c r="EK472" s="136"/>
      <c r="EL472" s="136"/>
      <c r="EM472" s="136"/>
      <c r="EN472" s="136"/>
      <c r="EO472" s="136"/>
      <c r="EP472" s="136"/>
      <c r="EQ472" s="136"/>
      <c r="ER472" s="136"/>
      <c r="ES472" s="136"/>
      <c r="ET472" s="136"/>
      <c r="EU472" s="136"/>
      <c r="EV472" s="136"/>
      <c r="EW472" s="136"/>
      <c r="EX472" s="136"/>
      <c r="EY472" s="136"/>
      <c r="EZ472" s="136"/>
      <c r="FA472" s="136"/>
      <c r="FB472" s="136"/>
      <c r="FC472" s="136"/>
      <c r="FD472" s="136"/>
      <c r="FE472" s="136"/>
      <c r="FF472" s="136"/>
      <c r="FG472" s="136"/>
      <c r="FH472" s="137"/>
      <c r="FI472" s="138"/>
      <c r="FJ472" s="138"/>
      <c r="FK472" s="138"/>
      <c r="FL472" s="138"/>
      <c r="FM472" s="138"/>
      <c r="FN472" s="138"/>
      <c r="FO472" s="138"/>
      <c r="FP472" s="138"/>
    </row>
    <row r="473" spans="2:172" x14ac:dyDescent="0.2">
      <c r="B473" s="134"/>
      <c r="C473" s="134"/>
      <c r="D473" s="134"/>
      <c r="E473" s="134"/>
      <c r="F473" s="134"/>
      <c r="G473" s="134"/>
      <c r="H473" s="134"/>
      <c r="I473" s="134"/>
      <c r="J473" s="134"/>
      <c r="K473" s="134"/>
      <c r="L473" s="134"/>
      <c r="M473" s="135"/>
      <c r="N473" s="135"/>
      <c r="O473" s="134"/>
      <c r="P473" s="136"/>
      <c r="Q473" s="136"/>
      <c r="R473" s="136"/>
      <c r="S473" s="136"/>
      <c r="T473" s="136"/>
      <c r="U473" s="136"/>
      <c r="V473" s="136"/>
      <c r="W473" s="136"/>
      <c r="X473" s="136"/>
      <c r="Y473" s="136"/>
      <c r="Z473" s="136"/>
      <c r="AA473" s="136"/>
      <c r="AB473" s="136"/>
      <c r="AC473" s="136"/>
      <c r="AD473" s="136"/>
      <c r="AE473" s="136"/>
      <c r="AF473" s="136"/>
      <c r="AG473" s="136"/>
      <c r="AH473" s="136"/>
      <c r="AI473" s="136"/>
      <c r="AJ473" s="136"/>
      <c r="AK473" s="136"/>
      <c r="AL473" s="136"/>
      <c r="AM473" s="136"/>
      <c r="AN473" s="136"/>
      <c r="AO473" s="136"/>
      <c r="AP473" s="136"/>
      <c r="AQ473" s="136"/>
      <c r="AR473" s="136"/>
      <c r="AS473" s="136"/>
      <c r="AT473" s="136"/>
      <c r="AU473" s="136"/>
      <c r="AV473" s="136"/>
      <c r="AW473" s="136"/>
      <c r="AX473" s="136"/>
      <c r="AY473" s="136"/>
      <c r="AZ473" s="136"/>
      <c r="BA473" s="136"/>
      <c r="BB473" s="136"/>
      <c r="BC473" s="136"/>
      <c r="BD473" s="136"/>
      <c r="BE473" s="136"/>
      <c r="BF473" s="136"/>
      <c r="BG473" s="136"/>
      <c r="BH473" s="136"/>
      <c r="BI473" s="136"/>
      <c r="BJ473" s="136"/>
      <c r="BK473" s="136"/>
      <c r="BL473" s="136"/>
      <c r="BM473" s="136"/>
      <c r="BN473" s="136"/>
      <c r="BO473" s="136"/>
      <c r="BP473" s="136"/>
      <c r="BQ473" s="136"/>
      <c r="BR473" s="136"/>
      <c r="BS473" s="136"/>
      <c r="BT473" s="136"/>
      <c r="BU473" s="136"/>
      <c r="BV473" s="136"/>
      <c r="BW473" s="136"/>
      <c r="BX473" s="136"/>
      <c r="BY473" s="136"/>
      <c r="BZ473" s="136"/>
      <c r="CA473" s="136"/>
      <c r="CB473" s="136"/>
      <c r="CC473" s="136"/>
      <c r="CD473" s="136"/>
      <c r="CE473" s="136"/>
      <c r="CF473" s="136"/>
      <c r="CG473" s="136"/>
      <c r="CH473" s="136"/>
      <c r="CI473" s="136"/>
      <c r="CJ473" s="136"/>
      <c r="CK473" s="136"/>
      <c r="CL473" s="136"/>
      <c r="CM473" s="136"/>
      <c r="CN473" s="136"/>
      <c r="CO473" s="136"/>
      <c r="CP473" s="136"/>
      <c r="CQ473" s="136"/>
      <c r="CR473" s="136"/>
      <c r="CS473" s="136"/>
      <c r="CT473" s="136"/>
      <c r="CU473" s="136"/>
      <c r="CV473" s="136"/>
      <c r="CW473" s="136"/>
      <c r="CX473" s="136"/>
      <c r="CY473" s="136"/>
      <c r="CZ473" s="136"/>
      <c r="DA473" s="136"/>
      <c r="DB473" s="136"/>
      <c r="DC473" s="136"/>
      <c r="DD473" s="136"/>
      <c r="DE473" s="136"/>
      <c r="DF473" s="136"/>
      <c r="DG473" s="136"/>
      <c r="DH473" s="136"/>
      <c r="DI473" s="136"/>
      <c r="DJ473" s="136"/>
      <c r="DK473" s="136"/>
      <c r="DL473" s="136"/>
      <c r="DM473" s="136"/>
      <c r="DN473" s="136"/>
      <c r="DO473" s="136"/>
      <c r="DP473" s="136"/>
      <c r="DQ473" s="136"/>
      <c r="DR473" s="136"/>
      <c r="DS473" s="136"/>
      <c r="DT473" s="136"/>
      <c r="DU473" s="136"/>
      <c r="DV473" s="136"/>
      <c r="DW473" s="136"/>
      <c r="DX473" s="136"/>
      <c r="DY473" s="136"/>
      <c r="DZ473" s="136"/>
      <c r="EA473" s="136"/>
      <c r="EB473" s="136"/>
      <c r="EC473" s="136"/>
      <c r="ED473" s="136"/>
      <c r="EE473" s="136"/>
      <c r="EF473" s="136"/>
      <c r="EG473" s="136"/>
      <c r="EH473" s="136"/>
      <c r="EI473" s="136"/>
      <c r="EJ473" s="136"/>
      <c r="EK473" s="136"/>
      <c r="EL473" s="136"/>
      <c r="EM473" s="136"/>
      <c r="EN473" s="136"/>
      <c r="EO473" s="136"/>
      <c r="EP473" s="136"/>
      <c r="EQ473" s="136"/>
      <c r="ER473" s="136"/>
      <c r="ES473" s="136"/>
      <c r="ET473" s="136"/>
      <c r="EU473" s="136"/>
      <c r="EV473" s="136"/>
      <c r="EW473" s="136"/>
      <c r="EX473" s="136"/>
      <c r="EY473" s="136"/>
      <c r="EZ473" s="136"/>
      <c r="FA473" s="136"/>
      <c r="FB473" s="136"/>
      <c r="FC473" s="136"/>
      <c r="FD473" s="136"/>
      <c r="FE473" s="136"/>
      <c r="FF473" s="136"/>
      <c r="FG473" s="136"/>
      <c r="FH473" s="137"/>
      <c r="FI473" s="138"/>
      <c r="FJ473" s="138"/>
      <c r="FK473" s="138"/>
      <c r="FL473" s="138"/>
      <c r="FM473" s="138"/>
      <c r="FN473" s="138"/>
      <c r="FO473" s="138"/>
      <c r="FP473" s="138"/>
    </row>
    <row r="474" spans="2:172" x14ac:dyDescent="0.2">
      <c r="B474" s="134"/>
      <c r="C474" s="134"/>
      <c r="D474" s="134"/>
      <c r="E474" s="134"/>
      <c r="F474" s="134"/>
      <c r="G474" s="134"/>
      <c r="H474" s="134"/>
      <c r="I474" s="134"/>
      <c r="J474" s="134"/>
      <c r="K474" s="134"/>
      <c r="L474" s="134"/>
      <c r="M474" s="135"/>
      <c r="N474" s="135"/>
      <c r="O474" s="134"/>
      <c r="P474" s="136"/>
      <c r="Q474" s="136"/>
      <c r="R474" s="136"/>
      <c r="S474" s="136"/>
      <c r="T474" s="136"/>
      <c r="U474" s="136"/>
      <c r="V474" s="136"/>
      <c r="W474" s="136"/>
      <c r="X474" s="136"/>
      <c r="Y474" s="136"/>
      <c r="Z474" s="136"/>
      <c r="AA474" s="136"/>
      <c r="AB474" s="136"/>
      <c r="AC474" s="136"/>
      <c r="AD474" s="136"/>
      <c r="AE474" s="136"/>
      <c r="AF474" s="136"/>
      <c r="AG474" s="136"/>
      <c r="AH474" s="136"/>
      <c r="AI474" s="136"/>
      <c r="AJ474" s="136"/>
      <c r="AK474" s="136"/>
      <c r="AL474" s="136"/>
      <c r="AM474" s="136"/>
      <c r="AN474" s="136"/>
      <c r="AO474" s="136"/>
      <c r="AP474" s="136"/>
      <c r="AQ474" s="136"/>
      <c r="AR474" s="136"/>
      <c r="AS474" s="136"/>
      <c r="AT474" s="136"/>
      <c r="AU474" s="136"/>
      <c r="AV474" s="136"/>
      <c r="AW474" s="136"/>
      <c r="AX474" s="136"/>
      <c r="AY474" s="136"/>
      <c r="AZ474" s="136"/>
      <c r="BA474" s="136"/>
      <c r="BB474" s="136"/>
      <c r="BC474" s="136"/>
      <c r="BD474" s="136"/>
      <c r="BE474" s="136"/>
      <c r="BF474" s="136"/>
      <c r="BG474" s="136"/>
      <c r="BH474" s="136"/>
      <c r="BI474" s="136"/>
      <c r="BJ474" s="136"/>
      <c r="BK474" s="136"/>
      <c r="BL474" s="136"/>
      <c r="BM474" s="136"/>
      <c r="BN474" s="136"/>
      <c r="BO474" s="136"/>
      <c r="BP474" s="136"/>
      <c r="BQ474" s="136"/>
      <c r="BR474" s="136"/>
      <c r="BS474" s="136"/>
      <c r="BT474" s="136"/>
      <c r="BU474" s="136"/>
      <c r="BV474" s="136"/>
      <c r="BW474" s="136"/>
      <c r="BX474" s="136"/>
      <c r="BY474" s="136"/>
      <c r="BZ474" s="136"/>
      <c r="CA474" s="136"/>
      <c r="CB474" s="136"/>
      <c r="CC474" s="136"/>
      <c r="CD474" s="136"/>
      <c r="CE474" s="136"/>
      <c r="CF474" s="136"/>
      <c r="CG474" s="136"/>
      <c r="CH474" s="136"/>
      <c r="CI474" s="136"/>
      <c r="CJ474" s="136"/>
      <c r="CK474" s="136"/>
      <c r="CL474" s="136"/>
      <c r="CM474" s="136"/>
      <c r="CN474" s="136"/>
      <c r="CO474" s="136"/>
      <c r="CP474" s="136"/>
      <c r="CQ474" s="136"/>
      <c r="CR474" s="136"/>
      <c r="CS474" s="136"/>
      <c r="CT474" s="136"/>
      <c r="CU474" s="136"/>
      <c r="CV474" s="136"/>
      <c r="CW474" s="136"/>
      <c r="CX474" s="136"/>
      <c r="CY474" s="136"/>
      <c r="CZ474" s="136"/>
      <c r="DA474" s="136"/>
      <c r="DB474" s="136"/>
      <c r="DC474" s="136"/>
      <c r="DD474" s="136"/>
      <c r="DE474" s="136"/>
      <c r="DF474" s="136"/>
      <c r="DG474" s="136"/>
      <c r="DH474" s="136"/>
      <c r="DI474" s="136"/>
      <c r="DJ474" s="136"/>
      <c r="DK474" s="136"/>
      <c r="DL474" s="136"/>
      <c r="DM474" s="136"/>
      <c r="DN474" s="136"/>
      <c r="DO474" s="136"/>
      <c r="DP474" s="136"/>
      <c r="DQ474" s="136"/>
      <c r="DR474" s="136"/>
      <c r="DS474" s="136"/>
      <c r="DT474" s="136"/>
      <c r="DU474" s="136"/>
      <c r="DV474" s="136"/>
      <c r="DW474" s="136"/>
      <c r="DX474" s="136"/>
      <c r="DY474" s="136"/>
      <c r="DZ474" s="136"/>
      <c r="EA474" s="136"/>
      <c r="EB474" s="136"/>
      <c r="EC474" s="136"/>
      <c r="ED474" s="136"/>
      <c r="EE474" s="136"/>
      <c r="EF474" s="136"/>
      <c r="EG474" s="136"/>
      <c r="EH474" s="136"/>
      <c r="EI474" s="136"/>
      <c r="EJ474" s="136"/>
      <c r="EK474" s="136"/>
      <c r="EL474" s="136"/>
      <c r="EM474" s="136"/>
      <c r="EN474" s="136"/>
      <c r="EO474" s="136"/>
      <c r="EP474" s="136"/>
      <c r="EQ474" s="136"/>
      <c r="ER474" s="136"/>
      <c r="ES474" s="136"/>
      <c r="ET474" s="136"/>
      <c r="EU474" s="136"/>
      <c r="EV474" s="136"/>
      <c r="EW474" s="136"/>
      <c r="EX474" s="136"/>
      <c r="EY474" s="136"/>
      <c r="EZ474" s="136"/>
      <c r="FA474" s="136"/>
      <c r="FB474" s="136"/>
      <c r="FC474" s="136"/>
      <c r="FD474" s="136"/>
      <c r="FE474" s="136"/>
      <c r="FF474" s="136"/>
      <c r="FG474" s="136"/>
      <c r="FH474" s="137"/>
      <c r="FI474" s="138"/>
      <c r="FJ474" s="138"/>
      <c r="FK474" s="138"/>
      <c r="FL474" s="138"/>
      <c r="FM474" s="138"/>
      <c r="FN474" s="138"/>
      <c r="FO474" s="138"/>
      <c r="FP474" s="138"/>
    </row>
    <row r="475" spans="2:172" x14ac:dyDescent="0.2">
      <c r="B475" s="134"/>
      <c r="C475" s="134"/>
      <c r="D475" s="134"/>
      <c r="E475" s="134"/>
      <c r="F475" s="134"/>
      <c r="G475" s="134"/>
      <c r="H475" s="134"/>
      <c r="I475" s="134"/>
      <c r="J475" s="134"/>
      <c r="K475" s="134"/>
      <c r="L475" s="134"/>
      <c r="M475" s="135"/>
      <c r="N475" s="135"/>
      <c r="O475" s="134"/>
      <c r="P475" s="136"/>
      <c r="Q475" s="136"/>
      <c r="R475" s="136"/>
      <c r="S475" s="136"/>
      <c r="T475" s="136"/>
      <c r="U475" s="136"/>
      <c r="V475" s="136"/>
      <c r="W475" s="136"/>
      <c r="X475" s="136"/>
      <c r="Y475" s="136"/>
      <c r="Z475" s="136"/>
      <c r="AA475" s="136"/>
      <c r="AB475" s="136"/>
      <c r="AC475" s="136"/>
      <c r="AD475" s="136"/>
      <c r="AE475" s="136"/>
      <c r="AF475" s="136"/>
      <c r="AG475" s="136"/>
      <c r="AH475" s="136"/>
      <c r="AI475" s="136"/>
      <c r="AJ475" s="136"/>
      <c r="AK475" s="136"/>
      <c r="AL475" s="136"/>
      <c r="AM475" s="136"/>
      <c r="AN475" s="136"/>
      <c r="AO475" s="136"/>
      <c r="AP475" s="136"/>
      <c r="AQ475" s="136"/>
      <c r="AR475" s="136"/>
      <c r="AS475" s="136"/>
      <c r="AT475" s="136"/>
      <c r="AU475" s="136"/>
      <c r="AV475" s="136"/>
      <c r="AW475" s="136"/>
      <c r="AX475" s="136"/>
      <c r="AY475" s="136"/>
      <c r="AZ475" s="136"/>
      <c r="BA475" s="136"/>
      <c r="BB475" s="136"/>
      <c r="BC475" s="136"/>
      <c r="BD475" s="136"/>
      <c r="BE475" s="136"/>
      <c r="BF475" s="136"/>
      <c r="BG475" s="136"/>
      <c r="BH475" s="136"/>
      <c r="BI475" s="136"/>
      <c r="BJ475" s="136"/>
      <c r="BK475" s="136"/>
      <c r="BL475" s="136"/>
      <c r="BM475" s="136"/>
      <c r="BN475" s="136"/>
      <c r="BO475" s="136"/>
      <c r="BP475" s="136"/>
      <c r="BQ475" s="136"/>
      <c r="BR475" s="136"/>
      <c r="BS475" s="136"/>
      <c r="BT475" s="136"/>
      <c r="BU475" s="136"/>
      <c r="BV475" s="136"/>
      <c r="BW475" s="136"/>
      <c r="BX475" s="136"/>
      <c r="BY475" s="136"/>
      <c r="BZ475" s="136"/>
      <c r="CA475" s="136"/>
      <c r="CB475" s="136"/>
      <c r="CC475" s="136"/>
      <c r="CD475" s="136"/>
      <c r="CE475" s="136"/>
      <c r="CF475" s="136"/>
      <c r="CG475" s="136"/>
      <c r="CH475" s="136"/>
      <c r="CI475" s="136"/>
      <c r="CJ475" s="136"/>
      <c r="CK475" s="136"/>
      <c r="CL475" s="136"/>
      <c r="CM475" s="136"/>
      <c r="CN475" s="136"/>
      <c r="CO475" s="136"/>
      <c r="CP475" s="136"/>
      <c r="CQ475" s="136"/>
      <c r="CR475" s="136"/>
      <c r="CS475" s="136"/>
      <c r="CT475" s="136"/>
      <c r="CU475" s="136"/>
      <c r="CV475" s="136"/>
      <c r="CW475" s="136"/>
      <c r="CX475" s="136"/>
      <c r="CY475" s="136"/>
      <c r="CZ475" s="136"/>
      <c r="DA475" s="136"/>
      <c r="DB475" s="136"/>
      <c r="DC475" s="136"/>
      <c r="DD475" s="136"/>
      <c r="DE475" s="136"/>
      <c r="DF475" s="136"/>
      <c r="DG475" s="136"/>
      <c r="DH475" s="136"/>
      <c r="DI475" s="136"/>
      <c r="DJ475" s="136"/>
      <c r="DK475" s="136"/>
      <c r="DL475" s="136"/>
      <c r="DM475" s="136"/>
      <c r="DN475" s="136"/>
      <c r="DO475" s="136"/>
      <c r="DP475" s="136"/>
      <c r="DQ475" s="136"/>
      <c r="DR475" s="136"/>
      <c r="DS475" s="136"/>
      <c r="DT475" s="136"/>
      <c r="DU475" s="136"/>
      <c r="DV475" s="136"/>
      <c r="DW475" s="136"/>
      <c r="DX475" s="136"/>
      <c r="DY475" s="136"/>
      <c r="DZ475" s="136"/>
      <c r="EA475" s="136"/>
      <c r="EB475" s="136"/>
      <c r="EC475" s="136"/>
      <c r="ED475" s="136"/>
      <c r="EE475" s="136"/>
      <c r="EF475" s="136"/>
      <c r="EG475" s="136"/>
      <c r="EH475" s="136"/>
      <c r="EI475" s="136"/>
      <c r="EJ475" s="136"/>
      <c r="EK475" s="136"/>
      <c r="EL475" s="136"/>
      <c r="EM475" s="136"/>
      <c r="EN475" s="136"/>
      <c r="EO475" s="136"/>
      <c r="EP475" s="136"/>
      <c r="EQ475" s="136"/>
      <c r="ER475" s="136"/>
      <c r="ES475" s="136"/>
      <c r="ET475" s="136"/>
      <c r="EU475" s="136"/>
      <c r="EV475" s="136"/>
      <c r="EW475" s="136"/>
      <c r="EX475" s="136"/>
      <c r="EY475" s="136"/>
      <c r="EZ475" s="136"/>
      <c r="FA475" s="136"/>
      <c r="FB475" s="136"/>
      <c r="FC475" s="136"/>
      <c r="FD475" s="136"/>
      <c r="FE475" s="136"/>
      <c r="FF475" s="136"/>
      <c r="FG475" s="136"/>
      <c r="FH475" s="137"/>
      <c r="FI475" s="138"/>
      <c r="FJ475" s="138"/>
      <c r="FK475" s="138"/>
      <c r="FL475" s="138"/>
      <c r="FM475" s="138"/>
      <c r="FN475" s="138"/>
      <c r="FO475" s="138"/>
      <c r="FP475" s="138"/>
    </row>
    <row r="476" spans="2:172" x14ac:dyDescent="0.2">
      <c r="B476" s="134"/>
      <c r="C476" s="134"/>
      <c r="D476" s="134"/>
      <c r="E476" s="134"/>
      <c r="F476" s="134"/>
      <c r="G476" s="134"/>
      <c r="H476" s="134"/>
      <c r="I476" s="134"/>
      <c r="J476" s="134"/>
      <c r="K476" s="134"/>
      <c r="L476" s="134"/>
      <c r="M476" s="135"/>
      <c r="N476" s="135"/>
      <c r="O476" s="134"/>
      <c r="P476" s="136"/>
      <c r="Q476" s="136"/>
      <c r="R476" s="136"/>
      <c r="S476" s="136"/>
      <c r="T476" s="136"/>
      <c r="U476" s="136"/>
      <c r="V476" s="136"/>
      <c r="W476" s="136"/>
      <c r="X476" s="136"/>
      <c r="Y476" s="136"/>
      <c r="Z476" s="136"/>
      <c r="AA476" s="136"/>
      <c r="AB476" s="136"/>
      <c r="AC476" s="136"/>
      <c r="AD476" s="136"/>
      <c r="AE476" s="136"/>
      <c r="AF476" s="136"/>
      <c r="AG476" s="136"/>
      <c r="AH476" s="136"/>
      <c r="AI476" s="136"/>
      <c r="AJ476" s="136"/>
      <c r="AK476" s="136"/>
      <c r="AL476" s="136"/>
      <c r="AM476" s="136"/>
      <c r="AN476" s="136"/>
      <c r="AO476" s="136"/>
      <c r="AP476" s="136"/>
      <c r="AQ476" s="136"/>
      <c r="AR476" s="136"/>
      <c r="AS476" s="136"/>
      <c r="AT476" s="136"/>
      <c r="AU476" s="136"/>
      <c r="AV476" s="136"/>
      <c r="AW476" s="136"/>
      <c r="AX476" s="136"/>
      <c r="AY476" s="136"/>
      <c r="AZ476" s="136"/>
      <c r="BA476" s="136"/>
      <c r="BB476" s="136"/>
      <c r="BC476" s="136"/>
      <c r="BD476" s="136"/>
      <c r="BE476" s="136"/>
      <c r="BF476" s="136"/>
      <c r="BG476" s="136"/>
      <c r="BH476" s="136"/>
      <c r="BI476" s="136"/>
      <c r="BJ476" s="136"/>
      <c r="BK476" s="136"/>
      <c r="BL476" s="136"/>
      <c r="BM476" s="136"/>
      <c r="BN476" s="136"/>
      <c r="BO476" s="136"/>
      <c r="BP476" s="136"/>
      <c r="BQ476" s="136"/>
      <c r="BR476" s="136"/>
      <c r="BS476" s="136"/>
      <c r="BT476" s="136"/>
      <c r="BU476" s="136"/>
      <c r="BV476" s="136"/>
      <c r="BW476" s="136"/>
      <c r="BX476" s="136"/>
      <c r="BY476" s="136"/>
      <c r="BZ476" s="136"/>
      <c r="CA476" s="136"/>
      <c r="CB476" s="136"/>
      <c r="CC476" s="136"/>
      <c r="CD476" s="136"/>
      <c r="CE476" s="136"/>
      <c r="CF476" s="136"/>
      <c r="CG476" s="136"/>
      <c r="CH476" s="136"/>
      <c r="CI476" s="136"/>
      <c r="CJ476" s="136"/>
      <c r="CK476" s="136"/>
      <c r="CL476" s="136"/>
      <c r="CM476" s="136"/>
      <c r="CN476" s="136"/>
      <c r="CO476" s="136"/>
      <c r="CP476" s="136"/>
      <c r="CQ476" s="136"/>
      <c r="CR476" s="136"/>
      <c r="CS476" s="136"/>
      <c r="CT476" s="136"/>
      <c r="CU476" s="136"/>
      <c r="CV476" s="136"/>
      <c r="CW476" s="136"/>
      <c r="CX476" s="136"/>
      <c r="CY476" s="136"/>
      <c r="CZ476" s="136"/>
      <c r="DA476" s="136"/>
      <c r="DB476" s="136"/>
      <c r="DC476" s="136"/>
      <c r="DD476" s="136"/>
      <c r="DE476" s="136"/>
      <c r="DF476" s="136"/>
      <c r="DG476" s="136"/>
      <c r="DH476" s="136"/>
      <c r="DI476" s="136"/>
      <c r="DJ476" s="136"/>
      <c r="DK476" s="136"/>
      <c r="DL476" s="136"/>
      <c r="DM476" s="136"/>
      <c r="DN476" s="136"/>
      <c r="DO476" s="136"/>
      <c r="DP476" s="136"/>
      <c r="DQ476" s="136"/>
      <c r="DR476" s="136"/>
      <c r="DS476" s="136"/>
      <c r="DT476" s="136"/>
      <c r="DU476" s="136"/>
      <c r="DV476" s="136"/>
      <c r="DW476" s="136"/>
      <c r="DX476" s="136"/>
      <c r="DY476" s="136"/>
      <c r="DZ476" s="136"/>
      <c r="EA476" s="136"/>
      <c r="EB476" s="136"/>
      <c r="EC476" s="136"/>
      <c r="ED476" s="136"/>
      <c r="EE476" s="136"/>
      <c r="EF476" s="136"/>
      <c r="EG476" s="136"/>
      <c r="EH476" s="136"/>
      <c r="EI476" s="136"/>
      <c r="EJ476" s="136"/>
      <c r="EK476" s="136"/>
      <c r="EL476" s="136"/>
      <c r="EM476" s="136"/>
      <c r="EN476" s="136"/>
      <c r="EO476" s="136"/>
      <c r="EP476" s="136"/>
      <c r="EQ476" s="136"/>
      <c r="ER476" s="136"/>
      <c r="ES476" s="136"/>
      <c r="ET476" s="136"/>
      <c r="EU476" s="136"/>
      <c r="EV476" s="136"/>
      <c r="EW476" s="136"/>
      <c r="EX476" s="136"/>
      <c r="EY476" s="136"/>
      <c r="EZ476" s="136"/>
      <c r="FA476" s="136"/>
      <c r="FB476" s="136"/>
      <c r="FC476" s="136"/>
      <c r="FD476" s="136"/>
      <c r="FE476" s="136"/>
      <c r="FF476" s="136"/>
      <c r="FG476" s="136"/>
      <c r="FH476" s="137"/>
      <c r="FI476" s="138"/>
      <c r="FJ476" s="138"/>
      <c r="FK476" s="138"/>
      <c r="FL476" s="138"/>
      <c r="FM476" s="138"/>
      <c r="FN476" s="138"/>
      <c r="FO476" s="138"/>
      <c r="FP476" s="138"/>
    </row>
    <row r="477" spans="2:172" x14ac:dyDescent="0.2">
      <c r="B477" s="134"/>
      <c r="C477" s="134"/>
      <c r="D477" s="134"/>
      <c r="E477" s="134"/>
      <c r="F477" s="134"/>
      <c r="G477" s="134"/>
      <c r="H477" s="134"/>
      <c r="I477" s="134"/>
      <c r="J477" s="134"/>
      <c r="K477" s="134"/>
      <c r="L477" s="134"/>
      <c r="M477" s="135"/>
      <c r="N477" s="135"/>
      <c r="O477" s="134"/>
      <c r="P477" s="136"/>
      <c r="Q477" s="136"/>
      <c r="R477" s="136"/>
      <c r="S477" s="136"/>
      <c r="T477" s="136"/>
      <c r="U477" s="136"/>
      <c r="V477" s="136"/>
      <c r="W477" s="136"/>
      <c r="X477" s="136"/>
      <c r="Y477" s="136"/>
      <c r="Z477" s="136"/>
      <c r="AA477" s="136"/>
      <c r="AB477" s="136"/>
      <c r="AC477" s="136"/>
      <c r="AD477" s="136"/>
      <c r="AE477" s="136"/>
      <c r="AF477" s="136"/>
      <c r="AG477" s="136"/>
      <c r="AH477" s="136"/>
      <c r="AI477" s="136"/>
      <c r="AJ477" s="136"/>
      <c r="AK477" s="136"/>
      <c r="AL477" s="136"/>
      <c r="AM477" s="136"/>
      <c r="AN477" s="136"/>
      <c r="AO477" s="136"/>
      <c r="AP477" s="136"/>
      <c r="AQ477" s="136"/>
      <c r="AR477" s="136"/>
      <c r="AS477" s="136"/>
      <c r="AT477" s="136"/>
      <c r="AU477" s="136"/>
      <c r="AV477" s="136"/>
      <c r="AW477" s="136"/>
      <c r="AX477" s="136"/>
      <c r="AY477" s="136"/>
      <c r="AZ477" s="136"/>
      <c r="BA477" s="136"/>
      <c r="BB477" s="136"/>
      <c r="BC477" s="136"/>
      <c r="BD477" s="136"/>
      <c r="BE477" s="136"/>
      <c r="BF477" s="136"/>
      <c r="BG477" s="136"/>
      <c r="BH477" s="136"/>
      <c r="BI477" s="136"/>
      <c r="BJ477" s="136"/>
      <c r="BK477" s="136"/>
      <c r="BL477" s="136"/>
      <c r="BM477" s="136"/>
      <c r="BN477" s="136"/>
      <c r="BO477" s="136"/>
      <c r="BP477" s="136"/>
      <c r="BQ477" s="136"/>
      <c r="BR477" s="136"/>
      <c r="BS477" s="136"/>
      <c r="BT477" s="136"/>
      <c r="BU477" s="136"/>
      <c r="BV477" s="136"/>
      <c r="BW477" s="136"/>
      <c r="BX477" s="136"/>
      <c r="BY477" s="136"/>
      <c r="BZ477" s="136"/>
      <c r="CA477" s="136"/>
      <c r="CB477" s="136"/>
      <c r="CC477" s="136"/>
      <c r="CD477" s="136"/>
      <c r="CE477" s="136"/>
      <c r="CF477" s="136"/>
      <c r="CG477" s="136"/>
      <c r="CH477" s="136"/>
      <c r="CI477" s="136"/>
      <c r="CJ477" s="136"/>
      <c r="CK477" s="136"/>
      <c r="CL477" s="136"/>
      <c r="CM477" s="136"/>
      <c r="CN477" s="136"/>
      <c r="CO477" s="136"/>
      <c r="CP477" s="136"/>
      <c r="CQ477" s="136"/>
      <c r="CR477" s="136"/>
      <c r="CS477" s="136"/>
      <c r="CT477" s="136"/>
      <c r="CU477" s="136"/>
      <c r="CV477" s="136"/>
      <c r="CW477" s="136"/>
      <c r="CX477" s="136"/>
      <c r="CY477" s="136"/>
      <c r="CZ477" s="136"/>
      <c r="DA477" s="136"/>
      <c r="DB477" s="136"/>
      <c r="DC477" s="136"/>
      <c r="DD477" s="136"/>
      <c r="DE477" s="136"/>
      <c r="DF477" s="136"/>
      <c r="DG477" s="136"/>
      <c r="DH477" s="136"/>
      <c r="DI477" s="136"/>
      <c r="DJ477" s="136"/>
      <c r="DK477" s="136"/>
      <c r="DL477" s="136"/>
      <c r="DM477" s="136"/>
      <c r="DN477" s="136"/>
      <c r="DO477" s="136"/>
      <c r="DP477" s="136"/>
      <c r="DQ477" s="136"/>
      <c r="DR477" s="136"/>
      <c r="DS477" s="136"/>
      <c r="DT477" s="136"/>
      <c r="DU477" s="136"/>
      <c r="DV477" s="136"/>
      <c r="DW477" s="136"/>
      <c r="DX477" s="136"/>
      <c r="DY477" s="136"/>
      <c r="DZ477" s="136"/>
      <c r="EA477" s="136"/>
      <c r="EB477" s="136"/>
      <c r="EC477" s="136"/>
      <c r="ED477" s="136"/>
      <c r="EE477" s="136"/>
      <c r="EF477" s="136"/>
      <c r="EG477" s="136"/>
      <c r="EH477" s="136"/>
      <c r="EI477" s="136"/>
      <c r="EJ477" s="136"/>
      <c r="EK477" s="136"/>
      <c r="EL477" s="136"/>
      <c r="EM477" s="136"/>
      <c r="EN477" s="136"/>
      <c r="EO477" s="136"/>
      <c r="EP477" s="136"/>
      <c r="EQ477" s="136"/>
      <c r="ER477" s="136"/>
      <c r="ES477" s="136"/>
      <c r="ET477" s="136"/>
      <c r="EU477" s="136"/>
      <c r="EV477" s="136"/>
      <c r="EW477" s="136"/>
      <c r="EX477" s="136"/>
      <c r="EY477" s="136"/>
      <c r="EZ477" s="136"/>
      <c r="FA477" s="136"/>
      <c r="FB477" s="136"/>
      <c r="FC477" s="136"/>
      <c r="FD477" s="136"/>
      <c r="FE477" s="136"/>
      <c r="FF477" s="136"/>
      <c r="FG477" s="136"/>
      <c r="FH477" s="137"/>
      <c r="FI477" s="138"/>
      <c r="FJ477" s="138"/>
      <c r="FK477" s="138"/>
      <c r="FL477" s="138"/>
      <c r="FM477" s="138"/>
      <c r="FN477" s="138"/>
      <c r="FO477" s="138"/>
      <c r="FP477" s="138"/>
    </row>
    <row r="478" spans="2:172" x14ac:dyDescent="0.2">
      <c r="B478" s="134"/>
      <c r="C478" s="134"/>
      <c r="D478" s="134"/>
      <c r="E478" s="134"/>
      <c r="F478" s="134"/>
      <c r="G478" s="134"/>
      <c r="H478" s="134"/>
      <c r="I478" s="134"/>
      <c r="J478" s="134"/>
      <c r="K478" s="134"/>
      <c r="L478" s="134"/>
      <c r="M478" s="135"/>
      <c r="N478" s="135"/>
      <c r="O478" s="134"/>
      <c r="P478" s="136"/>
      <c r="Q478" s="136"/>
      <c r="R478" s="136"/>
      <c r="S478" s="136"/>
      <c r="T478" s="136"/>
      <c r="U478" s="136"/>
      <c r="V478" s="136"/>
      <c r="W478" s="136"/>
      <c r="X478" s="136"/>
      <c r="Y478" s="136"/>
      <c r="Z478" s="136"/>
      <c r="AA478" s="136"/>
      <c r="AB478" s="136"/>
      <c r="AC478" s="136"/>
      <c r="AD478" s="136"/>
      <c r="AE478" s="136"/>
      <c r="AF478" s="136"/>
      <c r="AG478" s="136"/>
      <c r="AH478" s="136"/>
      <c r="AI478" s="136"/>
      <c r="AJ478" s="136"/>
      <c r="AK478" s="136"/>
      <c r="AL478" s="136"/>
      <c r="AM478" s="136"/>
      <c r="AN478" s="136"/>
      <c r="AO478" s="136"/>
      <c r="AP478" s="136"/>
      <c r="AQ478" s="136"/>
      <c r="AR478" s="136"/>
      <c r="AS478" s="136"/>
      <c r="AT478" s="136"/>
      <c r="AU478" s="136"/>
      <c r="AV478" s="136"/>
      <c r="AW478" s="136"/>
      <c r="AX478" s="136"/>
      <c r="AY478" s="136"/>
      <c r="AZ478" s="136"/>
      <c r="BA478" s="136"/>
      <c r="BB478" s="136"/>
      <c r="BC478" s="136"/>
      <c r="BD478" s="136"/>
      <c r="BE478" s="136"/>
      <c r="BF478" s="136"/>
      <c r="BG478" s="136"/>
      <c r="BH478" s="136"/>
      <c r="BI478" s="136"/>
      <c r="BJ478" s="136"/>
      <c r="BK478" s="136"/>
      <c r="BL478" s="136"/>
      <c r="BM478" s="136"/>
      <c r="BN478" s="136"/>
      <c r="BO478" s="136"/>
      <c r="BP478" s="136"/>
      <c r="BQ478" s="136"/>
      <c r="BR478" s="136"/>
      <c r="BS478" s="136"/>
      <c r="BT478" s="136"/>
      <c r="BU478" s="136"/>
      <c r="BV478" s="136"/>
      <c r="BW478" s="136"/>
      <c r="BX478" s="136"/>
      <c r="BY478" s="136"/>
      <c r="BZ478" s="136"/>
      <c r="CA478" s="136"/>
      <c r="CB478" s="136"/>
      <c r="CC478" s="136"/>
      <c r="CD478" s="136"/>
      <c r="CE478" s="136"/>
      <c r="CF478" s="136"/>
      <c r="CG478" s="136"/>
      <c r="CH478" s="136"/>
      <c r="CI478" s="136"/>
      <c r="CJ478" s="136"/>
      <c r="CK478" s="136"/>
      <c r="CL478" s="136"/>
      <c r="CM478" s="136"/>
      <c r="CN478" s="136"/>
      <c r="CO478" s="136"/>
      <c r="CP478" s="136"/>
      <c r="CQ478" s="136"/>
      <c r="CR478" s="136"/>
      <c r="CS478" s="136"/>
      <c r="CT478" s="136"/>
      <c r="CU478" s="136"/>
      <c r="CV478" s="136"/>
      <c r="CW478" s="136"/>
      <c r="CX478" s="136"/>
      <c r="CY478" s="136"/>
      <c r="CZ478" s="136"/>
      <c r="DA478" s="136"/>
      <c r="DB478" s="136"/>
      <c r="DC478" s="136"/>
      <c r="DD478" s="136"/>
      <c r="DE478" s="136"/>
      <c r="DF478" s="136"/>
      <c r="DG478" s="136"/>
      <c r="DH478" s="136"/>
      <c r="DI478" s="136"/>
      <c r="DJ478" s="136"/>
      <c r="DK478" s="136"/>
      <c r="DL478" s="136"/>
      <c r="DM478" s="136"/>
      <c r="DN478" s="136"/>
      <c r="DO478" s="136"/>
      <c r="DP478" s="136"/>
      <c r="DQ478" s="136"/>
      <c r="DR478" s="136"/>
      <c r="DS478" s="136"/>
      <c r="DT478" s="136"/>
      <c r="DU478" s="136"/>
      <c r="DV478" s="136"/>
      <c r="DW478" s="136"/>
      <c r="DX478" s="136"/>
      <c r="DY478" s="136"/>
      <c r="DZ478" s="136"/>
      <c r="EA478" s="136"/>
      <c r="EB478" s="136"/>
      <c r="EC478" s="136"/>
      <c r="ED478" s="136"/>
      <c r="EE478" s="136"/>
      <c r="EF478" s="136"/>
      <c r="EG478" s="136"/>
      <c r="EH478" s="136"/>
      <c r="EI478" s="136"/>
      <c r="EJ478" s="136"/>
      <c r="EK478" s="136"/>
      <c r="EL478" s="136"/>
      <c r="EM478" s="136"/>
      <c r="EN478" s="136"/>
      <c r="EO478" s="136"/>
      <c r="EP478" s="136"/>
      <c r="EQ478" s="136"/>
      <c r="ER478" s="136"/>
      <c r="ES478" s="136"/>
      <c r="ET478" s="136"/>
      <c r="EU478" s="136"/>
      <c r="EV478" s="136"/>
      <c r="EW478" s="136"/>
      <c r="EX478" s="136"/>
      <c r="EY478" s="136"/>
      <c r="EZ478" s="136"/>
      <c r="FA478" s="136"/>
      <c r="FB478" s="136"/>
      <c r="FC478" s="136"/>
      <c r="FD478" s="136"/>
      <c r="FE478" s="136"/>
      <c r="FF478" s="136"/>
      <c r="FG478" s="136"/>
      <c r="FH478" s="137"/>
      <c r="FI478" s="138"/>
      <c r="FJ478" s="138"/>
      <c r="FK478" s="138"/>
      <c r="FL478" s="138"/>
      <c r="FM478" s="138"/>
      <c r="FN478" s="138"/>
      <c r="FO478" s="138"/>
      <c r="FP478" s="138"/>
    </row>
    <row r="479" spans="2:172" x14ac:dyDescent="0.2">
      <c r="B479" s="134"/>
      <c r="C479" s="134"/>
      <c r="D479" s="134"/>
      <c r="E479" s="134"/>
      <c r="F479" s="134"/>
      <c r="G479" s="134"/>
      <c r="H479" s="134"/>
      <c r="I479" s="134"/>
      <c r="J479" s="134"/>
      <c r="K479" s="134"/>
      <c r="L479" s="134"/>
      <c r="M479" s="135"/>
      <c r="N479" s="135"/>
      <c r="O479" s="134"/>
      <c r="P479" s="136"/>
      <c r="Q479" s="136"/>
      <c r="R479" s="136"/>
      <c r="S479" s="136"/>
      <c r="T479" s="136"/>
      <c r="U479" s="136"/>
      <c r="V479" s="136"/>
      <c r="W479" s="136"/>
      <c r="X479" s="136"/>
      <c r="Y479" s="136"/>
      <c r="Z479" s="136"/>
      <c r="AA479" s="136"/>
      <c r="AB479" s="136"/>
      <c r="AC479" s="136"/>
      <c r="AD479" s="136"/>
      <c r="AE479" s="136"/>
      <c r="AF479" s="136"/>
      <c r="AG479" s="136"/>
      <c r="AH479" s="136"/>
      <c r="AI479" s="136"/>
      <c r="AJ479" s="136"/>
      <c r="AK479" s="136"/>
      <c r="AL479" s="136"/>
      <c r="AM479" s="136"/>
      <c r="AN479" s="136"/>
      <c r="AO479" s="136"/>
      <c r="AP479" s="136"/>
      <c r="AQ479" s="136"/>
      <c r="AR479" s="136"/>
      <c r="AS479" s="136"/>
      <c r="AT479" s="136"/>
      <c r="AU479" s="136"/>
      <c r="AV479" s="136"/>
      <c r="AW479" s="136"/>
      <c r="AX479" s="136"/>
      <c r="AY479" s="136"/>
      <c r="AZ479" s="136"/>
      <c r="BA479" s="136"/>
      <c r="BB479" s="136"/>
      <c r="BC479" s="136"/>
      <c r="BD479" s="136"/>
      <c r="BE479" s="136"/>
      <c r="BF479" s="136"/>
      <c r="BG479" s="136"/>
      <c r="BH479" s="136"/>
      <c r="BI479" s="136"/>
      <c r="BJ479" s="136"/>
      <c r="BK479" s="136"/>
      <c r="BL479" s="136"/>
      <c r="BM479" s="136"/>
      <c r="BN479" s="136"/>
      <c r="BO479" s="136"/>
      <c r="BP479" s="136"/>
      <c r="BQ479" s="136"/>
      <c r="BR479" s="136"/>
      <c r="BS479" s="136"/>
      <c r="BT479" s="136"/>
      <c r="BU479" s="136"/>
      <c r="BV479" s="136"/>
      <c r="BW479" s="136"/>
      <c r="BX479" s="136"/>
      <c r="BY479" s="136"/>
      <c r="BZ479" s="136"/>
      <c r="CA479" s="136"/>
      <c r="CB479" s="136"/>
      <c r="CC479" s="136"/>
      <c r="CD479" s="136"/>
      <c r="CE479" s="136"/>
      <c r="CF479" s="136"/>
      <c r="CG479" s="136"/>
      <c r="CH479" s="136"/>
      <c r="CI479" s="136"/>
      <c r="CJ479" s="136"/>
      <c r="CK479" s="136"/>
      <c r="CL479" s="136"/>
      <c r="CM479" s="136"/>
      <c r="CN479" s="136"/>
      <c r="CO479" s="136"/>
      <c r="CP479" s="136"/>
      <c r="CQ479" s="136"/>
      <c r="CR479" s="136"/>
      <c r="CS479" s="136"/>
      <c r="CT479" s="136"/>
      <c r="CU479" s="136"/>
      <c r="CV479" s="136"/>
      <c r="CW479" s="136"/>
      <c r="CX479" s="136"/>
      <c r="CY479" s="136"/>
      <c r="CZ479" s="136"/>
      <c r="DA479" s="136"/>
      <c r="DB479" s="136"/>
      <c r="DC479" s="136"/>
      <c r="DD479" s="136"/>
      <c r="DE479" s="136"/>
      <c r="DF479" s="136"/>
      <c r="DG479" s="136"/>
      <c r="DH479" s="136"/>
      <c r="DI479" s="136"/>
      <c r="DJ479" s="136"/>
      <c r="DK479" s="136"/>
      <c r="DL479" s="136"/>
      <c r="DM479" s="136"/>
      <c r="DN479" s="136"/>
      <c r="DO479" s="136"/>
      <c r="DP479" s="136"/>
      <c r="DQ479" s="136"/>
      <c r="DR479" s="136"/>
      <c r="DS479" s="136"/>
      <c r="DT479" s="136"/>
      <c r="DU479" s="136"/>
      <c r="DV479" s="136"/>
      <c r="DW479" s="136"/>
      <c r="DX479" s="136"/>
      <c r="DY479" s="136"/>
      <c r="DZ479" s="136"/>
      <c r="EA479" s="136"/>
      <c r="EB479" s="136"/>
      <c r="EC479" s="136"/>
      <c r="ED479" s="136"/>
      <c r="EE479" s="136"/>
      <c r="EF479" s="136"/>
      <c r="EG479" s="136"/>
      <c r="EH479" s="136"/>
      <c r="EI479" s="136"/>
      <c r="EJ479" s="136"/>
      <c r="EK479" s="136"/>
      <c r="EL479" s="136"/>
      <c r="EM479" s="136"/>
      <c r="EN479" s="136"/>
      <c r="EO479" s="136"/>
      <c r="EP479" s="136"/>
      <c r="EQ479" s="136"/>
      <c r="ER479" s="136"/>
      <c r="ES479" s="136"/>
      <c r="ET479" s="136"/>
      <c r="EU479" s="136"/>
      <c r="EV479" s="136"/>
      <c r="EW479" s="136"/>
      <c r="EX479" s="136"/>
      <c r="EY479" s="136"/>
      <c r="EZ479" s="136"/>
      <c r="FA479" s="136"/>
      <c r="FB479" s="136"/>
      <c r="FC479" s="136"/>
      <c r="FD479" s="136"/>
      <c r="FE479" s="136"/>
      <c r="FF479" s="136"/>
      <c r="FG479" s="136"/>
      <c r="FH479" s="137"/>
      <c r="FI479" s="138"/>
      <c r="FJ479" s="138"/>
      <c r="FK479" s="138"/>
      <c r="FL479" s="138"/>
      <c r="FM479" s="138"/>
      <c r="FN479" s="138"/>
      <c r="FO479" s="138"/>
      <c r="FP479" s="138"/>
    </row>
    <row r="480" spans="2:172" x14ac:dyDescent="0.2">
      <c r="B480" s="134"/>
      <c r="C480" s="134"/>
      <c r="D480" s="134"/>
      <c r="E480" s="134"/>
      <c r="F480" s="134"/>
      <c r="G480" s="134"/>
      <c r="H480" s="134"/>
      <c r="I480" s="134"/>
      <c r="J480" s="134"/>
      <c r="K480" s="134"/>
      <c r="L480" s="134"/>
      <c r="M480" s="135"/>
      <c r="N480" s="135"/>
      <c r="O480" s="134"/>
      <c r="P480" s="136"/>
      <c r="Q480" s="136"/>
      <c r="R480" s="136"/>
      <c r="S480" s="136"/>
      <c r="T480" s="136"/>
      <c r="U480" s="136"/>
      <c r="V480" s="136"/>
      <c r="W480" s="136"/>
      <c r="X480" s="136"/>
      <c r="Y480" s="136"/>
      <c r="Z480" s="136"/>
      <c r="AA480" s="136"/>
      <c r="AB480" s="136"/>
      <c r="AC480" s="136"/>
      <c r="AD480" s="136"/>
      <c r="AE480" s="136"/>
      <c r="AF480" s="136"/>
      <c r="AG480" s="136"/>
      <c r="AH480" s="136"/>
      <c r="AI480" s="136"/>
      <c r="AJ480" s="136"/>
      <c r="AK480" s="136"/>
      <c r="AL480" s="136"/>
      <c r="AM480" s="136"/>
      <c r="AN480" s="136"/>
      <c r="AO480" s="136"/>
      <c r="AP480" s="136"/>
      <c r="AQ480" s="136"/>
      <c r="AR480" s="136"/>
      <c r="AS480" s="136"/>
      <c r="AT480" s="136"/>
      <c r="AU480" s="136"/>
      <c r="AV480" s="136"/>
      <c r="AW480" s="136"/>
      <c r="AX480" s="136"/>
      <c r="AY480" s="136"/>
      <c r="AZ480" s="136"/>
      <c r="BA480" s="136"/>
      <c r="BB480" s="136"/>
      <c r="BC480" s="136"/>
      <c r="BD480" s="136"/>
      <c r="BE480" s="136"/>
      <c r="BF480" s="136"/>
      <c r="BG480" s="136"/>
      <c r="BH480" s="136"/>
      <c r="BI480" s="136"/>
      <c r="BJ480" s="136"/>
      <c r="BK480" s="136"/>
      <c r="BL480" s="136"/>
      <c r="BM480" s="136"/>
      <c r="BN480" s="136"/>
      <c r="BO480" s="136"/>
      <c r="BP480" s="136"/>
      <c r="BQ480" s="136"/>
      <c r="BR480" s="136"/>
      <c r="BS480" s="136"/>
      <c r="BT480" s="136"/>
      <c r="BU480" s="136"/>
      <c r="BV480" s="136"/>
      <c r="BW480" s="136"/>
      <c r="BX480" s="136"/>
      <c r="BY480" s="136"/>
      <c r="BZ480" s="136"/>
      <c r="CA480" s="136"/>
      <c r="CB480" s="136"/>
      <c r="CC480" s="136"/>
      <c r="CD480" s="136"/>
      <c r="CE480" s="136"/>
      <c r="CF480" s="136"/>
      <c r="CG480" s="136"/>
      <c r="CH480" s="136"/>
      <c r="CI480" s="136"/>
      <c r="CJ480" s="136"/>
      <c r="CK480" s="136"/>
      <c r="CL480" s="136"/>
      <c r="CM480" s="136"/>
      <c r="CN480" s="136"/>
      <c r="CO480" s="136"/>
      <c r="CP480" s="136"/>
      <c r="CQ480" s="136"/>
      <c r="CR480" s="136"/>
      <c r="CS480" s="136"/>
      <c r="CT480" s="136"/>
      <c r="CU480" s="136"/>
      <c r="CV480" s="136"/>
      <c r="CW480" s="136"/>
      <c r="CX480" s="136"/>
      <c r="CY480" s="136"/>
      <c r="CZ480" s="136"/>
      <c r="DA480" s="136"/>
      <c r="DB480" s="136"/>
      <c r="DC480" s="136"/>
      <c r="DD480" s="136"/>
      <c r="DE480" s="136"/>
      <c r="DF480" s="136"/>
      <c r="DG480" s="136"/>
      <c r="DH480" s="136"/>
      <c r="DI480" s="136"/>
      <c r="DJ480" s="136"/>
      <c r="DK480" s="136"/>
      <c r="DL480" s="136"/>
      <c r="DM480" s="136"/>
      <c r="DN480" s="136"/>
      <c r="DO480" s="136"/>
      <c r="DP480" s="136"/>
      <c r="DQ480" s="136"/>
      <c r="DR480" s="136"/>
      <c r="DS480" s="136"/>
      <c r="DT480" s="136"/>
      <c r="DU480" s="136"/>
      <c r="DV480" s="136"/>
      <c r="DW480" s="136"/>
      <c r="DX480" s="136"/>
      <c r="DY480" s="136"/>
      <c r="DZ480" s="136"/>
      <c r="EA480" s="136"/>
      <c r="EB480" s="136"/>
      <c r="EC480" s="136"/>
      <c r="ED480" s="136"/>
      <c r="EE480" s="136"/>
      <c r="EF480" s="136"/>
      <c r="EG480" s="136"/>
      <c r="EH480" s="136"/>
      <c r="EI480" s="136"/>
      <c r="EJ480" s="136"/>
      <c r="EK480" s="136"/>
      <c r="EL480" s="136"/>
      <c r="EM480" s="136"/>
      <c r="EN480" s="136"/>
      <c r="EO480" s="136"/>
      <c r="EP480" s="136"/>
      <c r="EQ480" s="136"/>
      <c r="ER480" s="136"/>
      <c r="ES480" s="136"/>
      <c r="ET480" s="136"/>
      <c r="EU480" s="136"/>
      <c r="EV480" s="136"/>
      <c r="EW480" s="136"/>
      <c r="EX480" s="136"/>
      <c r="EY480" s="136"/>
      <c r="EZ480" s="136"/>
      <c r="FA480" s="136"/>
      <c r="FB480" s="136"/>
      <c r="FC480" s="136"/>
      <c r="FD480" s="136"/>
      <c r="FE480" s="136"/>
      <c r="FF480" s="136"/>
      <c r="FG480" s="136"/>
      <c r="FH480" s="137"/>
      <c r="FI480" s="138"/>
      <c r="FJ480" s="138"/>
      <c r="FK480" s="138"/>
      <c r="FL480" s="138"/>
      <c r="FM480" s="138"/>
      <c r="FN480" s="138"/>
      <c r="FO480" s="138"/>
      <c r="FP480" s="138"/>
    </row>
    <row r="481" spans="2:172" x14ac:dyDescent="0.2">
      <c r="B481" s="134"/>
      <c r="C481" s="134"/>
      <c r="D481" s="134"/>
      <c r="E481" s="134"/>
      <c r="F481" s="134"/>
      <c r="G481" s="134"/>
      <c r="H481" s="134"/>
      <c r="I481" s="134"/>
      <c r="J481" s="134"/>
      <c r="K481" s="134"/>
      <c r="L481" s="134"/>
      <c r="M481" s="135"/>
      <c r="N481" s="135"/>
      <c r="O481" s="134"/>
      <c r="P481" s="136"/>
      <c r="Q481" s="136"/>
      <c r="R481" s="136"/>
      <c r="S481" s="136"/>
      <c r="T481" s="136"/>
      <c r="U481" s="136"/>
      <c r="V481" s="136"/>
      <c r="W481" s="136"/>
      <c r="X481" s="136"/>
      <c r="Y481" s="136"/>
      <c r="Z481" s="136"/>
      <c r="AA481" s="136"/>
      <c r="AB481" s="136"/>
      <c r="AC481" s="136"/>
      <c r="AD481" s="136"/>
      <c r="AE481" s="136"/>
      <c r="AF481" s="136"/>
      <c r="AG481" s="136"/>
      <c r="AH481" s="136"/>
      <c r="AI481" s="136"/>
      <c r="AJ481" s="136"/>
      <c r="AK481" s="136"/>
      <c r="AL481" s="136"/>
      <c r="AM481" s="136"/>
      <c r="AN481" s="136"/>
      <c r="AO481" s="136"/>
      <c r="AP481" s="136"/>
      <c r="AQ481" s="136"/>
      <c r="AR481" s="136"/>
      <c r="AS481" s="136"/>
      <c r="AT481" s="136"/>
      <c r="AU481" s="136"/>
      <c r="AV481" s="136"/>
      <c r="AW481" s="136"/>
      <c r="AX481" s="136"/>
      <c r="AY481" s="136"/>
      <c r="AZ481" s="136"/>
      <c r="BA481" s="136"/>
      <c r="BB481" s="136"/>
      <c r="BC481" s="136"/>
      <c r="BD481" s="136"/>
      <c r="BE481" s="136"/>
      <c r="BF481" s="136"/>
      <c r="BG481" s="136"/>
      <c r="BH481" s="136"/>
      <c r="BI481" s="136"/>
      <c r="BJ481" s="136"/>
      <c r="BK481" s="136"/>
      <c r="BL481" s="136"/>
      <c r="BM481" s="136"/>
      <c r="BN481" s="136"/>
      <c r="BO481" s="136"/>
      <c r="BP481" s="136"/>
      <c r="BQ481" s="136"/>
      <c r="BR481" s="136"/>
      <c r="BS481" s="136"/>
      <c r="BT481" s="136"/>
      <c r="BU481" s="136"/>
      <c r="BV481" s="136"/>
      <c r="BW481" s="136"/>
      <c r="BX481" s="136"/>
      <c r="BY481" s="136"/>
      <c r="BZ481" s="136"/>
      <c r="CA481" s="136"/>
      <c r="CB481" s="136"/>
      <c r="CC481" s="136"/>
      <c r="CD481" s="136"/>
      <c r="CE481" s="136"/>
      <c r="CF481" s="136"/>
      <c r="CG481" s="136"/>
      <c r="CH481" s="136"/>
      <c r="CI481" s="136"/>
      <c r="CJ481" s="136"/>
      <c r="CK481" s="136"/>
      <c r="CL481" s="136"/>
      <c r="CM481" s="136"/>
      <c r="CN481" s="136"/>
      <c r="CO481" s="136"/>
      <c r="CP481" s="136"/>
      <c r="CQ481" s="136"/>
      <c r="CR481" s="136"/>
      <c r="CS481" s="136"/>
      <c r="CT481" s="136"/>
      <c r="CU481" s="136"/>
      <c r="CV481" s="136"/>
      <c r="CW481" s="136"/>
      <c r="CX481" s="136"/>
      <c r="CY481" s="136"/>
      <c r="CZ481" s="136"/>
      <c r="DA481" s="136"/>
      <c r="DB481" s="136"/>
      <c r="DC481" s="136"/>
      <c r="DD481" s="136"/>
      <c r="DE481" s="136"/>
      <c r="DF481" s="136"/>
      <c r="DG481" s="136"/>
      <c r="DH481" s="136"/>
      <c r="DI481" s="136"/>
      <c r="DJ481" s="136"/>
      <c r="DK481" s="136"/>
      <c r="DL481" s="136"/>
      <c r="DM481" s="136"/>
      <c r="DN481" s="136"/>
      <c r="DO481" s="136"/>
      <c r="DP481" s="136"/>
      <c r="DQ481" s="136"/>
      <c r="DR481" s="136"/>
      <c r="DS481" s="136"/>
      <c r="DT481" s="136"/>
      <c r="DU481" s="136"/>
      <c r="DV481" s="136"/>
      <c r="DW481" s="136"/>
      <c r="DX481" s="136"/>
      <c r="DY481" s="136"/>
      <c r="DZ481" s="136"/>
      <c r="EA481" s="136"/>
      <c r="EB481" s="136"/>
      <c r="EC481" s="136"/>
      <c r="ED481" s="136"/>
      <c r="EE481" s="136"/>
      <c r="EF481" s="136"/>
      <c r="EG481" s="136"/>
      <c r="EH481" s="136"/>
      <c r="EI481" s="136"/>
      <c r="EJ481" s="136"/>
      <c r="EK481" s="136"/>
      <c r="EL481" s="136"/>
      <c r="EM481" s="136"/>
      <c r="EN481" s="136"/>
      <c r="EO481" s="136"/>
      <c r="EP481" s="136"/>
      <c r="EQ481" s="136"/>
      <c r="ER481" s="136"/>
      <c r="ES481" s="136"/>
      <c r="ET481" s="136"/>
      <c r="EU481" s="136"/>
      <c r="EV481" s="136"/>
      <c r="EW481" s="136"/>
      <c r="EX481" s="136"/>
      <c r="EY481" s="136"/>
      <c r="EZ481" s="136"/>
      <c r="FA481" s="136"/>
      <c r="FB481" s="136"/>
      <c r="FC481" s="136"/>
      <c r="FD481" s="136"/>
      <c r="FE481" s="136"/>
      <c r="FF481" s="136"/>
      <c r="FG481" s="136"/>
      <c r="FH481" s="137"/>
      <c r="FI481" s="138"/>
      <c r="FJ481" s="138"/>
      <c r="FK481" s="138"/>
      <c r="FL481" s="138"/>
      <c r="FM481" s="138"/>
      <c r="FN481" s="138"/>
      <c r="FO481" s="138"/>
      <c r="FP481" s="138"/>
    </row>
    <row r="482" spans="2:172" x14ac:dyDescent="0.2">
      <c r="B482" s="134"/>
      <c r="C482" s="134"/>
      <c r="D482" s="134"/>
      <c r="E482" s="134"/>
      <c r="F482" s="134"/>
      <c r="G482" s="134"/>
      <c r="H482" s="134"/>
      <c r="I482" s="134"/>
      <c r="J482" s="134"/>
      <c r="K482" s="134"/>
      <c r="L482" s="134"/>
      <c r="M482" s="135"/>
      <c r="N482" s="135"/>
      <c r="O482" s="134"/>
      <c r="P482" s="136"/>
      <c r="Q482" s="136"/>
      <c r="R482" s="136"/>
      <c r="S482" s="136"/>
      <c r="T482" s="136"/>
      <c r="U482" s="136"/>
      <c r="V482" s="136"/>
      <c r="W482" s="136"/>
      <c r="X482" s="136"/>
      <c r="Y482" s="136"/>
      <c r="Z482" s="136"/>
      <c r="AA482" s="136"/>
      <c r="AB482" s="136"/>
      <c r="AC482" s="136"/>
      <c r="AD482" s="136"/>
      <c r="AE482" s="136"/>
      <c r="AF482" s="136"/>
      <c r="AG482" s="136"/>
      <c r="AH482" s="136"/>
      <c r="AI482" s="136"/>
      <c r="AJ482" s="136"/>
      <c r="AK482" s="136"/>
      <c r="AL482" s="136"/>
      <c r="AM482" s="136"/>
      <c r="AN482" s="136"/>
      <c r="AO482" s="136"/>
      <c r="AP482" s="136"/>
      <c r="AQ482" s="136"/>
      <c r="AR482" s="136"/>
      <c r="AS482" s="136"/>
      <c r="AT482" s="136"/>
      <c r="AU482" s="136"/>
      <c r="AV482" s="136"/>
      <c r="AW482" s="136"/>
      <c r="AX482" s="136"/>
      <c r="AY482" s="136"/>
      <c r="AZ482" s="136"/>
      <c r="BA482" s="136"/>
      <c r="BB482" s="136"/>
      <c r="BC482" s="136"/>
      <c r="BD482" s="136"/>
      <c r="BE482" s="136"/>
      <c r="BF482" s="136"/>
      <c r="BG482" s="136"/>
      <c r="BH482" s="136"/>
      <c r="BI482" s="136"/>
      <c r="BJ482" s="136"/>
      <c r="BK482" s="136"/>
      <c r="BL482" s="136"/>
      <c r="BM482" s="136"/>
      <c r="BN482" s="136"/>
      <c r="BO482" s="136"/>
      <c r="BP482" s="136"/>
      <c r="BQ482" s="136"/>
      <c r="BR482" s="136"/>
      <c r="BS482" s="136"/>
      <c r="BT482" s="136"/>
      <c r="BU482" s="136"/>
      <c r="BV482" s="136"/>
      <c r="BW482" s="136"/>
      <c r="BX482" s="136"/>
      <c r="BY482" s="136"/>
      <c r="BZ482" s="136"/>
      <c r="CA482" s="136"/>
      <c r="CB482" s="136"/>
      <c r="CC482" s="136"/>
      <c r="CD482" s="136"/>
      <c r="CE482" s="136"/>
      <c r="CF482" s="136"/>
      <c r="CG482" s="136"/>
      <c r="CH482" s="136"/>
      <c r="CI482" s="136"/>
      <c r="CJ482" s="136"/>
      <c r="CK482" s="136"/>
      <c r="CL482" s="136"/>
      <c r="CM482" s="136"/>
      <c r="CN482" s="136"/>
      <c r="CO482" s="136"/>
      <c r="CP482" s="136"/>
      <c r="CQ482" s="136"/>
      <c r="CR482" s="136"/>
      <c r="CS482" s="136"/>
      <c r="CT482" s="136"/>
      <c r="CU482" s="136"/>
      <c r="CV482" s="136"/>
      <c r="CW482" s="136"/>
      <c r="CX482" s="136"/>
      <c r="CY482" s="136"/>
      <c r="CZ482" s="136"/>
      <c r="DA482" s="136"/>
      <c r="DB482" s="136"/>
      <c r="DC482" s="136"/>
      <c r="DD482" s="136"/>
      <c r="DE482" s="136"/>
      <c r="DF482" s="136"/>
      <c r="DG482" s="136"/>
      <c r="DH482" s="136"/>
      <c r="DI482" s="136"/>
      <c r="DJ482" s="136"/>
      <c r="DK482" s="136"/>
      <c r="DL482" s="136"/>
      <c r="DM482" s="136"/>
      <c r="DN482" s="136"/>
      <c r="DO482" s="136"/>
      <c r="DP482" s="136"/>
      <c r="DQ482" s="136"/>
      <c r="DR482" s="136"/>
      <c r="DS482" s="136"/>
      <c r="DT482" s="136"/>
      <c r="DU482" s="136"/>
      <c r="DV482" s="136"/>
      <c r="DW482" s="136"/>
      <c r="DX482" s="136"/>
      <c r="DY482" s="136"/>
      <c r="DZ482" s="136"/>
      <c r="EA482" s="136"/>
      <c r="EB482" s="136"/>
      <c r="EC482" s="136"/>
      <c r="ED482" s="136"/>
      <c r="EE482" s="136"/>
      <c r="EF482" s="136"/>
      <c r="EG482" s="136"/>
      <c r="EH482" s="136"/>
      <c r="EI482" s="136"/>
      <c r="EJ482" s="136"/>
      <c r="EK482" s="136"/>
      <c r="EL482" s="136"/>
      <c r="EM482" s="136"/>
      <c r="EN482" s="136"/>
      <c r="EO482" s="136"/>
      <c r="EP482" s="136"/>
      <c r="EQ482" s="136"/>
      <c r="ER482" s="136"/>
      <c r="ES482" s="136"/>
      <c r="ET482" s="136"/>
      <c r="EU482" s="136"/>
      <c r="EV482" s="136"/>
      <c r="EW482" s="136"/>
      <c r="EX482" s="136"/>
      <c r="EY482" s="136"/>
      <c r="EZ482" s="136"/>
      <c r="FA482" s="136"/>
      <c r="FB482" s="136"/>
      <c r="FC482" s="136"/>
      <c r="FD482" s="136"/>
      <c r="FE482" s="136"/>
      <c r="FF482" s="136"/>
      <c r="FG482" s="136"/>
      <c r="FH482" s="137"/>
      <c r="FI482" s="138"/>
      <c r="FJ482" s="138"/>
      <c r="FK482" s="138"/>
      <c r="FL482" s="138"/>
      <c r="FM482" s="138"/>
      <c r="FN482" s="138"/>
      <c r="FO482" s="138"/>
      <c r="FP482" s="138"/>
    </row>
    <row r="483" spans="2:172" x14ac:dyDescent="0.2">
      <c r="B483" s="134"/>
      <c r="C483" s="134"/>
      <c r="D483" s="134"/>
      <c r="E483" s="134"/>
      <c r="F483" s="134"/>
      <c r="G483" s="134"/>
      <c r="H483" s="134"/>
      <c r="I483" s="134"/>
      <c r="J483" s="134"/>
      <c r="K483" s="134"/>
      <c r="L483" s="134"/>
      <c r="M483" s="135"/>
      <c r="N483" s="135"/>
      <c r="O483" s="134"/>
      <c r="P483" s="136"/>
      <c r="Q483" s="136"/>
      <c r="R483" s="136"/>
      <c r="S483" s="136"/>
      <c r="T483" s="136"/>
      <c r="U483" s="136"/>
      <c r="V483" s="136"/>
      <c r="W483" s="136"/>
      <c r="X483" s="136"/>
      <c r="Y483" s="136"/>
      <c r="Z483" s="136"/>
      <c r="AA483" s="136"/>
      <c r="AB483" s="136"/>
      <c r="AC483" s="136"/>
      <c r="AD483" s="136"/>
      <c r="AE483" s="136"/>
      <c r="AF483" s="136"/>
      <c r="AG483" s="136"/>
      <c r="AH483" s="136"/>
      <c r="AI483" s="136"/>
      <c r="AJ483" s="136"/>
      <c r="AK483" s="136"/>
      <c r="AL483" s="136"/>
      <c r="AM483" s="136"/>
      <c r="AN483" s="136"/>
      <c r="AO483" s="136"/>
      <c r="AP483" s="136"/>
      <c r="AQ483" s="136"/>
      <c r="AR483" s="136"/>
      <c r="AS483" s="136"/>
      <c r="AT483" s="136"/>
      <c r="AU483" s="136"/>
      <c r="AV483" s="136"/>
      <c r="AW483" s="136"/>
      <c r="AX483" s="136"/>
      <c r="AY483" s="136"/>
      <c r="AZ483" s="136"/>
      <c r="BA483" s="136"/>
      <c r="BB483" s="136"/>
      <c r="BC483" s="136"/>
      <c r="BD483" s="136"/>
      <c r="BE483" s="136"/>
      <c r="BF483" s="136"/>
      <c r="BG483" s="136"/>
      <c r="BH483" s="136"/>
      <c r="BI483" s="136"/>
      <c r="BJ483" s="136"/>
      <c r="BK483" s="136"/>
      <c r="BL483" s="136"/>
      <c r="BM483" s="136"/>
      <c r="BN483" s="136"/>
      <c r="BO483" s="136"/>
      <c r="BP483" s="136"/>
      <c r="BQ483" s="136"/>
      <c r="BR483" s="136"/>
      <c r="BS483" s="136"/>
      <c r="BT483" s="136"/>
      <c r="BU483" s="136"/>
      <c r="BV483" s="136"/>
      <c r="BW483" s="136"/>
      <c r="BX483" s="136"/>
      <c r="BY483" s="136"/>
      <c r="BZ483" s="136"/>
      <c r="CA483" s="136"/>
      <c r="CB483" s="136"/>
      <c r="CC483" s="136"/>
      <c r="CD483" s="136"/>
      <c r="CE483" s="136"/>
      <c r="CF483" s="136"/>
      <c r="CG483" s="136"/>
      <c r="CH483" s="136"/>
      <c r="CI483" s="136"/>
      <c r="CJ483" s="136"/>
      <c r="CK483" s="136"/>
      <c r="CL483" s="136"/>
      <c r="CM483" s="136"/>
      <c r="CN483" s="136"/>
      <c r="CO483" s="136"/>
      <c r="CP483" s="136"/>
      <c r="CQ483" s="136"/>
      <c r="CR483" s="136"/>
      <c r="CS483" s="136"/>
      <c r="CT483" s="136"/>
      <c r="CU483" s="136"/>
      <c r="CV483" s="136"/>
      <c r="CW483" s="136"/>
      <c r="CX483" s="136"/>
      <c r="CY483" s="136"/>
      <c r="CZ483" s="136"/>
      <c r="DA483" s="136"/>
      <c r="DB483" s="136"/>
      <c r="DC483" s="136"/>
      <c r="DD483" s="136"/>
      <c r="DE483" s="136"/>
      <c r="DF483" s="136"/>
      <c r="DG483" s="136"/>
      <c r="DH483" s="136"/>
      <c r="DI483" s="136"/>
      <c r="DJ483" s="136"/>
      <c r="DK483" s="136"/>
      <c r="DL483" s="136"/>
      <c r="DM483" s="136"/>
      <c r="DN483" s="136"/>
      <c r="DO483" s="136"/>
      <c r="DP483" s="136"/>
      <c r="DQ483" s="136"/>
      <c r="DR483" s="136"/>
      <c r="DS483" s="136"/>
      <c r="DT483" s="136"/>
      <c r="DU483" s="136"/>
      <c r="DV483" s="136"/>
      <c r="DW483" s="136"/>
      <c r="DX483" s="136"/>
      <c r="DY483" s="136"/>
      <c r="DZ483" s="136"/>
      <c r="EA483" s="136"/>
      <c r="EB483" s="136"/>
      <c r="EC483" s="136"/>
      <c r="ED483" s="136"/>
      <c r="EE483" s="136"/>
      <c r="EF483" s="136"/>
      <c r="EG483" s="136"/>
      <c r="EH483" s="136"/>
      <c r="EI483" s="136"/>
      <c r="EJ483" s="136"/>
      <c r="EK483" s="136"/>
      <c r="EL483" s="136"/>
      <c r="EM483" s="136"/>
      <c r="EN483" s="136"/>
      <c r="EO483" s="136"/>
      <c r="EP483" s="136"/>
      <c r="EQ483" s="136"/>
      <c r="ER483" s="136"/>
      <c r="ES483" s="136"/>
      <c r="ET483" s="136"/>
      <c r="EU483" s="136"/>
      <c r="EV483" s="136"/>
      <c r="EW483" s="136"/>
      <c r="EX483" s="136"/>
      <c r="EY483" s="136"/>
      <c r="EZ483" s="136"/>
      <c r="FA483" s="136"/>
      <c r="FB483" s="136"/>
      <c r="FC483" s="136"/>
      <c r="FD483" s="136"/>
      <c r="FE483" s="136"/>
      <c r="FF483" s="136"/>
      <c r="FG483" s="136"/>
      <c r="FH483" s="137"/>
      <c r="FI483" s="138"/>
      <c r="FJ483" s="138"/>
      <c r="FK483" s="138"/>
      <c r="FL483" s="138"/>
      <c r="FM483" s="138"/>
      <c r="FN483" s="138"/>
      <c r="FO483" s="138"/>
      <c r="FP483" s="138"/>
    </row>
    <row r="484" spans="2:172" x14ac:dyDescent="0.2">
      <c r="B484" s="134"/>
      <c r="C484" s="134"/>
      <c r="D484" s="134"/>
      <c r="E484" s="134"/>
      <c r="F484" s="134"/>
      <c r="G484" s="134"/>
      <c r="H484" s="134"/>
      <c r="I484" s="134"/>
      <c r="J484" s="134"/>
      <c r="K484" s="134"/>
      <c r="L484" s="134"/>
      <c r="M484" s="135"/>
      <c r="N484" s="135"/>
      <c r="O484" s="134"/>
      <c r="P484" s="136"/>
      <c r="Q484" s="136"/>
      <c r="R484" s="136"/>
      <c r="S484" s="136"/>
      <c r="T484" s="136"/>
      <c r="U484" s="136"/>
      <c r="V484" s="136"/>
      <c r="W484" s="136"/>
      <c r="X484" s="136"/>
      <c r="Y484" s="136"/>
      <c r="Z484" s="136"/>
      <c r="AA484" s="136"/>
      <c r="AB484" s="136"/>
      <c r="AC484" s="136"/>
      <c r="AD484" s="136"/>
      <c r="AE484" s="136"/>
      <c r="AF484" s="136"/>
      <c r="AG484" s="136"/>
      <c r="AH484" s="136"/>
      <c r="AI484" s="136"/>
      <c r="AJ484" s="136"/>
      <c r="AK484" s="136"/>
      <c r="AL484" s="136"/>
      <c r="AM484" s="136"/>
      <c r="AN484" s="136"/>
      <c r="AO484" s="136"/>
      <c r="AP484" s="136"/>
      <c r="AQ484" s="136"/>
      <c r="AR484" s="136"/>
      <c r="AS484" s="136"/>
      <c r="AT484" s="136"/>
      <c r="AU484" s="136"/>
      <c r="AV484" s="136"/>
      <c r="AW484" s="136"/>
      <c r="AX484" s="136"/>
      <c r="AY484" s="136"/>
      <c r="AZ484" s="136"/>
      <c r="BA484" s="136"/>
      <c r="BB484" s="136"/>
      <c r="BC484" s="136"/>
      <c r="BD484" s="136"/>
      <c r="BE484" s="136"/>
      <c r="BF484" s="136"/>
      <c r="BG484" s="136"/>
      <c r="BH484" s="136"/>
      <c r="BI484" s="136"/>
      <c r="BJ484" s="136"/>
      <c r="BK484" s="136"/>
      <c r="BL484" s="136"/>
      <c r="BM484" s="136"/>
      <c r="BN484" s="136"/>
      <c r="BO484" s="136"/>
      <c r="BP484" s="136"/>
      <c r="BQ484" s="136"/>
      <c r="BR484" s="136"/>
      <c r="BS484" s="136"/>
      <c r="BT484" s="136"/>
      <c r="BU484" s="136"/>
      <c r="BV484" s="136"/>
      <c r="BW484" s="136"/>
      <c r="BX484" s="136"/>
      <c r="BY484" s="136"/>
      <c r="BZ484" s="136"/>
      <c r="CA484" s="136"/>
      <c r="CB484" s="136"/>
      <c r="CC484" s="136"/>
      <c r="CD484" s="136"/>
      <c r="CE484" s="136"/>
      <c r="CF484" s="136"/>
      <c r="CG484" s="136"/>
      <c r="CH484" s="136"/>
      <c r="CI484" s="136"/>
      <c r="CJ484" s="136"/>
      <c r="CK484" s="136"/>
      <c r="CL484" s="136"/>
      <c r="CM484" s="136"/>
      <c r="CN484" s="136"/>
      <c r="CO484" s="136"/>
      <c r="CP484" s="136"/>
      <c r="CQ484" s="136"/>
      <c r="CR484" s="136"/>
      <c r="CS484" s="136"/>
      <c r="CT484" s="136"/>
      <c r="CU484" s="136"/>
      <c r="CV484" s="136"/>
      <c r="CW484" s="136"/>
      <c r="CX484" s="136"/>
      <c r="CY484" s="136"/>
      <c r="CZ484" s="136"/>
      <c r="DA484" s="136"/>
      <c r="DB484" s="136"/>
      <c r="DC484" s="136"/>
      <c r="DD484" s="136"/>
      <c r="DE484" s="136"/>
      <c r="DF484" s="136"/>
      <c r="DG484" s="136"/>
      <c r="DH484" s="136"/>
      <c r="DI484" s="136"/>
      <c r="DJ484" s="136"/>
      <c r="DK484" s="136"/>
      <c r="DL484" s="136"/>
      <c r="DM484" s="136"/>
      <c r="DN484" s="136"/>
      <c r="DO484" s="136"/>
      <c r="DP484" s="136"/>
      <c r="DQ484" s="136"/>
      <c r="DR484" s="136"/>
      <c r="DS484" s="136"/>
      <c r="DT484" s="136"/>
      <c r="DU484" s="136"/>
      <c r="DV484" s="136"/>
      <c r="DW484" s="136"/>
      <c r="DX484" s="136"/>
      <c r="DY484" s="136"/>
      <c r="DZ484" s="136"/>
      <c r="EA484" s="136"/>
      <c r="EB484" s="136"/>
      <c r="EC484" s="136"/>
      <c r="ED484" s="136"/>
      <c r="EE484" s="136"/>
      <c r="EF484" s="136"/>
      <c r="EG484" s="136"/>
      <c r="EH484" s="136"/>
      <c r="EI484" s="136"/>
      <c r="EJ484" s="136"/>
      <c r="EK484" s="136"/>
      <c r="EL484" s="136"/>
      <c r="EM484" s="136"/>
      <c r="EN484" s="136"/>
      <c r="EO484" s="136"/>
      <c r="EP484" s="136"/>
      <c r="EQ484" s="136"/>
      <c r="ER484" s="136"/>
      <c r="ES484" s="136"/>
      <c r="ET484" s="136"/>
      <c r="EU484" s="136"/>
      <c r="EV484" s="136"/>
      <c r="EW484" s="136"/>
      <c r="EX484" s="136"/>
      <c r="EY484" s="136"/>
      <c r="EZ484" s="136"/>
      <c r="FA484" s="136"/>
      <c r="FB484" s="136"/>
      <c r="FC484" s="136"/>
      <c r="FD484" s="136"/>
      <c r="FE484" s="136"/>
      <c r="FF484" s="136"/>
      <c r="FG484" s="136"/>
      <c r="FH484" s="137"/>
      <c r="FI484" s="138"/>
      <c r="FJ484" s="138"/>
      <c r="FK484" s="138"/>
      <c r="FL484" s="138"/>
      <c r="FM484" s="138"/>
      <c r="FN484" s="138"/>
      <c r="FO484" s="138"/>
      <c r="FP484" s="138"/>
    </row>
    <row r="485" spans="2:172" x14ac:dyDescent="0.2">
      <c r="B485" s="134"/>
      <c r="C485" s="134"/>
      <c r="D485" s="134"/>
      <c r="E485" s="134"/>
      <c r="F485" s="134"/>
      <c r="G485" s="134"/>
      <c r="H485" s="134"/>
      <c r="I485" s="134"/>
      <c r="J485" s="134"/>
      <c r="K485" s="134"/>
      <c r="L485" s="134"/>
      <c r="M485" s="135"/>
      <c r="N485" s="135"/>
      <c r="O485" s="134"/>
      <c r="P485" s="136"/>
      <c r="Q485" s="136"/>
      <c r="R485" s="136"/>
      <c r="S485" s="136"/>
      <c r="T485" s="136"/>
      <c r="U485" s="136"/>
      <c r="V485" s="136"/>
      <c r="W485" s="136"/>
      <c r="X485" s="136"/>
      <c r="Y485" s="136"/>
      <c r="Z485" s="136"/>
      <c r="AA485" s="136"/>
      <c r="AB485" s="136"/>
      <c r="AC485" s="136"/>
      <c r="AD485" s="136"/>
      <c r="AE485" s="136"/>
      <c r="AF485" s="136"/>
      <c r="AG485" s="136"/>
      <c r="AH485" s="136"/>
      <c r="AI485" s="136"/>
      <c r="AJ485" s="136"/>
      <c r="AK485" s="136"/>
      <c r="AL485" s="136"/>
      <c r="AM485" s="136"/>
      <c r="AN485" s="136"/>
      <c r="AO485" s="136"/>
      <c r="AP485" s="136"/>
      <c r="AQ485" s="136"/>
      <c r="AR485" s="136"/>
      <c r="AS485" s="136"/>
      <c r="AT485" s="136"/>
      <c r="AU485" s="136"/>
      <c r="AV485" s="136"/>
      <c r="AW485" s="136"/>
      <c r="AX485" s="136"/>
      <c r="AY485" s="136"/>
      <c r="AZ485" s="136"/>
      <c r="BA485" s="136"/>
      <c r="BB485" s="136"/>
      <c r="BC485" s="136"/>
      <c r="BD485" s="136"/>
      <c r="BE485" s="136"/>
      <c r="BF485" s="136"/>
      <c r="BG485" s="136"/>
      <c r="BH485" s="136"/>
      <c r="BI485" s="136"/>
      <c r="BJ485" s="136"/>
      <c r="BK485" s="136"/>
      <c r="BL485" s="136"/>
      <c r="BM485" s="136"/>
      <c r="BN485" s="136"/>
      <c r="BO485" s="136"/>
      <c r="BP485" s="136"/>
      <c r="BQ485" s="136"/>
      <c r="BR485" s="136"/>
      <c r="BS485" s="136"/>
      <c r="BT485" s="136"/>
      <c r="BU485" s="136"/>
      <c r="BV485" s="136"/>
      <c r="BW485" s="136"/>
      <c r="BX485" s="136"/>
      <c r="BY485" s="136"/>
      <c r="BZ485" s="136"/>
      <c r="CA485" s="136"/>
      <c r="CB485" s="136"/>
      <c r="CC485" s="136"/>
      <c r="CD485" s="136"/>
      <c r="CE485" s="136"/>
      <c r="CF485" s="136"/>
      <c r="CG485" s="136"/>
      <c r="CH485" s="136"/>
      <c r="CI485" s="136"/>
      <c r="CJ485" s="136"/>
      <c r="CK485" s="136"/>
      <c r="CL485" s="136"/>
      <c r="CM485" s="136"/>
      <c r="CN485" s="136"/>
      <c r="CO485" s="136"/>
      <c r="CP485" s="136"/>
      <c r="CQ485" s="136"/>
      <c r="CR485" s="136"/>
      <c r="CS485" s="136"/>
      <c r="CT485" s="136"/>
      <c r="CU485" s="136"/>
      <c r="CV485" s="136"/>
      <c r="CW485" s="136"/>
      <c r="CX485" s="136"/>
      <c r="CY485" s="136"/>
      <c r="CZ485" s="136"/>
      <c r="DA485" s="136"/>
      <c r="DB485" s="136"/>
      <c r="DC485" s="136"/>
      <c r="DD485" s="136"/>
      <c r="DE485" s="136"/>
      <c r="DF485" s="136"/>
      <c r="DG485" s="136"/>
      <c r="DH485" s="136"/>
      <c r="DI485" s="136"/>
      <c r="DJ485" s="136"/>
      <c r="DK485" s="136"/>
      <c r="DL485" s="136"/>
      <c r="DM485" s="136"/>
      <c r="DN485" s="136"/>
      <c r="DO485" s="136"/>
      <c r="DP485" s="136"/>
      <c r="DQ485" s="136"/>
      <c r="DR485" s="136"/>
      <c r="DS485" s="136"/>
      <c r="DT485" s="136"/>
      <c r="DU485" s="136"/>
      <c r="DV485" s="136"/>
      <c r="DW485" s="136"/>
      <c r="DX485" s="136"/>
      <c r="DY485" s="136"/>
      <c r="DZ485" s="136"/>
      <c r="EA485" s="136"/>
      <c r="EB485" s="136"/>
      <c r="EC485" s="136"/>
      <c r="ED485" s="136"/>
      <c r="EE485" s="136"/>
      <c r="EF485" s="136"/>
      <c r="EG485" s="136"/>
      <c r="EH485" s="136"/>
      <c r="EI485" s="136"/>
      <c r="EJ485" s="136"/>
      <c r="EK485" s="136"/>
      <c r="EL485" s="136"/>
      <c r="EM485" s="136"/>
      <c r="EN485" s="136"/>
      <c r="EO485" s="136"/>
      <c r="EP485" s="136"/>
      <c r="EQ485" s="136"/>
      <c r="ER485" s="136"/>
      <c r="ES485" s="136"/>
      <c r="ET485" s="136"/>
      <c r="EU485" s="136"/>
      <c r="EV485" s="136"/>
      <c r="EW485" s="136"/>
      <c r="EX485" s="136"/>
      <c r="EY485" s="136"/>
      <c r="EZ485" s="136"/>
      <c r="FA485" s="136"/>
      <c r="FB485" s="136"/>
      <c r="FC485" s="136"/>
      <c r="FD485" s="136"/>
      <c r="FE485" s="136"/>
      <c r="FF485" s="136"/>
      <c r="FG485" s="136"/>
      <c r="FH485" s="137"/>
      <c r="FI485" s="138"/>
      <c r="FJ485" s="138"/>
      <c r="FK485" s="138"/>
      <c r="FL485" s="138"/>
      <c r="FM485" s="138"/>
      <c r="FN485" s="138"/>
      <c r="FO485" s="138"/>
      <c r="FP485" s="138"/>
    </row>
    <row r="486" spans="2:172" x14ac:dyDescent="0.2">
      <c r="B486" s="134"/>
      <c r="C486" s="134"/>
      <c r="D486" s="134"/>
      <c r="E486" s="134"/>
      <c r="F486" s="134"/>
      <c r="G486" s="134"/>
      <c r="H486" s="134"/>
      <c r="I486" s="134"/>
      <c r="J486" s="134"/>
      <c r="K486" s="134"/>
      <c r="L486" s="134"/>
      <c r="M486" s="135"/>
      <c r="N486" s="135"/>
      <c r="O486" s="134"/>
      <c r="P486" s="136"/>
      <c r="Q486" s="136"/>
      <c r="R486" s="136"/>
      <c r="S486" s="136"/>
      <c r="T486" s="136"/>
      <c r="U486" s="136"/>
      <c r="V486" s="136"/>
      <c r="W486" s="136"/>
      <c r="X486" s="136"/>
      <c r="Y486" s="136"/>
      <c r="Z486" s="136"/>
      <c r="AA486" s="136"/>
      <c r="AB486" s="136"/>
      <c r="AC486" s="136"/>
      <c r="AD486" s="136"/>
      <c r="AE486" s="136"/>
      <c r="AF486" s="136"/>
      <c r="AG486" s="136"/>
      <c r="AH486" s="136"/>
      <c r="AI486" s="136"/>
      <c r="AJ486" s="136"/>
      <c r="AK486" s="136"/>
      <c r="AL486" s="136"/>
      <c r="AM486" s="136"/>
      <c r="AN486" s="136"/>
      <c r="AO486" s="136"/>
      <c r="AP486" s="136"/>
      <c r="AQ486" s="136"/>
      <c r="AR486" s="136"/>
      <c r="AS486" s="136"/>
      <c r="AT486" s="136"/>
      <c r="AU486" s="136"/>
      <c r="AV486" s="136"/>
      <c r="AW486" s="136"/>
      <c r="AX486" s="136"/>
      <c r="AY486" s="136"/>
      <c r="AZ486" s="136"/>
      <c r="BA486" s="136"/>
      <c r="BB486" s="136"/>
      <c r="BC486" s="136"/>
      <c r="BD486" s="136"/>
      <c r="BE486" s="136"/>
      <c r="BF486" s="136"/>
      <c r="BG486" s="136"/>
      <c r="BH486" s="136"/>
      <c r="BI486" s="136"/>
      <c r="BJ486" s="136"/>
      <c r="BK486" s="136"/>
      <c r="BL486" s="136"/>
      <c r="BM486" s="136"/>
      <c r="BN486" s="136"/>
      <c r="BO486" s="136"/>
      <c r="BP486" s="136"/>
      <c r="BQ486" s="136"/>
      <c r="BR486" s="136"/>
      <c r="BS486" s="136"/>
      <c r="BT486" s="136"/>
      <c r="BU486" s="136"/>
      <c r="BV486" s="136"/>
      <c r="BW486" s="136"/>
      <c r="BX486" s="136"/>
      <c r="BY486" s="136"/>
      <c r="BZ486" s="136"/>
      <c r="CA486" s="136"/>
      <c r="CB486" s="136"/>
      <c r="CC486" s="136"/>
      <c r="CD486" s="136"/>
      <c r="CE486" s="136"/>
      <c r="CF486" s="136"/>
      <c r="CG486" s="136"/>
      <c r="CH486" s="136"/>
      <c r="CI486" s="136"/>
      <c r="CJ486" s="136"/>
      <c r="CK486" s="136"/>
      <c r="CL486" s="136"/>
      <c r="CM486" s="136"/>
      <c r="CN486" s="136"/>
      <c r="CO486" s="136"/>
      <c r="CP486" s="136"/>
      <c r="CQ486" s="136"/>
      <c r="CR486" s="136"/>
      <c r="CS486" s="136"/>
      <c r="CT486" s="136"/>
      <c r="CU486" s="136"/>
      <c r="CV486" s="136"/>
      <c r="CW486" s="136"/>
      <c r="CX486" s="136"/>
      <c r="CY486" s="136"/>
      <c r="CZ486" s="136"/>
      <c r="DA486" s="136"/>
      <c r="DB486" s="136"/>
      <c r="DC486" s="136"/>
      <c r="DD486" s="136"/>
      <c r="DE486" s="136"/>
      <c r="DF486" s="136"/>
      <c r="DG486" s="136"/>
      <c r="DH486" s="136"/>
      <c r="DI486" s="136"/>
      <c r="DJ486" s="136"/>
      <c r="DK486" s="136"/>
      <c r="DL486" s="136"/>
      <c r="DM486" s="136"/>
      <c r="DN486" s="136"/>
      <c r="DO486" s="136"/>
      <c r="DP486" s="136"/>
      <c r="DQ486" s="136"/>
      <c r="DR486" s="136"/>
      <c r="DS486" s="136"/>
      <c r="DT486" s="136"/>
      <c r="DU486" s="136"/>
      <c r="DV486" s="136"/>
      <c r="DW486" s="136"/>
      <c r="DX486" s="136"/>
      <c r="DY486" s="136"/>
      <c r="DZ486" s="136"/>
      <c r="EA486" s="136"/>
      <c r="EB486" s="136"/>
      <c r="EC486" s="136"/>
      <c r="ED486" s="136"/>
      <c r="EE486" s="136"/>
      <c r="EF486" s="136"/>
      <c r="EG486" s="136"/>
      <c r="EH486" s="136"/>
      <c r="EI486" s="136"/>
      <c r="EJ486" s="136"/>
      <c r="EK486" s="136"/>
      <c r="EL486" s="136"/>
      <c r="EM486" s="136"/>
      <c r="EN486" s="136"/>
      <c r="EO486" s="136"/>
      <c r="EP486" s="136"/>
      <c r="EQ486" s="136"/>
      <c r="ER486" s="136"/>
      <c r="ES486" s="136"/>
      <c r="ET486" s="136"/>
      <c r="EU486" s="136"/>
      <c r="EV486" s="136"/>
      <c r="EW486" s="136"/>
      <c r="EX486" s="136"/>
      <c r="EY486" s="136"/>
      <c r="EZ486" s="136"/>
      <c r="FA486" s="136"/>
      <c r="FB486" s="136"/>
      <c r="FC486" s="136"/>
      <c r="FD486" s="136"/>
      <c r="FE486" s="136"/>
      <c r="FF486" s="136"/>
      <c r="FG486" s="136"/>
      <c r="FH486" s="137"/>
      <c r="FI486" s="138"/>
      <c r="FJ486" s="138"/>
      <c r="FK486" s="138"/>
      <c r="FL486" s="138"/>
      <c r="FM486" s="138"/>
      <c r="FN486" s="138"/>
      <c r="FO486" s="138"/>
      <c r="FP486" s="138"/>
    </row>
    <row r="487" spans="2:172" x14ac:dyDescent="0.2">
      <c r="B487" s="134"/>
      <c r="C487" s="134"/>
      <c r="D487" s="134"/>
      <c r="E487" s="134"/>
      <c r="F487" s="134"/>
      <c r="G487" s="134"/>
      <c r="H487" s="134"/>
      <c r="I487" s="134"/>
      <c r="J487" s="134"/>
      <c r="K487" s="134"/>
      <c r="L487" s="134"/>
      <c r="M487" s="135"/>
      <c r="N487" s="135"/>
      <c r="O487" s="134"/>
      <c r="P487" s="136"/>
      <c r="Q487" s="136"/>
      <c r="R487" s="136"/>
      <c r="S487" s="136"/>
      <c r="T487" s="136"/>
      <c r="U487" s="136"/>
      <c r="V487" s="136"/>
      <c r="W487" s="136"/>
      <c r="X487" s="136"/>
      <c r="Y487" s="136"/>
      <c r="Z487" s="136"/>
      <c r="AA487" s="136"/>
      <c r="AB487" s="136"/>
      <c r="AC487" s="136"/>
      <c r="AD487" s="136"/>
      <c r="AE487" s="136"/>
      <c r="AF487" s="136"/>
      <c r="AG487" s="136"/>
      <c r="AH487" s="136"/>
      <c r="AI487" s="136"/>
      <c r="AJ487" s="136"/>
      <c r="AK487" s="136"/>
      <c r="AL487" s="136"/>
      <c r="AM487" s="136"/>
      <c r="AN487" s="136"/>
      <c r="AO487" s="136"/>
      <c r="AP487" s="136"/>
      <c r="AQ487" s="136"/>
      <c r="AR487" s="136"/>
      <c r="AS487" s="136"/>
      <c r="AT487" s="136"/>
      <c r="AU487" s="136"/>
      <c r="AV487" s="136"/>
      <c r="AW487" s="136"/>
      <c r="AX487" s="136"/>
      <c r="AY487" s="136"/>
      <c r="AZ487" s="136"/>
      <c r="BA487" s="136"/>
      <c r="BB487" s="136"/>
      <c r="BC487" s="136"/>
      <c r="BD487" s="136"/>
      <c r="BE487" s="136"/>
      <c r="BF487" s="136"/>
      <c r="BG487" s="136"/>
      <c r="BH487" s="136"/>
      <c r="BI487" s="136"/>
      <c r="BJ487" s="136"/>
      <c r="BK487" s="136"/>
      <c r="BL487" s="136"/>
      <c r="BM487" s="136"/>
      <c r="BN487" s="136"/>
      <c r="BO487" s="136"/>
      <c r="BP487" s="136"/>
      <c r="BQ487" s="136"/>
      <c r="BR487" s="136"/>
      <c r="BS487" s="136"/>
      <c r="BT487" s="136"/>
      <c r="BU487" s="136"/>
      <c r="BV487" s="136"/>
      <c r="BW487" s="136"/>
      <c r="BX487" s="136"/>
      <c r="BY487" s="136"/>
      <c r="BZ487" s="136"/>
      <c r="CA487" s="136"/>
      <c r="CB487" s="136"/>
      <c r="CC487" s="136"/>
      <c r="CD487" s="136"/>
      <c r="CE487" s="136"/>
      <c r="CF487" s="136"/>
      <c r="CG487" s="136"/>
      <c r="CH487" s="136"/>
      <c r="CI487" s="136"/>
      <c r="CJ487" s="136"/>
      <c r="CK487" s="136"/>
      <c r="CL487" s="136"/>
      <c r="CM487" s="136"/>
      <c r="CN487" s="136"/>
      <c r="CO487" s="136"/>
      <c r="CP487" s="136"/>
      <c r="CQ487" s="136"/>
      <c r="CR487" s="136"/>
      <c r="CS487" s="136"/>
      <c r="CT487" s="136"/>
      <c r="CU487" s="136"/>
      <c r="CV487" s="136"/>
      <c r="CW487" s="136"/>
      <c r="CX487" s="136"/>
      <c r="CY487" s="136"/>
      <c r="CZ487" s="136"/>
      <c r="DA487" s="136"/>
      <c r="DB487" s="136"/>
      <c r="DC487" s="136"/>
      <c r="DD487" s="136"/>
      <c r="DE487" s="136"/>
      <c r="DF487" s="136"/>
      <c r="DG487" s="136"/>
      <c r="DH487" s="136"/>
      <c r="DI487" s="136"/>
      <c r="DJ487" s="136"/>
      <c r="DK487" s="136"/>
      <c r="DL487" s="136"/>
      <c r="DM487" s="136"/>
      <c r="DN487" s="136"/>
      <c r="DO487" s="136"/>
      <c r="DP487" s="136"/>
      <c r="DQ487" s="136"/>
      <c r="DR487" s="136"/>
      <c r="DS487" s="136"/>
      <c r="DT487" s="136"/>
      <c r="DU487" s="136"/>
      <c r="DV487" s="136"/>
      <c r="DW487" s="136"/>
      <c r="DX487" s="136"/>
      <c r="DY487" s="136"/>
      <c r="DZ487" s="136"/>
      <c r="EA487" s="136"/>
      <c r="EB487" s="136"/>
      <c r="EC487" s="136"/>
      <c r="ED487" s="136"/>
      <c r="EE487" s="136"/>
      <c r="EF487" s="136"/>
      <c r="EG487" s="136"/>
      <c r="EH487" s="136"/>
      <c r="EI487" s="136"/>
      <c r="EJ487" s="136"/>
      <c r="EK487" s="136"/>
      <c r="EL487" s="136"/>
      <c r="EM487" s="136"/>
      <c r="EN487" s="136"/>
      <c r="EO487" s="136"/>
      <c r="EP487" s="136"/>
      <c r="EQ487" s="136"/>
      <c r="ER487" s="136"/>
      <c r="ES487" s="136"/>
      <c r="ET487" s="136"/>
      <c r="EU487" s="136"/>
      <c r="EV487" s="136"/>
      <c r="EW487" s="136"/>
      <c r="EX487" s="136"/>
      <c r="EY487" s="136"/>
      <c r="EZ487" s="136"/>
      <c r="FA487" s="136"/>
      <c r="FB487" s="136"/>
      <c r="FC487" s="136"/>
      <c r="FD487" s="136"/>
      <c r="FE487" s="136"/>
      <c r="FF487" s="136"/>
      <c r="FG487" s="136"/>
      <c r="FH487" s="137"/>
      <c r="FI487" s="138"/>
      <c r="FJ487" s="138"/>
      <c r="FK487" s="138"/>
      <c r="FL487" s="138"/>
      <c r="FM487" s="138"/>
      <c r="FN487" s="138"/>
      <c r="FO487" s="138"/>
      <c r="FP487" s="138"/>
    </row>
    <row r="488" spans="2:172" x14ac:dyDescent="0.2">
      <c r="B488" s="134"/>
      <c r="C488" s="134"/>
      <c r="D488" s="134"/>
      <c r="E488" s="134"/>
      <c r="F488" s="134"/>
      <c r="G488" s="134"/>
      <c r="H488" s="134"/>
      <c r="I488" s="134"/>
      <c r="J488" s="134"/>
      <c r="K488" s="134"/>
      <c r="L488" s="134"/>
      <c r="M488" s="135"/>
      <c r="N488" s="135"/>
      <c r="O488" s="134"/>
      <c r="P488" s="136"/>
      <c r="Q488" s="136"/>
      <c r="R488" s="136"/>
      <c r="S488" s="136"/>
      <c r="T488" s="136"/>
      <c r="U488" s="136"/>
      <c r="V488" s="136"/>
      <c r="W488" s="136"/>
      <c r="X488" s="136"/>
      <c r="Y488" s="136"/>
      <c r="Z488" s="136"/>
      <c r="AA488" s="136"/>
      <c r="AB488" s="136"/>
      <c r="AC488" s="136"/>
      <c r="AD488" s="136"/>
      <c r="AE488" s="136"/>
      <c r="AF488" s="136"/>
      <c r="AG488" s="136"/>
      <c r="AH488" s="136"/>
      <c r="AI488" s="136"/>
      <c r="AJ488" s="136"/>
      <c r="AK488" s="136"/>
      <c r="AL488" s="136"/>
      <c r="AM488" s="136"/>
      <c r="AN488" s="136"/>
      <c r="AO488" s="136"/>
      <c r="AP488" s="136"/>
      <c r="AQ488" s="136"/>
      <c r="AR488" s="136"/>
      <c r="AS488" s="136"/>
      <c r="AT488" s="136"/>
      <c r="AU488" s="136"/>
      <c r="AV488" s="136"/>
      <c r="AW488" s="136"/>
      <c r="AX488" s="136"/>
      <c r="AY488" s="136"/>
      <c r="AZ488" s="136"/>
      <c r="BA488" s="136"/>
      <c r="BB488" s="136"/>
      <c r="BC488" s="136"/>
      <c r="BD488" s="136"/>
      <c r="BE488" s="136"/>
      <c r="BF488" s="136"/>
      <c r="BG488" s="136"/>
      <c r="BH488" s="136"/>
      <c r="BI488" s="136"/>
      <c r="BJ488" s="136"/>
      <c r="BK488" s="136"/>
      <c r="BL488" s="136"/>
      <c r="BM488" s="136"/>
      <c r="BN488" s="136"/>
      <c r="BO488" s="136"/>
      <c r="BP488" s="136"/>
      <c r="BQ488" s="136"/>
      <c r="BR488" s="136"/>
      <c r="BS488" s="136"/>
      <c r="BT488" s="136"/>
      <c r="BU488" s="136"/>
      <c r="BV488" s="136"/>
      <c r="BW488" s="136"/>
      <c r="BX488" s="136"/>
      <c r="BY488" s="136"/>
      <c r="BZ488" s="136"/>
      <c r="CA488" s="136"/>
      <c r="CB488" s="136"/>
      <c r="CC488" s="136"/>
      <c r="CD488" s="136"/>
      <c r="CE488" s="136"/>
      <c r="CF488" s="136"/>
      <c r="CG488" s="136"/>
      <c r="CH488" s="136"/>
      <c r="CI488" s="136"/>
      <c r="CJ488" s="136"/>
      <c r="CK488" s="136"/>
      <c r="CL488" s="136"/>
      <c r="CM488" s="136"/>
      <c r="CN488" s="136"/>
      <c r="CO488" s="136"/>
      <c r="CP488" s="136"/>
      <c r="CQ488" s="136"/>
      <c r="CR488" s="136"/>
      <c r="CS488" s="136"/>
      <c r="CT488" s="136"/>
      <c r="CU488" s="136"/>
      <c r="CV488" s="136"/>
      <c r="CW488" s="136"/>
      <c r="CX488" s="136"/>
      <c r="CY488" s="136"/>
      <c r="CZ488" s="136"/>
      <c r="DA488" s="136"/>
      <c r="DB488" s="136"/>
      <c r="DC488" s="136"/>
      <c r="DD488" s="136"/>
      <c r="DE488" s="136"/>
      <c r="DF488" s="136"/>
      <c r="DG488" s="136"/>
      <c r="DH488" s="136"/>
      <c r="DI488" s="136"/>
      <c r="DJ488" s="136"/>
      <c r="DK488" s="136"/>
      <c r="DL488" s="136"/>
      <c r="DM488" s="136"/>
      <c r="DN488" s="136"/>
      <c r="DO488" s="136"/>
      <c r="DP488" s="136"/>
      <c r="DQ488" s="136"/>
      <c r="DR488" s="136"/>
      <c r="DS488" s="136"/>
      <c r="DT488" s="136"/>
      <c r="DU488" s="136"/>
      <c r="DV488" s="136"/>
      <c r="DW488" s="136"/>
      <c r="DX488" s="136"/>
      <c r="DY488" s="136"/>
      <c r="DZ488" s="136"/>
      <c r="EA488" s="136"/>
      <c r="EB488" s="136"/>
      <c r="EC488" s="136"/>
      <c r="ED488" s="136"/>
      <c r="EE488" s="136"/>
      <c r="EF488" s="136"/>
      <c r="EG488" s="136"/>
      <c r="EH488" s="136"/>
      <c r="EI488" s="136"/>
      <c r="EJ488" s="136"/>
      <c r="EK488" s="136"/>
      <c r="EL488" s="136"/>
      <c r="EM488" s="136"/>
      <c r="EN488" s="136"/>
      <c r="EO488" s="136"/>
      <c r="EP488" s="136"/>
      <c r="EQ488" s="136"/>
      <c r="ER488" s="136"/>
      <c r="ES488" s="136"/>
      <c r="ET488" s="136"/>
      <c r="EU488" s="136"/>
      <c r="EV488" s="136"/>
      <c r="EW488" s="136"/>
      <c r="EX488" s="136"/>
      <c r="EY488" s="136"/>
      <c r="EZ488" s="136"/>
      <c r="FA488" s="136"/>
      <c r="FB488" s="136"/>
      <c r="FC488" s="136"/>
      <c r="FD488" s="136"/>
      <c r="FE488" s="136"/>
      <c r="FF488" s="136"/>
      <c r="FG488" s="136"/>
      <c r="FH488" s="137"/>
      <c r="FI488" s="138"/>
      <c r="FJ488" s="138"/>
      <c r="FK488" s="138"/>
      <c r="FL488" s="138"/>
      <c r="FM488" s="138"/>
      <c r="FN488" s="138"/>
      <c r="FO488" s="138"/>
      <c r="FP488" s="138"/>
    </row>
    <row r="489" spans="2:172" x14ac:dyDescent="0.2">
      <c r="B489" s="134"/>
      <c r="C489" s="134"/>
      <c r="D489" s="134"/>
      <c r="E489" s="134"/>
      <c r="F489" s="134"/>
      <c r="G489" s="134"/>
      <c r="H489" s="134"/>
      <c r="I489" s="134"/>
      <c r="J489" s="134"/>
      <c r="K489" s="134"/>
      <c r="L489" s="134"/>
      <c r="M489" s="135"/>
      <c r="N489" s="135"/>
      <c r="O489" s="134"/>
      <c r="P489" s="136"/>
      <c r="Q489" s="136"/>
      <c r="R489" s="136"/>
      <c r="S489" s="136"/>
      <c r="T489" s="136"/>
      <c r="U489" s="136"/>
      <c r="V489" s="136"/>
      <c r="W489" s="136"/>
      <c r="X489" s="136"/>
      <c r="Y489" s="136"/>
      <c r="Z489" s="136"/>
      <c r="AA489" s="136"/>
      <c r="AB489" s="136"/>
      <c r="AC489" s="136"/>
      <c r="AD489" s="136"/>
      <c r="AE489" s="136"/>
      <c r="AF489" s="136"/>
      <c r="AG489" s="136"/>
      <c r="AH489" s="136"/>
      <c r="AI489" s="136"/>
      <c r="AJ489" s="136"/>
      <c r="AK489" s="136"/>
      <c r="AL489" s="136"/>
      <c r="AM489" s="136"/>
      <c r="AN489" s="136"/>
      <c r="AO489" s="136"/>
      <c r="AP489" s="136"/>
      <c r="AQ489" s="136"/>
      <c r="AR489" s="136"/>
      <c r="AS489" s="136"/>
      <c r="AT489" s="136"/>
      <c r="AU489" s="136"/>
      <c r="AV489" s="136"/>
      <c r="AW489" s="136"/>
      <c r="AX489" s="136"/>
      <c r="AY489" s="136"/>
      <c r="AZ489" s="136"/>
      <c r="BA489" s="136"/>
      <c r="BB489" s="136"/>
      <c r="BC489" s="136"/>
      <c r="BD489" s="136"/>
      <c r="BE489" s="136"/>
      <c r="BF489" s="136"/>
      <c r="BG489" s="136"/>
      <c r="BH489" s="136"/>
      <c r="BI489" s="136"/>
      <c r="BJ489" s="136"/>
      <c r="BK489" s="136"/>
      <c r="BL489" s="136"/>
      <c r="BM489" s="136"/>
      <c r="BN489" s="136"/>
      <c r="BO489" s="136"/>
      <c r="BP489" s="136"/>
      <c r="BQ489" s="136"/>
      <c r="BR489" s="136"/>
      <c r="BS489" s="136"/>
      <c r="BT489" s="136"/>
      <c r="BU489" s="136"/>
      <c r="BV489" s="136"/>
      <c r="BW489" s="136"/>
      <c r="BX489" s="136"/>
      <c r="BY489" s="136"/>
      <c r="BZ489" s="136"/>
      <c r="CA489" s="136"/>
      <c r="CB489" s="136"/>
      <c r="CC489" s="136"/>
      <c r="CD489" s="136"/>
      <c r="CE489" s="136"/>
      <c r="CF489" s="136"/>
      <c r="CG489" s="136"/>
      <c r="CH489" s="136"/>
      <c r="CI489" s="136"/>
      <c r="CJ489" s="136"/>
      <c r="CK489" s="136"/>
      <c r="CL489" s="136"/>
      <c r="CM489" s="136"/>
      <c r="CN489" s="136"/>
      <c r="CO489" s="136"/>
      <c r="CP489" s="136"/>
      <c r="CQ489" s="136"/>
      <c r="CR489" s="136"/>
      <c r="CS489" s="136"/>
      <c r="CT489" s="136"/>
      <c r="CU489" s="136"/>
      <c r="CV489" s="136"/>
      <c r="CW489" s="136"/>
      <c r="CX489" s="136"/>
      <c r="CY489" s="136"/>
      <c r="CZ489" s="136"/>
      <c r="DA489" s="136"/>
      <c r="DB489" s="136"/>
      <c r="DC489" s="136"/>
      <c r="DD489" s="136"/>
      <c r="DE489" s="136"/>
      <c r="DF489" s="136"/>
      <c r="DG489" s="136"/>
      <c r="DH489" s="136"/>
      <c r="DI489" s="136"/>
      <c r="DJ489" s="136"/>
      <c r="DK489" s="136"/>
      <c r="DL489" s="136"/>
      <c r="DM489" s="136"/>
      <c r="DN489" s="136"/>
      <c r="DO489" s="136"/>
      <c r="DP489" s="136"/>
      <c r="DQ489" s="136"/>
      <c r="DR489" s="136"/>
      <c r="DS489" s="136"/>
      <c r="DT489" s="136"/>
      <c r="DU489" s="136"/>
      <c r="DV489" s="136"/>
      <c r="DW489" s="136"/>
      <c r="DX489" s="136"/>
      <c r="DY489" s="136"/>
      <c r="DZ489" s="136"/>
      <c r="EA489" s="136"/>
      <c r="EB489" s="136"/>
      <c r="EC489" s="136"/>
      <c r="ED489" s="136"/>
      <c r="EE489" s="136"/>
      <c r="EF489" s="136"/>
      <c r="EG489" s="136"/>
      <c r="EH489" s="136"/>
      <c r="EI489" s="136"/>
      <c r="EJ489" s="136"/>
      <c r="EK489" s="136"/>
      <c r="EL489" s="136"/>
      <c r="EM489" s="136"/>
      <c r="EN489" s="136"/>
      <c r="EO489" s="136"/>
      <c r="EP489" s="136"/>
      <c r="EQ489" s="136"/>
      <c r="ER489" s="136"/>
      <c r="ES489" s="136"/>
      <c r="ET489" s="136"/>
      <c r="EU489" s="136"/>
      <c r="EV489" s="136"/>
      <c r="EW489" s="136"/>
      <c r="EX489" s="136"/>
      <c r="EY489" s="136"/>
      <c r="EZ489" s="136"/>
      <c r="FA489" s="136"/>
      <c r="FB489" s="136"/>
      <c r="FC489" s="136"/>
      <c r="FD489" s="136"/>
      <c r="FE489" s="136"/>
      <c r="FF489" s="136"/>
      <c r="FG489" s="136"/>
      <c r="FH489" s="137"/>
      <c r="FI489" s="138"/>
      <c r="FJ489" s="138"/>
      <c r="FK489" s="138"/>
      <c r="FL489" s="138"/>
      <c r="FM489" s="138"/>
      <c r="FN489" s="138"/>
      <c r="FO489" s="138"/>
      <c r="FP489" s="138"/>
    </row>
    <row r="490" spans="2:172" x14ac:dyDescent="0.2">
      <c r="B490" s="134"/>
      <c r="C490" s="134"/>
      <c r="D490" s="134"/>
      <c r="E490" s="134"/>
      <c r="F490" s="134"/>
      <c r="G490" s="134"/>
      <c r="H490" s="134"/>
      <c r="I490" s="134"/>
      <c r="J490" s="134"/>
      <c r="K490" s="134"/>
      <c r="L490" s="134"/>
      <c r="M490" s="135"/>
      <c r="N490" s="135"/>
      <c r="O490" s="134"/>
      <c r="P490" s="136"/>
      <c r="Q490" s="136"/>
      <c r="R490" s="136"/>
      <c r="S490" s="136"/>
      <c r="T490" s="136"/>
      <c r="U490" s="136"/>
      <c r="V490" s="136"/>
      <c r="W490" s="136"/>
      <c r="X490" s="136"/>
      <c r="Y490" s="136"/>
      <c r="Z490" s="136"/>
      <c r="AA490" s="136"/>
      <c r="AB490" s="136"/>
      <c r="AC490" s="136"/>
      <c r="AD490" s="136"/>
      <c r="AE490" s="136"/>
      <c r="AF490" s="136"/>
      <c r="AG490" s="136"/>
      <c r="AH490" s="136"/>
      <c r="AI490" s="136"/>
      <c r="AJ490" s="136"/>
      <c r="AK490" s="136"/>
      <c r="AL490" s="136"/>
      <c r="AM490" s="136"/>
      <c r="AN490" s="136"/>
      <c r="AO490" s="136"/>
      <c r="AP490" s="136"/>
      <c r="AQ490" s="136"/>
      <c r="AR490" s="136"/>
      <c r="AS490" s="136"/>
      <c r="AT490" s="136"/>
      <c r="AU490" s="136"/>
      <c r="AV490" s="136"/>
      <c r="AW490" s="136"/>
      <c r="AX490" s="136"/>
      <c r="AY490" s="136"/>
      <c r="AZ490" s="136"/>
      <c r="BA490" s="136"/>
      <c r="BB490" s="136"/>
      <c r="BC490" s="136"/>
      <c r="BD490" s="136"/>
      <c r="BE490" s="136"/>
      <c r="BF490" s="136"/>
      <c r="BG490" s="136"/>
      <c r="BH490" s="136"/>
      <c r="BI490" s="136"/>
      <c r="BJ490" s="136"/>
      <c r="BK490" s="136"/>
      <c r="BL490" s="136"/>
      <c r="BM490" s="136"/>
      <c r="BN490" s="136"/>
      <c r="BO490" s="136"/>
      <c r="BP490" s="136"/>
      <c r="BQ490" s="136"/>
      <c r="BR490" s="136"/>
      <c r="BS490" s="136"/>
      <c r="BT490" s="136"/>
      <c r="BU490" s="136"/>
      <c r="BV490" s="136"/>
      <c r="BW490" s="136"/>
      <c r="BX490" s="136"/>
      <c r="BY490" s="136"/>
      <c r="BZ490" s="136"/>
      <c r="CA490" s="136"/>
      <c r="CB490" s="136"/>
      <c r="CC490" s="136"/>
      <c r="CD490" s="136"/>
      <c r="CE490" s="136"/>
      <c r="CF490" s="136"/>
      <c r="CG490" s="136"/>
      <c r="CH490" s="136"/>
      <c r="CI490" s="136"/>
      <c r="CJ490" s="136"/>
      <c r="CK490" s="136"/>
      <c r="CL490" s="136"/>
      <c r="CM490" s="136"/>
      <c r="CN490" s="136"/>
      <c r="CO490" s="136"/>
      <c r="CP490" s="136"/>
      <c r="CQ490" s="136"/>
      <c r="CR490" s="136"/>
      <c r="CS490" s="136"/>
      <c r="CT490" s="136"/>
      <c r="CU490" s="136"/>
      <c r="CV490" s="136"/>
      <c r="CW490" s="136"/>
      <c r="CX490" s="136"/>
      <c r="CY490" s="136"/>
      <c r="CZ490" s="136"/>
      <c r="DA490" s="136"/>
      <c r="DB490" s="136"/>
      <c r="DC490" s="136"/>
      <c r="DD490" s="136"/>
      <c r="DE490" s="136"/>
      <c r="DF490" s="136"/>
      <c r="DG490" s="136"/>
      <c r="DH490" s="136"/>
      <c r="DI490" s="136"/>
      <c r="DJ490" s="136"/>
      <c r="DK490" s="136"/>
      <c r="DL490" s="136"/>
      <c r="DM490" s="136"/>
      <c r="DN490" s="136"/>
      <c r="DO490" s="136"/>
      <c r="DP490" s="136"/>
      <c r="DQ490" s="136"/>
      <c r="DR490" s="136"/>
      <c r="DS490" s="136"/>
      <c r="DT490" s="136"/>
      <c r="DU490" s="136"/>
      <c r="DV490" s="136"/>
      <c r="DW490" s="136"/>
      <c r="DX490" s="136"/>
      <c r="DY490" s="136"/>
      <c r="DZ490" s="136"/>
      <c r="EA490" s="136"/>
      <c r="EB490" s="136"/>
      <c r="EC490" s="136"/>
      <c r="ED490" s="136"/>
      <c r="EE490" s="136"/>
      <c r="EF490" s="136"/>
      <c r="EG490" s="136"/>
      <c r="EH490" s="136"/>
      <c r="EI490" s="136"/>
      <c r="EJ490" s="136"/>
      <c r="EK490" s="136"/>
      <c r="EL490" s="136"/>
      <c r="EM490" s="136"/>
      <c r="EN490" s="136"/>
      <c r="EO490" s="136"/>
      <c r="EP490" s="136"/>
      <c r="EQ490" s="136"/>
      <c r="ER490" s="136"/>
      <c r="ES490" s="136"/>
      <c r="ET490" s="136"/>
      <c r="EU490" s="136"/>
      <c r="EV490" s="136"/>
      <c r="EW490" s="136"/>
      <c r="EX490" s="136"/>
      <c r="EY490" s="136"/>
      <c r="EZ490" s="136"/>
      <c r="FA490" s="136"/>
      <c r="FB490" s="136"/>
      <c r="FC490" s="136"/>
      <c r="FD490" s="136"/>
      <c r="FE490" s="136"/>
      <c r="FF490" s="136"/>
      <c r="FG490" s="136"/>
      <c r="FH490" s="137"/>
      <c r="FI490" s="138"/>
      <c r="FJ490" s="138"/>
      <c r="FK490" s="138"/>
      <c r="FL490" s="138"/>
      <c r="FM490" s="138"/>
      <c r="FN490" s="138"/>
      <c r="FO490" s="138"/>
      <c r="FP490" s="138"/>
    </row>
    <row r="491" spans="2:172" x14ac:dyDescent="0.2">
      <c r="B491" s="134"/>
      <c r="C491" s="134"/>
      <c r="D491" s="134"/>
      <c r="E491" s="134"/>
      <c r="F491" s="134"/>
      <c r="G491" s="134"/>
      <c r="H491" s="134"/>
      <c r="I491" s="134"/>
      <c r="J491" s="134"/>
      <c r="K491" s="134"/>
      <c r="L491" s="134"/>
      <c r="M491" s="135"/>
      <c r="N491" s="135"/>
      <c r="O491" s="134"/>
      <c r="P491" s="136"/>
      <c r="Q491" s="136"/>
      <c r="R491" s="136"/>
      <c r="S491" s="136"/>
      <c r="T491" s="136"/>
      <c r="U491" s="136"/>
      <c r="V491" s="136"/>
      <c r="W491" s="136"/>
      <c r="X491" s="136"/>
      <c r="Y491" s="136"/>
      <c r="Z491" s="136"/>
      <c r="AA491" s="136"/>
      <c r="AB491" s="136"/>
      <c r="AC491" s="136"/>
      <c r="AD491" s="136"/>
      <c r="AE491" s="136"/>
      <c r="AF491" s="136"/>
      <c r="AG491" s="136"/>
      <c r="AH491" s="136"/>
      <c r="AI491" s="136"/>
      <c r="AJ491" s="136"/>
      <c r="AK491" s="136"/>
      <c r="AL491" s="136"/>
      <c r="AM491" s="136"/>
      <c r="AN491" s="136"/>
      <c r="AO491" s="136"/>
      <c r="AP491" s="136"/>
      <c r="AQ491" s="136"/>
      <c r="AR491" s="136"/>
      <c r="AS491" s="136"/>
      <c r="AT491" s="136"/>
      <c r="AU491" s="136"/>
      <c r="AV491" s="136"/>
      <c r="AW491" s="136"/>
      <c r="AX491" s="136"/>
      <c r="AY491" s="136"/>
      <c r="AZ491" s="136"/>
      <c r="BA491" s="136"/>
      <c r="BB491" s="136"/>
      <c r="BC491" s="136"/>
      <c r="BD491" s="136"/>
      <c r="BE491" s="136"/>
      <c r="BF491" s="136"/>
      <c r="BG491" s="136"/>
      <c r="BH491" s="136"/>
      <c r="BI491" s="136"/>
      <c r="BJ491" s="136"/>
      <c r="BK491" s="136"/>
      <c r="BL491" s="136"/>
      <c r="BM491" s="136"/>
      <c r="BN491" s="136"/>
      <c r="BO491" s="136"/>
      <c r="BP491" s="136"/>
      <c r="BQ491" s="136"/>
      <c r="BR491" s="136"/>
      <c r="BS491" s="136"/>
      <c r="BT491" s="136"/>
      <c r="BU491" s="136"/>
      <c r="BV491" s="136"/>
      <c r="BW491" s="136"/>
      <c r="BX491" s="136"/>
      <c r="BY491" s="136"/>
      <c r="BZ491" s="136"/>
      <c r="CA491" s="136"/>
      <c r="CB491" s="136"/>
      <c r="CC491" s="136"/>
      <c r="CD491" s="136"/>
      <c r="CE491" s="136"/>
      <c r="CF491" s="136"/>
      <c r="CG491" s="136"/>
      <c r="CH491" s="136"/>
      <c r="CI491" s="136"/>
      <c r="CJ491" s="136"/>
      <c r="CK491" s="136"/>
      <c r="CL491" s="136"/>
      <c r="CM491" s="136"/>
      <c r="CN491" s="136"/>
      <c r="CO491" s="136"/>
      <c r="CP491" s="136"/>
      <c r="CQ491" s="136"/>
      <c r="CR491" s="136"/>
      <c r="CS491" s="136"/>
      <c r="CT491" s="136"/>
      <c r="CU491" s="136"/>
      <c r="CV491" s="136"/>
      <c r="CW491" s="136"/>
      <c r="CX491" s="136"/>
      <c r="CY491" s="136"/>
      <c r="CZ491" s="136"/>
      <c r="DA491" s="136"/>
      <c r="DB491" s="136"/>
      <c r="DC491" s="136"/>
      <c r="DD491" s="136"/>
      <c r="DE491" s="136"/>
      <c r="DF491" s="136"/>
      <c r="DG491" s="136"/>
      <c r="DH491" s="136"/>
      <c r="DI491" s="136"/>
      <c r="DJ491" s="136"/>
      <c r="DK491" s="136"/>
      <c r="DL491" s="136"/>
      <c r="DM491" s="136"/>
      <c r="DN491" s="136"/>
      <c r="DO491" s="136"/>
      <c r="DP491" s="136"/>
      <c r="DQ491" s="136"/>
      <c r="DR491" s="136"/>
      <c r="DS491" s="136"/>
      <c r="DT491" s="136"/>
      <c r="DU491" s="136"/>
      <c r="DV491" s="136"/>
      <c r="DW491" s="136"/>
      <c r="DX491" s="136"/>
      <c r="DY491" s="136"/>
      <c r="DZ491" s="136"/>
      <c r="EA491" s="136"/>
      <c r="EB491" s="136"/>
      <c r="EC491" s="136"/>
      <c r="ED491" s="136"/>
      <c r="EE491" s="136"/>
      <c r="EF491" s="136"/>
      <c r="EG491" s="136"/>
      <c r="EH491" s="136"/>
      <c r="EI491" s="136"/>
      <c r="EJ491" s="136"/>
      <c r="EK491" s="136"/>
      <c r="EL491" s="136"/>
      <c r="EM491" s="136"/>
      <c r="EN491" s="136"/>
      <c r="EO491" s="136"/>
      <c r="EP491" s="136"/>
      <c r="EQ491" s="136"/>
      <c r="ER491" s="136"/>
      <c r="ES491" s="136"/>
      <c r="ET491" s="136"/>
      <c r="EU491" s="136"/>
      <c r="EV491" s="136"/>
      <c r="EW491" s="136"/>
      <c r="EX491" s="136"/>
      <c r="EY491" s="136"/>
      <c r="EZ491" s="136"/>
      <c r="FA491" s="136"/>
      <c r="FB491" s="136"/>
      <c r="FC491" s="136"/>
      <c r="FD491" s="136"/>
      <c r="FE491" s="136"/>
      <c r="FF491" s="136"/>
      <c r="FG491" s="136"/>
      <c r="FH491" s="137"/>
      <c r="FI491" s="138"/>
      <c r="FJ491" s="138"/>
      <c r="FK491" s="138"/>
      <c r="FL491" s="138"/>
      <c r="FM491" s="138"/>
      <c r="FN491" s="138"/>
      <c r="FO491" s="138"/>
      <c r="FP491" s="138"/>
    </row>
    <row r="492" spans="2:172" x14ac:dyDescent="0.2">
      <c r="B492" s="134"/>
      <c r="C492" s="134"/>
      <c r="D492" s="134"/>
      <c r="E492" s="134"/>
      <c r="F492" s="134"/>
      <c r="G492" s="134"/>
      <c r="H492" s="134"/>
      <c r="I492" s="134"/>
      <c r="J492" s="134"/>
      <c r="K492" s="134"/>
      <c r="L492" s="134"/>
      <c r="M492" s="135"/>
      <c r="N492" s="135"/>
      <c r="O492" s="134"/>
      <c r="P492" s="136"/>
      <c r="Q492" s="136"/>
      <c r="R492" s="136"/>
      <c r="S492" s="136"/>
      <c r="T492" s="136"/>
      <c r="U492" s="136"/>
      <c r="V492" s="136"/>
      <c r="W492" s="136"/>
      <c r="X492" s="136"/>
      <c r="Y492" s="136"/>
      <c r="Z492" s="136"/>
      <c r="AA492" s="136"/>
      <c r="AB492" s="136"/>
      <c r="AC492" s="136"/>
      <c r="AD492" s="136"/>
      <c r="AE492" s="136"/>
      <c r="AF492" s="136"/>
      <c r="AG492" s="136"/>
      <c r="AH492" s="136"/>
      <c r="AI492" s="136"/>
      <c r="AJ492" s="136"/>
      <c r="AK492" s="136"/>
      <c r="AL492" s="136"/>
      <c r="AM492" s="136"/>
      <c r="AN492" s="136"/>
      <c r="AO492" s="136"/>
      <c r="AP492" s="136"/>
      <c r="AQ492" s="136"/>
      <c r="AR492" s="136"/>
      <c r="AS492" s="136"/>
      <c r="AT492" s="136"/>
      <c r="AU492" s="136"/>
      <c r="AV492" s="136"/>
      <c r="AW492" s="136"/>
      <c r="AX492" s="136"/>
      <c r="AY492" s="136"/>
      <c r="AZ492" s="136"/>
      <c r="BA492" s="136"/>
      <c r="BB492" s="136"/>
      <c r="BC492" s="136"/>
      <c r="BD492" s="136"/>
      <c r="BE492" s="136"/>
      <c r="BF492" s="136"/>
      <c r="BG492" s="136"/>
      <c r="BH492" s="136"/>
      <c r="BI492" s="136"/>
      <c r="BJ492" s="136"/>
      <c r="BK492" s="136"/>
      <c r="BL492" s="136"/>
      <c r="BM492" s="136"/>
      <c r="BN492" s="136"/>
      <c r="BO492" s="136"/>
      <c r="BP492" s="136"/>
      <c r="BQ492" s="136"/>
      <c r="BR492" s="136"/>
      <c r="BS492" s="136"/>
      <c r="BT492" s="136"/>
      <c r="BU492" s="136"/>
      <c r="BV492" s="136"/>
      <c r="BW492" s="136"/>
      <c r="BX492" s="136"/>
      <c r="BY492" s="136"/>
      <c r="BZ492" s="136"/>
      <c r="CA492" s="136"/>
      <c r="CB492" s="136"/>
      <c r="CC492" s="136"/>
      <c r="CD492" s="136"/>
      <c r="CE492" s="136"/>
      <c r="CF492" s="136"/>
      <c r="CG492" s="136"/>
      <c r="CH492" s="136"/>
      <c r="CI492" s="136"/>
      <c r="CJ492" s="136"/>
      <c r="CK492" s="136"/>
      <c r="CL492" s="136"/>
      <c r="CM492" s="136"/>
      <c r="CN492" s="136"/>
      <c r="CO492" s="136"/>
      <c r="CP492" s="136"/>
      <c r="CQ492" s="136"/>
      <c r="CR492" s="136"/>
      <c r="CS492" s="136"/>
      <c r="CT492" s="136"/>
      <c r="CU492" s="136"/>
      <c r="CV492" s="136"/>
      <c r="CW492" s="136"/>
      <c r="CX492" s="136"/>
      <c r="CY492" s="136"/>
      <c r="CZ492" s="136"/>
      <c r="DA492" s="136"/>
      <c r="DB492" s="136"/>
      <c r="DC492" s="136"/>
      <c r="DD492" s="136"/>
      <c r="DE492" s="136"/>
      <c r="DF492" s="136"/>
      <c r="DG492" s="136"/>
      <c r="DH492" s="136"/>
      <c r="DI492" s="136"/>
      <c r="DJ492" s="136"/>
      <c r="DK492" s="136"/>
      <c r="DL492" s="136"/>
      <c r="DM492" s="136"/>
      <c r="DN492" s="136"/>
      <c r="DO492" s="136"/>
      <c r="DP492" s="136"/>
      <c r="DQ492" s="136"/>
      <c r="DR492" s="136"/>
      <c r="DS492" s="136"/>
      <c r="DT492" s="136"/>
      <c r="DU492" s="136"/>
      <c r="DV492" s="136"/>
      <c r="DW492" s="136"/>
      <c r="DX492" s="136"/>
      <c r="DY492" s="136"/>
      <c r="DZ492" s="136"/>
      <c r="EA492" s="136"/>
      <c r="EB492" s="136"/>
      <c r="EC492" s="136"/>
      <c r="ED492" s="136"/>
      <c r="EE492" s="136"/>
      <c r="EF492" s="136"/>
      <c r="EG492" s="136"/>
      <c r="EH492" s="136"/>
      <c r="EI492" s="136"/>
      <c r="EJ492" s="136"/>
      <c r="EK492" s="136"/>
      <c r="EL492" s="136"/>
      <c r="EM492" s="136"/>
      <c r="EN492" s="136"/>
      <c r="EO492" s="136"/>
      <c r="EP492" s="136"/>
      <c r="EQ492" s="136"/>
      <c r="ER492" s="136"/>
      <c r="ES492" s="136"/>
      <c r="ET492" s="136"/>
      <c r="EU492" s="136"/>
      <c r="EV492" s="136"/>
      <c r="EW492" s="136"/>
      <c r="EX492" s="136"/>
      <c r="EY492" s="136"/>
      <c r="EZ492" s="136"/>
      <c r="FA492" s="136"/>
      <c r="FB492" s="136"/>
      <c r="FC492" s="136"/>
      <c r="FD492" s="136"/>
      <c r="FE492" s="136"/>
      <c r="FF492" s="136"/>
      <c r="FG492" s="136"/>
      <c r="FH492" s="137"/>
      <c r="FI492" s="138"/>
      <c r="FJ492" s="138"/>
      <c r="FK492" s="138"/>
      <c r="FL492" s="138"/>
      <c r="FM492" s="138"/>
      <c r="FN492" s="138"/>
      <c r="FO492" s="138"/>
      <c r="FP492" s="138"/>
    </row>
    <row r="493" spans="2:172" x14ac:dyDescent="0.2">
      <c r="B493" s="134"/>
      <c r="C493" s="134"/>
      <c r="D493" s="134"/>
      <c r="E493" s="134"/>
      <c r="F493" s="134"/>
      <c r="G493" s="134"/>
      <c r="H493" s="134"/>
      <c r="I493" s="134"/>
      <c r="J493" s="134"/>
      <c r="K493" s="134"/>
      <c r="L493" s="134"/>
      <c r="M493" s="135"/>
      <c r="N493" s="135"/>
      <c r="O493" s="134"/>
      <c r="P493" s="136"/>
      <c r="Q493" s="136"/>
      <c r="R493" s="136"/>
      <c r="S493" s="136"/>
      <c r="T493" s="136"/>
      <c r="U493" s="136"/>
      <c r="V493" s="136"/>
      <c r="W493" s="136"/>
      <c r="X493" s="136"/>
      <c r="Y493" s="136"/>
      <c r="Z493" s="136"/>
      <c r="AA493" s="136"/>
      <c r="AB493" s="136"/>
      <c r="AC493" s="136"/>
      <c r="AD493" s="136"/>
      <c r="AE493" s="136"/>
      <c r="AF493" s="136"/>
      <c r="AG493" s="136"/>
      <c r="AH493" s="136"/>
      <c r="AI493" s="136"/>
      <c r="AJ493" s="136"/>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c r="CO493" s="136"/>
      <c r="CP493" s="136"/>
      <c r="CQ493" s="136"/>
      <c r="CR493" s="136"/>
      <c r="CS493" s="136"/>
      <c r="CT493" s="136"/>
      <c r="CU493" s="136"/>
      <c r="CV493" s="136"/>
      <c r="CW493" s="136"/>
      <c r="CX493" s="136"/>
      <c r="CY493" s="136"/>
      <c r="CZ493" s="136"/>
      <c r="DA493" s="136"/>
      <c r="DB493" s="136"/>
      <c r="DC493" s="136"/>
      <c r="DD493" s="136"/>
      <c r="DE493" s="136"/>
      <c r="DF493" s="136"/>
      <c r="DG493" s="136"/>
      <c r="DH493" s="136"/>
      <c r="DI493" s="136"/>
      <c r="DJ493" s="136"/>
      <c r="DK493" s="136"/>
      <c r="DL493" s="136"/>
      <c r="DM493" s="136"/>
      <c r="DN493" s="136"/>
      <c r="DO493" s="136"/>
      <c r="DP493" s="136"/>
      <c r="DQ493" s="136"/>
      <c r="DR493" s="136"/>
      <c r="DS493" s="136"/>
      <c r="DT493" s="136"/>
      <c r="DU493" s="136"/>
      <c r="DV493" s="136"/>
      <c r="DW493" s="136"/>
      <c r="DX493" s="136"/>
      <c r="DY493" s="136"/>
      <c r="DZ493" s="136"/>
      <c r="EA493" s="136"/>
      <c r="EB493" s="136"/>
      <c r="EC493" s="136"/>
      <c r="ED493" s="136"/>
      <c r="EE493" s="136"/>
      <c r="EF493" s="136"/>
      <c r="EG493" s="136"/>
      <c r="EH493" s="136"/>
      <c r="EI493" s="136"/>
      <c r="EJ493" s="136"/>
      <c r="EK493" s="136"/>
      <c r="EL493" s="136"/>
      <c r="EM493" s="136"/>
      <c r="EN493" s="136"/>
      <c r="EO493" s="136"/>
      <c r="EP493" s="136"/>
      <c r="EQ493" s="136"/>
      <c r="ER493" s="136"/>
      <c r="ES493" s="136"/>
      <c r="ET493" s="136"/>
      <c r="EU493" s="136"/>
      <c r="EV493" s="136"/>
      <c r="EW493" s="136"/>
      <c r="EX493" s="136"/>
      <c r="EY493" s="136"/>
      <c r="EZ493" s="136"/>
      <c r="FA493" s="136"/>
      <c r="FB493" s="136"/>
      <c r="FC493" s="136"/>
      <c r="FD493" s="136"/>
      <c r="FE493" s="136"/>
      <c r="FF493" s="136"/>
      <c r="FG493" s="136"/>
      <c r="FH493" s="137"/>
      <c r="FI493" s="138"/>
      <c r="FJ493" s="138"/>
      <c r="FK493" s="138"/>
      <c r="FL493" s="138"/>
      <c r="FM493" s="138"/>
      <c r="FN493" s="138"/>
      <c r="FO493" s="138"/>
      <c r="FP493" s="138"/>
    </row>
    <row r="494" spans="2:172" x14ac:dyDescent="0.2">
      <c r="B494" s="134"/>
      <c r="C494" s="134"/>
      <c r="D494" s="134"/>
      <c r="E494" s="134"/>
      <c r="F494" s="134"/>
      <c r="G494" s="134"/>
      <c r="H494" s="134"/>
      <c r="I494" s="134"/>
      <c r="J494" s="134"/>
      <c r="K494" s="134"/>
      <c r="L494" s="134"/>
      <c r="M494" s="135"/>
      <c r="N494" s="135"/>
      <c r="O494" s="134"/>
      <c r="P494" s="136"/>
      <c r="Q494" s="136"/>
      <c r="R494" s="136"/>
      <c r="S494" s="136"/>
      <c r="T494" s="136"/>
      <c r="U494" s="136"/>
      <c r="V494" s="136"/>
      <c r="W494" s="136"/>
      <c r="X494" s="136"/>
      <c r="Y494" s="136"/>
      <c r="Z494" s="136"/>
      <c r="AA494" s="136"/>
      <c r="AB494" s="136"/>
      <c r="AC494" s="136"/>
      <c r="AD494" s="136"/>
      <c r="AE494" s="136"/>
      <c r="AF494" s="136"/>
      <c r="AG494" s="136"/>
      <c r="AH494" s="136"/>
      <c r="AI494" s="136"/>
      <c r="AJ494" s="136"/>
      <c r="AK494" s="136"/>
      <c r="AL494" s="136"/>
      <c r="AM494" s="136"/>
      <c r="AN494" s="136"/>
      <c r="AO494" s="136"/>
      <c r="AP494" s="136"/>
      <c r="AQ494" s="136"/>
      <c r="AR494" s="136"/>
      <c r="AS494" s="136"/>
      <c r="AT494" s="136"/>
      <c r="AU494" s="136"/>
      <c r="AV494" s="136"/>
      <c r="AW494" s="136"/>
      <c r="AX494" s="136"/>
      <c r="AY494" s="136"/>
      <c r="AZ494" s="136"/>
      <c r="BA494" s="136"/>
      <c r="BB494" s="136"/>
      <c r="BC494" s="136"/>
      <c r="BD494" s="136"/>
      <c r="BE494" s="136"/>
      <c r="BF494" s="136"/>
      <c r="BG494" s="136"/>
      <c r="BH494" s="136"/>
      <c r="BI494" s="136"/>
      <c r="BJ494" s="136"/>
      <c r="BK494" s="136"/>
      <c r="BL494" s="136"/>
      <c r="BM494" s="136"/>
      <c r="BN494" s="136"/>
      <c r="BO494" s="136"/>
      <c r="BP494" s="136"/>
      <c r="BQ494" s="136"/>
      <c r="BR494" s="136"/>
      <c r="BS494" s="136"/>
      <c r="BT494" s="136"/>
      <c r="BU494" s="136"/>
      <c r="BV494" s="136"/>
      <c r="BW494" s="136"/>
      <c r="BX494" s="136"/>
      <c r="BY494" s="136"/>
      <c r="BZ494" s="136"/>
      <c r="CA494" s="136"/>
      <c r="CB494" s="136"/>
      <c r="CC494" s="136"/>
      <c r="CD494" s="136"/>
      <c r="CE494" s="136"/>
      <c r="CF494" s="136"/>
      <c r="CG494" s="136"/>
      <c r="CH494" s="136"/>
      <c r="CI494" s="136"/>
      <c r="CJ494" s="136"/>
      <c r="CK494" s="136"/>
      <c r="CL494" s="136"/>
      <c r="CM494" s="136"/>
      <c r="CN494" s="136"/>
      <c r="CO494" s="136"/>
      <c r="CP494" s="136"/>
      <c r="CQ494" s="136"/>
      <c r="CR494" s="136"/>
      <c r="CS494" s="136"/>
      <c r="CT494" s="136"/>
      <c r="CU494" s="136"/>
      <c r="CV494" s="136"/>
      <c r="CW494" s="136"/>
      <c r="CX494" s="136"/>
      <c r="CY494" s="136"/>
      <c r="CZ494" s="136"/>
      <c r="DA494" s="136"/>
      <c r="DB494" s="136"/>
      <c r="DC494" s="136"/>
      <c r="DD494" s="136"/>
      <c r="DE494" s="136"/>
      <c r="DF494" s="136"/>
      <c r="DG494" s="136"/>
      <c r="DH494" s="136"/>
      <c r="DI494" s="136"/>
      <c r="DJ494" s="136"/>
      <c r="DK494" s="136"/>
      <c r="DL494" s="136"/>
      <c r="DM494" s="136"/>
      <c r="DN494" s="136"/>
      <c r="DO494" s="136"/>
      <c r="DP494" s="136"/>
      <c r="DQ494" s="136"/>
      <c r="DR494" s="136"/>
      <c r="DS494" s="136"/>
      <c r="DT494" s="136"/>
      <c r="DU494" s="136"/>
      <c r="DV494" s="136"/>
      <c r="DW494" s="136"/>
      <c r="DX494" s="136"/>
      <c r="DY494" s="136"/>
      <c r="DZ494" s="136"/>
      <c r="EA494" s="136"/>
      <c r="EB494" s="136"/>
      <c r="EC494" s="136"/>
      <c r="ED494" s="136"/>
      <c r="EE494" s="136"/>
      <c r="EF494" s="136"/>
      <c r="EG494" s="136"/>
      <c r="EH494" s="136"/>
      <c r="EI494" s="136"/>
      <c r="EJ494" s="136"/>
      <c r="EK494" s="136"/>
      <c r="EL494" s="136"/>
      <c r="EM494" s="136"/>
      <c r="EN494" s="136"/>
      <c r="EO494" s="136"/>
      <c r="EP494" s="136"/>
      <c r="EQ494" s="136"/>
      <c r="ER494" s="136"/>
      <c r="ES494" s="136"/>
      <c r="ET494" s="136"/>
      <c r="EU494" s="136"/>
      <c r="EV494" s="136"/>
      <c r="EW494" s="136"/>
      <c r="EX494" s="136"/>
      <c r="EY494" s="136"/>
      <c r="EZ494" s="136"/>
      <c r="FA494" s="136"/>
      <c r="FB494" s="136"/>
      <c r="FC494" s="136"/>
      <c r="FD494" s="136"/>
      <c r="FE494" s="136"/>
      <c r="FF494" s="136"/>
      <c r="FG494" s="136"/>
      <c r="FH494" s="137"/>
      <c r="FI494" s="138"/>
      <c r="FJ494" s="138"/>
      <c r="FK494" s="138"/>
      <c r="FL494" s="138"/>
      <c r="FM494" s="138"/>
      <c r="FN494" s="138"/>
      <c r="FO494" s="138"/>
      <c r="FP494" s="138"/>
    </row>
    <row r="495" spans="2:172" x14ac:dyDescent="0.2">
      <c r="B495" s="134"/>
      <c r="C495" s="134"/>
      <c r="D495" s="134"/>
      <c r="E495" s="134"/>
      <c r="F495" s="134"/>
      <c r="G495" s="134"/>
      <c r="H495" s="134"/>
      <c r="I495" s="134"/>
      <c r="J495" s="134"/>
      <c r="K495" s="134"/>
      <c r="L495" s="134"/>
      <c r="M495" s="135"/>
      <c r="N495" s="135"/>
      <c r="O495" s="134"/>
      <c r="P495" s="136"/>
      <c r="Q495" s="136"/>
      <c r="R495" s="136"/>
      <c r="S495" s="136"/>
      <c r="T495" s="136"/>
      <c r="U495" s="136"/>
      <c r="V495" s="136"/>
      <c r="W495" s="136"/>
      <c r="X495" s="136"/>
      <c r="Y495" s="136"/>
      <c r="Z495" s="136"/>
      <c r="AA495" s="136"/>
      <c r="AB495" s="136"/>
      <c r="AC495" s="136"/>
      <c r="AD495" s="136"/>
      <c r="AE495" s="136"/>
      <c r="AF495" s="136"/>
      <c r="AG495" s="136"/>
      <c r="AH495" s="136"/>
      <c r="AI495" s="136"/>
      <c r="AJ495" s="136"/>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c r="CO495" s="136"/>
      <c r="CP495" s="136"/>
      <c r="CQ495" s="136"/>
      <c r="CR495" s="136"/>
      <c r="CS495" s="136"/>
      <c r="CT495" s="136"/>
      <c r="CU495" s="136"/>
      <c r="CV495" s="136"/>
      <c r="CW495" s="136"/>
      <c r="CX495" s="136"/>
      <c r="CY495" s="136"/>
      <c r="CZ495" s="136"/>
      <c r="DA495" s="136"/>
      <c r="DB495" s="136"/>
      <c r="DC495" s="136"/>
      <c r="DD495" s="136"/>
      <c r="DE495" s="136"/>
      <c r="DF495" s="136"/>
      <c r="DG495" s="136"/>
      <c r="DH495" s="136"/>
      <c r="DI495" s="136"/>
      <c r="DJ495" s="136"/>
      <c r="DK495" s="136"/>
      <c r="DL495" s="136"/>
      <c r="DM495" s="136"/>
      <c r="DN495" s="136"/>
      <c r="DO495" s="136"/>
      <c r="DP495" s="136"/>
      <c r="DQ495" s="136"/>
      <c r="DR495" s="136"/>
      <c r="DS495" s="136"/>
      <c r="DT495" s="136"/>
      <c r="DU495" s="136"/>
      <c r="DV495" s="136"/>
      <c r="DW495" s="136"/>
      <c r="DX495" s="136"/>
      <c r="DY495" s="136"/>
      <c r="DZ495" s="136"/>
      <c r="EA495" s="136"/>
      <c r="EB495" s="136"/>
      <c r="EC495" s="136"/>
      <c r="ED495" s="136"/>
      <c r="EE495" s="136"/>
      <c r="EF495" s="136"/>
      <c r="EG495" s="136"/>
      <c r="EH495" s="136"/>
      <c r="EI495" s="136"/>
      <c r="EJ495" s="136"/>
      <c r="EK495" s="136"/>
      <c r="EL495" s="136"/>
      <c r="EM495" s="136"/>
      <c r="EN495" s="136"/>
      <c r="EO495" s="136"/>
      <c r="EP495" s="136"/>
      <c r="EQ495" s="136"/>
      <c r="ER495" s="136"/>
      <c r="ES495" s="136"/>
      <c r="ET495" s="136"/>
      <c r="EU495" s="136"/>
      <c r="EV495" s="136"/>
      <c r="EW495" s="136"/>
      <c r="EX495" s="136"/>
      <c r="EY495" s="136"/>
      <c r="EZ495" s="136"/>
      <c r="FA495" s="136"/>
      <c r="FB495" s="136"/>
      <c r="FC495" s="136"/>
      <c r="FD495" s="136"/>
      <c r="FE495" s="136"/>
      <c r="FF495" s="136"/>
      <c r="FG495" s="136"/>
      <c r="FH495" s="137"/>
      <c r="FI495" s="138"/>
      <c r="FJ495" s="138"/>
      <c r="FK495" s="138"/>
      <c r="FL495" s="138"/>
      <c r="FM495" s="138"/>
      <c r="FN495" s="138"/>
      <c r="FO495" s="138"/>
      <c r="FP495" s="138"/>
    </row>
    <row r="496" spans="2:172" x14ac:dyDescent="0.2">
      <c r="B496" s="134"/>
      <c r="C496" s="134"/>
      <c r="D496" s="134"/>
      <c r="E496" s="134"/>
      <c r="F496" s="134"/>
      <c r="G496" s="134"/>
      <c r="H496" s="134"/>
      <c r="I496" s="134"/>
      <c r="J496" s="134"/>
      <c r="K496" s="134"/>
      <c r="L496" s="134"/>
      <c r="M496" s="135"/>
      <c r="N496" s="135"/>
      <c r="O496" s="134"/>
      <c r="P496" s="136"/>
      <c r="Q496" s="136"/>
      <c r="R496" s="136"/>
      <c r="S496" s="136"/>
      <c r="T496" s="136"/>
      <c r="U496" s="136"/>
      <c r="V496" s="136"/>
      <c r="W496" s="136"/>
      <c r="X496" s="136"/>
      <c r="Y496" s="136"/>
      <c r="Z496" s="136"/>
      <c r="AA496" s="136"/>
      <c r="AB496" s="136"/>
      <c r="AC496" s="136"/>
      <c r="AD496" s="136"/>
      <c r="AE496" s="136"/>
      <c r="AF496" s="136"/>
      <c r="AG496" s="136"/>
      <c r="AH496" s="136"/>
      <c r="AI496" s="136"/>
      <c r="AJ496" s="136"/>
      <c r="AK496" s="136"/>
      <c r="AL496" s="136"/>
      <c r="AM496" s="136"/>
      <c r="AN496" s="136"/>
      <c r="AO496" s="136"/>
      <c r="AP496" s="136"/>
      <c r="AQ496" s="136"/>
      <c r="AR496" s="136"/>
      <c r="AS496" s="136"/>
      <c r="AT496" s="136"/>
      <c r="AU496" s="136"/>
      <c r="AV496" s="136"/>
      <c r="AW496" s="136"/>
      <c r="AX496" s="136"/>
      <c r="AY496" s="136"/>
      <c r="AZ496" s="136"/>
      <c r="BA496" s="136"/>
      <c r="BB496" s="136"/>
      <c r="BC496" s="136"/>
      <c r="BD496" s="136"/>
      <c r="BE496" s="136"/>
      <c r="BF496" s="136"/>
      <c r="BG496" s="136"/>
      <c r="BH496" s="136"/>
      <c r="BI496" s="136"/>
      <c r="BJ496" s="136"/>
      <c r="BK496" s="136"/>
      <c r="BL496" s="136"/>
      <c r="BM496" s="136"/>
      <c r="BN496" s="136"/>
      <c r="BO496" s="136"/>
      <c r="BP496" s="136"/>
      <c r="BQ496" s="136"/>
      <c r="BR496" s="136"/>
      <c r="BS496" s="136"/>
      <c r="BT496" s="136"/>
      <c r="BU496" s="136"/>
      <c r="BV496" s="136"/>
      <c r="BW496" s="136"/>
      <c r="BX496" s="136"/>
      <c r="BY496" s="136"/>
      <c r="BZ496" s="136"/>
      <c r="CA496" s="136"/>
      <c r="CB496" s="136"/>
      <c r="CC496" s="136"/>
      <c r="CD496" s="136"/>
      <c r="CE496" s="136"/>
      <c r="CF496" s="136"/>
      <c r="CG496" s="136"/>
      <c r="CH496" s="136"/>
      <c r="CI496" s="136"/>
      <c r="CJ496" s="136"/>
      <c r="CK496" s="136"/>
      <c r="CL496" s="136"/>
      <c r="CM496" s="136"/>
      <c r="CN496" s="136"/>
      <c r="CO496" s="136"/>
      <c r="CP496" s="136"/>
      <c r="CQ496" s="136"/>
      <c r="CR496" s="136"/>
      <c r="CS496" s="136"/>
      <c r="CT496" s="136"/>
      <c r="CU496" s="136"/>
      <c r="CV496" s="136"/>
      <c r="CW496" s="136"/>
      <c r="CX496" s="136"/>
      <c r="CY496" s="136"/>
      <c r="CZ496" s="136"/>
      <c r="DA496" s="136"/>
      <c r="DB496" s="136"/>
      <c r="DC496" s="136"/>
      <c r="DD496" s="136"/>
      <c r="DE496" s="136"/>
      <c r="DF496" s="136"/>
      <c r="DG496" s="136"/>
      <c r="DH496" s="136"/>
      <c r="DI496" s="136"/>
      <c r="DJ496" s="136"/>
      <c r="DK496" s="136"/>
      <c r="DL496" s="136"/>
      <c r="DM496" s="136"/>
      <c r="DN496" s="136"/>
      <c r="DO496" s="136"/>
      <c r="DP496" s="136"/>
      <c r="DQ496" s="136"/>
      <c r="DR496" s="136"/>
      <c r="DS496" s="136"/>
      <c r="DT496" s="136"/>
      <c r="DU496" s="136"/>
      <c r="DV496" s="136"/>
      <c r="DW496" s="136"/>
      <c r="DX496" s="136"/>
      <c r="DY496" s="136"/>
      <c r="DZ496" s="136"/>
      <c r="EA496" s="136"/>
      <c r="EB496" s="136"/>
      <c r="EC496" s="136"/>
      <c r="ED496" s="136"/>
      <c r="EE496" s="136"/>
      <c r="EF496" s="136"/>
      <c r="EG496" s="136"/>
      <c r="EH496" s="136"/>
      <c r="EI496" s="136"/>
      <c r="EJ496" s="136"/>
      <c r="EK496" s="136"/>
      <c r="EL496" s="136"/>
      <c r="EM496" s="136"/>
      <c r="EN496" s="136"/>
      <c r="EO496" s="136"/>
      <c r="EP496" s="136"/>
      <c r="EQ496" s="136"/>
      <c r="ER496" s="136"/>
      <c r="ES496" s="136"/>
      <c r="ET496" s="136"/>
      <c r="EU496" s="136"/>
      <c r="EV496" s="136"/>
      <c r="EW496" s="136"/>
      <c r="EX496" s="136"/>
      <c r="EY496" s="136"/>
      <c r="EZ496" s="136"/>
      <c r="FA496" s="136"/>
      <c r="FB496" s="136"/>
      <c r="FC496" s="136"/>
      <c r="FD496" s="136"/>
      <c r="FE496" s="136"/>
      <c r="FF496" s="136"/>
      <c r="FG496" s="136"/>
      <c r="FH496" s="137"/>
      <c r="FI496" s="138"/>
      <c r="FJ496" s="138"/>
      <c r="FK496" s="138"/>
      <c r="FL496" s="138"/>
      <c r="FM496" s="138"/>
      <c r="FN496" s="138"/>
      <c r="FO496" s="138"/>
      <c r="FP496" s="138"/>
    </row>
    <row r="497" spans="2:172" x14ac:dyDescent="0.2">
      <c r="B497" s="134"/>
      <c r="C497" s="134"/>
      <c r="D497" s="134"/>
      <c r="E497" s="134"/>
      <c r="F497" s="134"/>
      <c r="G497" s="134"/>
      <c r="H497" s="134"/>
      <c r="I497" s="134"/>
      <c r="J497" s="134"/>
      <c r="K497" s="134"/>
      <c r="L497" s="134"/>
      <c r="M497" s="135"/>
      <c r="N497" s="135"/>
      <c r="O497" s="134"/>
      <c r="P497" s="136"/>
      <c r="Q497" s="136"/>
      <c r="R497" s="136"/>
      <c r="S497" s="136"/>
      <c r="T497" s="136"/>
      <c r="U497" s="136"/>
      <c r="V497" s="136"/>
      <c r="W497" s="136"/>
      <c r="X497" s="136"/>
      <c r="Y497" s="136"/>
      <c r="Z497" s="136"/>
      <c r="AA497" s="136"/>
      <c r="AB497" s="136"/>
      <c r="AC497" s="136"/>
      <c r="AD497" s="136"/>
      <c r="AE497" s="136"/>
      <c r="AF497" s="136"/>
      <c r="AG497" s="136"/>
      <c r="AH497" s="136"/>
      <c r="AI497" s="136"/>
      <c r="AJ497" s="136"/>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c r="CO497" s="136"/>
      <c r="CP497" s="136"/>
      <c r="CQ497" s="136"/>
      <c r="CR497" s="136"/>
      <c r="CS497" s="136"/>
      <c r="CT497" s="136"/>
      <c r="CU497" s="136"/>
      <c r="CV497" s="136"/>
      <c r="CW497" s="136"/>
      <c r="CX497" s="136"/>
      <c r="CY497" s="136"/>
      <c r="CZ497" s="136"/>
      <c r="DA497" s="136"/>
      <c r="DB497" s="136"/>
      <c r="DC497" s="136"/>
      <c r="DD497" s="136"/>
      <c r="DE497" s="136"/>
      <c r="DF497" s="136"/>
      <c r="DG497" s="136"/>
      <c r="DH497" s="136"/>
      <c r="DI497" s="136"/>
      <c r="DJ497" s="136"/>
      <c r="DK497" s="136"/>
      <c r="DL497" s="136"/>
      <c r="DM497" s="136"/>
      <c r="DN497" s="136"/>
      <c r="DO497" s="136"/>
      <c r="DP497" s="136"/>
      <c r="DQ497" s="136"/>
      <c r="DR497" s="136"/>
      <c r="DS497" s="136"/>
      <c r="DT497" s="136"/>
      <c r="DU497" s="136"/>
      <c r="DV497" s="136"/>
      <c r="DW497" s="136"/>
      <c r="DX497" s="136"/>
      <c r="DY497" s="136"/>
      <c r="DZ497" s="136"/>
      <c r="EA497" s="136"/>
      <c r="EB497" s="136"/>
      <c r="EC497" s="136"/>
      <c r="ED497" s="136"/>
      <c r="EE497" s="136"/>
      <c r="EF497" s="136"/>
      <c r="EG497" s="136"/>
      <c r="EH497" s="136"/>
      <c r="EI497" s="136"/>
      <c r="EJ497" s="136"/>
      <c r="EK497" s="136"/>
      <c r="EL497" s="136"/>
      <c r="EM497" s="136"/>
      <c r="EN497" s="136"/>
      <c r="EO497" s="136"/>
      <c r="EP497" s="136"/>
      <c r="EQ497" s="136"/>
      <c r="ER497" s="136"/>
      <c r="ES497" s="136"/>
      <c r="ET497" s="136"/>
      <c r="EU497" s="136"/>
      <c r="EV497" s="136"/>
      <c r="EW497" s="136"/>
      <c r="EX497" s="136"/>
      <c r="EY497" s="136"/>
      <c r="EZ497" s="136"/>
      <c r="FA497" s="136"/>
      <c r="FB497" s="136"/>
      <c r="FC497" s="136"/>
      <c r="FD497" s="136"/>
      <c r="FE497" s="136"/>
      <c r="FF497" s="136"/>
      <c r="FG497" s="136"/>
      <c r="FH497" s="137"/>
      <c r="FI497" s="138"/>
      <c r="FJ497" s="138"/>
      <c r="FK497" s="138"/>
      <c r="FL497" s="138"/>
      <c r="FM497" s="138"/>
      <c r="FN497" s="138"/>
      <c r="FO497" s="138"/>
      <c r="FP497" s="138"/>
    </row>
    <row r="498" spans="2:172" x14ac:dyDescent="0.2">
      <c r="B498" s="134"/>
      <c r="C498" s="134"/>
      <c r="D498" s="134"/>
      <c r="E498" s="134"/>
      <c r="F498" s="134"/>
      <c r="G498" s="134"/>
      <c r="H498" s="134"/>
      <c r="I498" s="134"/>
      <c r="J498" s="134"/>
      <c r="K498" s="134"/>
      <c r="L498" s="134"/>
      <c r="M498" s="135"/>
      <c r="N498" s="135"/>
      <c r="O498" s="134"/>
      <c r="P498" s="136"/>
      <c r="Q498" s="136"/>
      <c r="R498" s="136"/>
      <c r="S498" s="136"/>
      <c r="T498" s="136"/>
      <c r="U498" s="136"/>
      <c r="V498" s="136"/>
      <c r="W498" s="136"/>
      <c r="X498" s="136"/>
      <c r="Y498" s="136"/>
      <c r="Z498" s="136"/>
      <c r="AA498" s="136"/>
      <c r="AB498" s="136"/>
      <c r="AC498" s="136"/>
      <c r="AD498" s="136"/>
      <c r="AE498" s="136"/>
      <c r="AF498" s="136"/>
      <c r="AG498" s="136"/>
      <c r="AH498" s="136"/>
      <c r="AI498" s="136"/>
      <c r="AJ498" s="136"/>
      <c r="AK498" s="136"/>
      <c r="AL498" s="136"/>
      <c r="AM498" s="136"/>
      <c r="AN498" s="136"/>
      <c r="AO498" s="136"/>
      <c r="AP498" s="136"/>
      <c r="AQ498" s="136"/>
      <c r="AR498" s="136"/>
      <c r="AS498" s="136"/>
      <c r="AT498" s="136"/>
      <c r="AU498" s="136"/>
      <c r="AV498" s="136"/>
      <c r="AW498" s="136"/>
      <c r="AX498" s="136"/>
      <c r="AY498" s="136"/>
      <c r="AZ498" s="136"/>
      <c r="BA498" s="136"/>
      <c r="BB498" s="136"/>
      <c r="BC498" s="136"/>
      <c r="BD498" s="136"/>
      <c r="BE498" s="136"/>
      <c r="BF498" s="136"/>
      <c r="BG498" s="136"/>
      <c r="BH498" s="136"/>
      <c r="BI498" s="136"/>
      <c r="BJ498" s="136"/>
      <c r="BK498" s="136"/>
      <c r="BL498" s="136"/>
      <c r="BM498" s="136"/>
      <c r="BN498" s="136"/>
      <c r="BO498" s="136"/>
      <c r="BP498" s="136"/>
      <c r="BQ498" s="136"/>
      <c r="BR498" s="136"/>
      <c r="BS498" s="136"/>
      <c r="BT498" s="136"/>
      <c r="BU498" s="136"/>
      <c r="BV498" s="136"/>
      <c r="BW498" s="136"/>
      <c r="BX498" s="136"/>
      <c r="BY498" s="136"/>
      <c r="BZ498" s="136"/>
      <c r="CA498" s="136"/>
      <c r="CB498" s="136"/>
      <c r="CC498" s="136"/>
      <c r="CD498" s="136"/>
      <c r="CE498" s="136"/>
      <c r="CF498" s="136"/>
      <c r="CG498" s="136"/>
      <c r="CH498" s="136"/>
      <c r="CI498" s="136"/>
      <c r="CJ498" s="136"/>
      <c r="CK498" s="136"/>
      <c r="CL498" s="136"/>
      <c r="CM498" s="136"/>
      <c r="CN498" s="136"/>
      <c r="CO498" s="136"/>
      <c r="CP498" s="136"/>
      <c r="CQ498" s="136"/>
      <c r="CR498" s="136"/>
      <c r="CS498" s="136"/>
      <c r="CT498" s="136"/>
      <c r="CU498" s="136"/>
      <c r="CV498" s="136"/>
      <c r="CW498" s="136"/>
      <c r="CX498" s="136"/>
      <c r="CY498" s="136"/>
      <c r="CZ498" s="136"/>
      <c r="DA498" s="136"/>
      <c r="DB498" s="136"/>
      <c r="DC498" s="136"/>
      <c r="DD498" s="136"/>
      <c r="DE498" s="136"/>
      <c r="DF498" s="136"/>
      <c r="DG498" s="136"/>
      <c r="DH498" s="136"/>
      <c r="DI498" s="136"/>
      <c r="DJ498" s="136"/>
      <c r="DK498" s="136"/>
      <c r="DL498" s="136"/>
      <c r="DM498" s="136"/>
      <c r="DN498" s="136"/>
      <c r="DO498" s="136"/>
      <c r="DP498" s="136"/>
      <c r="DQ498" s="136"/>
      <c r="DR498" s="136"/>
      <c r="DS498" s="136"/>
      <c r="DT498" s="136"/>
      <c r="DU498" s="136"/>
      <c r="DV498" s="136"/>
      <c r="DW498" s="136"/>
      <c r="DX498" s="136"/>
      <c r="DY498" s="136"/>
      <c r="DZ498" s="136"/>
      <c r="EA498" s="136"/>
      <c r="EB498" s="136"/>
      <c r="EC498" s="136"/>
      <c r="ED498" s="136"/>
      <c r="EE498" s="136"/>
      <c r="EF498" s="136"/>
      <c r="EG498" s="136"/>
      <c r="EH498" s="136"/>
      <c r="EI498" s="136"/>
      <c r="EJ498" s="136"/>
      <c r="EK498" s="136"/>
      <c r="EL498" s="136"/>
      <c r="EM498" s="136"/>
      <c r="EN498" s="136"/>
      <c r="EO498" s="136"/>
      <c r="EP498" s="136"/>
      <c r="EQ498" s="136"/>
      <c r="ER498" s="136"/>
      <c r="ES498" s="136"/>
      <c r="ET498" s="136"/>
      <c r="EU498" s="136"/>
      <c r="EV498" s="136"/>
      <c r="EW498" s="136"/>
      <c r="EX498" s="136"/>
      <c r="EY498" s="136"/>
      <c r="EZ498" s="136"/>
      <c r="FA498" s="136"/>
      <c r="FB498" s="136"/>
      <c r="FC498" s="136"/>
      <c r="FD498" s="136"/>
      <c r="FE498" s="136"/>
      <c r="FF498" s="136"/>
      <c r="FG498" s="136"/>
      <c r="FH498" s="137"/>
      <c r="FI498" s="138"/>
      <c r="FJ498" s="138"/>
      <c r="FK498" s="138"/>
      <c r="FL498" s="138"/>
      <c r="FM498" s="138"/>
      <c r="FN498" s="138"/>
      <c r="FO498" s="138"/>
      <c r="FP498" s="138"/>
    </row>
    <row r="499" spans="2:172" x14ac:dyDescent="0.2">
      <c r="B499" s="134"/>
      <c r="C499" s="134"/>
      <c r="D499" s="134"/>
      <c r="E499" s="134"/>
      <c r="F499" s="134"/>
      <c r="G499" s="134"/>
      <c r="H499" s="134"/>
      <c r="I499" s="134"/>
      <c r="J499" s="134"/>
      <c r="K499" s="134"/>
      <c r="L499" s="134"/>
      <c r="M499" s="135"/>
      <c r="N499" s="135"/>
      <c r="O499" s="134"/>
      <c r="P499" s="136"/>
      <c r="Q499" s="136"/>
      <c r="R499" s="136"/>
      <c r="S499" s="136"/>
      <c r="T499" s="136"/>
      <c r="U499" s="136"/>
      <c r="V499" s="136"/>
      <c r="W499" s="136"/>
      <c r="X499" s="136"/>
      <c r="Y499" s="136"/>
      <c r="Z499" s="136"/>
      <c r="AA499" s="136"/>
      <c r="AB499" s="136"/>
      <c r="AC499" s="136"/>
      <c r="AD499" s="136"/>
      <c r="AE499" s="136"/>
      <c r="AF499" s="136"/>
      <c r="AG499" s="136"/>
      <c r="AH499" s="136"/>
      <c r="AI499" s="136"/>
      <c r="AJ499" s="136"/>
      <c r="AK499" s="136"/>
      <c r="AL499" s="136"/>
      <c r="AM499" s="136"/>
      <c r="AN499" s="136"/>
      <c r="AO499" s="136"/>
      <c r="AP499" s="136"/>
      <c r="AQ499" s="136"/>
      <c r="AR499" s="136"/>
      <c r="AS499" s="136"/>
      <c r="AT499" s="136"/>
      <c r="AU499" s="136"/>
      <c r="AV499" s="136"/>
      <c r="AW499" s="136"/>
      <c r="AX499" s="136"/>
      <c r="AY499" s="136"/>
      <c r="AZ499" s="136"/>
      <c r="BA499" s="136"/>
      <c r="BB499" s="136"/>
      <c r="BC499" s="136"/>
      <c r="BD499" s="136"/>
      <c r="BE499" s="136"/>
      <c r="BF499" s="136"/>
      <c r="BG499" s="136"/>
      <c r="BH499" s="136"/>
      <c r="BI499" s="136"/>
      <c r="BJ499" s="136"/>
      <c r="BK499" s="136"/>
      <c r="BL499" s="136"/>
      <c r="BM499" s="136"/>
      <c r="BN499" s="136"/>
      <c r="BO499" s="136"/>
      <c r="BP499" s="136"/>
      <c r="BQ499" s="136"/>
      <c r="BR499" s="136"/>
      <c r="BS499" s="136"/>
      <c r="BT499" s="136"/>
      <c r="BU499" s="136"/>
      <c r="BV499" s="136"/>
      <c r="BW499" s="136"/>
      <c r="BX499" s="136"/>
      <c r="BY499" s="136"/>
      <c r="BZ499" s="136"/>
      <c r="CA499" s="136"/>
      <c r="CB499" s="136"/>
      <c r="CC499" s="136"/>
      <c r="CD499" s="136"/>
      <c r="CE499" s="136"/>
      <c r="CF499" s="136"/>
      <c r="CG499" s="136"/>
      <c r="CH499" s="136"/>
      <c r="CI499" s="136"/>
      <c r="CJ499" s="136"/>
      <c r="CK499" s="136"/>
      <c r="CL499" s="136"/>
      <c r="CM499" s="136"/>
      <c r="CN499" s="136"/>
      <c r="CO499" s="136"/>
      <c r="CP499" s="136"/>
      <c r="CQ499" s="136"/>
      <c r="CR499" s="136"/>
      <c r="CS499" s="136"/>
      <c r="CT499" s="136"/>
      <c r="CU499" s="136"/>
      <c r="CV499" s="136"/>
      <c r="CW499" s="136"/>
      <c r="CX499" s="136"/>
      <c r="CY499" s="136"/>
      <c r="CZ499" s="136"/>
      <c r="DA499" s="136"/>
      <c r="DB499" s="136"/>
      <c r="DC499" s="136"/>
      <c r="DD499" s="136"/>
      <c r="DE499" s="136"/>
      <c r="DF499" s="136"/>
      <c r="DG499" s="136"/>
      <c r="DH499" s="136"/>
      <c r="DI499" s="136"/>
      <c r="DJ499" s="136"/>
      <c r="DK499" s="136"/>
      <c r="DL499" s="136"/>
      <c r="DM499" s="136"/>
      <c r="DN499" s="136"/>
      <c r="DO499" s="136"/>
      <c r="DP499" s="136"/>
      <c r="DQ499" s="136"/>
      <c r="DR499" s="136"/>
      <c r="DS499" s="136"/>
      <c r="DT499" s="136"/>
      <c r="DU499" s="136"/>
      <c r="DV499" s="136"/>
      <c r="DW499" s="136"/>
      <c r="DX499" s="136"/>
      <c r="DY499" s="136"/>
      <c r="DZ499" s="136"/>
      <c r="EA499" s="136"/>
      <c r="EB499" s="136"/>
      <c r="EC499" s="136"/>
      <c r="ED499" s="136"/>
      <c r="EE499" s="136"/>
      <c r="EF499" s="136"/>
      <c r="EG499" s="136"/>
      <c r="EH499" s="136"/>
      <c r="EI499" s="136"/>
      <c r="EJ499" s="136"/>
      <c r="EK499" s="136"/>
      <c r="EL499" s="136"/>
      <c r="EM499" s="136"/>
      <c r="EN499" s="136"/>
      <c r="EO499" s="136"/>
      <c r="EP499" s="136"/>
      <c r="EQ499" s="136"/>
      <c r="ER499" s="136"/>
      <c r="ES499" s="136"/>
      <c r="ET499" s="136"/>
      <c r="EU499" s="136"/>
      <c r="EV499" s="136"/>
      <c r="EW499" s="136"/>
      <c r="EX499" s="136"/>
      <c r="EY499" s="136"/>
      <c r="EZ499" s="136"/>
      <c r="FA499" s="136"/>
      <c r="FB499" s="136"/>
      <c r="FC499" s="136"/>
      <c r="FD499" s="136"/>
      <c r="FE499" s="136"/>
      <c r="FF499" s="136"/>
      <c r="FG499" s="136"/>
      <c r="FH499" s="137"/>
      <c r="FI499" s="138"/>
      <c r="FJ499" s="138"/>
      <c r="FK499" s="138"/>
      <c r="FL499" s="138"/>
      <c r="FM499" s="138"/>
      <c r="FN499" s="138"/>
      <c r="FO499" s="138"/>
      <c r="FP499" s="138"/>
    </row>
    <row r="500" spans="2:172" x14ac:dyDescent="0.2">
      <c r="B500" s="134"/>
      <c r="C500" s="134"/>
      <c r="D500" s="134"/>
      <c r="E500" s="134"/>
      <c r="F500" s="134"/>
      <c r="G500" s="134"/>
      <c r="H500" s="134"/>
      <c r="I500" s="134"/>
      <c r="J500" s="134"/>
      <c r="K500" s="134"/>
      <c r="L500" s="134"/>
      <c r="M500" s="135"/>
      <c r="N500" s="135"/>
      <c r="O500" s="134"/>
      <c r="P500" s="136"/>
      <c r="Q500" s="136"/>
      <c r="R500" s="136"/>
      <c r="S500" s="136"/>
      <c r="T500" s="136"/>
      <c r="U500" s="136"/>
      <c r="V500" s="136"/>
      <c r="W500" s="136"/>
      <c r="X500" s="136"/>
      <c r="Y500" s="136"/>
      <c r="Z500" s="136"/>
      <c r="AA500" s="136"/>
      <c r="AB500" s="136"/>
      <c r="AC500" s="136"/>
      <c r="AD500" s="136"/>
      <c r="AE500" s="136"/>
      <c r="AF500" s="136"/>
      <c r="AG500" s="136"/>
      <c r="AH500" s="136"/>
      <c r="AI500" s="136"/>
      <c r="AJ500" s="136"/>
      <c r="AK500" s="136"/>
      <c r="AL500" s="136"/>
      <c r="AM500" s="136"/>
      <c r="AN500" s="136"/>
      <c r="AO500" s="136"/>
      <c r="AP500" s="136"/>
      <c r="AQ500" s="136"/>
      <c r="AR500" s="136"/>
      <c r="AS500" s="136"/>
      <c r="AT500" s="136"/>
      <c r="AU500" s="136"/>
      <c r="AV500" s="136"/>
      <c r="AW500" s="136"/>
      <c r="AX500" s="136"/>
      <c r="AY500" s="136"/>
      <c r="AZ500" s="136"/>
      <c r="BA500" s="136"/>
      <c r="BB500" s="136"/>
      <c r="BC500" s="136"/>
      <c r="BD500" s="136"/>
      <c r="BE500" s="136"/>
      <c r="BF500" s="136"/>
      <c r="BG500" s="136"/>
      <c r="BH500" s="136"/>
      <c r="BI500" s="136"/>
      <c r="BJ500" s="136"/>
      <c r="BK500" s="136"/>
      <c r="BL500" s="136"/>
      <c r="BM500" s="136"/>
      <c r="BN500" s="136"/>
      <c r="BO500" s="136"/>
      <c r="BP500" s="136"/>
      <c r="BQ500" s="136"/>
      <c r="BR500" s="136"/>
      <c r="BS500" s="136"/>
      <c r="BT500" s="136"/>
      <c r="BU500" s="136"/>
      <c r="BV500" s="136"/>
      <c r="BW500" s="136"/>
      <c r="BX500" s="136"/>
      <c r="BY500" s="136"/>
      <c r="BZ500" s="136"/>
      <c r="CA500" s="136"/>
      <c r="CB500" s="136"/>
      <c r="CC500" s="136"/>
      <c r="CD500" s="136"/>
      <c r="CE500" s="136"/>
      <c r="CF500" s="136"/>
      <c r="CG500" s="136"/>
      <c r="CH500" s="136"/>
      <c r="CI500" s="136"/>
      <c r="CJ500" s="136"/>
      <c r="CK500" s="136"/>
      <c r="CL500" s="136"/>
      <c r="CM500" s="136"/>
      <c r="CN500" s="136"/>
      <c r="CO500" s="136"/>
      <c r="CP500" s="136"/>
      <c r="CQ500" s="136"/>
      <c r="CR500" s="136"/>
      <c r="CS500" s="136"/>
      <c r="CT500" s="136"/>
      <c r="CU500" s="136"/>
      <c r="CV500" s="136"/>
      <c r="CW500" s="136"/>
      <c r="CX500" s="136"/>
      <c r="CY500" s="136"/>
      <c r="CZ500" s="136"/>
      <c r="DA500" s="136"/>
      <c r="DB500" s="136"/>
      <c r="DC500" s="136"/>
      <c r="DD500" s="136"/>
      <c r="DE500" s="136"/>
      <c r="DF500" s="136"/>
      <c r="DG500" s="136"/>
      <c r="DH500" s="136"/>
      <c r="DI500" s="136"/>
      <c r="DJ500" s="136"/>
      <c r="DK500" s="136"/>
      <c r="DL500" s="136"/>
      <c r="DM500" s="136"/>
      <c r="DN500" s="136"/>
      <c r="DO500" s="136"/>
      <c r="DP500" s="136"/>
      <c r="DQ500" s="136"/>
      <c r="DR500" s="136"/>
      <c r="DS500" s="136"/>
      <c r="DT500" s="136"/>
      <c r="DU500" s="136"/>
      <c r="DV500" s="136"/>
      <c r="DW500" s="136"/>
      <c r="DX500" s="136"/>
      <c r="DY500" s="136"/>
      <c r="DZ500" s="136"/>
      <c r="EA500" s="136"/>
      <c r="EB500" s="136"/>
      <c r="EC500" s="136"/>
      <c r="ED500" s="136"/>
      <c r="EE500" s="136"/>
      <c r="EF500" s="136"/>
      <c r="EG500" s="136"/>
      <c r="EH500" s="136"/>
      <c r="EI500" s="136"/>
      <c r="EJ500" s="136"/>
      <c r="EK500" s="136"/>
      <c r="EL500" s="136"/>
      <c r="EM500" s="136"/>
      <c r="EN500" s="136"/>
      <c r="EO500" s="136"/>
      <c r="EP500" s="136"/>
      <c r="EQ500" s="136"/>
      <c r="ER500" s="136"/>
      <c r="ES500" s="136"/>
      <c r="ET500" s="136"/>
      <c r="EU500" s="136"/>
      <c r="EV500" s="136"/>
      <c r="EW500" s="136"/>
      <c r="EX500" s="136"/>
      <c r="EY500" s="136"/>
      <c r="EZ500" s="136"/>
      <c r="FA500" s="136"/>
      <c r="FB500" s="136"/>
      <c r="FC500" s="136"/>
      <c r="FD500" s="136"/>
      <c r="FE500" s="136"/>
      <c r="FF500" s="136"/>
      <c r="FG500" s="136"/>
      <c r="FH500" s="137"/>
      <c r="FI500" s="138"/>
      <c r="FJ500" s="138"/>
      <c r="FK500" s="138"/>
      <c r="FL500" s="138"/>
      <c r="FM500" s="138"/>
      <c r="FN500" s="138"/>
      <c r="FO500" s="138"/>
      <c r="FP500" s="138"/>
    </row>
  </sheetData>
  <sheetProtection insertRows="0" selectLockedCells="1" autoFilter="0"/>
  <phoneticPr fontId="7" type="noConversion"/>
  <dataValidations count="1">
    <dataValidation operator="greaterThan" allowBlank="1" showInputMessage="1" showErrorMessage="1" errorTitle="Not a valid entry" error="Only dates are excepted: refer to the start/end of a Month, Quarter or Semester.  Format: day-month-year (30/02/2020)" sqref="N1:N6 N501:N1048576" xr:uid="{ABCF522F-C075-4917-8CDA-5825E02C2D1C}"/>
  </dataValidations>
  <pageMargins left="0.70866141732283472" right="0.51181102362204722" top="0.94488188976377963" bottom="0.59055118110236227" header="0.31496062992125984" footer="0.27559055118110237"/>
  <pageSetup paperSize="9" orientation="landscape" r:id="rId1"/>
  <headerFooter scaleWithDoc="0">
    <oddHeader xml:space="preserve">&amp;L&amp;9 </oddHeader>
  </headerFooter>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A7CC-FB2D-440B-BD3D-564D8472F461}">
  <sheetPr>
    <outlinePr summaryBelow="0" summaryRight="0"/>
  </sheetPr>
  <dimension ref="A1:EI400"/>
  <sheetViews>
    <sheetView zoomScale="80" zoomScaleNormal="80" zoomScalePageLayoutView="85" workbookViewId="0">
      <pane xSplit="3" ySplit="6" topLeftCell="D203" activePane="bottomRight" state="frozen"/>
      <selection activeCell="D404" sqref="D404"/>
      <selection pane="topRight" activeCell="D404" sqref="D404"/>
      <selection pane="bottomLeft" activeCell="D404" sqref="D404"/>
      <selection pane="bottomRight" activeCell="D213" sqref="D213"/>
    </sheetView>
  </sheetViews>
  <sheetFormatPr baseColWidth="10" defaultColWidth="9" defaultRowHeight="14.25" outlineLevelCol="2" x14ac:dyDescent="0.2"/>
  <cols>
    <col min="1" max="1" customWidth="true" style="6" width="2.375" collapsed="false"/>
    <col min="2" max="2" customWidth="true" style="6" width="19.5" collapsed="false"/>
    <col min="3" max="3" customWidth="true" style="7" width="31.875" collapsed="false"/>
    <col min="4" max="4" customWidth="true" style="6" width="18.0" collapsed="false"/>
    <col min="5" max="5" bestFit="true" customWidth="true" style="6" width="10.875" collapsed="false"/>
    <col min="6" max="7" customWidth="true" style="6" width="6.125" outlineLevel="1" collapsed="false"/>
    <col min="8" max="8" customWidth="true" style="7" width="6.625" outlineLevel="1" collapsed="false"/>
    <col min="9" max="9" customWidth="true" style="7" width="8.625" outlineLevel="1" collapsed="false"/>
    <col min="10" max="10" customWidth="true" style="7" width="7.125" outlineLevel="1" collapsed="false"/>
    <col min="11" max="11" customWidth="true" style="7" width="6.125" outlineLevel="1" collapsed="false"/>
    <col min="12" max="12" customWidth="true" style="6" width="6.375" outlineLevel="1" collapsed="false"/>
    <col min="13" max="13" customWidth="true" style="6" width="6.125" outlineLevel="1" collapsed="false"/>
    <col min="14" max="14" customWidth="true" style="6" width="10.125" outlineLevel="1" collapsed="false"/>
    <col min="15" max="15" customWidth="true" style="6" width="7.625" outlineLevel="1" collapsed="false"/>
    <col min="16" max="16" customWidth="true" style="6" width="8.625" outlineLevel="1" collapsed="false"/>
    <col min="17" max="18" customWidth="true" style="6" width="8.125" outlineLevel="1" collapsed="false"/>
    <col min="19" max="19" customWidth="true" style="6" width="8.375" outlineLevel="1" collapsed="false"/>
    <col min="20" max="20" customWidth="true" style="6" width="15.5" outlineLevel="1" collapsed="false"/>
    <col min="21" max="21" customWidth="true" style="6" width="6.125" outlineLevel="1" collapsed="false"/>
    <col min="22" max="22" customWidth="true" style="6" width="10.5" outlineLevel="1" collapsed="false"/>
    <col min="23" max="23" customWidth="true" style="6" width="7.125" outlineLevel="1" collapsed="false"/>
    <col min="24" max="24" customWidth="true" style="6" width="10.625" outlineLevel="1" collapsed="false"/>
    <col min="25" max="25" customWidth="true" style="6" width="6.125" outlineLevel="1" collapsed="false"/>
    <col min="26" max="26" customWidth="true" style="6" width="10.125" outlineLevel="1" collapsed="false"/>
    <col min="27" max="27" customWidth="true" style="6" width="8.625" outlineLevel="1" collapsed="false"/>
    <col min="28" max="28" customWidth="true" style="6" width="6.125" outlineLevel="1" collapsed="false"/>
    <col min="29" max="30" customWidth="true" style="6" width="7.125" outlineLevel="1" collapsed="false"/>
    <col min="31" max="31" customWidth="true" style="6" width="12.875" outlineLevel="1" collapsed="false"/>
    <col min="32" max="32" bestFit="true" customWidth="true" style="6" width="11.625" collapsed="true"/>
    <col min="33" max="36" customWidth="true" hidden="true" style="6" width="6.5" outlineLevel="1" collapsed="false"/>
    <col min="37" max="37" bestFit="true" customWidth="true" style="6" width="12.5" collapsed="true"/>
    <col min="38" max="48" customWidth="true" hidden="true" style="6" width="6.125" outlineLevel="1" collapsed="false"/>
    <col min="49" max="49" customWidth="true" style="6" width="18.125" collapsed="true"/>
    <col min="50" max="52" customWidth="true" hidden="true" style="6" width="6.125" outlineLevel="1" collapsed="false"/>
    <col min="53" max="53" bestFit="true" customWidth="true" style="6" width="17.0" collapsed="true"/>
    <col min="54" max="55" customWidth="true" hidden="true" style="6" width="6.875" outlineLevel="1" collapsed="false"/>
    <col min="56" max="56" bestFit="true" customWidth="true" style="6" width="10.875" collapsed="true"/>
    <col min="57" max="57" customWidth="true" hidden="true" style="6" width="10.875" outlineLevel="1" collapsed="false"/>
    <col min="58" max="58" customWidth="true" hidden="true" style="6" width="10.375" outlineLevel="1" collapsed="false"/>
    <col min="59" max="59" customWidth="true" hidden="true" style="6" width="11.5" outlineLevel="1" collapsed="false"/>
    <col min="60" max="60" bestFit="true" customWidth="true" style="6" width="10.875" collapsed="true"/>
    <col min="61" max="66" customWidth="true" hidden="true" style="6" width="6.625" outlineLevel="1" collapsed="false"/>
    <col min="67" max="67" customWidth="true" style="6" width="12.625" collapsed="true"/>
    <col min="68" max="71" customWidth="true" hidden="true" style="6" width="6.625" outlineLevel="1" collapsed="false"/>
    <col min="72" max="72" customWidth="true" hidden="true" style="6" width="7.0" outlineLevel="1" collapsed="false"/>
    <col min="73" max="73" customWidth="true" style="6" width="10.875" collapsed="false"/>
    <col min="74" max="76" customWidth="true" style="6" width="6.125" outlineLevel="1" collapsed="false"/>
    <col min="77" max="77" bestFit="true" customWidth="true" style="6" width="10.875" collapsed="false"/>
    <col min="78" max="82" customWidth="true" style="6" width="6.125" outlineLevel="1" collapsed="false"/>
    <col min="83" max="83" bestFit="true" customWidth="true" style="6" width="11.375" collapsed="true"/>
    <col min="84" max="85" customWidth="true" hidden="true" style="6" width="6.125" outlineLevel="1" collapsed="false"/>
    <col min="86" max="86" customWidth="true" hidden="true" style="6" width="7.0" outlineLevel="1" collapsed="false"/>
    <col min="87" max="87" bestFit="true" customWidth="true" style="6" width="10.875" collapsed="true"/>
    <col min="88" max="94" customWidth="true" hidden="true" style="6" width="6.375" outlineLevel="1" collapsed="false"/>
    <col min="95" max="95" bestFit="true" customWidth="true" style="6" width="15.625" collapsed="true"/>
    <col min="96" max="96" customWidth="true" hidden="true" style="6" width="9.125" outlineLevel="1" collapsed="false"/>
    <col min="97" max="98" customWidth="true" style="6" width="13.875" collapsed="false"/>
    <col min="99" max="99" bestFit="true" customWidth="true" style="6" width="13.875" collapsed="true"/>
    <col min="100" max="100" customWidth="true" hidden="true" style="6" width="9.125" outlineLevel="1" collapsed="false"/>
    <col min="101" max="104" customWidth="true" hidden="true" style="6" width="5.625" outlineLevel="1" collapsed="false"/>
    <col min="105" max="105" customWidth="true" hidden="true" style="6" width="7.0" collapsed="true" outlineLevel="1"/>
    <col min="106" max="106" customWidth="true" hidden="true" style="6" width="9.125" outlineLevel="2" collapsed="false"/>
    <col min="107" max="108" customWidth="true" hidden="true" style="6" width="9.625" outlineLevel="2" collapsed="false"/>
    <col min="109" max="111" customWidth="true" hidden="true" style="6" width="9.125" outlineLevel="2" collapsed="false"/>
    <col min="112" max="112" bestFit="true" customWidth="true" style="6" width="15.0" collapsed="true"/>
    <col min="113" max="113" customWidth="true" hidden="true" style="6" width="9.125" outlineLevel="1" collapsed="false"/>
    <col min="114" max="114" bestFit="true" customWidth="true" style="6" width="13.0" collapsed="true"/>
    <col min="115" max="115" customWidth="true" hidden="true" style="6" width="9.125" outlineLevel="1" collapsed="false"/>
    <col min="116" max="116" bestFit="true" customWidth="true" style="6" width="13.0" collapsed="true"/>
    <col min="117" max="117" customWidth="true" hidden="true" style="6" width="8.875" outlineLevel="1" collapsed="false"/>
    <col min="118" max="118" customWidth="true" style="6" width="10.625" collapsed="true"/>
    <col min="119" max="119" customWidth="true" hidden="true" style="6" width="10.625" outlineLevel="2" collapsed="false"/>
    <col min="120" max="120" bestFit="true" customWidth="true" style="6" width="9.125" collapsed="true"/>
    <col min="121" max="121" customWidth="true" hidden="true" style="6" width="18.625" outlineLevel="1" collapsed="false"/>
    <col min="122" max="122" customWidth="true" hidden="true" style="6" width="11.0" outlineLevel="1" collapsed="false"/>
    <col min="123" max="123" customWidth="true" hidden="true" style="6" width="10.625" outlineLevel="1" collapsed="false"/>
    <col min="124" max="130" customWidth="true" hidden="true" style="6" width="9.0" outlineLevel="1" collapsed="false"/>
    <col min="131" max="131" bestFit="true" customWidth="true" style="6" width="8.625" collapsed="true"/>
    <col min="132" max="132" customWidth="true" hidden="true" style="6" width="6.875" outlineLevel="1" collapsed="false"/>
    <col min="133" max="133" customWidth="true" hidden="true" style="6" width="31.125" outlineLevel="1" collapsed="false"/>
    <col min="134" max="134" bestFit="true" customWidth="true" width="14.125" collapsed="false"/>
    <col min="135" max="135" bestFit="true" customWidth="true" width="22.0" collapsed="false"/>
    <col min="136" max="136" customWidth="true" style="6" width="10.625" collapsed="false"/>
    <col min="137" max="137" customWidth="true" style="6" width="28.0" collapsed="false"/>
    <col min="138" max="138" style="6" width="9.0" collapsed="false"/>
    <col min="139" max="139" customWidth="true" style="6" width="14.625" collapsed="false"/>
    <col min="140" max="16384" style="6" width="9.0" collapsed="false"/>
  </cols>
  <sheetData>
    <row r="1" spans="1:139" s="18" customFormat="1" ht="33.75" x14ac:dyDescent="0.2">
      <c r="B1"/>
      <c r="C1" s="17" t="s">
        <v>98</v>
      </c>
      <c r="E1" s="20" t="s">
        <v>103</v>
      </c>
      <c r="F1" s="77" t="s">
        <v>104</v>
      </c>
      <c r="G1" s="77" t="s">
        <v>105</v>
      </c>
      <c r="H1" s="77" t="s">
        <v>106</v>
      </c>
      <c r="I1" s="77" t="s">
        <v>107</v>
      </c>
      <c r="K1" s="77" t="s">
        <v>108</v>
      </c>
      <c r="M1" s="77" t="s">
        <v>109</v>
      </c>
      <c r="N1" s="77" t="s">
        <v>110</v>
      </c>
      <c r="O1" s="77" t="s">
        <v>111</v>
      </c>
      <c r="R1" s="77" t="s">
        <v>112</v>
      </c>
      <c r="T1" s="77" t="s">
        <v>113</v>
      </c>
      <c r="U1" s="77" t="s">
        <v>114</v>
      </c>
      <c r="V1" s="77" t="s">
        <v>115</v>
      </c>
      <c r="W1" s="77" t="s">
        <v>116</v>
      </c>
      <c r="X1" s="77" t="s">
        <v>117</v>
      </c>
      <c r="Y1" s="77" t="s">
        <v>118</v>
      </c>
      <c r="Z1" s="77" t="s">
        <v>119</v>
      </c>
      <c r="AA1" s="77" t="s">
        <v>120</v>
      </c>
      <c r="AB1" s="77" t="s">
        <v>121</v>
      </c>
      <c r="AC1" s="77" t="s">
        <v>122</v>
      </c>
      <c r="AD1" s="77" t="s">
        <v>123</v>
      </c>
      <c r="AF1" s="20" t="s">
        <v>103</v>
      </c>
      <c r="AG1" s="77" t="s">
        <v>124</v>
      </c>
      <c r="AK1" s="20" t="s">
        <v>103</v>
      </c>
      <c r="AL1" s="77" t="s">
        <v>125</v>
      </c>
      <c r="AW1" s="20" t="s">
        <v>103</v>
      </c>
      <c r="BA1" s="20" t="s">
        <v>103</v>
      </c>
      <c r="BB1" s="20"/>
      <c r="BC1" s="20"/>
      <c r="BD1" s="20" t="s">
        <v>103</v>
      </c>
      <c r="BE1" s="86" t="s">
        <v>126</v>
      </c>
      <c r="BF1" s="20"/>
      <c r="BG1" s="20"/>
      <c r="BH1" s="20" t="s">
        <v>103</v>
      </c>
      <c r="BI1" s="20"/>
      <c r="BK1" s="20"/>
      <c r="BL1" s="20"/>
      <c r="BM1" s="20"/>
      <c r="BN1" s="20"/>
      <c r="BO1" s="20" t="s">
        <v>103</v>
      </c>
      <c r="BP1" s="20"/>
      <c r="BQ1" s="20"/>
      <c r="BR1" s="20"/>
      <c r="BS1" s="20"/>
      <c r="BU1" s="20" t="s">
        <v>103</v>
      </c>
      <c r="BV1" s="77" t="s">
        <v>130</v>
      </c>
      <c r="BW1" s="20"/>
      <c r="BX1" s="20"/>
      <c r="BY1" s="20" t="s">
        <v>103</v>
      </c>
      <c r="BZ1" s="77" t="s">
        <v>131</v>
      </c>
      <c r="CE1" s="20" t="s">
        <v>103</v>
      </c>
      <c r="CI1" s="20" t="s">
        <v>103</v>
      </c>
      <c r="CQ1" s="20" t="s">
        <v>103</v>
      </c>
      <c r="CR1" s="77" t="s">
        <v>132</v>
      </c>
      <c r="CS1" s="20"/>
      <c r="CT1" s="20"/>
      <c r="CU1" s="20" t="s">
        <v>103</v>
      </c>
      <c r="CV1" s="77" t="s">
        <v>133</v>
      </c>
      <c r="DA1" s="77" t="s">
        <v>134</v>
      </c>
      <c r="DH1" s="20" t="s">
        <v>103</v>
      </c>
      <c r="DJ1" s="20" t="s">
        <v>103</v>
      </c>
      <c r="DL1" s="20" t="s">
        <v>103</v>
      </c>
      <c r="DN1" s="20" t="s">
        <v>135</v>
      </c>
      <c r="DO1" s="20"/>
      <c r="DP1" s="20" t="s">
        <v>103</v>
      </c>
      <c r="DZ1" s="86" t="s">
        <v>136</v>
      </c>
      <c r="EA1" s="20" t="s">
        <v>137</v>
      </c>
      <c r="ED1" s="20" t="s">
        <v>135</v>
      </c>
      <c r="EF1" s="20" t="s">
        <v>135</v>
      </c>
    </row>
    <row r="2" spans="1:139" s="18" customFormat="1" x14ac:dyDescent="0.2">
      <c r="A2"/>
      <c r="B2"/>
      <c r="C2" s="61"/>
      <c r="E2" s="61" t="s">
        <v>140</v>
      </c>
      <c r="F2" s="62">
        <f>IF(LEFT(E6,3)="fin",IFERROR(SUMPRODUCT($CW$2:$DA$2,$CW$5:$DA$5)/SUM($CW$5:$DA$5),1),IFERROR(INDEX(tRates[[k€]:[k€]],MATCH(F6,tRates[[Key (lookup)]:[Key (lookup)]],0)),"no rate"))</f>
        <v>0.51300000000000001</v>
      </c>
      <c r="G2" s="62">
        <f>IF(LEFT(F6,3)="fin",IFERROR(SUMPRODUCT($CW$2:$DA$2,$CW$5:$DA$5)/SUM($CW$5:$DA$5),1),IFERROR(INDEX(tRates[[k€]:[k€]],MATCH(G6,tRates[[Key (lookup)]:[Key (lookup)]],0)),"no rate"))</f>
        <v>0.51300000000000001</v>
      </c>
      <c r="H2" s="62">
        <f>IF(LEFT(G6,3)="fin",IFERROR(SUMPRODUCT($CW$2:$DA$2,$CW$5:$DA$5)/SUM($CW$5:$DA$5),1),IFERROR(INDEX(tRates[[k€]:[k€]],MATCH(H6,tRates[[Key (lookup)]:[Key (lookup)]],0)),"no rate"))</f>
        <v>0.48299999999999998</v>
      </c>
      <c r="I2" s="62">
        <f>IF(LEFT(H6,3)="fin",IFERROR(SUMPRODUCT($CW$2:$DA$2,$CW$5:$DA$5)/SUM($CW$5:$DA$5),1),IFERROR(INDEX(tRates[[k€]:[k€]],MATCH(I6,tRates[[Key (lookup)]:[Key (lookup)]],0)),"no rate"))</f>
        <v>1</v>
      </c>
      <c r="J2" s="62">
        <f>IF(LEFT(I6,3)="fin",IFERROR(SUMPRODUCT($CW$2:$DA$2,$CW$5:$DA$5)/SUM($CW$5:$DA$5),1),IFERROR(INDEX(tRates[[k€]:[k€]],MATCH(J6,tRates[[Key (lookup)]:[Key (lookup)]],0)),"no rate"))</f>
        <v>0.20599999999999999</v>
      </c>
      <c r="K2" s="62">
        <f>IF(LEFT(J6,3)="fin",IFERROR(SUMPRODUCT($CW$2:$DA$2,$CW$5:$DA$5)/SUM($CW$5:$DA$5),1),IFERROR(INDEX(tRates[[k€]:[k€]],MATCH(K6,tRates[[Key (lookup)]:[Key (lookup)]],0)),"no rate"))</f>
        <v>0.51300000000000001</v>
      </c>
      <c r="L2" s="62">
        <f>IF(LEFT(K6,3)="fin",IFERROR(SUMPRODUCT($CW$2:$DA$2,$CW$5:$DA$5)/SUM($CW$5:$DA$5),1),IFERROR(INDEX(tRates[[k€]:[k€]],MATCH(L6,tRates[[Key (lookup)]:[Key (lookup)]],0)),"no rate"))</f>
        <v>0.48699999999999999</v>
      </c>
      <c r="M2" s="62">
        <f>IF(LEFT(L6,3)="fin",IFERROR(SUMPRODUCT($CW$2:$DA$2,$CW$5:$DA$5)/SUM($CW$5:$DA$5),1),IFERROR(INDEX(tRates[[k€]:[k€]],MATCH(M6,tRates[[Key (lookup)]:[Key (lookup)]],0)),"no rate"))</f>
        <v>0.48699999999999999</v>
      </c>
      <c r="N2" s="62">
        <f>IF(LEFT(M6,3)="fin",IFERROR(SUMPRODUCT($CW$2:$DA$2,$CW$5:$DA$5)/SUM($CW$5:$DA$5),1),IFERROR(INDEX(tRates[[k€]:[k€]],MATCH(N6,tRates[[Key (lookup)]:[Key (lookup)]],0)),"no rate"))</f>
        <v>0.51300000000000001</v>
      </c>
      <c r="O2" s="62">
        <f>IF(LEFT(N6,3)="fin",IFERROR(SUMPRODUCT($CW$2:$DA$2,$CW$5:$DA$5)/SUM($CW$5:$DA$5),1),IFERROR(INDEX(tRates[[k€]:[k€]],MATCH(O6,tRates[[Key (lookup)]:[Key (lookup)]],0)),"no rate"))</f>
        <v>0.49199999999999999</v>
      </c>
      <c r="P2" s="62">
        <f>IF(LEFT(O6,3)="fin",IFERROR(SUMPRODUCT($CW$2:$DA$2,$CW$5:$DA$5)/SUM($CW$5:$DA$5),1),IFERROR(INDEX(tRates[[k€]:[k€]],MATCH(P6,tRates[[Key (lookup)]:[Key (lookup)]],0)),"no rate"))</f>
        <v>0.57399999999999995</v>
      </c>
      <c r="Q2" s="62">
        <f>IF(LEFT(P6,3)="fin",IFERROR(SUMPRODUCT($CW$2:$DA$2,$CW$5:$DA$5)/SUM($CW$5:$DA$5),1),IFERROR(INDEX(tRates[[k€]:[k€]],MATCH(Q6,tRates[[Key (lookup)]:[Key (lookup)]],0)),"no rate"))</f>
        <v>0.51300000000000001</v>
      </c>
      <c r="R2" s="62">
        <f>IF(LEFT(Q6,3)="fin",IFERROR(SUMPRODUCT($CW$2:$DA$2,$CW$5:$DA$5)/SUM($CW$5:$DA$5),1),IFERROR(INDEX(tRates[[k€]:[k€]],MATCH(R6,tRates[[Key (lookup)]:[Key (lookup)]],0)),"no rate"))</f>
        <v>0.51300000000000001</v>
      </c>
      <c r="S2" s="62">
        <f>IF(LEFT(R6,3)="fin",IFERROR(SUMPRODUCT($CW$2:$DA$2,$CW$5:$DA$5)/SUM($CW$5:$DA$5),1),IFERROR(INDEX(tRates[[k€]:[k€]],MATCH(S6,tRates[[Key (lookup)]:[Key (lookup)]],0)),"no rate"))</f>
        <v>0.51300000000000001</v>
      </c>
      <c r="T2" s="62">
        <f>IF(LEFT(S6,3)="fin",IFERROR(SUMPRODUCT($CW$2:$DA$2,$CW$5:$DA$5)/SUM($CW$5:$DA$5),1),IFERROR(INDEX(tRates[[k€]:[k€]],MATCH(T6,tRates[[Key (lookup)]:[Key (lookup)]],0)),"no rate"))</f>
        <v>0.51300000000000001</v>
      </c>
      <c r="U2" s="62">
        <f>IF(LEFT(T6,3)="fin",IFERROR(SUMPRODUCT($CW$2:$DA$2,$CW$5:$DA$5)/SUM($CW$5:$DA$5),1),IFERROR(INDEX(tRates[[k€]:[k€]],MATCH(U6,tRates[[Key (lookup)]:[Key (lookup)]],0)),"no rate"))</f>
        <v>0.51300000000000001</v>
      </c>
      <c r="V2" s="62">
        <f>IF(LEFT(U6,3)="fin",IFERROR(SUMPRODUCT($CW$2:$DA$2,$CW$5:$DA$5)/SUM($CW$5:$DA$5),1),IFERROR(INDEX(tRates[[k€]:[k€]],MATCH(V6,tRates[[Key (lookup)]:[Key (lookup)]],0)),"no rate"))</f>
        <v>0.51300000000000001</v>
      </c>
      <c r="W2" s="62">
        <f>IF(LEFT(V6,3)="fin",IFERROR(SUMPRODUCT($CW$2:$DA$2,$CW$5:$DA$5)/SUM($CW$5:$DA$5),1),IFERROR(INDEX(tRates[[k€]:[k€]],MATCH(W6,tRates[[Key (lookup)]:[Key (lookup)]],0)),"no rate"))</f>
        <v>0.51300000000000001</v>
      </c>
      <c r="X2" s="62">
        <f>IF(LEFT(W6,3)="fin",IFERROR(SUMPRODUCT($CW$2:$DA$2,$CW$5:$DA$5)/SUM($CW$5:$DA$5),1),IFERROR(INDEX(tRates[[k€]:[k€]],MATCH(X6,tRates[[Key (lookup)]:[Key (lookup)]],0)),"no rate"))</f>
        <v>0.51300000000000001</v>
      </c>
      <c r="Y2" s="62">
        <f>IF(LEFT(X6,3)="fin",IFERROR(SUMPRODUCT($CW$2:$DA$2,$CW$5:$DA$5)/SUM($CW$5:$DA$5),1),IFERROR(INDEX(tRates[[k€]:[k€]],MATCH(Y6,tRates[[Key (lookup)]:[Key (lookup)]],0)),"no rate"))</f>
        <v>0.51300000000000001</v>
      </c>
      <c r="Z2" s="62">
        <f>IF(LEFT(Y6,3)="fin",IFERROR(SUMPRODUCT($CW$2:$DA$2,$CW$5:$DA$5)/SUM($CW$5:$DA$5),1),IFERROR(INDEX(tRates[[k€]:[k€]],MATCH(Z6,tRates[[Key (lookup)]:[Key (lookup)]],0)),"no rate"))</f>
        <v>0.51300000000000001</v>
      </c>
      <c r="AA2" s="62">
        <f>IF(LEFT(Z6,3)="fin",IFERROR(SUMPRODUCT($CW$2:$DA$2,$CW$5:$DA$5)/SUM($CW$5:$DA$5),1),IFERROR(INDEX(tRates[[k€]:[k€]],MATCH(AA6,tRates[[Key (lookup)]:[Key (lookup)]],0)),"no rate"))</f>
        <v>0.51300000000000001</v>
      </c>
      <c r="AB2" s="62">
        <f>IF(LEFT(AA6,3)="fin",IFERROR(SUMPRODUCT($CW$2:$DA$2,$CW$5:$DA$5)/SUM($CW$5:$DA$5),1),IFERROR(INDEX(tRates[[k€]:[k€]],MATCH(AB6,tRates[[Key (lookup)]:[Key (lookup)]],0)),"no rate"))</f>
        <v>0.51300000000000001</v>
      </c>
      <c r="AC2" s="62">
        <f>IF(LEFT(AB6,3)="fin",IFERROR(SUMPRODUCT($CW$2:$DA$2,$CW$5:$DA$5)/SUM($CW$5:$DA$5),1),IFERROR(INDEX(tRates[[k€]:[k€]],MATCH(AC6,tRates[[Key (lookup)]:[Key (lookup)]],0)),"no rate"))</f>
        <v>0.51300000000000001</v>
      </c>
      <c r="AD2" s="62">
        <f>IF(LEFT(AC6,3)="fin",IFERROR(SUMPRODUCT($CW$2:$DA$2,$CW$5:$DA$5)/SUM($CW$5:$DA$5),1),IFERROR(INDEX(tRates[[k€]:[k€]],MATCH(AD6,tRates[[Key (lookup)]:[Key (lookup)]],0)),"no rate"))</f>
        <v>0.49199999999999999</v>
      </c>
      <c r="AE2" s="62">
        <f>IF(LEFT(AD6,3)="fin",IFERROR(SUMPRODUCT($CW$2:$DA$2,$CW$5:$DA$5)/SUM($CW$5:$DA$5),1),IFERROR(INDEX(tRates[[k€]:[k€]],MATCH(AE6,tRates[[Key (lookup)]:[Key (lookup)]],0)),"no rate"))</f>
        <v>0.51300000000000001</v>
      </c>
      <c r="AF2" s="62" t="str">
        <f>IF(LEFT(AE6,3)="fin",IFERROR(SUMPRODUCT($CW$2:$DA$2,$CW$5:$DA$5)/SUM($CW$5:$DA$5),1),IFERROR(INDEX(tRates[[k€]:[k€]],MATCH(AF6,tRates[[Key (lookup)]:[Key (lookup)]],0)),"no rate"))</f>
        <v>na</v>
      </c>
      <c r="AG2" s="62">
        <f>IF(LEFT(AF6,3)="fin",IFERROR(SUMPRODUCT($CW$2:$DA$2,$CW$5:$DA$5)/SUM($CW$5:$DA$5),1),IFERROR(INDEX(tRates[[k€]:[k€]],MATCH(AG6,tRates[[Key (lookup)]:[Key (lookup)]],0)),"no rate"))</f>
        <v>0.6</v>
      </c>
      <c r="AH2" s="62">
        <f>IF(LEFT(AG6,3)="fin",IFERROR(SUMPRODUCT($CW$2:$DA$2,$CW$5:$DA$5)/SUM($CW$5:$DA$5),1),IFERROR(INDEX(tRates[[k€]:[k€]],MATCH(AH6,tRates[[Key (lookup)]:[Key (lookup)]],0)),"no rate"))</f>
        <v>0.48699999999999999</v>
      </c>
      <c r="AI2" s="62">
        <f>IF(LEFT(AH6,3)="fin",IFERROR(SUMPRODUCT($CW$2:$DA$2,$CW$5:$DA$5)/SUM($CW$5:$DA$5),1),IFERROR(INDEX(tRates[[k€]:[k€]],MATCH(AI6,tRates[[Key (lookup)]:[Key (lookup)]],0)),"no rate"))</f>
        <v>1</v>
      </c>
      <c r="AJ2" s="62">
        <f>IF(LEFT(AI6,3)="fin",IFERROR(SUMPRODUCT($CW$2:$DA$2,$CW$5:$DA$5)/SUM($CW$5:$DA$5),1),IFERROR(INDEX(tRates[[k€]:[k€]],MATCH(AJ6,tRates[[Key (lookup)]:[Key (lookup)]],0)),"no rate"))</f>
        <v>0.51300000000000001</v>
      </c>
      <c r="AK2" s="62" t="str">
        <f>IF(LEFT(AJ6,3)="fin",IFERROR(SUMPRODUCT($CW$2:$DA$2,$CW$5:$DA$5)/SUM($CW$5:$DA$5),1),IFERROR(INDEX(tRates[[k€]:[k€]],MATCH(AK6,tRates[[Key (lookup)]:[Key (lookup)]],0)),"no rate"))</f>
        <v>na</v>
      </c>
      <c r="AL2" s="62">
        <f>IF(LEFT(AK6,3)="fin",IFERROR(SUMPRODUCT($CW$2:$DA$2,$CW$5:$DA$5)/SUM($CW$5:$DA$5),1),IFERROR(INDEX(tRates[[k€]:[k€]],MATCH(AL6,tRates[[Key (lookup)]:[Key (lookup)]],0)),"no rate"))</f>
        <v>0.6</v>
      </c>
      <c r="AM2" s="62">
        <f>IF(LEFT(AL6,3)="fin",IFERROR(SUMPRODUCT($CW$2:$DA$2,$CW$5:$DA$5)/SUM($CW$5:$DA$5),1),IFERROR(INDEX(tRates[[k€]:[k€]],MATCH(AM6,tRates[[Key (lookup)]:[Key (lookup)]],0)),"no rate"))</f>
        <v>0.48699999999999999</v>
      </c>
      <c r="AN2" s="62">
        <f>IF(LEFT(AM6,3)="fin",IFERROR(SUMPRODUCT($CW$2:$DA$2,$CW$5:$DA$5)/SUM($CW$5:$DA$5),1),IFERROR(INDEX(tRates[[k€]:[k€]],MATCH(AN6,tRates[[Key (lookup)]:[Key (lookup)]],0)),"no rate"))</f>
        <v>0.51300000000000001</v>
      </c>
      <c r="AO2" s="62">
        <f>IF(LEFT(AN6,3)="fin",IFERROR(SUMPRODUCT($CW$2:$DA$2,$CW$5:$DA$5)/SUM($CW$5:$DA$5),1),IFERROR(INDEX(tRates[[k€]:[k€]],MATCH(AO6,tRates[[Key (lookup)]:[Key (lookup)]],0)),"no rate"))</f>
        <v>0.57399999999999995</v>
      </c>
      <c r="AP2" s="62">
        <f>IF(LEFT(AO6,3)="fin",IFERROR(SUMPRODUCT($CW$2:$DA$2,$CW$5:$DA$5)/SUM($CW$5:$DA$5),1),IFERROR(INDEX(tRates[[k€]:[k€]],MATCH(AP6,tRates[[Key (lookup)]:[Key (lookup)]],0)),"no rate"))</f>
        <v>1</v>
      </c>
      <c r="AQ2" s="62">
        <f>IF(LEFT(AP6,3)="fin",IFERROR(SUMPRODUCT($CW$2:$DA$2,$CW$5:$DA$5)/SUM($CW$5:$DA$5),1),IFERROR(INDEX(tRates[[k€]:[k€]],MATCH(AQ6,tRates[[Key (lookup)]:[Key (lookup)]],0)),"no rate"))</f>
        <v>0.48699999999999999</v>
      </c>
      <c r="AR2" s="62">
        <f>IF(LEFT(AQ6,3)="fin",IFERROR(SUMPRODUCT($CW$2:$DA$2,$CW$5:$DA$5)/SUM($CW$5:$DA$5),1),IFERROR(INDEX(tRates[[k€]:[k€]],MATCH(AR6,tRates[[Key (lookup)]:[Key (lookup)]],0)),"no rate"))</f>
        <v>0.49199999999999999</v>
      </c>
      <c r="AS2" s="62">
        <f>IF(LEFT(AR6,3)="fin",IFERROR(SUMPRODUCT($CW$2:$DA$2,$CW$5:$DA$5)/SUM($CW$5:$DA$5),1),IFERROR(INDEX(tRates[[k€]:[k€]],MATCH(AS6,tRates[[Key (lookup)]:[Key (lookup)]],0)),"no rate"))</f>
        <v>0.49199999999999999</v>
      </c>
      <c r="AT2" s="62">
        <f>IF(LEFT(AS6,3)="fin",IFERROR(SUMPRODUCT($CW$2:$DA$2,$CW$5:$DA$5)/SUM($CW$5:$DA$5),1),IFERROR(INDEX(tRates[[k€]:[k€]],MATCH(AT6,tRates[[Key (lookup)]:[Key (lookup)]],0)),"no rate"))</f>
        <v>0.20599999999999999</v>
      </c>
      <c r="AU2" s="62">
        <f>IF(LEFT(AT6,3)="fin",IFERROR(SUMPRODUCT($CW$2:$DA$2,$CW$5:$DA$5)/SUM($CW$5:$DA$5),1),IFERROR(INDEX(tRates[[k€]:[k€]],MATCH(AU6,tRates[[Key (lookup)]:[Key (lookup)]],0)),"no rate"))</f>
        <v>0.51300000000000001</v>
      </c>
      <c r="AV2" s="62">
        <f>IF(LEFT(AU6,3)="fin",IFERROR(SUMPRODUCT($CW$2:$DA$2,$CW$5:$DA$5)/SUM($CW$5:$DA$5),1),IFERROR(INDEX(tRates[[k€]:[k€]],MATCH(AV6,tRates[[Key (lookup)]:[Key (lookup)]],0)),"no rate"))</f>
        <v>0.51300000000000001</v>
      </c>
      <c r="AW2" s="62" t="str">
        <f>IF(LEFT(AV6,3)="fin",IFERROR(SUMPRODUCT($CW$2:$DA$2,$CW$5:$DA$5)/SUM($CW$5:$DA$5),1),IFERROR(INDEX(tRates[[k€]:[k€]],MATCH(AW6,tRates[[Key (lookup)]:[Key (lookup)]],0)),"no rate"))</f>
        <v>na</v>
      </c>
      <c r="AX2" s="62">
        <f>IF(LEFT(AW6,3)="fin",IFERROR(SUMPRODUCT($CW$2:$DA$2,$CW$5:$DA$5)/SUM($CW$5:$DA$5),1),IFERROR(INDEX(tRates[[k€]:[k€]],MATCH(AX6,tRates[[Key (lookup)]:[Key (lookup)]],0)),"no rate"))</f>
        <v>0.6</v>
      </c>
      <c r="AY2" s="62">
        <f>IF(LEFT(AX6,3)="fin",IFERROR(SUMPRODUCT($CW$2:$DA$2,$CW$5:$DA$5)/SUM($CW$5:$DA$5),1),IFERROR(INDEX(tRates[[k€]:[k€]],MATCH(AY6,tRates[[Key (lookup)]:[Key (lookup)]],0)),"no rate"))</f>
        <v>0.48699999999999999</v>
      </c>
      <c r="AZ2" s="62">
        <f>IF(LEFT(AY6,3)="fin",IFERROR(SUMPRODUCT($CW$2:$DA$2,$CW$5:$DA$5)/SUM($CW$5:$DA$5),1),IFERROR(INDEX(tRates[[k€]:[k€]],MATCH(AZ6,tRates[[Key (lookup)]:[Key (lookup)]],0)),"no rate"))</f>
        <v>1</v>
      </c>
      <c r="BA2" s="62" t="str">
        <f>IF(LEFT(AZ6,3)="fin",IFERROR(SUMPRODUCT($CW$2:$DA$2,$CW$5:$DA$5)/SUM($CW$5:$DA$5),1),IFERROR(INDEX(tRates[[k€]:[k€]],MATCH(BA6,tRates[[Key (lookup)]:[Key (lookup)]],0)),"no rate"))</f>
        <v>na</v>
      </c>
      <c r="BB2" s="62">
        <f>IF(LEFT(BA6,3)="fin",IFERROR(SUMPRODUCT($CW$2:$DA$2,$CW$5:$DA$5)/SUM($CW$5:$DA$5),1),IFERROR(INDEX(tRates[[k€]:[k€]],MATCH(BB6,tRates[[Key (lookup)]:[Key (lookup)]],0)),"no rate"))</f>
        <v>1</v>
      </c>
      <c r="BC2" s="62">
        <f>IF(LEFT(BB6,3)="fin",IFERROR(SUMPRODUCT($CW$2:$DA$2,$CW$5:$DA$5)/SUM($CW$5:$DA$5),1),IFERROR(INDEX(tRates[[k€]:[k€]],MATCH(BC6,tRates[[Key (lookup)]:[Key (lookup)]],0)),"no rate"))</f>
        <v>0.48699999999999999</v>
      </c>
      <c r="BD2" s="62" t="str">
        <f>IF(LEFT(BC6,3)="fin",IFERROR(SUMPRODUCT($CW$2:$DA$2,$CW$5:$DA$5)/SUM($CW$5:$DA$5),1),IFERROR(INDEX(tRates[[k€]:[k€]],MATCH(BD6,tRates[[Key (lookup)]:[Key (lookup)]],0)),"no rate"))</f>
        <v>na</v>
      </c>
      <c r="BE2" s="62">
        <f>IF(LEFT(BD6,3)="fin",IFERROR(SUMPRODUCT($CW$2:$DA$2,$CW$5:$DA$5)/SUM($CW$5:$DA$5),1),IFERROR(INDEX(tRates[[k€]:[k€]],MATCH(BE6,tRates[[Key (lookup)]:[Key (lookup)]],0)),"no rate"))</f>
        <v>0.48699999999999999</v>
      </c>
      <c r="BF2" s="62">
        <f>IF(LEFT(BE6,3)="fin",IFERROR(SUMPRODUCT($CW$2:$DA$2,$CW$5:$DA$5)/SUM($CW$5:$DA$5),1),IFERROR(INDEX(tRates[[k€]:[k€]],MATCH(BF6,tRates[[Key (lookup)]:[Key (lookup)]],0)),"no rate"))</f>
        <v>0.48699999999999999</v>
      </c>
      <c r="BG2" s="62">
        <f>IF(LEFT(BF6,3)="fin",IFERROR(SUMPRODUCT($CW$2:$DA$2,$CW$5:$DA$5)/SUM($CW$5:$DA$5),1),IFERROR(INDEX(tRates[[k€]:[k€]],MATCH(BG6,tRates[[Key (lookup)]:[Key (lookup)]],0)),"no rate"))</f>
        <v>0.48699999999999999</v>
      </c>
      <c r="BH2" s="62" t="str">
        <f>IF(LEFT(BG6,3)="fin",IFERROR(SUMPRODUCT($CW$2:$DA$2,$CW$5:$DA$5)/SUM($CW$5:$DA$5),1),IFERROR(INDEX(tRates[[k€]:[k€]],MATCH(BH6,tRates[[Key (lookup)]:[Key (lookup)]],0)),"no rate"))</f>
        <v>na</v>
      </c>
      <c r="BI2" s="62">
        <f>IF(LEFT(BH6,3)="fin",IFERROR(SUMPRODUCT($CW$2:$DA$2,$CW$5:$DA$5)/SUM($CW$5:$DA$5),1),IFERROR(INDEX(tRates[[k€]:[k€]],MATCH(BI6,tRates[[Key (lookup)]:[Key (lookup)]],0)),"no rate"))</f>
        <v>0.6</v>
      </c>
      <c r="BJ2" s="62">
        <f>IF(LEFT(BI6,3)="fin",IFERROR(SUMPRODUCT($CW$2:$DA$2,$CW$5:$DA$5)/SUM($CW$5:$DA$5),1),IFERROR(INDEX(tRates[[k€]:[k€]],MATCH(BJ6,tRates[[Key (lookup)]:[Key (lookup)]],0)),"no rate"))</f>
        <v>0.48699999999999999</v>
      </c>
      <c r="BK2" s="62">
        <f>IF(LEFT(BJ6,3)="fin",IFERROR(SUMPRODUCT($CW$2:$DA$2,$CW$5:$DA$5)/SUM($CW$5:$DA$5),1),IFERROR(INDEX(tRates[[k€]:[k€]],MATCH(BK6,tRates[[Key (lookup)]:[Key (lookup)]],0)),"no rate"))</f>
        <v>0.51300000000000001</v>
      </c>
      <c r="BL2" s="62">
        <f>IF(LEFT(BK6,3)="fin",IFERROR(SUMPRODUCT($CW$2:$DA$2,$CW$5:$DA$5)/SUM($CW$5:$DA$5),1),IFERROR(INDEX(tRates[[k€]:[k€]],MATCH(BL6,tRates[[Key (lookup)]:[Key (lookup)]],0)),"no rate"))</f>
        <v>0.51300000000000001</v>
      </c>
      <c r="BM2" s="62">
        <f>IF(LEFT(BL6,3)="fin",IFERROR(SUMPRODUCT($CW$2:$DA$2,$CW$5:$DA$5)/SUM($CW$5:$DA$5),1),IFERROR(INDEX(tRates[[k€]:[k€]],MATCH(BM6,tRates[[Key (lookup)]:[Key (lookup)]],0)),"no rate"))</f>
        <v>0.49199999999999999</v>
      </c>
      <c r="BN2" s="62">
        <f>IF(LEFT(BM6,3)="fin",IFERROR(SUMPRODUCT($CW$2:$DA$2,$CW$5:$DA$5)/SUM($CW$5:$DA$5),1),IFERROR(INDEX(tRates[[k€]:[k€]],MATCH(BN6,tRates[[Key (lookup)]:[Key (lookup)]],0)),"no rate"))</f>
        <v>0.29499999999999998</v>
      </c>
      <c r="BO2" s="62" t="str">
        <f>IF(LEFT(BN6,3)="fin",IFERROR(SUMPRODUCT($CW$2:$DA$2,$CW$5:$DA$5)/SUM($CW$5:$DA$5),1),IFERROR(INDEX(tRates[[k€]:[k€]],MATCH(BO6,tRates[[Key (lookup)]:[Key (lookup)]],0)),"no rate"))</f>
        <v>na</v>
      </c>
      <c r="BP2" s="62">
        <f>IF(LEFT(BO6,3)="fin",IFERROR(SUMPRODUCT($CW$2:$DA$2,$CW$5:$DA$5)/SUM($CW$5:$DA$5),1),IFERROR(INDEX(tRates[[k€]:[k€]],MATCH(BP6,tRates[[Key (lookup)]:[Key (lookup)]],0)),"no rate"))</f>
        <v>1</v>
      </c>
      <c r="BQ2" s="62">
        <f>IF(LEFT(BP6,3)="fin",IFERROR(SUMPRODUCT($CW$2:$DA$2,$CW$5:$DA$5)/SUM($CW$5:$DA$5),1),IFERROR(INDEX(tRates[[k€]:[k€]],MATCH(BQ6,tRates[[Key (lookup)]:[Key (lookup)]],0)),"no rate"))</f>
        <v>0.57399999999999995</v>
      </c>
      <c r="BR2" s="62">
        <f>IF(LEFT(BQ6,3)="fin",IFERROR(SUMPRODUCT($CW$2:$DA$2,$CW$5:$DA$5)/SUM($CW$5:$DA$5),1),IFERROR(INDEX(tRates[[k€]:[k€]],MATCH(BR6,tRates[[Key (lookup)]:[Key (lookup)]],0)),"no rate"))</f>
        <v>0.57399999999999995</v>
      </c>
      <c r="BS2" s="62">
        <f>IF(LEFT(BR6,3)="fin",IFERROR(SUMPRODUCT($CW$2:$DA$2,$CW$5:$DA$5)/SUM($CW$5:$DA$5),1),IFERROR(INDEX(tRates[[k€]:[k€]],MATCH(BS6,tRates[[Key (lookup)]:[Key (lookup)]],0)),"no rate"))</f>
        <v>0.30199999999999999</v>
      </c>
      <c r="BT2" s="62">
        <f>IF(LEFT(BS6,3)="fin",IFERROR(SUMPRODUCT($CW$2:$DA$2,$CW$5:$DA$5)/SUM($CW$5:$DA$5),1),IFERROR(INDEX(tRates[[k€]:[k€]],MATCH(BT6,tRates[[Key (lookup)]:[Key (lookup)]],0)),"no rate"))</f>
        <v>0.20599999999999999</v>
      </c>
      <c r="BU2" s="62" t="str">
        <f>IF(LEFT(BT6,3)="fin",IFERROR(SUMPRODUCT($CW$2:$DA$2,$CW$5:$DA$5)/SUM($CW$5:$DA$5),1),IFERROR(INDEX(tRates[[k€]:[k€]],MATCH(BU6,tRates[[Key (lookup)]:[Key (lookup)]],0)),"no rate"))</f>
        <v>na</v>
      </c>
      <c r="BV2" s="62">
        <f>IF(LEFT(BU6,3)="fin",IFERROR(SUMPRODUCT($CW$2:$DA$2,$CW$5:$DA$5)/SUM($CW$5:$DA$5),1),IFERROR(INDEX(tRates[[k€]:[k€]],MATCH(BV6,tRates[[Key (lookup)]:[Key (lookup)]],0)),"no rate"))</f>
        <v>0.6</v>
      </c>
      <c r="BW2" s="62">
        <f>IF(LEFT(BV6,3)="fin",IFERROR(SUMPRODUCT($CW$2:$DA$2,$CW$5:$DA$5)/SUM($CW$5:$DA$5),1),IFERROR(INDEX(tRates[[k€]:[k€]],MATCH(BW6,tRates[[Key (lookup)]:[Key (lookup)]],0)),"no rate"))</f>
        <v>0.48699999999999999</v>
      </c>
      <c r="BX2" s="62">
        <f>IF(LEFT(BW6,3)="fin",IFERROR(SUMPRODUCT($CW$2:$DA$2,$CW$5:$DA$5)/SUM($CW$5:$DA$5),1),IFERROR(INDEX(tRates[[k€]:[k€]],MATCH(BX6,tRates[[Key (lookup)]:[Key (lookup)]],0)),"no rate"))</f>
        <v>0.51300000000000001</v>
      </c>
      <c r="BY2" s="62" t="str">
        <f>IF(LEFT(BX6,3)="fin",IFERROR(SUMPRODUCT($CW$2:$DA$2,$CW$5:$DA$5)/SUM($CW$5:$DA$5),1),IFERROR(INDEX(tRates[[k€]:[k€]],MATCH(BY6,tRates[[Key (lookup)]:[Key (lookup)]],0)),"no rate"))</f>
        <v>na</v>
      </c>
      <c r="BZ2" s="62">
        <f>IF(LEFT(BY6,3)="fin",IFERROR(SUMPRODUCT($CW$2:$DA$2,$CW$5:$DA$5)/SUM($CW$5:$DA$5),1),IFERROR(INDEX(tRates[[k€]:[k€]],MATCH(BZ6,tRates[[Key (lookup)]:[Key (lookup)]],0)),"no rate"))</f>
        <v>1</v>
      </c>
      <c r="CA2" s="62">
        <f>IF(LEFT(BZ6,3)="fin",IFERROR(SUMPRODUCT($CW$2:$DA$2,$CW$5:$DA$5)/SUM($CW$5:$DA$5),1),IFERROR(INDEX(tRates[[k€]:[k€]],MATCH(CA6,tRates[[Key (lookup)]:[Key (lookup)]],0)),"no rate"))</f>
        <v>0.65600000000000003</v>
      </c>
      <c r="CB2" s="62">
        <f>IF(LEFT(CA6,3)="fin",IFERROR(SUMPRODUCT($CW$2:$DA$2,$CW$5:$DA$5)/SUM($CW$5:$DA$5),1),IFERROR(INDEX(tRates[[k€]:[k€]],MATCH(CB6,tRates[[Key (lookup)]:[Key (lookup)]],0)),"no rate"))</f>
        <v>0.57399999999999995</v>
      </c>
      <c r="CC2" s="62">
        <f>IF(LEFT(CB6,3)="fin",IFERROR(SUMPRODUCT($CW$2:$DA$2,$CW$5:$DA$5)/SUM($CW$5:$DA$5),1),IFERROR(INDEX(tRates[[k€]:[k€]],MATCH(CC6,tRates[[Key (lookup)]:[Key (lookup)]],0)),"no rate"))</f>
        <v>0.57399999999999995</v>
      </c>
      <c r="CD2" s="62">
        <f>IF(LEFT(CC6,3)="fin",IFERROR(SUMPRODUCT($CW$2:$DA$2,$CW$5:$DA$5)/SUM($CW$5:$DA$5),1),IFERROR(INDEX(tRates[[k€]:[k€]],MATCH(CD6,tRates[[Key (lookup)]:[Key (lookup)]],0)),"no rate"))</f>
        <v>0.30199999999999999</v>
      </c>
      <c r="CE2" s="62" t="str">
        <f>IF(LEFT(CD6,3)="fin",IFERROR(SUMPRODUCT($CW$2:$DA$2,$CW$5:$DA$5)/SUM($CW$5:$DA$5),1),IFERROR(INDEX(tRates[[k€]:[k€]],MATCH(CE6,tRates[[Key (lookup)]:[Key (lookup)]],0)),"no rate"))</f>
        <v>na</v>
      </c>
      <c r="CF2" s="62">
        <f>IF(LEFT(CE6,3)="fin",IFERROR(SUMPRODUCT($CW$2:$DA$2,$CW$5:$DA$5)/SUM($CW$5:$DA$5),1),IFERROR(INDEX(tRates[[k€]:[k€]],MATCH(CF6,tRates[[Key (lookup)]:[Key (lookup)]],0)),"no rate"))</f>
        <v>0.51300000000000001</v>
      </c>
      <c r="CG2" s="62">
        <f>IF(LEFT(CF6,3)="fin",IFERROR(SUMPRODUCT($CW$2:$DA$2,$CW$5:$DA$5)/SUM($CW$5:$DA$5),1),IFERROR(INDEX(tRates[[k€]:[k€]],MATCH(CG6,tRates[[Key (lookup)]:[Key (lookup)]],0)),"no rate"))</f>
        <v>0.30199999999999999</v>
      </c>
      <c r="CH2" s="62">
        <f>IF(LEFT(CG6,3)="fin",IFERROR(SUMPRODUCT($CW$2:$DA$2,$CW$5:$DA$5)/SUM($CW$5:$DA$5),1),IFERROR(INDEX(tRates[[k€]:[k€]],MATCH(CH6,tRates[[Key (lookup)]:[Key (lookup)]],0)),"no rate"))</f>
        <v>0.20599999999999999</v>
      </c>
      <c r="CI2" s="62" t="str">
        <f>IF(LEFT(CH6,3)="fin",IFERROR(SUMPRODUCT($CW$2:$DA$2,$CW$5:$DA$5)/SUM($CW$5:$DA$5),1),IFERROR(INDEX(tRates[[k€]:[k€]],MATCH(CI6,tRates[[Key (lookup)]:[Key (lookup)]],0)),"no rate"))</f>
        <v>na</v>
      </c>
      <c r="CJ2" s="62">
        <f>IF(LEFT(CI6,3)="fin",IFERROR(SUMPRODUCT($CW$2:$DA$2,$CW$5:$DA$5)/SUM($CW$5:$DA$5),1),IFERROR(INDEX(tRates[[k€]:[k€]],MATCH(CJ6,tRates[[Key (lookup)]:[Key (lookup)]],0)),"no rate"))</f>
        <v>0.6</v>
      </c>
      <c r="CK2" s="62">
        <f>IF(LEFT(CJ6,3)="fin",IFERROR(SUMPRODUCT($CW$2:$DA$2,$CW$5:$DA$5)/SUM($CW$5:$DA$5),1),IFERROR(INDEX(tRates[[k€]:[k€]],MATCH(CK6,tRates[[Key (lookup)]:[Key (lookup)]],0)),"no rate"))</f>
        <v>0.51300000000000001</v>
      </c>
      <c r="CL2" s="62">
        <f>IF(LEFT(CK6,3)="fin",IFERROR(SUMPRODUCT($CW$2:$DA$2,$CW$5:$DA$5)/SUM($CW$5:$DA$5),1),IFERROR(INDEX(tRates[[k€]:[k€]],MATCH(CL6,tRates[[Key (lookup)]:[Key (lookup)]],0)),"no rate"))</f>
        <v>0.51300000000000001</v>
      </c>
      <c r="CM2" s="62">
        <f>IF(LEFT(CL6,3)="fin",IFERROR(SUMPRODUCT($CW$2:$DA$2,$CW$5:$DA$5)/SUM($CW$5:$DA$5),1),IFERROR(INDEX(tRates[[k€]:[k€]],MATCH(CM6,tRates[[Key (lookup)]:[Key (lookup)]],0)),"no rate"))</f>
        <v>1</v>
      </c>
      <c r="CN2" s="62">
        <f>IF(LEFT(CM6,3)="fin",IFERROR(SUMPRODUCT($CW$2:$DA$2,$CW$5:$DA$5)/SUM($CW$5:$DA$5),1),IFERROR(INDEX(tRates[[k€]:[k€]],MATCH(CN6,tRates[[Key (lookup)]:[Key (lookup)]],0)),"no rate"))</f>
        <v>0.30199999999999999</v>
      </c>
      <c r="CO2" s="62">
        <f>IF(LEFT(CN6,3)="fin",IFERROR(SUMPRODUCT($CW$2:$DA$2,$CW$5:$DA$5)/SUM($CW$5:$DA$5),1),IFERROR(INDEX(tRates[[k€]:[k€]],MATCH(CO6,tRates[[Key (lookup)]:[Key (lookup)]],0)),"no rate"))</f>
        <v>0.48699999999999999</v>
      </c>
      <c r="CP2" s="62">
        <f>IF(LEFT(CO6,3)="fin",IFERROR(SUMPRODUCT($CW$2:$DA$2,$CW$5:$DA$5)/SUM($CW$5:$DA$5),1),IFERROR(INDEX(tRates[[k€]:[k€]],MATCH(CP6,tRates[[Key (lookup)]:[Key (lookup)]],0)),"no rate"))</f>
        <v>0.49199999999999999</v>
      </c>
      <c r="CQ2" s="62" t="str">
        <f>IF(LEFT(CP6,3)="fin",IFERROR(SUMPRODUCT($CW$2:$DA$2,$CW$5:$DA$5)/SUM($CW$5:$DA$5),1),IFERROR(INDEX(tRates[[k€]:[k€]],MATCH(CQ6,tRates[[Key (lookup)]:[Key (lookup)]],0)),"no rate"))</f>
        <v>na</v>
      </c>
      <c r="CR2" s="62">
        <f>IF(LEFT(CQ6,3)="fin",IFERROR(SUMPRODUCT($CW$2:$DA$2,$CW$5:$DA$5)/SUM($CW$5:$DA$5),1),IFERROR(INDEX(tRates[[k€]:[k€]],MATCH(CR6,tRates[[Key (lookup)]:[Key (lookup)]],0)),"no rate"))</f>
        <v>0.6</v>
      </c>
      <c r="CS2" s="62" t="str">
        <f>IF(LEFT(CR6,3)="fin",IFERROR(SUMPRODUCT($CW$2:$DA$2,$CW$5:$DA$5)/SUM($CW$5:$DA$5),1),IFERROR(INDEX(tRates[[k€]:[k€]],MATCH(CS6,tRates[[Key (lookup)]:[Key (lookup)]],0)),"no rate"))</f>
        <v>na</v>
      </c>
      <c r="CT2" s="62">
        <f>IF(LEFT(CS6,3)="fin",IFERROR(SUMPRODUCT($CW$2:$DA$2,$CW$5:$DA$5)/SUM($CW$5:$DA$5),1),IFERROR(INDEX(tRates[[k€]:[k€]],MATCH(CT6,tRates[[Key (lookup)]:[Key (lookup)]],0)),"no rate"))</f>
        <v>0.51300000000000001</v>
      </c>
      <c r="CU2" s="62" t="str">
        <f>IF(LEFT(CT6,3)="fin",IFERROR(SUMPRODUCT($CW$2:$DA$2,$CW$5:$DA$5)/SUM($CW$5:$DA$5),1),IFERROR(INDEX(tRates[[k€]:[k€]],MATCH(CU6,tRates[[Key (lookup)]:[Key (lookup)]],0)),"no rate"))</f>
        <v>na</v>
      </c>
      <c r="CV2" s="62">
        <f>IF(LEFT(CU6,3)="fin",IFERROR(SUMPRODUCT($CW$2:$DA$2,$CW$5:$DA$5)/SUM($CW$5:$DA$5),1),IFERROR(INDEX(tRates[[k€]:[k€]],MATCH(CV6,tRates[[Key (lookup)]:[Key (lookup)]],0)),"no rate"))</f>
        <v>1</v>
      </c>
      <c r="CW2" s="62">
        <f>IF(LEFT(CV6,3)="fin",IFERROR(SUMPRODUCT($CW$2:$DA$2,$CW$5:$DA$5)/SUM($CW$5:$DA$5),1),IFERROR(INDEX(tRates[[k€]:[k€]],MATCH(CW6,tRates[[Key (lookup)]:[Key (lookup)]],0)),"no rate"))</f>
        <v>0.65500000000000003</v>
      </c>
      <c r="CX2" s="62">
        <f>IF(LEFT(CW6,3)="fin",IFERROR(SUMPRODUCT($CW$2:$DA$2,$CW$5:$DA$5)/SUM($CW$5:$DA$5),1),IFERROR(INDEX(tRates[[k€]:[k€]],MATCH(CX6,tRates[[Key (lookup)]:[Key (lookup)]],0)),"no rate"))</f>
        <v>0.53400000000000003</v>
      </c>
      <c r="CY2" s="62">
        <f>IF(LEFT(CX6,3)="fin",IFERROR(SUMPRODUCT($CW$2:$DA$2,$CW$5:$DA$5)/SUM($CW$5:$DA$5),1),IFERROR(INDEX(tRates[[k€]:[k€]],MATCH(CY6,tRates[[Key (lookup)]:[Key (lookup)]],0)),"no rate"))</f>
        <v>0.56299999999999994</v>
      </c>
      <c r="CZ2" s="62">
        <f>IF(LEFT(CY6,3)="fin",IFERROR(SUMPRODUCT($CW$2:$DA$2,$CW$5:$DA$5)/SUM($CW$5:$DA$5),1),IFERROR(INDEX(tRates[[k€]:[k€]],MATCH(CZ6,tRates[[Key (lookup)]:[Key (lookup)]],0)),"no rate"))</f>
        <v>0.60599999999999998</v>
      </c>
      <c r="DA2" s="62">
        <f>IF(LEFT(CZ6,3)="fin",IFERROR(SUMPRODUCT($CW$2:$DA$2,$CW$5:$DA$5)/SUM($CW$5:$DA$5),1),IFERROR(INDEX(tRates[[k€]:[k€]],MATCH(DA6,tRates[[Key (lookup)]:[Key (lookup)]],0)),"no rate"))</f>
        <v>1.1339999999999999</v>
      </c>
      <c r="DB2" s="62" t="str">
        <f>IF(LEFT(DA6,3)="fin",IFERROR(SUMPRODUCT($CW$2:$DA$2,$CW$5:$DA$5)/SUM($CW$5:$DA$5),1),IFERROR(INDEX(tRates[[k€]:[k€]],MATCH(DB6,tRates[[Key (lookup)]:[Key (lookup)]],0)),"no rate"))</f>
        <v>no rate</v>
      </c>
      <c r="DC2" s="62" t="str">
        <f>IF(LEFT(DB6,3)="fin",IFERROR(SUMPRODUCT($CW$2:$DA$2,$CW$5:$DA$5)/SUM($CW$5:$DA$5),1),IFERROR(INDEX(tRates[[k€]:[k€]],MATCH(DC6,tRates[[Key (lookup)]:[Key (lookup)]],0)),"no rate"))</f>
        <v>no rate</v>
      </c>
      <c r="DD2" s="62" t="str">
        <f>IF(LEFT(DC6,3)="fin",IFERROR(SUMPRODUCT($CW$2:$DA$2,$CW$5:$DA$5)/SUM($CW$5:$DA$5),1),IFERROR(INDEX(tRates[[k€]:[k€]],MATCH(DD6,tRates[[Key (lookup)]:[Key (lookup)]],0)),"no rate"))</f>
        <v>no rate</v>
      </c>
      <c r="DE2" s="62" t="str">
        <f>IF(LEFT(DD6,3)="fin",IFERROR(SUMPRODUCT($CW$2:$DA$2,$CW$5:$DA$5)/SUM($CW$5:$DA$5),1),IFERROR(INDEX(tRates[[k€]:[k€]],MATCH(DE6,tRates[[Key (lookup)]:[Key (lookup)]],0)),"no rate"))</f>
        <v>no rate</v>
      </c>
      <c r="DF2" s="62" t="str">
        <f>IF(LEFT(DE6,3)="fin",IFERROR(SUMPRODUCT($CW$2:$DA$2,$CW$5:$DA$5)/SUM($CW$5:$DA$5),1),IFERROR(INDEX(tRates[[k€]:[k€]],MATCH(DF6,tRates[[Key (lookup)]:[Key (lookup)]],0)),"no rate"))</f>
        <v>no rate</v>
      </c>
      <c r="DG2" s="62" t="str">
        <f>IF(LEFT(DF6,3)="fin",IFERROR(SUMPRODUCT($CW$2:$DA$2,$CW$5:$DA$5)/SUM($CW$5:$DA$5),1),IFERROR(INDEX(tRates[[k€]:[k€]],MATCH(DG6,tRates[[Key (lookup)]:[Key (lookup)]],0)),"no rate"))</f>
        <v>no rate</v>
      </c>
      <c r="DH2" s="62" t="str">
        <f>IF(LEFT(DG6,3)="fin",IFERROR(SUMPRODUCT($CW$2:$DA$2,$CW$5:$DA$5)/SUM($CW$5:$DA$5),1),IFERROR(INDEX(tRates[[k€]:[k€]],MATCH(DH6,tRates[[Key (lookup)]:[Key (lookup)]],0)),"no rate"))</f>
        <v>na</v>
      </c>
      <c r="DI2" s="62">
        <f>IF(LEFT(DH6,3)="fin",IFERROR(SUMPRODUCT($CW$2:$DA$2,$CW$5:$DA$5)/SUM($CW$5:$DA$5),1),IFERROR(INDEX(tRates[[k€]:[k€]],MATCH(DI6,tRates[[Key (lookup)]:[Key (lookup)]],0)),"no rate"))</f>
        <v>1.0249999999999999</v>
      </c>
      <c r="DJ2" s="62" t="str">
        <f>IF(LEFT(DI6,3)="fin",IFERROR(SUMPRODUCT($CW$2:$DA$2,$CW$5:$DA$5)/SUM($CW$5:$DA$5),1),IFERROR(INDEX(tRates[[k€]:[k€]],MATCH(DJ6,tRates[[Key (lookup)]:[Key (lookup)]],0)),"no rate"))</f>
        <v>na</v>
      </c>
      <c r="DK2" s="62">
        <f>IF(LEFT(DJ6,3)="fin",IFERROR(SUMPRODUCT($CW$2:$DA$2,$CW$5:$DA$5)/SUM($CW$5:$DA$5),1),IFERROR(INDEX(tRates[[k€]:[k€]],MATCH(DK6,tRates[[Key (lookup)]:[Key (lookup)]],0)),"no rate"))</f>
        <v>0.56899999999999995</v>
      </c>
      <c r="DL2" s="62" t="str">
        <f>IF(LEFT(DK6,3)="fin",IFERROR(SUMPRODUCT($CW$2:$DA$2,$CW$5:$DA$5)/SUM($CW$5:$DA$5),1),IFERROR(INDEX(tRates[[k€]:[k€]],MATCH(DL6,tRates[[Key (lookup)]:[Key (lookup)]],0)),"no rate"))</f>
        <v>na</v>
      </c>
      <c r="DM2" s="62">
        <f>IF(LEFT(DL6,3)="fin",IFERROR(SUMPRODUCT($CW$2:$DA$2,$CW$5:$DA$5)/SUM($CW$5:$DA$5),1),IFERROR(INDEX(tRates[[k€]:[k€]],MATCH(DM6,tRates[[Key (lookup)]:[Key (lookup)]],0)),"no rate"))</f>
        <v>0.56399999999999995</v>
      </c>
      <c r="DN2" s="62" t="str">
        <f>IF(LEFT(DM6,3)="fin",IFERROR(SUMPRODUCT($CW$2:$DA$2,$CW$5:$DA$5)/SUM($CW$5:$DA$5),1),IFERROR(INDEX(tRates[[k€]:[k€]],MATCH(DN6,tRates[[Key (lookup)]:[Key (lookup)]],0)),"no rate"))</f>
        <v>na</v>
      </c>
      <c r="DO2" s="62">
        <f>IF(LEFT(DN6,3)="fin",IFERROR(SUMPRODUCT($CW$2:$DA$2,$CW$5:$DA$5)/SUM($CW$5:$DA$5),1),IFERROR(INDEX(tRates[[k€]:[k€]],MATCH(DO6,tRates[[Key (lookup)]:[Key (lookup)]],0)),"no rate"))</f>
        <v>0.51300000000000001</v>
      </c>
      <c r="DP2" s="62" t="str">
        <f>IF(LEFT(DO6,3)="fin",IFERROR(SUMPRODUCT($CW$2:$DA$2,$CW$5:$DA$5)/SUM($CW$5:$DA$5),1),IFERROR(INDEX(tRates[[k€]:[k€]],MATCH(DP6,tRates[[Key (lookup)]:[Key (lookup)]],0)),"no rate"))</f>
        <v>na</v>
      </c>
      <c r="DQ2" s="62" t="str">
        <f>IF(LEFT(DP6,3)="fin",IFERROR(SUMPRODUCT($CW$2:$DA$2,$CW$5:$DA$5)/SUM($CW$5:$DA$5),1),IFERROR(INDEX(tRates[[k€]:[k€]],MATCH(DQ6,tRates[[Key (lookup)]:[Key (lookup)]],0)),"no rate"))</f>
        <v>no rate</v>
      </c>
      <c r="DR2" s="62">
        <f>IF(LEFT(DQ6,3)="fin",IFERROR(SUMPRODUCT($CW$2:$DA$2,$CW$5:$DA$5)/SUM($CW$5:$DA$5),1),IFERROR(INDEX(tRates[[k€]:[k€]],MATCH(DR6,tRates[[Key (lookup)]:[Key (lookup)]],0)),"no rate"))</f>
        <v>1.0249999999999999</v>
      </c>
      <c r="DS2" s="62">
        <f>IF(LEFT(DR6,3)="fin",IFERROR(SUMPRODUCT($CW$2:$DA$2,$CW$5:$DA$5)/SUM($CW$5:$DA$5),1),IFERROR(INDEX(tRates[[k€]:[k€]],MATCH(DS6,tRates[[Key (lookup)]:[Key (lookup)]],0)),"no rate"))</f>
        <v>1.0249999999999999</v>
      </c>
      <c r="DT2" s="62">
        <f>IF(LEFT(DS6,3)="fin",IFERROR(SUMPRODUCT($CW$2:$DA$2,$CW$5:$DA$5)/SUM($CW$5:$DA$5),1),IFERROR(INDEX(tRates[[k€]:[k€]],MATCH(DT6,tRates[[Key (lookup)]:[Key (lookup)]],0)),"no rate"))</f>
        <v>0.71799999999999997</v>
      </c>
      <c r="DU2" s="62">
        <f>IF(LEFT(DT6,3)="fin",IFERROR(SUMPRODUCT($CW$2:$DA$2,$CW$5:$DA$5)/SUM($CW$5:$DA$5),1),IFERROR(INDEX(tRates[[k€]:[k€]],MATCH(DU6,tRates[[Key (lookup)]:[Key (lookup)]],0)),"no rate"))</f>
        <v>0.48199999999999998</v>
      </c>
      <c r="DV2" s="62">
        <f>IF(LEFT(DU6,3)="fin",IFERROR(SUMPRODUCT($CW$2:$DA$2,$CW$5:$DA$5)/SUM($CW$5:$DA$5),1),IFERROR(INDEX(tRates[[k€]:[k€]],MATCH(DV6,tRates[[Key (lookup)]:[Key (lookup)]],0)),"no rate"))</f>
        <v>0.29499999999999998</v>
      </c>
      <c r="DW2" s="62">
        <f>IF(LEFT(DV6,3)="fin",IFERROR(SUMPRODUCT($CW$2:$DA$2,$CW$5:$DA$5)/SUM($CW$5:$DA$5),1),IFERROR(INDEX(tRates[[k€]:[k€]],MATCH(DW6,tRates[[Key (lookup)]:[Key (lookup)]],0)),"no rate"))</f>
        <v>9.4E-2</v>
      </c>
      <c r="DX2" s="62">
        <f>IF(LEFT(DW6,3)="fin",IFERROR(SUMPRODUCT($CW$2:$DA$2,$CW$5:$DA$5)/SUM($CW$5:$DA$5),1),IFERROR(INDEX(tRates[[k€]:[k€]],MATCH(DX6,tRates[[Key (lookup)]:[Key (lookup)]],0)),"no rate"))</f>
        <v>9.4E-2</v>
      </c>
      <c r="DY2" s="62">
        <f>IF(LEFT(DX6,3)="fin",IFERROR(SUMPRODUCT($CW$2:$DA$2,$CW$5:$DA$5)/SUM($CW$5:$DA$5),1),IFERROR(INDEX(tRates[[k€]:[k€]],MATCH(DY6,tRates[[Key (lookup)]:[Key (lookup)]],0)),"no rate"))</f>
        <v>0.20599999999999999</v>
      </c>
      <c r="DZ2" s="62">
        <f>IF(LEFT(DY6,3)="fin",IFERROR(SUMPRODUCT($CW$2:$DA$2,$CW$5:$DA$5)/SUM($CW$5:$DA$5),1),IFERROR(INDEX(tRates[[k€]:[k€]],MATCH(DZ6,tRates[[Key (lookup)]:[Key (lookup)]],0)),"no rate"))</f>
        <v>0.19500000000000001</v>
      </c>
      <c r="EA2" s="62" t="str">
        <f>IF(LEFT(DZ6,3)="fin",IFERROR(SUMPRODUCT($CW$2:$DA$2,$CW$5:$DA$5)/SUM($CW$5:$DA$5),1),IFERROR(INDEX(tRates[[k€]:[k€]],MATCH(EA6,tRates[[Key (lookup)]:[Key (lookup)]],0)),"no rate"))</f>
        <v>no rate</v>
      </c>
      <c r="EB2" s="63"/>
      <c r="EC2" s="63"/>
      <c r="ED2" s="63"/>
      <c r="EE2" s="63"/>
      <c r="EF2" s="63"/>
      <c r="EG2" s="63"/>
      <c r="EH2" s="63"/>
    </row>
    <row r="3" spans="1:139" customFormat="1" x14ac:dyDescent="0.2">
      <c r="C3" s="59" t="str" cm="1">
        <f t="array" ref="C3">"total capacity: "&amp;TEXT(SUMPRODUCT(IFERROR($E$3:$DZ$3,0),(LEFT($E$6:$DZ$6,1)&lt;&gt;"(")*1),"#.##")</f>
        <v>total capacity: 1706.00</v>
      </c>
      <c r="E3" s="55" cm="1">
        <f t="array" ref="E3">_xlfn.IFS(E2="no rate","",ISTEXT(E2),SUM(F3:INDEX(F3:$EC$3,,_xlfn.AGGREGATE(15,6,(COLUMN(F3:$EC$3)-COLUMN()-1)/(LEFT(F6:$EC$6,1)&lt;&gt;"("),1))),1,INDEX('Capacity'!$B$2:$ED$2,MATCH(E6,'Capacity'!$3:$3,0))*IFERROR(INDEX(tRates[[Yearly WDs]:[Yearly WDs]],MATCH(E6,tRates[[Key (lookup)]:[Key (lookup)]],0)),200))</f>
        <v>170600</v>
      </c>
      <c r="F3" s="55" cm="1">
        <f t="array" ref="F3">_xlfn.IFS(F2="no rate","",ISTEXT(F2),SUM(G3:INDEX(G3:$EC$3,,_xlfn.AGGREGATE(15,6,(COLUMN(G3:$EC$3)-COLUMN()-1)/(LEFT(G6:$EC$6,1)&lt;&gt;"("),1))),1,INDEX('Capacity'!$B$2:$ED$2,MATCH(F6,'Capacity'!$3:$3,0))*IFERROR(INDEX(tRates[[Yearly WDs]:[Yearly WDs]],MATCH(F6,tRates[[Key (lookup)]:[Key (lookup)]],0)),200))</f>
        <v>5600</v>
      </c>
      <c r="G3" s="55" cm="1">
        <f t="array" ref="G3">_xlfn.IFS(G2="no rate","",ISTEXT(G2),SUM(H3:INDEX(H3:$EC$3,,_xlfn.AGGREGATE(15,6,(COLUMN(H3:$EC$3)-COLUMN()-1)/(LEFT(H6:$EC$6,1)&lt;&gt;"("),1))),1,INDEX('Capacity'!$B$2:$ED$2,MATCH(G6,'Capacity'!$3:$3,0))*IFERROR(INDEX(tRates[[Yearly WDs]:[Yearly WDs]],MATCH(G6,tRates[[Key (lookup)]:[Key (lookup)]],0)),200))</f>
        <v>19200</v>
      </c>
      <c r="H3" s="55" cm="1">
        <f t="array" ref="H3">_xlfn.IFS(H2="no rate","",ISTEXT(H2),SUM(I3:INDEX(I3:$EC$3,,_xlfn.AGGREGATE(15,6,(COLUMN(I3:$EC$3)-COLUMN()-1)/(LEFT(I6:$EC$6,1)&lt;&gt;"("),1))),1,INDEX('Capacity'!$B$2:$ED$2,MATCH(H6,'Capacity'!$3:$3,0))*IFERROR(INDEX(tRates[[Yearly WDs]:[Yearly WDs]],MATCH(H6,tRates[[Key (lookup)]:[Key (lookup)]],0)),200))</f>
        <v>2800</v>
      </c>
      <c r="I3" s="55" cm="1">
        <f t="array" ref="I3">_xlfn.IFS(I2="no rate","",ISTEXT(I2),SUM(J3:INDEX(J3:$EC$3,,_xlfn.AGGREGATE(15,6,(COLUMN(J3:$EC$3)-COLUMN()-1)/(LEFT(J6:$EC$6,1)&lt;&gt;"("),1))),1,INDEX('Capacity'!$B$2:$ED$2,MATCH(I6,'Capacity'!$3:$3,0))*IFERROR(INDEX(tRates[[Yearly WDs]:[Yearly WDs]],MATCH(I6,tRates[[Key (lookup)]:[Key (lookup)]],0)),200))</f>
        <v>0</v>
      </c>
      <c r="J3" s="55" cm="1">
        <f t="array" ref="J3">_xlfn.IFS(J2="no rate","",ISTEXT(J2),SUM(K3:INDEX(K3:$EC$3,,_xlfn.AGGREGATE(15,6,(COLUMN(K3:$EC$3)-COLUMN()-1)/(LEFT(K6:$EC$6,1)&lt;&gt;"("),1))),1,INDEX('Capacity'!$B$2:$ED$2,MATCH(J6,'Capacity'!$3:$3,0))*IFERROR(INDEX(tRates[[Yearly WDs]:[Yearly WDs]],MATCH(J6,tRates[[Key (lookup)]:[Key (lookup)]],0)),200))</f>
        <v>24600</v>
      </c>
      <c r="K3" s="55" cm="1">
        <f t="array" ref="K3">_xlfn.IFS(K2="no rate","",ISTEXT(K2),SUM(L3:INDEX(L3:$EC$3,,_xlfn.AGGREGATE(15,6,(COLUMN(L3:$EC$3)-COLUMN()-1)/(LEFT(L6:$EC$6,1)&lt;&gt;"("),1))),1,INDEX('Capacity'!$B$2:$ED$2,MATCH(K6,'Capacity'!$3:$3,0))*IFERROR(INDEX(tRates[[Yearly WDs]:[Yearly WDs]],MATCH(K6,tRates[[Key (lookup)]:[Key (lookup)]],0)),200))</f>
        <v>0</v>
      </c>
      <c r="L3" s="55" cm="1">
        <f t="array" ref="L3">_xlfn.IFS(L2="no rate","",ISTEXT(L2),SUM(M3:INDEX(M3:$EC$3,,_xlfn.AGGREGATE(15,6,(COLUMN(M3:$EC$3)-COLUMN()-1)/(LEFT(M6:$EC$6,1)&lt;&gt;"("),1))),1,INDEX('Capacity'!$B$2:$ED$2,MATCH(L6,'Capacity'!$3:$3,0))*IFERROR(INDEX(tRates[[Yearly WDs]:[Yearly WDs]],MATCH(L6,tRates[[Key (lookup)]:[Key (lookup)]],0)),200))</f>
        <v>8200</v>
      </c>
      <c r="M3" s="55" cm="1">
        <f t="array" ref="M3">_xlfn.IFS(M2="no rate","",ISTEXT(M2),SUM(N3:INDEX(N3:$EC$3,,_xlfn.AGGREGATE(15,6,(COLUMN(N3:$EC$3)-COLUMN()-1)/(LEFT(N6:$EC$6,1)&lt;&gt;"("),1))),1,INDEX('Capacity'!$B$2:$ED$2,MATCH(M6,'Capacity'!$3:$3,0))*IFERROR(INDEX(tRates[[Yearly WDs]:[Yearly WDs]],MATCH(M6,tRates[[Key (lookup)]:[Key (lookup)]],0)),200))</f>
        <v>5600</v>
      </c>
      <c r="N3" s="55" cm="1">
        <f t="array" ref="N3">_xlfn.IFS(N2="no rate","",ISTEXT(N2),SUM(O3:INDEX(O3:$EC$3,,_xlfn.AGGREGATE(15,6,(COLUMN(O3:$EC$3)-COLUMN()-1)/(LEFT(O6:$EC$6,1)&lt;&gt;"("),1))),1,INDEX('Capacity'!$B$2:$ED$2,MATCH(N6,'Capacity'!$3:$3,0))*IFERROR(INDEX(tRates[[Yearly WDs]:[Yearly WDs]],MATCH(N6,tRates[[Key (lookup)]:[Key (lookup)]],0)),200))</f>
        <v>0</v>
      </c>
      <c r="O3" s="55" cm="1">
        <f t="array" ref="O3">_xlfn.IFS(O2="no rate","",ISTEXT(O2),SUM(P3:INDEX(P3:$EC$3,,_xlfn.AGGREGATE(15,6,(COLUMN(P3:$EC$3)-COLUMN()-1)/(LEFT(P6:$EC$6,1)&lt;&gt;"("),1))),1,INDEX('Capacity'!$B$2:$ED$2,MATCH(O6,'Capacity'!$3:$3,0))*IFERROR(INDEX(tRates[[Yearly WDs]:[Yearly WDs]],MATCH(O6,tRates[[Key (lookup)]:[Key (lookup)]],0)),200))</f>
        <v>0</v>
      </c>
      <c r="P3" s="55" cm="1">
        <f t="array" ref="P3">_xlfn.IFS(P2="no rate","",ISTEXT(P2),SUM(Q3:INDEX(Q3:$EC$3,,_xlfn.AGGREGATE(15,6,(COLUMN(Q3:$EC$3)-COLUMN()-1)/(LEFT(Q6:$EC$6,1)&lt;&gt;"("),1))),1,INDEX('Capacity'!$B$2:$ED$2,MATCH(P6,'Capacity'!$3:$3,0))*IFERROR(INDEX(tRates[[Yearly WDs]:[Yearly WDs]],MATCH(P6,tRates[[Key (lookup)]:[Key (lookup)]],0)),200))</f>
        <v>0</v>
      </c>
      <c r="Q3" s="55" cm="1">
        <f t="array" ref="Q3">_xlfn.IFS(Q2="no rate","",ISTEXT(Q2),SUM(R3:INDEX(R3:$EC$3,,_xlfn.AGGREGATE(15,6,(COLUMN(R3:$EC$3)-COLUMN()-1)/(LEFT(R6:$EC$6,1)&lt;&gt;"("),1))),1,INDEX('Capacity'!$B$2:$ED$2,MATCH(Q6,'Capacity'!$3:$3,0))*IFERROR(INDEX(tRates[[Yearly WDs]:[Yearly WDs]],MATCH(Q6,tRates[[Key (lookup)]:[Key (lookup)]],0)),200))</f>
        <v>10600</v>
      </c>
      <c r="R3" s="55" cm="1">
        <f t="array" ref="R3">_xlfn.IFS(R2="no rate","",ISTEXT(R2),SUM(S3:INDEX(S3:$EC$3,,_xlfn.AGGREGATE(15,6,(COLUMN(S3:$EC$3)-COLUMN()-1)/(LEFT(S6:$EC$6,1)&lt;&gt;"("),1))),1,INDEX('Capacity'!$B$2:$ED$2,MATCH(R6,'Capacity'!$3:$3,0))*IFERROR(INDEX(tRates[[Yearly WDs]:[Yearly WDs]],MATCH(R6,tRates[[Key (lookup)]:[Key (lookup)]],0)),200))</f>
        <v>0</v>
      </c>
      <c r="S3" s="55" cm="1">
        <f t="array" ref="S3">_xlfn.IFS(S2="no rate","",ISTEXT(S2),SUM(T3:INDEX(T3:$EC$3,,_xlfn.AGGREGATE(15,6,(COLUMN(T3:$EC$3)-COLUMN()-1)/(LEFT(T6:$EC$6,1)&lt;&gt;"("),1))),1,INDEX('Capacity'!$B$2:$ED$2,MATCH(S6,'Capacity'!$3:$3,0))*IFERROR(INDEX(tRates[[Yearly WDs]:[Yearly WDs]],MATCH(S6,tRates[[Key (lookup)]:[Key (lookup)]],0)),200))</f>
        <v>5800</v>
      </c>
      <c r="T3" s="55" cm="1">
        <f t="array" ref="T3">_xlfn.IFS(T2="no rate","",ISTEXT(T2),SUM(U3:INDEX(U3:$EC$3,,_xlfn.AGGREGATE(15,6,(COLUMN(U3:$EC$3)-COLUMN()-1)/(LEFT(U6:$EC$6,1)&lt;&gt;"("),1))),1,INDEX('Capacity'!$B$2:$ED$2,MATCH(T6,'Capacity'!$3:$3,0))*IFERROR(INDEX(tRates[[Yearly WDs]:[Yearly WDs]],MATCH(T6,tRates[[Key (lookup)]:[Key (lookup)]],0)),200))</f>
        <v>35400</v>
      </c>
      <c r="U3" s="55" cm="1">
        <f t="array" ref="U3">_xlfn.IFS(U2="no rate","",ISTEXT(U2),SUM(V3:INDEX(V3:$EC$3,,_xlfn.AGGREGATE(15,6,(COLUMN(V3:$EC$3)-COLUMN()-1)/(LEFT(V6:$EC$6,1)&lt;&gt;"("),1))),1,INDEX('Capacity'!$B$2:$ED$2,MATCH(U6,'Capacity'!$3:$3,0))*IFERROR(INDEX(tRates[[Yearly WDs]:[Yearly WDs]],MATCH(U6,tRates[[Key (lookup)]:[Key (lookup)]],0)),200))</f>
        <v>2400</v>
      </c>
      <c r="V3" s="55" cm="1">
        <f t="array" ref="V3">_xlfn.IFS(V2="no rate","",ISTEXT(V2),SUM(W3:INDEX(W3:$EC$3,,_xlfn.AGGREGATE(15,6,(COLUMN(W3:$EC$3)-COLUMN()-1)/(LEFT(W6:$EC$6,1)&lt;&gt;"("),1))),1,INDEX('Capacity'!$B$2:$ED$2,MATCH(V6,'Capacity'!$3:$3,0))*IFERROR(INDEX(tRates[[Yearly WDs]:[Yearly WDs]],MATCH(V6,tRates[[Key (lookup)]:[Key (lookup)]],0)),200))</f>
        <v>9400</v>
      </c>
      <c r="W3" s="55" cm="1">
        <f t="array" ref="W3">_xlfn.IFS(W2="no rate","",ISTEXT(W2),SUM(X3:INDEX(X3:$EC$3,,_xlfn.AGGREGATE(15,6,(COLUMN(X3:$EC$3)-COLUMN()-1)/(LEFT(X6:$EC$6,1)&lt;&gt;"("),1))),1,INDEX('Capacity'!$B$2:$ED$2,MATCH(W6,'Capacity'!$3:$3,0))*IFERROR(INDEX(tRates[[Yearly WDs]:[Yearly WDs]],MATCH(W6,tRates[[Key (lookup)]:[Key (lookup)]],0)),200))</f>
        <v>3200</v>
      </c>
      <c r="X3" s="55" cm="1">
        <f t="array" ref="X3">_xlfn.IFS(X2="no rate","",ISTEXT(X2),SUM(Y3:INDEX(Y3:$EC$3,,_xlfn.AGGREGATE(15,6,(COLUMN(Y3:$EC$3)-COLUMN()-1)/(LEFT(Y6:$EC$6,1)&lt;&gt;"("),1))),1,INDEX('Capacity'!$B$2:$ED$2,MATCH(X6,'Capacity'!$3:$3,0))*IFERROR(INDEX(tRates[[Yearly WDs]:[Yearly WDs]],MATCH(X6,tRates[[Key (lookup)]:[Key (lookup)]],0)),200))</f>
        <v>800</v>
      </c>
      <c r="Y3" s="55" cm="1">
        <f t="array" ref="Y3">_xlfn.IFS(Y2="no rate","",ISTEXT(Y2),SUM(Z3:INDEX(Z3:$EC$3,,_xlfn.AGGREGATE(15,6,(COLUMN(Z3:$EC$3)-COLUMN()-1)/(LEFT(Z6:$EC$6,1)&lt;&gt;"("),1))),1,INDEX('Capacity'!$B$2:$ED$2,MATCH(Y6,'Capacity'!$3:$3,0))*IFERROR(INDEX(tRates[[Yearly WDs]:[Yearly WDs]],MATCH(Y6,tRates[[Key (lookup)]:[Key (lookup)]],0)),200))</f>
        <v>3800</v>
      </c>
      <c r="Z3" s="55" cm="1">
        <f t="array" ref="Z3">_xlfn.IFS(Z2="no rate","",ISTEXT(Z2),SUM(AA3:INDEX(AA3:$EC$3,,_xlfn.AGGREGATE(15,6,(COLUMN(AA3:$EC$3)-COLUMN()-1)/(LEFT(AA6:$EC$6,1)&lt;&gt;"("),1))),1,INDEX('Capacity'!$B$2:$ED$2,MATCH(Z6,'Capacity'!$3:$3,0))*IFERROR(INDEX(tRates[[Yearly WDs]:[Yearly WDs]],MATCH(Z6,tRates[[Key (lookup)]:[Key (lookup)]],0)),200))</f>
        <v>4800</v>
      </c>
      <c r="AA3" s="55" cm="1">
        <f t="array" ref="AA3">_xlfn.IFS(AA2="no rate","",ISTEXT(AA2),SUM(AB3:INDEX(AB3:$EC$3,,_xlfn.AGGREGATE(15,6,(COLUMN(AB3:$EC$3)-COLUMN()-1)/(LEFT(AB6:$EC$6,1)&lt;&gt;"("),1))),1,INDEX('Capacity'!$B$2:$ED$2,MATCH(AA6,'Capacity'!$3:$3,0))*IFERROR(INDEX(tRates[[Yearly WDs]:[Yearly WDs]],MATCH(AA6,tRates[[Key (lookup)]:[Key (lookup)]],0)),200))</f>
        <v>20200</v>
      </c>
      <c r="AB3" s="55" cm="1">
        <f t="array" ref="AB3">_xlfn.IFS(AB2="no rate","",ISTEXT(AB2),SUM(AC3:INDEX(AC3:$EC$3,,_xlfn.AGGREGATE(15,6,(COLUMN(AC3:$EC$3)-COLUMN()-1)/(LEFT(AC6:$EC$6,1)&lt;&gt;"("),1))),1,INDEX('Capacity'!$B$2:$ED$2,MATCH(AB6,'Capacity'!$3:$3,0))*IFERROR(INDEX(tRates[[Yearly WDs]:[Yearly WDs]],MATCH(AB6,tRates[[Key (lookup)]:[Key (lookup)]],0)),200))</f>
        <v>8200</v>
      </c>
      <c r="AC3" s="55" cm="1">
        <f t="array" ref="AC3">_xlfn.IFS(AC2="no rate","",ISTEXT(AC2),SUM(AD3:INDEX(AD3:$EC$3,,_xlfn.AGGREGATE(15,6,(COLUMN(AD3:$EC$3)-COLUMN()-1)/(LEFT(AD6:$EC$6,1)&lt;&gt;"("),1))),1,INDEX('Capacity'!$B$2:$ED$2,MATCH(AC6,'Capacity'!$3:$3,0))*IFERROR(INDEX(tRates[[Yearly WDs]:[Yearly WDs]],MATCH(AC6,tRates[[Key (lookup)]:[Key (lookup)]],0)),200))</f>
        <v>0</v>
      </c>
      <c r="AD3" s="55" cm="1">
        <f t="array" ref="AD3">_xlfn.IFS(AD2="no rate","",ISTEXT(AD2),SUM(AE3:INDEX(AE3:$EC$3,,_xlfn.AGGREGATE(15,6,(COLUMN(AE3:$EC$3)-COLUMN()-1)/(LEFT(AE6:$EC$6,1)&lt;&gt;"("),1))),1,INDEX('Capacity'!$B$2:$ED$2,MATCH(AD6,'Capacity'!$3:$3,0))*IFERROR(INDEX(tRates[[Yearly WDs]:[Yearly WDs]],MATCH(AD6,tRates[[Key (lookup)]:[Key (lookup)]],0)),200))</f>
        <v>0</v>
      </c>
      <c r="AE3" s="55" cm="1">
        <f t="array" ref="AE3">_xlfn.IFS(AE2="no rate","",ISTEXT(AE2),SUM(AF3:INDEX(AF3:$EC$3,,_xlfn.AGGREGATE(15,6,(COLUMN(AF3:$EC$3)-COLUMN()-1)/(LEFT(AF6:$EC$6,1)&lt;&gt;"("),1))),1,INDEX('Capacity'!$B$2:$ED$2,MATCH(AE6,'Capacity'!$3:$3,0))*IFERROR(INDEX(tRates[[Yearly WDs]:[Yearly WDs]],MATCH(AE6,tRates[[Key (lookup)]:[Key (lookup)]],0)),200))</f>
        <v>0</v>
      </c>
      <c r="AF3" s="55" cm="1">
        <f t="array" ref="AF3">_xlfn.IFS(AF2="no rate","",ISTEXT(AF2),SUM(AG3:INDEX(AG3:$EC$3,,_xlfn.AGGREGATE(15,6,(COLUMN(AG3:$EC$3)-COLUMN()-1)/(LEFT(AG6:$EC$6,1)&lt;&gt;"("),1))),1,INDEX('Capacity'!$B$2:$ED$2,MATCH(AF6,'Capacity'!$3:$3,0))*IFERROR(INDEX(tRates[[Yearly WDs]:[Yearly WDs]],MATCH(AF6,tRates[[Key (lookup)]:[Key (lookup)]],0)),200))</f>
        <v>0</v>
      </c>
      <c r="AG3" s="55" cm="1">
        <f t="array" ref="AG3">_xlfn.IFS(AG2="no rate","",ISTEXT(AG2),SUM(AH3:INDEX(AH3:$EC$3,,_xlfn.AGGREGATE(15,6,(COLUMN(AH3:$EC$3)-COLUMN()-1)/(LEFT(AH6:$EC$6,1)&lt;&gt;"("),1))),1,INDEX('Capacity'!$B$2:$ED$2,MATCH(AG6,'Capacity'!$3:$3,0))*IFERROR(INDEX(tRates[[Yearly WDs]:[Yearly WDs]],MATCH(AG6,tRates[[Key (lookup)]:[Key (lookup)]],0)),200))</f>
        <v>0</v>
      </c>
      <c r="AH3" s="55" cm="1">
        <f t="array" ref="AH3">_xlfn.IFS(AH2="no rate","",ISTEXT(AH2),SUM(AI3:INDEX(AI3:$EC$3,,_xlfn.AGGREGATE(15,6,(COLUMN(AI3:$EC$3)-COLUMN()-1)/(LEFT(AI6:$EC$6,1)&lt;&gt;"("),1))),1,INDEX('Capacity'!$B$2:$ED$2,MATCH(AH6,'Capacity'!$3:$3,0))*IFERROR(INDEX(tRates[[Yearly WDs]:[Yearly WDs]],MATCH(AH6,tRates[[Key (lookup)]:[Key (lookup)]],0)),200))</f>
        <v>0</v>
      </c>
      <c r="AI3" s="55" cm="1">
        <f t="array" ref="AI3">_xlfn.IFS(AI2="no rate","",ISTEXT(AI2),SUM(AJ3:INDEX(AJ3:$EC$3,,_xlfn.AGGREGATE(15,6,(COLUMN(AJ3:$EC$3)-COLUMN()-1)/(LEFT(AJ6:$EC$6,1)&lt;&gt;"("),1))),1,INDEX('Capacity'!$B$2:$ED$2,MATCH(AI6,'Capacity'!$3:$3,0))*IFERROR(INDEX(tRates[[Yearly WDs]:[Yearly WDs]],MATCH(AI6,tRates[[Key (lookup)]:[Key (lookup)]],0)),200))</f>
        <v>0</v>
      </c>
      <c r="AJ3" s="55" cm="1">
        <f t="array" ref="AJ3">_xlfn.IFS(AJ2="no rate","",ISTEXT(AJ2),SUM(AK3:INDEX(AK3:$EC$3,,_xlfn.AGGREGATE(15,6,(COLUMN(AK3:$EC$3)-COLUMN()-1)/(LEFT(AK6:$EC$6,1)&lt;&gt;"("),1))),1,INDEX('Capacity'!$B$2:$ED$2,MATCH(AJ6,'Capacity'!$3:$3,0))*IFERROR(INDEX(tRates[[Yearly WDs]:[Yearly WDs]],MATCH(AJ6,tRates[[Key (lookup)]:[Key (lookup)]],0)),200))</f>
        <v>0</v>
      </c>
      <c r="AK3" s="55" cm="1">
        <f t="array" ref="AK3">_xlfn.IFS(AK2="no rate","",ISTEXT(AK2),SUM(AL3:INDEX(AL3:$EC$3,,_xlfn.AGGREGATE(15,6,(COLUMN(AL3:$EC$3)-COLUMN()-1)/(LEFT(AL6:$EC$6,1)&lt;&gt;"("),1))),1,INDEX('Capacity'!$B$2:$ED$2,MATCH(AK6,'Capacity'!$3:$3,0))*IFERROR(INDEX(tRates[[Yearly WDs]:[Yearly WDs]],MATCH(AK6,tRates[[Key (lookup)]:[Key (lookup)]],0)),200))</f>
        <v>0</v>
      </c>
      <c r="AL3" s="55" cm="1">
        <f t="array" ref="AL3">_xlfn.IFS(AL2="no rate","",ISTEXT(AL2),SUM(AM3:INDEX(AM3:$EC$3,,_xlfn.AGGREGATE(15,6,(COLUMN(AM3:$EC$3)-COLUMN()-1)/(LEFT(AM6:$EC$6,1)&lt;&gt;"("),1))),1,INDEX('Capacity'!$B$2:$ED$2,MATCH(AL6,'Capacity'!$3:$3,0))*IFERROR(INDEX(tRates[[Yearly WDs]:[Yearly WDs]],MATCH(AL6,tRates[[Key (lookup)]:[Key (lookup)]],0)),200))</f>
        <v>0</v>
      </c>
      <c r="AM3" s="55" cm="1">
        <f t="array" ref="AM3">_xlfn.IFS(AM2="no rate","",ISTEXT(AM2),SUM(AN3:INDEX(AN3:$EC$3,,_xlfn.AGGREGATE(15,6,(COLUMN(AN3:$EC$3)-COLUMN()-1)/(LEFT(AN6:$EC$6,1)&lt;&gt;"("),1))),1,INDEX('Capacity'!$B$2:$ED$2,MATCH(AM6,'Capacity'!$3:$3,0))*IFERROR(INDEX(tRates[[Yearly WDs]:[Yearly WDs]],MATCH(AM6,tRates[[Key (lookup)]:[Key (lookup)]],0)),200))</f>
        <v>0</v>
      </c>
      <c r="AN3" s="55" cm="1">
        <f t="array" ref="AN3">_xlfn.IFS(AN2="no rate","",ISTEXT(AN2),SUM(AO3:INDEX(AO3:$EC$3,,_xlfn.AGGREGATE(15,6,(COLUMN(AO3:$EC$3)-COLUMN()-1)/(LEFT(AO6:$EC$6,1)&lt;&gt;"("),1))),1,INDEX('Capacity'!$B$2:$ED$2,MATCH(AN6,'Capacity'!$3:$3,0))*IFERROR(INDEX(tRates[[Yearly WDs]:[Yearly WDs]],MATCH(AN6,tRates[[Key (lookup)]:[Key (lookup)]],0)),200))</f>
        <v>0</v>
      </c>
      <c r="AO3" s="55" cm="1">
        <f t="array" ref="AO3">_xlfn.IFS(AO2="no rate","",ISTEXT(AO2),SUM(AP3:INDEX(AP3:$EC$3,,_xlfn.AGGREGATE(15,6,(COLUMN(AP3:$EC$3)-COLUMN()-1)/(LEFT(AP6:$EC$6,1)&lt;&gt;"("),1))),1,INDEX('Capacity'!$B$2:$ED$2,MATCH(AO6,'Capacity'!$3:$3,0))*IFERROR(INDEX(tRates[[Yearly WDs]:[Yearly WDs]],MATCH(AO6,tRates[[Key (lookup)]:[Key (lookup)]],0)),200))</f>
        <v>0</v>
      </c>
      <c r="AP3" s="55" cm="1">
        <f t="array" ref="AP3">_xlfn.IFS(AP2="no rate","",ISTEXT(AP2),SUM(AQ3:INDEX(AQ3:$EC$3,,_xlfn.AGGREGATE(15,6,(COLUMN(AQ3:$EC$3)-COLUMN()-1)/(LEFT(AQ6:$EC$6,1)&lt;&gt;"("),1))),1,INDEX('Capacity'!$B$2:$ED$2,MATCH(AP6,'Capacity'!$3:$3,0))*IFERROR(INDEX(tRates[[Yearly WDs]:[Yearly WDs]],MATCH(AP6,tRates[[Key (lookup)]:[Key (lookup)]],0)),200))</f>
        <v>0</v>
      </c>
      <c r="AQ3" s="55" cm="1">
        <f t="array" ref="AQ3">_xlfn.IFS(AQ2="no rate","",ISTEXT(AQ2),SUM(AR3:INDEX(AR3:$EC$3,,_xlfn.AGGREGATE(15,6,(COLUMN(AR3:$EC$3)-COLUMN()-1)/(LEFT(AR6:$EC$6,1)&lt;&gt;"("),1))),1,INDEX('Capacity'!$B$2:$ED$2,MATCH(AQ6,'Capacity'!$3:$3,0))*IFERROR(INDEX(tRates[[Yearly WDs]:[Yearly WDs]],MATCH(AQ6,tRates[[Key (lookup)]:[Key (lookup)]],0)),200))</f>
        <v>0</v>
      </c>
      <c r="AR3" s="55" cm="1">
        <f t="array" ref="AR3">_xlfn.IFS(AR2="no rate","",ISTEXT(AR2),SUM(AS3:INDEX(AS3:$EC$3,,_xlfn.AGGREGATE(15,6,(COLUMN(AS3:$EC$3)-COLUMN()-1)/(LEFT(AS6:$EC$6,1)&lt;&gt;"("),1))),1,INDEX('Capacity'!$B$2:$ED$2,MATCH(AR6,'Capacity'!$3:$3,0))*IFERROR(INDEX(tRates[[Yearly WDs]:[Yearly WDs]],MATCH(AR6,tRates[[Key (lookup)]:[Key (lookup)]],0)),200))</f>
        <v>0</v>
      </c>
      <c r="AS3" s="55" cm="1">
        <f t="array" ref="AS3">_xlfn.IFS(AS2="no rate","",ISTEXT(AS2),SUM(AT3:INDEX(AT3:$EC$3,,_xlfn.AGGREGATE(15,6,(COLUMN(AT3:$EC$3)-COLUMN()-1)/(LEFT(AT6:$EC$6,1)&lt;&gt;"("),1))),1,INDEX('Capacity'!$B$2:$ED$2,MATCH(AS6,'Capacity'!$3:$3,0))*IFERROR(INDEX(tRates[[Yearly WDs]:[Yearly WDs]],MATCH(AS6,tRates[[Key (lookup)]:[Key (lookup)]],0)),200))</f>
        <v>0</v>
      </c>
      <c r="AT3" s="55" cm="1">
        <f t="array" ref="AT3">_xlfn.IFS(AT2="no rate","",ISTEXT(AT2),SUM(AU3:INDEX(AU3:$EC$3,,_xlfn.AGGREGATE(15,6,(COLUMN(AU3:$EC$3)-COLUMN()-1)/(LEFT(AU6:$EC$6,1)&lt;&gt;"("),1))),1,INDEX('Capacity'!$B$2:$ED$2,MATCH(AT6,'Capacity'!$3:$3,0))*IFERROR(INDEX(tRates[[Yearly WDs]:[Yearly WDs]],MATCH(AT6,tRates[[Key (lookup)]:[Key (lookup)]],0)),200))</f>
        <v>0</v>
      </c>
      <c r="AU3" s="55" cm="1">
        <f t="array" ref="AU3">_xlfn.IFS(AU2="no rate","",ISTEXT(AU2),SUM(AV3:INDEX(AV3:$EC$3,,_xlfn.AGGREGATE(15,6,(COLUMN(AV3:$EC$3)-COLUMN()-1)/(LEFT(AV6:$EC$6,1)&lt;&gt;"("),1))),1,INDEX('Capacity'!$B$2:$ED$2,MATCH(AU6,'Capacity'!$3:$3,0))*IFERROR(INDEX(tRates[[Yearly WDs]:[Yearly WDs]],MATCH(AU6,tRates[[Key (lookup)]:[Key (lookup)]],0)),200))</f>
        <v>0</v>
      </c>
      <c r="AV3" s="55" cm="1">
        <f t="array" ref="AV3">_xlfn.IFS(AV2="no rate","",ISTEXT(AV2),SUM(AW3:INDEX(AW3:$EC$3,,_xlfn.AGGREGATE(15,6,(COLUMN(AW3:$EC$3)-COLUMN()-1)/(LEFT(AW6:$EC$6,1)&lt;&gt;"("),1))),1,INDEX('Capacity'!$B$2:$ED$2,MATCH(AV6,'Capacity'!$3:$3,0))*IFERROR(INDEX(tRates[[Yearly WDs]:[Yearly WDs]],MATCH(AV6,tRates[[Key (lookup)]:[Key (lookup)]],0)),200))</f>
        <v>0</v>
      </c>
      <c r="AW3" s="55" cm="1">
        <f t="array" ref="AW3">_xlfn.IFS(AW2="no rate","",ISTEXT(AW2),SUM(AX3:INDEX(AX3:$EC$3,,_xlfn.AGGREGATE(15,6,(COLUMN(AX3:$EC$3)-COLUMN()-1)/(LEFT(AX6:$EC$6,1)&lt;&gt;"("),1))),1,INDEX('Capacity'!$B$2:$ED$2,MATCH(AW6,'Capacity'!$3:$3,0))*IFERROR(INDEX(tRates[[Yearly WDs]:[Yearly WDs]],MATCH(AW6,tRates[[Key (lookup)]:[Key (lookup)]],0)),200))</f>
        <v>0</v>
      </c>
      <c r="AX3" s="55" cm="1">
        <f t="array" ref="AX3">_xlfn.IFS(AX2="no rate","",ISTEXT(AX2),SUM(AY3:INDEX(AY3:$EC$3,,_xlfn.AGGREGATE(15,6,(COLUMN(AY3:$EC$3)-COLUMN()-1)/(LEFT(AY6:$EC$6,1)&lt;&gt;"("),1))),1,INDEX('Capacity'!$B$2:$ED$2,MATCH(AX6,'Capacity'!$3:$3,0))*IFERROR(INDEX(tRates[[Yearly WDs]:[Yearly WDs]],MATCH(AX6,tRates[[Key (lookup)]:[Key (lookup)]],0)),200))</f>
        <v>0</v>
      </c>
      <c r="AY3" s="55" cm="1">
        <f t="array" ref="AY3">_xlfn.IFS(AY2="no rate","",ISTEXT(AY2),SUM(AZ3:INDEX(AZ3:$EC$3,,_xlfn.AGGREGATE(15,6,(COLUMN(AZ3:$EC$3)-COLUMN()-1)/(LEFT(AZ6:$EC$6,1)&lt;&gt;"("),1))),1,INDEX('Capacity'!$B$2:$ED$2,MATCH(AY6,'Capacity'!$3:$3,0))*IFERROR(INDEX(tRates[[Yearly WDs]:[Yearly WDs]],MATCH(AY6,tRates[[Key (lookup)]:[Key (lookup)]],0)),200))</f>
        <v>0</v>
      </c>
      <c r="AZ3" s="55" cm="1">
        <f t="array" ref="AZ3">_xlfn.IFS(AZ2="no rate","",ISTEXT(AZ2),SUM(BA3:INDEX(BA3:$EC$3,,_xlfn.AGGREGATE(15,6,(COLUMN(BA3:$EC$3)-COLUMN()-1)/(LEFT(BA6:$EC$6,1)&lt;&gt;"("),1))),1,INDEX('Capacity'!$B$2:$ED$2,MATCH(AZ6,'Capacity'!$3:$3,0))*IFERROR(INDEX(tRates[[Yearly WDs]:[Yearly WDs]],MATCH(AZ6,tRates[[Key (lookup)]:[Key (lookup)]],0)),200))</f>
        <v>0</v>
      </c>
      <c r="BA3" s="55" cm="1">
        <f t="array" ref="BA3">_xlfn.IFS(BA2="no rate","",ISTEXT(BA2),SUM(BB3:INDEX(BB3:$EC$3,,_xlfn.AGGREGATE(15,6,(COLUMN(BB3:$EC$3)-COLUMN()-1)/(LEFT(BB6:$EC$6,1)&lt;&gt;"("),1))),1,INDEX('Capacity'!$B$2:$ED$2,MATCH(BA6,'Capacity'!$3:$3,0))*IFERROR(INDEX(tRates[[Yearly WDs]:[Yearly WDs]],MATCH(BA6,tRates[[Key (lookup)]:[Key (lookup)]],0)),200))</f>
        <v>0</v>
      </c>
      <c r="BB3" s="55" cm="1">
        <f t="array" ref="BB3">_xlfn.IFS(BB2="no rate","",ISTEXT(BB2),SUM(BC3:INDEX(BC3:$EC$3,,_xlfn.AGGREGATE(15,6,(COLUMN(BC3:$EC$3)-COLUMN()-1)/(LEFT(BC6:$EC$6,1)&lt;&gt;"("),1))),1,INDEX('Capacity'!$B$2:$ED$2,MATCH(BB6,'Capacity'!$3:$3,0))*IFERROR(INDEX(tRates[[Yearly WDs]:[Yearly WDs]],MATCH(BB6,tRates[[Key (lookup)]:[Key (lookup)]],0)),200))</f>
        <v>0</v>
      </c>
      <c r="BC3" s="55" cm="1">
        <f t="array" ref="BC3">_xlfn.IFS(BC2="no rate","",ISTEXT(BC2),SUM(BD3:INDEX(BD3:$EC$3,,_xlfn.AGGREGATE(15,6,(COLUMN(BD3:$EC$3)-COLUMN()-1)/(LEFT(BD6:$EC$6,1)&lt;&gt;"("),1))),1,INDEX('Capacity'!$B$2:$ED$2,MATCH(BC6,'Capacity'!$3:$3,0))*IFERROR(INDEX(tRates[[Yearly WDs]:[Yearly WDs]],MATCH(BC6,tRates[[Key (lookup)]:[Key (lookup)]],0)),200))</f>
        <v>0</v>
      </c>
      <c r="BD3" s="55" cm="1">
        <f t="array" ref="BD3">_xlfn.IFS(BD2="no rate","",ISTEXT(BD2),SUM(BE3:INDEX(BE3:$EC$3,,_xlfn.AGGREGATE(15,6,(COLUMN(BE3:$EC$3)-COLUMN()-1)/(LEFT(BE6:$EC$6,1)&lt;&gt;"("),1))),1,INDEX('Capacity'!$B$2:$ED$2,MATCH(BD6,'Capacity'!$3:$3,0))*IFERROR(INDEX(tRates[[Yearly WDs]:[Yearly WDs]],MATCH(BD6,tRates[[Key (lookup)]:[Key (lookup)]],0)),200))</f>
        <v>0</v>
      </c>
      <c r="BE3" s="55" cm="1">
        <f t="array" ref="BE3">_xlfn.IFS(BE2="no rate","",ISTEXT(BE2),SUM(BF3:INDEX(BF3:$EC$3,,_xlfn.AGGREGATE(15,6,(COLUMN(BF3:$EC$3)-COLUMN()-1)/(LEFT(BF6:$EC$6,1)&lt;&gt;"("),1))),1,INDEX('Capacity'!$B$2:$ED$2,MATCH(BE6,'Capacity'!$3:$3,0))*IFERROR(INDEX(tRates[[Yearly WDs]:[Yearly WDs]],MATCH(BE6,tRates[[Key (lookup)]:[Key (lookup)]],0)),200))</f>
        <v>0</v>
      </c>
      <c r="BF3" s="55" cm="1">
        <f t="array" ref="BF3">_xlfn.IFS(BF2="no rate","",ISTEXT(BF2),SUM(BG3:INDEX(BG3:$EC$3,,_xlfn.AGGREGATE(15,6,(COLUMN(BG3:$EC$3)-COLUMN()-1)/(LEFT(BG6:$EC$6,1)&lt;&gt;"("),1))),1,INDEX('Capacity'!$B$2:$ED$2,MATCH(BF6,'Capacity'!$3:$3,0))*IFERROR(INDEX(tRates[[Yearly WDs]:[Yearly WDs]],MATCH(BF6,tRates[[Key (lookup)]:[Key (lookup)]],0)),200))</f>
        <v>0</v>
      </c>
      <c r="BG3" s="55" cm="1">
        <f t="array" ref="BG3">_xlfn.IFS(BG2="no rate","",ISTEXT(BG2),SUM(BH3:INDEX(BH3:$EC$3,,_xlfn.AGGREGATE(15,6,(COLUMN(BH3:$EC$3)-COLUMN()-1)/(LEFT(BH6:$EC$6,1)&lt;&gt;"("),1))),1,INDEX('Capacity'!$B$2:$ED$2,MATCH(BG6,'Capacity'!$3:$3,0))*IFERROR(INDEX(tRates[[Yearly WDs]:[Yearly WDs]],MATCH(BG6,tRates[[Key (lookup)]:[Key (lookup)]],0)),200))</f>
        <v>0</v>
      </c>
      <c r="BH3" s="55" cm="1">
        <f t="array" ref="BH3">_xlfn.IFS(BH2="no rate","",ISTEXT(BH2),SUM(BI3:INDEX(BI3:$EC$3,,_xlfn.AGGREGATE(15,6,(COLUMN(BI3:$EC$3)-COLUMN()-1)/(LEFT(BI6:$EC$6,1)&lt;&gt;"("),1))),1,INDEX('Capacity'!$B$2:$ED$2,MATCH(BH6,'Capacity'!$3:$3,0))*IFERROR(INDEX(tRates[[Yearly WDs]:[Yearly WDs]],MATCH(BH6,tRates[[Key (lookup)]:[Key (lookup)]],0)),200))</f>
        <v>0</v>
      </c>
      <c r="BI3" s="55" cm="1">
        <f t="array" ref="BI3">_xlfn.IFS(BI2="no rate","",ISTEXT(BI2),SUM(BJ3:INDEX(BJ3:$EC$3,,_xlfn.AGGREGATE(15,6,(COLUMN(BJ3:$EC$3)-COLUMN()-1)/(LEFT(BJ6:$EC$6,1)&lt;&gt;"("),1))),1,INDEX('Capacity'!$B$2:$ED$2,MATCH(BI6,'Capacity'!$3:$3,0))*IFERROR(INDEX(tRates[[Yearly WDs]:[Yearly WDs]],MATCH(BI6,tRates[[Key (lookup)]:[Key (lookup)]],0)),200))</f>
        <v>0</v>
      </c>
      <c r="BJ3" s="55" cm="1">
        <f t="array" ref="BJ3">_xlfn.IFS(BJ2="no rate","",ISTEXT(BJ2),SUM(BK3:INDEX(BK3:$EC$3,,_xlfn.AGGREGATE(15,6,(COLUMN(BK3:$EC$3)-COLUMN()-1)/(LEFT(BK6:$EC$6,1)&lt;&gt;"("),1))),1,INDEX('Capacity'!$B$2:$ED$2,MATCH(BJ6,'Capacity'!$3:$3,0))*IFERROR(INDEX(tRates[[Yearly WDs]:[Yearly WDs]],MATCH(BJ6,tRates[[Key (lookup)]:[Key (lookup)]],0)),200))</f>
        <v>0</v>
      </c>
      <c r="BK3" s="55" cm="1">
        <f t="array" ref="BK3">_xlfn.IFS(BK2="no rate","",ISTEXT(BK2),SUM(BL3:INDEX(BL3:$EC$3,,_xlfn.AGGREGATE(15,6,(COLUMN(BL3:$EC$3)-COLUMN()-1)/(LEFT(BL6:$EC$6,1)&lt;&gt;"("),1))),1,INDEX('Capacity'!$B$2:$ED$2,MATCH(BK6,'Capacity'!$3:$3,0))*IFERROR(INDEX(tRates[[Yearly WDs]:[Yearly WDs]],MATCH(BK6,tRates[[Key (lookup)]:[Key (lookup)]],0)),200))</f>
        <v>0</v>
      </c>
      <c r="BL3" s="55" cm="1">
        <f t="array" ref="BL3">_xlfn.IFS(BL2="no rate","",ISTEXT(BL2),SUM(BM3:INDEX(BM3:$EC$3,,_xlfn.AGGREGATE(15,6,(COLUMN(BM3:$EC$3)-COLUMN()-1)/(LEFT(BM6:$EC$6,1)&lt;&gt;"("),1))),1,INDEX('Capacity'!$B$2:$ED$2,MATCH(BL6,'Capacity'!$3:$3,0))*IFERROR(INDEX(tRates[[Yearly WDs]:[Yearly WDs]],MATCH(BL6,tRates[[Key (lookup)]:[Key (lookup)]],0)),200))</f>
        <v>0</v>
      </c>
      <c r="BM3" s="55" cm="1">
        <f t="array" ref="BM3">_xlfn.IFS(BM2="no rate","",ISTEXT(BM2),SUM(BN3:INDEX(BN3:$EC$3,,_xlfn.AGGREGATE(15,6,(COLUMN(BN3:$EC$3)-COLUMN()-1)/(LEFT(BN6:$EC$6,1)&lt;&gt;"("),1))),1,INDEX('Capacity'!$B$2:$ED$2,MATCH(BM6,'Capacity'!$3:$3,0))*IFERROR(INDEX(tRates[[Yearly WDs]:[Yearly WDs]],MATCH(BM6,tRates[[Key (lookup)]:[Key (lookup)]],0)),200))</f>
        <v>0</v>
      </c>
      <c r="BN3" s="55" cm="1">
        <f t="array" ref="BN3">_xlfn.IFS(BN2="no rate","",ISTEXT(BN2),SUM(BO3:INDEX(BO3:$EC$3,,_xlfn.AGGREGATE(15,6,(COLUMN(BO3:$EC$3)-COLUMN()-1)/(LEFT(BO6:$EC$6,1)&lt;&gt;"("),1))),1,INDEX('Capacity'!$B$2:$ED$2,MATCH(BN6,'Capacity'!$3:$3,0))*IFERROR(INDEX(tRates[[Yearly WDs]:[Yearly WDs]],MATCH(BN6,tRates[[Key (lookup)]:[Key (lookup)]],0)),200))</f>
        <v>0</v>
      </c>
      <c r="BO3" s="55" cm="1">
        <f t="array" ref="BO3">_xlfn.IFS(BO2="no rate","",ISTEXT(BO2),SUM(BP3:INDEX(BP3:$EC$3,,_xlfn.AGGREGATE(15,6,(COLUMN(BP3:$EC$3)-COLUMN()-1)/(LEFT(BP6:$EC$6,1)&lt;&gt;"("),1))),1,INDEX('Capacity'!$B$2:$ED$2,MATCH(BO6,'Capacity'!$3:$3,0))*IFERROR(INDEX(tRates[[Yearly WDs]:[Yearly WDs]],MATCH(BO6,tRates[[Key (lookup)]:[Key (lookup)]],0)),200))</f>
        <v>0</v>
      </c>
      <c r="BP3" s="55" cm="1">
        <f t="array" ref="BP3">_xlfn.IFS(BP2="no rate","",ISTEXT(BP2),SUM(BQ3:INDEX(BQ3:$EC$3,,_xlfn.AGGREGATE(15,6,(COLUMN(BQ3:$EC$3)-COLUMN()-1)/(LEFT(BQ6:$EC$6,1)&lt;&gt;"("),1))),1,INDEX('Capacity'!$B$2:$ED$2,MATCH(BP6,'Capacity'!$3:$3,0))*IFERROR(INDEX(tRates[[Yearly WDs]:[Yearly WDs]],MATCH(BP6,tRates[[Key (lookup)]:[Key (lookup)]],0)),200))</f>
        <v>0</v>
      </c>
      <c r="BQ3" s="55" cm="1">
        <f t="array" ref="BQ3">_xlfn.IFS(BQ2="no rate","",ISTEXT(BQ2),SUM(BR3:INDEX(BR3:$EC$3,,_xlfn.AGGREGATE(15,6,(COLUMN(BR3:$EC$3)-COLUMN()-1)/(LEFT(BR6:$EC$6,1)&lt;&gt;"("),1))),1,INDEX('Capacity'!$B$2:$ED$2,MATCH(BQ6,'Capacity'!$3:$3,0))*IFERROR(INDEX(tRates[[Yearly WDs]:[Yearly WDs]],MATCH(BQ6,tRates[[Key (lookup)]:[Key (lookup)]],0)),200))</f>
        <v>0</v>
      </c>
      <c r="BR3" s="55" cm="1">
        <f t="array" ref="BR3">_xlfn.IFS(BR2="no rate","",ISTEXT(BR2),SUM(BS3:INDEX(BS3:$EC$3,,_xlfn.AGGREGATE(15,6,(COLUMN(BS3:$EC$3)-COLUMN()-1)/(LEFT(BS6:$EC$6,1)&lt;&gt;"("),1))),1,INDEX('Capacity'!$B$2:$ED$2,MATCH(BR6,'Capacity'!$3:$3,0))*IFERROR(INDEX(tRates[[Yearly WDs]:[Yearly WDs]],MATCH(BR6,tRates[[Key (lookup)]:[Key (lookup)]],0)),200))</f>
        <v>0</v>
      </c>
      <c r="BS3" s="55" cm="1">
        <f t="array" ref="BS3">_xlfn.IFS(BS2="no rate","",ISTEXT(BS2),SUM(BT3:INDEX(BT3:$EC$3,,_xlfn.AGGREGATE(15,6,(COLUMN(BT3:$EC$3)-COLUMN()-1)/(LEFT(BT6:$EC$6,1)&lt;&gt;"("),1))),1,INDEX('Capacity'!$B$2:$ED$2,MATCH(BS6,'Capacity'!$3:$3,0))*IFERROR(INDEX(tRates[[Yearly WDs]:[Yearly WDs]],MATCH(BS6,tRates[[Key (lookup)]:[Key (lookup)]],0)),200))</f>
        <v>0</v>
      </c>
      <c r="BT3" s="55" cm="1">
        <f t="array" ref="BT3">_xlfn.IFS(BT2="no rate","",ISTEXT(BT2),SUM(BU3:INDEX(BU3:$EC$3,,_xlfn.AGGREGATE(15,6,(COLUMN(BU3:$EC$3)-COLUMN()-1)/(LEFT(BU6:$EC$6,1)&lt;&gt;"("),1))),1,INDEX('Capacity'!$B$2:$ED$2,MATCH(BT6,'Capacity'!$3:$3,0))*IFERROR(INDEX(tRates[[Yearly WDs]:[Yearly WDs]],MATCH(BT6,tRates[[Key (lookup)]:[Key (lookup)]],0)),200))</f>
        <v>0</v>
      </c>
      <c r="BU3" s="55" cm="1">
        <f t="array" ref="BU3">_xlfn.IFS(BU2="no rate","",ISTEXT(BU2),SUM(BV3:INDEX(BV3:$EC$3,,_xlfn.AGGREGATE(15,6,(COLUMN(BV3:$EC$3)-COLUMN()-1)/(LEFT(BV6:$EC$6,1)&lt;&gt;"("),1))),1,INDEX('Capacity'!$B$2:$ED$2,MATCH(BU6,'Capacity'!$3:$3,0))*IFERROR(INDEX(tRates[[Yearly WDs]:[Yearly WDs]],MATCH(BU6,tRates[[Key (lookup)]:[Key (lookup)]],0)),200))</f>
        <v>0</v>
      </c>
      <c r="BV3" s="55" cm="1">
        <f t="array" ref="BV3">_xlfn.IFS(BV2="no rate","",ISTEXT(BV2),SUM(BW3:INDEX(BW3:$EC$3,,_xlfn.AGGREGATE(15,6,(COLUMN(BW3:$EC$3)-COLUMN()-1)/(LEFT(BW6:$EC$6,1)&lt;&gt;"("),1))),1,INDEX('Capacity'!$B$2:$ED$2,MATCH(BV6,'Capacity'!$3:$3,0))*IFERROR(INDEX(tRates[[Yearly WDs]:[Yearly WDs]],MATCH(BV6,tRates[[Key (lookup)]:[Key (lookup)]],0)),200))</f>
        <v>0</v>
      </c>
      <c r="BW3" s="55" cm="1">
        <f t="array" ref="BW3">_xlfn.IFS(BW2="no rate","",ISTEXT(BW2),SUM(BX3:INDEX(BX3:$EC$3,,_xlfn.AGGREGATE(15,6,(COLUMN(BX3:$EC$3)-COLUMN()-1)/(LEFT(BX6:$EC$6,1)&lt;&gt;"("),1))),1,INDEX('Capacity'!$B$2:$ED$2,MATCH(BW6,'Capacity'!$3:$3,0))*IFERROR(INDEX(tRates[[Yearly WDs]:[Yearly WDs]],MATCH(BW6,tRates[[Key (lookup)]:[Key (lookup)]],0)),200))</f>
        <v>0</v>
      </c>
      <c r="BX3" s="55" cm="1">
        <f t="array" ref="BX3">_xlfn.IFS(BX2="no rate","",ISTEXT(BX2),SUM(BY3:INDEX(BY3:$EC$3,,_xlfn.AGGREGATE(15,6,(COLUMN(BY3:$EC$3)-COLUMN()-1)/(LEFT(BY6:$EC$6,1)&lt;&gt;"("),1))),1,INDEX('Capacity'!$B$2:$ED$2,MATCH(BX6,'Capacity'!$3:$3,0))*IFERROR(INDEX(tRates[[Yearly WDs]:[Yearly WDs]],MATCH(BX6,tRates[[Key (lookup)]:[Key (lookup)]],0)),200))</f>
        <v>0</v>
      </c>
      <c r="BY3" s="55" cm="1">
        <f t="array" ref="BY3">_xlfn.IFS(BY2="no rate","",ISTEXT(BY2),SUM(BZ3:INDEX(BZ3:$EC$3,,_xlfn.AGGREGATE(15,6,(COLUMN(BZ3:$EC$3)-COLUMN()-1)/(LEFT(BZ6:$EC$6,1)&lt;&gt;"("),1))),1,INDEX('Capacity'!$B$2:$ED$2,MATCH(BY6,'Capacity'!$3:$3,0))*IFERROR(INDEX(tRates[[Yearly WDs]:[Yearly WDs]],MATCH(BY6,tRates[[Key (lookup)]:[Key (lookup)]],0)),200))</f>
        <v>0</v>
      </c>
      <c r="BZ3" s="55" cm="1">
        <f t="array" ref="BZ3">_xlfn.IFS(BZ2="no rate","",ISTEXT(BZ2),SUM(CA3:INDEX(CA3:$EC$3,,_xlfn.AGGREGATE(15,6,(COLUMN(CA3:$EC$3)-COLUMN()-1)/(LEFT(CA6:$EC$6,1)&lt;&gt;"("),1))),1,INDEX('Capacity'!$B$2:$ED$2,MATCH(BZ6,'Capacity'!$3:$3,0))*IFERROR(INDEX(tRates[[Yearly WDs]:[Yearly WDs]],MATCH(BZ6,tRates[[Key (lookup)]:[Key (lookup)]],0)),200))</f>
        <v>0</v>
      </c>
      <c r="CA3" s="55" cm="1">
        <f t="array" ref="CA3">_xlfn.IFS(CA2="no rate","",ISTEXT(CA2),SUM(CB3:INDEX(CB3:$EC$3,,_xlfn.AGGREGATE(15,6,(COLUMN(CB3:$EC$3)-COLUMN()-1)/(LEFT(CB6:$EC$6,1)&lt;&gt;"("),1))),1,INDEX('Capacity'!$B$2:$ED$2,MATCH(CA6,'Capacity'!$3:$3,0))*IFERROR(INDEX(tRates[[Yearly WDs]:[Yearly WDs]],MATCH(CA6,tRates[[Key (lookup)]:[Key (lookup)]],0)),200))</f>
        <v>0</v>
      </c>
      <c r="CB3" s="55" cm="1">
        <f t="array" ref="CB3">_xlfn.IFS(CB2="no rate","",ISTEXT(CB2),SUM(CC3:INDEX(CC3:$EC$3,,_xlfn.AGGREGATE(15,6,(COLUMN(CC3:$EC$3)-COLUMN()-1)/(LEFT(CC6:$EC$6,1)&lt;&gt;"("),1))),1,INDEX('Capacity'!$B$2:$ED$2,MATCH(CB6,'Capacity'!$3:$3,0))*IFERROR(INDEX(tRates[[Yearly WDs]:[Yearly WDs]],MATCH(CB6,tRates[[Key (lookup)]:[Key (lookup)]],0)),200))</f>
        <v>0</v>
      </c>
      <c r="CC3" s="55" cm="1">
        <f t="array" ref="CC3">_xlfn.IFS(CC2="no rate","",ISTEXT(CC2),SUM(CD3:INDEX(CD3:$EC$3,,_xlfn.AGGREGATE(15,6,(COLUMN(CD3:$EC$3)-COLUMN()-1)/(LEFT(CD6:$EC$6,1)&lt;&gt;"("),1))),1,INDEX('Capacity'!$B$2:$ED$2,MATCH(CC6,'Capacity'!$3:$3,0))*IFERROR(INDEX(tRates[[Yearly WDs]:[Yearly WDs]],MATCH(CC6,tRates[[Key (lookup)]:[Key (lookup)]],0)),200))</f>
        <v>0</v>
      </c>
      <c r="CD3" s="55" cm="1">
        <f t="array" ref="CD3">_xlfn.IFS(CD2="no rate","",ISTEXT(CD2),SUM(CE3:INDEX(CE3:$EC$3,,_xlfn.AGGREGATE(15,6,(COLUMN(CE3:$EC$3)-COLUMN()-1)/(LEFT(CE6:$EC$6,1)&lt;&gt;"("),1))),1,INDEX('Capacity'!$B$2:$ED$2,MATCH(CD6,'Capacity'!$3:$3,0))*IFERROR(INDEX(tRates[[Yearly WDs]:[Yearly WDs]],MATCH(CD6,tRates[[Key (lookup)]:[Key (lookup)]],0)),200))</f>
        <v>0</v>
      </c>
      <c r="CE3" s="55" cm="1">
        <f t="array" ref="CE3">_xlfn.IFS(CE2="no rate","",ISTEXT(CE2),SUM(CF3:INDEX(CF3:$EC$3,,_xlfn.AGGREGATE(15,6,(COLUMN(CF3:$EC$3)-COLUMN()-1)/(LEFT(CF6:$EC$6,1)&lt;&gt;"("),1))),1,INDEX('Capacity'!$B$2:$ED$2,MATCH(CE6,'Capacity'!$3:$3,0))*IFERROR(INDEX(tRates[[Yearly WDs]:[Yearly WDs]],MATCH(CE6,tRates[[Key (lookup)]:[Key (lookup)]],0)),200))</f>
        <v>0</v>
      </c>
      <c r="CF3" s="55" cm="1">
        <f t="array" ref="CF3">_xlfn.IFS(CF2="no rate","",ISTEXT(CF2),SUM(CG3:INDEX(CG3:$EC$3,,_xlfn.AGGREGATE(15,6,(COLUMN(CG3:$EC$3)-COLUMN()-1)/(LEFT(CG6:$EC$6,1)&lt;&gt;"("),1))),1,INDEX('Capacity'!$B$2:$ED$2,MATCH(CF6,'Capacity'!$3:$3,0))*IFERROR(INDEX(tRates[[Yearly WDs]:[Yearly WDs]],MATCH(CF6,tRates[[Key (lookup)]:[Key (lookup)]],0)),200))</f>
        <v>0</v>
      </c>
      <c r="CG3" s="55" cm="1">
        <f t="array" ref="CG3">_xlfn.IFS(CG2="no rate","",ISTEXT(CG2),SUM(CH3:INDEX(CH3:$EC$3,,_xlfn.AGGREGATE(15,6,(COLUMN(CH3:$EC$3)-COLUMN()-1)/(LEFT(CH6:$EC$6,1)&lt;&gt;"("),1))),1,INDEX('Capacity'!$B$2:$ED$2,MATCH(CG6,'Capacity'!$3:$3,0))*IFERROR(INDEX(tRates[[Yearly WDs]:[Yearly WDs]],MATCH(CG6,tRates[[Key (lookup)]:[Key (lookup)]],0)),200))</f>
        <v>0</v>
      </c>
      <c r="CH3" s="55" cm="1">
        <f t="array" ref="CH3">_xlfn.IFS(CH2="no rate","",ISTEXT(CH2),SUM(CI3:INDEX(CI3:$EC$3,,_xlfn.AGGREGATE(15,6,(COLUMN(CI3:$EC$3)-COLUMN()-1)/(LEFT(CI6:$EC$6,1)&lt;&gt;"("),1))),1,INDEX('Capacity'!$B$2:$ED$2,MATCH(CH6,'Capacity'!$3:$3,0))*IFERROR(INDEX(tRates[[Yearly WDs]:[Yearly WDs]],MATCH(CH6,tRates[[Key (lookup)]:[Key (lookup)]],0)),200))</f>
        <v>0</v>
      </c>
      <c r="CI3" s="55" cm="1">
        <f t="array" ref="CI3">_xlfn.IFS(CI2="no rate","",ISTEXT(CI2),SUM(CJ3:INDEX(CJ3:$EC$3,,_xlfn.AGGREGATE(15,6,(COLUMN(CJ3:$EC$3)-COLUMN()-1)/(LEFT(CJ6:$EC$6,1)&lt;&gt;"("),1))),1,INDEX('Capacity'!$B$2:$ED$2,MATCH(CI6,'Capacity'!$3:$3,0))*IFERROR(INDEX(tRates[[Yearly WDs]:[Yearly WDs]],MATCH(CI6,tRates[[Key (lookup)]:[Key (lookup)]],0)),200))</f>
        <v>0</v>
      </c>
      <c r="CJ3" s="55" cm="1">
        <f t="array" ref="CJ3">_xlfn.IFS(CJ2="no rate","",ISTEXT(CJ2),SUM(CK3:INDEX(CK3:$EC$3,,_xlfn.AGGREGATE(15,6,(COLUMN(CK3:$EC$3)-COLUMN()-1)/(LEFT(CK6:$EC$6,1)&lt;&gt;"("),1))),1,INDEX('Capacity'!$B$2:$ED$2,MATCH(CJ6,'Capacity'!$3:$3,0))*IFERROR(INDEX(tRates[[Yearly WDs]:[Yearly WDs]],MATCH(CJ6,tRates[[Key (lookup)]:[Key (lookup)]],0)),200))</f>
        <v>0</v>
      </c>
      <c r="CK3" s="55" cm="1">
        <f t="array" ref="CK3">_xlfn.IFS(CK2="no rate","",ISTEXT(CK2),SUM(CL3:INDEX(CL3:$EC$3,,_xlfn.AGGREGATE(15,6,(COLUMN(CL3:$EC$3)-COLUMN()-1)/(LEFT(CL6:$EC$6,1)&lt;&gt;"("),1))),1,INDEX('Capacity'!$B$2:$ED$2,MATCH(CK6,'Capacity'!$3:$3,0))*IFERROR(INDEX(tRates[[Yearly WDs]:[Yearly WDs]],MATCH(CK6,tRates[[Key (lookup)]:[Key (lookup)]],0)),200))</f>
        <v>0</v>
      </c>
      <c r="CL3" s="55" cm="1">
        <f t="array" ref="CL3">_xlfn.IFS(CL2="no rate","",ISTEXT(CL2),SUM(CM3:INDEX(CM3:$EC$3,,_xlfn.AGGREGATE(15,6,(COLUMN(CM3:$EC$3)-COLUMN()-1)/(LEFT(CM6:$EC$6,1)&lt;&gt;"("),1))),1,INDEX('Capacity'!$B$2:$ED$2,MATCH(CL6,'Capacity'!$3:$3,0))*IFERROR(INDEX(tRates[[Yearly WDs]:[Yearly WDs]],MATCH(CL6,tRates[[Key (lookup)]:[Key (lookup)]],0)),200))</f>
        <v>0</v>
      </c>
      <c r="CM3" s="55" cm="1">
        <f t="array" ref="CM3">_xlfn.IFS(CM2="no rate","",ISTEXT(CM2),SUM(CN3:INDEX(CN3:$EC$3,,_xlfn.AGGREGATE(15,6,(COLUMN(CN3:$EC$3)-COLUMN()-1)/(LEFT(CN6:$EC$6,1)&lt;&gt;"("),1))),1,INDEX('Capacity'!$B$2:$ED$2,MATCH(CM6,'Capacity'!$3:$3,0))*IFERROR(INDEX(tRates[[Yearly WDs]:[Yearly WDs]],MATCH(CM6,tRates[[Key (lookup)]:[Key (lookup)]],0)),200))</f>
        <v>0</v>
      </c>
      <c r="CN3" s="55" cm="1">
        <f t="array" ref="CN3">_xlfn.IFS(CN2="no rate","",ISTEXT(CN2),SUM(CO3:INDEX(CO3:$EC$3,,_xlfn.AGGREGATE(15,6,(COLUMN(CO3:$EC$3)-COLUMN()-1)/(LEFT(CO6:$EC$6,1)&lt;&gt;"("),1))),1,INDEX('Capacity'!$B$2:$ED$2,MATCH(CN6,'Capacity'!$3:$3,0))*IFERROR(INDEX(tRates[[Yearly WDs]:[Yearly WDs]],MATCH(CN6,tRates[[Key (lookup)]:[Key (lookup)]],0)),200))</f>
        <v>0</v>
      </c>
      <c r="CO3" s="55" cm="1">
        <f t="array" ref="CO3">_xlfn.IFS(CO2="no rate","",ISTEXT(CO2),SUM(CP3:INDEX(CP3:$EC$3,,_xlfn.AGGREGATE(15,6,(COLUMN(CP3:$EC$3)-COLUMN()-1)/(LEFT(CP6:$EC$6,1)&lt;&gt;"("),1))),1,INDEX('Capacity'!$B$2:$ED$2,MATCH(CO6,'Capacity'!$3:$3,0))*IFERROR(INDEX(tRates[[Yearly WDs]:[Yearly WDs]],MATCH(CO6,tRates[[Key (lookup)]:[Key (lookup)]],0)),200))</f>
        <v>0</v>
      </c>
      <c r="CP3" s="55" cm="1">
        <f t="array" ref="CP3">_xlfn.IFS(CP2="no rate","",ISTEXT(CP2),SUM(CQ3:INDEX(CQ3:$EC$3,,_xlfn.AGGREGATE(15,6,(COLUMN(CQ3:$EC$3)-COLUMN()-1)/(LEFT(CQ6:$EC$6,1)&lt;&gt;"("),1))),1,INDEX('Capacity'!$B$2:$ED$2,MATCH(CP6,'Capacity'!$3:$3,0))*IFERROR(INDEX(tRates[[Yearly WDs]:[Yearly WDs]],MATCH(CP6,tRates[[Key (lookup)]:[Key (lookup)]],0)),200))</f>
        <v>0</v>
      </c>
      <c r="CQ3" s="55" cm="1">
        <f t="array" ref="CQ3">_xlfn.IFS(CQ2="no rate","",ISTEXT(CQ2),SUM(CR3:INDEX(CR3:$EC$3,,_xlfn.AGGREGATE(15,6,(COLUMN(CR3:$EC$3)-COLUMN()-1)/(LEFT(CR6:$EC$6,1)&lt;&gt;"("),1))),1,INDEX('Capacity'!$B$2:$ED$2,MATCH(CQ6,'Capacity'!$3:$3,0))*IFERROR(INDEX(tRates[[Yearly WDs]:[Yearly WDs]],MATCH(CQ6,tRates[[Key (lookup)]:[Key (lookup)]],0)),200))</f>
        <v>0</v>
      </c>
      <c r="CR3" s="55" cm="1">
        <f t="array" ref="CR3">_xlfn.IFS(CR2="no rate","",ISTEXT(CR2),SUM(CS3:INDEX(CS3:$EC$3,,_xlfn.AGGREGATE(15,6,(COLUMN(CS3:$EC$3)-COLUMN()-1)/(LEFT(CS6:$EC$6,1)&lt;&gt;"("),1))),1,INDEX('Capacity'!$B$2:$ED$2,MATCH(CR6,'Capacity'!$3:$3,0))*IFERROR(INDEX(tRates[[Yearly WDs]:[Yearly WDs]],MATCH(CR6,tRates[[Key (lookup)]:[Key (lookup)]],0)),200))</f>
        <v>0</v>
      </c>
      <c r="CS3" s="55" cm="1">
        <f t="array" ref="CS3">_xlfn.IFS(CS2="no rate","",ISTEXT(CS2),SUM(CT3:INDEX(CT3:$EC$3,,_xlfn.AGGREGATE(15,6,(COLUMN(CT3:$EC$3)-COLUMN()-1)/(LEFT(CT6:$EC$6,1)&lt;&gt;"("),1))),1,INDEX('Capacity'!$B$2:$ED$2,MATCH(CS6,'Capacity'!$3:$3,0))*IFERROR(INDEX(tRates[[Yearly WDs]:[Yearly WDs]],MATCH(CS6,tRates[[Key (lookup)]:[Key (lookup)]],0)),200))</f>
        <v>0</v>
      </c>
      <c r="CT3" s="55" cm="1">
        <f t="array" ref="CT3">_xlfn.IFS(CT2="no rate","",ISTEXT(CT2),SUM(CU3:INDEX(CU3:$EC$3,,_xlfn.AGGREGATE(15,6,(COLUMN(CU3:$EC$3)-COLUMN()-1)/(LEFT(CU6:$EC$6,1)&lt;&gt;"("),1))),1,INDEX('Capacity'!$B$2:$ED$2,MATCH(CT6,'Capacity'!$3:$3,0))*IFERROR(INDEX(tRates[[Yearly WDs]:[Yearly WDs]],MATCH(CT6,tRates[[Key (lookup)]:[Key (lookup)]],0)),200))</f>
        <v>0</v>
      </c>
      <c r="CU3" s="55" cm="1">
        <f t="array" ref="CU3">_xlfn.IFS(CU2="no rate","",ISTEXT(CU2),SUM(CV3:INDEX(CV3:$EC$3,,_xlfn.AGGREGATE(15,6,(COLUMN(CV3:$EC$3)-COLUMN()-1)/(LEFT(CV6:$EC$6,1)&lt;&gt;"("),1))),1,INDEX('Capacity'!$B$2:$ED$2,MATCH(CU6,'Capacity'!$3:$3,0))*IFERROR(INDEX(tRates[[Yearly WDs]:[Yearly WDs]],MATCH(CU6,tRates[[Key (lookup)]:[Key (lookup)]],0)),200))</f>
        <v>0</v>
      </c>
      <c r="CV3" s="55" cm="1">
        <f t="array" ref="CV3">_xlfn.IFS(CV2="no rate","",ISTEXT(CV2),SUM(CW3:INDEX(CW3:$EC$3,,_xlfn.AGGREGATE(15,6,(COLUMN(CW3:$EC$3)-COLUMN()-1)/(LEFT(CW6:$EC$6,1)&lt;&gt;"("),1))),1,INDEX('Capacity'!$B$2:$ED$2,MATCH(CV6,'Capacity'!$3:$3,0))*IFERROR(INDEX(tRates[[Yearly WDs]:[Yearly WDs]],MATCH(CV6,tRates[[Key (lookup)]:[Key (lookup)]],0)),200))</f>
        <v>0</v>
      </c>
      <c r="CW3" s="55" cm="1">
        <f t="array" ref="CW3">_xlfn.IFS(CW2="no rate","",ISTEXT(CW2),SUM(CX3:INDEX(CX3:$EC$3,,_xlfn.AGGREGATE(15,6,(COLUMN(CX3:$EC$3)-COLUMN()-1)/(LEFT(CX6:$EC$6,1)&lt;&gt;"("),1))),1,INDEX('Capacity'!$B$2:$ED$2,MATCH(CW6,'Capacity'!$3:$3,0))*IFERROR(INDEX(tRates[[Yearly WDs]:[Yearly WDs]],MATCH(CW6,tRates[[Key (lookup)]:[Key (lookup)]],0)),200))</f>
        <v>0</v>
      </c>
      <c r="CX3" s="55" cm="1">
        <f t="array" ref="CX3">_xlfn.IFS(CX2="no rate","",ISTEXT(CX2),SUM(CY3:INDEX(CY3:$EC$3,,_xlfn.AGGREGATE(15,6,(COLUMN(CY3:$EC$3)-COLUMN()-1)/(LEFT(CY6:$EC$6,1)&lt;&gt;"("),1))),1,INDEX('Capacity'!$B$2:$ED$2,MATCH(CX6,'Capacity'!$3:$3,0))*IFERROR(INDEX(tRates[[Yearly WDs]:[Yearly WDs]],MATCH(CX6,tRates[[Key (lookup)]:[Key (lookup)]],0)),200))</f>
        <v>0</v>
      </c>
      <c r="CY3" s="55" cm="1">
        <f t="array" ref="CY3">_xlfn.IFS(CY2="no rate","",ISTEXT(CY2),SUM(CZ3:INDEX(CZ3:$EC$3,,_xlfn.AGGREGATE(15,6,(COLUMN(CZ3:$EC$3)-COLUMN()-1)/(LEFT(CZ6:$EC$6,1)&lt;&gt;"("),1))),1,INDEX('Capacity'!$B$2:$ED$2,MATCH(CY6,'Capacity'!$3:$3,0))*IFERROR(INDEX(tRates[[Yearly WDs]:[Yearly WDs]],MATCH(CY6,tRates[[Key (lookup)]:[Key (lookup)]],0)),200))</f>
        <v>0</v>
      </c>
      <c r="CZ3" s="55" cm="1">
        <f t="array" ref="CZ3">_xlfn.IFS(CZ2="no rate","",ISTEXT(CZ2),SUM(DA3:INDEX(DA3:$EC$3,,_xlfn.AGGREGATE(15,6,(COLUMN(DA3:$EC$3)-COLUMN()-1)/(LEFT(DA6:$EC$6,1)&lt;&gt;"("),1))),1,INDEX('Capacity'!$B$2:$ED$2,MATCH(CZ6,'Capacity'!$3:$3,0))*IFERROR(INDEX(tRates[[Yearly WDs]:[Yearly WDs]],MATCH(CZ6,tRates[[Key (lookup)]:[Key (lookup)]],0)),200))</f>
        <v>0</v>
      </c>
      <c r="DA3" s="55" cm="1">
        <f t="array" ref="DA3">_xlfn.IFS(DA2="no rate","",ISTEXT(DA2),SUM(DB3:INDEX(DB3:$EC$3,,_xlfn.AGGREGATE(15,6,(COLUMN(DB3:$EC$3)-COLUMN()-1)/(LEFT(DB6:$EC$6,1)&lt;&gt;"("),1))),1,INDEX('Capacity'!$B$2:$ED$2,MATCH(DA6,'Capacity'!$3:$3,0))*IFERROR(INDEX(tRates[[Yearly WDs]:[Yearly WDs]],MATCH(DA6,tRates[[Key (lookup)]:[Key (lookup)]],0)),200))</f>
        <v>0</v>
      </c>
      <c r="DB3" s="55" t="str" cm="1">
        <f t="array" ref="DB3">_xlfn.IFS(DB2="no rate","",ISTEXT(DB2),SUM(DC3:INDEX(DC3:$EC$3,,_xlfn.AGGREGATE(15,6,(COLUMN(DC3:$EC$3)-COLUMN()-1)/(LEFT(DC6:$EC$6,1)&lt;&gt;"("),1))),1,INDEX('Capacity'!$B$2:$ED$2,MATCH(DB6,'Capacity'!$3:$3,0))*IFERROR(INDEX(tRates[[Yearly WDs]:[Yearly WDs]],MATCH(DB6,tRates[[Key (lookup)]:[Key (lookup)]],0)),200))</f>
        <v/>
      </c>
      <c r="DC3" s="55" t="str" cm="1">
        <f t="array" ref="DC3">_xlfn.IFS(DC2="no rate","",ISTEXT(DC2),SUM(DD3:INDEX(DD3:$EC$3,,_xlfn.AGGREGATE(15,6,(COLUMN(DD3:$EC$3)-COLUMN()-1)/(LEFT(DD6:$EC$6,1)&lt;&gt;"("),1))),1,INDEX('Capacity'!$B$2:$ED$2,MATCH(DC6,'Capacity'!$3:$3,0))*IFERROR(INDEX(tRates[[Yearly WDs]:[Yearly WDs]],MATCH(DC6,tRates[[Key (lookup)]:[Key (lookup)]],0)),200))</f>
        <v/>
      </c>
      <c r="DD3" s="55" t="str" cm="1">
        <f t="array" ref="DD3">_xlfn.IFS(DD2="no rate","",ISTEXT(DD2),SUM(DE3:INDEX(DE3:$EC$3,,_xlfn.AGGREGATE(15,6,(COLUMN(DE3:$EC$3)-COLUMN()-1)/(LEFT(DE6:$EC$6,1)&lt;&gt;"("),1))),1,INDEX('Capacity'!$B$2:$ED$2,MATCH(DD6,'Capacity'!$3:$3,0))*IFERROR(INDEX(tRates[[Yearly WDs]:[Yearly WDs]],MATCH(DD6,tRates[[Key (lookup)]:[Key (lookup)]],0)),200))</f>
        <v/>
      </c>
      <c r="DE3" s="55" t="str" cm="1">
        <f t="array" ref="DE3">_xlfn.IFS(DE2="no rate","",ISTEXT(DE2),SUM(DF3:INDEX(DF3:$EC$3,,_xlfn.AGGREGATE(15,6,(COLUMN(DF3:$EC$3)-COLUMN()-1)/(LEFT(DF6:$EC$6,1)&lt;&gt;"("),1))),1,INDEX('Capacity'!$B$2:$ED$2,MATCH(DE6,'Capacity'!$3:$3,0))*IFERROR(INDEX(tRates[[Yearly WDs]:[Yearly WDs]],MATCH(DE6,tRates[[Key (lookup)]:[Key (lookup)]],0)),200))</f>
        <v/>
      </c>
      <c r="DF3" s="55" t="str" cm="1">
        <f t="array" ref="DF3">_xlfn.IFS(DF2="no rate","",ISTEXT(DF2),SUM(DG3:INDEX(DG3:$EC$3,,_xlfn.AGGREGATE(15,6,(COLUMN(DG3:$EC$3)-COLUMN()-1)/(LEFT(DG6:$EC$6,1)&lt;&gt;"("),1))),1,INDEX('Capacity'!$B$2:$ED$2,MATCH(DF6,'Capacity'!$3:$3,0))*IFERROR(INDEX(tRates[[Yearly WDs]:[Yearly WDs]],MATCH(DF6,tRates[[Key (lookup)]:[Key (lookup)]],0)),200))</f>
        <v/>
      </c>
      <c r="DG3" s="55" t="str" cm="1">
        <f t="array" ref="DG3">_xlfn.IFS(DG2="no rate","",ISTEXT(DG2),SUM(DH3:INDEX(DH3:$EC$3,,_xlfn.AGGREGATE(15,6,(COLUMN(DH3:$EC$3)-COLUMN()-1)/(LEFT(DH6:$EC$6,1)&lt;&gt;"("),1))),1,INDEX('Capacity'!$B$2:$ED$2,MATCH(DG6,'Capacity'!$3:$3,0))*IFERROR(INDEX(tRates[[Yearly WDs]:[Yearly WDs]],MATCH(DG6,tRates[[Key (lookup)]:[Key (lookup)]],0)),200))</f>
        <v/>
      </c>
      <c r="DH3" s="55" cm="1">
        <f t="array" ref="DH3">_xlfn.IFS(DH2="no rate","",ISTEXT(DH2),SUM(DI3:INDEX(DI3:$EC$3,,_xlfn.AGGREGATE(15,6,(COLUMN(DI3:$EC$3)-COLUMN()-1)/(LEFT(DI6:$EC$6,1)&lt;&gt;"("),1))),1,INDEX('Capacity'!$B$2:$ED$2,MATCH(DH6,'Capacity'!$3:$3,0))*IFERROR(INDEX(tRates[[Yearly WDs]:[Yearly WDs]],MATCH(DH6,tRates[[Key (lookup)]:[Key (lookup)]],0)),200))</f>
        <v>0</v>
      </c>
      <c r="DI3" s="55" cm="1">
        <f t="array" ref="DI3">_xlfn.IFS(DI2="no rate","",ISTEXT(DI2),SUM(DJ3:INDEX(DJ3:$EC$3,,_xlfn.AGGREGATE(15,6,(COLUMN(DJ3:$EC$3)-COLUMN()-1)/(LEFT(DJ6:$EC$6,1)&lt;&gt;"("),1))),1,INDEX('Capacity'!$B$2:$ED$2,MATCH(DI6,'Capacity'!$3:$3,0))*IFERROR(INDEX(tRates[[Yearly WDs]:[Yearly WDs]],MATCH(DI6,tRates[[Key (lookup)]:[Key (lookup)]],0)),200))</f>
        <v>0</v>
      </c>
      <c r="DJ3" s="55" cm="1">
        <f t="array" ref="DJ3">_xlfn.IFS(DJ2="no rate","",ISTEXT(DJ2),SUM(DK3:INDEX(DK3:$EC$3,,_xlfn.AGGREGATE(15,6,(COLUMN(DK3:$EC$3)-COLUMN()-1)/(LEFT(DK6:$EC$6,1)&lt;&gt;"("),1))),1,INDEX('Capacity'!$B$2:$ED$2,MATCH(DJ6,'Capacity'!$3:$3,0))*IFERROR(INDEX(tRates[[Yearly WDs]:[Yearly WDs]],MATCH(DJ6,tRates[[Key (lookup)]:[Key (lookup)]],0)),200))</f>
        <v>0</v>
      </c>
      <c r="DK3" s="55" cm="1">
        <f t="array" ref="DK3">_xlfn.IFS(DK2="no rate","",ISTEXT(DK2),SUM(DL3:INDEX(DL3:$EC$3,,_xlfn.AGGREGATE(15,6,(COLUMN(DL3:$EC$3)-COLUMN()-1)/(LEFT(DL6:$EC$6,1)&lt;&gt;"("),1))),1,INDEX('Capacity'!$B$2:$ED$2,MATCH(DK6,'Capacity'!$3:$3,0))*IFERROR(INDEX(tRates[[Yearly WDs]:[Yearly WDs]],MATCH(DK6,tRates[[Key (lookup)]:[Key (lookup)]],0)),200))</f>
        <v>0</v>
      </c>
      <c r="DL3" s="55" cm="1">
        <f t="array" ref="DL3">_xlfn.IFS(DL2="no rate","",ISTEXT(DL2),SUM(DM3:INDEX(DM3:$EC$3,,_xlfn.AGGREGATE(15,6,(COLUMN(DM3:$EC$3)-COLUMN()-1)/(LEFT(DM6:$EC$6,1)&lt;&gt;"("),1))),1,INDEX('Capacity'!$B$2:$ED$2,MATCH(DL6,'Capacity'!$3:$3,0))*IFERROR(INDEX(tRates[[Yearly WDs]:[Yearly WDs]],MATCH(DL6,tRates[[Key (lookup)]:[Key (lookup)]],0)),200))</f>
        <v>0</v>
      </c>
      <c r="DM3" s="55" cm="1">
        <f t="array" ref="DM3">_xlfn.IFS(DM2="no rate","",ISTEXT(DM2),SUM(DN3:INDEX(DN3:$EC$3,,_xlfn.AGGREGATE(15,6,(COLUMN(DN3:$EC$3)-COLUMN()-1)/(LEFT(DN6:$EC$6,1)&lt;&gt;"("),1))),1,INDEX('Capacity'!$B$2:$ED$2,MATCH(DM6,'Capacity'!$3:$3,0))*IFERROR(INDEX(tRates[[Yearly WDs]:[Yearly WDs]],MATCH(DM6,tRates[[Key (lookup)]:[Key (lookup)]],0)),200))</f>
        <v>0</v>
      </c>
      <c r="DN3" s="55" cm="1">
        <f t="array" ref="DN3">_xlfn.IFS(DN2="no rate","",ISTEXT(DN2),SUM(DO3:INDEX(DO3:$EC$3,,_xlfn.AGGREGATE(15,6,(COLUMN(DO3:$EC$3)-COLUMN()-1)/(LEFT(DO6:$EC$6,1)&lt;&gt;"("),1))),1,INDEX('Capacity'!$B$2:$ED$2,MATCH(DN6,'Capacity'!$3:$3,0))*IFERROR(INDEX(tRates[[Yearly WDs]:[Yearly WDs]],MATCH(DN6,tRates[[Key (lookup)]:[Key (lookup)]],0)),200))</f>
        <v>0</v>
      </c>
      <c r="DO3" s="55" cm="1">
        <f t="array" ref="DO3">_xlfn.IFS(DO2="no rate","",ISTEXT(DO2),SUM(DP3:INDEX(DP3:$EC$3,,_xlfn.AGGREGATE(15,6,(COLUMN(DP3:$EC$3)-COLUMN()-1)/(LEFT(DP6:$EC$6,1)&lt;&gt;"("),1))),1,INDEX('Capacity'!$B$2:$ED$2,MATCH(DO6,'Capacity'!$3:$3,0))*IFERROR(INDEX(tRates[[Yearly WDs]:[Yearly WDs]],MATCH(DO6,tRates[[Key (lookup)]:[Key (lookup)]],0)),200))</f>
        <v>0</v>
      </c>
      <c r="DP3" s="55" t="e" cm="1">
        <f t="array" ref="DP3">_xlfn.IFS(DP2="no rate","",ISTEXT(DP2),SUM(DQ3:INDEX(DQ3:$EC$3,,_xlfn.AGGREGATE(15,6,(COLUMN(DQ3:$EC$3)-COLUMN()-1)/(LEFT(DQ6:$EC$6,1)&lt;&gt;"("),1))),1,INDEX('Capacity'!$B$2:$ED$2,MATCH(DP6,'Capacity'!$3:$3,0))*IFERROR(INDEX(tRates[[Yearly WDs]:[Yearly WDs]],MATCH(DP6,tRates[[Key (lookup)]:[Key (lookup)]],0)),200))</f>
        <v>#REF!</v>
      </c>
      <c r="DQ3" s="55" t="str" cm="1">
        <f t="array" ref="DQ3">_xlfn.IFS(DQ2="no rate","",ISTEXT(DQ2),SUM(DR3:INDEX(DR3:$EC$3,,_xlfn.AGGREGATE(15,6,(COLUMN(DR3:$EC$3)-COLUMN()-1)/(LEFT(DR6:$EC$6,1)&lt;&gt;"("),1))),1,INDEX('Capacity'!$B$2:$ED$2,MATCH(DQ6,'Capacity'!$3:$3,0))*IFERROR(INDEX(tRates[[Yearly WDs]:[Yearly WDs]],MATCH(DQ6,tRates[[Key (lookup)]:[Key (lookup)]],0)),200))</f>
        <v/>
      </c>
      <c r="DR3" s="55" cm="1">
        <f t="array" ref="DR3">_xlfn.IFS(DR2="no rate","",ISTEXT(DR2),SUM(DS3:INDEX(DS3:$EC$3,,_xlfn.AGGREGATE(15,6,(COLUMN(DS3:$EC$3)-COLUMN()-1)/(LEFT(DS6:$EC$6,1)&lt;&gt;"("),1))),1,INDEX('Capacity'!$B$2:$ED$2,MATCH(DR6,'Capacity'!$3:$3,0))*IFERROR(INDEX(tRates[[Yearly WDs]:[Yearly WDs]],MATCH(DR6,tRates[[Key (lookup)]:[Key (lookup)]],0)),200))</f>
        <v>0</v>
      </c>
      <c r="DS3" s="55" cm="1">
        <f t="array" ref="DS3">_xlfn.IFS(DS2="no rate","",ISTEXT(DS2),SUM(DT3:INDEX(DT3:$EC$3,,_xlfn.AGGREGATE(15,6,(COLUMN(DT3:$EC$3)-COLUMN()-1)/(LEFT(DT6:$EC$6,1)&lt;&gt;"("),1))),1,INDEX('Capacity'!$B$2:$ED$2,MATCH(DS6,'Capacity'!$3:$3,0))*IFERROR(INDEX(tRates[[Yearly WDs]:[Yearly WDs]],MATCH(DS6,tRates[[Key (lookup)]:[Key (lookup)]],0)),200))</f>
        <v>0</v>
      </c>
      <c r="DT3" s="55" cm="1">
        <f t="array" ref="DT3">_xlfn.IFS(DT2="no rate","",ISTEXT(DT2),SUM(DU3:INDEX(DU3:$EC$3,,_xlfn.AGGREGATE(15,6,(COLUMN(DU3:$EC$3)-COLUMN()-1)/(LEFT(DU6:$EC$6,1)&lt;&gt;"("),1))),1,INDEX('Capacity'!$B$2:$ED$2,MATCH(DT6,'Capacity'!$3:$3,0))*IFERROR(INDEX(tRates[[Yearly WDs]:[Yearly WDs]],MATCH(DT6,tRates[[Key (lookup)]:[Key (lookup)]],0)),200))</f>
        <v>0</v>
      </c>
      <c r="DU3" s="55" cm="1">
        <f t="array" ref="DU3">_xlfn.IFS(DU2="no rate","",ISTEXT(DU2),SUM(DV3:INDEX(DV3:$EC$3,,_xlfn.AGGREGATE(15,6,(COLUMN(DV3:$EC$3)-COLUMN()-1)/(LEFT(DV6:$EC$6,1)&lt;&gt;"("),1))),1,INDEX('Capacity'!$B$2:$ED$2,MATCH(DU6,'Capacity'!$3:$3,0))*IFERROR(INDEX(tRates[[Yearly WDs]:[Yearly WDs]],MATCH(DU6,tRates[[Key (lookup)]:[Key (lookup)]],0)),200))</f>
        <v>0</v>
      </c>
      <c r="DV3" s="55" cm="1">
        <f t="array" ref="DV3">_xlfn.IFS(DV2="no rate","",ISTEXT(DV2),SUM(DW3:INDEX(DW3:$EC$3,,_xlfn.AGGREGATE(15,6,(COLUMN(DW3:$EC$3)-COLUMN()-1)/(LEFT(DW6:$EC$6,1)&lt;&gt;"("),1))),1,INDEX('Capacity'!$B$2:$ED$2,MATCH(DV6,'Capacity'!$3:$3,0))*IFERROR(INDEX(tRates[[Yearly WDs]:[Yearly WDs]],MATCH(DV6,tRates[[Key (lookup)]:[Key (lookup)]],0)),200))</f>
        <v>0</v>
      </c>
      <c r="DW3" s="55" cm="1">
        <f t="array" ref="DW3">_xlfn.IFS(DW2="no rate","",ISTEXT(DW2),SUM(DX3:INDEX(DX3:$EC$3,,_xlfn.AGGREGATE(15,6,(COLUMN(DX3:$EC$3)-COLUMN()-1)/(LEFT(DX6:$EC$6,1)&lt;&gt;"("),1))),1,INDEX('Capacity'!$B$2:$ED$2,MATCH(DW6,'Capacity'!$3:$3,0))*IFERROR(INDEX(tRates[[Yearly WDs]:[Yearly WDs]],MATCH(DW6,tRates[[Key (lookup)]:[Key (lookup)]],0)),200))</f>
        <v>0</v>
      </c>
      <c r="DX3" s="55" cm="1">
        <f t="array" ref="DX3">_xlfn.IFS(DX2="no rate","",ISTEXT(DX2),SUM(DY3:INDEX(DY3:$EC$3,,_xlfn.AGGREGATE(15,6,(COLUMN(DY3:$EC$3)-COLUMN()-1)/(LEFT(DY6:$EC$6,1)&lt;&gt;"("),1))),1,INDEX('Capacity'!$B$2:$ED$2,MATCH(DX6,'Capacity'!$3:$3,0))*IFERROR(INDEX(tRates[[Yearly WDs]:[Yearly WDs]],MATCH(DX6,tRates[[Key (lookup)]:[Key (lookup)]],0)),200))</f>
        <v>0</v>
      </c>
      <c r="DY3" s="55" cm="1">
        <f t="array" ref="DY3">_xlfn.IFS(DY2="no rate","",ISTEXT(DY2),SUM(DZ3:INDEX(DZ3:$EC$3,,_xlfn.AGGREGATE(15,6,(COLUMN(DZ3:$EC$3)-COLUMN()-1)/(LEFT(DZ6:$EC$6,1)&lt;&gt;"("),1))),1,INDEX('Capacity'!$B$2:$ED$2,MATCH(DY6,'Capacity'!$3:$3,0))*IFERROR(INDEX(tRates[[Yearly WDs]:[Yearly WDs]],MATCH(DY6,tRates[[Key (lookup)]:[Key (lookup)]],0)),200))</f>
        <v>0</v>
      </c>
      <c r="DZ3" s="55" t="e" cm="1">
        <f t="array" ref="DZ3">_xlfn.IFS(DZ2="no rate","",ISTEXT(DZ2),SUM(EA3:INDEX(EA3:$EC$3,,_xlfn.AGGREGATE(15,6,(COLUMN(EA3:$EC$3)-COLUMN()-1)/(LEFT(EA6:$EC$6,1)&lt;&gt;"("),1))),1,INDEX('Capacity'!$B$2:$ED$2,MATCH(DZ6,'Capacity'!$3:$3,0))*IFERROR(INDEX(tRates[[Yearly WDs]:[Yearly WDs]],MATCH(DZ6,tRates[[Key (lookup)]:[Key (lookup)]],0)),200))</f>
        <v>#REF!</v>
      </c>
      <c r="EA3" s="55" t="str" cm="1">
        <f t="array" ref="EA3">_xlfn.IFS(EA2="no rate","",ISTEXT(EA2),SUM(EB3:INDEX(EB3:$EC$3,,_xlfn.AGGREGATE(15,6,(COLUMN(EB3:$EC$3)-COLUMN()-1)/(LEFT(EB6:$EC$6,1)&lt;&gt;"("),1))),1,INDEX('Capacity'!$B$2:$ED$2,MATCH(EA6,'Capacity'!$3:$3,0))*IFERROR(INDEX(tRates[[Yearly WDs]:[Yearly WDs]],MATCH(EA6,tRates[[Key (lookup)]:[Key (lookup)]],0)),200))</f>
        <v/>
      </c>
      <c r="EB3" s="55"/>
      <c r="EC3" s="55"/>
      <c r="ED3" s="64"/>
      <c r="EE3" s="64"/>
      <c r="EF3" s="64"/>
      <c r="EG3" s="64"/>
      <c r="EH3" s="64"/>
    </row>
    <row r="4" spans="1:139" customFormat="1" x14ac:dyDescent="0.2">
      <c r="C4" s="60" t="str" cm="1">
        <f t="array" ref="C4">"total kEUR: "&amp;TEXT(SUMPRODUCT($E$4:$EA$4,(LEFT($E$6:$EA$6,1)&lt;&gt;"(")*1),"#.## k€")</f>
        <v>total kEUR: .k€</v>
      </c>
      <c r="E4" s="58" cm="1">
        <f t="array" ref="E4">_xlfn.IFS(RIGHT(E6,4)="KEUR",E5,E2="no rate","",ISTEXT(E2),SUM(F4:INDEX(F4:$EC$4,,_xlfn.AGGREGATE(15,6,(COLUMN(F4:$EC$4)-COLUMN()-1)/(LEFT(F6:$EC$6,1)&lt;&gt;"("),1))),1,E2*E5)</f>
        <v>0</v>
      </c>
      <c r="F4" s="5106" t="n">
        <v>180.54</v>
      </c>
      <c r="G4" s="5108" t="n">
        <v>489.6</v>
      </c>
      <c r="H4" s="5110" t="n">
        <v>3231.3599999999997</v>
      </c>
      <c r="I4" s="5112" t="n">
        <v>352.0</v>
      </c>
      <c r="J4" s="58" cm="1">
        <f t="array" ref="J4">_xlfn.IFS(RIGHT(J6,4)="KEUR",J5,J2="no rate","",ISTEXT(J2),SUM(K4:INDEX(K4:$EC$4,,_xlfn.AGGREGATE(15,6,(COLUMN(K4:$EC$4)-COLUMN()-1)/(LEFT(K6:$EC$6,1)&lt;&gt;"("),1))),1,J2*J5)</f>
        <v>0</v>
      </c>
      <c r="K4" s="5114" t="n">
        <v>1479.0</v>
      </c>
      <c r="L4" s="58" cm="1">
        <f t="array" ref="L4">_xlfn.IFS(RIGHT(L6,4)="KEUR",L5,L2="no rate","",ISTEXT(L2),SUM(M4:INDEX(M4:$EC$4,,_xlfn.AGGREGATE(15,6,(COLUMN(M4:$EC$4)-COLUMN()-1)/(LEFT(M6:$EC$6,1)&lt;&gt;"("),1))),1,L2*L5)</f>
        <v>0</v>
      </c>
      <c r="M4" s="5118" t="n">
        <v>1579.76</v>
      </c>
      <c r="N4" s="5116" t="n">
        <v>194.82</v>
      </c>
      <c r="O4" s="58" cm="1">
        <f t="array" ref="O4">_xlfn.IFS(RIGHT(O6,4)="KEUR",O5,O2="no rate","",ISTEXT(O2),SUM(P4:INDEX(P4:$EC$4,,_xlfn.AGGREGATE(15,6,(COLUMN(P4:$EC$4)-COLUMN()-1)/(LEFT(P6:$EC$6,1)&lt;&gt;"("),1))),1,O2*O5)</f>
        <v>0</v>
      </c>
      <c r="P4" s="58" cm="1">
        <f t="array" ref="P4">_xlfn.IFS(RIGHT(P6,4)="KEUR",P5,P2="no rate","",ISTEXT(P2),SUM(Q4:INDEX(Q4:$EC$4,,_xlfn.AGGREGATE(15,6,(COLUMN(Q4:$EC$4)-COLUMN()-1)/(LEFT(Q6:$EC$6,1)&lt;&gt;"("),1))),1,P2*P5)</f>
        <v>0</v>
      </c>
      <c r="Q4" s="58" cm="1">
        <f t="array" ref="Q4">_xlfn.IFS(RIGHT(Q6,4)="KEUR",Q5,Q2="no rate","",ISTEXT(Q2),SUM(R4:INDEX(R4:$EC$4,,_xlfn.AGGREGATE(15,6,(COLUMN(R4:$EC$4)-COLUMN()-1)/(LEFT(R6:$EC$6,1)&lt;&gt;"("),1))),1,Q2*Q5)</f>
        <v>0</v>
      </c>
      <c r="R4" s="5120" t="n">
        <v>779.28</v>
      </c>
      <c r="S4" s="58" cm="1">
        <f t="array" ref="S4">_xlfn.IFS(RIGHT(S6,4)="KEUR",S5,S2="no rate","",ISTEXT(S2),SUM(T4:INDEX(T4:$EC$4,,_xlfn.AGGREGATE(15,6,(COLUMN(T4:$EC$4)-COLUMN()-1)/(LEFT(T6:$EC$6,1)&lt;&gt;"("),1))),1,S2*S5)</f>
        <v>0</v>
      </c>
      <c r="T4" s="58" cm="1">
        <f t="array" ref="T4">_xlfn.IFS(RIGHT(T6,4)="KEUR",T5,T2="no rate","",ISTEXT(T2),SUM(U4:INDEX(U4:$EC$4,,_xlfn.AGGREGATE(15,6,(COLUMN(U4:$EC$4)-COLUMN()-1)/(LEFT(U6:$EC$6,1)&lt;&gt;"("),1))),1,T2*T5)</f>
        <v>0</v>
      </c>
      <c r="U4" s="5122" t="n">
        <v>3543.378</v>
      </c>
      <c r="V4" s="5124" t="n">
        <v>714.0</v>
      </c>
      <c r="W4" s="5126" t="n">
        <v>178.5</v>
      </c>
      <c r="X4" s="5128" t="n">
        <v>302.94</v>
      </c>
      <c r="Y4" s="5130" t="n">
        <v>183.6</v>
      </c>
      <c r="Z4" s="5132" t="n">
        <v>153.0</v>
      </c>
      <c r="AA4" s="5134" t="n">
        <v>1530.0</v>
      </c>
      <c r="AB4" s="5136" t="n">
        <v>964.9200000000001</v>
      </c>
      <c r="AC4" s="5138" t="n">
        <v>545.496</v>
      </c>
      <c r="AD4" s="58" cm="1">
        <f t="array" ref="AD4">_xlfn.IFS(RIGHT(AD6,4)="KEUR",AD5,AD2="no rate","",ISTEXT(AD2),SUM(AE4:INDEX(AE4:$EC$4,,_xlfn.AGGREGATE(15,6,(COLUMN(AE4:$EC$4)-COLUMN()-1)/(LEFT(AE6:$EC$6,1)&lt;&gt;"("),1))),1,AD2*AD5)</f>
        <v>0</v>
      </c>
      <c r="AE4" s="58" cm="1">
        <f t="array" ref="AE4">_xlfn.IFS(RIGHT(AE6,4)="KEUR",AE5,AE2="no rate","",ISTEXT(AE2),SUM(AF4:INDEX(AF4:$EC$4,,_xlfn.AGGREGATE(15,6,(COLUMN(AF4:$EC$4)-COLUMN()-1)/(LEFT(AF6:$EC$6,1)&lt;&gt;"("),1))),1,AE2*AE5)</f>
        <v>0</v>
      </c>
      <c r="AF4" s="58" cm="1">
        <f t="array" ref="AF4">_xlfn.IFS(RIGHT(AF6,4)="KEUR",AF5,AF2="no rate","",ISTEXT(AF2),SUM(AG4:INDEX(AG4:$EC$4,,_xlfn.AGGREGATE(15,6,(COLUMN(AG4:$EC$4)-COLUMN()-1)/(LEFT(AG6:$EC$6,1)&lt;&gt;"("),1))),1,AF2*AF5)</f>
        <v>0</v>
      </c>
      <c r="AG4" s="58" cm="1">
        <f t="array" ref="AG4">_xlfn.IFS(RIGHT(AG6,4)="KEUR",AG5,AG2="no rate","",ISTEXT(AG2),SUM(AH4:INDEX(AH4:$EC$4,,_xlfn.AGGREGATE(15,6,(COLUMN(AH4:$EC$4)-COLUMN()-1)/(LEFT(AH6:$EC$6,1)&lt;&gt;"("),1))),1,AG2*AG5)</f>
        <v>0</v>
      </c>
      <c r="AH4" s="58" cm="1">
        <f t="array" ref="AH4">_xlfn.IFS(RIGHT(AH6,4)="KEUR",AH5,AH2="no rate","",ISTEXT(AH2),SUM(AI4:INDEX(AI4:$EC$4,,_xlfn.AGGREGATE(15,6,(COLUMN(AI4:$EC$4)-COLUMN()-1)/(LEFT(AI6:$EC$6,1)&lt;&gt;"("),1))),1,AH2*AH5)</f>
        <v>0</v>
      </c>
      <c r="AI4" s="58" cm="1">
        <f t="array" ref="AI4">_xlfn.IFS(RIGHT(AI6,4)="KEUR",AI5,AI2="no rate","",ISTEXT(AI2),SUM(AJ4:INDEX(AJ4:$EC$4,,_xlfn.AGGREGATE(15,6,(COLUMN(AJ4:$EC$4)-COLUMN()-1)/(LEFT(AJ6:$EC$6,1)&lt;&gt;"("),1))),1,AI2*AI5)</f>
        <v>0</v>
      </c>
      <c r="AJ4" s="58" cm="1">
        <f t="array" ref="AJ4">_xlfn.IFS(RIGHT(AJ6,4)="KEUR",AJ5,AJ2="no rate","",ISTEXT(AJ2),SUM(AK4:INDEX(AK4:$EC$4,,_xlfn.AGGREGATE(15,6,(COLUMN(AK4:$EC$4)-COLUMN()-1)/(LEFT(AK6:$EC$6,1)&lt;&gt;"("),1))),1,AJ2*AJ5)</f>
        <v>0</v>
      </c>
      <c r="AK4" s="58" cm="1">
        <f t="array" ref="AK4">_xlfn.IFS(RIGHT(AK6,4)="KEUR",AK5,AK2="no rate","",ISTEXT(AK2),SUM(AL4:INDEX(AL4:$EC$4,,_xlfn.AGGREGATE(15,6,(COLUMN(AL4:$EC$4)-COLUMN()-1)/(LEFT(AL6:$EC$6,1)&lt;&gt;"("),1))),1,AK2*AK5)</f>
        <v>0</v>
      </c>
      <c r="AL4" s="58" cm="1">
        <f t="array" ref="AL4">_xlfn.IFS(RIGHT(AL6,4)="KEUR",AL5,AL2="no rate","",ISTEXT(AL2),SUM(AM4:INDEX(AM4:$EC$4,,_xlfn.AGGREGATE(15,6,(COLUMN(AM4:$EC$4)-COLUMN()-1)/(LEFT(AM6:$EC$6,1)&lt;&gt;"("),1))),1,AL2*AL5)</f>
        <v>0</v>
      </c>
      <c r="AM4" s="58" cm="1">
        <f t="array" ref="AM4">_xlfn.IFS(RIGHT(AM6,4)="KEUR",AM5,AM2="no rate","",ISTEXT(AM2),SUM(AN4:INDEX(AN4:$EC$4,,_xlfn.AGGREGATE(15,6,(COLUMN(AN4:$EC$4)-COLUMN()-1)/(LEFT(AN6:$EC$6,1)&lt;&gt;"("),1))),1,AM2*AM5)</f>
        <v>0</v>
      </c>
      <c r="AN4" s="58" cm="1">
        <f t="array" ref="AN4">_xlfn.IFS(RIGHT(AN6,4)="KEUR",AN5,AN2="no rate","",ISTEXT(AN2),SUM(AO4:INDEX(AO4:$EC$4,,_xlfn.AGGREGATE(15,6,(COLUMN(AO4:$EC$4)-COLUMN()-1)/(LEFT(AO6:$EC$6,1)&lt;&gt;"("),1))),1,AN2*AN5)</f>
        <v>0</v>
      </c>
      <c r="AO4" s="58" cm="1">
        <f t="array" ref="AO4">_xlfn.IFS(RIGHT(AO6,4)="KEUR",AO5,AO2="no rate","",ISTEXT(AO2),SUM(AP4:INDEX(AP4:$EC$4,,_xlfn.AGGREGATE(15,6,(COLUMN(AP4:$EC$4)-COLUMN()-1)/(LEFT(AP6:$EC$6,1)&lt;&gt;"("),1))),1,AO2*AO5)</f>
        <v>0</v>
      </c>
      <c r="AP4" s="58" cm="1">
        <f t="array" ref="AP4">_xlfn.IFS(RIGHT(AP6,4)="KEUR",AP5,AP2="no rate","",ISTEXT(AP2),SUM(AQ4:INDEX(AQ4:$EC$4,,_xlfn.AGGREGATE(15,6,(COLUMN(AQ4:$EC$4)-COLUMN()-1)/(LEFT(AQ6:$EC$6,1)&lt;&gt;"("),1))),1,AP2*AP5)</f>
        <v>0</v>
      </c>
      <c r="AQ4" s="58" cm="1">
        <f t="array" ref="AQ4">_xlfn.IFS(RIGHT(AQ6,4)="KEUR",AQ5,AQ2="no rate","",ISTEXT(AQ2),SUM(AR4:INDEX(AR4:$EC$4,,_xlfn.AGGREGATE(15,6,(COLUMN(AR4:$EC$4)-COLUMN()-1)/(LEFT(AR6:$EC$6,1)&lt;&gt;"("),1))),1,AQ2*AQ5)</f>
        <v>0</v>
      </c>
      <c r="AR4" s="58" cm="1">
        <f t="array" ref="AR4">_xlfn.IFS(RIGHT(AR6,4)="KEUR",AR5,AR2="no rate","",ISTEXT(AR2),SUM(AS4:INDEX(AS4:$EC$4,,_xlfn.AGGREGATE(15,6,(COLUMN(AS4:$EC$4)-COLUMN()-1)/(LEFT(AS6:$EC$6,1)&lt;&gt;"("),1))),1,AR2*AR5)</f>
        <v>0</v>
      </c>
      <c r="AS4" s="58" cm="1">
        <f t="array" ref="AS4">_xlfn.IFS(RIGHT(AS6,4)="KEUR",AS5,AS2="no rate","",ISTEXT(AS2),SUM(AT4:INDEX(AT4:$EC$4,,_xlfn.AGGREGATE(15,6,(COLUMN(AT4:$EC$4)-COLUMN()-1)/(LEFT(AT6:$EC$6,1)&lt;&gt;"("),1))),1,AS2*AS5)</f>
        <v>0</v>
      </c>
      <c r="AT4" s="58" cm="1">
        <f t="array" ref="AT4">_xlfn.IFS(RIGHT(AT6,4)="KEUR",AT5,AT2="no rate","",ISTEXT(AT2),SUM(AU4:INDEX(AU4:$EC$4,,_xlfn.AGGREGATE(15,6,(COLUMN(AU4:$EC$4)-COLUMN()-1)/(LEFT(AU6:$EC$6,1)&lt;&gt;"("),1))),1,AT2*AT5)</f>
        <v>0</v>
      </c>
      <c r="AU4" s="58" cm="1">
        <f t="array" ref="AU4">_xlfn.IFS(RIGHT(AU6,4)="KEUR",AU5,AU2="no rate","",ISTEXT(AU2),SUM(AV4:INDEX(AV4:$EC$4,,_xlfn.AGGREGATE(15,6,(COLUMN(AV4:$EC$4)-COLUMN()-1)/(LEFT(AV6:$EC$6,1)&lt;&gt;"("),1))),1,AU2*AU5)</f>
        <v>0</v>
      </c>
      <c r="AV4" s="58" cm="1">
        <f t="array" ref="AV4">_xlfn.IFS(RIGHT(AV6,4)="KEUR",AV5,AV2="no rate","",ISTEXT(AV2),SUM(AW4:INDEX(AW4:$EC$4,,_xlfn.AGGREGATE(15,6,(COLUMN(AW4:$EC$4)-COLUMN()-1)/(LEFT(AW6:$EC$6,1)&lt;&gt;"("),1))),1,AV2*AV5)</f>
        <v>0</v>
      </c>
      <c r="AW4" s="58" cm="1">
        <f t="array" ref="AW4">_xlfn.IFS(RIGHT(AW6,4)="KEUR",AW5,AW2="no rate","",ISTEXT(AW2),SUM(AX4:INDEX(AX4:$EC$4,,_xlfn.AGGREGATE(15,6,(COLUMN(AX4:$EC$4)-COLUMN()-1)/(LEFT(AX6:$EC$6,1)&lt;&gt;"("),1))),1,AW2*AW5)</f>
        <v>0</v>
      </c>
      <c r="AX4" s="58" cm="1">
        <f t="array" ref="AX4">_xlfn.IFS(RIGHT(AX6,4)="KEUR",AX5,AX2="no rate","",ISTEXT(AX2),SUM(AY4:INDEX(AY4:$EC$4,,_xlfn.AGGREGATE(15,6,(COLUMN(AY4:$EC$4)-COLUMN()-1)/(LEFT(AY6:$EC$6,1)&lt;&gt;"("),1))),1,AX2*AX5)</f>
        <v>0</v>
      </c>
      <c r="AY4" s="58" cm="1">
        <f t="array" ref="AY4">_xlfn.IFS(RIGHT(AY6,4)="KEUR",AY5,AY2="no rate","",ISTEXT(AY2),SUM(AZ4:INDEX(AZ4:$EC$4,,_xlfn.AGGREGATE(15,6,(COLUMN(AZ4:$EC$4)-COLUMN()-1)/(LEFT(AZ6:$EC$6,1)&lt;&gt;"("),1))),1,AY2*AY5)</f>
        <v>0</v>
      </c>
      <c r="AZ4" s="58" cm="1">
        <f t="array" ref="AZ4">_xlfn.IFS(RIGHT(AZ6,4)="KEUR",AZ5,AZ2="no rate","",ISTEXT(AZ2),SUM(BA4:INDEX(BA4:$EC$4,,_xlfn.AGGREGATE(15,6,(COLUMN(BA4:$EC$4)-COLUMN()-1)/(LEFT(BA6:$EC$6,1)&lt;&gt;"("),1))),1,AZ2*AZ5)</f>
        <v>0</v>
      </c>
      <c r="BA4" s="58" cm="1">
        <f t="array" ref="BA4">_xlfn.IFS(RIGHT(BA6,4)="KEUR",BA5,BA2="no rate","",ISTEXT(BA2),SUM(BB4:INDEX(BB4:$EC$4,,_xlfn.AGGREGATE(15,6,(COLUMN(BB4:$EC$4)-COLUMN()-1)/(LEFT(BB6:$EC$6,1)&lt;&gt;"("),1))),1,BA2*BA5)</f>
        <v>0</v>
      </c>
      <c r="BB4" s="58" cm="1">
        <f t="array" ref="BB4">_xlfn.IFS(RIGHT(BB6,4)="KEUR",BB5,BB2="no rate","",ISTEXT(BB2),SUM(BC4:INDEX(BC4:$EC$4,,_xlfn.AGGREGATE(15,6,(COLUMN(BC4:$EC$4)-COLUMN()-1)/(LEFT(BC6:$EC$6,1)&lt;&gt;"("),1))),1,BB2*BB5)</f>
        <v>0</v>
      </c>
      <c r="BC4" s="58" cm="1">
        <f t="array" ref="BC4">_xlfn.IFS(RIGHT(BC6,4)="KEUR",BC5,BC2="no rate","",ISTEXT(BC2),SUM(BD4:INDEX(BD4:$EC$4,,_xlfn.AGGREGATE(15,6,(COLUMN(BD4:$EC$4)-COLUMN()-1)/(LEFT(BD6:$EC$6,1)&lt;&gt;"("),1))),1,BC2*BC5)</f>
        <v>0</v>
      </c>
      <c r="BD4" s="58" cm="1">
        <f t="array" ref="BD4">_xlfn.IFS(RIGHT(BD6,4)="KEUR",BD5,BD2="no rate","",ISTEXT(BD2),SUM(BE4:INDEX(BE4:$EC$4,,_xlfn.AGGREGATE(15,6,(COLUMN(BE4:$EC$4)-COLUMN()-1)/(LEFT(BE6:$EC$6,1)&lt;&gt;"("),1))),1,BD2*BD5)</f>
        <v>0</v>
      </c>
      <c r="BE4" s="58" cm="1">
        <f t="array" ref="BE4">_xlfn.IFS(RIGHT(BE6,4)="KEUR",BE5,BE2="no rate","",ISTEXT(BE2),SUM(BF4:INDEX(BF4:$EC$4,,_xlfn.AGGREGATE(15,6,(COLUMN(BF4:$EC$4)-COLUMN()-1)/(LEFT(BF6:$EC$6,1)&lt;&gt;"("),1))),1,BE2*BE5)</f>
        <v>0</v>
      </c>
      <c r="BF4" s="58" cm="1">
        <f t="array" ref="BF4">_xlfn.IFS(RIGHT(BF6,4)="KEUR",BF5,BF2="no rate","",ISTEXT(BF2),SUM(BG4:INDEX(BG4:$EC$4,,_xlfn.AGGREGATE(15,6,(COLUMN(BG4:$EC$4)-COLUMN()-1)/(LEFT(BG6:$EC$6,1)&lt;&gt;"("),1))),1,BF2*BF5)</f>
        <v>0</v>
      </c>
      <c r="BG4" s="58" cm="1">
        <f t="array" ref="BG4">_xlfn.IFS(RIGHT(BG6,4)="KEUR",BG5,BG2="no rate","",ISTEXT(BG2),SUM(BH4:INDEX(BH4:$EC$4,,_xlfn.AGGREGATE(15,6,(COLUMN(BH4:$EC$4)-COLUMN()-1)/(LEFT(BH6:$EC$6,1)&lt;&gt;"("),1))),1,BG2*BG5)</f>
        <v>0</v>
      </c>
      <c r="BH4" s="58" cm="1">
        <f t="array" ref="BH4">_xlfn.IFS(RIGHT(BH6,4)="KEUR",BH5,BH2="no rate","",ISTEXT(BH2),SUM(BI4:INDEX(BI4:$EC$4,,_xlfn.AGGREGATE(15,6,(COLUMN(BI4:$EC$4)-COLUMN()-1)/(LEFT(BI6:$EC$6,1)&lt;&gt;"("),1))),1,BH2*BH5)</f>
        <v>0</v>
      </c>
      <c r="BI4" s="58" cm="1">
        <f t="array" ref="BI4">_xlfn.IFS(RIGHT(BI6,4)="KEUR",BI5,BI2="no rate","",ISTEXT(BI2),SUM(BJ4:INDEX(BJ4:$EC$4,,_xlfn.AGGREGATE(15,6,(COLUMN(BJ4:$EC$4)-COLUMN()-1)/(LEFT(BJ6:$EC$6,1)&lt;&gt;"("),1))),1,BI2*BI5)</f>
        <v>0</v>
      </c>
      <c r="BJ4" s="58" cm="1">
        <f t="array" ref="BJ4">_xlfn.IFS(RIGHT(BJ6,4)="KEUR",BJ5,BJ2="no rate","",ISTEXT(BJ2),SUM(BK4:INDEX(BK4:$EC$4,,_xlfn.AGGREGATE(15,6,(COLUMN(BK4:$EC$4)-COLUMN()-1)/(LEFT(BK6:$EC$6,1)&lt;&gt;"("),1))),1,BJ2*BJ5)</f>
        <v>0</v>
      </c>
      <c r="BK4" s="5140" t="n">
        <v>701.25</v>
      </c>
      <c r="BL4" s="58" cm="1">
        <f t="array" ref="BL4">_xlfn.IFS(RIGHT(BL6,4)="KEUR",BL5,BL2="no rate","",ISTEXT(BL2),SUM(BM4:INDEX(BM4:$EC$4,,_xlfn.AGGREGATE(15,6,(COLUMN(BM4:$EC$4)-COLUMN()-1)/(LEFT(BM6:$EC$6,1)&lt;&gt;"("),1))),1,BL2*BL5)</f>
        <v>0</v>
      </c>
      <c r="BM4" s="58" cm="1">
        <f t="array" ref="BM4">_xlfn.IFS(RIGHT(BM6,4)="KEUR",BM5,BM2="no rate","",ISTEXT(BM2),SUM(BN4:INDEX(BN4:$EC$4,,_xlfn.AGGREGATE(15,6,(COLUMN(BN4:$EC$4)-COLUMN()-1)/(LEFT(BN6:$EC$6,1)&lt;&gt;"("),1))),1,BM2*BM5)</f>
        <v>0</v>
      </c>
      <c r="BN4" s="58" cm="1">
        <f t="array" ref="BN4">_xlfn.IFS(RIGHT(BN6,4)="KEUR",BN5,BN2="no rate","",ISTEXT(BN2),SUM(BO4:INDEX(BO4:$EC$4,,_xlfn.AGGREGATE(15,6,(COLUMN(BO4:$EC$4)-COLUMN()-1)/(LEFT(BO6:$EC$6,1)&lt;&gt;"("),1))),1,BN2*BN5)</f>
        <v>0</v>
      </c>
      <c r="BO4" s="58" cm="1">
        <f t="array" ref="BO4">_xlfn.IFS(RIGHT(BO6,4)="KEUR",BO5,BO2="no rate","",ISTEXT(BO2),SUM(BP4:INDEX(BP4:$EC$4,,_xlfn.AGGREGATE(15,6,(COLUMN(BP4:$EC$4)-COLUMN()-1)/(LEFT(BP6:$EC$6,1)&lt;&gt;"("),1))),1,BO2*BO5)</f>
        <v>0</v>
      </c>
      <c r="BP4" s="58" cm="1">
        <f t="array" ref="BP4">_xlfn.IFS(RIGHT(BP6,4)="KEUR",BP5,BP2="no rate","",ISTEXT(BP2),SUM(BQ4:INDEX(BQ4:$EC$4,,_xlfn.AGGREGATE(15,6,(COLUMN(BQ4:$EC$4)-COLUMN()-1)/(LEFT(BQ6:$EC$6,1)&lt;&gt;"("),1))),1,BP2*BP5)</f>
        <v>0</v>
      </c>
      <c r="BQ4" s="58" cm="1">
        <f t="array" ref="BQ4">_xlfn.IFS(RIGHT(BQ6,4)="KEUR",BQ5,BQ2="no rate","",ISTEXT(BQ2),SUM(BR4:INDEX(BR4:$EC$4,,_xlfn.AGGREGATE(15,6,(COLUMN(BR4:$EC$4)-COLUMN()-1)/(LEFT(BR6:$EC$6,1)&lt;&gt;"("),1))),1,BQ2*BQ5)</f>
        <v>0</v>
      </c>
      <c r="BR4" s="58" cm="1">
        <f t="array" ref="BR4">_xlfn.IFS(RIGHT(BR6,4)="KEUR",BR5,BR2="no rate","",ISTEXT(BR2),SUM(BS4:INDEX(BS4:$EC$4,,_xlfn.AGGREGATE(15,6,(COLUMN(BS4:$EC$4)-COLUMN()-1)/(LEFT(BS6:$EC$6,1)&lt;&gt;"("),1))),1,BR2*BR5)</f>
        <v>0</v>
      </c>
      <c r="BS4" s="58" cm="1">
        <f t="array" ref="BS4">_xlfn.IFS(RIGHT(BS6,4)="KEUR",BS5,BS2="no rate","",ISTEXT(BS2),SUM(BT4:INDEX(BT4:$EC$4,,_xlfn.AGGREGATE(15,6,(COLUMN(BT4:$EC$4)-COLUMN()-1)/(LEFT(BT6:$EC$6,1)&lt;&gt;"("),1))),1,BS2*BS5)</f>
        <v>0</v>
      </c>
      <c r="BT4" s="58" cm="1">
        <f t="array" ref="BT4">_xlfn.IFS(RIGHT(BT6,4)="KEUR",BT5,BT2="no rate","",ISTEXT(BT2),SUM(BU4:INDEX(BU4:$EC$4,,_xlfn.AGGREGATE(15,6,(COLUMN(BU4:$EC$4)-COLUMN()-1)/(LEFT(BU6:$EC$6,1)&lt;&gt;"("),1))),1,BT2*BT5)</f>
        <v>0</v>
      </c>
      <c r="BU4" s="58" cm="1">
        <f t="array" ref="BU4">_xlfn.IFS(RIGHT(BU6,4)="KEUR",BU5,BU2="no rate","",ISTEXT(BU2),SUM(BV4:INDEX(BV4:$EC$4,,_xlfn.AGGREGATE(15,6,(COLUMN(BV4:$EC$4)-COLUMN()-1)/(LEFT(BV6:$EC$6,1)&lt;&gt;"("),1))),1,BU2*BU5)</f>
        <v>0</v>
      </c>
      <c r="BV4" s="58" cm="1">
        <f t="array" ref="BV4">_xlfn.IFS(RIGHT(BV6,4)="KEUR",BV5,BV2="no rate","",ISTEXT(BV2),SUM(BW4:INDEX(BW4:$EC$4,,_xlfn.AGGREGATE(15,6,(COLUMN(BW4:$EC$4)-COLUMN()-1)/(LEFT(BW6:$EC$6,1)&lt;&gt;"("),1))),1,BV2*BV5)</f>
        <v>0</v>
      </c>
      <c r="BW4" s="58" cm="1">
        <f t="array" ref="BW4">_xlfn.IFS(RIGHT(BW6,4)="KEUR",BW5,BW2="no rate","",ISTEXT(BW2),SUM(BX4:INDEX(BX4:$EC$4,,_xlfn.AGGREGATE(15,6,(COLUMN(BX4:$EC$4)-COLUMN()-1)/(LEFT(BX6:$EC$6,1)&lt;&gt;"("),1))),1,BW2*BW5)</f>
        <v>0</v>
      </c>
      <c r="BX4" s="58" cm="1">
        <f t="array" ref="BX4">_xlfn.IFS(RIGHT(BX6,4)="KEUR",BX5,BX2="no rate","",ISTEXT(BX2),SUM(BY4:INDEX(BY4:$EC$4,,_xlfn.AGGREGATE(15,6,(COLUMN(BY4:$EC$4)-COLUMN()-1)/(LEFT(BY6:$EC$6,1)&lt;&gt;"("),1))),1,BX2*BX5)</f>
        <v>0</v>
      </c>
      <c r="BY4" s="58" cm="1">
        <f t="array" ref="BY4">_xlfn.IFS(RIGHT(BY6,4)="KEUR",BY5,BY2="no rate","",ISTEXT(BY2),SUM(BZ4:INDEX(BZ4:$EC$4,,_xlfn.AGGREGATE(15,6,(COLUMN(BZ4:$EC$4)-COLUMN()-1)/(LEFT(BZ6:$EC$6,1)&lt;&gt;"("),1))),1,BY2*BY5)</f>
        <v>0</v>
      </c>
      <c r="BZ4" s="58" cm="1">
        <f t="array" ref="BZ4">_xlfn.IFS(RIGHT(BZ6,4)="KEUR",BZ5,BZ2="no rate","",ISTEXT(BZ2),SUM(CA4:INDEX(CA4:$EC$4,,_xlfn.AGGREGATE(15,6,(COLUMN(CA4:$EC$4)-COLUMN()-1)/(LEFT(CA6:$EC$6,1)&lt;&gt;"("),1))),1,BZ2*BZ5)</f>
        <v>0</v>
      </c>
      <c r="CA4" s="58" cm="1">
        <f t="array" ref="CA4">_xlfn.IFS(RIGHT(CA6,4)="KEUR",CA5,CA2="no rate","",ISTEXT(CA2),SUM(CB4:INDEX(CB4:$EC$4,,_xlfn.AGGREGATE(15,6,(COLUMN(CB4:$EC$4)-COLUMN()-1)/(LEFT(CB6:$EC$6,1)&lt;&gt;"("),1))),1,CA2*CA5)</f>
        <v>0</v>
      </c>
      <c r="CB4" s="58" cm="1">
        <f t="array" ref="CB4">_xlfn.IFS(RIGHT(CB6,4)="KEUR",CB5,CB2="no rate","",ISTEXT(CB2),SUM(CC4:INDEX(CC4:$EC$4,,_xlfn.AGGREGATE(15,6,(COLUMN(CC4:$EC$4)-COLUMN()-1)/(LEFT(CC6:$EC$6,1)&lt;&gt;"("),1))),1,CB2*CB5)</f>
        <v>0</v>
      </c>
      <c r="CC4" s="58" cm="1">
        <f t="array" ref="CC4">_xlfn.IFS(RIGHT(CC6,4)="KEUR",CC5,CC2="no rate","",ISTEXT(CC2),SUM(CD4:INDEX(CD4:$EC$4,,_xlfn.AGGREGATE(15,6,(COLUMN(CD4:$EC$4)-COLUMN()-1)/(LEFT(CD6:$EC$6,1)&lt;&gt;"("),1))),1,CC2*CC5)</f>
        <v>0</v>
      </c>
      <c r="CD4" s="58" cm="1">
        <f t="array" ref="CD4">_xlfn.IFS(RIGHT(CD6,4)="KEUR",CD5,CD2="no rate","",ISTEXT(CD2),SUM(CE4:INDEX(CE4:$EC$4,,_xlfn.AGGREGATE(15,6,(COLUMN(CE4:$EC$4)-COLUMN()-1)/(LEFT(CE6:$EC$6,1)&lt;&gt;"("),1))),1,CD2*CD5)</f>
        <v>0</v>
      </c>
      <c r="CE4" s="58" cm="1">
        <f t="array" ref="CE4">_xlfn.IFS(RIGHT(CE6,4)="KEUR",CE5,CE2="no rate","",ISTEXT(CE2),SUM(CF4:INDEX(CF4:$EC$4,,_xlfn.AGGREGATE(15,6,(COLUMN(CF4:$EC$4)-COLUMN()-1)/(LEFT(CF6:$EC$6,1)&lt;&gt;"("),1))),1,CE2*CE5)</f>
        <v>0</v>
      </c>
      <c r="CF4" s="58" cm="1">
        <f t="array" ref="CF4">_xlfn.IFS(RIGHT(CF6,4)="KEUR",CF5,CF2="no rate","",ISTEXT(CF2),SUM(CG4:INDEX(CG4:$EC$4,,_xlfn.AGGREGATE(15,6,(COLUMN(CG4:$EC$4)-COLUMN()-1)/(LEFT(CG6:$EC$6,1)&lt;&gt;"("),1))),1,CF2*CF5)</f>
        <v>0</v>
      </c>
      <c r="CG4" s="58" cm="1">
        <f t="array" ref="CG4">_xlfn.IFS(RIGHT(CG6,4)="KEUR",CG5,CG2="no rate","",ISTEXT(CG2),SUM(CH4:INDEX(CH4:$EC$4,,_xlfn.AGGREGATE(15,6,(COLUMN(CH4:$EC$4)-COLUMN()-1)/(LEFT(CH6:$EC$6,1)&lt;&gt;"("),1))),1,CG2*CG5)</f>
        <v>0</v>
      </c>
      <c r="CH4" s="58" cm="1">
        <f t="array" ref="CH4">_xlfn.IFS(RIGHT(CH6,4)="KEUR",CH5,CH2="no rate","",ISTEXT(CH2),SUM(CI4:INDEX(CI4:$EC$4,,_xlfn.AGGREGATE(15,6,(COLUMN(CI4:$EC$4)-COLUMN()-1)/(LEFT(CI6:$EC$6,1)&lt;&gt;"("),1))),1,CH2*CH5)</f>
        <v>0</v>
      </c>
      <c r="CI4" s="58" cm="1">
        <f t="array" ref="CI4">_xlfn.IFS(RIGHT(CI6,4)="KEUR",CI5,CI2="no rate","",ISTEXT(CI2),SUM(CJ4:INDEX(CJ4:$EC$4,,_xlfn.AGGREGATE(15,6,(COLUMN(CJ4:$EC$4)-COLUMN()-1)/(LEFT(CJ6:$EC$6,1)&lt;&gt;"("),1))),1,CI2*CI5)</f>
        <v>0</v>
      </c>
      <c r="CJ4" s="58" cm="1">
        <f t="array" ref="CJ4">_xlfn.IFS(RIGHT(CJ6,4)="KEUR",CJ5,CJ2="no rate","",ISTEXT(CJ2),SUM(CK4:INDEX(CK4:$EC$4,,_xlfn.AGGREGATE(15,6,(COLUMN(CK4:$EC$4)-COLUMN()-1)/(LEFT(CK6:$EC$6,1)&lt;&gt;"("),1))),1,CJ2*CJ5)</f>
        <v>0</v>
      </c>
      <c r="CK4" s="58" cm="1">
        <f t="array" ref="CK4">_xlfn.IFS(RIGHT(CK6,4)="KEUR",CK5,CK2="no rate","",ISTEXT(CK2),SUM(CL4:INDEX(CL4:$EC$4,,_xlfn.AGGREGATE(15,6,(COLUMN(CL4:$EC$4)-COLUMN()-1)/(LEFT(CL6:$EC$6,1)&lt;&gt;"("),1))),1,CK2*CK5)</f>
        <v>0</v>
      </c>
      <c r="CL4" s="58" cm="1">
        <f t="array" ref="CL4">_xlfn.IFS(RIGHT(CL6,4)="KEUR",CL5,CL2="no rate","",ISTEXT(CL2),SUM(CM4:INDEX(CM4:$EC$4,,_xlfn.AGGREGATE(15,6,(COLUMN(CM4:$EC$4)-COLUMN()-1)/(LEFT(CM6:$EC$6,1)&lt;&gt;"("),1))),1,CL2*CL5)</f>
        <v>0</v>
      </c>
      <c r="CM4" s="58" cm="1">
        <f t="array" ref="CM4">_xlfn.IFS(RIGHT(CM6,4)="KEUR",CM5,CM2="no rate","",ISTEXT(CM2),SUM(CN4:INDEX(CN4:$EC$4,,_xlfn.AGGREGATE(15,6,(COLUMN(CN4:$EC$4)-COLUMN()-1)/(LEFT(CN6:$EC$6,1)&lt;&gt;"("),1))),1,CM2*CM5)</f>
        <v>0</v>
      </c>
      <c r="CN4" s="58" cm="1">
        <f t="array" ref="CN4">_xlfn.IFS(RIGHT(CN6,4)="KEUR",CN5,CN2="no rate","",ISTEXT(CN2),SUM(CO4:INDEX(CO4:$EC$4,,_xlfn.AGGREGATE(15,6,(COLUMN(CO4:$EC$4)-COLUMN()-1)/(LEFT(CO6:$EC$6,1)&lt;&gt;"("),1))),1,CN2*CN5)</f>
        <v>0</v>
      </c>
      <c r="CO4" s="58" cm="1">
        <f t="array" ref="CO4">_xlfn.IFS(RIGHT(CO6,4)="KEUR",CO5,CO2="no rate","",ISTEXT(CO2),SUM(CP4:INDEX(CP4:$EC$4,,_xlfn.AGGREGATE(15,6,(COLUMN(CP4:$EC$4)-COLUMN()-1)/(LEFT(CP6:$EC$6,1)&lt;&gt;"("),1))),1,CO2*CO5)</f>
        <v>0</v>
      </c>
      <c r="CP4" s="58" cm="1">
        <f t="array" ref="CP4">_xlfn.IFS(RIGHT(CP6,4)="KEUR",CP5,CP2="no rate","",ISTEXT(CP2),SUM(CQ4:INDEX(CQ4:$EC$4,,_xlfn.AGGREGATE(15,6,(COLUMN(CQ4:$EC$4)-COLUMN()-1)/(LEFT(CQ6:$EC$6,1)&lt;&gt;"("),1))),1,CP2*CP5)</f>
        <v>0</v>
      </c>
      <c r="CQ4" s="58" cm="1">
        <f t="array" ref="CQ4">_xlfn.IFS(RIGHT(CQ6,4)="KEUR",CQ5,CQ2="no rate","",ISTEXT(CQ2),SUM(CR4:INDEX(CR4:$EC$4,,_xlfn.AGGREGATE(15,6,(COLUMN(CR4:$EC$4)-COLUMN()-1)/(LEFT(CR6:$EC$6,1)&lt;&gt;"("),1))),1,CQ2*CQ5)</f>
        <v>0</v>
      </c>
      <c r="CR4" s="58" cm="1">
        <f t="array" ref="CR4">_xlfn.IFS(RIGHT(CR6,4)="KEUR",CR5,CR2="no rate","",ISTEXT(CR2),SUM(CS4:INDEX(CS4:$EC$4,,_xlfn.AGGREGATE(15,6,(COLUMN(CS4:$EC$4)-COLUMN()-1)/(LEFT(CS6:$EC$6,1)&lt;&gt;"("),1))),1,CR2*CR5)</f>
        <v>0</v>
      </c>
      <c r="CS4" s="58" cm="1">
        <f t="array" ref="CS4">_xlfn.IFS(RIGHT(CS6,4)="KEUR",CS5,CS2="no rate","",ISTEXT(CS2),SUM(CT4:INDEX(CT4:$EC$4,,_xlfn.AGGREGATE(15,6,(COLUMN(CT4:$EC$4)-COLUMN()-1)/(LEFT(CT6:$EC$6,1)&lt;&gt;"("),1))),1,CS2*CS5)</f>
        <v>0</v>
      </c>
      <c r="CT4" s="58" cm="1">
        <f t="array" ref="CT4">_xlfn.IFS(RIGHT(CT6,4)="KEUR",CT5,CT2="no rate","",ISTEXT(CT2),SUM(CU4:INDEX(CU4:$EC$4,,_xlfn.AGGREGATE(15,6,(COLUMN(CU4:$EC$4)-COLUMN()-1)/(LEFT(CU6:$EC$6,1)&lt;&gt;"("),1))),1,CT2*CT5)</f>
        <v>0</v>
      </c>
      <c r="CU4" s="58" cm="1">
        <f t="array" ref="CU4">_xlfn.IFS(RIGHT(CU6,4)="KEUR",CU5,CU2="no rate","",ISTEXT(CU2),SUM(CV4:INDEX(CV4:$EC$4,,_xlfn.AGGREGATE(15,6,(COLUMN(CV4:$EC$4)-COLUMN()-1)/(LEFT(CV6:$EC$6,1)&lt;&gt;"("),1))),1,CU2*CU5)</f>
        <v>0</v>
      </c>
      <c r="CV4" s="58" cm="1">
        <f t="array" ref="CV4">_xlfn.IFS(RIGHT(CV6,4)="KEUR",CV5,CV2="no rate","",ISTEXT(CV2),SUM(CW4:INDEX(CW4:$EC$4,,_xlfn.AGGREGATE(15,6,(COLUMN(CW4:$EC$4)-COLUMN()-1)/(LEFT(CW6:$EC$6,1)&lt;&gt;"("),1))),1,CV2*CV5)</f>
        <v>0</v>
      </c>
      <c r="CW4" s="58" cm="1">
        <f t="array" ref="CW4">_xlfn.IFS(RIGHT(CW6,4)="KEUR",CW5,CW2="no rate","",ISTEXT(CW2),SUM(CX4:INDEX(CX4:$EC$4,,_xlfn.AGGREGATE(15,6,(COLUMN(CX4:$EC$4)-COLUMN()-1)/(LEFT(CX6:$EC$6,1)&lt;&gt;"("),1))),1,CW2*CW5)</f>
        <v>0</v>
      </c>
      <c r="CX4" s="58" cm="1">
        <f t="array" ref="CX4">_xlfn.IFS(RIGHT(CX6,4)="KEUR",CX5,CX2="no rate","",ISTEXT(CX2),SUM(CY4:INDEX(CY4:$EC$4,,_xlfn.AGGREGATE(15,6,(COLUMN(CY4:$EC$4)-COLUMN()-1)/(LEFT(CY6:$EC$6,1)&lt;&gt;"("),1))),1,CX2*CX5)</f>
        <v>0</v>
      </c>
      <c r="CY4" s="58" cm="1">
        <f t="array" ref="CY4">_xlfn.IFS(RIGHT(CY6,4)="KEUR",CY5,CY2="no rate","",ISTEXT(CY2),SUM(CZ4:INDEX(CZ4:$EC$4,,_xlfn.AGGREGATE(15,6,(COLUMN(CZ4:$EC$4)-COLUMN()-1)/(LEFT(CZ6:$EC$6,1)&lt;&gt;"("),1))),1,CY2*CY5)</f>
        <v>0</v>
      </c>
      <c r="CZ4" s="58" cm="1">
        <f t="array" ref="CZ4">_xlfn.IFS(RIGHT(CZ6,4)="KEUR",CZ5,CZ2="no rate","",ISTEXT(CZ2),SUM(DA4:INDEX(DA4:$EC$4,,_xlfn.AGGREGATE(15,6,(COLUMN(DA4:$EC$4)-COLUMN()-1)/(LEFT(DA6:$EC$6,1)&lt;&gt;"("),1))),1,CZ2*CZ5)</f>
        <v>0</v>
      </c>
      <c r="DA4" s="58" cm="1">
        <f t="array" ref="DA4">_xlfn.IFS(RIGHT(DA6,4)="KEUR",DA5,DA2="no rate","",ISTEXT(DA2),SUM(DB4:INDEX(DB4:$EC$4,,_xlfn.AGGREGATE(15,6,(COLUMN(DB4:$EC$4)-COLUMN()-1)/(LEFT(DB6:$EC$6,1)&lt;&gt;"("),1))),1,DA2*DA5)</f>
        <v>0</v>
      </c>
      <c r="DB4" s="58" t="str" cm="1">
        <f t="array" ref="DB4">_xlfn.IFS(RIGHT(DB6,4)="KEUR",DB5,DB2="no rate","",ISTEXT(DB2),SUM(DC4:INDEX(DC4:$EC$4,,_xlfn.AGGREGATE(15,6,(COLUMN(DC4:$EC$4)-COLUMN()-1)/(LEFT(DC6:$EC$6,1)&lt;&gt;"("),1))),1,DB2*DB5)</f>
        <v/>
      </c>
      <c r="DC4" s="58" t="str" cm="1">
        <f t="array" ref="DC4">_xlfn.IFS(RIGHT(DC6,4)="KEUR",DC5,DC2="no rate","",ISTEXT(DC2),SUM(DD4:INDEX(DD4:$EC$4,,_xlfn.AGGREGATE(15,6,(COLUMN(DD4:$EC$4)-COLUMN()-1)/(LEFT(DD6:$EC$6,1)&lt;&gt;"("),1))),1,DC2*DC5)</f>
        <v/>
      </c>
      <c r="DD4" s="58" t="str" cm="1">
        <f t="array" ref="DD4">_xlfn.IFS(RIGHT(DD6,4)="KEUR",DD5,DD2="no rate","",ISTEXT(DD2),SUM(DE4:INDEX(DE4:$EC$4,,_xlfn.AGGREGATE(15,6,(COLUMN(DE4:$EC$4)-COLUMN()-1)/(LEFT(DE6:$EC$6,1)&lt;&gt;"("),1))),1,DD2*DD5)</f>
        <v/>
      </c>
      <c r="DE4" s="58" t="str" cm="1">
        <f t="array" ref="DE4">_xlfn.IFS(RIGHT(DE6,4)="KEUR",DE5,DE2="no rate","",ISTEXT(DE2),SUM(DF4:INDEX(DF4:$EC$4,,_xlfn.AGGREGATE(15,6,(COLUMN(DF4:$EC$4)-COLUMN()-1)/(LEFT(DF6:$EC$6,1)&lt;&gt;"("),1))),1,DE2*DE5)</f>
        <v/>
      </c>
      <c r="DF4" s="58" t="str" cm="1">
        <f t="array" ref="DF4">_xlfn.IFS(RIGHT(DF6,4)="KEUR",DF5,DF2="no rate","",ISTEXT(DF2),SUM(DG4:INDEX(DG4:$EC$4,,_xlfn.AGGREGATE(15,6,(COLUMN(DG4:$EC$4)-COLUMN()-1)/(LEFT(DG6:$EC$6,1)&lt;&gt;"("),1))),1,DF2*DF5)</f>
        <v/>
      </c>
      <c r="DG4" s="58" t="str" cm="1">
        <f t="array" ref="DG4">_xlfn.IFS(RIGHT(DG6,4)="KEUR",DG5,DG2="no rate","",ISTEXT(DG2),SUM(DH4:INDEX(DH4:$EC$4,,_xlfn.AGGREGATE(15,6,(COLUMN(DH4:$EC$4)-COLUMN()-1)/(LEFT(DH6:$EC$6,1)&lt;&gt;"("),1))),1,DG2*DG5)</f>
        <v/>
      </c>
      <c r="DH4" s="58" cm="1">
        <f t="array" ref="DH4">_xlfn.IFS(RIGHT(DH6,4)="KEUR",DH5,DH2="no rate","",ISTEXT(DH2),SUM(DI4:INDEX(DI4:$EC$4,,_xlfn.AGGREGATE(15,6,(COLUMN(DI4:$EC$4)-COLUMN()-1)/(LEFT(DI6:$EC$6,1)&lt;&gt;"("),1))),1,DH2*DH5)</f>
        <v>0</v>
      </c>
      <c r="DI4" s="58" cm="1">
        <f t="array" ref="DI4">_xlfn.IFS(RIGHT(DI6,4)="KEUR",DI5,DI2="no rate","",ISTEXT(DI2),SUM(DJ4:INDEX(DJ4:$EC$4,,_xlfn.AGGREGATE(15,6,(COLUMN(DJ4:$EC$4)-COLUMN()-1)/(LEFT(DJ6:$EC$6,1)&lt;&gt;"("),1))),1,DI2*DI5)</f>
        <v>0</v>
      </c>
      <c r="DJ4" s="58" cm="1">
        <f t="array" ref="DJ4">_xlfn.IFS(RIGHT(DJ6,4)="KEUR",DJ5,DJ2="no rate","",ISTEXT(DJ2),SUM(DK4:INDEX(DK4:$EC$4,,_xlfn.AGGREGATE(15,6,(COLUMN(DK4:$EC$4)-COLUMN()-1)/(LEFT(DK6:$EC$6,1)&lt;&gt;"("),1))),1,DJ2*DJ5)</f>
        <v>0</v>
      </c>
      <c r="DK4" s="58" cm="1">
        <f t="array" ref="DK4">_xlfn.IFS(RIGHT(DK6,4)="KEUR",DK5,DK2="no rate","",ISTEXT(DK2),SUM(DL4:INDEX(DL4:$EC$4,,_xlfn.AGGREGATE(15,6,(COLUMN(DL4:$EC$4)-COLUMN()-1)/(LEFT(DL6:$EC$6,1)&lt;&gt;"("),1))),1,DK2*DK5)</f>
        <v>0</v>
      </c>
      <c r="DL4" s="58" cm="1">
        <f t="array" ref="DL4">_xlfn.IFS(RIGHT(DL6,4)="KEUR",DL5,DL2="no rate","",ISTEXT(DL2),SUM(DM4:INDEX(DM4:$EC$4,,_xlfn.AGGREGATE(15,6,(COLUMN(DM4:$EC$4)-COLUMN()-1)/(LEFT(DM6:$EC$6,1)&lt;&gt;"("),1))),1,DL2*DL5)</f>
        <v>0</v>
      </c>
      <c r="DM4" s="58" cm="1">
        <f t="array" ref="DM4">_xlfn.IFS(RIGHT(DM6,4)="KEUR",DM5,DM2="no rate","",ISTEXT(DM2),SUM(DN4:INDEX(DN4:$EC$4,,_xlfn.AGGREGATE(15,6,(COLUMN(DN4:$EC$4)-COLUMN()-1)/(LEFT(DN6:$EC$6,1)&lt;&gt;"("),1))),1,DM2*DM5)</f>
        <v>0</v>
      </c>
      <c r="DN4" s="58" cm="1">
        <f t="array" ref="DN4">_xlfn.IFS(RIGHT(DN6,4)="KEUR",DN5,DN2="no rate","",ISTEXT(DN2),SUM(DO4:INDEX(DO4:$EC$4,,_xlfn.AGGREGATE(15,6,(COLUMN(DO4:$EC$4)-COLUMN()-1)/(LEFT(DO6:$EC$6,1)&lt;&gt;"("),1))),1,DN2*DN5)</f>
        <v>0</v>
      </c>
      <c r="DO4" s="58" cm="1">
        <f t="array" ref="DO4">_xlfn.IFS(RIGHT(DO6,4)="KEUR",DO5,DO2="no rate","",ISTEXT(DO2),SUM(DP4:INDEX(DP4:$EC$4,,_xlfn.AGGREGATE(15,6,(COLUMN(DP4:$EC$4)-COLUMN()-1)/(LEFT(DP6:$EC$6,1)&lt;&gt;"("),1))),1,DO2*DO5)</f>
        <v>0</v>
      </c>
      <c r="DP4" s="58" cm="1">
        <f t="array" ref="DP4">_xlfn.IFS(RIGHT(DP6,4)="KEUR",DP5,DP2="no rate","",ISTEXT(DP2),SUM(DQ4:INDEX(DQ4:$EC$4,,_xlfn.AGGREGATE(15,6,(COLUMN(DQ4:$EC$4)-COLUMN()-1)/(LEFT(DQ6:$EC$6,1)&lt;&gt;"("),1))),1,DP2*DP5)</f>
        <v>0</v>
      </c>
      <c r="DQ4" s="58" t="str" cm="1">
        <f t="array" ref="DQ4">_xlfn.IFS(RIGHT(DQ6,4)="KEUR",DQ5,DQ2="no rate","",ISTEXT(DQ2),SUM(DR4:INDEX(DR4:$EC$4,,_xlfn.AGGREGATE(15,6,(COLUMN(DR4:$EC$4)-COLUMN()-1)/(LEFT(DR6:$EC$6,1)&lt;&gt;"("),1))),1,DQ2*DQ5)</f>
        <v/>
      </c>
      <c r="DR4" s="58" cm="1">
        <f t="array" ref="DR4">_xlfn.IFS(RIGHT(DR6,4)="KEUR",DR5,DR2="no rate","",ISTEXT(DR2),SUM(DS4:INDEX(DS4:$EC$4,,_xlfn.AGGREGATE(15,6,(COLUMN(DS4:$EC$4)-COLUMN()-1)/(LEFT(DS6:$EC$6,1)&lt;&gt;"("),1))),1,DR2*DR5)</f>
        <v>0</v>
      </c>
      <c r="DS4" s="58" cm="1">
        <f t="array" ref="DS4">_xlfn.IFS(RIGHT(DS6,4)="KEUR",DS5,DS2="no rate","",ISTEXT(DS2),SUM(DT4:INDEX(DT4:$EC$4,,_xlfn.AGGREGATE(15,6,(COLUMN(DT4:$EC$4)-COLUMN()-1)/(LEFT(DT6:$EC$6,1)&lt;&gt;"("),1))),1,DS2*DS5)</f>
        <v>0</v>
      </c>
      <c r="DT4" s="58" cm="1">
        <f t="array" ref="DT4">_xlfn.IFS(RIGHT(DT6,4)="KEUR",DT5,DT2="no rate","",ISTEXT(DT2),SUM(DU4:INDEX(DU4:$EC$4,,_xlfn.AGGREGATE(15,6,(COLUMN(DU4:$EC$4)-COLUMN()-1)/(LEFT(DU6:$EC$6,1)&lt;&gt;"("),1))),1,DT2*DT5)</f>
        <v>0</v>
      </c>
      <c r="DU4" s="58" cm="1">
        <f t="array" ref="DU4">_xlfn.IFS(RIGHT(DU6,4)="KEUR",DU5,DU2="no rate","",ISTEXT(DU2),SUM(DV4:INDEX(DV4:$EC$4,,_xlfn.AGGREGATE(15,6,(COLUMN(DV4:$EC$4)-COLUMN()-1)/(LEFT(DV6:$EC$6,1)&lt;&gt;"("),1))),1,DU2*DU5)</f>
        <v>0</v>
      </c>
      <c r="DV4" s="58" cm="1">
        <f t="array" ref="DV4">_xlfn.IFS(RIGHT(DV6,4)="KEUR",DV5,DV2="no rate","",ISTEXT(DV2),SUM(DW4:INDEX(DW4:$EC$4,,_xlfn.AGGREGATE(15,6,(COLUMN(DW4:$EC$4)-COLUMN()-1)/(LEFT(DW6:$EC$6,1)&lt;&gt;"("),1))),1,DV2*DV5)</f>
        <v>0</v>
      </c>
      <c r="DW4" s="58" cm="1">
        <f t="array" ref="DW4">_xlfn.IFS(RIGHT(DW6,4)="KEUR",DW5,DW2="no rate","",ISTEXT(DW2),SUM(DX4:INDEX(DX4:$EC$4,,_xlfn.AGGREGATE(15,6,(COLUMN(DX4:$EC$4)-COLUMN()-1)/(LEFT(DX6:$EC$6,1)&lt;&gt;"("),1))),1,DW2*DW5)</f>
        <v>0</v>
      </c>
      <c r="DX4" s="58" cm="1">
        <f t="array" ref="DX4">_xlfn.IFS(RIGHT(DX6,4)="KEUR",DX5,DX2="no rate","",ISTEXT(DX2),SUM(DY4:INDEX(DY4:$EC$4,,_xlfn.AGGREGATE(15,6,(COLUMN(DY4:$EC$4)-COLUMN()-1)/(LEFT(DY6:$EC$6,1)&lt;&gt;"("),1))),1,DX2*DX5)</f>
        <v>0</v>
      </c>
      <c r="DY4" s="58" cm="1">
        <f t="array" ref="DY4">_xlfn.IFS(RIGHT(DY6,4)="KEUR",DY5,DY2="no rate","",ISTEXT(DY2),SUM(DZ4:INDEX(DZ4:$EC$4,,_xlfn.AGGREGATE(15,6,(COLUMN(DZ4:$EC$4)-COLUMN()-1)/(LEFT(DZ6:$EC$6,1)&lt;&gt;"("),1))),1,DY2*DY5)</f>
        <v>0</v>
      </c>
      <c r="DZ4" s="58" cm="1">
        <f t="array" ref="DZ4">_xlfn.IFS(RIGHT(DZ6,4)="KEUR",DZ5,DZ2="no rate","",ISTEXT(DZ2),SUM(EA4:INDEX(EA4:$EC$4,,_xlfn.AGGREGATE(15,6,(COLUMN(EA4:$EC$4)-COLUMN()-1)/(LEFT(EA6:$EC$6,1)&lt;&gt;"("),1))),1,DZ2*DZ5)</f>
        <v>0</v>
      </c>
      <c r="EA4" s="58" cm="1">
        <f t="array" ref="EA4">_xlfn.IFS(RIGHT(EA6,4)="KEUR",EA5,EA2="no rate","",ISTEXT(EA2),SUM(EB4:INDEX(EB4:$EC$4,,_xlfn.AGGREGATE(15,6,(COLUMN(EB4:$EC$4)-COLUMN()-1)/(LEFT(EB6:$EC$6,1)&lt;&gt;"("),1))),1,EA2*EA5)</f>
        <v>0</v>
      </c>
      <c r="EB4" s="58"/>
      <c r="EC4" s="58"/>
      <c r="ED4" s="57"/>
      <c r="EE4" s="5142" t="n">
        <v>0.0</v>
      </c>
      <c r="EF4" s="57"/>
      <c r="EG4" s="57"/>
      <c r="EH4" s="57"/>
    </row>
    <row r="5" spans="1:139" customFormat="1" x14ac:dyDescent="0.2">
      <c r="C5" s="59" t="str" cm="1">
        <f t="array" ref="C5">"total mds: "&amp;TEXT(SUMPRODUCT($E$5:$DZ$5,(LEFT($E$6:$DZ$6,1)&lt;&gt;"(")*1),"#.##")</f>
        <v>total mds: .</v>
      </c>
      <c r="E5" s="55">
        <f>_xlfn.AGGREGATE(9,3,Run[Acceptance
Internal
All entities])/IF(RIGHT(E6,4)="(K€)",E2,1)</f>
        <v>0</v>
      </c>
      <c r="F5" s="5105" t="n">
        <v>354.0</v>
      </c>
      <c r="G5" s="5107" t="n">
        <v>960.0</v>
      </c>
      <c r="H5" s="5109" t="n">
        <v>6732.0</v>
      </c>
      <c r="I5" s="5111" t="n">
        <v>352.0</v>
      </c>
      <c r="J5" s="55">
        <f>_xlfn.AGGREGATE(9,3,Run[(ACC)
CZE
GoPay])/IF(RIGHT(J6,4)="(K€)",J2,1)</f>
        <v>0</v>
      </c>
      <c r="K5" s="5113" t="n">
        <v>2900.0</v>
      </c>
      <c r="L5" s="55">
        <f>_xlfn.AGGREGATE(9,3,Run[(ACC)
FRA
SACC])/IF(RIGHT(L6,4)="(K€)",L2,1)</f>
        <v>0</v>
      </c>
      <c r="M5" s="5117" t="n">
        <v>3224.0</v>
      </c>
      <c r="N5" s="5115" t="n">
        <v>382.0</v>
      </c>
      <c r="O5" s="55">
        <f>_xlfn.AGGREGATE(9,3,Run[(ACC)
GER
Payone])/IF(RIGHT(O6,4)="(K€)",O2,1)</f>
        <v>0</v>
      </c>
      <c r="P5" s="55">
        <f>_xlfn.AGGREGATE(9,3,Run[(ACC)
AUT
Payunity])/IF(RIGHT(P6,4)="(K€)",P2,1)</f>
        <v>0</v>
      </c>
      <c r="Q5" s="55">
        <f>_xlfn.AGGREGATE(9,3,Run[(ACC)
GRC
Cardlink])/IF(RIGHT(Q6,4)="(K€)",Q2,1)</f>
        <v>0</v>
      </c>
      <c r="R5" s="5119" t="n">
        <v>1528.0</v>
      </c>
      <c r="S5" s="55">
        <f>_xlfn.AGGREGATE(9,3,Run[(ACC)
ITA
Axxepta])/IF(RIGHT(S6,4)="(K€)",S2,1)</f>
        <v>0</v>
      </c>
      <c r="T5" s="55">
        <f>_xlfn.AGGREGATE(9,3,Run[(ACC)
NAR
Beanstream / Roam])/IF(RIGHT(T6,4)="(K€)",T2,1)</f>
        <v>0</v>
      </c>
      <c r="U5" s="5121" t="n">
        <v>6947.8</v>
      </c>
      <c r="V5" s="5123" t="n">
        <v>1400.0</v>
      </c>
      <c r="W5" s="5125" t="n">
        <v>350.0</v>
      </c>
      <c r="X5" s="5127" t="n">
        <v>594.0</v>
      </c>
      <c r="Y5" s="5129" t="n">
        <v>360.0</v>
      </c>
      <c r="Z5" s="5131" t="n">
        <v>300.0</v>
      </c>
      <c r="AA5" s="5133" t="n">
        <v>3000.0</v>
      </c>
      <c r="AB5" s="5135" t="n">
        <v>1892.0</v>
      </c>
      <c r="AC5" s="5137" t="n">
        <v>1069.6</v>
      </c>
      <c r="AD5" s="55">
        <f>_xlfn.AGGREGATE(9,3,Run[(ACC)
GER
cCredit])/IF(RIGHT(AD6,4)="(K€)",AD2,1)</f>
        <v>0</v>
      </c>
      <c r="AE5" s="55">
        <f>_xlfn.AGGREGATE(9,3,Run[(ACC)
ALL
 Shared services])/IF(RIGHT(AE6,4)="(K€)",AE2,1)</f>
        <v>0</v>
      </c>
      <c r="AF5" s="55">
        <f>_xlfn.AGGREGATE(9,3,Run[Com Acquiring
Internal
all entities])/IF(RIGHT(AF6,4)="(K€)",AF2,1)</f>
        <v>0</v>
      </c>
      <c r="AG5" s="55">
        <f>_xlfn.AGGREGATE(9,3,Run[(CAQ)
BEL
WL])/IF(RIGHT(AG6,4)="(K€)",AG2,1)</f>
        <v>0</v>
      </c>
      <c r="AH5" s="55">
        <f>_xlfn.AGGREGATE(9,3,Run[(CAQ)
FRA
WL])/IF(RIGHT(AH6,4)="(K€)",AH2,1)</f>
        <v>0</v>
      </c>
      <c r="AI5" s="55">
        <f>_xlfn.AGGREGATE(9,3,Run[(CAQ)
CHE
SPS])/IF(RIGHT(AI6,4)="(K€)",AI2,1)</f>
        <v>0</v>
      </c>
      <c r="AJ5" s="55">
        <f>_xlfn.AGGREGATE(9,3,Run[(CAQ)
ALL
BB])/IF(RIGHT(AJ6,4)="(K€)",AJ2,1)</f>
        <v>0</v>
      </c>
      <c r="AK5" s="55">
        <f>_xlfn.AGGREGATE(9,3,Run[Digital Services
Internal
all entities])/IF(RIGHT(AK6,4)="(K€)",AK2,1)</f>
        <v>0</v>
      </c>
      <c r="AL5" s="55">
        <f>_xlfn.AGGREGATE(9,3,Run[(DIG)
BEL
WL])/IF(RIGHT(AL6,4)="(K€)",AL2,1)</f>
        <v>0</v>
      </c>
      <c r="AM5" s="55">
        <f>_xlfn.AGGREGATE(9,3,Run[(DIG)
FRA
WL])/IF(RIGHT(AM6,4)="(K€)",AM2,1)</f>
        <v>0</v>
      </c>
      <c r="AN5" s="55">
        <f>_xlfn.AGGREGATE(9,3,Run[(DIG)
NLD
WL])/IF(RIGHT(AN6,4)="(K€)",AN2,1)</f>
        <v>0</v>
      </c>
      <c r="AO5" s="55">
        <f>_xlfn.AGGREGATE(9,3,Run[(DIG)
AUT
SPS])/IF(RIGHT(AO6,4)="(K€)",AO2,1)</f>
        <v>0</v>
      </c>
      <c r="AP5" s="55">
        <f>_xlfn.AGGREGATE(9,3,Run[(DIG)
CHE
SPS])/IF(RIGHT(AP6,4)="(K€)",AP2,1)</f>
        <v>0</v>
      </c>
      <c r="AQ5" s="55">
        <f>_xlfn.AGGREGATE(9,3,Run[(DIG)
FRA
ING])/IF(RIGHT(AQ6,4)="(K€)",AQ2,1)</f>
        <v>0</v>
      </c>
      <c r="AR5" s="55">
        <f>_xlfn.AGGREGATE(9,3,Run[(DIG)
GER
WL])/IF(RIGHT(AR6,4)="(K€)",AR2,1)</f>
        <v>0</v>
      </c>
      <c r="AS5" s="55">
        <f>_xlfn.AGGREGATE(9,3,Run[(DIG)
GER
SPS])/IF(RIGHT(AS6,4)="(K€)",AS2,1)</f>
        <v>0</v>
      </c>
      <c r="AT5" s="55">
        <f>_xlfn.AGGREGATE(9,3,Run[(DIG)
CZE
Cataps])/IF(RIGHT(AT6,4)="(K€)",AT2,1)</f>
        <v>0</v>
      </c>
      <c r="AU5" s="55">
        <f>_xlfn.AGGREGATE(9,3,Run[(DIG)
AUS
WL])/IF(RIGHT(AU6,4)="(K€)",AU2,1)</f>
        <v>0</v>
      </c>
      <c r="AV5" s="55">
        <f>_xlfn.AGGREGATE(9,3,Run[(DIG)
NLD
ING])/IF(RIGHT(AV6,4)="(K€)",AV2,1)</f>
        <v>0</v>
      </c>
      <c r="AW5" s="55">
        <f>_xlfn.AGGREGATE(9,3,Run[E2E Architects &amp; Programs
Internal
all entities])/IF(RIGHT(AW6,4)="(K€)",AW2,1)</f>
        <v>0</v>
      </c>
      <c r="AX5" s="55">
        <f>_xlfn.AGGREGATE(9,3,Run[(E2E)
BEL
WL])/IF(RIGHT(AX6,4)="(K€)",AX2,1)</f>
        <v>0</v>
      </c>
      <c r="AY5" s="55">
        <f>_xlfn.AGGREGATE(9,3,Run[(E2E)
FRA
WL])/IF(RIGHT(AY6,4)="(K€)",AY2,1)</f>
        <v>0</v>
      </c>
      <c r="AZ5" s="55">
        <f>_xlfn.AGGREGATE(9,3,Run[(E2E)
CHE
SPS])/IF(RIGHT(AZ6,4)="(K€)",AZ2,1)</f>
        <v>0</v>
      </c>
      <c r="BA5" s="55">
        <f>_xlfn.AGGREGATE(9,3,Run[Chief Merchant Officer
Internal
all entities])/IF(RIGHT(BA6,4)="(K€)",BA2,1)</f>
        <v>0</v>
      </c>
      <c r="BB5" s="55">
        <f>_xlfn.AGGREGATE(9,3,Run[(CMO)
CHE
SPS])/IF(RIGHT(BB6,4)="(K€)",BB2,1)</f>
        <v>0</v>
      </c>
      <c r="BC5" s="55">
        <f>_xlfn.AGGREGATE(9,3,Run[(CMO)
FRA
WL])/IF(RIGHT(BC6,4)="(K€)",BC2,1)</f>
        <v>0</v>
      </c>
      <c r="BD5" s="55">
        <f>_xlfn.AGGREGATE(9,3,Run[COO SACC
Internal
all entities])/IF(RIGHT(BD6,4)="(K€)",BD2,1)</f>
        <v>0</v>
      </c>
      <c r="BE5" s="55">
        <f>_xlfn.AGGREGATE(9,3,Run[(SAC)
FRA
ex Terminals])/IF(RIGHT(BE6,4)="(K€)",BE2,1)</f>
        <v>0</v>
      </c>
      <c r="BF5" s="55">
        <f>_xlfn.AGGREGATE(9,3,Run[(SAC)
FRA
ex Omni Ch.])/IF(RIGHT(BF6,4)="(K€)",BF2,1)</f>
        <v>0</v>
      </c>
      <c r="BG5" s="55">
        <f>_xlfn.AGGREGATE(9,3,Run[(SAC)
FRA
Ex Operations])/IF(RIGHT(BG6,4)="(K€)",BG2,1)</f>
        <v>0</v>
      </c>
      <c r="BH5" s="55">
        <f>_xlfn.AGGREGATE(9,3,Run[COO PTM
Internal
WL entities])/IF(RIGHT(BH6,4)="(K€)",BH2,1)</f>
        <v>0</v>
      </c>
      <c r="BI5" s="55">
        <f>_xlfn.AGGREGATE(9,3,Run[(PTM)
BEL
WL])/IF(RIGHT(BI6,4)="(K€)",BI2,1)</f>
        <v>0</v>
      </c>
      <c r="BJ5" s="55">
        <f>_xlfn.AGGREGATE(9,3,Run[(PTM)
FRA
WL])/IF(RIGHT(BJ6,4)="(K€)",BJ2,1)</f>
        <v>0</v>
      </c>
      <c r="BK5" s="5139" t="n">
        <v>1375.0</v>
      </c>
      <c r="BL5" s="55">
        <f>_xlfn.AGGREGATE(9,3,Run[(PTM)
SWE
WL])/IF(RIGHT(BL6,4)="(K€)",BL2,1)</f>
        <v>0</v>
      </c>
      <c r="BM5" s="55">
        <f>_xlfn.AGGREGATE(9,3,Run[(PTM)
GER
WL])/IF(RIGHT(BM6,4)="(K€)",BM2,1)</f>
        <v>0</v>
      </c>
      <c r="BN5" s="55">
        <f>_xlfn.AGGREGATE(9,3,Run[(PTM)
BRA
WL])/IF(RIGHT(BN6,4)="(K€)",BN2,1)</f>
        <v>0</v>
      </c>
      <c r="BO5" s="55">
        <f>_xlfn.AGGREGATE(9,3,Run[COO PTM
Internal
SPS/Other entities])/IF(RIGHT(BO6,4)="(K€)",BO2,1)</f>
        <v>0</v>
      </c>
      <c r="BP5" s="55">
        <f>_xlfn.AGGREGATE(9,3,Run[(PTM)
CHE
SPS])/IF(RIGHT(BP6,4)="(K€)",BP2,1)</f>
        <v>0</v>
      </c>
      <c r="BQ5" s="55">
        <f>_xlfn.AGGREGATE(9,3,Run[(PTM)
AUT
SPS])/IF(RIGHT(BQ6,4)="(K€)",BQ2,1)</f>
        <v>0</v>
      </c>
      <c r="BR5" s="55">
        <f>_xlfn.AGGREGATE(9,3,Run[(PTM)
GER
SPS])/IF(RIGHT(BR6,4)="(K€)",BR2,1)</f>
        <v>0</v>
      </c>
      <c r="BS5" s="55">
        <f>_xlfn.AGGREGATE(9,3,Run[(PTM)
POL
SPS])/IF(RIGHT(BS6,4)="(K€)",BS2,1)</f>
        <v>0</v>
      </c>
      <c r="BT5" s="55">
        <f>_xlfn.AGGREGATE(9,3,Run[(PTM)
CZE
Cataps])/IF(RIGHT(BT6,4)="(K€)",BT2,1)</f>
        <v>0</v>
      </c>
      <c r="BU5" s="55">
        <f>_xlfn.AGGREGATE(9,3,Run[COO CS
Internal
WL entities])/IF(RIGHT(BU6,4)="(K€)",BU2,1)</f>
        <v>0</v>
      </c>
      <c r="BV5" s="55">
        <f>_xlfn.AGGREGATE(9,3,Run[(CCS)
BEL
WL])/IF(RIGHT(BV6,4)="(K€)",BV2,1)</f>
        <v>0</v>
      </c>
      <c r="BW5" s="55">
        <f>_xlfn.AGGREGATE(9,3,Run[(CCS)
FRA
WL])/IF(RIGHT(BW6,4)="(K€)",BW2,1)</f>
        <v>0</v>
      </c>
      <c r="BX5" s="55">
        <f>_xlfn.AGGREGATE(9,3,Run[(CCS)
NLD
WL])/IF(RIGHT(BX6,4)="(K€)",BX2,1)</f>
        <v>0</v>
      </c>
      <c r="BY5" s="55">
        <f>_xlfn.AGGREGATE(9,3,Run[COO CS
Internal
SPS entities])/IF(RIGHT(BY6,4)="(K€)",BY2,1)</f>
        <v>0</v>
      </c>
      <c r="BZ5" s="55">
        <f>_xlfn.AGGREGATE(9,3,Run[(CCS)
CHE
SPS])/IF(RIGHT(BZ6,4)="(K€)",BZ2,1)</f>
        <v>0</v>
      </c>
      <c r="CA5" s="55">
        <f>_xlfn.AGGREGATE(9,3,Run[(CCS)
LUX
SPS])/IF(RIGHT(CA6,4)="(K€)",CA2,1)</f>
        <v>0</v>
      </c>
      <c r="CB5" s="55">
        <f>_xlfn.AGGREGATE(9,3,Run[(CCS)
AUT
SPS])/IF(RIGHT(CB6,4)="(K€)",CB2,1)</f>
        <v>0</v>
      </c>
      <c r="CC5" s="55">
        <f>_xlfn.AGGREGATE(9,3,Run[(CCS)
GER
SPS])/IF(RIGHT(CC6,4)="(K€)",CC2,1)</f>
        <v>0</v>
      </c>
      <c r="CD5" s="55">
        <f>_xlfn.AGGREGATE(9,3,Run[(CCS)
POL
SPS])/IF(RIGHT(CD6,4)="(K€)",CD2,1)</f>
        <v>0</v>
      </c>
      <c r="CE5" s="55">
        <f>_xlfn.AGGREGATE(9,3,Run[COO CS
Internal
Other entities])/IF(RIGHT(CE6,4)="(K€)",CE2,1)</f>
        <v>0</v>
      </c>
      <c r="CF5" s="55">
        <f>_xlfn.AGGREGATE(9,3,Run[(CCS)
NLD
PSQ])/IF(RIGHT(CF6,4)="(K€)",CF2,1)</f>
        <v>0</v>
      </c>
      <c r="CG5" s="55">
        <f>_xlfn.AGGREGATE(9,3,Run[(CCS)
POL
PSQ])/IF(RIGHT(CG6,4)="(K€)",CG2,1)</f>
        <v>0</v>
      </c>
      <c r="CH5" s="55">
        <f>_xlfn.AGGREGATE(9,3,Run[(CCS)
CZE
Cataps])/IF(RIGHT(CH6,4)="(K€)",CH2,1)</f>
        <v>0</v>
      </c>
      <c r="CI5" s="55">
        <f>_xlfn.AGGREGATE(9,3,Run[COO BSA
Internal
all entities])/IF(RIGHT(CI6,4)="(K€)",CI2,1)</f>
        <v>0</v>
      </c>
      <c r="CJ5" s="55">
        <f>_xlfn.AGGREGATE(9,3,Run[(BSA)
BEL
WL])/IF(RIGHT(CJ6,4)="(K€)",CJ2,1)</f>
        <v>0</v>
      </c>
      <c r="CK5" s="55">
        <f>_xlfn.AGGREGATE(9,3,Run[(BSA)
AUS
WL])/IF(RIGHT(CK6,4)="(K€)",CK2,1)</f>
        <v>0</v>
      </c>
      <c r="CL5" s="55">
        <f>_xlfn.AGGREGATE(9,3,Run[(BSA)
NLD
WL])/IF(RIGHT(CL6,4)="(K€)",CL2,1)</f>
        <v>0</v>
      </c>
      <c r="CM5" s="55">
        <f>_xlfn.AGGREGATE(9,3,Run[(BSA)
CHE
SPS])/IF(RIGHT(CM6,4)="(K€)",CM2,1)</f>
        <v>0</v>
      </c>
      <c r="CN5" s="55">
        <f>_xlfn.AGGREGATE(9,3,Run[(BSA)
POL])/IF(RIGHT(CN6,4)="(K€)",CN2,1)</f>
        <v>0</v>
      </c>
      <c r="CO5" s="55">
        <f>_xlfn.AGGREGATE(9,3,Run[(BSA)
FRA])/IF(RIGHT(CO6,4)="(K€)",CO2,1)</f>
        <v>0</v>
      </c>
      <c r="CP5" s="55">
        <f>_xlfn.AGGREGATE(9,3,Run[(BSA)
GER])/IF(RIGHT(CP6,4)="(K€)",CP2,1)</f>
        <v>0</v>
      </c>
      <c r="CQ5" s="55">
        <f>_xlfn.AGGREGATE(9,3,Run[Chief Market Officer
Internal
all entities])/IF(RIGHT(CQ6,4)="(K€)",CQ2,1)</f>
        <v>0</v>
      </c>
      <c r="CR5" s="55">
        <f>_xlfn.AGGREGATE(9,3,Run[(CMA)
All
any entity])/IF(RIGHT(CR6,4)="(K€)",CR2,1)</f>
        <v>0</v>
      </c>
      <c r="CS5" s="55">
        <f>_xlfn.AGGREGATE(9,3,Run[GTM FI
Internal
all entities])/IF(RIGHT(CS6,4)="(K€)",CS2,1)</f>
        <v>0</v>
      </c>
      <c r="CT5" s="55">
        <f>_xlfn.AGGREGATE(9,3,Run[(GTM)
All
any entity])/IF(RIGHT(CT6,4)="(K€)",CT2,1)</f>
        <v>0</v>
      </c>
      <c r="CU5" s="55">
        <f>_xlfn.AGGREGATE(9,3,Run[Financial Services
Outsourced
all entities])/IF(RIGHT(CU6,4)="(K€)",CU2,1)</f>
        <v>0</v>
      </c>
      <c r="CV5" s="55">
        <f>_xlfn.AGGREGATE(9,3,Run[(FIS)
All
any entity])/IF(RIGHT(CV6,4)="(K€)",CV2,1)</f>
        <v>0</v>
      </c>
      <c r="CW5" s="55">
        <f>_xlfn.AGGREGATE(9,3,Run[(FIS)
BEL
eWL])/IF(RIGHT(CW6,4)="(K€)",CW2,1)</f>
        <v>0</v>
      </c>
      <c r="CX5" s="55">
        <f>_xlfn.AGGREGATE(9,3,Run[(FIS)
FRA
eWL])/IF(RIGHT(CX6,4)="(K€)",CX2,1)</f>
        <v>0</v>
      </c>
      <c r="CY5" s="55">
        <f>_xlfn.AGGREGATE(9,3,Run[(FIS)
NLD
eWL])/IF(RIGHT(CY6,4)="(K€)",CY2,1)</f>
        <v>0</v>
      </c>
      <c r="CZ5" s="55">
        <f>_xlfn.AGGREGATE(9,3,Run[(FIS)
GER
eWL])/IF(RIGHT(CZ6,4)="(K€)",CZ2,1)</f>
        <v>0</v>
      </c>
      <c r="DA5" s="55">
        <f>_xlfn.AGGREGATE(9,3,Run[(FIS)
CHE
SPS FS])/IF(RIGHT(DA6,4)="(K€)",DA2,1)</f>
        <v>0</v>
      </c>
      <c r="DB5" s="55">
        <f>_xlfn.AGGREGATE(9,3,Run[(FIS)
SPS Split (26%) BEL])/IF(RIGHT(DB6,4)="(K€)",DB2,1)</f>
        <v>0</v>
      </c>
      <c r="DC5" s="55">
        <f>_xlfn.AGGREGATE(9,3,Run[(FIS)
SPS % Split
FO])/IF(RIGHT(DC6,4)="(K€)",DC2,1)</f>
        <v>0</v>
      </c>
      <c r="DD5" s="55">
        <f>_xlfn.AGGREGATE(9,3,Run[(FIS)
SPS % Split
BO])/IF(RIGHT(DD6,4)="(K€)",DD2,1)</f>
        <v>0</v>
      </c>
      <c r="DE5" s="55">
        <f>_xlfn.AGGREGATE(9,3,Run[(FIS)
SPS Split
FO (calc)])/IF(RIGHT(DE6,4)="(K€)",DE2,1)</f>
        <v>0</v>
      </c>
      <c r="DF5" s="55">
        <f>_xlfn.AGGREGATE(9,3,Run[(FIS)
SPS Split
BO (calc)])/IF(RIGHT(DF6,4)="(K€)",DF2,1)</f>
        <v>0</v>
      </c>
      <c r="DG5" s="55">
        <f>_xlfn.AGGREGATE(9,3,Run[(FIS)
SPS Split
DaMa (calc)])/IF(RIGHT(DG6,4)="(K€)",DG2,1)</f>
        <v>0</v>
      </c>
      <c r="DH5" s="55">
        <f>_xlfn.AGGREGATE(9,3,Run[Production Services
Outsourced
all entities])/IF(RIGHT(DH6,4)="(K€)",DH2,1)</f>
        <v>0</v>
      </c>
      <c r="DI5" s="55">
        <f>_xlfn.AGGREGATE(9,3,Run[(PRD)
ALL
any entity])/IF(RIGHT(DI6,4)="(K€)",DI2,1)</f>
        <v>0</v>
      </c>
      <c r="DJ5" s="55">
        <f>_xlfn.AGGREGATE(9,3,Run[TSS
Outsourced 
all entities])/IF(RIGHT(DJ6,4)="(K€)",DJ2,1)</f>
        <v>0</v>
      </c>
      <c r="DK5" s="55">
        <f>_xlfn.AGGREGATE(9,3,Run[(TSS)
ALL
any entity])/IF(RIGHT(DK6,4)="(K€)",DK2,1)</f>
        <v>0</v>
      </c>
      <c r="DL5" s="55">
        <f>_xlfn.AGGREGATE(9,3,Run[MTS
Outsourced
all entities])/IF(RIGHT(DL6,4)="(K€)",DL2,1)</f>
        <v>0</v>
      </c>
      <c r="DM5" s="55">
        <f>_xlfn.AGGREGATE(9,3,Run[(MTS)
ALL
any entity])/IF(RIGHT(DM6,4)="(K€)",DM2,1)</f>
        <v>0</v>
      </c>
      <c r="DN5" s="55">
        <f>_xlfn.AGGREGATE(9,3,Run[Payone
Outsourced
all entities])/IF(RIGHT(DN6,4)="(K€)",DN2,1)</f>
        <v>0</v>
      </c>
      <c r="DO5" s="55">
        <f>_xlfn.AGGREGATE(9,3,Run[(Payone)
ALL
any entity])/IF(RIGHT(DO6,4)="(K€)",DO2,1)</f>
        <v>0</v>
      </c>
      <c r="DP5" s="55">
        <f>_xlfn.AGGREGATE(9,3,Run[Cash Out
OPEX
Suppliers])/IF(RIGHT(DP6,4)="(K€)",DP2,1)</f>
        <v>0</v>
      </c>
      <c r="DQ5" s="55">
        <f>_xlfn.AGGREGATE(9,3,Run[(OPX) 
Supplier Name(s)])/IF(RIGHT(DQ6,4)="(K€)",DQ2,1)</f>
        <v>0</v>
      </c>
      <c r="DR5" s="55">
        <f>_xlfn.AGGREGATE(9,3,Run[(OPX)
All SubCo
Fix price (K€)])/IF(RIGHT(DR6,4)="(K€)",DR2,1)</f>
        <v>0</v>
      </c>
      <c r="DS5" s="55">
        <f>_xlfn.AGGREGATE(9,3,Run[(OPX)
All Subco
T&amp;M 1000])/IF(RIGHT(DS6,4)="(K€)",DS2,1)</f>
        <v>0</v>
      </c>
      <c r="DT5" s="55">
        <f>_xlfn.AGGREGATE(9,3,Run[(OPX)
All Subco
T&amp;M 700])/IF(RIGHT(DT6,4)="(K€)",DT2,1)</f>
        <v>0</v>
      </c>
      <c r="DU5" s="55">
        <f>_xlfn.AGGREGATE(9,3,Run[(OPX)
All Subco
T&amp;M 470])/IF(RIGHT(DU6,4)="(K€)",DU2,1)</f>
        <v>0</v>
      </c>
      <c r="DV5" s="55">
        <f>_xlfn.AGGREGATE(9,3,Run[(OPX)
MAR
Morocco])/IF(RIGHT(DV6,4)="(K€)",DV2,1)</f>
        <v>0</v>
      </c>
      <c r="DW5" s="55">
        <f>_xlfn.AGGREGATE(9,3,Run[(OPX)
IND
Cybage])/IF(RIGHT(DW6,4)="(K€)",DW2,1)</f>
        <v>0</v>
      </c>
      <c r="DX5" s="55">
        <f>_xlfn.AGGREGATE(9,3,Run[(OPX)
IND
India])/IF(RIGHT(DX6,4)="(K€)",DX2,1)</f>
        <v>0</v>
      </c>
      <c r="DY5" s="55">
        <f>_xlfn.AGGREGATE(9,3,Run[(OPX)
BUL
Bulgaria])/IF(RIGHT(DY6,4)="(K€)",DY2,1)</f>
        <v>0</v>
      </c>
      <c r="DZ5" s="55">
        <f>_xlfn.AGGREGATE(9,3,Run[(OPX)
ARM
Armenia])/IF(RIGHT(DZ6,4)="(K€)",DZ2,1)</f>
        <v>0</v>
      </c>
      <c r="EA5" s="55">
        <f>_xlfn.AGGREGATE(9,3,Run[Cash Out
CAPEX
KEUR])/IF(RIGHT(EA6,4)="(K€)",EA2,1)</f>
        <v>0</v>
      </c>
      <c r="EB5" s="56">
        <f>_xlfn.AGGREGATE(9,3,Run[(CPX) 
CAPEX
kEUR])/IF(RIGHT(EB6,4)="(K€)",EB2,1)</f>
        <v>0</v>
      </c>
      <c r="EC5" s="56"/>
      <c r="ED5" s="56"/>
      <c r="EE5" s="5141" t="n">
        <v>250.0</v>
      </c>
      <c r="EF5" s="56">
        <f>_xlfn.AGGREGATE(9,3,Run[Costs for Move to Cloud (2022) ])/IF(RIGHT(EF6,4)="(K€)",EF2,1)</f>
        <v>0</v>
      </c>
      <c r="EG5" s="56"/>
      <c r="EH5" s="56">
        <f>_xlfn.AGGREGATE(9,3,Run[TOTAL 2022 in mandays])/IF(RIGHT(EH6,4)="(K€)",EH2,1)</f>
        <v>0</v>
      </c>
    </row>
    <row r="6" spans="1:139" ht="48" x14ac:dyDescent="0.2">
      <c r="B6" s="10" t="s">
        <v>143</v>
      </c>
      <c r="C6" s="11" t="s">
        <v>144</v>
      </c>
      <c r="D6" s="10" t="s">
        <v>148</v>
      </c>
      <c r="E6" s="13" t="s">
        <v>154</v>
      </c>
      <c r="F6" s="14" t="s">
        <v>155</v>
      </c>
      <c r="G6" s="14" t="s">
        <v>156</v>
      </c>
      <c r="H6" s="14" t="s">
        <v>157</v>
      </c>
      <c r="I6" s="14" t="s">
        <v>158</v>
      </c>
      <c r="J6" s="14" t="s">
        <v>159</v>
      </c>
      <c r="K6" s="14" t="s">
        <v>160</v>
      </c>
      <c r="L6" s="14" t="s">
        <v>161</v>
      </c>
      <c r="M6" s="14" t="s">
        <v>162</v>
      </c>
      <c r="N6" s="14" t="s">
        <v>163</v>
      </c>
      <c r="O6" s="14" t="s">
        <v>164</v>
      </c>
      <c r="P6" s="14" t="s">
        <v>165</v>
      </c>
      <c r="Q6" s="14" t="s">
        <v>166</v>
      </c>
      <c r="R6" s="14" t="s">
        <v>167</v>
      </c>
      <c r="S6" s="14" t="s">
        <v>168</v>
      </c>
      <c r="T6" s="14" t="s">
        <v>169</v>
      </c>
      <c r="U6" s="14" t="s">
        <v>170</v>
      </c>
      <c r="V6" s="14" t="s">
        <v>171</v>
      </c>
      <c r="W6" s="14" t="s">
        <v>172</v>
      </c>
      <c r="X6" s="14" t="s">
        <v>173</v>
      </c>
      <c r="Y6" s="14" t="s">
        <v>174</v>
      </c>
      <c r="Z6" s="14" t="s">
        <v>175</v>
      </c>
      <c r="AA6" s="14" t="s">
        <v>176</v>
      </c>
      <c r="AB6" s="14" t="s">
        <v>177</v>
      </c>
      <c r="AC6" s="14" t="s">
        <v>178</v>
      </c>
      <c r="AD6" s="14" t="s">
        <v>179</v>
      </c>
      <c r="AE6" s="14" t="s">
        <v>180</v>
      </c>
      <c r="AF6" s="12" t="s">
        <v>181</v>
      </c>
      <c r="AG6" s="14" t="s">
        <v>182</v>
      </c>
      <c r="AH6" s="14" t="s">
        <v>183</v>
      </c>
      <c r="AI6" s="14" t="s">
        <v>184</v>
      </c>
      <c r="AJ6" s="14" t="s">
        <v>185</v>
      </c>
      <c r="AK6" s="12" t="s">
        <v>186</v>
      </c>
      <c r="AL6" s="14" t="s">
        <v>187</v>
      </c>
      <c r="AM6" s="14" t="s">
        <v>188</v>
      </c>
      <c r="AN6" s="14" t="s">
        <v>189</v>
      </c>
      <c r="AO6" s="14" t="s">
        <v>190</v>
      </c>
      <c r="AP6" s="14" t="s">
        <v>191</v>
      </c>
      <c r="AQ6" s="14" t="s">
        <v>192</v>
      </c>
      <c r="AR6" s="14" t="s">
        <v>193</v>
      </c>
      <c r="AS6" s="14" t="s">
        <v>194</v>
      </c>
      <c r="AT6" s="14" t="s">
        <v>196</v>
      </c>
      <c r="AU6" s="14" t="s">
        <v>197</v>
      </c>
      <c r="AV6" s="14" t="s">
        <v>198</v>
      </c>
      <c r="AW6" s="12" t="s">
        <v>199</v>
      </c>
      <c r="AX6" s="14" t="s">
        <v>200</v>
      </c>
      <c r="AY6" s="14" t="s">
        <v>201</v>
      </c>
      <c r="AZ6" s="14" t="s">
        <v>205</v>
      </c>
      <c r="BA6" s="13" t="s">
        <v>206</v>
      </c>
      <c r="BB6" s="14" t="s">
        <v>207</v>
      </c>
      <c r="BC6" s="14" t="s">
        <v>208</v>
      </c>
      <c r="BD6" s="13" t="s">
        <v>209</v>
      </c>
      <c r="BE6" s="14" t="s">
        <v>210</v>
      </c>
      <c r="BF6" s="14" t="s">
        <v>211</v>
      </c>
      <c r="BG6" s="14" t="s">
        <v>212</v>
      </c>
      <c r="BH6" s="13" t="s">
        <v>213</v>
      </c>
      <c r="BI6" s="14" t="s">
        <v>214</v>
      </c>
      <c r="BJ6" s="14" t="s">
        <v>215</v>
      </c>
      <c r="BK6" s="14" t="s">
        <v>216</v>
      </c>
      <c r="BL6" s="14" t="s">
        <v>217</v>
      </c>
      <c r="BM6" s="14" t="s">
        <v>218</v>
      </c>
      <c r="BN6" s="14" t="s">
        <v>219</v>
      </c>
      <c r="BO6" s="13" t="s">
        <v>220</v>
      </c>
      <c r="BP6" s="14" t="s">
        <v>221</v>
      </c>
      <c r="BQ6" s="14" t="s">
        <v>222</v>
      </c>
      <c r="BR6" s="14" t="s">
        <v>223</v>
      </c>
      <c r="BS6" s="14" t="s">
        <v>224</v>
      </c>
      <c r="BT6" s="14" t="s">
        <v>225</v>
      </c>
      <c r="BU6" s="13" t="s">
        <v>226</v>
      </c>
      <c r="BV6" s="14" t="s">
        <v>227</v>
      </c>
      <c r="BW6" s="14" t="s">
        <v>228</v>
      </c>
      <c r="BX6" s="14" t="s">
        <v>229</v>
      </c>
      <c r="BY6" s="13" t="s">
        <v>230</v>
      </c>
      <c r="BZ6" s="14" t="s">
        <v>231</v>
      </c>
      <c r="CA6" s="14" t="s">
        <v>232</v>
      </c>
      <c r="CB6" s="14" t="s">
        <v>233</v>
      </c>
      <c r="CC6" s="14" t="s">
        <v>234</v>
      </c>
      <c r="CD6" s="14" t="s">
        <v>235</v>
      </c>
      <c r="CE6" s="13" t="s">
        <v>236</v>
      </c>
      <c r="CF6" s="14" t="s">
        <v>237</v>
      </c>
      <c r="CG6" s="14" t="s">
        <v>238</v>
      </c>
      <c r="CH6" s="14" t="s">
        <v>239</v>
      </c>
      <c r="CI6" s="13" t="s">
        <v>240</v>
      </c>
      <c r="CJ6" s="14" t="s">
        <v>241</v>
      </c>
      <c r="CK6" s="14" t="s">
        <v>242</v>
      </c>
      <c r="CL6" s="14" t="s">
        <v>243</v>
      </c>
      <c r="CM6" s="14" t="s">
        <v>244</v>
      </c>
      <c r="CN6" s="14" t="s">
        <v>245</v>
      </c>
      <c r="CO6" s="14" t="s">
        <v>246</v>
      </c>
      <c r="CP6" s="14" t="s">
        <v>247</v>
      </c>
      <c r="CQ6" s="13" t="s">
        <v>248</v>
      </c>
      <c r="CR6" s="14" t="s">
        <v>249</v>
      </c>
      <c r="CS6" s="13" t="s">
        <v>250</v>
      </c>
      <c r="CT6" s="14" t="s">
        <v>251</v>
      </c>
      <c r="CU6" s="15" t="s">
        <v>252</v>
      </c>
      <c r="CV6" s="16" t="s">
        <v>253</v>
      </c>
      <c r="CW6" s="16" t="s">
        <v>254</v>
      </c>
      <c r="CX6" s="16" t="s">
        <v>255</v>
      </c>
      <c r="CY6" s="16" t="s">
        <v>256</v>
      </c>
      <c r="CZ6" s="16" t="s">
        <v>257</v>
      </c>
      <c r="DA6" s="16" t="s">
        <v>258</v>
      </c>
      <c r="DB6" s="46" t="s">
        <v>259</v>
      </c>
      <c r="DC6" s="46" t="s">
        <v>260</v>
      </c>
      <c r="DD6" s="46" t="s">
        <v>261</v>
      </c>
      <c r="DE6" s="46" t="s">
        <v>262</v>
      </c>
      <c r="DF6" s="46" t="s">
        <v>263</v>
      </c>
      <c r="DG6" s="46" t="s">
        <v>264</v>
      </c>
      <c r="DH6" s="15" t="s">
        <v>265</v>
      </c>
      <c r="DI6" s="16" t="s">
        <v>266</v>
      </c>
      <c r="DJ6" s="15" t="s">
        <v>267</v>
      </c>
      <c r="DK6" s="16" t="s">
        <v>269</v>
      </c>
      <c r="DL6" s="15" t="s">
        <v>270</v>
      </c>
      <c r="DM6" s="16" t="s">
        <v>271</v>
      </c>
      <c r="DN6" s="15" t="s">
        <v>272</v>
      </c>
      <c r="DO6" s="16" t="s">
        <v>273</v>
      </c>
      <c r="DP6" s="21" t="s">
        <v>274</v>
      </c>
      <c r="DQ6" s="22" t="s">
        <v>275</v>
      </c>
      <c r="DR6" s="22" t="s">
        <v>276</v>
      </c>
      <c r="DS6" s="22" t="s">
        <v>277</v>
      </c>
      <c r="DT6" s="22" t="s">
        <v>278</v>
      </c>
      <c r="DU6" s="22" t="s">
        <v>279</v>
      </c>
      <c r="DV6" s="22" t="s">
        <v>280</v>
      </c>
      <c r="DW6" s="22" t="s">
        <v>281</v>
      </c>
      <c r="DX6" s="22" t="s">
        <v>282</v>
      </c>
      <c r="DY6" s="22" t="s">
        <v>283</v>
      </c>
      <c r="DZ6" s="22" t="s">
        <v>284</v>
      </c>
      <c r="EA6" s="23" t="s">
        <v>285</v>
      </c>
      <c r="EB6" s="24" t="s">
        <v>286</v>
      </c>
      <c r="EC6" s="24" t="s">
        <v>287</v>
      </c>
      <c r="ED6" s="49" t="s">
        <v>1531</v>
      </c>
      <c r="EE6" s="49" t="s">
        <v>292</v>
      </c>
      <c r="EF6" s="49" t="s">
        <v>293</v>
      </c>
      <c r="EG6" s="32" t="s">
        <v>294</v>
      </c>
      <c r="EH6" s="32" t="s">
        <v>295</v>
      </c>
      <c r="EI6" s="132" t="s">
        <v>3865</v>
      </c>
    </row>
    <row r="7" spans="1:139" s="79" customFormat="1" ht="11.25" x14ac:dyDescent="0.15">
      <c r="B7" s="212" t="s">
        <v>1755</v>
      </c>
      <c r="C7" s="213" t="s">
        <v>1551</v>
      </c>
      <c r="D7" s="145"/>
      <c r="E7" s="147">
        <f>SUM(F7:AE7)</f>
      </c>
      <c r="F7" s="145"/>
      <c r="G7" s="145"/>
      <c r="H7" s="145"/>
      <c r="I7" s="145"/>
      <c r="J7" s="145"/>
      <c r="K7" s="145"/>
      <c r="L7" s="145"/>
      <c r="M7" s="145"/>
      <c r="N7" s="145"/>
      <c r="O7" s="145"/>
      <c r="P7" s="145"/>
      <c r="Q7" s="145"/>
      <c r="R7" s="145"/>
      <c r="S7" s="145"/>
      <c r="T7" s="145"/>
      <c r="U7" s="145"/>
      <c r="V7" s="145"/>
      <c r="W7" s="145"/>
      <c r="X7" s="145"/>
      <c r="Y7" s="145"/>
      <c r="Z7" s="145"/>
      <c r="AA7" s="145"/>
      <c r="AB7" s="145"/>
      <c r="AC7" s="145"/>
      <c r="AD7" s="145"/>
      <c r="AE7" s="145"/>
      <c r="AF7" s="147">
        <f>SUM(AG7:AJ7)</f>
      </c>
      <c r="AG7" s="145"/>
      <c r="AH7" s="145"/>
      <c r="AI7" s="145"/>
      <c r="AJ7" s="145"/>
      <c r="AK7" s="147">
        <f>SUM(AL7:AW7)</f>
      </c>
      <c r="AL7" s="145"/>
      <c r="AM7" s="145"/>
      <c r="AN7" s="145"/>
      <c r="AO7" s="145"/>
      <c r="AP7" s="145"/>
      <c r="AQ7" s="145"/>
      <c r="AR7" s="145"/>
      <c r="AS7" s="145"/>
      <c r="AT7" s="145"/>
      <c r="AU7" s="145"/>
      <c r="AV7" s="145"/>
      <c r="AW7" s="147"/>
      <c r="AX7" s="145"/>
      <c r="AY7" s="145"/>
      <c r="AZ7" s="145"/>
      <c r="BA7" s="147"/>
      <c r="BB7" s="145"/>
      <c r="BC7" s="145"/>
      <c r="BD7" s="147"/>
      <c r="BE7" s="148"/>
      <c r="BF7" s="145"/>
      <c r="BG7" s="145"/>
      <c r="BH7" s="147">
        <f>SUM(BI7:BK7)</f>
      </c>
      <c r="BI7" s="145"/>
      <c r="BJ7" s="145"/>
      <c r="BK7" s="145"/>
      <c r="BL7" s="145">
        <f>SUM(BM7:BR7)</f>
      </c>
      <c r="BM7" s="145"/>
      <c r="BN7" s="145"/>
      <c r="BO7" s="147"/>
      <c r="BP7" s="145"/>
      <c r="BQ7" s="145"/>
      <c r="BR7" s="145"/>
      <c r="BS7" s="145"/>
      <c r="BT7" s="145"/>
      <c r="BU7" s="147"/>
      <c r="BV7" s="145"/>
      <c r="BW7" s="145"/>
      <c r="BX7" s="145"/>
      <c r="BY7" s="147">
        <f>SUM(BZ7:CB7)</f>
      </c>
      <c r="BZ7" s="145"/>
      <c r="CA7" s="145"/>
      <c r="CB7" s="145"/>
      <c r="CC7" s="145">
        <f>SUM(CD7:CH7)</f>
      </c>
      <c r="CD7" s="145"/>
      <c r="CE7" s="147"/>
      <c r="CF7" s="145"/>
      <c r="CG7" s="145"/>
      <c r="CH7" s="145"/>
      <c r="CI7" s="147"/>
      <c r="CJ7" s="145"/>
      <c r="CK7" s="145"/>
      <c r="CL7" s="145"/>
      <c r="CM7" s="145"/>
      <c r="CN7" s="145"/>
      <c r="CO7" s="145"/>
      <c r="CP7" s="145"/>
      <c r="CQ7" s="147"/>
      <c r="CR7" s="145"/>
      <c r="CS7" s="147"/>
      <c r="CT7" s="149"/>
      <c r="CU7" s="147">
        <f>SUM(CV7:CV7)</f>
      </c>
      <c r="CV7" s="145"/>
      <c r="CW7" s="145"/>
      <c r="CX7" s="145"/>
      <c r="CY7" s="145">
        <f>SUM(CZ7:DE7)</f>
      </c>
      <c r="CZ7" s="145"/>
      <c r="DA7" s="145"/>
      <c r="DB7" s="145"/>
      <c r="DC7" s="150"/>
      <c r="DD7" s="150"/>
      <c r="DE7" s="145"/>
      <c r="DF7" s="145"/>
      <c r="DG7" s="145"/>
      <c r="DH7" s="147"/>
      <c r="DI7" s="145"/>
      <c r="DJ7" s="147"/>
      <c r="DK7" s="145"/>
      <c r="DL7" s="147"/>
      <c r="DM7" s="145"/>
      <c r="DN7" s="145"/>
      <c r="DO7" s="145"/>
      <c r="DP7" s="147"/>
      <c r="DQ7" s="145"/>
      <c r="DR7" s="145"/>
      <c r="DS7" s="145"/>
      <c r="DT7" s="145"/>
      <c r="DU7" s="145">
        <f>SUM(DV7:EE7)</f>
      </c>
      <c r="DV7" s="145"/>
      <c r="DW7" s="145"/>
      <c r="DX7" s="145"/>
      <c r="DY7" s="145"/>
      <c r="DZ7" s="145"/>
      <c r="EA7" s="147"/>
      <c r="EB7" s="145"/>
      <c r="EC7" s="147"/>
      <c r="ED7" s="145"/>
      <c r="EE7" s="145"/>
      <c r="EF7" s="145">
        <f>SUM(EG7:EH7)</f>
      </c>
      <c r="EG7" s="145"/>
      <c r="EH7" s="145"/>
      <c r="EI7" s="151" cm="1">
        <f t="array" ref="EI7">ROW()-ROW(Run[#Headers])</f>
        <v>1</v>
      </c>
    </row>
    <row r="8" spans="1:139" s="79" customFormat="1" ht="11.25" x14ac:dyDescent="0.2">
      <c r="B8" s="384" t="s">
        <v>1763</v>
      </c>
      <c r="C8" s="385" t="s">
        <v>1560</v>
      </c>
      <c r="D8" s="145"/>
      <c r="E8" s="147">
        <f>SUM(F8:AE8)</f>
      </c>
      <c r="F8" s="145"/>
      <c r="G8" s="145"/>
      <c r="H8" s="145"/>
      <c r="I8" s="145"/>
      <c r="J8" s="145"/>
      <c r="K8" s="152"/>
      <c r="L8" s="145"/>
      <c r="M8" s="145"/>
      <c r="N8" s="145"/>
      <c r="O8" s="145"/>
      <c r="P8" s="152"/>
      <c r="Q8" s="145"/>
      <c r="R8" s="145"/>
      <c r="S8" s="145"/>
      <c r="T8" s="152"/>
      <c r="U8" s="386" t="n">
        <v>400.0</v>
      </c>
      <c r="V8" s="145"/>
      <c r="W8" s="145"/>
      <c r="X8" s="145"/>
      <c r="Y8" s="145"/>
      <c r="Z8" s="145"/>
      <c r="AA8" s="145"/>
      <c r="AB8" s="145"/>
      <c r="AC8" s="148"/>
      <c r="AD8" s="148"/>
      <c r="AE8" s="145"/>
      <c r="AF8" s="147">
        <f>SUM(AG8:AJ8)</f>
      </c>
      <c r="AG8" s="145"/>
      <c r="AH8" s="145"/>
      <c r="AI8" s="145"/>
      <c r="AJ8" s="145"/>
      <c r="AK8" s="147">
        <f>SUM(AL8:AW8)</f>
      </c>
      <c r="AL8" s="145"/>
      <c r="AM8" s="145"/>
      <c r="AN8" s="145"/>
      <c r="AO8" s="145"/>
      <c r="AP8" s="145"/>
      <c r="AQ8" s="145"/>
      <c r="AR8" s="145"/>
      <c r="AS8" s="145"/>
      <c r="AT8" s="145"/>
      <c r="AU8" s="145"/>
      <c r="AV8" s="145"/>
      <c r="AW8" s="147"/>
      <c r="AX8" s="145"/>
      <c r="AY8" s="145"/>
      <c r="AZ8" s="145"/>
      <c r="BA8" s="147"/>
      <c r="BB8" s="145"/>
      <c r="BC8" s="145"/>
      <c r="BD8" s="147"/>
      <c r="BE8" s="145"/>
      <c r="BF8" s="145"/>
      <c r="BG8" s="145"/>
      <c r="BH8" s="147">
        <f>SUM(BI8:BK8)</f>
      </c>
      <c r="BI8" s="145"/>
      <c r="BJ8" s="145"/>
      <c r="BK8" s="145"/>
      <c r="BL8" s="145">
        <f>SUM(BM8:BR8)</f>
      </c>
      <c r="BM8" s="145"/>
      <c r="BN8" s="145"/>
      <c r="BO8" s="147"/>
      <c r="BP8" s="145"/>
      <c r="BQ8" s="145"/>
      <c r="BR8" s="145"/>
      <c r="BS8" s="145"/>
      <c r="BT8" s="145"/>
      <c r="BU8" s="147"/>
      <c r="BV8" s="145"/>
      <c r="BW8" s="145"/>
      <c r="BX8" s="145"/>
      <c r="BY8" s="147">
        <f>SUM(BZ8:CB8)</f>
      </c>
      <c r="BZ8" s="145"/>
      <c r="CA8" s="145"/>
      <c r="CB8" s="145"/>
      <c r="CC8" s="145">
        <f>SUM(CD8:CH8)</f>
      </c>
      <c r="CD8" s="145"/>
      <c r="CE8" s="147"/>
      <c r="CF8" s="145"/>
      <c r="CG8" s="145"/>
      <c r="CH8" s="145"/>
      <c r="CI8" s="147"/>
      <c r="CJ8" s="145"/>
      <c r="CK8" s="145"/>
      <c r="CL8" s="145"/>
      <c r="CM8" s="145"/>
      <c r="CN8" s="145"/>
      <c r="CO8" s="145"/>
      <c r="CP8" s="145"/>
      <c r="CQ8" s="147"/>
      <c r="CR8" s="145"/>
      <c r="CS8" s="147"/>
      <c r="CT8" s="147"/>
      <c r="CU8" s="147">
        <f>SUM(CV8:CV8)</f>
      </c>
      <c r="CV8" s="145"/>
      <c r="CW8" s="145"/>
      <c r="CX8" s="145"/>
      <c r="CY8" s="145">
        <f>SUM(CZ8:DE8)</f>
      </c>
      <c r="CZ8" s="145"/>
      <c r="DA8" s="145"/>
      <c r="DB8" s="145"/>
      <c r="DC8" s="150"/>
      <c r="DD8" s="150"/>
      <c r="DE8" s="145"/>
      <c r="DF8" s="145"/>
      <c r="DG8" s="145"/>
      <c r="DH8" s="147"/>
      <c r="DI8" s="145"/>
      <c r="DJ8" s="147"/>
      <c r="DK8" s="145"/>
      <c r="DL8" s="147"/>
      <c r="DM8" s="145"/>
      <c r="DN8" s="145"/>
      <c r="DO8" s="145"/>
      <c r="DP8" s="147"/>
      <c r="DQ8" s="145"/>
      <c r="DR8" s="145"/>
      <c r="DS8" s="145"/>
      <c r="DT8" s="145"/>
      <c r="DU8" s="145">
        <f>SUM(DV8:EE8)</f>
      </c>
      <c r="DV8" s="145"/>
      <c r="DW8" s="145"/>
      <c r="DX8" s="145"/>
      <c r="DY8" s="145"/>
      <c r="DZ8" s="148"/>
      <c r="EA8" s="147"/>
      <c r="EB8" s="145"/>
      <c r="EC8" s="145"/>
      <c r="ED8" s="145"/>
      <c r="EE8" s="145"/>
      <c r="EF8" s="145">
        <f>SUM(EG8:EH8)</f>
      </c>
      <c r="EG8" s="145"/>
      <c r="EH8" s="145"/>
      <c r="EI8" s="151" cm="1">
        <f t="array" ref="EI8">ROW()-ROW(Run[#Headers])</f>
        <v>2</v>
      </c>
    </row>
    <row r="9" spans="1:139" s="79" customFormat="1" ht="11.25" x14ac:dyDescent="0.2">
      <c r="B9" s="415" t="s">
        <v>1771</v>
      </c>
      <c r="C9" s="416" t="s">
        <v>1569</v>
      </c>
      <c r="D9" s="145"/>
      <c r="E9" s="147">
        <f>SUM(F9:AE9)</f>
      </c>
      <c r="F9" s="145"/>
      <c r="G9" s="145"/>
      <c r="H9" s="145"/>
      <c r="I9" s="145"/>
      <c r="J9" s="145"/>
      <c r="K9" s="152"/>
      <c r="L9" s="145"/>
      <c r="M9" s="145"/>
      <c r="N9" s="145"/>
      <c r="O9" s="145"/>
      <c r="P9" s="152"/>
      <c r="Q9" s="145"/>
      <c r="R9" s="145"/>
      <c r="S9" s="145"/>
      <c r="T9" s="152"/>
      <c r="U9" s="417" t="n">
        <v>305.6</v>
      </c>
      <c r="V9" s="145"/>
      <c r="W9" s="145"/>
      <c r="X9" s="145"/>
      <c r="Y9" s="145"/>
      <c r="Z9" s="145"/>
      <c r="AA9" s="145"/>
      <c r="AB9" s="145"/>
      <c r="AC9" s="148"/>
      <c r="AD9" s="148"/>
      <c r="AE9" s="145"/>
      <c r="AF9" s="147">
        <f>SUM(AG9:AJ9)</f>
      </c>
      <c r="AG9" s="145"/>
      <c r="AH9" s="145"/>
      <c r="AI9" s="145"/>
      <c r="AJ9" s="145"/>
      <c r="AK9" s="147">
        <f>SUM(AL9:AW9)</f>
      </c>
      <c r="AL9" s="145"/>
      <c r="AM9" s="145"/>
      <c r="AN9" s="145"/>
      <c r="AO9" s="145"/>
      <c r="AP9" s="145"/>
      <c r="AQ9" s="145"/>
      <c r="AR9" s="145"/>
      <c r="AS9" s="145"/>
      <c r="AT9" s="145"/>
      <c r="AU9" s="145"/>
      <c r="AV9" s="145"/>
      <c r="AW9" s="147"/>
      <c r="AX9" s="145"/>
      <c r="AY9" s="145"/>
      <c r="AZ9" s="145"/>
      <c r="BA9" s="147"/>
      <c r="BB9" s="145"/>
      <c r="BC9" s="145"/>
      <c r="BD9" s="147"/>
      <c r="BE9" s="145"/>
      <c r="BF9" s="145"/>
      <c r="BG9" s="145"/>
      <c r="BH9" s="147">
        <f>SUM(BI9:BK9)</f>
      </c>
      <c r="BI9" s="145"/>
      <c r="BJ9" s="145"/>
      <c r="BK9" s="145"/>
      <c r="BL9" s="145">
        <f>SUM(BM9:BR9)</f>
      </c>
      <c r="BM9" s="145"/>
      <c r="BN9" s="145"/>
      <c r="BO9" s="147"/>
      <c r="BP9" s="145"/>
      <c r="BQ9" s="145"/>
      <c r="BR9" s="145"/>
      <c r="BS9" s="145"/>
      <c r="BT9" s="145"/>
      <c r="BU9" s="147"/>
      <c r="BV9" s="145"/>
      <c r="BW9" s="145"/>
      <c r="BX9" s="145"/>
      <c r="BY9" s="147">
        <f>SUM(BZ9:CB9)</f>
      </c>
      <c r="BZ9" s="145"/>
      <c r="CA9" s="145"/>
      <c r="CB9" s="145"/>
      <c r="CC9" s="145">
        <f>SUM(CD9:CH9)</f>
      </c>
      <c r="CD9" s="145"/>
      <c r="CE9" s="147"/>
      <c r="CF9" s="145"/>
      <c r="CG9" s="145"/>
      <c r="CH9" s="145"/>
      <c r="CI9" s="147"/>
      <c r="CJ9" s="145"/>
      <c r="CK9" s="145"/>
      <c r="CL9" s="145"/>
      <c r="CM9" s="145"/>
      <c r="CN9" s="145"/>
      <c r="CO9" s="145"/>
      <c r="CP9" s="145"/>
      <c r="CQ9" s="147"/>
      <c r="CR9" s="145"/>
      <c r="CS9" s="147"/>
      <c r="CT9" s="147"/>
      <c r="CU9" s="147">
        <f>SUM(CV9:CV9)</f>
      </c>
      <c r="CV9" s="145"/>
      <c r="CW9" s="145"/>
      <c r="CX9" s="145"/>
      <c r="CY9" s="145">
        <f>SUM(CZ9:DE9)</f>
      </c>
      <c r="CZ9" s="145"/>
      <c r="DA9" s="145"/>
      <c r="DB9" s="145"/>
      <c r="DC9" s="150"/>
      <c r="DD9" s="150"/>
      <c r="DE9" s="145"/>
      <c r="DF9" s="145"/>
      <c r="DG9" s="145"/>
      <c r="DH9" s="147"/>
      <c r="DI9" s="145"/>
      <c r="DJ9" s="147"/>
      <c r="DK9" s="145"/>
      <c r="DL9" s="147"/>
      <c r="DM9" s="145"/>
      <c r="DN9" s="145"/>
      <c r="DO9" s="145"/>
      <c r="DP9" s="147"/>
      <c r="DQ9" s="145"/>
      <c r="DR9" s="145"/>
      <c r="DS9" s="145"/>
      <c r="DT9" s="145"/>
      <c r="DU9" s="145">
        <f>SUM(DV9:EE9)</f>
      </c>
      <c r="DV9" s="145"/>
      <c r="DW9" s="145"/>
      <c r="DX9" s="145"/>
      <c r="DY9" s="145"/>
      <c r="DZ9" s="145"/>
      <c r="EA9" s="147"/>
      <c r="EB9" s="145"/>
      <c r="EC9" s="145"/>
      <c r="ED9" s="145"/>
      <c r="EE9" s="145"/>
      <c r="EF9" s="145">
        <f>SUM(EG9:EH9)</f>
      </c>
      <c r="EG9" s="145"/>
      <c r="EH9" s="145"/>
      <c r="EI9" s="151" cm="1">
        <f t="array" ref="EI9">ROW()-ROW(Run[#Headers])</f>
        <v>3</v>
      </c>
    </row>
    <row r="10" spans="1:139" s="79" customFormat="1" ht="11.25" x14ac:dyDescent="0.2">
      <c r="B10" s="433" t="s">
        <v>1783</v>
      </c>
      <c r="C10" s="434" t="s">
        <v>1580</v>
      </c>
      <c r="D10" s="145"/>
      <c r="E10" s="147">
        <f>SUM(F10:AE10)</f>
      </c>
      <c r="F10" s="145"/>
      <c r="G10" s="145"/>
      <c r="H10" s="145"/>
      <c r="I10" s="145"/>
      <c r="J10" s="145"/>
      <c r="K10" s="152"/>
      <c r="L10" s="145"/>
      <c r="M10" s="145"/>
      <c r="N10" s="145"/>
      <c r="O10" s="145"/>
      <c r="P10" s="152"/>
      <c r="Q10" s="145"/>
      <c r="R10" s="145"/>
      <c r="S10" s="145"/>
      <c r="T10" s="152"/>
      <c r="U10" s="145"/>
      <c r="V10" s="145"/>
      <c r="W10" s="145"/>
      <c r="X10" s="145"/>
      <c r="Y10" s="145"/>
      <c r="Z10" s="145"/>
      <c r="AA10" s="145"/>
      <c r="AB10" s="145"/>
      <c r="AC10" s="148"/>
      <c r="AD10" s="148"/>
      <c r="AE10" s="145"/>
      <c r="AF10" s="147">
        <f>SUM(AG10:AJ10)</f>
      </c>
      <c r="AG10" s="145"/>
      <c r="AH10" s="145"/>
      <c r="AI10" s="145"/>
      <c r="AJ10" s="145"/>
      <c r="AK10" s="147">
        <f>SUM(AL10:AW10)</f>
      </c>
      <c r="AL10" s="145"/>
      <c r="AM10" s="145"/>
      <c r="AN10" s="145"/>
      <c r="AO10" s="145"/>
      <c r="AP10" s="145"/>
      <c r="AQ10" s="145"/>
      <c r="AR10" s="145"/>
      <c r="AS10" s="145"/>
      <c r="AT10" s="145"/>
      <c r="AU10" s="145"/>
      <c r="AV10" s="145"/>
      <c r="AW10" s="147"/>
      <c r="AX10" s="145"/>
      <c r="AY10" s="145"/>
      <c r="AZ10" s="145"/>
      <c r="BA10" s="147"/>
      <c r="BB10" s="145"/>
      <c r="BC10" s="145"/>
      <c r="BD10" s="147"/>
      <c r="BE10" s="145"/>
      <c r="BF10" s="145"/>
      <c r="BG10" s="145"/>
      <c r="BH10" s="147">
        <f>SUM(BI10:BK10)</f>
      </c>
      <c r="BI10" s="145"/>
      <c r="BJ10" s="145"/>
      <c r="BK10" s="145"/>
      <c r="BL10" s="145">
        <f>SUM(BM10:BR10)</f>
      </c>
      <c r="BM10" s="145"/>
      <c r="BN10" s="145"/>
      <c r="BO10" s="147"/>
      <c r="BP10" s="145"/>
      <c r="BQ10" s="145"/>
      <c r="BR10" s="145"/>
      <c r="BS10" s="145"/>
      <c r="BT10" s="145"/>
      <c r="BU10" s="147"/>
      <c r="BV10" s="145"/>
      <c r="BW10" s="145"/>
      <c r="BX10" s="145"/>
      <c r="BY10" s="147">
        <f>SUM(BZ10:CB10)</f>
      </c>
      <c r="BZ10" s="145"/>
      <c r="CA10" s="145"/>
      <c r="CB10" s="145"/>
      <c r="CC10" s="145">
        <f>SUM(CD10:CH10)</f>
      </c>
      <c r="CD10" s="145"/>
      <c r="CE10" s="147"/>
      <c r="CF10" s="145"/>
      <c r="CG10" s="145"/>
      <c r="CH10" s="145"/>
      <c r="CI10" s="147"/>
      <c r="CJ10" s="145"/>
      <c r="CK10" s="145"/>
      <c r="CL10" s="145"/>
      <c r="CM10" s="145"/>
      <c r="CN10" s="145"/>
      <c r="CO10" s="145"/>
      <c r="CP10" s="145"/>
      <c r="CQ10" s="147"/>
      <c r="CR10" s="145"/>
      <c r="CS10" s="147"/>
      <c r="CT10" s="147"/>
      <c r="CU10" s="147">
        <f>SUM(CV10:CV10)</f>
      </c>
      <c r="CV10" s="145"/>
      <c r="CW10" s="145"/>
      <c r="CX10" s="145"/>
      <c r="CY10" s="145">
        <f>SUM(CZ10:DE10)</f>
      </c>
      <c r="CZ10" s="145"/>
      <c r="DA10" s="145"/>
      <c r="DB10" s="145"/>
      <c r="DC10" s="150"/>
      <c r="DD10" s="150"/>
      <c r="DE10" s="145"/>
      <c r="DF10" s="145"/>
      <c r="DG10" s="145"/>
      <c r="DH10" s="147"/>
      <c r="DI10" s="145"/>
      <c r="DJ10" s="147"/>
      <c r="DK10" s="145"/>
      <c r="DL10" s="147"/>
      <c r="DM10" s="145"/>
      <c r="DN10" s="145"/>
      <c r="DO10" s="145"/>
      <c r="DP10" s="147"/>
      <c r="DQ10" s="145"/>
      <c r="DR10" s="145"/>
      <c r="DS10" s="145"/>
      <c r="DT10" s="145"/>
      <c r="DU10" s="145">
        <f>SUM(DV10:EE10)</f>
      </c>
      <c r="DV10" s="145"/>
      <c r="DW10" s="145"/>
      <c r="DX10" s="145"/>
      <c r="DY10" s="145"/>
      <c r="DZ10" s="145"/>
      <c r="EA10" s="147"/>
      <c r="EB10" s="145"/>
      <c r="EC10" s="145"/>
      <c r="ED10" s="145"/>
      <c r="EE10" s="145"/>
      <c r="EF10" s="145">
        <f>SUM(EG10:EH10)</f>
      </c>
      <c r="EG10" s="145"/>
      <c r="EH10" s="145"/>
      <c r="EI10" s="151" cm="1">
        <f t="array" ref="EI10">ROW()-ROW(Run[#Headers])</f>
        <v>4</v>
      </c>
    </row>
    <row r="11" spans="1:139" s="79" customFormat="1" ht="11.25" x14ac:dyDescent="0.2">
      <c r="B11" s="884" t="s">
        <v>1772</v>
      </c>
      <c r="C11" s="885" t="s">
        <v>1570</v>
      </c>
      <c r="D11" s="145"/>
      <c r="E11" s="147">
        <f>SUM(F11:AE11)</f>
      </c>
      <c r="F11" s="886" t="n">
        <v>354.0</v>
      </c>
      <c r="G11" s="145"/>
      <c r="H11" s="145"/>
      <c r="I11" s="145"/>
      <c r="J11" s="145"/>
      <c r="K11" s="152"/>
      <c r="L11" s="145"/>
      <c r="M11" s="145"/>
      <c r="N11" s="145"/>
      <c r="O11" s="145"/>
      <c r="P11" s="152"/>
      <c r="Q11" s="145"/>
      <c r="R11" s="145"/>
      <c r="S11" s="145"/>
      <c r="T11" s="152"/>
      <c r="U11" s="145"/>
      <c r="V11" s="145"/>
      <c r="W11" s="145"/>
      <c r="X11" s="145"/>
      <c r="Y11" s="145"/>
      <c r="Z11" s="145"/>
      <c r="AA11" s="145"/>
      <c r="AB11" s="145"/>
      <c r="AC11" s="148"/>
      <c r="AD11" s="148"/>
      <c r="AE11" s="145"/>
      <c r="AF11" s="147">
        <f>SUM(AG11:AJ11)</f>
      </c>
      <c r="AG11" s="145"/>
      <c r="AH11" s="145"/>
      <c r="AI11" s="145"/>
      <c r="AJ11" s="145"/>
      <c r="AK11" s="147">
        <f>SUM(AL11:AW11)</f>
      </c>
      <c r="AL11" s="145"/>
      <c r="AM11" s="145"/>
      <c r="AN11" s="145"/>
      <c r="AO11" s="145"/>
      <c r="AP11" s="145"/>
      <c r="AQ11" s="145"/>
      <c r="AR11" s="145"/>
      <c r="AS11" s="145"/>
      <c r="AT11" s="145"/>
      <c r="AU11" s="145"/>
      <c r="AV11" s="145"/>
      <c r="AW11" s="147"/>
      <c r="AX11" s="145"/>
      <c r="AY11" s="145"/>
      <c r="AZ11" s="145"/>
      <c r="BA11" s="147"/>
      <c r="BB11" s="145"/>
      <c r="BC11" s="145"/>
      <c r="BD11" s="147"/>
      <c r="BE11" s="145"/>
      <c r="BF11" s="145"/>
      <c r="BG11" s="145"/>
      <c r="BH11" s="147">
        <f>SUM(BI11:BK11)</f>
      </c>
      <c r="BI11" s="145"/>
      <c r="BJ11" s="145"/>
      <c r="BK11" s="145"/>
      <c r="BL11" s="145">
        <f>SUM(BM11:BR11)</f>
      </c>
      <c r="BM11" s="145"/>
      <c r="BN11" s="145"/>
      <c r="BO11" s="147"/>
      <c r="BP11" s="145"/>
      <c r="BQ11" s="145"/>
      <c r="BR11" s="145"/>
      <c r="BS11" s="145"/>
      <c r="BT11" s="145"/>
      <c r="BU11" s="147"/>
      <c r="BV11" s="145"/>
      <c r="BW11" s="145"/>
      <c r="BX11" s="145"/>
      <c r="BY11" s="147">
        <f>SUM(BZ11:CB11)</f>
      </c>
      <c r="BZ11" s="145"/>
      <c r="CA11" s="145"/>
      <c r="CB11" s="145"/>
      <c r="CC11" s="145">
        <f>SUM(CD11:CH11)</f>
      </c>
      <c r="CD11" s="145"/>
      <c r="CE11" s="147"/>
      <c r="CF11" s="145"/>
      <c r="CG11" s="145"/>
      <c r="CH11" s="145"/>
      <c r="CI11" s="147"/>
      <c r="CJ11" s="145"/>
      <c r="CK11" s="145"/>
      <c r="CL11" s="145"/>
      <c r="CM11" s="145"/>
      <c r="CN11" s="145"/>
      <c r="CO11" s="145"/>
      <c r="CP11" s="145"/>
      <c r="CQ11" s="147"/>
      <c r="CR11" s="145"/>
      <c r="CS11" s="147"/>
      <c r="CT11" s="147"/>
      <c r="CU11" s="147">
        <f>SUM(CV11:CV11)</f>
      </c>
      <c r="CV11" s="145"/>
      <c r="CW11" s="145"/>
      <c r="CX11" s="145"/>
      <c r="CY11" s="145">
        <f>SUM(CZ11:DE11)</f>
      </c>
      <c r="CZ11" s="145"/>
      <c r="DA11" s="145"/>
      <c r="DB11" s="145"/>
      <c r="DC11" s="150"/>
      <c r="DD11" s="150"/>
      <c r="DE11" s="145"/>
      <c r="DF11" s="145"/>
      <c r="DG11" s="145"/>
      <c r="DH11" s="147"/>
      <c r="DI11" s="145"/>
      <c r="DJ11" s="147"/>
      <c r="DK11" s="145"/>
      <c r="DL11" s="147"/>
      <c r="DM11" s="145"/>
      <c r="DN11" s="145"/>
      <c r="DO11" s="145"/>
      <c r="DP11" s="147"/>
      <c r="DQ11" s="145"/>
      <c r="DR11" s="145"/>
      <c r="DS11" s="145"/>
      <c r="DT11" s="145"/>
      <c r="DU11" s="145">
        <f>SUM(DV11:EE11)</f>
      </c>
      <c r="DV11" s="145"/>
      <c r="DW11" s="145"/>
      <c r="DX11" s="145"/>
      <c r="DY11" s="145"/>
      <c r="DZ11" s="145"/>
      <c r="EA11" s="147"/>
      <c r="EB11" s="145"/>
      <c r="EC11" s="145"/>
      <c r="ED11" s="145"/>
      <c r="EE11" s="145"/>
      <c r="EF11" s="145">
        <f>SUM(EG11:EH11)</f>
      </c>
      <c r="EG11" s="145"/>
      <c r="EH11" s="145"/>
      <c r="EI11" s="151" cm="1">
        <f t="array" ref="EI11">ROW()-ROW(Run[#Headers])</f>
        <v>5</v>
      </c>
    </row>
    <row r="12" spans="1:139" s="79" customFormat="1" ht="11.25" x14ac:dyDescent="0.2">
      <c r="B12" s="901" t="s">
        <v>1782</v>
      </c>
      <c r="C12" s="902" t="s">
        <v>1579</v>
      </c>
      <c r="D12" s="145"/>
      <c r="E12" s="147">
        <f>SUM(F12:AE12)</f>
      </c>
      <c r="F12" s="145"/>
      <c r="G12" s="145"/>
      <c r="H12" s="145"/>
      <c r="I12" s="145"/>
      <c r="J12" s="145"/>
      <c r="K12" s="152"/>
      <c r="L12" s="145"/>
      <c r="M12" s="145"/>
      <c r="N12" s="145"/>
      <c r="O12" s="145"/>
      <c r="P12" s="152"/>
      <c r="Q12" s="145"/>
      <c r="R12" s="145"/>
      <c r="S12" s="145"/>
      <c r="T12" s="152"/>
      <c r="U12" s="145"/>
      <c r="V12" s="145"/>
      <c r="W12" s="145"/>
      <c r="X12" s="145"/>
      <c r="Y12" s="145"/>
      <c r="Z12" s="145"/>
      <c r="AA12" s="903" t="n">
        <v>1800.0</v>
      </c>
      <c r="AB12" s="145"/>
      <c r="AC12" s="148"/>
      <c r="AD12" s="148"/>
      <c r="AE12" s="145"/>
      <c r="AF12" s="147">
        <f>SUM(AG12:AJ12)</f>
      </c>
      <c r="AG12" s="145"/>
      <c r="AH12" s="145"/>
      <c r="AI12" s="145"/>
      <c r="AJ12" s="145"/>
      <c r="AK12" s="147">
        <f>SUM(AL12:AW12)</f>
      </c>
      <c r="AL12" s="145"/>
      <c r="AM12" s="145"/>
      <c r="AN12" s="145"/>
      <c r="AO12" s="145"/>
      <c r="AP12" s="145"/>
      <c r="AQ12" s="145"/>
      <c r="AR12" s="145"/>
      <c r="AS12" s="145"/>
      <c r="AT12" s="145"/>
      <c r="AU12" s="145"/>
      <c r="AV12" s="145"/>
      <c r="AW12" s="147"/>
      <c r="AX12" s="145"/>
      <c r="AY12" s="145"/>
      <c r="AZ12" s="145"/>
      <c r="BA12" s="147"/>
      <c r="BB12" s="145"/>
      <c r="BC12" s="145"/>
      <c r="BD12" s="147"/>
      <c r="BE12" s="145"/>
      <c r="BF12" s="145"/>
      <c r="BG12" s="145"/>
      <c r="BH12" s="147">
        <f>SUM(BI12:BK12)</f>
      </c>
      <c r="BI12" s="145"/>
      <c r="BJ12" s="145"/>
      <c r="BK12" s="145"/>
      <c r="BL12" s="145">
        <f>SUM(BM12:BR12)</f>
      </c>
      <c r="BM12" s="145"/>
      <c r="BN12" s="145"/>
      <c r="BO12" s="147"/>
      <c r="BP12" s="145"/>
      <c r="BQ12" s="145"/>
      <c r="BR12" s="145"/>
      <c r="BS12" s="145"/>
      <c r="BT12" s="145"/>
      <c r="BU12" s="147"/>
      <c r="BV12" s="145"/>
      <c r="BW12" s="145"/>
      <c r="BX12" s="145"/>
      <c r="BY12" s="147">
        <f>SUM(BZ12:CB12)</f>
      </c>
      <c r="BZ12" s="145"/>
      <c r="CA12" s="145"/>
      <c r="CB12" s="145"/>
      <c r="CC12" s="145">
        <f>SUM(CD12:CH12)</f>
      </c>
      <c r="CD12" s="145"/>
      <c r="CE12" s="147"/>
      <c r="CF12" s="145"/>
      <c r="CG12" s="145"/>
      <c r="CH12" s="145"/>
      <c r="CI12" s="147"/>
      <c r="CJ12" s="145"/>
      <c r="CK12" s="145"/>
      <c r="CL12" s="145"/>
      <c r="CM12" s="145"/>
      <c r="CN12" s="145"/>
      <c r="CO12" s="145"/>
      <c r="CP12" s="145"/>
      <c r="CQ12" s="147"/>
      <c r="CR12" s="145"/>
      <c r="CS12" s="147"/>
      <c r="CT12" s="147"/>
      <c r="CU12" s="147">
        <f>SUM(CV12:CV12)</f>
      </c>
      <c r="CV12" s="145"/>
      <c r="CW12" s="145"/>
      <c r="CX12" s="145"/>
      <c r="CY12" s="145">
        <f>SUM(CZ12:DE12)</f>
      </c>
      <c r="CZ12" s="145"/>
      <c r="DA12" s="145"/>
      <c r="DB12" s="145"/>
      <c r="DC12" s="150"/>
      <c r="DD12" s="150"/>
      <c r="DE12" s="145"/>
      <c r="DF12" s="145"/>
      <c r="DG12" s="145"/>
      <c r="DH12" s="147"/>
      <c r="DI12" s="145"/>
      <c r="DJ12" s="147"/>
      <c r="DK12" s="145"/>
      <c r="DL12" s="147"/>
      <c r="DM12" s="145"/>
      <c r="DN12" s="145"/>
      <c r="DO12" s="145"/>
      <c r="DP12" s="147"/>
      <c r="DQ12" s="145"/>
      <c r="DR12" s="145"/>
      <c r="DS12" s="145"/>
      <c r="DT12" s="145"/>
      <c r="DU12" s="145">
        <f>SUM(DV12:EE12)</f>
      </c>
      <c r="DV12" s="145"/>
      <c r="DW12" s="145"/>
      <c r="DX12" s="145"/>
      <c r="DY12" s="145"/>
      <c r="DZ12" s="145"/>
      <c r="EA12" s="147"/>
      <c r="EB12" s="145"/>
      <c r="EC12" s="145"/>
      <c r="ED12" s="145"/>
      <c r="EE12" s="145"/>
      <c r="EF12" s="145">
        <f>SUM(EG12:EH12)</f>
      </c>
      <c r="EG12" s="145"/>
      <c r="EH12" s="145"/>
      <c r="EI12" s="151" cm="1">
        <f t="array" ref="EI12">ROW()-ROW(Run[#Headers])</f>
        <v>6</v>
      </c>
    </row>
    <row r="13" spans="1:139" s="79" customFormat="1" ht="11.25" x14ac:dyDescent="0.2">
      <c r="B13" s="989" t="s">
        <v>1762</v>
      </c>
      <c r="C13" s="990" t="s">
        <v>1558</v>
      </c>
      <c r="D13" s="145"/>
      <c r="E13" s="147">
        <f>SUM(F13:AE13)</f>
      </c>
      <c r="F13" s="145"/>
      <c r="G13" s="145"/>
      <c r="H13" s="145"/>
      <c r="I13" s="145"/>
      <c r="J13" s="145"/>
      <c r="K13" s="152"/>
      <c r="L13" s="145"/>
      <c r="M13" s="145"/>
      <c r="N13" s="145"/>
      <c r="O13" s="145"/>
      <c r="P13" s="152"/>
      <c r="Q13" s="145"/>
      <c r="R13" s="145"/>
      <c r="S13" s="145"/>
      <c r="T13" s="152"/>
      <c r="U13" s="145"/>
      <c r="V13" s="145"/>
      <c r="W13" s="145"/>
      <c r="X13" s="145"/>
      <c r="Y13" s="145"/>
      <c r="Z13" s="145"/>
      <c r="AA13" s="991" t="n">
        <v>1200.0</v>
      </c>
      <c r="AB13" s="145"/>
      <c r="AC13" s="148"/>
      <c r="AD13" s="148"/>
      <c r="AE13" s="145"/>
      <c r="AF13" s="147">
        <f>SUM(AG13:AJ13)</f>
      </c>
      <c r="AG13" s="145"/>
      <c r="AH13" s="145"/>
      <c r="AI13" s="145"/>
      <c r="AJ13" s="145"/>
      <c r="AK13" s="147">
        <f>SUM(AL13:AW13)</f>
      </c>
      <c r="AL13" s="145"/>
      <c r="AM13" s="145"/>
      <c r="AN13" s="145"/>
      <c r="AO13" s="145"/>
      <c r="AP13" s="145"/>
      <c r="AQ13" s="145"/>
      <c r="AR13" s="145"/>
      <c r="AS13" s="145"/>
      <c r="AT13" s="145"/>
      <c r="AU13" s="145"/>
      <c r="AV13" s="145"/>
      <c r="AW13" s="147"/>
      <c r="AX13" s="145"/>
      <c r="AY13" s="145"/>
      <c r="AZ13" s="145"/>
      <c r="BA13" s="147"/>
      <c r="BB13" s="145"/>
      <c r="BC13" s="145"/>
      <c r="BD13" s="147"/>
      <c r="BE13" s="145"/>
      <c r="BF13" s="145"/>
      <c r="BG13" s="145"/>
      <c r="BH13" s="147">
        <f>SUM(BI13:BK13)</f>
      </c>
      <c r="BI13" s="145"/>
      <c r="BJ13" s="145"/>
      <c r="BK13" s="145"/>
      <c r="BL13" s="145">
        <f>SUM(BM13:BR13)</f>
      </c>
      <c r="BM13" s="145"/>
      <c r="BN13" s="145"/>
      <c r="BO13" s="147"/>
      <c r="BP13" s="145"/>
      <c r="BQ13" s="145"/>
      <c r="BR13" s="145"/>
      <c r="BS13" s="145"/>
      <c r="BT13" s="145"/>
      <c r="BU13" s="147"/>
      <c r="BV13" s="145"/>
      <c r="BW13" s="145"/>
      <c r="BX13" s="145"/>
      <c r="BY13" s="147">
        <f>SUM(BZ13:CB13)</f>
      </c>
      <c r="BZ13" s="145"/>
      <c r="CA13" s="145"/>
      <c r="CB13" s="145"/>
      <c r="CC13" s="145">
        <f>SUM(CD13:CH13)</f>
      </c>
      <c r="CD13" s="145"/>
      <c r="CE13" s="147"/>
      <c r="CF13" s="145"/>
      <c r="CG13" s="145"/>
      <c r="CH13" s="145"/>
      <c r="CI13" s="147"/>
      <c r="CJ13" s="145"/>
      <c r="CK13" s="145"/>
      <c r="CL13" s="145"/>
      <c r="CM13" s="145"/>
      <c r="CN13" s="145"/>
      <c r="CO13" s="145"/>
      <c r="CP13" s="145"/>
      <c r="CQ13" s="147"/>
      <c r="CR13" s="145"/>
      <c r="CS13" s="147"/>
      <c r="CT13" s="147"/>
      <c r="CU13" s="147">
        <f>SUM(CV13:CV13)</f>
      </c>
      <c r="CV13" s="145"/>
      <c r="CW13" s="145"/>
      <c r="CX13" s="145"/>
      <c r="CY13" s="145">
        <f>SUM(CZ13:DE13)</f>
      </c>
      <c r="CZ13" s="145"/>
      <c r="DA13" s="145"/>
      <c r="DB13" s="145"/>
      <c r="DC13" s="150"/>
      <c r="DD13" s="150"/>
      <c r="DE13" s="145"/>
      <c r="DF13" s="145"/>
      <c r="DG13" s="145"/>
      <c r="DH13" s="147"/>
      <c r="DI13" s="145"/>
      <c r="DJ13" s="147"/>
      <c r="DK13" s="145"/>
      <c r="DL13" s="147"/>
      <c r="DM13" s="145"/>
      <c r="DN13" s="145"/>
      <c r="DO13" s="145"/>
      <c r="DP13" s="147"/>
      <c r="DQ13" s="145"/>
      <c r="DR13" s="145"/>
      <c r="DS13" s="145"/>
      <c r="DT13" s="145"/>
      <c r="DU13" s="145">
        <f>SUM(DV13:EE13)</f>
      </c>
      <c r="DV13" s="145"/>
      <c r="DW13" s="145"/>
      <c r="DX13" s="145"/>
      <c r="DY13" s="145"/>
      <c r="DZ13" s="145"/>
      <c r="EA13" s="147"/>
      <c r="EB13" s="145"/>
      <c r="EC13" s="145"/>
      <c r="ED13" s="145"/>
      <c r="EE13" s="145"/>
      <c r="EF13" s="145">
        <f>SUM(EG13:EH13)</f>
      </c>
      <c r="EG13" s="145"/>
      <c r="EH13" s="145"/>
      <c r="EI13" s="151" cm="1">
        <f t="array" ref="EI13">ROW()-ROW(Run[#Headers])</f>
        <v>7</v>
      </c>
    </row>
    <row r="14" spans="1:139" s="79" customFormat="1" ht="11.25" x14ac:dyDescent="0.2">
      <c r="B14" s="1175" t="s">
        <v>1788</v>
      </c>
      <c r="C14" s="1176" t="s">
        <v>1585</v>
      </c>
      <c r="D14" s="145"/>
      <c r="E14" s="147">
        <f>SUM(F14:AE14)</f>
      </c>
      <c r="F14" s="145"/>
      <c r="G14" s="145"/>
      <c r="H14" s="145"/>
      <c r="I14" s="145"/>
      <c r="J14" s="145"/>
      <c r="K14" s="152"/>
      <c r="L14" s="145"/>
      <c r="M14" s="145"/>
      <c r="N14" s="145"/>
      <c r="O14" s="145"/>
      <c r="P14" s="152"/>
      <c r="Q14" s="145"/>
      <c r="R14" s="145"/>
      <c r="S14" s="145"/>
      <c r="T14" s="152"/>
      <c r="U14" s="145"/>
      <c r="V14" s="145"/>
      <c r="W14" s="145"/>
      <c r="X14" s="145"/>
      <c r="Y14" s="145"/>
      <c r="Z14" s="1177" t="n">
        <v>300.0</v>
      </c>
      <c r="AA14" s="145"/>
      <c r="AB14" s="145"/>
      <c r="AC14" s="148"/>
      <c r="AD14" s="148"/>
      <c r="AE14" s="145"/>
      <c r="AF14" s="147">
        <f>SUM(AG14:AJ14)</f>
      </c>
      <c r="AG14" s="145"/>
      <c r="AH14" s="145"/>
      <c r="AI14" s="145"/>
      <c r="AJ14" s="145"/>
      <c r="AK14" s="147">
        <f>SUM(AL14:AW14)</f>
      </c>
      <c r="AL14" s="145"/>
      <c r="AM14" s="145"/>
      <c r="AN14" s="145"/>
      <c r="AO14" s="145"/>
      <c r="AP14" s="145"/>
      <c r="AQ14" s="145"/>
      <c r="AR14" s="145"/>
      <c r="AS14" s="145"/>
      <c r="AT14" s="145"/>
      <c r="AU14" s="145"/>
      <c r="AV14" s="145"/>
      <c r="AW14" s="147"/>
      <c r="AX14" s="145"/>
      <c r="AY14" s="145"/>
      <c r="AZ14" s="145"/>
      <c r="BA14" s="147"/>
      <c r="BB14" s="145"/>
      <c r="BC14" s="145"/>
      <c r="BD14" s="147"/>
      <c r="BE14" s="145"/>
      <c r="BF14" s="145"/>
      <c r="BG14" s="145"/>
      <c r="BH14" s="147">
        <f>SUM(BI14:BK14)</f>
      </c>
      <c r="BI14" s="145"/>
      <c r="BJ14" s="145"/>
      <c r="BK14" s="145"/>
      <c r="BL14" s="145">
        <f>SUM(BM14:BR14)</f>
      </c>
      <c r="BM14" s="145"/>
      <c r="BN14" s="145"/>
      <c r="BO14" s="147"/>
      <c r="BP14" s="145"/>
      <c r="BQ14" s="145"/>
      <c r="BR14" s="145"/>
      <c r="BS14" s="145"/>
      <c r="BT14" s="145"/>
      <c r="BU14" s="147"/>
      <c r="BV14" s="145"/>
      <c r="BW14" s="145"/>
      <c r="BX14" s="145"/>
      <c r="BY14" s="147">
        <f>SUM(BZ14:CB14)</f>
      </c>
      <c r="BZ14" s="145"/>
      <c r="CA14" s="145"/>
      <c r="CB14" s="145"/>
      <c r="CC14" s="145">
        <f>SUM(CD14:CH14)</f>
      </c>
      <c r="CD14" s="145"/>
      <c r="CE14" s="147"/>
      <c r="CF14" s="145"/>
      <c r="CG14" s="145"/>
      <c r="CH14" s="145"/>
      <c r="CI14" s="147"/>
      <c r="CJ14" s="145"/>
      <c r="CK14" s="145"/>
      <c r="CL14" s="145"/>
      <c r="CM14" s="145"/>
      <c r="CN14" s="145"/>
      <c r="CO14" s="145"/>
      <c r="CP14" s="145"/>
      <c r="CQ14" s="147"/>
      <c r="CR14" s="145"/>
      <c r="CS14" s="147"/>
      <c r="CT14" s="147"/>
      <c r="CU14" s="147">
        <f>SUM(CV14:CV14)</f>
      </c>
      <c r="CV14" s="145"/>
      <c r="CW14" s="145"/>
      <c r="CX14" s="145"/>
      <c r="CY14" s="145">
        <f>SUM(CZ14:DE14)</f>
      </c>
      <c r="CZ14" s="145"/>
      <c r="DA14" s="145"/>
      <c r="DB14" s="145"/>
      <c r="DC14" s="150"/>
      <c r="DD14" s="150"/>
      <c r="DE14" s="145"/>
      <c r="DF14" s="145"/>
      <c r="DG14" s="145"/>
      <c r="DH14" s="147"/>
      <c r="DI14" s="145"/>
      <c r="DJ14" s="147"/>
      <c r="DK14" s="145"/>
      <c r="DL14" s="147"/>
      <c r="DM14" s="145"/>
      <c r="DN14" s="145"/>
      <c r="DO14" s="145"/>
      <c r="DP14" s="147"/>
      <c r="DQ14" s="145"/>
      <c r="DR14" s="145"/>
      <c r="DS14" s="145"/>
      <c r="DT14" s="145"/>
      <c r="DU14" s="145">
        <f>SUM(DV14:EE14)</f>
      </c>
      <c r="DV14" s="145"/>
      <c r="DW14" s="145"/>
      <c r="DX14" s="145"/>
      <c r="DY14" s="145"/>
      <c r="DZ14" s="145"/>
      <c r="EA14" s="147"/>
      <c r="EB14" s="145"/>
      <c r="EC14" s="145"/>
      <c r="ED14" s="145"/>
      <c r="EE14" s="145"/>
      <c r="EF14" s="145">
        <f>SUM(EG14:EH14)</f>
      </c>
      <c r="EG14" s="145"/>
      <c r="EH14" s="145"/>
      <c r="EI14" s="151" cm="1">
        <f t="array" ref="EI14">ROW()-ROW(Run[#Headers])</f>
        <v>8</v>
      </c>
    </row>
    <row r="15" spans="1:139" s="79" customFormat="1" ht="11.25" x14ac:dyDescent="0.2">
      <c r="B15" s="1422" t="s">
        <v>1786</v>
      </c>
      <c r="C15" s="1423" t="s">
        <v>1583</v>
      </c>
      <c r="D15" s="145"/>
      <c r="E15" s="147">
        <f>SUM(F15:AE15)</f>
      </c>
      <c r="F15" s="145"/>
      <c r="G15" s="145"/>
      <c r="H15" s="145"/>
      <c r="I15" s="145"/>
      <c r="J15" s="145"/>
      <c r="K15" s="152"/>
      <c r="L15" s="145"/>
      <c r="M15" s="145"/>
      <c r="N15" s="145"/>
      <c r="O15" s="145"/>
      <c r="P15" s="152"/>
      <c r="Q15" s="145"/>
      <c r="R15" s="145"/>
      <c r="S15" s="145"/>
      <c r="T15" s="152"/>
      <c r="U15" s="1424" t="n">
        <v>612.0</v>
      </c>
      <c r="V15" s="145"/>
      <c r="W15" s="145"/>
      <c r="X15" s="145"/>
      <c r="Y15" s="145"/>
      <c r="Z15" s="145"/>
      <c r="AA15" s="145"/>
      <c r="AB15" s="145"/>
      <c r="AC15" s="148"/>
      <c r="AD15" s="148"/>
      <c r="AE15" s="145"/>
      <c r="AF15" s="147">
        <f>SUM(AG15:AJ15)</f>
      </c>
      <c r="AG15" s="145"/>
      <c r="AH15" s="145"/>
      <c r="AI15" s="145"/>
      <c r="AJ15" s="145"/>
      <c r="AK15" s="147">
        <f>SUM(AL15:AW15)</f>
      </c>
      <c r="AL15" s="145"/>
      <c r="AM15" s="145"/>
      <c r="AN15" s="145"/>
      <c r="AO15" s="145"/>
      <c r="AP15" s="145"/>
      <c r="AQ15" s="145"/>
      <c r="AR15" s="145"/>
      <c r="AS15" s="145"/>
      <c r="AT15" s="145"/>
      <c r="AU15" s="145"/>
      <c r="AV15" s="145"/>
      <c r="AW15" s="147"/>
      <c r="AX15" s="145"/>
      <c r="AY15" s="145"/>
      <c r="AZ15" s="145"/>
      <c r="BA15" s="147"/>
      <c r="BB15" s="145"/>
      <c r="BC15" s="145"/>
      <c r="BD15" s="147"/>
      <c r="BE15" s="145"/>
      <c r="BF15" s="145"/>
      <c r="BG15" s="145"/>
      <c r="BH15" s="147">
        <f>SUM(BI15:BK15)</f>
      </c>
      <c r="BI15" s="145"/>
      <c r="BJ15" s="145"/>
      <c r="BK15" s="145"/>
      <c r="BL15" s="145">
        <f>SUM(BM15:BR15)</f>
      </c>
      <c r="BM15" s="145"/>
      <c r="BN15" s="145"/>
      <c r="BO15" s="147"/>
      <c r="BP15" s="145"/>
      <c r="BQ15" s="145"/>
      <c r="BR15" s="145"/>
      <c r="BS15" s="145"/>
      <c r="BT15" s="145"/>
      <c r="BU15" s="147"/>
      <c r="BV15" s="145"/>
      <c r="BW15" s="145"/>
      <c r="BX15" s="145"/>
      <c r="BY15" s="147">
        <f>SUM(BZ15:CB15)</f>
      </c>
      <c r="BZ15" s="145"/>
      <c r="CA15" s="145"/>
      <c r="CB15" s="145"/>
      <c r="CC15" s="145">
        <f>SUM(CD15:CH15)</f>
      </c>
      <c r="CD15" s="145"/>
      <c r="CE15" s="147"/>
      <c r="CF15" s="145"/>
      <c r="CG15" s="145"/>
      <c r="CH15" s="145"/>
      <c r="CI15" s="147"/>
      <c r="CJ15" s="145"/>
      <c r="CK15" s="145"/>
      <c r="CL15" s="145"/>
      <c r="CM15" s="145"/>
      <c r="CN15" s="145"/>
      <c r="CO15" s="145"/>
      <c r="CP15" s="145"/>
      <c r="CQ15" s="147"/>
      <c r="CR15" s="145"/>
      <c r="CS15" s="147"/>
      <c r="CT15" s="147"/>
      <c r="CU15" s="147">
        <f>SUM(CV15:CV15)</f>
      </c>
      <c r="CV15" s="145"/>
      <c r="CW15" s="145"/>
      <c r="CX15" s="145"/>
      <c r="CY15" s="145">
        <f>SUM(CZ15:DE15)</f>
      </c>
      <c r="CZ15" s="145"/>
      <c r="DA15" s="145"/>
      <c r="DB15" s="145"/>
      <c r="DC15" s="150"/>
      <c r="DD15" s="150"/>
      <c r="DE15" s="145"/>
      <c r="DF15" s="145"/>
      <c r="DG15" s="145"/>
      <c r="DH15" s="147"/>
      <c r="DI15" s="145"/>
      <c r="DJ15" s="147"/>
      <c r="DK15" s="145"/>
      <c r="DL15" s="147"/>
      <c r="DM15" s="145"/>
      <c r="DN15" s="145"/>
      <c r="DO15" s="145"/>
      <c r="DP15" s="147"/>
      <c r="DQ15" s="145"/>
      <c r="DR15" s="145"/>
      <c r="DS15" s="145"/>
      <c r="DT15" s="145"/>
      <c r="DU15" s="145">
        <f>SUM(DV15:EE15)</f>
      </c>
      <c r="DV15" s="145"/>
      <c r="DW15" s="145"/>
      <c r="DX15" s="145"/>
      <c r="DY15" s="145"/>
      <c r="DZ15" s="145"/>
      <c r="EA15" s="147"/>
      <c r="EB15" s="145"/>
      <c r="EC15" s="145"/>
      <c r="ED15" s="145"/>
      <c r="EE15" s="145"/>
      <c r="EF15" s="145">
        <f>SUM(EG15:EH15)</f>
      </c>
      <c r="EG15" s="145"/>
      <c r="EH15" s="145"/>
      <c r="EI15" s="151" cm="1">
        <f t="array" ref="EI15">ROW()-ROW(Run[#Headers])</f>
        <v>9</v>
      </c>
    </row>
    <row r="16" spans="1:139" s="79" customFormat="1" ht="11.25" x14ac:dyDescent="0.2">
      <c r="B16" s="1481" t="s">
        <v>1789</v>
      </c>
      <c r="C16" s="1482" t="s">
        <v>1586</v>
      </c>
      <c r="D16" s="145"/>
      <c r="E16" s="147">
        <f>SUM(F16:AE16)</f>
      </c>
      <c r="F16" s="145"/>
      <c r="G16" s="145"/>
      <c r="H16" s="1483" t="n">
        <v>550.0</v>
      </c>
      <c r="I16" s="145"/>
      <c r="J16" s="145"/>
      <c r="K16" s="152"/>
      <c r="L16" s="145"/>
      <c r="M16" s="145"/>
      <c r="N16" s="145"/>
      <c r="O16" s="145"/>
      <c r="P16" s="152"/>
      <c r="Q16" s="145"/>
      <c r="R16" s="145"/>
      <c r="S16" s="145"/>
      <c r="T16" s="152"/>
      <c r="U16" s="145"/>
      <c r="V16" s="145"/>
      <c r="W16" s="145"/>
      <c r="X16" s="145"/>
      <c r="Y16" s="145"/>
      <c r="Z16" s="145"/>
      <c r="AA16" s="145"/>
      <c r="AB16" s="1484" t="n">
        <v>640.0</v>
      </c>
      <c r="AC16" s="148"/>
      <c r="AD16" s="148"/>
      <c r="AE16" s="145"/>
      <c r="AF16" s="147">
        <f>SUM(AG16:AJ16)</f>
      </c>
      <c r="AG16" s="145"/>
      <c r="AH16" s="145"/>
      <c r="AI16" s="145"/>
      <c r="AJ16" s="145"/>
      <c r="AK16" s="147">
        <f>SUM(AL16:AW16)</f>
      </c>
      <c r="AL16" s="145"/>
      <c r="AM16" s="145"/>
      <c r="AN16" s="145"/>
      <c r="AO16" s="145"/>
      <c r="AP16" s="145"/>
      <c r="AQ16" s="145"/>
      <c r="AR16" s="145"/>
      <c r="AS16" s="145"/>
      <c r="AT16" s="145"/>
      <c r="AU16" s="145"/>
      <c r="AV16" s="145"/>
      <c r="AW16" s="147"/>
      <c r="AX16" s="145"/>
      <c r="AY16" s="145"/>
      <c r="AZ16" s="145"/>
      <c r="BA16" s="147"/>
      <c r="BB16" s="145"/>
      <c r="BC16" s="145"/>
      <c r="BD16" s="147"/>
      <c r="BE16" s="145"/>
      <c r="BF16" s="145"/>
      <c r="BG16" s="145"/>
      <c r="BH16" s="147">
        <f>SUM(BI16:BK16)</f>
      </c>
      <c r="BI16" s="145"/>
      <c r="BJ16" s="145"/>
      <c r="BK16" s="145"/>
      <c r="BL16" s="145">
        <f>SUM(BM16:BR16)</f>
      </c>
      <c r="BM16" s="145"/>
      <c r="BN16" s="145"/>
      <c r="BO16" s="147"/>
      <c r="BP16" s="145"/>
      <c r="BQ16" s="145"/>
      <c r="BR16" s="145"/>
      <c r="BS16" s="145"/>
      <c r="BT16" s="145"/>
      <c r="BU16" s="147"/>
      <c r="BV16" s="145"/>
      <c r="BW16" s="145"/>
      <c r="BX16" s="145"/>
      <c r="BY16" s="147">
        <f>SUM(BZ16:CB16)</f>
      </c>
      <c r="BZ16" s="145"/>
      <c r="CA16" s="145"/>
      <c r="CB16" s="145"/>
      <c r="CC16" s="145">
        <f>SUM(CD16:CH16)</f>
      </c>
      <c r="CD16" s="145"/>
      <c r="CE16" s="147"/>
      <c r="CF16" s="145"/>
      <c r="CG16" s="145"/>
      <c r="CH16" s="145"/>
      <c r="CI16" s="147"/>
      <c r="CJ16" s="145"/>
      <c r="CK16" s="145"/>
      <c r="CL16" s="145"/>
      <c r="CM16" s="145"/>
      <c r="CN16" s="145"/>
      <c r="CO16" s="145"/>
      <c r="CP16" s="145"/>
      <c r="CQ16" s="147"/>
      <c r="CR16" s="145"/>
      <c r="CS16" s="147"/>
      <c r="CT16" s="147"/>
      <c r="CU16" s="147">
        <f>SUM(CV16:CV16)</f>
      </c>
      <c r="CV16" s="145"/>
      <c r="CW16" s="145"/>
      <c r="CX16" s="145"/>
      <c r="CY16" s="145">
        <f>SUM(CZ16:DE16)</f>
      </c>
      <c r="CZ16" s="145"/>
      <c r="DA16" s="145"/>
      <c r="DB16" s="145"/>
      <c r="DC16" s="150"/>
      <c r="DD16" s="150"/>
      <c r="DE16" s="145"/>
      <c r="DF16" s="145"/>
      <c r="DG16" s="145"/>
      <c r="DH16" s="147"/>
      <c r="DI16" s="145"/>
      <c r="DJ16" s="147"/>
      <c r="DK16" s="145"/>
      <c r="DL16" s="147"/>
      <c r="DM16" s="145"/>
      <c r="DN16" s="145"/>
      <c r="DO16" s="145"/>
      <c r="DP16" s="147"/>
      <c r="DQ16" s="145"/>
      <c r="DR16" s="145"/>
      <c r="DS16" s="145"/>
      <c r="DT16" s="145"/>
      <c r="DU16" s="145">
        <f>SUM(DV16:EE16)</f>
      </c>
      <c r="DV16" s="145"/>
      <c r="DW16" s="145"/>
      <c r="DX16" s="145"/>
      <c r="DY16" s="145"/>
      <c r="DZ16" s="145"/>
      <c r="EA16" s="147"/>
      <c r="EB16" s="145"/>
      <c r="EC16" s="145"/>
      <c r="ED16" s="145"/>
      <c r="EE16" s="145"/>
      <c r="EF16" s="145">
        <f>SUM(EG16:EH16)</f>
      </c>
      <c r="EG16" s="145"/>
      <c r="EH16" s="145"/>
      <c r="EI16" s="151" cm="1">
        <f t="array" ref="EI16">ROW()-ROW(Run[#Headers])</f>
        <v>10</v>
      </c>
    </row>
    <row r="17" spans="2:139" s="79" customFormat="1" ht="11.25" x14ac:dyDescent="0.2">
      <c r="B17" s="1614" t="s">
        <v>1779</v>
      </c>
      <c r="C17" s="1615" t="s">
        <v>1576</v>
      </c>
      <c r="D17" s="145"/>
      <c r="E17" s="147">
        <f>SUM(F17:AE17)</f>
      </c>
      <c r="F17" s="145"/>
      <c r="G17" s="145"/>
      <c r="H17" s="145"/>
      <c r="I17" s="145"/>
      <c r="J17" s="145"/>
      <c r="K17" s="152"/>
      <c r="L17" s="145"/>
      <c r="M17" s="145"/>
      <c r="N17" s="145"/>
      <c r="O17" s="145"/>
      <c r="P17" s="152"/>
      <c r="Q17" s="145"/>
      <c r="R17" s="145"/>
      <c r="S17" s="145"/>
      <c r="T17" s="152"/>
      <c r="U17" s="1616" t="n">
        <v>250.0</v>
      </c>
      <c r="V17" s="145"/>
      <c r="W17" s="145"/>
      <c r="X17" s="145"/>
      <c r="Y17" s="145"/>
      <c r="Z17" s="145"/>
      <c r="AA17" s="145"/>
      <c r="AB17" s="145"/>
      <c r="AC17" s="148"/>
      <c r="AD17" s="148"/>
      <c r="AE17" s="145"/>
      <c r="AF17" s="147">
        <f>SUM(AG17:AJ17)</f>
      </c>
      <c r="AG17" s="145"/>
      <c r="AH17" s="145"/>
      <c r="AI17" s="145"/>
      <c r="AJ17" s="145"/>
      <c r="AK17" s="147">
        <f>SUM(AL17:AW17)</f>
      </c>
      <c r="AL17" s="145"/>
      <c r="AM17" s="145"/>
      <c r="AN17" s="145"/>
      <c r="AO17" s="145"/>
      <c r="AP17" s="145"/>
      <c r="AQ17" s="145"/>
      <c r="AR17" s="145"/>
      <c r="AS17" s="145"/>
      <c r="AT17" s="145"/>
      <c r="AU17" s="145"/>
      <c r="AV17" s="145"/>
      <c r="AW17" s="147"/>
      <c r="AX17" s="145"/>
      <c r="AY17" s="145"/>
      <c r="AZ17" s="145"/>
      <c r="BA17" s="147"/>
      <c r="BB17" s="145"/>
      <c r="BC17" s="145"/>
      <c r="BD17" s="147"/>
      <c r="BE17" s="145"/>
      <c r="BF17" s="145"/>
      <c r="BG17" s="145"/>
      <c r="BH17" s="147">
        <f>SUM(BI17:BK17)</f>
      </c>
      <c r="BI17" s="145"/>
      <c r="BJ17" s="145"/>
      <c r="BK17" s="145"/>
      <c r="BL17" s="145">
        <f>SUM(BM17:BR17)</f>
      </c>
      <c r="BM17" s="145"/>
      <c r="BN17" s="145"/>
      <c r="BO17" s="147"/>
      <c r="BP17" s="145"/>
      <c r="BQ17" s="145"/>
      <c r="BR17" s="145"/>
      <c r="BS17" s="145"/>
      <c r="BT17" s="145"/>
      <c r="BU17" s="147"/>
      <c r="BV17" s="145"/>
      <c r="BW17" s="145"/>
      <c r="BX17" s="145"/>
      <c r="BY17" s="147">
        <f>SUM(BZ17:CB17)</f>
      </c>
      <c r="BZ17" s="145"/>
      <c r="CA17" s="145"/>
      <c r="CB17" s="145"/>
      <c r="CC17" s="145">
        <f>SUM(CD17:CH17)</f>
      </c>
      <c r="CD17" s="145"/>
      <c r="CE17" s="147"/>
      <c r="CF17" s="145"/>
      <c r="CG17" s="145"/>
      <c r="CH17" s="145"/>
      <c r="CI17" s="147"/>
      <c r="CJ17" s="145"/>
      <c r="CK17" s="145"/>
      <c r="CL17" s="145"/>
      <c r="CM17" s="145"/>
      <c r="CN17" s="145"/>
      <c r="CO17" s="145"/>
      <c r="CP17" s="145"/>
      <c r="CQ17" s="147"/>
      <c r="CR17" s="145"/>
      <c r="CS17" s="147"/>
      <c r="CT17" s="147"/>
      <c r="CU17" s="147">
        <f>SUM(CV17:CV17)</f>
      </c>
      <c r="CV17" s="145"/>
      <c r="CW17" s="145"/>
      <c r="CX17" s="145"/>
      <c r="CY17" s="145">
        <f>SUM(CZ17:DE17)</f>
      </c>
      <c r="CZ17" s="145"/>
      <c r="DA17" s="145"/>
      <c r="DB17" s="145"/>
      <c r="DC17" s="150"/>
      <c r="DD17" s="150"/>
      <c r="DE17" s="145"/>
      <c r="DF17" s="145"/>
      <c r="DG17" s="145"/>
      <c r="DH17" s="147"/>
      <c r="DI17" s="145"/>
      <c r="DJ17" s="147"/>
      <c r="DK17" s="145"/>
      <c r="DL17" s="147"/>
      <c r="DM17" s="145"/>
      <c r="DN17" s="145"/>
      <c r="DO17" s="145"/>
      <c r="DP17" s="147"/>
      <c r="DQ17" s="145"/>
      <c r="DR17" s="145"/>
      <c r="DS17" s="145"/>
      <c r="DT17" s="145"/>
      <c r="DU17" s="145">
        <f>SUM(DV17:EE17)</f>
      </c>
      <c r="DV17" s="145"/>
      <c r="DW17" s="145"/>
      <c r="DX17" s="145"/>
      <c r="DY17" s="145"/>
      <c r="DZ17" s="145"/>
      <c r="EA17" s="147"/>
      <c r="EB17" s="145"/>
      <c r="EC17" s="145"/>
      <c r="ED17" s="145"/>
      <c r="EE17" s="145"/>
      <c r="EF17" s="145">
        <f>SUM(EG17:EH17)</f>
      </c>
      <c r="EG17" s="145"/>
      <c r="EH17" s="145"/>
      <c r="EI17" s="151" cm="1">
        <f t="array" ref="EI17">ROW()-ROW(Run[#Headers])</f>
        <v>11</v>
      </c>
    </row>
    <row r="18" spans="2:139" s="79" customFormat="1" ht="11.25" x14ac:dyDescent="0.2">
      <c r="B18" s="1776" t="s">
        <v>903</v>
      </c>
      <c r="C18" s="1777" t="s">
        <v>1553</v>
      </c>
      <c r="D18" s="145"/>
      <c r="E18" s="147">
        <f>SUM(F18:AE18)</f>
      </c>
      <c r="F18" s="145"/>
      <c r="G18" s="145"/>
      <c r="H18" s="1778" t="n">
        <v>6182.0</v>
      </c>
      <c r="I18" s="145"/>
      <c r="J18" s="145"/>
      <c r="K18" s="152"/>
      <c r="L18" s="145"/>
      <c r="M18" s="145"/>
      <c r="N18" s="145"/>
      <c r="O18" s="145"/>
      <c r="P18" s="152"/>
      <c r="Q18" s="145"/>
      <c r="R18" s="145"/>
      <c r="S18" s="145"/>
      <c r="T18" s="152"/>
      <c r="U18" s="145"/>
      <c r="V18" s="145"/>
      <c r="W18" s="145"/>
      <c r="X18" s="145"/>
      <c r="Y18" s="145"/>
      <c r="Z18" s="145"/>
      <c r="AA18" s="145"/>
      <c r="AB18" s="145"/>
      <c r="AC18" s="148"/>
      <c r="AD18" s="148"/>
      <c r="AE18" s="145"/>
      <c r="AF18" s="147">
        <f>SUM(AG18:AJ18)</f>
      </c>
      <c r="AG18" s="145"/>
      <c r="AH18" s="145"/>
      <c r="AI18" s="145"/>
      <c r="AJ18" s="145"/>
      <c r="AK18" s="147">
        <f>SUM(AL18:AW18)</f>
      </c>
      <c r="AL18" s="145"/>
      <c r="AM18" s="145"/>
      <c r="AN18" s="145"/>
      <c r="AO18" s="145"/>
      <c r="AP18" s="145"/>
      <c r="AQ18" s="145"/>
      <c r="AR18" s="145"/>
      <c r="AS18" s="145"/>
      <c r="AT18" s="145"/>
      <c r="AU18" s="145"/>
      <c r="AV18" s="145"/>
      <c r="AW18" s="147"/>
      <c r="AX18" s="145"/>
      <c r="AY18" s="145"/>
      <c r="AZ18" s="145"/>
      <c r="BA18" s="147"/>
      <c r="BB18" s="145"/>
      <c r="BC18" s="145"/>
      <c r="BD18" s="147"/>
      <c r="BE18" s="145"/>
      <c r="BF18" s="145"/>
      <c r="BG18" s="145"/>
      <c r="BH18" s="147">
        <f>SUM(BI18:BK18)</f>
      </c>
      <c r="BI18" s="145"/>
      <c r="BJ18" s="145"/>
      <c r="BK18" s="145"/>
      <c r="BL18" s="145">
        <f>SUM(BM18:BR18)</f>
      </c>
      <c r="BM18" s="145"/>
      <c r="BN18" s="145"/>
      <c r="BO18" s="147"/>
      <c r="BP18" s="145"/>
      <c r="BQ18" s="145"/>
      <c r="BR18" s="145"/>
      <c r="BS18" s="145"/>
      <c r="BT18" s="145"/>
      <c r="BU18" s="147"/>
      <c r="BV18" s="145"/>
      <c r="BW18" s="145"/>
      <c r="BX18" s="145"/>
      <c r="BY18" s="147">
        <f>SUM(BZ18:CB18)</f>
      </c>
      <c r="BZ18" s="145"/>
      <c r="CA18" s="145"/>
      <c r="CB18" s="145"/>
      <c r="CC18" s="145">
        <f>SUM(CD18:CH18)</f>
      </c>
      <c r="CD18" s="145"/>
      <c r="CE18" s="147"/>
      <c r="CF18" s="145"/>
      <c r="CG18" s="145"/>
      <c r="CH18" s="145"/>
      <c r="CI18" s="147"/>
      <c r="CJ18" s="145"/>
      <c r="CK18" s="145"/>
      <c r="CL18" s="145"/>
      <c r="CM18" s="145"/>
      <c r="CN18" s="145"/>
      <c r="CO18" s="145"/>
      <c r="CP18" s="145"/>
      <c r="CQ18" s="147"/>
      <c r="CR18" s="145"/>
      <c r="CS18" s="147"/>
      <c r="CT18" s="147"/>
      <c r="CU18" s="147">
        <f>SUM(CV18:CV18)</f>
      </c>
      <c r="CV18" s="145"/>
      <c r="CW18" s="145"/>
      <c r="CX18" s="145"/>
      <c r="CY18" s="145">
        <f>SUM(CZ18:DE18)</f>
      </c>
      <c r="CZ18" s="145"/>
      <c r="DA18" s="145"/>
      <c r="DB18" s="145"/>
      <c r="DC18" s="150"/>
      <c r="DD18" s="150"/>
      <c r="DE18" s="145"/>
      <c r="DF18" s="145"/>
      <c r="DG18" s="145"/>
      <c r="DH18" s="147"/>
      <c r="DI18" s="145"/>
      <c r="DJ18" s="147"/>
      <c r="DK18" s="145"/>
      <c r="DL18" s="147"/>
      <c r="DM18" s="145"/>
      <c r="DN18" s="145"/>
      <c r="DO18" s="145"/>
      <c r="DP18" s="147"/>
      <c r="DQ18" s="145"/>
      <c r="DR18" s="145"/>
      <c r="DS18" s="145"/>
      <c r="DT18" s="145"/>
      <c r="DU18" s="145">
        <f>SUM(DV18:EE18)</f>
      </c>
      <c r="DV18" s="145"/>
      <c r="DW18" s="145"/>
      <c r="DX18" s="145"/>
      <c r="DY18" s="145"/>
      <c r="DZ18" s="145"/>
      <c r="EA18" s="147"/>
      <c r="EB18" s="145"/>
      <c r="EC18" s="145"/>
      <c r="ED18" s="145"/>
      <c r="EE18" s="145"/>
      <c r="EF18" s="145">
        <f>SUM(EG18:EH18)</f>
      </c>
      <c r="EG18" s="145"/>
      <c r="EH18" s="145"/>
      <c r="EI18" s="151" cm="1">
        <f t="array" ref="EI18">ROW()-ROW(Run[#Headers])</f>
        <v>12</v>
      </c>
    </row>
    <row r="19" spans="2:139" s="79" customFormat="1" ht="11.25" x14ac:dyDescent="0.2">
      <c r="B19" s="1945" t="s">
        <v>1767</v>
      </c>
      <c r="C19" s="1946" t="s">
        <v>1564</v>
      </c>
      <c r="D19" s="145"/>
      <c r="E19" s="147">
        <f>SUM(F19:AE19)</f>
      </c>
      <c r="F19" s="145"/>
      <c r="G19" s="145"/>
      <c r="H19" s="145"/>
      <c r="I19" s="145"/>
      <c r="J19" s="145"/>
      <c r="K19" s="152"/>
      <c r="L19" s="145"/>
      <c r="M19" s="145"/>
      <c r="N19" s="145"/>
      <c r="O19" s="145"/>
      <c r="P19" s="152"/>
      <c r="Q19" s="145"/>
      <c r="R19" s="145"/>
      <c r="S19" s="145"/>
      <c r="T19" s="152"/>
      <c r="U19" s="1947" t="n">
        <v>400.0</v>
      </c>
      <c r="V19" s="145"/>
      <c r="W19" s="145"/>
      <c r="X19" s="145"/>
      <c r="Y19" s="145"/>
      <c r="Z19" s="145"/>
      <c r="AA19" s="145"/>
      <c r="AB19" s="145"/>
      <c r="AC19" s="148"/>
      <c r="AD19" s="148"/>
      <c r="AE19" s="145"/>
      <c r="AF19" s="147">
        <f>SUM(AG19:AJ19)</f>
      </c>
      <c r="AG19" s="145"/>
      <c r="AH19" s="145"/>
      <c r="AI19" s="145"/>
      <c r="AJ19" s="145"/>
      <c r="AK19" s="147">
        <f>SUM(AL19:AW19)</f>
      </c>
      <c r="AL19" s="145"/>
      <c r="AM19" s="145"/>
      <c r="AN19" s="145"/>
      <c r="AO19" s="145"/>
      <c r="AP19" s="145"/>
      <c r="AQ19" s="145"/>
      <c r="AR19" s="145"/>
      <c r="AS19" s="145"/>
      <c r="AT19" s="145"/>
      <c r="AU19" s="145"/>
      <c r="AV19" s="145"/>
      <c r="AW19" s="147"/>
      <c r="AX19" s="145"/>
      <c r="AY19" s="145"/>
      <c r="AZ19" s="145"/>
      <c r="BA19" s="147"/>
      <c r="BB19" s="145"/>
      <c r="BC19" s="145"/>
      <c r="BD19" s="147"/>
      <c r="BE19" s="145"/>
      <c r="BF19" s="145"/>
      <c r="BG19" s="145"/>
      <c r="BH19" s="147">
        <f>SUM(BI19:BK19)</f>
      </c>
      <c r="BI19" s="145"/>
      <c r="BJ19" s="145"/>
      <c r="BK19" s="145"/>
      <c r="BL19" s="145">
        <f>SUM(BM19:BR19)</f>
      </c>
      <c r="BM19" s="145"/>
      <c r="BN19" s="145"/>
      <c r="BO19" s="147"/>
      <c r="BP19" s="145"/>
      <c r="BQ19" s="145"/>
      <c r="BR19" s="145"/>
      <c r="BS19" s="145"/>
      <c r="BT19" s="145"/>
      <c r="BU19" s="147"/>
      <c r="BV19" s="145"/>
      <c r="BW19" s="145"/>
      <c r="BX19" s="145"/>
      <c r="BY19" s="147">
        <f>SUM(BZ19:CB19)</f>
      </c>
      <c r="BZ19" s="145"/>
      <c r="CA19" s="145"/>
      <c r="CB19" s="145"/>
      <c r="CC19" s="145">
        <f>SUM(CD19:CH19)</f>
      </c>
      <c r="CD19" s="145"/>
      <c r="CE19" s="147"/>
      <c r="CF19" s="145"/>
      <c r="CG19" s="145"/>
      <c r="CH19" s="145"/>
      <c r="CI19" s="147"/>
      <c r="CJ19" s="145"/>
      <c r="CK19" s="145"/>
      <c r="CL19" s="145"/>
      <c r="CM19" s="145"/>
      <c r="CN19" s="145"/>
      <c r="CO19" s="145"/>
      <c r="CP19" s="145"/>
      <c r="CQ19" s="147"/>
      <c r="CR19" s="145"/>
      <c r="CS19" s="147"/>
      <c r="CT19" s="147"/>
      <c r="CU19" s="147">
        <f>SUM(CV19:CV19)</f>
      </c>
      <c r="CV19" s="145"/>
      <c r="CW19" s="145"/>
      <c r="CX19" s="145"/>
      <c r="CY19" s="145">
        <f>SUM(CZ19:DE19)</f>
      </c>
      <c r="CZ19" s="145"/>
      <c r="DA19" s="145"/>
      <c r="DB19" s="145"/>
      <c r="DC19" s="150"/>
      <c r="DD19" s="150"/>
      <c r="DE19" s="145"/>
      <c r="DF19" s="145"/>
      <c r="DG19" s="145"/>
      <c r="DH19" s="147"/>
      <c r="DI19" s="145"/>
      <c r="DJ19" s="147"/>
      <c r="DK19" s="145"/>
      <c r="DL19" s="147"/>
      <c r="DM19" s="145"/>
      <c r="DN19" s="145"/>
      <c r="DO19" s="145"/>
      <c r="DP19" s="147"/>
      <c r="DQ19" s="145"/>
      <c r="DR19" s="145"/>
      <c r="DS19" s="145"/>
      <c r="DT19" s="145"/>
      <c r="DU19" s="145">
        <f>SUM(DV19:EE19)</f>
      </c>
      <c r="DV19" s="145"/>
      <c r="DW19" s="145"/>
      <c r="DX19" s="145"/>
      <c r="DY19" s="145"/>
      <c r="DZ19" s="145"/>
      <c r="EA19" s="147"/>
      <c r="EB19" s="145"/>
      <c r="EC19" s="145"/>
      <c r="ED19" s="145"/>
      <c r="EE19" s="145"/>
      <c r="EF19" s="145">
        <f>SUM(EG19:EH19)</f>
      </c>
      <c r="EG19" s="145"/>
      <c r="EH19" s="145"/>
      <c r="EI19" s="151" cm="1">
        <f t="array" ref="EI19">ROW()-ROW(Run[#Headers])</f>
        <v>13</v>
      </c>
    </row>
    <row r="20" spans="2:139" s="79" customFormat="1" ht="11.25" x14ac:dyDescent="0.2">
      <c r="B20" s="2048" t="s">
        <v>1777</v>
      </c>
      <c r="C20" s="2049" t="s">
        <v>891</v>
      </c>
      <c r="D20" s="145"/>
      <c r="E20" s="147">
        <f>SUM(F20:AE20)</f>
      </c>
      <c r="F20" s="145"/>
      <c r="G20" s="145"/>
      <c r="H20" s="145"/>
      <c r="I20" s="145"/>
      <c r="J20" s="145"/>
      <c r="K20" s="152"/>
      <c r="L20" s="145"/>
      <c r="M20" s="145"/>
      <c r="N20" s="2050" t="n">
        <v>250.0</v>
      </c>
      <c r="O20" s="145"/>
      <c r="P20" s="152"/>
      <c r="Q20" s="145"/>
      <c r="R20" s="145"/>
      <c r="S20" s="145"/>
      <c r="T20" s="152"/>
      <c r="U20" s="145"/>
      <c r="V20" s="145"/>
      <c r="W20" s="145"/>
      <c r="X20" s="145"/>
      <c r="Y20" s="145"/>
      <c r="Z20" s="145"/>
      <c r="AA20" s="145"/>
      <c r="AB20" s="145"/>
      <c r="AC20" s="148"/>
      <c r="AD20" s="148"/>
      <c r="AE20" s="145"/>
      <c r="AF20" s="147">
        <f>SUM(AG20:AJ20)</f>
      </c>
      <c r="AG20" s="145"/>
      <c r="AH20" s="145"/>
      <c r="AI20" s="145"/>
      <c r="AJ20" s="145"/>
      <c r="AK20" s="147">
        <f>SUM(AL20:AW20)</f>
      </c>
      <c r="AL20" s="145"/>
      <c r="AM20" s="145"/>
      <c r="AN20" s="145"/>
      <c r="AO20" s="145"/>
      <c r="AP20" s="145"/>
      <c r="AQ20" s="145"/>
      <c r="AR20" s="145"/>
      <c r="AS20" s="145"/>
      <c r="AT20" s="145"/>
      <c r="AU20" s="145"/>
      <c r="AV20" s="145"/>
      <c r="AW20" s="147"/>
      <c r="AX20" s="145"/>
      <c r="AY20" s="145"/>
      <c r="AZ20" s="145"/>
      <c r="BA20" s="147"/>
      <c r="BB20" s="145"/>
      <c r="BC20" s="145"/>
      <c r="BD20" s="147"/>
      <c r="BE20" s="145"/>
      <c r="BF20" s="145"/>
      <c r="BG20" s="145"/>
      <c r="BH20" s="147">
        <f>SUM(BI20:BK20)</f>
      </c>
      <c r="BI20" s="145"/>
      <c r="BJ20" s="145"/>
      <c r="BK20" s="145"/>
      <c r="BL20" s="145">
        <f>SUM(BM20:BR20)</f>
      </c>
      <c r="BM20" s="145"/>
      <c r="BN20" s="145"/>
      <c r="BO20" s="147"/>
      <c r="BP20" s="145"/>
      <c r="BQ20" s="145"/>
      <c r="BR20" s="145"/>
      <c r="BS20" s="145"/>
      <c r="BT20" s="145"/>
      <c r="BU20" s="147"/>
      <c r="BV20" s="145"/>
      <c r="BW20" s="145"/>
      <c r="BX20" s="145"/>
      <c r="BY20" s="147">
        <f>SUM(BZ20:CB20)</f>
      </c>
      <c r="BZ20" s="145"/>
      <c r="CA20" s="145"/>
      <c r="CB20" s="145"/>
      <c r="CC20" s="145">
        <f>SUM(CD20:CH20)</f>
      </c>
      <c r="CD20" s="145"/>
      <c r="CE20" s="147"/>
      <c r="CF20" s="145"/>
      <c r="CG20" s="145"/>
      <c r="CH20" s="145"/>
      <c r="CI20" s="147"/>
      <c r="CJ20" s="145"/>
      <c r="CK20" s="145"/>
      <c r="CL20" s="145"/>
      <c r="CM20" s="145"/>
      <c r="CN20" s="145"/>
      <c r="CO20" s="145"/>
      <c r="CP20" s="145"/>
      <c r="CQ20" s="147"/>
      <c r="CR20" s="145"/>
      <c r="CS20" s="147"/>
      <c r="CT20" s="147"/>
      <c r="CU20" s="147">
        <f>SUM(CV20:CV20)</f>
      </c>
      <c r="CV20" s="145"/>
      <c r="CW20" s="145"/>
      <c r="CX20" s="145"/>
      <c r="CY20" s="145">
        <f>SUM(CZ20:DE20)</f>
      </c>
      <c r="CZ20" s="145"/>
      <c r="DA20" s="145"/>
      <c r="DB20" s="145"/>
      <c r="DC20" s="150"/>
      <c r="DD20" s="150"/>
      <c r="DE20" s="145"/>
      <c r="DF20" s="145"/>
      <c r="DG20" s="145"/>
      <c r="DH20" s="147"/>
      <c r="DI20" s="145"/>
      <c r="DJ20" s="147"/>
      <c r="DK20" s="145"/>
      <c r="DL20" s="147"/>
      <c r="DM20" s="145"/>
      <c r="DN20" s="145"/>
      <c r="DO20" s="145"/>
      <c r="DP20" s="147"/>
      <c r="DQ20" s="145"/>
      <c r="DR20" s="145"/>
      <c r="DS20" s="145"/>
      <c r="DT20" s="145"/>
      <c r="DU20" s="145">
        <f>SUM(DV20:EE20)</f>
      </c>
      <c r="DV20" s="145"/>
      <c r="DW20" s="145"/>
      <c r="DX20" s="145"/>
      <c r="DY20" s="145"/>
      <c r="DZ20" s="145"/>
      <c r="EA20" s="147"/>
      <c r="EB20" s="145"/>
      <c r="EC20" s="145"/>
      <c r="ED20" s="145"/>
      <c r="EE20" s="145"/>
      <c r="EF20" s="145">
        <f>SUM(EG20:EH20)</f>
      </c>
      <c r="EG20" s="145"/>
      <c r="EH20" s="145"/>
      <c r="EI20" s="151" cm="1">
        <f t="array" ref="EI20">ROW()-ROW(Run[#Headers])</f>
        <v>14</v>
      </c>
    </row>
    <row r="21" spans="2:139" s="79" customFormat="1" ht="11.25" x14ac:dyDescent="0.2">
      <c r="B21" s="2802" t="s">
        <v>1781</v>
      </c>
      <c r="C21" s="2803" t="s">
        <v>1578</v>
      </c>
      <c r="D21" s="145"/>
      <c r="E21" s="147">
        <f>SUM(F21:AE21)</f>
      </c>
      <c r="F21" s="145"/>
      <c r="G21" s="145"/>
      <c r="H21" s="145"/>
      <c r="I21" s="145"/>
      <c r="J21" s="145"/>
      <c r="K21" s="152"/>
      <c r="L21" s="145"/>
      <c r="M21" s="145"/>
      <c r="N21" s="145"/>
      <c r="O21" s="145"/>
      <c r="P21" s="152"/>
      <c r="Q21" s="145"/>
      <c r="R21" s="2804" t="n">
        <v>1528.0</v>
      </c>
      <c r="S21" s="145"/>
      <c r="T21" s="152"/>
      <c r="U21" s="145"/>
      <c r="V21" s="145"/>
      <c r="W21" s="145"/>
      <c r="X21" s="145"/>
      <c r="Y21" s="145"/>
      <c r="Z21" s="145"/>
      <c r="AA21" s="145"/>
      <c r="AB21" s="145"/>
      <c r="AC21" s="148"/>
      <c r="AD21" s="148"/>
      <c r="AE21" s="145"/>
      <c r="AF21" s="147">
        <f>SUM(AG21:AJ21)</f>
      </c>
      <c r="AG21" s="145"/>
      <c r="AH21" s="145"/>
      <c r="AI21" s="145"/>
      <c r="AJ21" s="145"/>
      <c r="AK21" s="147">
        <f>SUM(AL21:AW21)</f>
      </c>
      <c r="AL21" s="145"/>
      <c r="AM21" s="145"/>
      <c r="AN21" s="145"/>
      <c r="AO21" s="145"/>
      <c r="AP21" s="145"/>
      <c r="AQ21" s="145"/>
      <c r="AR21" s="145"/>
      <c r="AS21" s="145"/>
      <c r="AT21" s="145"/>
      <c r="AU21" s="145"/>
      <c r="AV21" s="145"/>
      <c r="AW21" s="147"/>
      <c r="AX21" s="145"/>
      <c r="AY21" s="145"/>
      <c r="AZ21" s="145"/>
      <c r="BA21" s="147"/>
      <c r="BB21" s="145"/>
      <c r="BC21" s="145"/>
      <c r="BD21" s="147"/>
      <c r="BE21" s="145"/>
      <c r="BF21" s="145"/>
      <c r="BG21" s="145"/>
      <c r="BH21" s="147">
        <f>SUM(BI21:BK21)</f>
      </c>
      <c r="BI21" s="145"/>
      <c r="BJ21" s="145"/>
      <c r="BK21" s="145"/>
      <c r="BL21" s="145">
        <f>SUM(BM21:BR21)</f>
      </c>
      <c r="BM21" s="145"/>
      <c r="BN21" s="145"/>
      <c r="BO21" s="147"/>
      <c r="BP21" s="145"/>
      <c r="BQ21" s="145"/>
      <c r="BR21" s="145"/>
      <c r="BS21" s="145"/>
      <c r="BT21" s="145"/>
      <c r="BU21" s="147"/>
      <c r="BV21" s="145"/>
      <c r="BW21" s="145"/>
      <c r="BX21" s="145"/>
      <c r="BY21" s="147">
        <f>SUM(BZ21:CB21)</f>
      </c>
      <c r="BZ21" s="145"/>
      <c r="CA21" s="145"/>
      <c r="CB21" s="145"/>
      <c r="CC21" s="145">
        <f>SUM(CD21:CH21)</f>
      </c>
      <c r="CD21" s="145"/>
      <c r="CE21" s="147"/>
      <c r="CF21" s="145"/>
      <c r="CG21" s="145"/>
      <c r="CH21" s="145"/>
      <c r="CI21" s="147"/>
      <c r="CJ21" s="145"/>
      <c r="CK21" s="145"/>
      <c r="CL21" s="145"/>
      <c r="CM21" s="145"/>
      <c r="CN21" s="145"/>
      <c r="CO21" s="145"/>
      <c r="CP21" s="145"/>
      <c r="CQ21" s="147"/>
      <c r="CR21" s="145"/>
      <c r="CS21" s="147"/>
      <c r="CT21" s="147"/>
      <c r="CU21" s="147">
        <f>SUM(CV21:CV21)</f>
      </c>
      <c r="CV21" s="145"/>
      <c r="CW21" s="145"/>
      <c r="CX21" s="145"/>
      <c r="CY21" s="145">
        <f>SUM(CZ21:DE21)</f>
      </c>
      <c r="CZ21" s="145"/>
      <c r="DA21" s="145"/>
      <c r="DB21" s="145"/>
      <c r="DC21" s="150"/>
      <c r="DD21" s="150"/>
      <c r="DE21" s="145"/>
      <c r="DF21" s="145"/>
      <c r="DG21" s="145"/>
      <c r="DH21" s="147"/>
      <c r="DI21" s="145"/>
      <c r="DJ21" s="147"/>
      <c r="DK21" s="145"/>
      <c r="DL21" s="147"/>
      <c r="DM21" s="145"/>
      <c r="DN21" s="145"/>
      <c r="DO21" s="145"/>
      <c r="DP21" s="147"/>
      <c r="DQ21" s="145"/>
      <c r="DR21" s="145"/>
      <c r="DS21" s="145"/>
      <c r="DT21" s="145"/>
      <c r="DU21" s="145">
        <f>SUM(DV21:EE21)</f>
      </c>
      <c r="DV21" s="145"/>
      <c r="DW21" s="145"/>
      <c r="DX21" s="145"/>
      <c r="DY21" s="145"/>
      <c r="DZ21" s="145"/>
      <c r="EA21" s="147"/>
      <c r="EB21" s="145"/>
      <c r="EC21" s="145"/>
      <c r="ED21" s="145"/>
      <c r="EE21" s="145"/>
      <c r="EF21" s="145">
        <f>SUM(EG21:EH21)</f>
      </c>
      <c r="EG21" s="145"/>
      <c r="EH21" s="145"/>
      <c r="EI21" s="151" cm="1">
        <f t="array" ref="EI21">ROW()-ROW(Run[#Headers])</f>
        <v>15</v>
      </c>
    </row>
    <row r="22" spans="2:139" s="79" customFormat="1" ht="11.25" x14ac:dyDescent="0.2">
      <c r="B22" s="2820" t="s">
        <v>1784</v>
      </c>
      <c r="C22" s="2821" t="s">
        <v>1581</v>
      </c>
      <c r="D22" s="145"/>
      <c r="E22" s="147">
        <f>SUM(F22:AE22)</f>
      </c>
      <c r="F22" s="145"/>
      <c r="G22" s="145"/>
      <c r="H22" s="145"/>
      <c r="I22" s="145"/>
      <c r="J22" s="145"/>
      <c r="K22" s="152"/>
      <c r="L22" s="145"/>
      <c r="M22" s="145"/>
      <c r="N22" s="145"/>
      <c r="O22" s="145"/>
      <c r="P22" s="152"/>
      <c r="Q22" s="145"/>
      <c r="R22" s="145"/>
      <c r="S22" s="145"/>
      <c r="T22" s="152"/>
      <c r="U22" s="2822" t="n">
        <v>2024.0</v>
      </c>
      <c r="V22" s="145"/>
      <c r="W22" s="145"/>
      <c r="X22" s="145"/>
      <c r="Y22" s="145"/>
      <c r="Z22" s="145"/>
      <c r="AA22" s="145"/>
      <c r="AB22" s="145"/>
      <c r="AC22" s="148"/>
      <c r="AD22" s="148"/>
      <c r="AE22" s="145"/>
      <c r="AF22" s="147">
        <f>SUM(AG22:AJ22)</f>
      </c>
      <c r="AG22" s="145"/>
      <c r="AH22" s="145"/>
      <c r="AI22" s="145"/>
      <c r="AJ22" s="145"/>
      <c r="AK22" s="147">
        <f>SUM(AL22:AW22)</f>
      </c>
      <c r="AL22" s="145"/>
      <c r="AM22" s="145"/>
      <c r="AN22" s="145"/>
      <c r="AO22" s="145"/>
      <c r="AP22" s="145"/>
      <c r="AQ22" s="145"/>
      <c r="AR22" s="145"/>
      <c r="AS22" s="145"/>
      <c r="AT22" s="145"/>
      <c r="AU22" s="145"/>
      <c r="AV22" s="145"/>
      <c r="AW22" s="147"/>
      <c r="AX22" s="145"/>
      <c r="AY22" s="145"/>
      <c r="AZ22" s="145"/>
      <c r="BA22" s="147"/>
      <c r="BB22" s="145"/>
      <c r="BC22" s="145"/>
      <c r="BD22" s="147"/>
      <c r="BE22" s="145"/>
      <c r="BF22" s="145"/>
      <c r="BG22" s="145"/>
      <c r="BH22" s="147">
        <f>SUM(BI22:BK22)</f>
      </c>
      <c r="BI22" s="145"/>
      <c r="BJ22" s="145"/>
      <c r="BK22" s="145"/>
      <c r="BL22" s="145">
        <f>SUM(BM22:BR22)</f>
      </c>
      <c r="BM22" s="145"/>
      <c r="BN22" s="145"/>
      <c r="BO22" s="147"/>
      <c r="BP22" s="145"/>
      <c r="BQ22" s="145"/>
      <c r="BR22" s="145"/>
      <c r="BS22" s="145"/>
      <c r="BT22" s="145"/>
      <c r="BU22" s="147"/>
      <c r="BV22" s="145"/>
      <c r="BW22" s="145"/>
      <c r="BX22" s="145"/>
      <c r="BY22" s="147">
        <f>SUM(BZ22:CB22)</f>
      </c>
      <c r="BZ22" s="145"/>
      <c r="CA22" s="145"/>
      <c r="CB22" s="145"/>
      <c r="CC22" s="145">
        <f>SUM(CD22:CH22)</f>
      </c>
      <c r="CD22" s="145"/>
      <c r="CE22" s="147"/>
      <c r="CF22" s="145"/>
      <c r="CG22" s="145"/>
      <c r="CH22" s="145"/>
      <c r="CI22" s="147"/>
      <c r="CJ22" s="145"/>
      <c r="CK22" s="145"/>
      <c r="CL22" s="145"/>
      <c r="CM22" s="145"/>
      <c r="CN22" s="145"/>
      <c r="CO22" s="145"/>
      <c r="CP22" s="145"/>
      <c r="CQ22" s="147"/>
      <c r="CR22" s="145"/>
      <c r="CS22" s="147"/>
      <c r="CT22" s="147"/>
      <c r="CU22" s="147">
        <f>SUM(CV22:CV22)</f>
      </c>
      <c r="CV22" s="145"/>
      <c r="CW22" s="145"/>
      <c r="CX22" s="145"/>
      <c r="CY22" s="145">
        <f>SUM(CZ22:DE22)</f>
      </c>
      <c r="CZ22" s="145"/>
      <c r="DA22" s="145"/>
      <c r="DB22" s="145"/>
      <c r="DC22" s="150"/>
      <c r="DD22" s="150"/>
      <c r="DE22" s="145"/>
      <c r="DF22" s="145"/>
      <c r="DG22" s="145"/>
      <c r="DH22" s="147"/>
      <c r="DI22" s="145"/>
      <c r="DJ22" s="147"/>
      <c r="DK22" s="145"/>
      <c r="DL22" s="147"/>
      <c r="DM22" s="145"/>
      <c r="DN22" s="145"/>
      <c r="DO22" s="145"/>
      <c r="DP22" s="147"/>
      <c r="DQ22" s="145"/>
      <c r="DR22" s="145"/>
      <c r="DS22" s="145"/>
      <c r="DT22" s="145"/>
      <c r="DU22" s="145">
        <f>SUM(DV22:EE22)</f>
      </c>
      <c r="DV22" s="145"/>
      <c r="DW22" s="145"/>
      <c r="DX22" s="145"/>
      <c r="DY22" s="145"/>
      <c r="DZ22" s="145"/>
      <c r="EA22" s="147"/>
      <c r="EB22" s="145"/>
      <c r="EC22" s="145"/>
      <c r="ED22" s="145"/>
      <c r="EE22" s="145"/>
      <c r="EF22" s="145">
        <f>SUM(EG22:EH22)</f>
      </c>
      <c r="EG22" s="145"/>
      <c r="EH22" s="145"/>
      <c r="EI22" s="151" cm="1">
        <f t="array" ref="EI22">ROW()-ROW(Run[#Headers])</f>
        <v>16</v>
      </c>
    </row>
    <row r="23" spans="2:139" s="79" customFormat="1" ht="11.25" x14ac:dyDescent="0.2">
      <c r="B23" s="2892" t="s">
        <v>1738</v>
      </c>
      <c r="C23" s="2893" t="s">
        <v>1534</v>
      </c>
      <c r="D23" s="145"/>
      <c r="E23" s="147">
        <f>SUM(F23:AE23)</f>
      </c>
      <c r="F23" s="145"/>
      <c r="G23" s="145"/>
      <c r="H23" s="145"/>
      <c r="I23" s="145"/>
      <c r="J23" s="145"/>
      <c r="K23" s="152"/>
      <c r="L23" s="145"/>
      <c r="M23" s="145"/>
      <c r="N23" s="145"/>
      <c r="O23" s="145"/>
      <c r="P23" s="152"/>
      <c r="Q23" s="145"/>
      <c r="R23" s="145"/>
      <c r="S23" s="145"/>
      <c r="T23" s="152"/>
      <c r="U23" s="145"/>
      <c r="V23" s="145"/>
      <c r="W23" s="145"/>
      <c r="X23" s="2894" t="n">
        <v>594.0</v>
      </c>
      <c r="Y23" s="145"/>
      <c r="Z23" s="145"/>
      <c r="AA23" s="145"/>
      <c r="AB23" s="145"/>
      <c r="AC23" s="148"/>
      <c r="AD23" s="148"/>
      <c r="AE23" s="145"/>
      <c r="AF23" s="147">
        <f>SUM(AG23:AJ23)</f>
      </c>
      <c r="AG23" s="145"/>
      <c r="AH23" s="145"/>
      <c r="AI23" s="145"/>
      <c r="AJ23" s="145"/>
      <c r="AK23" s="147">
        <f>SUM(AL23:AW23)</f>
      </c>
      <c r="AL23" s="145"/>
      <c r="AM23" s="145"/>
      <c r="AN23" s="145"/>
      <c r="AO23" s="145"/>
      <c r="AP23" s="145"/>
      <c r="AQ23" s="145"/>
      <c r="AR23" s="145"/>
      <c r="AS23" s="145"/>
      <c r="AT23" s="145"/>
      <c r="AU23" s="145"/>
      <c r="AV23" s="145"/>
      <c r="AW23" s="147"/>
      <c r="AX23" s="145"/>
      <c r="AY23" s="145"/>
      <c r="AZ23" s="145"/>
      <c r="BA23" s="147"/>
      <c r="BB23" s="145"/>
      <c r="BC23" s="145"/>
      <c r="BD23" s="147"/>
      <c r="BE23" s="145"/>
      <c r="BF23" s="145"/>
      <c r="BG23" s="145"/>
      <c r="BH23" s="147">
        <f>SUM(BI23:BK23)</f>
      </c>
      <c r="BI23" s="145"/>
      <c r="BJ23" s="145"/>
      <c r="BK23" s="145"/>
      <c r="BL23" s="145">
        <f>SUM(BM23:BR23)</f>
      </c>
      <c r="BM23" s="145"/>
      <c r="BN23" s="145"/>
      <c r="BO23" s="147"/>
      <c r="BP23" s="145"/>
      <c r="BQ23" s="145"/>
      <c r="BR23" s="145"/>
      <c r="BS23" s="145"/>
      <c r="BT23" s="145"/>
      <c r="BU23" s="147"/>
      <c r="BV23" s="145"/>
      <c r="BW23" s="145"/>
      <c r="BX23" s="145"/>
      <c r="BY23" s="147">
        <f>SUM(BZ23:CB23)</f>
      </c>
      <c r="BZ23" s="145"/>
      <c r="CA23" s="145"/>
      <c r="CB23" s="145"/>
      <c r="CC23" s="145">
        <f>SUM(CD23:CH23)</f>
      </c>
      <c r="CD23" s="145"/>
      <c r="CE23" s="147"/>
      <c r="CF23" s="145"/>
      <c r="CG23" s="145"/>
      <c r="CH23" s="145"/>
      <c r="CI23" s="147"/>
      <c r="CJ23" s="145"/>
      <c r="CK23" s="145"/>
      <c r="CL23" s="145"/>
      <c r="CM23" s="145"/>
      <c r="CN23" s="145"/>
      <c r="CO23" s="145"/>
      <c r="CP23" s="145"/>
      <c r="CQ23" s="147"/>
      <c r="CR23" s="145"/>
      <c r="CS23" s="147"/>
      <c r="CT23" s="147"/>
      <c r="CU23" s="147">
        <f>SUM(CV23:CV23)</f>
      </c>
      <c r="CV23" s="145"/>
      <c r="CW23" s="145"/>
      <c r="CX23" s="145"/>
      <c r="CY23" s="145">
        <f>SUM(CZ23:DE23)</f>
      </c>
      <c r="CZ23" s="145"/>
      <c r="DA23" s="145"/>
      <c r="DB23" s="145"/>
      <c r="DC23" s="150"/>
      <c r="DD23" s="150"/>
      <c r="DE23" s="145"/>
      <c r="DF23" s="145"/>
      <c r="DG23" s="145"/>
      <c r="DH23" s="147"/>
      <c r="DI23" s="145"/>
      <c r="DJ23" s="147"/>
      <c r="DK23" s="145"/>
      <c r="DL23" s="147"/>
      <c r="DM23" s="145"/>
      <c r="DN23" s="145"/>
      <c r="DO23" s="145"/>
      <c r="DP23" s="147"/>
      <c r="DQ23" s="145"/>
      <c r="DR23" s="145"/>
      <c r="DS23" s="145"/>
      <c r="DT23" s="145"/>
      <c r="DU23" s="145">
        <f>SUM(DV23:EE23)</f>
      </c>
      <c r="DV23" s="145"/>
      <c r="DW23" s="145"/>
      <c r="DX23" s="145"/>
      <c r="DY23" s="145"/>
      <c r="DZ23" s="145"/>
      <c r="EA23" s="147"/>
      <c r="EB23" s="145"/>
      <c r="EC23" s="145"/>
      <c r="ED23" s="145"/>
      <c r="EE23" s="145"/>
      <c r="EF23" s="145">
        <f>SUM(EG23:EH23)</f>
      </c>
      <c r="EG23" s="145"/>
      <c r="EH23" s="145"/>
      <c r="EI23" s="151" cm="1">
        <f t="array" ref="EI23">ROW()-ROW(Run[#Headers])</f>
        <v>17</v>
      </c>
    </row>
    <row r="24" spans="2:139" s="79" customFormat="1" ht="11.25" x14ac:dyDescent="0.2">
      <c r="B24" s="3023" t="s">
        <v>892</v>
      </c>
      <c r="C24" s="3024" t="s">
        <v>1574</v>
      </c>
      <c r="D24" s="145"/>
      <c r="E24" s="147">
        <f>SUM(F24:AE24)</f>
      </c>
      <c r="F24" s="145"/>
      <c r="G24" s="145"/>
      <c r="H24" s="145"/>
      <c r="I24" s="145"/>
      <c r="J24" s="145"/>
      <c r="K24" s="3025" t="n">
        <v>2900.0</v>
      </c>
      <c r="L24" s="145"/>
      <c r="M24" s="145"/>
      <c r="N24" s="3026" t="n">
        <v>132.0</v>
      </c>
      <c r="O24" s="145"/>
      <c r="P24" s="152"/>
      <c r="Q24" s="145"/>
      <c r="R24" s="145"/>
      <c r="S24" s="145"/>
      <c r="T24" s="152"/>
      <c r="U24" s="145"/>
      <c r="V24" s="145"/>
      <c r="W24" s="145"/>
      <c r="X24" s="145"/>
      <c r="Y24" s="145"/>
      <c r="Z24" s="145"/>
      <c r="AA24" s="145"/>
      <c r="AB24" s="145"/>
      <c r="AC24" s="148"/>
      <c r="AD24" s="148"/>
      <c r="AE24" s="145"/>
      <c r="AF24" s="147">
        <f>SUM(AG24:AJ24)</f>
      </c>
      <c r="AG24" s="145"/>
      <c r="AH24" s="145"/>
      <c r="AI24" s="145"/>
      <c r="AJ24" s="145"/>
      <c r="AK24" s="147">
        <f>SUM(AL24:AW24)</f>
      </c>
      <c r="AL24" s="145"/>
      <c r="AM24" s="145"/>
      <c r="AN24" s="145"/>
      <c r="AO24" s="145"/>
      <c r="AP24" s="145"/>
      <c r="AQ24" s="145"/>
      <c r="AR24" s="145"/>
      <c r="AS24" s="145"/>
      <c r="AT24" s="145"/>
      <c r="AU24" s="145"/>
      <c r="AV24" s="145"/>
      <c r="AW24" s="147"/>
      <c r="AX24" s="145"/>
      <c r="AY24" s="145"/>
      <c r="AZ24" s="145"/>
      <c r="BA24" s="147"/>
      <c r="BB24" s="145"/>
      <c r="BC24" s="145"/>
      <c r="BD24" s="147"/>
      <c r="BE24" s="145"/>
      <c r="BF24" s="145"/>
      <c r="BG24" s="145"/>
      <c r="BH24" s="147">
        <f>SUM(BI24:BK24)</f>
      </c>
      <c r="BI24" s="145"/>
      <c r="BJ24" s="145"/>
      <c r="BK24" s="145"/>
      <c r="BL24" s="145">
        <f>SUM(BM24:BR24)</f>
      </c>
      <c r="BM24" s="145"/>
      <c r="BN24" s="145"/>
      <c r="BO24" s="147"/>
      <c r="BP24" s="145"/>
      <c r="BQ24" s="145"/>
      <c r="BR24" s="145"/>
      <c r="BS24" s="145"/>
      <c r="BT24" s="145"/>
      <c r="BU24" s="147"/>
      <c r="BV24" s="145"/>
      <c r="BW24" s="145"/>
      <c r="BX24" s="145"/>
      <c r="BY24" s="147">
        <f>SUM(BZ24:CB24)</f>
      </c>
      <c r="BZ24" s="145"/>
      <c r="CA24" s="145"/>
      <c r="CB24" s="145"/>
      <c r="CC24" s="145">
        <f>SUM(CD24:CH24)</f>
      </c>
      <c r="CD24" s="145"/>
      <c r="CE24" s="147"/>
      <c r="CF24" s="145"/>
      <c r="CG24" s="145"/>
      <c r="CH24" s="145"/>
      <c r="CI24" s="147"/>
      <c r="CJ24" s="145"/>
      <c r="CK24" s="145"/>
      <c r="CL24" s="145"/>
      <c r="CM24" s="145"/>
      <c r="CN24" s="145"/>
      <c r="CO24" s="145"/>
      <c r="CP24" s="145"/>
      <c r="CQ24" s="147"/>
      <c r="CR24" s="145"/>
      <c r="CS24" s="147"/>
      <c r="CT24" s="147"/>
      <c r="CU24" s="147">
        <f>SUM(CV24:CV24)</f>
      </c>
      <c r="CV24" s="145"/>
      <c r="CW24" s="145"/>
      <c r="CX24" s="145"/>
      <c r="CY24" s="145">
        <f>SUM(CZ24:DE24)</f>
      </c>
      <c r="CZ24" s="145"/>
      <c r="DA24" s="145"/>
      <c r="DB24" s="145"/>
      <c r="DC24" s="150"/>
      <c r="DD24" s="150"/>
      <c r="DE24" s="145"/>
      <c r="DF24" s="145"/>
      <c r="DG24" s="145"/>
      <c r="DH24" s="147"/>
      <c r="DI24" s="145"/>
      <c r="DJ24" s="147"/>
      <c r="DK24" s="145"/>
      <c r="DL24" s="147"/>
      <c r="DM24" s="145"/>
      <c r="DN24" s="145"/>
      <c r="DO24" s="145"/>
      <c r="DP24" s="147"/>
      <c r="DQ24" s="145"/>
      <c r="DR24" s="145"/>
      <c r="DS24" s="145"/>
      <c r="DT24" s="145"/>
      <c r="DU24" s="145">
        <f>SUM(DV24:EE24)</f>
      </c>
      <c r="DV24" s="145"/>
      <c r="DW24" s="145"/>
      <c r="DX24" s="145"/>
      <c r="DY24" s="145"/>
      <c r="DZ24" s="145"/>
      <c r="EA24" s="147"/>
      <c r="EB24" s="145"/>
      <c r="EC24" s="145"/>
      <c r="ED24" s="145"/>
      <c r="EE24" s="145"/>
      <c r="EF24" s="145">
        <f>SUM(EG24:EH24)</f>
      </c>
      <c r="EG24" s="145"/>
      <c r="EH24" s="145"/>
      <c r="EI24" s="151" cm="1">
        <f t="array" ref="EI24">ROW()-ROW(Run[#Headers])</f>
        <v>18</v>
      </c>
    </row>
    <row r="25" spans="2:139" s="79" customFormat="1" ht="11.25" x14ac:dyDescent="0.2">
      <c r="B25" s="3184" t="s">
        <v>1769</v>
      </c>
      <c r="C25" s="3185" t="s">
        <v>1566</v>
      </c>
      <c r="D25" s="145"/>
      <c r="E25" s="147">
        <f>SUM(F25:AE25)</f>
      </c>
      <c r="F25" s="145"/>
      <c r="G25" s="145"/>
      <c r="H25" s="145"/>
      <c r="I25" s="145"/>
      <c r="J25" s="145"/>
      <c r="K25" s="152"/>
      <c r="L25" s="145"/>
      <c r="M25" s="145"/>
      <c r="N25" s="145"/>
      <c r="O25" s="145"/>
      <c r="P25" s="152"/>
      <c r="Q25" s="145"/>
      <c r="R25" s="145"/>
      <c r="S25" s="145"/>
      <c r="T25" s="152"/>
      <c r="U25" s="3186" t="n">
        <v>496.59999999999997</v>
      </c>
      <c r="V25" s="145"/>
      <c r="W25" s="145"/>
      <c r="X25" s="145"/>
      <c r="Y25" s="145"/>
      <c r="Z25" s="145"/>
      <c r="AA25" s="145"/>
      <c r="AB25" s="145"/>
      <c r="AC25" s="148"/>
      <c r="AD25" s="148"/>
      <c r="AE25" s="145"/>
      <c r="AF25" s="147">
        <f>SUM(AG25:AJ25)</f>
      </c>
      <c r="AG25" s="148"/>
      <c r="AH25" s="145"/>
      <c r="AI25" s="145"/>
      <c r="AJ25" s="145"/>
      <c r="AK25" s="147">
        <f>SUM(AL25:AW25)</f>
      </c>
      <c r="AL25" s="145"/>
      <c r="AM25" s="145"/>
      <c r="AN25" s="145"/>
      <c r="AO25" s="145"/>
      <c r="AP25" s="145"/>
      <c r="AQ25" s="145"/>
      <c r="AR25" s="145"/>
      <c r="AS25" s="145"/>
      <c r="AT25" s="145"/>
      <c r="AU25" s="145"/>
      <c r="AV25" s="145"/>
      <c r="AW25" s="147"/>
      <c r="AX25" s="145"/>
      <c r="AY25" s="145"/>
      <c r="AZ25" s="145"/>
      <c r="BA25" s="147"/>
      <c r="BB25" s="145"/>
      <c r="BC25" s="145"/>
      <c r="BD25" s="147"/>
      <c r="BE25" s="145"/>
      <c r="BF25" s="145"/>
      <c r="BG25" s="145"/>
      <c r="BH25" s="147">
        <f>SUM(BI25:BK25)</f>
      </c>
      <c r="BI25" s="145"/>
      <c r="BJ25" s="145"/>
      <c r="BK25" s="145"/>
      <c r="BL25" s="145">
        <f>SUM(BM25:BR25)</f>
      </c>
      <c r="BM25" s="145"/>
      <c r="BN25" s="145"/>
      <c r="BO25" s="147"/>
      <c r="BP25" s="145"/>
      <c r="BQ25" s="145"/>
      <c r="BR25" s="145"/>
      <c r="BS25" s="145"/>
      <c r="BT25" s="145"/>
      <c r="BU25" s="147"/>
      <c r="BV25" s="145"/>
      <c r="BW25" s="145"/>
      <c r="BX25" s="145"/>
      <c r="BY25" s="147">
        <f>SUM(BZ25:CB25)</f>
      </c>
      <c r="BZ25" s="145"/>
      <c r="CA25" s="145"/>
      <c r="CB25" s="145"/>
      <c r="CC25" s="145">
        <f>SUM(CD25:CH25)</f>
      </c>
      <c r="CD25" s="145"/>
      <c r="CE25" s="147"/>
      <c r="CF25" s="145"/>
      <c r="CG25" s="145"/>
      <c r="CH25" s="145"/>
      <c r="CI25" s="147"/>
      <c r="CJ25" s="145"/>
      <c r="CK25" s="145"/>
      <c r="CL25" s="145"/>
      <c r="CM25" s="145"/>
      <c r="CN25" s="145"/>
      <c r="CO25" s="145"/>
      <c r="CP25" s="145"/>
      <c r="CQ25" s="147"/>
      <c r="CR25" s="145"/>
      <c r="CS25" s="147"/>
      <c r="CT25" s="147"/>
      <c r="CU25" s="147">
        <f>SUM(CV25:CV25)</f>
      </c>
      <c r="CV25" s="145"/>
      <c r="CW25" s="145"/>
      <c r="CX25" s="145"/>
      <c r="CY25" s="145">
        <f>SUM(CZ25:DE25)</f>
      </c>
      <c r="CZ25" s="145"/>
      <c r="DA25" s="145"/>
      <c r="DB25" s="145"/>
      <c r="DC25" s="150"/>
      <c r="DD25" s="150"/>
      <c r="DE25" s="145"/>
      <c r="DF25" s="145"/>
      <c r="DG25" s="145"/>
      <c r="DH25" s="147"/>
      <c r="DI25" s="145"/>
      <c r="DJ25" s="147"/>
      <c r="DK25" s="145"/>
      <c r="DL25" s="147"/>
      <c r="DM25" s="145"/>
      <c r="DN25" s="145"/>
      <c r="DO25" s="145"/>
      <c r="DP25" s="147"/>
      <c r="DQ25" s="145"/>
      <c r="DR25" s="145"/>
      <c r="DS25" s="145"/>
      <c r="DT25" s="145"/>
      <c r="DU25" s="145">
        <f>SUM(DV25:EE25)</f>
      </c>
      <c r="DV25" s="145"/>
      <c r="DW25" s="145"/>
      <c r="DX25" s="145"/>
      <c r="DY25" s="145"/>
      <c r="DZ25" s="145"/>
      <c r="EA25" s="147"/>
      <c r="EB25" s="145"/>
      <c r="EC25" s="145"/>
      <c r="ED25" s="145"/>
      <c r="EE25" s="145"/>
      <c r="EF25" s="145">
        <f>SUM(EG25:EH25)</f>
      </c>
      <c r="EG25" s="145"/>
      <c r="EH25" s="145"/>
      <c r="EI25" s="151" cm="1">
        <f t="array" ref="EI25">ROW()-ROW(Run[#Headers])</f>
        <v>19</v>
      </c>
    </row>
    <row r="26" spans="2:139" s="79" customFormat="1" ht="11.25" x14ac:dyDescent="0.2">
      <c r="B26" s="3367" t="s">
        <v>1774</v>
      </c>
      <c r="C26" s="3368" t="s">
        <v>1573</v>
      </c>
      <c r="D26" s="145"/>
      <c r="E26" s="147">
        <f>SUM(F26:AE26)</f>
      </c>
      <c r="F26" s="145"/>
      <c r="G26" s="145"/>
      <c r="H26" s="145"/>
      <c r="I26" s="145"/>
      <c r="J26" s="145"/>
      <c r="K26" s="152"/>
      <c r="L26" s="145"/>
      <c r="M26" s="145"/>
      <c r="N26" s="145"/>
      <c r="O26" s="145"/>
      <c r="P26" s="152"/>
      <c r="Q26" s="145"/>
      <c r="R26" s="145"/>
      <c r="S26" s="145"/>
      <c r="T26" s="152"/>
      <c r="U26" s="145"/>
      <c r="V26" s="3369" t="n">
        <v>1400.0</v>
      </c>
      <c r="W26" s="3370" t="n">
        <v>350.0</v>
      </c>
      <c r="X26" s="145"/>
      <c r="Y26" s="145"/>
      <c r="Z26" s="145"/>
      <c r="AA26" s="145"/>
      <c r="AB26" s="145"/>
      <c r="AC26" s="148"/>
      <c r="AD26" s="148"/>
      <c r="AE26" s="145"/>
      <c r="AF26" s="147">
        <f>SUM(AG26:AJ26)</f>
      </c>
      <c r="AG26" s="145"/>
      <c r="AH26" s="145"/>
      <c r="AI26" s="145"/>
      <c r="AJ26" s="145"/>
      <c r="AK26" s="147">
        <f>SUM(AL26:AW26)</f>
      </c>
      <c r="AL26" s="145"/>
      <c r="AM26" s="145"/>
      <c r="AN26" s="145"/>
      <c r="AO26" s="145"/>
      <c r="AP26" s="145"/>
      <c r="AQ26" s="145"/>
      <c r="AR26" s="145"/>
      <c r="AS26" s="145"/>
      <c r="AT26" s="145"/>
      <c r="AU26" s="145"/>
      <c r="AV26" s="145"/>
      <c r="AW26" s="147"/>
      <c r="AX26" s="145"/>
      <c r="AY26" s="145"/>
      <c r="AZ26" s="145"/>
      <c r="BA26" s="147"/>
      <c r="BB26" s="145"/>
      <c r="BC26" s="145"/>
      <c r="BD26" s="147"/>
      <c r="BE26" s="145"/>
      <c r="BF26" s="145"/>
      <c r="BG26" s="145"/>
      <c r="BH26" s="147">
        <f>SUM(BI26:BK26)</f>
      </c>
      <c r="BI26" s="145"/>
      <c r="BJ26" s="145"/>
      <c r="BK26" s="145"/>
      <c r="BL26" s="145">
        <f>SUM(BM26:BR26)</f>
      </c>
      <c r="BM26" s="145"/>
      <c r="BN26" s="145"/>
      <c r="BO26" s="147"/>
      <c r="BP26" s="145"/>
      <c r="BQ26" s="145"/>
      <c r="BR26" s="145"/>
      <c r="BS26" s="145"/>
      <c r="BT26" s="145"/>
      <c r="BU26" s="147"/>
      <c r="BV26" s="145"/>
      <c r="BW26" s="145"/>
      <c r="BX26" s="145"/>
      <c r="BY26" s="147">
        <f>SUM(BZ26:CB26)</f>
      </c>
      <c r="BZ26" s="145"/>
      <c r="CA26" s="145"/>
      <c r="CB26" s="145"/>
      <c r="CC26" s="145">
        <f>SUM(CD26:CH26)</f>
      </c>
      <c r="CD26" s="145"/>
      <c r="CE26" s="147"/>
      <c r="CF26" s="145"/>
      <c r="CG26" s="145"/>
      <c r="CH26" s="145"/>
      <c r="CI26" s="147"/>
      <c r="CJ26" s="145"/>
      <c r="CK26" s="145"/>
      <c r="CL26" s="145"/>
      <c r="CM26" s="145"/>
      <c r="CN26" s="145"/>
      <c r="CO26" s="145"/>
      <c r="CP26" s="145"/>
      <c r="CQ26" s="147"/>
      <c r="CR26" s="145"/>
      <c r="CS26" s="147"/>
      <c r="CT26" s="147"/>
      <c r="CU26" s="147">
        <f>SUM(CV26:CV26)</f>
      </c>
      <c r="CV26" s="145"/>
      <c r="CW26" s="145"/>
      <c r="CX26" s="145"/>
      <c r="CY26" s="145">
        <f>SUM(CZ26:DE26)</f>
      </c>
      <c r="CZ26" s="145"/>
      <c r="DA26" s="145"/>
      <c r="DB26" s="145"/>
      <c r="DC26" s="150"/>
      <c r="DD26" s="150"/>
      <c r="DE26" s="145"/>
      <c r="DF26" s="145"/>
      <c r="DG26" s="145"/>
      <c r="DH26" s="147"/>
      <c r="DI26" s="145"/>
      <c r="DJ26" s="147"/>
      <c r="DK26" s="145"/>
      <c r="DL26" s="147"/>
      <c r="DM26" s="145"/>
      <c r="DN26" s="145"/>
      <c r="DO26" s="145"/>
      <c r="DP26" s="147"/>
      <c r="DQ26" s="145"/>
      <c r="DR26" s="145"/>
      <c r="DS26" s="145"/>
      <c r="DT26" s="145"/>
      <c r="DU26" s="145">
        <f>SUM(DV26:EE26)</f>
      </c>
      <c r="DV26" s="145"/>
      <c r="DW26" s="145"/>
      <c r="DX26" s="145"/>
      <c r="DY26" s="145"/>
      <c r="DZ26" s="145"/>
      <c r="EA26" s="147"/>
      <c r="EB26" s="145"/>
      <c r="EC26" s="145"/>
      <c r="ED26" s="145"/>
      <c r="EE26" s="145"/>
      <c r="EF26" s="145">
        <f>SUM(EG26:EH26)</f>
      </c>
      <c r="EG26" s="145"/>
      <c r="EH26" s="145"/>
      <c r="EI26" s="151" cm="1">
        <f t="array" ref="EI26">ROW()-ROW(Run[#Headers])</f>
        <v>20</v>
      </c>
    </row>
    <row r="27" spans="2:139" s="79" customFormat="1" ht="11.25" x14ac:dyDescent="0.2">
      <c r="B27" s="3397" t="s">
        <v>1790</v>
      </c>
      <c r="C27" s="3398" t="s">
        <v>1587</v>
      </c>
      <c r="D27" s="145"/>
      <c r="E27" s="147">
        <f>SUM(F27:AE27)</f>
      </c>
      <c r="F27" s="145"/>
      <c r="G27" s="145"/>
      <c r="H27" s="145"/>
      <c r="I27" s="145"/>
      <c r="J27" s="145"/>
      <c r="K27" s="152"/>
      <c r="L27" s="145"/>
      <c r="M27" s="145"/>
      <c r="N27" s="145"/>
      <c r="O27" s="145"/>
      <c r="P27" s="152"/>
      <c r="Q27" s="145"/>
      <c r="R27" s="145"/>
      <c r="S27" s="145"/>
      <c r="T27" s="152"/>
      <c r="U27" s="145"/>
      <c r="V27" s="145"/>
      <c r="W27" s="145"/>
      <c r="X27" s="145"/>
      <c r="Y27" s="145"/>
      <c r="Z27" s="145"/>
      <c r="AA27" s="145"/>
      <c r="AB27" s="3399" t="n">
        <v>852.0</v>
      </c>
      <c r="AC27" s="148"/>
      <c r="AD27" s="148"/>
      <c r="AE27" s="145"/>
      <c r="AF27" s="147">
        <f>SUM(AG27:AJ27)</f>
      </c>
      <c r="AG27" s="145"/>
      <c r="AH27" s="145"/>
      <c r="AI27" s="145"/>
      <c r="AJ27" s="145"/>
      <c r="AK27" s="147">
        <f>SUM(AL27:AW27)</f>
      </c>
      <c r="AL27" s="145"/>
      <c r="AM27" s="145"/>
      <c r="AN27" s="145"/>
      <c r="AO27" s="145"/>
      <c r="AP27" s="145"/>
      <c r="AQ27" s="145"/>
      <c r="AR27" s="145"/>
      <c r="AS27" s="145"/>
      <c r="AT27" s="145"/>
      <c r="AU27" s="145"/>
      <c r="AV27" s="145"/>
      <c r="AW27" s="147"/>
      <c r="AX27" s="145"/>
      <c r="AY27" s="145"/>
      <c r="AZ27" s="145"/>
      <c r="BA27" s="147"/>
      <c r="BB27" s="145"/>
      <c r="BC27" s="145"/>
      <c r="BD27" s="147"/>
      <c r="BE27" s="145"/>
      <c r="BF27" s="145"/>
      <c r="BG27" s="145"/>
      <c r="BH27" s="147">
        <f>SUM(BI27:BK27)</f>
      </c>
      <c r="BI27" s="145"/>
      <c r="BJ27" s="145"/>
      <c r="BK27" s="145"/>
      <c r="BL27" s="145">
        <f>SUM(BM27:BR27)</f>
      </c>
      <c r="BM27" s="145"/>
      <c r="BN27" s="145"/>
      <c r="BO27" s="147"/>
      <c r="BP27" s="145"/>
      <c r="BQ27" s="145"/>
      <c r="BR27" s="145"/>
      <c r="BS27" s="145"/>
      <c r="BT27" s="145"/>
      <c r="BU27" s="147"/>
      <c r="BV27" s="145"/>
      <c r="BW27" s="145"/>
      <c r="BX27" s="145"/>
      <c r="BY27" s="147">
        <f>SUM(BZ27:CB27)</f>
      </c>
      <c r="BZ27" s="145"/>
      <c r="CA27" s="145"/>
      <c r="CB27" s="145"/>
      <c r="CC27" s="145">
        <f>SUM(CD27:CH27)</f>
      </c>
      <c r="CD27" s="145"/>
      <c r="CE27" s="147"/>
      <c r="CF27" s="145"/>
      <c r="CG27" s="145"/>
      <c r="CH27" s="145"/>
      <c r="CI27" s="147"/>
      <c r="CJ27" s="145"/>
      <c r="CK27" s="145"/>
      <c r="CL27" s="145"/>
      <c r="CM27" s="145"/>
      <c r="CN27" s="145"/>
      <c r="CO27" s="145"/>
      <c r="CP27" s="145"/>
      <c r="CQ27" s="147"/>
      <c r="CR27" s="145"/>
      <c r="CS27" s="147"/>
      <c r="CT27" s="147"/>
      <c r="CU27" s="147">
        <f>SUM(CV27:CV27)</f>
      </c>
      <c r="CV27" s="145"/>
      <c r="CW27" s="145"/>
      <c r="CX27" s="145"/>
      <c r="CY27" s="145">
        <f>SUM(CZ27:DE27)</f>
      </c>
      <c r="CZ27" s="145"/>
      <c r="DA27" s="145"/>
      <c r="DB27" s="145"/>
      <c r="DC27" s="150"/>
      <c r="DD27" s="150"/>
      <c r="DE27" s="145"/>
      <c r="DF27" s="145"/>
      <c r="DG27" s="145"/>
      <c r="DH27" s="147"/>
      <c r="DI27" s="145"/>
      <c r="DJ27" s="147"/>
      <c r="DK27" s="145"/>
      <c r="DL27" s="147"/>
      <c r="DM27" s="145"/>
      <c r="DN27" s="145"/>
      <c r="DO27" s="145"/>
      <c r="DP27" s="147"/>
      <c r="DQ27" s="145"/>
      <c r="DR27" s="145"/>
      <c r="DS27" s="145"/>
      <c r="DT27" s="145"/>
      <c r="DU27" s="145">
        <f>SUM(DV27:EE27)</f>
      </c>
      <c r="DV27" s="145"/>
      <c r="DW27" s="145"/>
      <c r="DX27" s="145"/>
      <c r="DY27" s="145"/>
      <c r="DZ27" s="145"/>
      <c r="EA27" s="147"/>
      <c r="EB27" s="145"/>
      <c r="EC27" s="145"/>
      <c r="ED27" s="145"/>
      <c r="EE27" s="145"/>
      <c r="EF27" s="145">
        <f>SUM(EG27:EH27)</f>
      </c>
      <c r="EG27" s="145"/>
      <c r="EH27" s="145"/>
      <c r="EI27" s="151" cm="1">
        <f t="array" ref="EI27">ROW()-ROW(Run[#Headers])</f>
        <v>21</v>
      </c>
    </row>
    <row r="28" spans="2:139" s="79" customFormat="1" ht="11.25" x14ac:dyDescent="0.2">
      <c r="B28" s="3428" t="s">
        <v>1735</v>
      </c>
      <c r="C28" s="3429" t="s">
        <v>1532</v>
      </c>
      <c r="D28" s="145"/>
      <c r="E28" s="147">
        <f>SUM(F28:AE28)</f>
      </c>
      <c r="F28" s="145"/>
      <c r="G28" s="145"/>
      <c r="H28" s="145"/>
      <c r="I28" s="145"/>
      <c r="J28" s="145"/>
      <c r="K28" s="152"/>
      <c r="L28" s="145"/>
      <c r="M28" s="145"/>
      <c r="N28" s="145"/>
      <c r="O28" s="145"/>
      <c r="P28" s="152"/>
      <c r="Q28" s="145"/>
      <c r="R28" s="145"/>
      <c r="S28" s="145"/>
      <c r="T28" s="152"/>
      <c r="U28" s="145"/>
      <c r="V28" s="145"/>
      <c r="W28" s="145"/>
      <c r="X28" s="145"/>
      <c r="Y28" s="145"/>
      <c r="Z28" s="145"/>
      <c r="AA28" s="145"/>
      <c r="AB28" s="145"/>
      <c r="AC28" s="148"/>
      <c r="AD28" s="148"/>
      <c r="AE28" s="145"/>
      <c r="AF28" s="147">
        <f>SUM(AG28:AJ28)</f>
      </c>
      <c r="AG28" s="145"/>
      <c r="AH28" s="145"/>
      <c r="AI28" s="145"/>
      <c r="AJ28" s="145"/>
      <c r="AK28" s="147">
        <f>SUM(AL28:AW28)</f>
      </c>
      <c r="AL28" s="145"/>
      <c r="AM28" s="145"/>
      <c r="AN28" s="145"/>
      <c r="AO28" s="145"/>
      <c r="AP28" s="145"/>
      <c r="AQ28" s="145"/>
      <c r="AR28" s="145"/>
      <c r="AS28" s="145"/>
      <c r="AT28" s="145"/>
      <c r="AU28" s="145"/>
      <c r="AV28" s="145"/>
      <c r="AW28" s="147"/>
      <c r="AX28" s="145"/>
      <c r="AY28" s="145"/>
      <c r="AZ28" s="145"/>
      <c r="BA28" s="147"/>
      <c r="BB28" s="145"/>
      <c r="BC28" s="145"/>
      <c r="BD28" s="147"/>
      <c r="BE28" s="145"/>
      <c r="BF28" s="145"/>
      <c r="BG28" s="145"/>
      <c r="BH28" s="147">
        <f>SUM(BI28:BK28)</f>
      </c>
      <c r="BI28" s="145"/>
      <c r="BJ28" s="145"/>
      <c r="BK28" s="145"/>
      <c r="BL28" s="145">
        <f>SUM(BM28:BR28)</f>
      </c>
      <c r="BM28" s="145"/>
      <c r="BN28" s="145"/>
      <c r="BO28" s="147"/>
      <c r="BP28" s="145"/>
      <c r="BQ28" s="145"/>
      <c r="BR28" s="145"/>
      <c r="BS28" s="145"/>
      <c r="BT28" s="145"/>
      <c r="BU28" s="147"/>
      <c r="BV28" s="145"/>
      <c r="BW28" s="145"/>
      <c r="BX28" s="145"/>
      <c r="BY28" s="147">
        <f>SUM(BZ28:CB28)</f>
      </c>
      <c r="BZ28" s="145"/>
      <c r="CA28" s="145"/>
      <c r="CB28" s="145"/>
      <c r="CC28" s="145">
        <f>SUM(CD28:CH28)</f>
      </c>
      <c r="CD28" s="145"/>
      <c r="CE28" s="147"/>
      <c r="CF28" s="145"/>
      <c r="CG28" s="145"/>
      <c r="CH28" s="145"/>
      <c r="CI28" s="147"/>
      <c r="CJ28" s="145"/>
      <c r="CK28" s="145"/>
      <c r="CL28" s="145"/>
      <c r="CM28" s="145"/>
      <c r="CN28" s="145"/>
      <c r="CO28" s="145"/>
      <c r="CP28" s="145"/>
      <c r="CQ28" s="147"/>
      <c r="CR28" s="145"/>
      <c r="CS28" s="147"/>
      <c r="CT28" s="147"/>
      <c r="CU28" s="147">
        <f>SUM(CV28:CV28)</f>
      </c>
      <c r="CV28" s="145"/>
      <c r="CW28" s="145"/>
      <c r="CX28" s="145"/>
      <c r="CY28" s="145">
        <f>SUM(CZ28:DE28)</f>
      </c>
      <c r="CZ28" s="145"/>
      <c r="DA28" s="145"/>
      <c r="DB28" s="145"/>
      <c r="DC28" s="150"/>
      <c r="DD28" s="150"/>
      <c r="DE28" s="145"/>
      <c r="DF28" s="145"/>
      <c r="DG28" s="145"/>
      <c r="DH28" s="147"/>
      <c r="DI28" s="145"/>
      <c r="DJ28" s="147"/>
      <c r="DK28" s="145"/>
      <c r="DL28" s="147"/>
      <c r="DM28" s="145"/>
      <c r="DN28" s="145"/>
      <c r="DO28" s="145"/>
      <c r="DP28" s="147"/>
      <c r="DQ28" s="145"/>
      <c r="DR28" s="145"/>
      <c r="DS28" s="145"/>
      <c r="DT28" s="145"/>
      <c r="DU28" s="145">
        <f>SUM(DV28:EE28)</f>
      </c>
      <c r="DV28" s="145"/>
      <c r="DW28" s="145"/>
      <c r="DX28" s="145"/>
      <c r="DY28" s="145"/>
      <c r="DZ28" s="145"/>
      <c r="EA28" s="147"/>
      <c r="EB28" s="145"/>
      <c r="EC28" s="145"/>
      <c r="ED28" s="145"/>
      <c r="EE28" s="145"/>
      <c r="EF28" s="145">
        <f>SUM(EG28:EH28)</f>
      </c>
      <c r="EG28" s="145"/>
      <c r="EH28" s="145"/>
      <c r="EI28" s="151" cm="1">
        <f t="array" ref="EI28">ROW()-ROW(Run[#Headers])</f>
        <v>22</v>
      </c>
    </row>
    <row r="29" spans="2:139" s="79" customFormat="1" ht="11.25" x14ac:dyDescent="0.2">
      <c r="B29" s="3515" t="s">
        <v>1787</v>
      </c>
      <c r="C29" s="3516" t="s">
        <v>1584</v>
      </c>
      <c r="D29" s="145"/>
      <c r="E29" s="147">
        <f>SUM(F29:AE29)</f>
      </c>
      <c r="F29" s="145"/>
      <c r="G29" s="145"/>
      <c r="H29" s="145"/>
      <c r="I29" s="145"/>
      <c r="J29" s="145"/>
      <c r="K29" s="152"/>
      <c r="L29" s="145"/>
      <c r="M29" s="145"/>
      <c r="N29" s="145"/>
      <c r="O29" s="145"/>
      <c r="P29" s="152"/>
      <c r="Q29" s="145"/>
      <c r="R29" s="145"/>
      <c r="S29" s="145"/>
      <c r="T29" s="152"/>
      <c r="U29" s="145"/>
      <c r="V29" s="145"/>
      <c r="W29" s="145"/>
      <c r="X29" s="145"/>
      <c r="Y29" s="145"/>
      <c r="Z29" s="145"/>
      <c r="AA29" s="145"/>
      <c r="AB29" s="145"/>
      <c r="AC29" s="148"/>
      <c r="AD29" s="148"/>
      <c r="AE29" s="145"/>
      <c r="AF29" s="147">
        <f>SUM(AG29:AJ29)</f>
      </c>
      <c r="AG29" s="145"/>
      <c r="AH29" s="145"/>
      <c r="AI29" s="145"/>
      <c r="AJ29" s="145"/>
      <c r="AK29" s="147">
        <f>SUM(AL29:AW29)</f>
      </c>
      <c r="AL29" s="145"/>
      <c r="AM29" s="145"/>
      <c r="AN29" s="145"/>
      <c r="AO29" s="145"/>
      <c r="AP29" s="145"/>
      <c r="AQ29" s="145"/>
      <c r="AR29" s="145"/>
      <c r="AS29" s="145"/>
      <c r="AT29" s="145"/>
      <c r="AU29" s="145"/>
      <c r="AV29" s="145"/>
      <c r="AW29" s="147"/>
      <c r="AX29" s="145"/>
      <c r="AY29" s="145"/>
      <c r="AZ29" s="145"/>
      <c r="BA29" s="147"/>
      <c r="BB29" s="145"/>
      <c r="BC29" s="145"/>
      <c r="BD29" s="147"/>
      <c r="BE29" s="145"/>
      <c r="BF29" s="145"/>
      <c r="BG29" s="145"/>
      <c r="BH29" s="147">
        <f>SUM(BI29:BK29)</f>
      </c>
      <c r="BI29" s="145"/>
      <c r="BJ29" s="145"/>
      <c r="BK29" s="3517" t="n">
        <v>1375.0</v>
      </c>
      <c r="BL29" s="145">
        <f>SUM(BM29:BR29)</f>
      </c>
      <c r="BM29" s="145"/>
      <c r="BN29" s="145"/>
      <c r="BO29" s="147"/>
      <c r="BP29" s="145"/>
      <c r="BQ29" s="145"/>
      <c r="BR29" s="145"/>
      <c r="BS29" s="145"/>
      <c r="BT29" s="145"/>
      <c r="BU29" s="147"/>
      <c r="BV29" s="145"/>
      <c r="BW29" s="145"/>
      <c r="BX29" s="145"/>
      <c r="BY29" s="147">
        <f>SUM(BZ29:CB29)</f>
      </c>
      <c r="BZ29" s="145"/>
      <c r="CA29" s="145"/>
      <c r="CB29" s="145"/>
      <c r="CC29" s="145">
        <f>SUM(CD29:CH29)</f>
      </c>
      <c r="CD29" s="145"/>
      <c r="CE29" s="147"/>
      <c r="CF29" s="145"/>
      <c r="CG29" s="145"/>
      <c r="CH29" s="145"/>
      <c r="CI29" s="147"/>
      <c r="CJ29" s="145"/>
      <c r="CK29" s="145"/>
      <c r="CL29" s="145"/>
      <c r="CM29" s="145"/>
      <c r="CN29" s="145"/>
      <c r="CO29" s="145"/>
      <c r="CP29" s="145"/>
      <c r="CQ29" s="147"/>
      <c r="CR29" s="145"/>
      <c r="CS29" s="147"/>
      <c r="CT29" s="147"/>
      <c r="CU29" s="147">
        <f>SUM(CV29:CV29)</f>
      </c>
      <c r="CV29" s="145"/>
      <c r="CW29" s="145"/>
      <c r="CX29" s="145"/>
      <c r="CY29" s="145">
        <f>SUM(CZ29:DE29)</f>
      </c>
      <c r="CZ29" s="145"/>
      <c r="DA29" s="145"/>
      <c r="DB29" s="145"/>
      <c r="DC29" s="150"/>
      <c r="DD29" s="150"/>
      <c r="DE29" s="145"/>
      <c r="DF29" s="145"/>
      <c r="DG29" s="145"/>
      <c r="DH29" s="147"/>
      <c r="DI29" s="145"/>
      <c r="DJ29" s="147"/>
      <c r="DK29" s="145"/>
      <c r="DL29" s="147"/>
      <c r="DM29" s="145"/>
      <c r="DN29" s="145"/>
      <c r="DO29" s="145"/>
      <c r="DP29" s="147"/>
      <c r="DQ29" s="145"/>
      <c r="DR29" s="145"/>
      <c r="DS29" s="145"/>
      <c r="DT29" s="145"/>
      <c r="DU29" s="145">
        <f>SUM(DV29:EE29)</f>
      </c>
      <c r="DV29" s="145"/>
      <c r="DW29" s="145"/>
      <c r="DX29" s="145"/>
      <c r="DY29" s="145"/>
      <c r="DZ29" s="145"/>
      <c r="EA29" s="147"/>
      <c r="EB29" s="145"/>
      <c r="EC29" s="145"/>
      <c r="ED29" s="145"/>
      <c r="EE29" s="3518" t="n">
        <v>250.0</v>
      </c>
      <c r="EF29" s="145">
        <f>SUM(EG29:EH29)</f>
      </c>
      <c r="EG29" s="145"/>
      <c r="EH29" s="145"/>
      <c r="EI29" s="151" cm="1">
        <f t="array" ref="EI29">ROW()-ROW(Run[#Headers])</f>
        <v>23</v>
      </c>
    </row>
    <row r="30" spans="2:139" s="79" customFormat="1" ht="11.25" x14ac:dyDescent="0.2">
      <c r="B30" s="3644" t="s">
        <v>1770</v>
      </c>
      <c r="C30" s="3645" t="s">
        <v>1568</v>
      </c>
      <c r="D30" s="145"/>
      <c r="E30" s="147">
        <f>SUM(F30:AE30)</f>
      </c>
      <c r="F30" s="145"/>
      <c r="G30" s="145"/>
      <c r="H30" s="145"/>
      <c r="I30" s="145"/>
      <c r="J30" s="145"/>
      <c r="K30" s="152"/>
      <c r="L30" s="145"/>
      <c r="M30" s="145"/>
      <c r="N30" s="145"/>
      <c r="O30" s="145"/>
      <c r="P30" s="152"/>
      <c r="Q30" s="145"/>
      <c r="R30" s="145"/>
      <c r="S30" s="145"/>
      <c r="T30" s="152"/>
      <c r="U30" s="3646" t="n">
        <v>687.5999999999999</v>
      </c>
      <c r="V30" s="145"/>
      <c r="W30" s="145"/>
      <c r="X30" s="145"/>
      <c r="Y30" s="145"/>
      <c r="Z30" s="145"/>
      <c r="AA30" s="145"/>
      <c r="AB30" s="145"/>
      <c r="AC30" s="148"/>
      <c r="AD30" s="148"/>
      <c r="AE30" s="145"/>
      <c r="AF30" s="147">
        <f>SUM(AG30:AJ30)</f>
      </c>
      <c r="AG30" s="145"/>
      <c r="AH30" s="145"/>
      <c r="AI30" s="145"/>
      <c r="AJ30" s="145"/>
      <c r="AK30" s="147">
        <f>SUM(AL30:AW30)</f>
      </c>
      <c r="AL30" s="145"/>
      <c r="AM30" s="145"/>
      <c r="AN30" s="145"/>
      <c r="AO30" s="145"/>
      <c r="AP30" s="145"/>
      <c r="AQ30" s="145"/>
      <c r="AR30" s="145"/>
      <c r="AS30" s="145"/>
      <c r="AT30" s="145"/>
      <c r="AU30" s="145"/>
      <c r="AV30" s="145"/>
      <c r="AW30" s="147"/>
      <c r="AX30" s="145"/>
      <c r="AY30" s="145"/>
      <c r="AZ30" s="145"/>
      <c r="BA30" s="147"/>
      <c r="BB30" s="145"/>
      <c r="BC30" s="145"/>
      <c r="BD30" s="147"/>
      <c r="BE30" s="145"/>
      <c r="BF30" s="145"/>
      <c r="BG30" s="145"/>
      <c r="BH30" s="147">
        <f>SUM(BI30:BK30)</f>
      </c>
      <c r="BI30" s="145"/>
      <c r="BJ30" s="145"/>
      <c r="BK30" s="145"/>
      <c r="BL30" s="145">
        <f>SUM(BM30:BR30)</f>
      </c>
      <c r="BM30" s="145"/>
      <c r="BN30" s="145"/>
      <c r="BO30" s="147"/>
      <c r="BP30" s="145"/>
      <c r="BQ30" s="145"/>
      <c r="BR30" s="145"/>
      <c r="BS30" s="145"/>
      <c r="BT30" s="145"/>
      <c r="BU30" s="147"/>
      <c r="BV30" s="145"/>
      <c r="BW30" s="145"/>
      <c r="BX30" s="145"/>
      <c r="BY30" s="147">
        <f>SUM(BZ30:CB30)</f>
      </c>
      <c r="BZ30" s="145"/>
      <c r="CA30" s="145"/>
      <c r="CB30" s="145"/>
      <c r="CC30" s="145">
        <f>SUM(CD30:CH30)</f>
      </c>
      <c r="CD30" s="145"/>
      <c r="CE30" s="147"/>
      <c r="CF30" s="145"/>
      <c r="CG30" s="145"/>
      <c r="CH30" s="145"/>
      <c r="CI30" s="147"/>
      <c r="CJ30" s="145"/>
      <c r="CK30" s="145"/>
      <c r="CL30" s="145"/>
      <c r="CM30" s="145"/>
      <c r="CN30" s="145"/>
      <c r="CO30" s="145"/>
      <c r="CP30" s="145"/>
      <c r="CQ30" s="147"/>
      <c r="CR30" s="145"/>
      <c r="CS30" s="147"/>
      <c r="CT30" s="147"/>
      <c r="CU30" s="147">
        <f>SUM(CV30:CV30)</f>
      </c>
      <c r="CV30" s="145"/>
      <c r="CW30" s="145"/>
      <c r="CX30" s="145"/>
      <c r="CY30" s="145">
        <f>SUM(CZ30:DE30)</f>
      </c>
      <c r="CZ30" s="145"/>
      <c r="DA30" s="145"/>
      <c r="DB30" s="145"/>
      <c r="DC30" s="150"/>
      <c r="DD30" s="150"/>
      <c r="DE30" s="145"/>
      <c r="DF30" s="145"/>
      <c r="DG30" s="145"/>
      <c r="DH30" s="147"/>
      <c r="DI30" s="145"/>
      <c r="DJ30" s="147"/>
      <c r="DK30" s="145"/>
      <c r="DL30" s="147"/>
      <c r="DM30" s="145"/>
      <c r="DN30" s="145"/>
      <c r="DO30" s="145"/>
      <c r="DP30" s="147"/>
      <c r="DQ30" s="145"/>
      <c r="DR30" s="145"/>
      <c r="DS30" s="145"/>
      <c r="DT30" s="145"/>
      <c r="DU30" s="145">
        <f>SUM(DV30:EE30)</f>
      </c>
      <c r="DV30" s="145"/>
      <c r="DW30" s="145"/>
      <c r="DX30" s="145"/>
      <c r="DY30" s="145"/>
      <c r="DZ30" s="145"/>
      <c r="EA30" s="147"/>
      <c r="EB30" s="145"/>
      <c r="EC30" s="145"/>
      <c r="ED30" s="145"/>
      <c r="EE30" s="145"/>
      <c r="EF30" s="145">
        <f>SUM(EG30:EH30)</f>
      </c>
      <c r="EG30" s="145"/>
      <c r="EH30" s="145"/>
      <c r="EI30" s="151" cm="1">
        <f t="array" ref="EI30">ROW()-ROW(Run[#Headers])</f>
        <v>24</v>
      </c>
    </row>
    <row r="31" spans="2:139" s="79" customFormat="1" ht="11.25" x14ac:dyDescent="0.2">
      <c r="B31" s="3704" t="s">
        <v>1740</v>
      </c>
      <c r="C31" s="3705" t="s">
        <v>1536</v>
      </c>
      <c r="D31" s="145"/>
      <c r="E31" s="147">
        <f>SUM(F31:AE31)</f>
      </c>
      <c r="F31" s="145"/>
      <c r="G31" s="145"/>
      <c r="H31" s="145"/>
      <c r="I31" s="145"/>
      <c r="J31" s="145"/>
      <c r="K31" s="152"/>
      <c r="L31" s="145"/>
      <c r="M31" s="145"/>
      <c r="N31" s="145"/>
      <c r="O31" s="145"/>
      <c r="P31" s="152"/>
      <c r="Q31" s="145"/>
      <c r="R31" s="145"/>
      <c r="S31" s="145"/>
      <c r="T31" s="152"/>
      <c r="U31" s="145"/>
      <c r="V31" s="145"/>
      <c r="W31" s="145"/>
      <c r="X31" s="145"/>
      <c r="Y31" s="3706" t="n">
        <v>360.0</v>
      </c>
      <c r="Z31" s="145"/>
      <c r="AA31" s="145"/>
      <c r="AB31" s="145"/>
      <c r="AC31" s="148"/>
      <c r="AD31" s="148"/>
      <c r="AE31" s="145"/>
      <c r="AF31" s="147">
        <f>SUM(AG31:AJ31)</f>
      </c>
      <c r="AG31" s="145"/>
      <c r="AH31" s="145"/>
      <c r="AI31" s="145"/>
      <c r="AJ31" s="145"/>
      <c r="AK31" s="147">
        <f>SUM(AL31:AW31)</f>
      </c>
      <c r="AL31" s="145"/>
      <c r="AM31" s="145"/>
      <c r="AN31" s="145"/>
      <c r="AO31" s="145"/>
      <c r="AP31" s="145"/>
      <c r="AQ31" s="145"/>
      <c r="AR31" s="145"/>
      <c r="AS31" s="145"/>
      <c r="AT31" s="145"/>
      <c r="AU31" s="145"/>
      <c r="AV31" s="145"/>
      <c r="AW31" s="147"/>
      <c r="AX31" s="145"/>
      <c r="AY31" s="145"/>
      <c r="AZ31" s="145"/>
      <c r="BA31" s="147"/>
      <c r="BB31" s="145"/>
      <c r="BC31" s="145"/>
      <c r="BD31" s="147"/>
      <c r="BE31" s="145"/>
      <c r="BF31" s="145"/>
      <c r="BG31" s="145"/>
      <c r="BH31" s="147">
        <f>SUM(BI31:BK31)</f>
      </c>
      <c r="BI31" s="145"/>
      <c r="BJ31" s="145"/>
      <c r="BK31" s="145"/>
      <c r="BL31" s="145">
        <f>SUM(BM31:BR31)</f>
      </c>
      <c r="BM31" s="145"/>
      <c r="BN31" s="145"/>
      <c r="BO31" s="147"/>
      <c r="BP31" s="145"/>
      <c r="BQ31" s="145"/>
      <c r="BR31" s="145"/>
      <c r="BS31" s="145"/>
      <c r="BT31" s="145"/>
      <c r="BU31" s="147"/>
      <c r="BV31" s="145"/>
      <c r="BW31" s="145"/>
      <c r="BX31" s="145"/>
      <c r="BY31" s="147">
        <f>SUM(BZ31:CB31)</f>
      </c>
      <c r="BZ31" s="145"/>
      <c r="CA31" s="145"/>
      <c r="CB31" s="145"/>
      <c r="CC31" s="145">
        <f>SUM(CD31:CH31)</f>
      </c>
      <c r="CD31" s="145"/>
      <c r="CE31" s="147"/>
      <c r="CF31" s="145"/>
      <c r="CG31" s="145"/>
      <c r="CH31" s="145"/>
      <c r="CI31" s="147"/>
      <c r="CJ31" s="145"/>
      <c r="CK31" s="145"/>
      <c r="CL31" s="145"/>
      <c r="CM31" s="145"/>
      <c r="CN31" s="145"/>
      <c r="CO31" s="145"/>
      <c r="CP31" s="145"/>
      <c r="CQ31" s="147"/>
      <c r="CR31" s="145"/>
      <c r="CS31" s="147"/>
      <c r="CT31" s="147"/>
      <c r="CU31" s="147">
        <f>SUM(CV31:CV31)</f>
      </c>
      <c r="CV31" s="145"/>
      <c r="CW31" s="145"/>
      <c r="CX31" s="145"/>
      <c r="CY31" s="145">
        <f>SUM(CZ31:DE31)</f>
      </c>
      <c r="CZ31" s="145"/>
      <c r="DA31" s="145"/>
      <c r="DB31" s="145"/>
      <c r="DC31" s="150"/>
      <c r="DD31" s="150"/>
      <c r="DE31" s="145"/>
      <c r="DF31" s="145"/>
      <c r="DG31" s="145"/>
      <c r="DH31" s="147"/>
      <c r="DI31" s="145"/>
      <c r="DJ31" s="147"/>
      <c r="DK31" s="145"/>
      <c r="DL31" s="147"/>
      <c r="DM31" s="145"/>
      <c r="DN31" s="145"/>
      <c r="DO31" s="145"/>
      <c r="DP31" s="147"/>
      <c r="DQ31" s="145"/>
      <c r="DR31" s="145"/>
      <c r="DS31" s="145"/>
      <c r="DT31" s="145"/>
      <c r="DU31" s="145">
        <f>SUM(DV31:EE31)</f>
      </c>
      <c r="DV31" s="145"/>
      <c r="DW31" s="145"/>
      <c r="DX31" s="145"/>
      <c r="DY31" s="145"/>
      <c r="DZ31" s="145"/>
      <c r="EA31" s="147"/>
      <c r="EB31" s="145"/>
      <c r="EC31" s="145"/>
      <c r="ED31" s="145"/>
      <c r="EE31" s="145"/>
      <c r="EF31" s="145">
        <f>SUM(EG31:EH31)</f>
      </c>
      <c r="EG31" s="145"/>
      <c r="EH31" s="145"/>
      <c r="EI31" s="151" cm="1">
        <f t="array" ref="EI31">ROW()-ROW(Run[#Headers])</f>
        <v>25</v>
      </c>
    </row>
    <row r="32" spans="2:139" s="79" customFormat="1" ht="11.25" x14ac:dyDescent="0.2">
      <c r="B32" s="3780" t="s">
        <v>1778</v>
      </c>
      <c r="C32" s="3781" t="s">
        <v>1575</v>
      </c>
      <c r="D32" s="145"/>
      <c r="E32" s="147">
        <f>SUM(F32:AE32)</f>
      </c>
      <c r="F32" s="145"/>
      <c r="G32" s="3782" t="n">
        <v>960.0</v>
      </c>
      <c r="H32" s="145"/>
      <c r="I32" s="145"/>
      <c r="J32" s="145"/>
      <c r="K32" s="152"/>
      <c r="L32" s="145"/>
      <c r="M32" s="145"/>
      <c r="N32" s="145"/>
      <c r="O32" s="145"/>
      <c r="P32" s="152"/>
      <c r="Q32" s="145"/>
      <c r="R32" s="145"/>
      <c r="S32" s="145"/>
      <c r="T32" s="152"/>
      <c r="U32" s="145"/>
      <c r="V32" s="145"/>
      <c r="W32" s="145"/>
      <c r="X32" s="145"/>
      <c r="Y32" s="145"/>
      <c r="Z32" s="145"/>
      <c r="AA32" s="145"/>
      <c r="AB32" s="145"/>
      <c r="AC32" s="148"/>
      <c r="AD32" s="148"/>
      <c r="AE32" s="145"/>
      <c r="AF32" s="147">
        <f>SUM(AG32:AJ32)</f>
      </c>
      <c r="AG32" s="145"/>
      <c r="AH32" s="145"/>
      <c r="AI32" s="145"/>
      <c r="AJ32" s="145"/>
      <c r="AK32" s="147">
        <f>SUM(AL32:AW32)</f>
      </c>
      <c r="AL32" s="145"/>
      <c r="AM32" s="145"/>
      <c r="AN32" s="145"/>
      <c r="AO32" s="145"/>
      <c r="AP32" s="145"/>
      <c r="AQ32" s="145"/>
      <c r="AR32" s="145"/>
      <c r="AS32" s="145"/>
      <c r="AT32" s="145"/>
      <c r="AU32" s="145"/>
      <c r="AV32" s="145"/>
      <c r="AW32" s="147"/>
      <c r="AX32" s="145"/>
      <c r="AY32" s="145"/>
      <c r="AZ32" s="145"/>
      <c r="BA32" s="147"/>
      <c r="BB32" s="145"/>
      <c r="BC32" s="145"/>
      <c r="BD32" s="147"/>
      <c r="BE32" s="145"/>
      <c r="BF32" s="145"/>
      <c r="BG32" s="145"/>
      <c r="BH32" s="147">
        <f>SUM(BI32:BK32)</f>
      </c>
      <c r="BI32" s="145"/>
      <c r="BJ32" s="145"/>
      <c r="BK32" s="145"/>
      <c r="BL32" s="145">
        <f>SUM(BM32:BR32)</f>
      </c>
      <c r="BM32" s="145"/>
      <c r="BN32" s="145"/>
      <c r="BO32" s="147"/>
      <c r="BP32" s="145"/>
      <c r="BQ32" s="145"/>
      <c r="BR32" s="145"/>
      <c r="BS32" s="145"/>
      <c r="BT32" s="145"/>
      <c r="BU32" s="147"/>
      <c r="BV32" s="145"/>
      <c r="BW32" s="145"/>
      <c r="BX32" s="145"/>
      <c r="BY32" s="147">
        <f>SUM(BZ32:CB32)</f>
      </c>
      <c r="BZ32" s="145"/>
      <c r="CA32" s="145"/>
      <c r="CB32" s="145"/>
      <c r="CC32" s="145">
        <f>SUM(CD32:CH32)</f>
      </c>
      <c r="CD32" s="145"/>
      <c r="CE32" s="147"/>
      <c r="CF32" s="145"/>
      <c r="CG32" s="145"/>
      <c r="CH32" s="145"/>
      <c r="CI32" s="147"/>
      <c r="CJ32" s="145"/>
      <c r="CK32" s="145"/>
      <c r="CL32" s="145"/>
      <c r="CM32" s="145"/>
      <c r="CN32" s="145"/>
      <c r="CO32" s="145"/>
      <c r="CP32" s="145"/>
      <c r="CQ32" s="147"/>
      <c r="CR32" s="145"/>
      <c r="CS32" s="147"/>
      <c r="CT32" s="147"/>
      <c r="CU32" s="147">
        <f>SUM(CV32:CV32)</f>
      </c>
      <c r="CV32" s="145"/>
      <c r="CW32" s="145"/>
      <c r="CX32" s="145"/>
      <c r="CY32" s="145">
        <f>SUM(CZ32:DE32)</f>
      </c>
      <c r="CZ32" s="145"/>
      <c r="DA32" s="145"/>
      <c r="DB32" s="145"/>
      <c r="DC32" s="150"/>
      <c r="DD32" s="150"/>
      <c r="DE32" s="145"/>
      <c r="DF32" s="145"/>
      <c r="DG32" s="145"/>
      <c r="DH32" s="147"/>
      <c r="DI32" s="145"/>
      <c r="DJ32" s="147"/>
      <c r="DK32" s="145"/>
      <c r="DL32" s="147"/>
      <c r="DM32" s="145"/>
      <c r="DN32" s="145"/>
      <c r="DO32" s="145"/>
      <c r="DP32" s="147"/>
      <c r="DQ32" s="145"/>
      <c r="DR32" s="145"/>
      <c r="DS32" s="145"/>
      <c r="DT32" s="145"/>
      <c r="DU32" s="145">
        <f>SUM(DV32:EE32)</f>
      </c>
      <c r="DV32" s="145"/>
      <c r="DW32" s="145"/>
      <c r="DX32" s="145"/>
      <c r="DY32" s="145"/>
      <c r="DZ32" s="145"/>
      <c r="EA32" s="147"/>
      <c r="EB32" s="145"/>
      <c r="EC32" s="145"/>
      <c r="ED32" s="145"/>
      <c r="EE32" s="145"/>
      <c r="EF32" s="145">
        <f>SUM(EG32:EH32)</f>
      </c>
      <c r="EG32" s="145"/>
      <c r="EH32" s="145"/>
      <c r="EI32" s="151" cm="1">
        <f t="array" ref="EI32">ROW()-ROW(Run[#Headers])</f>
        <v>26</v>
      </c>
    </row>
    <row r="33" spans="2:139" s="79" customFormat="1" ht="11.25" x14ac:dyDescent="0.2">
      <c r="B33" s="3983" t="s">
        <v>1753</v>
      </c>
      <c r="C33" s="3984" t="s">
        <v>1549</v>
      </c>
      <c r="D33" s="145"/>
      <c r="E33" s="147">
        <f>SUM(F33:AE33)</f>
      </c>
      <c r="F33" s="145"/>
      <c r="G33" s="145"/>
      <c r="H33" s="145"/>
      <c r="I33" s="145"/>
      <c r="J33" s="145"/>
      <c r="K33" s="152"/>
      <c r="L33" s="145"/>
      <c r="M33" s="145"/>
      <c r="N33" s="145"/>
      <c r="O33" s="145"/>
      <c r="P33" s="152"/>
      <c r="Q33" s="145"/>
      <c r="R33" s="145"/>
      <c r="S33" s="145"/>
      <c r="T33" s="152"/>
      <c r="U33" s="145"/>
      <c r="V33" s="145"/>
      <c r="W33" s="145"/>
      <c r="X33" s="145"/>
      <c r="Y33" s="145"/>
      <c r="Z33" s="145"/>
      <c r="AA33" s="145"/>
      <c r="AB33" s="145"/>
      <c r="AC33" s="148"/>
      <c r="AD33" s="148"/>
      <c r="AE33" s="145"/>
      <c r="AF33" s="147">
        <f>SUM(AG33:AJ33)</f>
      </c>
      <c r="AG33" s="145"/>
      <c r="AH33" s="145"/>
      <c r="AI33" s="145"/>
      <c r="AJ33" s="145"/>
      <c r="AK33" s="147">
        <f>SUM(AL33:AW33)</f>
      </c>
      <c r="AL33" s="145"/>
      <c r="AM33" s="145"/>
      <c r="AN33" s="145"/>
      <c r="AO33" s="145"/>
      <c r="AP33" s="145"/>
      <c r="AQ33" s="145"/>
      <c r="AR33" s="145"/>
      <c r="AS33" s="145"/>
      <c r="AT33" s="145"/>
      <c r="AU33" s="145"/>
      <c r="AV33" s="145"/>
      <c r="AW33" s="147"/>
      <c r="AX33" s="145"/>
      <c r="AY33" s="145"/>
      <c r="AZ33" s="145"/>
      <c r="BA33" s="147"/>
      <c r="BB33" s="145"/>
      <c r="BC33" s="145"/>
      <c r="BD33" s="147"/>
      <c r="BE33" s="145"/>
      <c r="BF33" s="145"/>
      <c r="BG33" s="145"/>
      <c r="BH33" s="147">
        <f>SUM(BI33:BK33)</f>
      </c>
      <c r="BI33" s="145"/>
      <c r="BJ33" s="145"/>
      <c r="BK33" s="145"/>
      <c r="BL33" s="145">
        <f>SUM(BM33:BR33)</f>
      </c>
      <c r="BM33" s="145"/>
      <c r="BN33" s="145"/>
      <c r="BO33" s="147"/>
      <c r="BP33" s="145"/>
      <c r="BQ33" s="145"/>
      <c r="BR33" s="145"/>
      <c r="BS33" s="145"/>
      <c r="BT33" s="145"/>
      <c r="BU33" s="147"/>
      <c r="BV33" s="145"/>
      <c r="BW33" s="145"/>
      <c r="BX33" s="145"/>
      <c r="BY33" s="147">
        <f>SUM(BZ33:CB33)</f>
      </c>
      <c r="BZ33" s="145"/>
      <c r="CA33" s="145"/>
      <c r="CB33" s="145"/>
      <c r="CC33" s="145">
        <f>SUM(CD33:CH33)</f>
      </c>
      <c r="CD33" s="145"/>
      <c r="CE33" s="147"/>
      <c r="CF33" s="145"/>
      <c r="CG33" s="145"/>
      <c r="CH33" s="145"/>
      <c r="CI33" s="147"/>
      <c r="CJ33" s="145"/>
      <c r="CK33" s="145"/>
      <c r="CL33" s="145"/>
      <c r="CM33" s="145"/>
      <c r="CN33" s="145"/>
      <c r="CO33" s="145"/>
      <c r="CP33" s="145"/>
      <c r="CQ33" s="147"/>
      <c r="CR33" s="145"/>
      <c r="CS33" s="147"/>
      <c r="CT33" s="147"/>
      <c r="CU33" s="147">
        <f>SUM(CV33:CV33)</f>
      </c>
      <c r="CV33" s="145"/>
      <c r="CW33" s="145"/>
      <c r="CX33" s="145"/>
      <c r="CY33" s="145">
        <f>SUM(CZ33:DE33)</f>
      </c>
      <c r="CZ33" s="145"/>
      <c r="DA33" s="145"/>
      <c r="DB33" s="145"/>
      <c r="DC33" s="150"/>
      <c r="DD33" s="150"/>
      <c r="DE33" s="145"/>
      <c r="DF33" s="145"/>
      <c r="DG33" s="145"/>
      <c r="DH33" s="147"/>
      <c r="DI33" s="145"/>
      <c r="DJ33" s="147"/>
      <c r="DK33" s="145"/>
      <c r="DL33" s="147"/>
      <c r="DM33" s="145"/>
      <c r="DN33" s="145"/>
      <c r="DO33" s="145"/>
      <c r="DP33" s="147"/>
      <c r="DQ33" s="145"/>
      <c r="DR33" s="145"/>
      <c r="DS33" s="145"/>
      <c r="DT33" s="145"/>
      <c r="DU33" s="145">
        <f>SUM(DV33:EE33)</f>
      </c>
      <c r="DV33" s="145"/>
      <c r="DW33" s="145"/>
      <c r="DX33" s="145"/>
      <c r="DY33" s="145"/>
      <c r="DZ33" s="145"/>
      <c r="EA33" s="147"/>
      <c r="EB33" s="145"/>
      <c r="EC33" s="145"/>
      <c r="ED33" s="145"/>
      <c r="EE33" s="145"/>
      <c r="EF33" s="145">
        <f>SUM(EG33:EH33)</f>
      </c>
      <c r="EG33" s="145"/>
      <c r="EH33" s="145"/>
      <c r="EI33" s="151" cm="1">
        <f t="array" ref="EI33">ROW()-ROW(Run[#Headers])</f>
        <v>27</v>
      </c>
    </row>
    <row r="34" spans="2:139" s="79" customFormat="1" ht="11.25" x14ac:dyDescent="0.2">
      <c r="B34" s="4041" t="s">
        <v>1756</v>
      </c>
      <c r="C34" s="4042" t="s">
        <v>1552</v>
      </c>
      <c r="D34" s="145"/>
      <c r="E34" s="147">
        <f>SUM(F34:AE34)</f>
      </c>
      <c r="F34" s="145"/>
      <c r="G34" s="145"/>
      <c r="H34" s="145"/>
      <c r="I34" s="145"/>
      <c r="J34" s="145"/>
      <c r="K34" s="152"/>
      <c r="L34" s="145"/>
      <c r="M34" s="145"/>
      <c r="N34" s="145"/>
      <c r="O34" s="145"/>
      <c r="P34" s="152"/>
      <c r="Q34" s="145"/>
      <c r="R34" s="145"/>
      <c r="S34" s="145"/>
      <c r="T34" s="152"/>
      <c r="U34" s="145"/>
      <c r="V34" s="145"/>
      <c r="W34" s="145"/>
      <c r="X34" s="145"/>
      <c r="Y34" s="145"/>
      <c r="Z34" s="145"/>
      <c r="AA34" s="145"/>
      <c r="AB34" s="145"/>
      <c r="AC34" s="148"/>
      <c r="AD34" s="148"/>
      <c r="AE34" s="145"/>
      <c r="AF34" s="147">
        <f>SUM(AG34:AJ34)</f>
      </c>
      <c r="AG34" s="145"/>
      <c r="AH34" s="145"/>
      <c r="AI34" s="145"/>
      <c r="AJ34" s="145"/>
      <c r="AK34" s="147">
        <f>SUM(AL34:AW34)</f>
      </c>
      <c r="AL34" s="145"/>
      <c r="AM34" s="145"/>
      <c r="AN34" s="145"/>
      <c r="AO34" s="145"/>
      <c r="AP34" s="145"/>
      <c r="AQ34" s="145"/>
      <c r="AR34" s="145"/>
      <c r="AS34" s="145"/>
      <c r="AT34" s="145"/>
      <c r="AU34" s="145"/>
      <c r="AV34" s="145"/>
      <c r="AW34" s="147"/>
      <c r="AX34" s="145"/>
      <c r="AY34" s="145"/>
      <c r="AZ34" s="145"/>
      <c r="BA34" s="147"/>
      <c r="BB34" s="145"/>
      <c r="BC34" s="145"/>
      <c r="BD34" s="147"/>
      <c r="BE34" s="145"/>
      <c r="BF34" s="145"/>
      <c r="BG34" s="145"/>
      <c r="BH34" s="147">
        <f>SUM(BI34:BK34)</f>
      </c>
      <c r="BI34" s="145"/>
      <c r="BJ34" s="145"/>
      <c r="BK34" s="145"/>
      <c r="BL34" s="145">
        <f>SUM(BM34:BR34)</f>
      </c>
      <c r="BM34" s="145"/>
      <c r="BN34" s="145"/>
      <c r="BO34" s="147"/>
      <c r="BP34" s="145"/>
      <c r="BQ34" s="145"/>
      <c r="BR34" s="145"/>
      <c r="BS34" s="145"/>
      <c r="BT34" s="145"/>
      <c r="BU34" s="147"/>
      <c r="BV34" s="145"/>
      <c r="BW34" s="145"/>
      <c r="BX34" s="145"/>
      <c r="BY34" s="147">
        <f>SUM(BZ34:CB34)</f>
      </c>
      <c r="BZ34" s="145"/>
      <c r="CA34" s="145"/>
      <c r="CB34" s="145"/>
      <c r="CC34" s="145">
        <f>SUM(CD34:CH34)</f>
      </c>
      <c r="CD34" s="145"/>
      <c r="CE34" s="147"/>
      <c r="CF34" s="145"/>
      <c r="CG34" s="145"/>
      <c r="CH34" s="145"/>
      <c r="CI34" s="147"/>
      <c r="CJ34" s="145"/>
      <c r="CK34" s="145"/>
      <c r="CL34" s="145"/>
      <c r="CM34" s="145"/>
      <c r="CN34" s="145"/>
      <c r="CO34" s="145"/>
      <c r="CP34" s="145"/>
      <c r="CQ34" s="147"/>
      <c r="CR34" s="145"/>
      <c r="CS34" s="147"/>
      <c r="CT34" s="147"/>
      <c r="CU34" s="147">
        <f>SUM(CV34:CV34)</f>
      </c>
      <c r="CV34" s="145"/>
      <c r="CW34" s="145"/>
      <c r="CX34" s="145"/>
      <c r="CY34" s="145">
        <f>SUM(CZ34:DE34)</f>
      </c>
      <c r="CZ34" s="145"/>
      <c r="DA34" s="145"/>
      <c r="DB34" s="145"/>
      <c r="DC34" s="150"/>
      <c r="DD34" s="150"/>
      <c r="DE34" s="145"/>
      <c r="DF34" s="145"/>
      <c r="DG34" s="145"/>
      <c r="DH34" s="147"/>
      <c r="DI34" s="145"/>
      <c r="DJ34" s="147"/>
      <c r="DK34" s="145"/>
      <c r="DL34" s="147"/>
      <c r="DM34" s="145"/>
      <c r="DN34" s="145"/>
      <c r="DO34" s="145"/>
      <c r="DP34" s="147"/>
      <c r="DQ34" s="145"/>
      <c r="DR34" s="145"/>
      <c r="DS34" s="145"/>
      <c r="DT34" s="145"/>
      <c r="DU34" s="145">
        <f>SUM(DV34:EE34)</f>
      </c>
      <c r="DV34" s="145"/>
      <c r="DW34" s="145"/>
      <c r="DX34" s="145"/>
      <c r="DY34" s="145"/>
      <c r="DZ34" s="145"/>
      <c r="EA34" s="147"/>
      <c r="EB34" s="145"/>
      <c r="EC34" s="145"/>
      <c r="ED34" s="145"/>
      <c r="EE34" s="145"/>
      <c r="EF34" s="145">
        <f>SUM(EG34:EH34)</f>
      </c>
      <c r="EG34" s="145"/>
      <c r="EH34" s="145"/>
      <c r="EI34" s="151" cm="1">
        <f t="array" ref="EI34">ROW()-ROW(Run[#Headers])</f>
        <v>28</v>
      </c>
    </row>
    <row r="35" spans="2:139" s="79" customFormat="1" ht="11.25" x14ac:dyDescent="0.2">
      <c r="B35" s="4294" t="s">
        <v>1780</v>
      </c>
      <c r="C35" s="4295" t="s">
        <v>1577</v>
      </c>
      <c r="D35" s="145"/>
      <c r="E35" s="147">
        <f>SUM(F35:AE35)</f>
      </c>
      <c r="F35" s="145"/>
      <c r="G35" s="145"/>
      <c r="H35" s="145"/>
      <c r="I35" s="145"/>
      <c r="J35" s="145"/>
      <c r="K35" s="152"/>
      <c r="L35" s="145"/>
      <c r="M35" s="145"/>
      <c r="N35" s="145"/>
      <c r="O35" s="145"/>
      <c r="P35" s="152"/>
      <c r="Q35" s="145"/>
      <c r="R35" s="145"/>
      <c r="S35" s="145"/>
      <c r="T35" s="152"/>
      <c r="U35" s="145"/>
      <c r="V35" s="145"/>
      <c r="W35" s="145"/>
      <c r="X35" s="145"/>
      <c r="Y35" s="145"/>
      <c r="Z35" s="145"/>
      <c r="AA35" s="145"/>
      <c r="AB35" s="145"/>
      <c r="AC35" s="4296" t="n">
        <v>1069.6</v>
      </c>
      <c r="AD35" s="148"/>
      <c r="AE35" s="145"/>
      <c r="AF35" s="147">
        <f>SUM(AG35:AJ35)</f>
      </c>
      <c r="AG35" s="145"/>
      <c r="AH35" s="145"/>
      <c r="AI35" s="145"/>
      <c r="AJ35" s="145"/>
      <c r="AK35" s="147">
        <f>SUM(AL35:AW35)</f>
      </c>
      <c r="AL35" s="145"/>
      <c r="AM35" s="145"/>
      <c r="AN35" s="145"/>
      <c r="AO35" s="145"/>
      <c r="AP35" s="145"/>
      <c r="AQ35" s="145"/>
      <c r="AR35" s="145"/>
      <c r="AS35" s="145"/>
      <c r="AT35" s="145"/>
      <c r="AU35" s="145"/>
      <c r="AV35" s="145"/>
      <c r="AW35" s="147"/>
      <c r="AX35" s="145"/>
      <c r="AY35" s="145"/>
      <c r="AZ35" s="145"/>
      <c r="BA35" s="147"/>
      <c r="BB35" s="145"/>
      <c r="BC35" s="145"/>
      <c r="BD35" s="147"/>
      <c r="BE35" s="145"/>
      <c r="BF35" s="145"/>
      <c r="BG35" s="145"/>
      <c r="BH35" s="147">
        <f>SUM(BI35:BK35)</f>
      </c>
      <c r="BI35" s="145"/>
      <c r="BJ35" s="145"/>
      <c r="BK35" s="145"/>
      <c r="BL35" s="145">
        <f>SUM(BM35:BR35)</f>
      </c>
      <c r="BM35" s="145"/>
      <c r="BN35" s="145"/>
      <c r="BO35" s="147"/>
      <c r="BP35" s="145"/>
      <c r="BQ35" s="145"/>
      <c r="BR35" s="145"/>
      <c r="BS35" s="145"/>
      <c r="BT35" s="145"/>
      <c r="BU35" s="147"/>
      <c r="BV35" s="145"/>
      <c r="BW35" s="145"/>
      <c r="BX35" s="145"/>
      <c r="BY35" s="147">
        <f>SUM(BZ35:CB35)</f>
      </c>
      <c r="BZ35" s="145"/>
      <c r="CA35" s="145"/>
      <c r="CB35" s="145"/>
      <c r="CC35" s="145">
        <f>SUM(CD35:CH35)</f>
      </c>
      <c r="CD35" s="145"/>
      <c r="CE35" s="147"/>
      <c r="CF35" s="145"/>
      <c r="CG35" s="145"/>
      <c r="CH35" s="145"/>
      <c r="CI35" s="147"/>
      <c r="CJ35" s="145"/>
      <c r="CK35" s="145"/>
      <c r="CL35" s="145"/>
      <c r="CM35" s="145"/>
      <c r="CN35" s="145"/>
      <c r="CO35" s="145"/>
      <c r="CP35" s="145"/>
      <c r="CQ35" s="147"/>
      <c r="CR35" s="145"/>
      <c r="CS35" s="147"/>
      <c r="CT35" s="147"/>
      <c r="CU35" s="147">
        <f>SUM(CV35:CV35)</f>
      </c>
      <c r="CV35" s="145"/>
      <c r="CW35" s="145"/>
      <c r="CX35" s="145"/>
      <c r="CY35" s="145">
        <f>SUM(CZ35:DE35)</f>
      </c>
      <c r="CZ35" s="145"/>
      <c r="DA35" s="145"/>
      <c r="DB35" s="145"/>
      <c r="DC35" s="150"/>
      <c r="DD35" s="150"/>
      <c r="DE35" s="145"/>
      <c r="DF35" s="145"/>
      <c r="DG35" s="145"/>
      <c r="DH35" s="147"/>
      <c r="DI35" s="145"/>
      <c r="DJ35" s="147"/>
      <c r="DK35" s="145"/>
      <c r="DL35" s="147"/>
      <c r="DM35" s="145"/>
      <c r="DN35" s="145"/>
      <c r="DO35" s="145"/>
      <c r="DP35" s="147"/>
      <c r="DQ35" s="145"/>
      <c r="DR35" s="145"/>
      <c r="DS35" s="145"/>
      <c r="DT35" s="145"/>
      <c r="DU35" s="145">
        <f>SUM(DV35:EE35)</f>
      </c>
      <c r="DV35" s="145"/>
      <c r="DW35" s="145"/>
      <c r="DX35" s="145"/>
      <c r="DY35" s="145"/>
      <c r="DZ35" s="145"/>
      <c r="EA35" s="147"/>
      <c r="EB35" s="145"/>
      <c r="EC35" s="145"/>
      <c r="ED35" s="145"/>
      <c r="EE35" s="145"/>
      <c r="EF35" s="145">
        <f>SUM(EG35:EH35)</f>
      </c>
      <c r="EG35" s="145"/>
      <c r="EH35" s="145"/>
      <c r="EI35" s="151" cm="1">
        <f t="array" ref="EI35">ROW()-ROW(Run[#Headers])</f>
        <v>29</v>
      </c>
    </row>
    <row r="36" spans="2:139" s="79" customFormat="1" ht="11.25" x14ac:dyDescent="0.2">
      <c r="B36" s="4329" t="s">
        <v>1766</v>
      </c>
      <c r="C36" s="4330" t="s">
        <v>1563</v>
      </c>
      <c r="D36" s="145"/>
      <c r="E36" s="147">
        <f>SUM(F36:AE36)</f>
      </c>
      <c r="F36" s="145"/>
      <c r="G36" s="145"/>
      <c r="H36" s="145"/>
      <c r="I36" s="145"/>
      <c r="J36" s="145"/>
      <c r="K36" s="152"/>
      <c r="L36" s="145"/>
      <c r="M36" s="145"/>
      <c r="N36" s="145"/>
      <c r="O36" s="145"/>
      <c r="P36" s="152"/>
      <c r="Q36" s="145"/>
      <c r="R36" s="145"/>
      <c r="S36" s="145"/>
      <c r="T36" s="152"/>
      <c r="U36" s="4331" t="n">
        <v>600.0</v>
      </c>
      <c r="V36" s="145"/>
      <c r="W36" s="145"/>
      <c r="X36" s="145"/>
      <c r="Y36" s="145"/>
      <c r="Z36" s="145"/>
      <c r="AA36" s="145"/>
      <c r="AB36" s="145"/>
      <c r="AC36" s="148"/>
      <c r="AD36" s="148"/>
      <c r="AE36" s="145"/>
      <c r="AF36" s="147">
        <f>SUM(AG36:AJ36)</f>
      </c>
      <c r="AG36" s="145"/>
      <c r="AH36" s="145"/>
      <c r="AI36" s="145"/>
      <c r="AJ36" s="145"/>
      <c r="AK36" s="147">
        <f>SUM(AL36:AW36)</f>
      </c>
      <c r="AL36" s="145"/>
      <c r="AM36" s="145"/>
      <c r="AN36" s="145"/>
      <c r="AO36" s="145"/>
      <c r="AP36" s="145"/>
      <c r="AQ36" s="145"/>
      <c r="AR36" s="145"/>
      <c r="AS36" s="145"/>
      <c r="AT36" s="145"/>
      <c r="AU36" s="145"/>
      <c r="AV36" s="145"/>
      <c r="AW36" s="147"/>
      <c r="AX36" s="145"/>
      <c r="AY36" s="145"/>
      <c r="AZ36" s="145"/>
      <c r="BA36" s="147"/>
      <c r="BB36" s="145"/>
      <c r="BC36" s="145"/>
      <c r="BD36" s="147"/>
      <c r="BE36" s="145"/>
      <c r="BF36" s="145"/>
      <c r="BG36" s="145"/>
      <c r="BH36" s="147">
        <f>SUM(BI36:BK36)</f>
      </c>
      <c r="BI36" s="145"/>
      <c r="BJ36" s="145"/>
      <c r="BK36" s="145"/>
      <c r="BL36" s="145">
        <f>SUM(BM36:BR36)</f>
      </c>
      <c r="BM36" s="145"/>
      <c r="BN36" s="145"/>
      <c r="BO36" s="147"/>
      <c r="BP36" s="145"/>
      <c r="BQ36" s="145"/>
      <c r="BR36" s="145"/>
      <c r="BS36" s="145"/>
      <c r="BT36" s="145"/>
      <c r="BU36" s="147"/>
      <c r="BV36" s="145"/>
      <c r="BW36" s="145"/>
      <c r="BX36" s="145"/>
      <c r="BY36" s="147">
        <f>SUM(BZ36:CB36)</f>
      </c>
      <c r="BZ36" s="145"/>
      <c r="CA36" s="145"/>
      <c r="CB36" s="145"/>
      <c r="CC36" s="145">
        <f>SUM(CD36:CH36)</f>
      </c>
      <c r="CD36" s="145"/>
      <c r="CE36" s="147"/>
      <c r="CF36" s="145"/>
      <c r="CG36" s="145"/>
      <c r="CH36" s="145"/>
      <c r="CI36" s="147"/>
      <c r="CJ36" s="145"/>
      <c r="CK36" s="145"/>
      <c r="CL36" s="145"/>
      <c r="CM36" s="145"/>
      <c r="CN36" s="145"/>
      <c r="CO36" s="145"/>
      <c r="CP36" s="145"/>
      <c r="CQ36" s="147"/>
      <c r="CR36" s="145"/>
      <c r="CS36" s="147"/>
      <c r="CT36" s="147"/>
      <c r="CU36" s="147">
        <f>SUM(CV36:CV36)</f>
      </c>
      <c r="CV36" s="145"/>
      <c r="CW36" s="145"/>
      <c r="CX36" s="145"/>
      <c r="CY36" s="145">
        <f>SUM(CZ36:DE36)</f>
      </c>
      <c r="CZ36" s="145"/>
      <c r="DA36" s="145"/>
      <c r="DB36" s="145"/>
      <c r="DC36" s="150"/>
      <c r="DD36" s="150"/>
      <c r="DE36" s="145"/>
      <c r="DF36" s="145"/>
      <c r="DG36" s="145"/>
      <c r="DH36" s="147"/>
      <c r="DI36" s="145"/>
      <c r="DJ36" s="147"/>
      <c r="DK36" s="145"/>
      <c r="DL36" s="147"/>
      <c r="DM36" s="145"/>
      <c r="DN36" s="145"/>
      <c r="DO36" s="145"/>
      <c r="DP36" s="147"/>
      <c r="DQ36" s="145"/>
      <c r="DR36" s="145"/>
      <c r="DS36" s="145"/>
      <c r="DT36" s="145"/>
      <c r="DU36" s="145">
        <f>SUM(DV36:EE36)</f>
      </c>
      <c r="DV36" s="145"/>
      <c r="DW36" s="145"/>
      <c r="DX36" s="145"/>
      <c r="DY36" s="145"/>
      <c r="DZ36" s="145"/>
      <c r="EA36" s="147"/>
      <c r="EB36" s="145"/>
      <c r="EC36" s="145"/>
      <c r="ED36" s="145"/>
      <c r="EE36" s="145"/>
      <c r="EF36" s="145">
        <f>SUM(EG36:EH36)</f>
      </c>
      <c r="EG36" s="145"/>
      <c r="EH36" s="145"/>
      <c r="EI36" s="151" cm="1">
        <f t="array" ref="EI36">ROW()-ROW(Run[#Headers])</f>
        <v>30</v>
      </c>
    </row>
    <row r="37" spans="2:139" s="79" customFormat="1" ht="11.25" x14ac:dyDescent="0.2">
      <c r="B37" s="4360" t="s">
        <v>1785</v>
      </c>
      <c r="C37" s="4361" t="s">
        <v>1582</v>
      </c>
      <c r="D37" s="145"/>
      <c r="E37" s="147">
        <f>SUM(F37:AE37)</f>
      </c>
      <c r="F37" s="145"/>
      <c r="G37" s="145"/>
      <c r="H37" s="145"/>
      <c r="I37" s="145"/>
      <c r="J37" s="145"/>
      <c r="K37" s="152"/>
      <c r="L37" s="145"/>
      <c r="M37" s="145"/>
      <c r="N37" s="145"/>
      <c r="O37" s="145"/>
      <c r="P37" s="152"/>
      <c r="Q37" s="145"/>
      <c r="R37" s="145"/>
      <c r="S37" s="145"/>
      <c r="T37" s="152"/>
      <c r="U37" s="4362" t="n">
        <v>572.0</v>
      </c>
      <c r="V37" s="145"/>
      <c r="W37" s="145"/>
      <c r="X37" s="145"/>
      <c r="Y37" s="145"/>
      <c r="Z37" s="145"/>
      <c r="AA37" s="145"/>
      <c r="AB37" s="145"/>
      <c r="AC37" s="148"/>
      <c r="AD37" s="148"/>
      <c r="AE37" s="145"/>
      <c r="AF37" s="147">
        <f>SUM(AG37:AJ37)</f>
      </c>
      <c r="AG37" s="145"/>
      <c r="AH37" s="145"/>
      <c r="AI37" s="145"/>
      <c r="AJ37" s="145"/>
      <c r="AK37" s="147">
        <f>SUM(AL37:AW37)</f>
      </c>
      <c r="AL37" s="145"/>
      <c r="AM37" s="145"/>
      <c r="AN37" s="145"/>
      <c r="AO37" s="145"/>
      <c r="AP37" s="145"/>
      <c r="AQ37" s="145"/>
      <c r="AR37" s="145"/>
      <c r="AS37" s="145"/>
      <c r="AT37" s="145"/>
      <c r="AU37" s="145"/>
      <c r="AV37" s="145"/>
      <c r="AW37" s="147"/>
      <c r="AX37" s="145"/>
      <c r="AY37" s="145"/>
      <c r="AZ37" s="145"/>
      <c r="BA37" s="147"/>
      <c r="BB37" s="145"/>
      <c r="BC37" s="145"/>
      <c r="BD37" s="147"/>
      <c r="BE37" s="145"/>
      <c r="BF37" s="145"/>
      <c r="BG37" s="145"/>
      <c r="BH37" s="147">
        <f>SUM(BI37:BK37)</f>
      </c>
      <c r="BI37" s="145"/>
      <c r="BJ37" s="145"/>
      <c r="BK37" s="145"/>
      <c r="BL37" s="145">
        <f>SUM(BM37:BR37)</f>
      </c>
      <c r="BM37" s="145"/>
      <c r="BN37" s="145"/>
      <c r="BO37" s="147"/>
      <c r="BP37" s="145"/>
      <c r="BQ37" s="145"/>
      <c r="BR37" s="145"/>
      <c r="BS37" s="145"/>
      <c r="BT37" s="145"/>
      <c r="BU37" s="147"/>
      <c r="BV37" s="145"/>
      <c r="BW37" s="145"/>
      <c r="BX37" s="145"/>
      <c r="BY37" s="147">
        <f>SUM(BZ37:CB37)</f>
      </c>
      <c r="BZ37" s="145"/>
      <c r="CA37" s="145"/>
      <c r="CB37" s="145"/>
      <c r="CC37" s="145">
        <f>SUM(CD37:CH37)</f>
      </c>
      <c r="CD37" s="145"/>
      <c r="CE37" s="147"/>
      <c r="CF37" s="145"/>
      <c r="CG37" s="145"/>
      <c r="CH37" s="145"/>
      <c r="CI37" s="147"/>
      <c r="CJ37" s="145"/>
      <c r="CK37" s="145"/>
      <c r="CL37" s="145"/>
      <c r="CM37" s="145"/>
      <c r="CN37" s="145"/>
      <c r="CO37" s="145"/>
      <c r="CP37" s="145"/>
      <c r="CQ37" s="147"/>
      <c r="CR37" s="145"/>
      <c r="CS37" s="147"/>
      <c r="CT37" s="147"/>
      <c r="CU37" s="147">
        <f>SUM(CV37:CV37)</f>
      </c>
      <c r="CV37" s="145"/>
      <c r="CW37" s="145"/>
      <c r="CX37" s="145"/>
      <c r="CY37" s="145">
        <f>SUM(CZ37:DE37)</f>
      </c>
      <c r="CZ37" s="145"/>
      <c r="DA37" s="145"/>
      <c r="DB37" s="145"/>
      <c r="DC37" s="150"/>
      <c r="DD37" s="150"/>
      <c r="DE37" s="145"/>
      <c r="DF37" s="145"/>
      <c r="DG37" s="145"/>
      <c r="DH37" s="147"/>
      <c r="DI37" s="145"/>
      <c r="DJ37" s="147"/>
      <c r="DK37" s="145"/>
      <c r="DL37" s="147"/>
      <c r="DM37" s="145"/>
      <c r="DN37" s="145"/>
      <c r="DO37" s="145"/>
      <c r="DP37" s="147"/>
      <c r="DQ37" s="145"/>
      <c r="DR37" s="145"/>
      <c r="DS37" s="145"/>
      <c r="DT37" s="145"/>
      <c r="DU37" s="145">
        <f>SUM(DV37:EE37)</f>
      </c>
      <c r="DV37" s="145"/>
      <c r="DW37" s="145"/>
      <c r="DX37" s="145"/>
      <c r="DY37" s="145"/>
      <c r="DZ37" s="145"/>
      <c r="EA37" s="147"/>
      <c r="EB37" s="145"/>
      <c r="EC37" s="145"/>
      <c r="ED37" s="145"/>
      <c r="EE37" s="145"/>
      <c r="EF37" s="145">
        <f>SUM(EG37:EH37)</f>
      </c>
      <c r="EG37" s="145"/>
      <c r="EH37" s="145"/>
      <c r="EI37" s="151" cm="1">
        <f t="array" ref="EI37">ROW()-ROW(Run[#Headers])</f>
        <v>31</v>
      </c>
    </row>
    <row r="38" spans="2:139" s="79" customFormat="1" ht="11.25" x14ac:dyDescent="0.2">
      <c r="B38" s="4391" t="s">
        <v>1764</v>
      </c>
      <c r="C38" s="4392" t="s">
        <v>1561</v>
      </c>
      <c r="D38" s="145"/>
      <c r="E38" s="147">
        <f>SUM(F38:AE38)</f>
      </c>
      <c r="F38" s="145"/>
      <c r="G38" s="145"/>
      <c r="H38" s="145"/>
      <c r="I38" s="145"/>
      <c r="J38" s="145"/>
      <c r="K38" s="152"/>
      <c r="L38" s="145"/>
      <c r="M38" s="145"/>
      <c r="N38" s="145"/>
      <c r="O38" s="145"/>
      <c r="P38" s="152"/>
      <c r="Q38" s="145"/>
      <c r="R38" s="145"/>
      <c r="S38" s="145"/>
      <c r="T38" s="152"/>
      <c r="U38" s="4393" t="n">
        <v>600.0</v>
      </c>
      <c r="V38" s="145"/>
      <c r="W38" s="145"/>
      <c r="X38" s="145"/>
      <c r="Y38" s="145"/>
      <c r="Z38" s="145"/>
      <c r="AA38" s="145"/>
      <c r="AB38" s="145"/>
      <c r="AC38" s="148"/>
      <c r="AD38" s="148"/>
      <c r="AE38" s="145"/>
      <c r="AF38" s="147">
        <f>SUM(AG38:AJ38)</f>
      </c>
      <c r="AG38" s="145"/>
      <c r="AH38" s="145"/>
      <c r="AI38" s="145"/>
      <c r="AJ38" s="145"/>
      <c r="AK38" s="147">
        <f>SUM(AL38:AW38)</f>
      </c>
      <c r="AL38" s="145"/>
      <c r="AM38" s="145"/>
      <c r="AN38" s="145"/>
      <c r="AO38" s="145"/>
      <c r="AP38" s="145"/>
      <c r="AQ38" s="145"/>
      <c r="AR38" s="145"/>
      <c r="AS38" s="145"/>
      <c r="AT38" s="145"/>
      <c r="AU38" s="145"/>
      <c r="AV38" s="145"/>
      <c r="AW38" s="147"/>
      <c r="AX38" s="145"/>
      <c r="AY38" s="145"/>
      <c r="AZ38" s="145"/>
      <c r="BA38" s="147"/>
      <c r="BB38" s="145"/>
      <c r="BC38" s="145"/>
      <c r="BD38" s="147"/>
      <c r="BE38" s="145"/>
      <c r="BF38" s="145"/>
      <c r="BG38" s="145"/>
      <c r="BH38" s="147">
        <f>SUM(BI38:BK38)</f>
      </c>
      <c r="BI38" s="145"/>
      <c r="BJ38" s="145"/>
      <c r="BK38" s="145"/>
      <c r="BL38" s="145">
        <f>SUM(BM38:BR38)</f>
      </c>
      <c r="BM38" s="145"/>
      <c r="BN38" s="145"/>
      <c r="BO38" s="147"/>
      <c r="BP38" s="145"/>
      <c r="BQ38" s="145"/>
      <c r="BR38" s="145"/>
      <c r="BS38" s="145"/>
      <c r="BT38" s="145"/>
      <c r="BU38" s="147"/>
      <c r="BV38" s="145"/>
      <c r="BW38" s="145"/>
      <c r="BX38" s="145"/>
      <c r="BY38" s="147">
        <f>SUM(BZ38:CB38)</f>
      </c>
      <c r="BZ38" s="145"/>
      <c r="CA38" s="145"/>
      <c r="CB38" s="145"/>
      <c r="CC38" s="145">
        <f>SUM(CD38:CH38)</f>
      </c>
      <c r="CD38" s="145"/>
      <c r="CE38" s="147"/>
      <c r="CF38" s="145"/>
      <c r="CG38" s="145"/>
      <c r="CH38" s="145"/>
      <c r="CI38" s="147"/>
      <c r="CJ38" s="145"/>
      <c r="CK38" s="145"/>
      <c r="CL38" s="145"/>
      <c r="CM38" s="145"/>
      <c r="CN38" s="145"/>
      <c r="CO38" s="145"/>
      <c r="CP38" s="145"/>
      <c r="CQ38" s="147"/>
      <c r="CR38" s="145"/>
      <c r="CS38" s="147"/>
      <c r="CT38" s="147"/>
      <c r="CU38" s="147">
        <f>SUM(CV38:CV38)</f>
      </c>
      <c r="CV38" s="145"/>
      <c r="CW38" s="145"/>
      <c r="CX38" s="145"/>
      <c r="CY38" s="145">
        <f>SUM(CZ38:DE38)</f>
      </c>
      <c r="CZ38" s="145"/>
      <c r="DA38" s="145"/>
      <c r="DB38" s="145"/>
      <c r="DC38" s="150"/>
      <c r="DD38" s="150"/>
      <c r="DE38" s="145"/>
      <c r="DF38" s="145"/>
      <c r="DG38" s="145"/>
      <c r="DH38" s="147"/>
      <c r="DI38" s="145"/>
      <c r="DJ38" s="147"/>
      <c r="DK38" s="145"/>
      <c r="DL38" s="147"/>
      <c r="DM38" s="145"/>
      <c r="DN38" s="145"/>
      <c r="DO38" s="145"/>
      <c r="DP38" s="147"/>
      <c r="DQ38" s="145"/>
      <c r="DR38" s="145"/>
      <c r="DS38" s="145"/>
      <c r="DT38" s="145"/>
      <c r="DU38" s="145">
        <f>SUM(DV38:EE38)</f>
      </c>
      <c r="DV38" s="145"/>
      <c r="DW38" s="145"/>
      <c r="DX38" s="145"/>
      <c r="DY38" s="145"/>
      <c r="DZ38" s="145"/>
      <c r="EA38" s="147"/>
      <c r="EB38" s="145"/>
      <c r="EC38" s="145"/>
      <c r="ED38" s="145"/>
      <c r="EE38" s="145"/>
      <c r="EF38" s="145">
        <f>SUM(EG38:EH38)</f>
      </c>
      <c r="EG38" s="145"/>
      <c r="EH38" s="145"/>
      <c r="EI38" s="151" cm="1">
        <f t="array" ref="EI38">ROW()-ROW(Run[#Headers])</f>
        <v>32</v>
      </c>
    </row>
    <row r="39" spans="2:139" s="79" customFormat="1" ht="11.25" x14ac:dyDescent="0.2">
      <c r="B39" s="4409" t="s">
        <v>1754</v>
      </c>
      <c r="C39" s="4410" t="s">
        <v>1550</v>
      </c>
      <c r="D39" s="145"/>
      <c r="E39" s="147">
        <f>SUM(F39:AE39)</f>
      </c>
      <c r="F39" s="145"/>
      <c r="G39" s="145"/>
      <c r="H39" s="145"/>
      <c r="I39" s="145"/>
      <c r="J39" s="145"/>
      <c r="K39" s="152"/>
      <c r="L39" s="145"/>
      <c r="M39" s="4411" t="n">
        <v>3224.0</v>
      </c>
      <c r="N39" s="145"/>
      <c r="O39" s="145"/>
      <c r="P39" s="152"/>
      <c r="Q39" s="145"/>
      <c r="R39" s="145"/>
      <c r="S39" s="145"/>
      <c r="T39" s="152"/>
      <c r="U39" s="145"/>
      <c r="V39" s="145"/>
      <c r="W39" s="145"/>
      <c r="X39" s="145"/>
      <c r="Y39" s="145"/>
      <c r="Z39" s="145"/>
      <c r="AA39" s="145"/>
      <c r="AB39" s="145"/>
      <c r="AC39" s="148"/>
      <c r="AD39" s="148"/>
      <c r="AE39" s="145"/>
      <c r="AF39" s="147">
        <f>SUM(AG39:AJ39)</f>
      </c>
      <c r="AG39" s="145"/>
      <c r="AH39" s="145"/>
      <c r="AI39" s="145"/>
      <c r="AJ39" s="145"/>
      <c r="AK39" s="147">
        <f>SUM(AL39:AW39)</f>
      </c>
      <c r="AL39" s="145"/>
      <c r="AM39" s="145"/>
      <c r="AN39" s="145"/>
      <c r="AO39" s="145"/>
      <c r="AP39" s="145"/>
      <c r="AQ39" s="145"/>
      <c r="AR39" s="145"/>
      <c r="AS39" s="145"/>
      <c r="AT39" s="145"/>
      <c r="AU39" s="145"/>
      <c r="AV39" s="145"/>
      <c r="AW39" s="147"/>
      <c r="AX39" s="145"/>
      <c r="AY39" s="145"/>
      <c r="AZ39" s="145"/>
      <c r="BA39" s="147"/>
      <c r="BB39" s="145"/>
      <c r="BC39" s="145"/>
      <c r="BD39" s="147"/>
      <c r="BE39" s="145"/>
      <c r="BF39" s="145"/>
      <c r="BG39" s="145"/>
      <c r="BH39" s="147">
        <f>SUM(BI39:BK39)</f>
      </c>
      <c r="BI39" s="145"/>
      <c r="BJ39" s="145"/>
      <c r="BK39" s="145"/>
      <c r="BL39" s="145">
        <f>SUM(BM39:BR39)</f>
      </c>
      <c r="BM39" s="145"/>
      <c r="BN39" s="145"/>
      <c r="BO39" s="147"/>
      <c r="BP39" s="145"/>
      <c r="BQ39" s="145"/>
      <c r="BR39" s="145"/>
      <c r="BS39" s="145"/>
      <c r="BT39" s="145"/>
      <c r="BU39" s="147"/>
      <c r="BV39" s="145"/>
      <c r="BW39" s="145"/>
      <c r="BX39" s="145"/>
      <c r="BY39" s="147">
        <f>SUM(BZ39:CB39)</f>
      </c>
      <c r="BZ39" s="145"/>
      <c r="CA39" s="145"/>
      <c r="CB39" s="145"/>
      <c r="CC39" s="145">
        <f>SUM(CD39:CH39)</f>
      </c>
      <c r="CD39" s="145"/>
      <c r="CE39" s="147"/>
      <c r="CF39" s="145"/>
      <c r="CG39" s="145"/>
      <c r="CH39" s="145"/>
      <c r="CI39" s="147"/>
      <c r="CJ39" s="145"/>
      <c r="CK39" s="145"/>
      <c r="CL39" s="145"/>
      <c r="CM39" s="145"/>
      <c r="CN39" s="145"/>
      <c r="CO39" s="145"/>
      <c r="CP39" s="145"/>
      <c r="CQ39" s="147"/>
      <c r="CR39" s="145"/>
      <c r="CS39" s="147"/>
      <c r="CT39" s="147"/>
      <c r="CU39" s="147">
        <f>SUM(CV39:CV39)</f>
      </c>
      <c r="CV39" s="145"/>
      <c r="CW39" s="145"/>
      <c r="CX39" s="145"/>
      <c r="CY39" s="145">
        <f>SUM(CZ39:DE39)</f>
      </c>
      <c r="CZ39" s="145"/>
      <c r="DA39" s="145"/>
      <c r="DB39" s="145"/>
      <c r="DC39" s="150"/>
      <c r="DD39" s="150"/>
      <c r="DE39" s="145"/>
      <c r="DF39" s="145"/>
      <c r="DG39" s="145"/>
      <c r="DH39" s="147"/>
      <c r="DI39" s="145"/>
      <c r="DJ39" s="147"/>
      <c r="DK39" s="145"/>
      <c r="DL39" s="147"/>
      <c r="DM39" s="145"/>
      <c r="DN39" s="145"/>
      <c r="DO39" s="145"/>
      <c r="DP39" s="147"/>
      <c r="DQ39" s="145"/>
      <c r="DR39" s="145"/>
      <c r="DS39" s="145"/>
      <c r="DT39" s="145"/>
      <c r="DU39" s="145">
        <f>SUM(DV39:EE39)</f>
      </c>
      <c r="DV39" s="145"/>
      <c r="DW39" s="145"/>
      <c r="DX39" s="145"/>
      <c r="DY39" s="145"/>
      <c r="DZ39" s="145"/>
      <c r="EA39" s="147"/>
      <c r="EB39" s="145"/>
      <c r="EC39" s="145"/>
      <c r="ED39" s="145"/>
      <c r="EE39" s="145"/>
      <c r="EF39" s="145">
        <f>SUM(EG39:EH39)</f>
      </c>
      <c r="EG39" s="145"/>
      <c r="EH39" s="145"/>
      <c r="EI39" s="151" cm="1">
        <f t="array" ref="EI39">ROW()-ROW(Run[#Headers])</f>
        <v>33</v>
      </c>
    </row>
    <row r="40" spans="2:139" s="79" customFormat="1" ht="11.25" x14ac:dyDescent="0.2">
      <c r="B40" s="4682" t="s">
        <v>1775</v>
      </c>
      <c r="C40" s="4683" t="s">
        <v>895</v>
      </c>
      <c r="D40" s="145"/>
      <c r="E40" s="147">
        <f>SUM(F40:AE40)</f>
      </c>
      <c r="F40" s="145"/>
      <c r="G40" s="145"/>
      <c r="H40" s="145"/>
      <c r="I40" s="145"/>
      <c r="J40" s="145"/>
      <c r="K40" s="152"/>
      <c r="L40" s="145"/>
      <c r="M40" s="145"/>
      <c r="N40" s="145"/>
      <c r="O40" s="145"/>
      <c r="P40" s="152"/>
      <c r="Q40" s="145"/>
      <c r="R40" s="145"/>
      <c r="S40" s="145"/>
      <c r="T40" s="152"/>
      <c r="U40" s="145"/>
      <c r="V40" s="145"/>
      <c r="W40" s="145"/>
      <c r="X40" s="145"/>
      <c r="Y40" s="145"/>
      <c r="Z40" s="145"/>
      <c r="AA40" s="145"/>
      <c r="AB40" s="4684" t="n">
        <v>400.0</v>
      </c>
      <c r="AC40" s="148"/>
      <c r="AD40" s="148"/>
      <c r="AE40" s="145"/>
      <c r="AF40" s="147">
        <f>SUM(AG40:AJ40)</f>
      </c>
      <c r="AG40" s="145"/>
      <c r="AH40" s="145"/>
      <c r="AI40" s="145"/>
      <c r="AJ40" s="145"/>
      <c r="AK40" s="147">
        <f>SUM(AL40:AW40)</f>
      </c>
      <c r="AL40" s="145"/>
      <c r="AM40" s="145"/>
      <c r="AN40" s="145"/>
      <c r="AO40" s="145"/>
      <c r="AP40" s="145"/>
      <c r="AQ40" s="145"/>
      <c r="AR40" s="145"/>
      <c r="AS40" s="145"/>
      <c r="AT40" s="145"/>
      <c r="AU40" s="145"/>
      <c r="AV40" s="145"/>
      <c r="AW40" s="147"/>
      <c r="AX40" s="145"/>
      <c r="AY40" s="145"/>
      <c r="AZ40" s="145"/>
      <c r="BA40" s="147"/>
      <c r="BB40" s="145"/>
      <c r="BC40" s="145"/>
      <c r="BD40" s="147"/>
      <c r="BE40" s="145"/>
      <c r="BF40" s="145"/>
      <c r="BG40" s="145"/>
      <c r="BH40" s="147">
        <f>SUM(BI40:BK40)</f>
      </c>
      <c r="BI40" s="145"/>
      <c r="BJ40" s="145"/>
      <c r="BK40" s="145"/>
      <c r="BL40" s="145">
        <f>SUM(BM40:BR40)</f>
      </c>
      <c r="BM40" s="145"/>
      <c r="BN40" s="145"/>
      <c r="BO40" s="147"/>
      <c r="BP40" s="145"/>
      <c r="BQ40" s="145"/>
      <c r="BR40" s="145"/>
      <c r="BS40" s="145"/>
      <c r="BT40" s="145"/>
      <c r="BU40" s="147"/>
      <c r="BV40" s="145"/>
      <c r="BW40" s="145"/>
      <c r="BX40" s="145"/>
      <c r="BY40" s="147">
        <f>SUM(BZ40:CB40)</f>
      </c>
      <c r="BZ40" s="145"/>
      <c r="CA40" s="145"/>
      <c r="CB40" s="145"/>
      <c r="CC40" s="145">
        <f>SUM(CD40:CH40)</f>
      </c>
      <c r="CD40" s="145"/>
      <c r="CE40" s="147"/>
      <c r="CF40" s="145"/>
      <c r="CG40" s="145"/>
      <c r="CH40" s="145"/>
      <c r="CI40" s="147"/>
      <c r="CJ40" s="145"/>
      <c r="CK40" s="145"/>
      <c r="CL40" s="145"/>
      <c r="CM40" s="145"/>
      <c r="CN40" s="145"/>
      <c r="CO40" s="145"/>
      <c r="CP40" s="145"/>
      <c r="CQ40" s="147"/>
      <c r="CR40" s="145"/>
      <c r="CS40" s="147"/>
      <c r="CT40" s="147"/>
      <c r="CU40" s="147">
        <f>SUM(CV40:CV40)</f>
      </c>
      <c r="CV40" s="145"/>
      <c r="CW40" s="145"/>
      <c r="CX40" s="145"/>
      <c r="CY40" s="145">
        <f>SUM(CZ40:DE40)</f>
      </c>
      <c r="CZ40" s="145"/>
      <c r="DA40" s="145"/>
      <c r="DB40" s="145"/>
      <c r="DC40" s="150"/>
      <c r="DD40" s="150"/>
      <c r="DE40" s="145"/>
      <c r="DF40" s="145"/>
      <c r="DG40" s="145"/>
      <c r="DH40" s="147"/>
      <c r="DI40" s="145"/>
      <c r="DJ40" s="147"/>
      <c r="DK40" s="145"/>
      <c r="DL40" s="147"/>
      <c r="DM40" s="145"/>
      <c r="DN40" s="145"/>
      <c r="DO40" s="145"/>
      <c r="DP40" s="147"/>
      <c r="DQ40" s="145"/>
      <c r="DR40" s="145"/>
      <c r="DS40" s="145"/>
      <c r="DT40" s="145"/>
      <c r="DU40" s="145">
        <f>SUM(DV40:EE40)</f>
      </c>
      <c r="DV40" s="145"/>
      <c r="DW40" s="145"/>
      <c r="DX40" s="145"/>
      <c r="DY40" s="145"/>
      <c r="DZ40" s="145"/>
      <c r="EA40" s="147"/>
      <c r="EB40" s="145"/>
      <c r="EC40" s="145"/>
      <c r="ED40" s="145"/>
      <c r="EE40" s="145"/>
      <c r="EF40" s="145">
        <f>SUM(EG40:EH40)</f>
      </c>
      <c r="EG40" s="145"/>
      <c r="EH40" s="145"/>
      <c r="EI40" s="151" cm="1">
        <f t="array" ref="EI40">ROW()-ROW(Run[#Headers])</f>
        <v>34</v>
      </c>
    </row>
    <row r="41" spans="2:139" s="79" customFormat="1" ht="11.25" x14ac:dyDescent="0.2">
      <c r="B41" s="4811" t="s">
        <v>1752</v>
      </c>
      <c r="C41" s="4812" t="s">
        <v>1548</v>
      </c>
      <c r="D41" s="145"/>
      <c r="E41" s="147">
        <f>SUM(F41:AE41)</f>
      </c>
      <c r="F41" s="145"/>
      <c r="G41" s="145"/>
      <c r="H41" s="145"/>
      <c r="I41" s="4813" t="n">
        <v>352.0</v>
      </c>
      <c r="J41" s="145"/>
      <c r="K41" s="152"/>
      <c r="L41" s="145"/>
      <c r="M41" s="145"/>
      <c r="N41" s="145"/>
      <c r="O41" s="145"/>
      <c r="P41" s="152"/>
      <c r="Q41" s="145"/>
      <c r="R41" s="145"/>
      <c r="S41" s="145"/>
      <c r="T41" s="152"/>
      <c r="U41" s="145"/>
      <c r="V41" s="145"/>
      <c r="W41" s="145"/>
      <c r="X41" s="145"/>
      <c r="Y41" s="145"/>
      <c r="Z41" s="145"/>
      <c r="AA41" s="145"/>
      <c r="AB41" s="145"/>
      <c r="AC41" s="148"/>
      <c r="AD41" s="148"/>
      <c r="AE41" s="145"/>
      <c r="AF41" s="147">
        <f>SUM(AG41:AJ41)</f>
      </c>
      <c r="AG41" s="145"/>
      <c r="AH41" s="145"/>
      <c r="AI41" s="145"/>
      <c r="AJ41" s="145"/>
      <c r="AK41" s="147">
        <f>SUM(AL41:AW41)</f>
      </c>
      <c r="AL41" s="145"/>
      <c r="AM41" s="145"/>
      <c r="AN41" s="145"/>
      <c r="AO41" s="145"/>
      <c r="AP41" s="145"/>
      <c r="AQ41" s="145"/>
      <c r="AR41" s="145"/>
      <c r="AS41" s="145"/>
      <c r="AT41" s="145"/>
      <c r="AU41" s="145"/>
      <c r="AV41" s="145"/>
      <c r="AW41" s="147"/>
      <c r="AX41" s="145"/>
      <c r="AY41" s="145"/>
      <c r="AZ41" s="145"/>
      <c r="BA41" s="147"/>
      <c r="BB41" s="145"/>
      <c r="BC41" s="145"/>
      <c r="BD41" s="147"/>
      <c r="BE41" s="145"/>
      <c r="BF41" s="145"/>
      <c r="BG41" s="145"/>
      <c r="BH41" s="147">
        <f>SUM(BI41:BK41)</f>
      </c>
      <c r="BI41" s="145"/>
      <c r="BJ41" s="145"/>
      <c r="BK41" s="145"/>
      <c r="BL41" s="145">
        <f>SUM(BM41:BR41)</f>
      </c>
      <c r="BM41" s="145"/>
      <c r="BN41" s="145"/>
      <c r="BO41" s="147"/>
      <c r="BP41" s="145"/>
      <c r="BQ41" s="145"/>
      <c r="BR41" s="145"/>
      <c r="BS41" s="145"/>
      <c r="BT41" s="145"/>
      <c r="BU41" s="147"/>
      <c r="BV41" s="145"/>
      <c r="BW41" s="145"/>
      <c r="BX41" s="145"/>
      <c r="BY41" s="147">
        <f>SUM(BZ41:CB41)</f>
      </c>
      <c r="BZ41" s="145"/>
      <c r="CA41" s="145"/>
      <c r="CB41" s="145"/>
      <c r="CC41" s="145">
        <f>SUM(CD41:CH41)</f>
      </c>
      <c r="CD41" s="145"/>
      <c r="CE41" s="147"/>
      <c r="CF41" s="145"/>
      <c r="CG41" s="145"/>
      <c r="CH41" s="145"/>
      <c r="CI41" s="147"/>
      <c r="CJ41" s="145"/>
      <c r="CK41" s="145"/>
      <c r="CL41" s="145"/>
      <c r="CM41" s="145"/>
      <c r="CN41" s="145"/>
      <c r="CO41" s="145"/>
      <c r="CP41" s="145"/>
      <c r="CQ41" s="147"/>
      <c r="CR41" s="145"/>
      <c r="CS41" s="147"/>
      <c r="CT41" s="147"/>
      <c r="CU41" s="147">
        <f>SUM(CV41:CV41)</f>
      </c>
      <c r="CV41" s="145"/>
      <c r="CW41" s="145"/>
      <c r="CX41" s="145"/>
      <c r="CY41" s="145">
        <f>SUM(CZ41:DE41)</f>
      </c>
      <c r="CZ41" s="145"/>
      <c r="DA41" s="145"/>
      <c r="DB41" s="145"/>
      <c r="DC41" s="150"/>
      <c r="DD41" s="150"/>
      <c r="DE41" s="145"/>
      <c r="DF41" s="145"/>
      <c r="DG41" s="145"/>
      <c r="DH41" s="147"/>
      <c r="DI41" s="145"/>
      <c r="DJ41" s="147"/>
      <c r="DK41" s="145"/>
      <c r="DL41" s="147"/>
      <c r="DM41" s="145"/>
      <c r="DN41" s="145"/>
      <c r="DO41" s="145"/>
      <c r="DP41" s="147"/>
      <c r="DQ41" s="145"/>
      <c r="DR41" s="145"/>
      <c r="DS41" s="145"/>
      <c r="DT41" s="145"/>
      <c r="DU41" s="145">
        <f>SUM(DV41:EE41)</f>
      </c>
      <c r="DV41" s="145"/>
      <c r="DW41" s="145"/>
      <c r="DX41" s="145"/>
      <c r="DY41" s="145"/>
      <c r="DZ41" s="145"/>
      <c r="EA41" s="147"/>
      <c r="EB41" s="145"/>
      <c r="EC41" s="145"/>
      <c r="ED41" s="145"/>
      <c r="EE41" s="145"/>
      <c r="EF41" s="145">
        <f>SUM(EG41:EH41)</f>
      </c>
      <c r="EG41" s="145"/>
      <c r="EH41" s="145"/>
      <c r="EI41" s="151" cm="1">
        <f t="array" ref="EI41">ROW()-ROW(Run[#Headers])</f>
        <v>35</v>
      </c>
    </row>
    <row r="42" spans="2:139" s="79" customFormat="1" ht="11.25" x14ac:dyDescent="0.2">
      <c r="B42" s="145"/>
      <c r="C42" s="145"/>
      <c r="D42" s="145"/>
      <c r="E42" s="147">
        <f>SUM(F42:AE42)</f>
      </c>
      <c r="F42" s="145"/>
      <c r="G42" s="145"/>
      <c r="H42" s="145"/>
      <c r="I42" s="145"/>
      <c r="J42" s="145"/>
      <c r="K42" s="152"/>
      <c r="L42" s="145"/>
      <c r="M42" s="145"/>
      <c r="N42" s="145"/>
      <c r="O42" s="145"/>
      <c r="P42" s="152"/>
      <c r="Q42" s="145"/>
      <c r="R42" s="145"/>
      <c r="S42" s="145"/>
      <c r="T42" s="152"/>
      <c r="U42" s="145"/>
      <c r="V42" s="145"/>
      <c r="W42" s="145"/>
      <c r="X42" s="145"/>
      <c r="Y42" s="145"/>
      <c r="Z42" s="145"/>
      <c r="AA42" s="145"/>
      <c r="AB42" s="145"/>
      <c r="AC42" s="148"/>
      <c r="AD42" s="148"/>
      <c r="AE42" s="145"/>
      <c r="AF42" s="147">
        <f>SUM(AG42:AJ42)</f>
      </c>
      <c r="AG42" s="145"/>
      <c r="AH42" s="145"/>
      <c r="AI42" s="145"/>
      <c r="AJ42" s="145"/>
      <c r="AK42" s="147">
        <f>SUM(AL42:AW42)</f>
      </c>
      <c r="AL42" s="145"/>
      <c r="AM42" s="145"/>
      <c r="AN42" s="145"/>
      <c r="AO42" s="145"/>
      <c r="AP42" s="145"/>
      <c r="AQ42" s="145"/>
      <c r="AR42" s="145"/>
      <c r="AS42" s="145"/>
      <c r="AT42" s="145"/>
      <c r="AU42" s="145"/>
      <c r="AV42" s="145"/>
      <c r="AW42" s="147"/>
      <c r="AX42" s="145"/>
      <c r="AY42" s="145"/>
      <c r="AZ42" s="145"/>
      <c r="BA42" s="147"/>
      <c r="BB42" s="145"/>
      <c r="BC42" s="145"/>
      <c r="BD42" s="147"/>
      <c r="BE42" s="145"/>
      <c r="BF42" s="145"/>
      <c r="BG42" s="145"/>
      <c r="BH42" s="147">
        <f>SUM(BI42:BK42)</f>
      </c>
      <c r="BI42" s="145"/>
      <c r="BJ42" s="145"/>
      <c r="BK42" s="145"/>
      <c r="BL42" s="145">
        <f>SUM(BM42:BR42)</f>
      </c>
      <c r="BM42" s="145"/>
      <c r="BN42" s="145"/>
      <c r="BO42" s="147"/>
      <c r="BP42" s="145"/>
      <c r="BQ42" s="145"/>
      <c r="BR42" s="145"/>
      <c r="BS42" s="145"/>
      <c r="BT42" s="145"/>
      <c r="BU42" s="147"/>
      <c r="BV42" s="145"/>
      <c r="BW42" s="145"/>
      <c r="BX42" s="145"/>
      <c r="BY42" s="147">
        <f>SUM(BZ42:CB42)</f>
      </c>
      <c r="BZ42" s="145"/>
      <c r="CA42" s="145"/>
      <c r="CB42" s="145"/>
      <c r="CC42" s="145">
        <f>SUM(CD42:CH42)</f>
      </c>
      <c r="CD42" s="145"/>
      <c r="CE42" s="147"/>
      <c r="CF42" s="145"/>
      <c r="CG42" s="145"/>
      <c r="CH42" s="145"/>
      <c r="CI42" s="147"/>
      <c r="CJ42" s="145"/>
      <c r="CK42" s="145"/>
      <c r="CL42" s="145"/>
      <c r="CM42" s="145"/>
      <c r="CN42" s="145"/>
      <c r="CO42" s="145"/>
      <c r="CP42" s="145"/>
      <c r="CQ42" s="147"/>
      <c r="CR42" s="145"/>
      <c r="CS42" s="147"/>
      <c r="CT42" s="147"/>
      <c r="CU42" s="147">
        <f>SUM(CV42:CV42)</f>
      </c>
      <c r="CV42" s="145"/>
      <c r="CW42" s="145"/>
      <c r="CX42" s="145"/>
      <c r="CY42" s="145">
        <f>SUM(CZ42:DE42)</f>
      </c>
      <c r="CZ42" s="145"/>
      <c r="DA42" s="145"/>
      <c r="DB42" s="145"/>
      <c r="DC42" s="150"/>
      <c r="DD42" s="150"/>
      <c r="DE42" s="145"/>
      <c r="DF42" s="145"/>
      <c r="DG42" s="145"/>
      <c r="DH42" s="147"/>
      <c r="DI42" s="145"/>
      <c r="DJ42" s="147"/>
      <c r="DK42" s="145"/>
      <c r="DL42" s="147"/>
      <c r="DM42" s="145"/>
      <c r="DN42" s="145"/>
      <c r="DO42" s="145"/>
      <c r="DP42" s="147"/>
      <c r="DQ42" s="145"/>
      <c r="DR42" s="145"/>
      <c r="DS42" s="145"/>
      <c r="DT42" s="145"/>
      <c r="DU42" s="145">
        <f>SUM(DV42:EE42)</f>
      </c>
      <c r="DV42" s="145"/>
      <c r="DW42" s="145"/>
      <c r="DX42" s="145"/>
      <c r="DY42" s="145"/>
      <c r="DZ42" s="145"/>
      <c r="EA42" s="147"/>
      <c r="EB42" s="145"/>
      <c r="EC42" s="145"/>
      <c r="ED42" s="145"/>
      <c r="EE42" s="145"/>
      <c r="EF42" s="145">
        <f>SUM(EG42:EH42)</f>
      </c>
      <c r="EG42" s="145"/>
      <c r="EH42" s="145"/>
      <c r="EI42" s="151" cm="1">
        <f t="array" ref="EI42">ROW()-ROW(Run[#Headers])</f>
        <v>36</v>
      </c>
    </row>
    <row r="43" spans="2:139" s="79" customFormat="1" ht="11.25" x14ac:dyDescent="0.2">
      <c r="B43" s="145"/>
      <c r="C43" s="145"/>
      <c r="D43" s="145"/>
      <c r="E43" s="147">
        <f>SUM(F43:AE43)</f>
      </c>
      <c r="F43" s="145"/>
      <c r="G43" s="145"/>
      <c r="H43" s="145"/>
      <c r="I43" s="145"/>
      <c r="J43" s="145"/>
      <c r="K43" s="152"/>
      <c r="L43" s="145"/>
      <c r="M43" s="145"/>
      <c r="N43" s="145"/>
      <c r="O43" s="145"/>
      <c r="P43" s="152"/>
      <c r="Q43" s="145"/>
      <c r="R43" s="145"/>
      <c r="S43" s="145"/>
      <c r="T43" s="152"/>
      <c r="U43" s="145"/>
      <c r="V43" s="145"/>
      <c r="W43" s="145"/>
      <c r="X43" s="145"/>
      <c r="Y43" s="145"/>
      <c r="Z43" s="145"/>
      <c r="AA43" s="145"/>
      <c r="AB43" s="145"/>
      <c r="AC43" s="148"/>
      <c r="AD43" s="148"/>
      <c r="AE43" s="145"/>
      <c r="AF43" s="147">
        <f>SUM(AG43:AJ43)</f>
      </c>
      <c r="AG43" s="145"/>
      <c r="AH43" s="145"/>
      <c r="AI43" s="145"/>
      <c r="AJ43" s="145"/>
      <c r="AK43" s="147">
        <f>SUM(AL43:AW43)</f>
      </c>
      <c r="AL43" s="145"/>
      <c r="AM43" s="145"/>
      <c r="AN43" s="145"/>
      <c r="AO43" s="145"/>
      <c r="AP43" s="145"/>
      <c r="AQ43" s="145"/>
      <c r="AR43" s="145"/>
      <c r="AS43" s="145"/>
      <c r="AT43" s="145"/>
      <c r="AU43" s="145"/>
      <c r="AV43" s="145"/>
      <c r="AW43" s="147"/>
      <c r="AX43" s="145"/>
      <c r="AY43" s="145"/>
      <c r="AZ43" s="145"/>
      <c r="BA43" s="147"/>
      <c r="BB43" s="145"/>
      <c r="BC43" s="145"/>
      <c r="BD43" s="147"/>
      <c r="BE43" s="145"/>
      <c r="BF43" s="145"/>
      <c r="BG43" s="145"/>
      <c r="BH43" s="147">
        <f>SUM(BI43:BK43)</f>
      </c>
      <c r="BI43" s="145"/>
      <c r="BJ43" s="145"/>
      <c r="BK43" s="145"/>
      <c r="BL43" s="145">
        <f>SUM(BM43:BR43)</f>
      </c>
      <c r="BM43" s="145"/>
      <c r="BN43" s="145"/>
      <c r="BO43" s="147"/>
      <c r="BP43" s="145"/>
      <c r="BQ43" s="145"/>
      <c r="BR43" s="145"/>
      <c r="BS43" s="145"/>
      <c r="BT43" s="145"/>
      <c r="BU43" s="147"/>
      <c r="BV43" s="145"/>
      <c r="BW43" s="145"/>
      <c r="BX43" s="145"/>
      <c r="BY43" s="147">
        <f>SUM(BZ43:CB43)</f>
      </c>
      <c r="BZ43" s="145"/>
      <c r="CA43" s="145"/>
      <c r="CB43" s="145"/>
      <c r="CC43" s="145">
        <f>SUM(CD43:CH43)</f>
      </c>
      <c r="CD43" s="145"/>
      <c r="CE43" s="147"/>
      <c r="CF43" s="145"/>
      <c r="CG43" s="145"/>
      <c r="CH43" s="145"/>
      <c r="CI43" s="147"/>
      <c r="CJ43" s="145"/>
      <c r="CK43" s="145"/>
      <c r="CL43" s="145"/>
      <c r="CM43" s="145"/>
      <c r="CN43" s="145"/>
      <c r="CO43" s="145"/>
      <c r="CP43" s="145"/>
      <c r="CQ43" s="147"/>
      <c r="CR43" s="145"/>
      <c r="CS43" s="147"/>
      <c r="CT43" s="147"/>
      <c r="CU43" s="147">
        <f>SUM(CV43:CV43)</f>
      </c>
      <c r="CV43" s="145"/>
      <c r="CW43" s="145"/>
      <c r="CX43" s="145"/>
      <c r="CY43" s="145">
        <f>SUM(CZ43:DE43)</f>
      </c>
      <c r="CZ43" s="145"/>
      <c r="DA43" s="145"/>
      <c r="DB43" s="145"/>
      <c r="DC43" s="150"/>
      <c r="DD43" s="150"/>
      <c r="DE43" s="145"/>
      <c r="DF43" s="145"/>
      <c r="DG43" s="145"/>
      <c r="DH43" s="147"/>
      <c r="DI43" s="145"/>
      <c r="DJ43" s="147"/>
      <c r="DK43" s="145"/>
      <c r="DL43" s="147"/>
      <c r="DM43" s="145"/>
      <c r="DN43" s="145"/>
      <c r="DO43" s="145"/>
      <c r="DP43" s="147"/>
      <c r="DQ43" s="145"/>
      <c r="DR43" s="145"/>
      <c r="DS43" s="145"/>
      <c r="DT43" s="145"/>
      <c r="DU43" s="145">
        <f>SUM(DV43:EE43)</f>
      </c>
      <c r="DV43" s="145"/>
      <c r="DW43" s="145"/>
      <c r="DX43" s="145"/>
      <c r="DY43" s="145"/>
      <c r="DZ43" s="145"/>
      <c r="EA43" s="147"/>
      <c r="EB43" s="145"/>
      <c r="EC43" s="145"/>
      <c r="ED43" s="145"/>
      <c r="EE43" s="145"/>
      <c r="EF43" s="145">
        <f>SUM(EG43:EH43)</f>
      </c>
      <c r="EG43" s="145"/>
      <c r="EH43" s="145"/>
      <c r="EI43" s="151" cm="1">
        <f t="array" ref="EI43">ROW()-ROW(Run[#Headers])</f>
        <v>37</v>
      </c>
    </row>
    <row r="44" spans="2:139" s="79" customFormat="1" ht="11.25" x14ac:dyDescent="0.2">
      <c r="B44" s="145"/>
      <c r="C44" s="145"/>
      <c r="D44" s="145"/>
      <c r="E44" s="147">
        <f>SUM(F44:AE44)</f>
      </c>
      <c r="F44" s="145"/>
      <c r="G44" s="145"/>
      <c r="H44" s="145"/>
      <c r="I44" s="145"/>
      <c r="J44" s="145"/>
      <c r="K44" s="152"/>
      <c r="L44" s="145"/>
      <c r="M44" s="145"/>
      <c r="N44" s="145"/>
      <c r="O44" s="145"/>
      <c r="P44" s="152"/>
      <c r="Q44" s="145"/>
      <c r="R44" s="145"/>
      <c r="S44" s="145"/>
      <c r="T44" s="152"/>
      <c r="U44" s="145"/>
      <c r="V44" s="145"/>
      <c r="W44" s="145"/>
      <c r="X44" s="145"/>
      <c r="Y44" s="145"/>
      <c r="Z44" s="145"/>
      <c r="AA44" s="145"/>
      <c r="AB44" s="145"/>
      <c r="AC44" s="148"/>
      <c r="AD44" s="148"/>
      <c r="AE44" s="145"/>
      <c r="AF44" s="147">
        <f>SUM(AG44:AJ44)</f>
      </c>
      <c r="AG44" s="145"/>
      <c r="AH44" s="145"/>
      <c r="AI44" s="145"/>
      <c r="AJ44" s="145"/>
      <c r="AK44" s="147">
        <f>SUM(AL44:AW44)</f>
      </c>
      <c r="AL44" s="145"/>
      <c r="AM44" s="145"/>
      <c r="AN44" s="145"/>
      <c r="AO44" s="145"/>
      <c r="AP44" s="145"/>
      <c r="AQ44" s="145"/>
      <c r="AR44" s="145"/>
      <c r="AS44" s="145"/>
      <c r="AT44" s="145"/>
      <c r="AU44" s="145"/>
      <c r="AV44" s="145"/>
      <c r="AW44" s="147"/>
      <c r="AX44" s="145"/>
      <c r="AY44" s="145"/>
      <c r="AZ44" s="145"/>
      <c r="BA44" s="147"/>
      <c r="BB44" s="145"/>
      <c r="BC44" s="145"/>
      <c r="BD44" s="147"/>
      <c r="BE44" s="145"/>
      <c r="BF44" s="145"/>
      <c r="BG44" s="145"/>
      <c r="BH44" s="147">
        <f>SUM(BI44:BK44)</f>
      </c>
      <c r="BI44" s="145"/>
      <c r="BJ44" s="145"/>
      <c r="BK44" s="145"/>
      <c r="BL44" s="145">
        <f>SUM(BM44:BR44)</f>
      </c>
      <c r="BM44" s="145"/>
      <c r="BN44" s="145"/>
      <c r="BO44" s="147"/>
      <c r="BP44" s="145"/>
      <c r="BQ44" s="145"/>
      <c r="BR44" s="145"/>
      <c r="BS44" s="145"/>
      <c r="BT44" s="145"/>
      <c r="BU44" s="147"/>
      <c r="BV44" s="145"/>
      <c r="BW44" s="145"/>
      <c r="BX44" s="145"/>
      <c r="BY44" s="147">
        <f>SUM(BZ44:CB44)</f>
      </c>
      <c r="BZ44" s="145"/>
      <c r="CA44" s="145"/>
      <c r="CB44" s="145"/>
      <c r="CC44" s="145">
        <f>SUM(CD44:CH44)</f>
      </c>
      <c r="CD44" s="145"/>
      <c r="CE44" s="147"/>
      <c r="CF44" s="145"/>
      <c r="CG44" s="145"/>
      <c r="CH44" s="145"/>
      <c r="CI44" s="147"/>
      <c r="CJ44" s="145"/>
      <c r="CK44" s="145"/>
      <c r="CL44" s="145"/>
      <c r="CM44" s="145"/>
      <c r="CN44" s="145"/>
      <c r="CO44" s="145"/>
      <c r="CP44" s="145"/>
      <c r="CQ44" s="147"/>
      <c r="CR44" s="145"/>
      <c r="CS44" s="147"/>
      <c r="CT44" s="147"/>
      <c r="CU44" s="147">
        <f>SUM(CV44:CV44)</f>
      </c>
      <c r="CV44" s="145"/>
      <c r="CW44" s="145"/>
      <c r="CX44" s="145"/>
      <c r="CY44" s="145">
        <f>SUM(CZ44:DE44)</f>
      </c>
      <c r="CZ44" s="145"/>
      <c r="DA44" s="145"/>
      <c r="DB44" s="145"/>
      <c r="DC44" s="150"/>
      <c r="DD44" s="150"/>
      <c r="DE44" s="145"/>
      <c r="DF44" s="145"/>
      <c r="DG44" s="145"/>
      <c r="DH44" s="147"/>
      <c r="DI44" s="145"/>
      <c r="DJ44" s="147"/>
      <c r="DK44" s="145"/>
      <c r="DL44" s="147"/>
      <c r="DM44" s="145"/>
      <c r="DN44" s="145"/>
      <c r="DO44" s="145"/>
      <c r="DP44" s="147"/>
      <c r="DQ44" s="145"/>
      <c r="DR44" s="145"/>
      <c r="DS44" s="145"/>
      <c r="DT44" s="145"/>
      <c r="DU44" s="145">
        <f>SUM(DV44:EE44)</f>
      </c>
      <c r="DV44" s="145"/>
      <c r="DW44" s="145"/>
      <c r="DX44" s="145"/>
      <c r="DY44" s="145"/>
      <c r="DZ44" s="145"/>
      <c r="EA44" s="147"/>
      <c r="EB44" s="145"/>
      <c r="EC44" s="145"/>
      <c r="ED44" s="145"/>
      <c r="EE44" s="145"/>
      <c r="EF44" s="145">
        <f>SUM(EG44:EH44)</f>
      </c>
      <c r="EG44" s="145"/>
      <c r="EH44" s="145"/>
      <c r="EI44" s="151" cm="1">
        <f t="array" ref="EI44">ROW()-ROW(Run[#Headers])</f>
        <v>38</v>
      </c>
    </row>
    <row r="45" spans="2:139" s="79" customFormat="1" ht="11.25" x14ac:dyDescent="0.2">
      <c r="B45" s="145"/>
      <c r="C45" s="145"/>
      <c r="D45" s="145"/>
      <c r="E45" s="147">
        <f>SUM(F45:AE45)</f>
      </c>
      <c r="F45" s="145"/>
      <c r="G45" s="145"/>
      <c r="H45" s="145"/>
      <c r="I45" s="145"/>
      <c r="J45" s="145"/>
      <c r="K45" s="152"/>
      <c r="L45" s="145"/>
      <c r="M45" s="145"/>
      <c r="N45" s="145"/>
      <c r="O45" s="145"/>
      <c r="P45" s="152"/>
      <c r="Q45" s="145"/>
      <c r="R45" s="145"/>
      <c r="S45" s="145"/>
      <c r="T45" s="152"/>
      <c r="U45" s="145"/>
      <c r="V45" s="145"/>
      <c r="W45" s="145"/>
      <c r="X45" s="145"/>
      <c r="Y45" s="145"/>
      <c r="Z45" s="145"/>
      <c r="AA45" s="145"/>
      <c r="AB45" s="145"/>
      <c r="AC45" s="148"/>
      <c r="AD45" s="148"/>
      <c r="AE45" s="145"/>
      <c r="AF45" s="147">
        <f>SUM(AG45:AJ45)</f>
      </c>
      <c r="AG45" s="145"/>
      <c r="AH45" s="145"/>
      <c r="AI45" s="145"/>
      <c r="AJ45" s="145"/>
      <c r="AK45" s="147">
        <f>SUM(AL45:AW45)</f>
      </c>
      <c r="AL45" s="145"/>
      <c r="AM45" s="145"/>
      <c r="AN45" s="145"/>
      <c r="AO45" s="145"/>
      <c r="AP45" s="145"/>
      <c r="AQ45" s="145"/>
      <c r="AR45" s="145"/>
      <c r="AS45" s="145"/>
      <c r="AT45" s="145"/>
      <c r="AU45" s="145"/>
      <c r="AV45" s="145"/>
      <c r="AW45" s="147"/>
      <c r="AX45" s="145"/>
      <c r="AY45" s="145"/>
      <c r="AZ45" s="145"/>
      <c r="BA45" s="147"/>
      <c r="BB45" s="145"/>
      <c r="BC45" s="145"/>
      <c r="BD45" s="147"/>
      <c r="BE45" s="145"/>
      <c r="BF45" s="145"/>
      <c r="BG45" s="145"/>
      <c r="BH45" s="147">
        <f>SUM(BI45:BK45)</f>
      </c>
      <c r="BI45" s="145"/>
      <c r="BJ45" s="145"/>
      <c r="BK45" s="145"/>
      <c r="BL45" s="145">
        <f>SUM(BM45:BR45)</f>
      </c>
      <c r="BM45" s="145"/>
      <c r="BN45" s="145"/>
      <c r="BO45" s="147"/>
      <c r="BP45" s="145"/>
      <c r="BQ45" s="145"/>
      <c r="BR45" s="145"/>
      <c r="BS45" s="145"/>
      <c r="BT45" s="145"/>
      <c r="BU45" s="147"/>
      <c r="BV45" s="145"/>
      <c r="BW45" s="145"/>
      <c r="BX45" s="145"/>
      <c r="BY45" s="147">
        <f>SUM(BZ45:CB45)</f>
      </c>
      <c r="BZ45" s="145"/>
      <c r="CA45" s="145"/>
      <c r="CB45" s="145"/>
      <c r="CC45" s="145">
        <f>SUM(CD45:CH45)</f>
      </c>
      <c r="CD45" s="145"/>
      <c r="CE45" s="147"/>
      <c r="CF45" s="145"/>
      <c r="CG45" s="145"/>
      <c r="CH45" s="145"/>
      <c r="CI45" s="147"/>
      <c r="CJ45" s="145"/>
      <c r="CK45" s="145"/>
      <c r="CL45" s="145"/>
      <c r="CM45" s="145"/>
      <c r="CN45" s="145"/>
      <c r="CO45" s="145"/>
      <c r="CP45" s="145"/>
      <c r="CQ45" s="147"/>
      <c r="CR45" s="145"/>
      <c r="CS45" s="147"/>
      <c r="CT45" s="147"/>
      <c r="CU45" s="147">
        <f>SUM(CV45:CV45)</f>
      </c>
      <c r="CV45" s="145"/>
      <c r="CW45" s="145"/>
      <c r="CX45" s="145"/>
      <c r="CY45" s="145">
        <f>SUM(CZ45:DE45)</f>
      </c>
      <c r="CZ45" s="145"/>
      <c r="DA45" s="145"/>
      <c r="DB45" s="145"/>
      <c r="DC45" s="150"/>
      <c r="DD45" s="150"/>
      <c r="DE45" s="145"/>
      <c r="DF45" s="145"/>
      <c r="DG45" s="145"/>
      <c r="DH45" s="147"/>
      <c r="DI45" s="145"/>
      <c r="DJ45" s="147"/>
      <c r="DK45" s="145"/>
      <c r="DL45" s="147"/>
      <c r="DM45" s="145"/>
      <c r="DN45" s="145"/>
      <c r="DO45" s="145"/>
      <c r="DP45" s="147"/>
      <c r="DQ45" s="145"/>
      <c r="DR45" s="145"/>
      <c r="DS45" s="145"/>
      <c r="DT45" s="145"/>
      <c r="DU45" s="145">
        <f>SUM(DV45:EE45)</f>
      </c>
      <c r="DV45" s="145"/>
      <c r="DW45" s="145"/>
      <c r="DX45" s="145"/>
      <c r="DY45" s="145"/>
      <c r="DZ45" s="145"/>
      <c r="EA45" s="147"/>
      <c r="EB45" s="145"/>
      <c r="EC45" s="145"/>
      <c r="ED45" s="145"/>
      <c r="EE45" s="145"/>
      <c r="EF45" s="145">
        <f>SUM(EG45:EH45)</f>
      </c>
      <c r="EG45" s="145"/>
      <c r="EH45" s="145"/>
      <c r="EI45" s="151" cm="1">
        <f t="array" ref="EI45">ROW()-ROW(Run[#Headers])</f>
        <v>39</v>
      </c>
    </row>
    <row r="46" spans="2:139" s="79" customFormat="1" ht="11.25" x14ac:dyDescent="0.2">
      <c r="B46" s="145"/>
      <c r="C46" s="145"/>
      <c r="D46" s="145"/>
      <c r="E46" s="152">
        <f>SUM(F46:AE46)</f>
      </c>
      <c r="F46" s="145"/>
      <c r="G46" s="145"/>
      <c r="H46" s="145"/>
      <c r="I46" s="145"/>
      <c r="J46" s="145"/>
      <c r="K46" s="145"/>
      <c r="L46" s="145"/>
      <c r="M46" s="145"/>
      <c r="N46" s="145"/>
      <c r="O46" s="145"/>
      <c r="P46" s="145"/>
      <c r="Q46" s="145"/>
      <c r="R46" s="145"/>
      <c r="S46" s="145"/>
      <c r="T46" s="145"/>
      <c r="U46" s="145"/>
      <c r="V46" s="145"/>
      <c r="W46" s="145"/>
      <c r="X46" s="145"/>
      <c r="Y46" s="145"/>
      <c r="Z46" s="145"/>
      <c r="AA46" s="145"/>
      <c r="AB46" s="145"/>
      <c r="AC46" s="148"/>
      <c r="AD46" s="148"/>
      <c r="AE46" s="148"/>
      <c r="AF46" s="152">
        <f>SUM(AG46:AJ46)</f>
      </c>
      <c r="AG46" s="145"/>
      <c r="AH46" s="145"/>
      <c r="AI46" s="145"/>
      <c r="AJ46" s="145"/>
      <c r="AK46" s="152">
        <f>SUM(AL46:AW46)</f>
      </c>
      <c r="AL46" s="145"/>
      <c r="AM46" s="145"/>
      <c r="AN46" s="145"/>
      <c r="AO46" s="145"/>
      <c r="AP46" s="145"/>
      <c r="AQ46" s="145"/>
      <c r="AR46" s="145"/>
      <c r="AS46" s="145"/>
      <c r="AT46" s="145"/>
      <c r="AU46" s="145"/>
      <c r="AV46" s="145"/>
      <c r="AW46" s="152"/>
      <c r="AX46" s="145"/>
      <c r="AY46" s="145"/>
      <c r="AZ46" s="145"/>
      <c r="BA46" s="152"/>
      <c r="BB46" s="145"/>
      <c r="BC46" s="145"/>
      <c r="BD46" s="152"/>
      <c r="BE46" s="145"/>
      <c r="BF46" s="145"/>
      <c r="BG46" s="145"/>
      <c r="BH46" s="152">
        <f>SUM(BI46:BK46)</f>
      </c>
      <c r="BI46" s="145"/>
      <c r="BJ46" s="145"/>
      <c r="BK46" s="145"/>
      <c r="BL46" s="145">
        <f>SUM(BM46:BR46)</f>
      </c>
      <c r="BM46" s="145"/>
      <c r="BN46" s="145"/>
      <c r="BO46" s="152"/>
      <c r="BP46" s="145"/>
      <c r="BQ46" s="145"/>
      <c r="BR46" s="145"/>
      <c r="BS46" s="145"/>
      <c r="BT46" s="145"/>
      <c r="BU46" s="152"/>
      <c r="BV46" s="145"/>
      <c r="BW46" s="145"/>
      <c r="BX46" s="145"/>
      <c r="BY46" s="152">
        <f>SUM(BZ46:CB46)</f>
      </c>
      <c r="BZ46" s="145"/>
      <c r="CA46" s="145"/>
      <c r="CB46" s="145"/>
      <c r="CC46" s="145">
        <f>SUM(CD46:CH46)</f>
      </c>
      <c r="CD46" s="145"/>
      <c r="CE46" s="152"/>
      <c r="CF46" s="145"/>
      <c r="CG46" s="145"/>
      <c r="CH46" s="145"/>
      <c r="CI46" s="152"/>
      <c r="CJ46" s="145"/>
      <c r="CK46" s="145"/>
      <c r="CL46" s="145"/>
      <c r="CM46" s="145"/>
      <c r="CN46" s="145"/>
      <c r="CO46" s="145"/>
      <c r="CP46" s="145"/>
      <c r="CQ46" s="152"/>
      <c r="CR46" s="145"/>
      <c r="CS46" s="152"/>
      <c r="CT46" s="152"/>
      <c r="CU46" s="152">
        <f>SUM(CV46:CV46)</f>
      </c>
      <c r="CV46" s="145"/>
      <c r="CW46" s="145"/>
      <c r="CX46" s="145"/>
      <c r="CY46" s="145">
        <f>SUM(CZ46:DE46)</f>
      </c>
      <c r="CZ46" s="145"/>
      <c r="DA46" s="145"/>
      <c r="DB46" s="145"/>
      <c r="DC46" s="153"/>
      <c r="DD46" s="153"/>
      <c r="DE46" s="145"/>
      <c r="DF46" s="145"/>
      <c r="DG46" s="145"/>
      <c r="DH46" s="152"/>
      <c r="DI46" s="145"/>
      <c r="DJ46" s="152"/>
      <c r="DK46" s="145"/>
      <c r="DL46" s="152"/>
      <c r="DM46" s="145"/>
      <c r="DN46" s="145"/>
      <c r="DO46" s="145"/>
      <c r="DP46" s="152"/>
      <c r="DQ46" s="145"/>
      <c r="DR46" s="145"/>
      <c r="DS46" s="145"/>
      <c r="DT46" s="145"/>
      <c r="DU46" s="145">
        <f>SUM(DV46:EE46)</f>
      </c>
      <c r="DV46" s="145"/>
      <c r="DW46" s="145"/>
      <c r="DX46" s="145"/>
      <c r="DY46" s="145"/>
      <c r="DZ46" s="145"/>
      <c r="EA46" s="152"/>
      <c r="EB46" s="145"/>
      <c r="EC46" s="145"/>
      <c r="ED46" s="145"/>
      <c r="EE46" s="145"/>
      <c r="EF46" s="145">
        <f>SUM(EG46:EH46)</f>
      </c>
      <c r="EG46" s="145"/>
      <c r="EH46" s="145"/>
      <c r="EI46" s="151" cm="1">
        <f t="array" ref="EI46">ROW()-ROW(Run[#Headers])</f>
        <v>40</v>
      </c>
    </row>
    <row r="47" spans="2:139" s="79" customFormat="1" ht="11.25" x14ac:dyDescent="0.2">
      <c r="B47" s="145"/>
      <c r="C47" s="145"/>
      <c r="D47" s="145"/>
      <c r="E47" s="152">
        <f>SUM(F47:AE47)</f>
      </c>
      <c r="F47" s="145"/>
      <c r="G47" s="145"/>
      <c r="H47" s="145"/>
      <c r="I47" s="145"/>
      <c r="J47" s="145"/>
      <c r="K47" s="145"/>
      <c r="L47" s="145"/>
      <c r="M47" s="145"/>
      <c r="N47" s="145"/>
      <c r="O47" s="145"/>
      <c r="P47" s="145"/>
      <c r="Q47" s="145"/>
      <c r="R47" s="145"/>
      <c r="S47" s="145"/>
      <c r="T47" s="145"/>
      <c r="U47" s="145"/>
      <c r="V47" s="145"/>
      <c r="W47" s="145"/>
      <c r="X47" s="145"/>
      <c r="Y47" s="145"/>
      <c r="Z47" s="145"/>
      <c r="AA47" s="145"/>
      <c r="AB47" s="145"/>
      <c r="AC47" s="148"/>
      <c r="AD47" s="148"/>
      <c r="AE47" s="148"/>
      <c r="AF47" s="152">
        <f>SUM(AG47:AJ47)</f>
      </c>
      <c r="AG47" s="145"/>
      <c r="AH47" s="145"/>
      <c r="AI47" s="145"/>
      <c r="AJ47" s="145"/>
      <c r="AK47" s="152">
        <f>SUM(AL47:AW47)</f>
      </c>
      <c r="AL47" s="145"/>
      <c r="AM47" s="145"/>
      <c r="AN47" s="145"/>
      <c r="AO47" s="145"/>
      <c r="AP47" s="145"/>
      <c r="AQ47" s="145"/>
      <c r="AR47" s="145"/>
      <c r="AS47" s="145"/>
      <c r="AT47" s="145"/>
      <c r="AU47" s="145"/>
      <c r="AV47" s="145"/>
      <c r="AW47" s="152"/>
      <c r="AX47" s="145"/>
      <c r="AY47" s="145"/>
      <c r="AZ47" s="145"/>
      <c r="BA47" s="152"/>
      <c r="BB47" s="145"/>
      <c r="BC47" s="145"/>
      <c r="BD47" s="152"/>
      <c r="BE47" s="145"/>
      <c r="BF47" s="145"/>
      <c r="BG47" s="145"/>
      <c r="BH47" s="152">
        <f>SUM(BI47:BK47)</f>
      </c>
      <c r="BI47" s="145"/>
      <c r="BJ47" s="145"/>
      <c r="BK47" s="145"/>
      <c r="BL47" s="145">
        <f>SUM(BM47:BR47)</f>
      </c>
      <c r="BM47" s="145"/>
      <c r="BN47" s="145"/>
      <c r="BO47" s="152"/>
      <c r="BP47" s="145"/>
      <c r="BQ47" s="145"/>
      <c r="BR47" s="145"/>
      <c r="BS47" s="145"/>
      <c r="BT47" s="145"/>
      <c r="BU47" s="152"/>
      <c r="BV47" s="145"/>
      <c r="BW47" s="145"/>
      <c r="BX47" s="145"/>
      <c r="BY47" s="152">
        <f>SUM(BZ47:CB47)</f>
      </c>
      <c r="BZ47" s="145"/>
      <c r="CA47" s="145"/>
      <c r="CB47" s="145"/>
      <c r="CC47" s="145">
        <f>SUM(CD47:CH47)</f>
      </c>
      <c r="CD47" s="145"/>
      <c r="CE47" s="152"/>
      <c r="CF47" s="145"/>
      <c r="CG47" s="145"/>
      <c r="CH47" s="145"/>
      <c r="CI47" s="152"/>
      <c r="CJ47" s="145"/>
      <c r="CK47" s="145"/>
      <c r="CL47" s="145"/>
      <c r="CM47" s="145"/>
      <c r="CN47" s="145"/>
      <c r="CO47" s="145"/>
      <c r="CP47" s="145"/>
      <c r="CQ47" s="152"/>
      <c r="CR47" s="145"/>
      <c r="CS47" s="152"/>
      <c r="CT47" s="152"/>
      <c r="CU47" s="152">
        <f>SUM(CV47:CV47)</f>
      </c>
      <c r="CV47" s="145"/>
      <c r="CW47" s="145"/>
      <c r="CX47" s="145"/>
      <c r="CY47" s="145">
        <f>SUM(CZ47:DE47)</f>
      </c>
      <c r="CZ47" s="145"/>
      <c r="DA47" s="145"/>
      <c r="DB47" s="145"/>
      <c r="DC47" s="153"/>
      <c r="DD47" s="153"/>
      <c r="DE47" s="145"/>
      <c r="DF47" s="145"/>
      <c r="DG47" s="145"/>
      <c r="DH47" s="152"/>
      <c r="DI47" s="145"/>
      <c r="DJ47" s="152"/>
      <c r="DK47" s="145"/>
      <c r="DL47" s="152"/>
      <c r="DM47" s="145"/>
      <c r="DN47" s="145"/>
      <c r="DO47" s="145"/>
      <c r="DP47" s="152"/>
      <c r="DQ47" s="145"/>
      <c r="DR47" s="145"/>
      <c r="DS47" s="145"/>
      <c r="DT47" s="145"/>
      <c r="DU47" s="145">
        <f>SUM(DV47:EE47)</f>
      </c>
      <c r="DV47" s="145"/>
      <c r="DW47" s="145"/>
      <c r="DX47" s="145"/>
      <c r="DY47" s="145"/>
      <c r="DZ47" s="145"/>
      <c r="EA47" s="152"/>
      <c r="EB47" s="145"/>
      <c r="EC47" s="145"/>
      <c r="ED47" s="145"/>
      <c r="EE47" s="145"/>
      <c r="EF47" s="145">
        <f>SUM(EG47:EH47)</f>
      </c>
      <c r="EG47" s="145"/>
      <c r="EH47" s="145"/>
      <c r="EI47" s="151" cm="1">
        <f t="array" ref="EI47">ROW()-ROW(Run[#Headers])</f>
        <v>41</v>
      </c>
    </row>
    <row r="48" spans="2:139" s="79" customFormat="1" ht="11.25" x14ac:dyDescent="0.2">
      <c r="B48" s="145"/>
      <c r="C48" s="145"/>
      <c r="D48" s="145"/>
      <c r="E48" s="152">
        <f>SUM(F48:AE48)</f>
      </c>
      <c r="F48" s="145"/>
      <c r="G48" s="145"/>
      <c r="H48" s="145"/>
      <c r="I48" s="145"/>
      <c r="J48" s="145"/>
      <c r="K48" s="145"/>
      <c r="L48" s="145"/>
      <c r="M48" s="145"/>
      <c r="N48" s="145"/>
      <c r="O48" s="145"/>
      <c r="P48" s="145"/>
      <c r="Q48" s="145"/>
      <c r="R48" s="145"/>
      <c r="S48" s="145"/>
      <c r="T48" s="145"/>
      <c r="U48" s="145"/>
      <c r="V48" s="145"/>
      <c r="W48" s="145"/>
      <c r="X48" s="145"/>
      <c r="Y48" s="145"/>
      <c r="Z48" s="145"/>
      <c r="AA48" s="145"/>
      <c r="AB48" s="145"/>
      <c r="AC48" s="148"/>
      <c r="AD48" s="148"/>
      <c r="AE48" s="148"/>
      <c r="AF48" s="152">
        <f>SUM(AG48:AJ48)</f>
      </c>
      <c r="AG48" s="145"/>
      <c r="AH48" s="145"/>
      <c r="AI48" s="145"/>
      <c r="AJ48" s="145"/>
      <c r="AK48" s="152">
        <f>SUM(AL48:AW48)</f>
      </c>
      <c r="AL48" s="145"/>
      <c r="AM48" s="145"/>
      <c r="AN48" s="145"/>
      <c r="AO48" s="145"/>
      <c r="AP48" s="145"/>
      <c r="AQ48" s="145"/>
      <c r="AR48" s="145"/>
      <c r="AS48" s="145"/>
      <c r="AT48" s="145"/>
      <c r="AU48" s="145"/>
      <c r="AV48" s="145"/>
      <c r="AW48" s="152"/>
      <c r="AX48" s="145"/>
      <c r="AY48" s="145"/>
      <c r="AZ48" s="145"/>
      <c r="BA48" s="152"/>
      <c r="BB48" s="145"/>
      <c r="BC48" s="145"/>
      <c r="BD48" s="152"/>
      <c r="BE48" s="145"/>
      <c r="BF48" s="145"/>
      <c r="BG48" s="145"/>
      <c r="BH48" s="152">
        <f>SUM(BI48:BK48)</f>
      </c>
      <c r="BI48" s="145"/>
      <c r="BJ48" s="145"/>
      <c r="BK48" s="145"/>
      <c r="BL48" s="145">
        <f>SUM(BM48:BR48)</f>
      </c>
      <c r="BM48" s="145"/>
      <c r="BN48" s="145"/>
      <c r="BO48" s="152"/>
      <c r="BP48" s="145"/>
      <c r="BQ48" s="145"/>
      <c r="BR48" s="145"/>
      <c r="BS48" s="145"/>
      <c r="BT48" s="145"/>
      <c r="BU48" s="152"/>
      <c r="BV48" s="145"/>
      <c r="BW48" s="145"/>
      <c r="BX48" s="145"/>
      <c r="BY48" s="152">
        <f>SUM(BZ48:CB48)</f>
      </c>
      <c r="BZ48" s="145"/>
      <c r="CA48" s="145"/>
      <c r="CB48" s="145"/>
      <c r="CC48" s="145">
        <f>SUM(CD48:CH48)</f>
      </c>
      <c r="CD48" s="145"/>
      <c r="CE48" s="152"/>
      <c r="CF48" s="145"/>
      <c r="CG48" s="145"/>
      <c r="CH48" s="145"/>
      <c r="CI48" s="152"/>
      <c r="CJ48" s="145"/>
      <c r="CK48" s="145"/>
      <c r="CL48" s="145"/>
      <c r="CM48" s="145"/>
      <c r="CN48" s="145"/>
      <c r="CO48" s="145"/>
      <c r="CP48" s="145"/>
      <c r="CQ48" s="152"/>
      <c r="CR48" s="145"/>
      <c r="CS48" s="152"/>
      <c r="CT48" s="152"/>
      <c r="CU48" s="152">
        <f>SUM(CV48:CV48)</f>
      </c>
      <c r="CV48" s="145"/>
      <c r="CW48" s="145"/>
      <c r="CX48" s="145"/>
      <c r="CY48" s="145">
        <f>SUM(CZ48:DE48)</f>
      </c>
      <c r="CZ48" s="145"/>
      <c r="DA48" s="145"/>
      <c r="DB48" s="145"/>
      <c r="DC48" s="153"/>
      <c r="DD48" s="153"/>
      <c r="DE48" s="145"/>
      <c r="DF48" s="145"/>
      <c r="DG48" s="145"/>
      <c r="DH48" s="152"/>
      <c r="DI48" s="145"/>
      <c r="DJ48" s="152"/>
      <c r="DK48" s="145"/>
      <c r="DL48" s="152"/>
      <c r="DM48" s="145"/>
      <c r="DN48" s="145"/>
      <c r="DO48" s="145"/>
      <c r="DP48" s="152"/>
      <c r="DQ48" s="145"/>
      <c r="DR48" s="145"/>
      <c r="DS48" s="145"/>
      <c r="DT48" s="145"/>
      <c r="DU48" s="145">
        <f>SUM(DV48:EE48)</f>
      </c>
      <c r="DV48" s="145"/>
      <c r="DW48" s="145"/>
      <c r="DX48" s="145"/>
      <c r="DY48" s="145"/>
      <c r="DZ48" s="145"/>
      <c r="EA48" s="152"/>
      <c r="EB48" s="145"/>
      <c r="EC48" s="145"/>
      <c r="ED48" s="145"/>
      <c r="EE48" s="145"/>
      <c r="EF48" s="145">
        <f>SUM(EG48:EH48)</f>
      </c>
      <c r="EG48" s="145"/>
      <c r="EH48" s="145"/>
      <c r="EI48" s="151" cm="1">
        <f t="array" ref="EI48">ROW()-ROW(Run[#Headers])</f>
        <v>42</v>
      </c>
    </row>
    <row r="49" spans="2:139" s="79" customFormat="1" ht="11.25" x14ac:dyDescent="0.2">
      <c r="B49" s="145"/>
      <c r="C49" s="145"/>
      <c r="D49" s="145"/>
      <c r="E49" s="152">
        <f>SUM(F49:AE49)</f>
      </c>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48"/>
      <c r="AD49" s="148"/>
      <c r="AE49" s="148"/>
      <c r="AF49" s="152">
        <f>SUM(AG49:AJ49)</f>
      </c>
      <c r="AG49" s="145"/>
      <c r="AH49" s="145"/>
      <c r="AI49" s="145"/>
      <c r="AJ49" s="145"/>
      <c r="AK49" s="152">
        <f>SUM(AL49:AW49)</f>
      </c>
      <c r="AL49" s="145"/>
      <c r="AM49" s="145"/>
      <c r="AN49" s="145"/>
      <c r="AO49" s="145"/>
      <c r="AP49" s="145"/>
      <c r="AQ49" s="145"/>
      <c r="AR49" s="145"/>
      <c r="AS49" s="145"/>
      <c r="AT49" s="145"/>
      <c r="AU49" s="145"/>
      <c r="AV49" s="145"/>
      <c r="AW49" s="152"/>
      <c r="AX49" s="145"/>
      <c r="AY49" s="145"/>
      <c r="AZ49" s="145"/>
      <c r="BA49" s="152"/>
      <c r="BB49" s="145"/>
      <c r="BC49" s="145"/>
      <c r="BD49" s="152"/>
      <c r="BE49" s="145"/>
      <c r="BF49" s="145"/>
      <c r="BG49" s="145"/>
      <c r="BH49" s="152">
        <f>SUM(BI49:BK49)</f>
      </c>
      <c r="BI49" s="145"/>
      <c r="BJ49" s="145"/>
      <c r="BK49" s="145"/>
      <c r="BL49" s="145">
        <f>SUM(BM49:BR49)</f>
      </c>
      <c r="BM49" s="145"/>
      <c r="BN49" s="145"/>
      <c r="BO49" s="152"/>
      <c r="BP49" s="145"/>
      <c r="BQ49" s="145"/>
      <c r="BR49" s="145"/>
      <c r="BS49" s="145"/>
      <c r="BT49" s="145"/>
      <c r="BU49" s="152"/>
      <c r="BV49" s="145"/>
      <c r="BW49" s="145"/>
      <c r="BX49" s="145"/>
      <c r="BY49" s="152">
        <f>SUM(BZ49:CB49)</f>
      </c>
      <c r="BZ49" s="145"/>
      <c r="CA49" s="145"/>
      <c r="CB49" s="145"/>
      <c r="CC49" s="145">
        <f>SUM(CD49:CH49)</f>
      </c>
      <c r="CD49" s="145"/>
      <c r="CE49" s="152"/>
      <c r="CF49" s="145"/>
      <c r="CG49" s="145"/>
      <c r="CH49" s="145"/>
      <c r="CI49" s="152"/>
      <c r="CJ49" s="145"/>
      <c r="CK49" s="145"/>
      <c r="CL49" s="145"/>
      <c r="CM49" s="145"/>
      <c r="CN49" s="145"/>
      <c r="CO49" s="145"/>
      <c r="CP49" s="145"/>
      <c r="CQ49" s="152"/>
      <c r="CR49" s="145"/>
      <c r="CS49" s="152"/>
      <c r="CT49" s="152"/>
      <c r="CU49" s="152">
        <f>SUM(CV49:CV49)</f>
      </c>
      <c r="CV49" s="145"/>
      <c r="CW49" s="145"/>
      <c r="CX49" s="145"/>
      <c r="CY49" s="145">
        <f>SUM(CZ49:DE49)</f>
      </c>
      <c r="CZ49" s="145"/>
      <c r="DA49" s="145"/>
      <c r="DB49" s="145"/>
      <c r="DC49" s="153"/>
      <c r="DD49" s="153"/>
      <c r="DE49" s="145"/>
      <c r="DF49" s="145"/>
      <c r="DG49" s="145"/>
      <c r="DH49" s="152"/>
      <c r="DI49" s="145"/>
      <c r="DJ49" s="152"/>
      <c r="DK49" s="145"/>
      <c r="DL49" s="152"/>
      <c r="DM49" s="145"/>
      <c r="DN49" s="145"/>
      <c r="DO49" s="145"/>
      <c r="DP49" s="152"/>
      <c r="DQ49" s="145"/>
      <c r="DR49" s="145"/>
      <c r="DS49" s="145"/>
      <c r="DT49" s="145"/>
      <c r="DU49" s="145">
        <f>SUM(DV49:EE49)</f>
      </c>
      <c r="DV49" s="145"/>
      <c r="DW49" s="145"/>
      <c r="DX49" s="145"/>
      <c r="DY49" s="145"/>
      <c r="DZ49" s="145"/>
      <c r="EA49" s="152"/>
      <c r="EB49" s="145"/>
      <c r="EC49" s="145"/>
      <c r="ED49" s="145"/>
      <c r="EE49" s="145"/>
      <c r="EF49" s="145">
        <f>SUM(EG49:EH49)</f>
      </c>
      <c r="EG49" s="145"/>
      <c r="EH49" s="145"/>
      <c r="EI49" s="151" cm="1">
        <f t="array" ref="EI49">ROW()-ROW(Run[#Headers])</f>
        <v>43</v>
      </c>
    </row>
    <row r="50" spans="2:139" s="79" customFormat="1" ht="11.25" x14ac:dyDescent="0.2">
      <c r="B50" s="145"/>
      <c r="C50" s="145"/>
      <c r="D50" s="145"/>
      <c r="E50" s="152">
        <f>SUM(F50:AE50)</f>
      </c>
      <c r="F50" s="145"/>
      <c r="G50" s="145"/>
      <c r="H50" s="145"/>
      <c r="I50" s="145"/>
      <c r="J50" s="145"/>
      <c r="K50" s="145"/>
      <c r="L50" s="145"/>
      <c r="M50" s="145"/>
      <c r="N50" s="145"/>
      <c r="O50" s="145"/>
      <c r="P50" s="145"/>
      <c r="Q50" s="145"/>
      <c r="R50" s="145"/>
      <c r="S50" s="145"/>
      <c r="T50" s="145"/>
      <c r="U50" s="145"/>
      <c r="V50" s="145"/>
      <c r="W50" s="145"/>
      <c r="X50" s="145"/>
      <c r="Y50" s="145"/>
      <c r="Z50" s="145"/>
      <c r="AA50" s="145"/>
      <c r="AB50" s="145"/>
      <c r="AC50" s="148"/>
      <c r="AD50" s="148"/>
      <c r="AE50" s="148"/>
      <c r="AF50" s="152">
        <f>SUM(AG50:AJ50)</f>
      </c>
      <c r="AG50" s="145"/>
      <c r="AH50" s="145"/>
      <c r="AI50" s="145"/>
      <c r="AJ50" s="145"/>
      <c r="AK50" s="152">
        <f>SUM(AL50:AW50)</f>
      </c>
      <c r="AL50" s="145"/>
      <c r="AM50" s="145"/>
      <c r="AN50" s="145"/>
      <c r="AO50" s="145"/>
      <c r="AP50" s="145"/>
      <c r="AQ50" s="145"/>
      <c r="AR50" s="145"/>
      <c r="AS50" s="145"/>
      <c r="AT50" s="145"/>
      <c r="AU50" s="145"/>
      <c r="AV50" s="145"/>
      <c r="AW50" s="152"/>
      <c r="AX50" s="145"/>
      <c r="AY50" s="145"/>
      <c r="AZ50" s="145"/>
      <c r="BA50" s="152"/>
      <c r="BB50" s="145"/>
      <c r="BC50" s="145"/>
      <c r="BD50" s="152"/>
      <c r="BE50" s="145"/>
      <c r="BF50" s="145"/>
      <c r="BG50" s="145"/>
      <c r="BH50" s="152">
        <f>SUM(BI50:BK50)</f>
      </c>
      <c r="BI50" s="145"/>
      <c r="BJ50" s="145"/>
      <c r="BK50" s="145"/>
      <c r="BL50" s="145">
        <f>SUM(BM50:BR50)</f>
      </c>
      <c r="BM50" s="145"/>
      <c r="BN50" s="145"/>
      <c r="BO50" s="152"/>
      <c r="BP50" s="145"/>
      <c r="BQ50" s="145"/>
      <c r="BR50" s="145"/>
      <c r="BS50" s="145"/>
      <c r="BT50" s="145"/>
      <c r="BU50" s="152"/>
      <c r="BV50" s="145"/>
      <c r="BW50" s="145"/>
      <c r="BX50" s="145"/>
      <c r="BY50" s="152">
        <f>SUM(BZ50:CB50)</f>
      </c>
      <c r="BZ50" s="145"/>
      <c r="CA50" s="145"/>
      <c r="CB50" s="145"/>
      <c r="CC50" s="145">
        <f>SUM(CD50:CH50)</f>
      </c>
      <c r="CD50" s="145"/>
      <c r="CE50" s="152"/>
      <c r="CF50" s="145"/>
      <c r="CG50" s="145"/>
      <c r="CH50" s="145"/>
      <c r="CI50" s="152"/>
      <c r="CJ50" s="145"/>
      <c r="CK50" s="145"/>
      <c r="CL50" s="145"/>
      <c r="CM50" s="145"/>
      <c r="CN50" s="145"/>
      <c r="CO50" s="145"/>
      <c r="CP50" s="145"/>
      <c r="CQ50" s="152"/>
      <c r="CR50" s="145"/>
      <c r="CS50" s="152"/>
      <c r="CT50" s="152"/>
      <c r="CU50" s="152">
        <f>SUM(CV50:CV50)</f>
      </c>
      <c r="CV50" s="145"/>
      <c r="CW50" s="145"/>
      <c r="CX50" s="145"/>
      <c r="CY50" s="145">
        <f>SUM(CZ50:DE50)</f>
      </c>
      <c r="CZ50" s="145"/>
      <c r="DA50" s="145"/>
      <c r="DB50" s="145"/>
      <c r="DC50" s="153"/>
      <c r="DD50" s="153"/>
      <c r="DE50" s="145"/>
      <c r="DF50" s="145"/>
      <c r="DG50" s="145"/>
      <c r="DH50" s="152"/>
      <c r="DI50" s="145"/>
      <c r="DJ50" s="152"/>
      <c r="DK50" s="145"/>
      <c r="DL50" s="152"/>
      <c r="DM50" s="145"/>
      <c r="DN50" s="145"/>
      <c r="DO50" s="145"/>
      <c r="DP50" s="152"/>
      <c r="DQ50" s="145"/>
      <c r="DR50" s="145"/>
      <c r="DS50" s="145"/>
      <c r="DT50" s="145"/>
      <c r="DU50" s="145">
        <f>SUM(DV50:EE50)</f>
      </c>
      <c r="DV50" s="145"/>
      <c r="DW50" s="145"/>
      <c r="DX50" s="145"/>
      <c r="DY50" s="145"/>
      <c r="DZ50" s="145"/>
      <c r="EA50" s="152"/>
      <c r="EB50" s="145"/>
      <c r="EC50" s="145"/>
      <c r="ED50" s="145"/>
      <c r="EE50" s="145"/>
      <c r="EF50" s="145">
        <f>SUM(EG50:EH50)</f>
      </c>
      <c r="EG50" s="145"/>
      <c r="EH50" s="145"/>
      <c r="EI50" s="151" cm="1">
        <f t="array" ref="EI50">ROW()-ROW(Run[#Headers])</f>
        <v>44</v>
      </c>
    </row>
    <row r="51" spans="2:139" s="79" customFormat="1" ht="11.25" x14ac:dyDescent="0.2">
      <c r="B51" s="145"/>
      <c r="C51" s="145"/>
      <c r="D51" s="145"/>
      <c r="E51" s="152">
        <f>SUM(F51:AE51)</f>
      </c>
      <c r="F51" s="145"/>
      <c r="G51" s="145"/>
      <c r="H51" s="145"/>
      <c r="I51" s="145"/>
      <c r="J51" s="145"/>
      <c r="K51" s="145"/>
      <c r="L51" s="145"/>
      <c r="M51" s="145"/>
      <c r="N51" s="145"/>
      <c r="O51" s="145"/>
      <c r="P51" s="145"/>
      <c r="Q51" s="145"/>
      <c r="R51" s="145"/>
      <c r="S51" s="145"/>
      <c r="T51" s="145"/>
      <c r="U51" s="145"/>
      <c r="V51" s="145"/>
      <c r="W51" s="145"/>
      <c r="X51" s="145"/>
      <c r="Y51" s="145"/>
      <c r="Z51" s="145"/>
      <c r="AA51" s="145"/>
      <c r="AB51" s="145"/>
      <c r="AC51" s="148"/>
      <c r="AD51" s="148"/>
      <c r="AE51" s="148"/>
      <c r="AF51" s="152">
        <f>SUM(AG51:AJ51)</f>
      </c>
      <c r="AG51" s="145"/>
      <c r="AH51" s="145"/>
      <c r="AI51" s="145"/>
      <c r="AJ51" s="145"/>
      <c r="AK51" s="152">
        <f>SUM(AL51:AW51)</f>
      </c>
      <c r="AL51" s="145"/>
      <c r="AM51" s="145"/>
      <c r="AN51" s="145"/>
      <c r="AO51" s="145"/>
      <c r="AP51" s="145"/>
      <c r="AQ51" s="145"/>
      <c r="AR51" s="145"/>
      <c r="AS51" s="145"/>
      <c r="AT51" s="145"/>
      <c r="AU51" s="145"/>
      <c r="AV51" s="145"/>
      <c r="AW51" s="152"/>
      <c r="AX51" s="145"/>
      <c r="AY51" s="145"/>
      <c r="AZ51" s="145"/>
      <c r="BA51" s="152"/>
      <c r="BB51" s="145"/>
      <c r="BC51" s="145"/>
      <c r="BD51" s="152"/>
      <c r="BE51" s="145"/>
      <c r="BF51" s="145"/>
      <c r="BG51" s="145"/>
      <c r="BH51" s="152">
        <f>SUM(BI51:BK51)</f>
      </c>
      <c r="BI51" s="145"/>
      <c r="BJ51" s="145"/>
      <c r="BK51" s="145"/>
      <c r="BL51" s="145">
        <f>SUM(BM51:BR51)</f>
      </c>
      <c r="BM51" s="145"/>
      <c r="BN51" s="145"/>
      <c r="BO51" s="152"/>
      <c r="BP51" s="145"/>
      <c r="BQ51" s="145"/>
      <c r="BR51" s="145"/>
      <c r="BS51" s="145"/>
      <c r="BT51" s="145"/>
      <c r="BU51" s="152"/>
      <c r="BV51" s="145"/>
      <c r="BW51" s="145"/>
      <c r="BX51" s="145"/>
      <c r="BY51" s="152">
        <f>SUM(BZ51:CB51)</f>
      </c>
      <c r="BZ51" s="145"/>
      <c r="CA51" s="145"/>
      <c r="CB51" s="145"/>
      <c r="CC51" s="145">
        <f>SUM(CD51:CH51)</f>
      </c>
      <c r="CD51" s="145"/>
      <c r="CE51" s="152"/>
      <c r="CF51" s="145"/>
      <c r="CG51" s="145"/>
      <c r="CH51" s="145"/>
      <c r="CI51" s="152"/>
      <c r="CJ51" s="145"/>
      <c r="CK51" s="145"/>
      <c r="CL51" s="145"/>
      <c r="CM51" s="145"/>
      <c r="CN51" s="145"/>
      <c r="CO51" s="145"/>
      <c r="CP51" s="145"/>
      <c r="CQ51" s="152"/>
      <c r="CR51" s="145"/>
      <c r="CS51" s="152"/>
      <c r="CT51" s="152"/>
      <c r="CU51" s="152">
        <f>SUM(CV51:CV51)</f>
      </c>
      <c r="CV51" s="145"/>
      <c r="CW51" s="145"/>
      <c r="CX51" s="145"/>
      <c r="CY51" s="145">
        <f>SUM(CZ51:DE51)</f>
      </c>
      <c r="CZ51" s="145"/>
      <c r="DA51" s="145"/>
      <c r="DB51" s="145"/>
      <c r="DC51" s="153"/>
      <c r="DD51" s="153"/>
      <c r="DE51" s="145"/>
      <c r="DF51" s="145"/>
      <c r="DG51" s="145"/>
      <c r="DH51" s="152"/>
      <c r="DI51" s="145"/>
      <c r="DJ51" s="152"/>
      <c r="DK51" s="145"/>
      <c r="DL51" s="152"/>
      <c r="DM51" s="145"/>
      <c r="DN51" s="145"/>
      <c r="DO51" s="145"/>
      <c r="DP51" s="152"/>
      <c r="DQ51" s="145"/>
      <c r="DR51" s="145"/>
      <c r="DS51" s="145"/>
      <c r="DT51" s="145"/>
      <c r="DU51" s="145">
        <f>SUM(DV51:EE51)</f>
      </c>
      <c r="DV51" s="145"/>
      <c r="DW51" s="145"/>
      <c r="DX51" s="145"/>
      <c r="DY51" s="145"/>
      <c r="DZ51" s="145"/>
      <c r="EA51" s="152"/>
      <c r="EB51" s="145"/>
      <c r="EC51" s="145"/>
      <c r="ED51" s="145"/>
      <c r="EE51" s="145"/>
      <c r="EF51" s="145">
        <f>SUM(EG51:EH51)</f>
      </c>
      <c r="EG51" s="145"/>
      <c r="EH51" s="145"/>
      <c r="EI51" s="151" cm="1">
        <f t="array" ref="EI51">ROW()-ROW(Run[#Headers])</f>
        <v>45</v>
      </c>
    </row>
    <row r="52" spans="2:139" s="79" customFormat="1" ht="11.25" x14ac:dyDescent="0.2">
      <c r="B52" s="145"/>
      <c r="C52" s="145"/>
      <c r="D52" s="145"/>
      <c r="E52" s="152">
        <f>SUM(F52:AE52)</f>
      </c>
      <c r="F52" s="145"/>
      <c r="G52" s="145"/>
      <c r="H52" s="145"/>
      <c r="I52" s="145"/>
      <c r="J52" s="145"/>
      <c r="K52" s="145"/>
      <c r="L52" s="145"/>
      <c r="M52" s="145"/>
      <c r="N52" s="145"/>
      <c r="O52" s="145"/>
      <c r="P52" s="145"/>
      <c r="Q52" s="145"/>
      <c r="R52" s="145"/>
      <c r="S52" s="145"/>
      <c r="T52" s="145"/>
      <c r="U52" s="145"/>
      <c r="V52" s="145"/>
      <c r="W52" s="145"/>
      <c r="X52" s="145"/>
      <c r="Y52" s="145"/>
      <c r="Z52" s="145"/>
      <c r="AA52" s="145"/>
      <c r="AB52" s="145"/>
      <c r="AC52" s="148"/>
      <c r="AD52" s="148"/>
      <c r="AE52" s="148"/>
      <c r="AF52" s="152">
        <f>SUM(AG52:AJ52)</f>
      </c>
      <c r="AG52" s="145"/>
      <c r="AH52" s="145"/>
      <c r="AI52" s="145"/>
      <c r="AJ52" s="145"/>
      <c r="AK52" s="152">
        <f>SUM(AL52:AW52)</f>
      </c>
      <c r="AL52" s="145"/>
      <c r="AM52" s="145"/>
      <c r="AN52" s="145"/>
      <c r="AO52" s="145"/>
      <c r="AP52" s="145"/>
      <c r="AQ52" s="145"/>
      <c r="AR52" s="145"/>
      <c r="AS52" s="145"/>
      <c r="AT52" s="145"/>
      <c r="AU52" s="145"/>
      <c r="AV52" s="145"/>
      <c r="AW52" s="152"/>
      <c r="AX52" s="145"/>
      <c r="AY52" s="145"/>
      <c r="AZ52" s="145"/>
      <c r="BA52" s="152"/>
      <c r="BB52" s="145"/>
      <c r="BC52" s="145"/>
      <c r="BD52" s="152"/>
      <c r="BE52" s="145"/>
      <c r="BF52" s="145"/>
      <c r="BG52" s="145"/>
      <c r="BH52" s="152">
        <f>SUM(BI52:BK52)</f>
      </c>
      <c r="BI52" s="145"/>
      <c r="BJ52" s="145"/>
      <c r="BK52" s="145"/>
      <c r="BL52" s="145">
        <f>SUM(BM52:BR52)</f>
      </c>
      <c r="BM52" s="145"/>
      <c r="BN52" s="145"/>
      <c r="BO52" s="152"/>
      <c r="BP52" s="145"/>
      <c r="BQ52" s="145"/>
      <c r="BR52" s="145"/>
      <c r="BS52" s="145"/>
      <c r="BT52" s="145"/>
      <c r="BU52" s="152"/>
      <c r="BV52" s="145"/>
      <c r="BW52" s="145"/>
      <c r="BX52" s="145"/>
      <c r="BY52" s="152">
        <f>SUM(BZ52:CB52)</f>
      </c>
      <c r="BZ52" s="145"/>
      <c r="CA52" s="145"/>
      <c r="CB52" s="145"/>
      <c r="CC52" s="145">
        <f>SUM(CD52:CH52)</f>
      </c>
      <c r="CD52" s="145"/>
      <c r="CE52" s="152"/>
      <c r="CF52" s="145"/>
      <c r="CG52" s="145"/>
      <c r="CH52" s="145"/>
      <c r="CI52" s="152"/>
      <c r="CJ52" s="145"/>
      <c r="CK52" s="145"/>
      <c r="CL52" s="145"/>
      <c r="CM52" s="145"/>
      <c r="CN52" s="145"/>
      <c r="CO52" s="145"/>
      <c r="CP52" s="145"/>
      <c r="CQ52" s="152"/>
      <c r="CR52" s="145"/>
      <c r="CS52" s="152"/>
      <c r="CT52" s="152"/>
      <c r="CU52" s="152">
        <f>SUM(CV52:CV52)</f>
      </c>
      <c r="CV52" s="145"/>
      <c r="CW52" s="145"/>
      <c r="CX52" s="145"/>
      <c r="CY52" s="145">
        <f>SUM(CZ52:DE52)</f>
      </c>
      <c r="CZ52" s="145"/>
      <c r="DA52" s="145"/>
      <c r="DB52" s="145"/>
      <c r="DC52" s="153"/>
      <c r="DD52" s="153"/>
      <c r="DE52" s="145"/>
      <c r="DF52" s="145"/>
      <c r="DG52" s="145"/>
      <c r="DH52" s="152"/>
      <c r="DI52" s="145"/>
      <c r="DJ52" s="152"/>
      <c r="DK52" s="145"/>
      <c r="DL52" s="152"/>
      <c r="DM52" s="145"/>
      <c r="DN52" s="145"/>
      <c r="DO52" s="145"/>
      <c r="DP52" s="152"/>
      <c r="DQ52" s="145"/>
      <c r="DR52" s="145"/>
      <c r="DS52" s="145"/>
      <c r="DT52" s="145"/>
      <c r="DU52" s="145">
        <f>SUM(DV52:EE52)</f>
      </c>
      <c r="DV52" s="145"/>
      <c r="DW52" s="145"/>
      <c r="DX52" s="145"/>
      <c r="DY52" s="145"/>
      <c r="DZ52" s="145"/>
      <c r="EA52" s="152"/>
      <c r="EB52" s="145"/>
      <c r="EC52" s="145"/>
      <c r="ED52" s="145"/>
      <c r="EE52" s="145"/>
      <c r="EF52" s="145">
        <f>SUM(EG52:EH52)</f>
      </c>
      <c r="EG52" s="145"/>
      <c r="EH52" s="145"/>
      <c r="EI52" s="151" cm="1">
        <f t="array" ref="EI52">ROW()-ROW(Run[#Headers])</f>
        <v>46</v>
      </c>
    </row>
    <row r="53" spans="2:139" s="79" customFormat="1" ht="11.25" x14ac:dyDescent="0.2">
      <c r="B53" s="145"/>
      <c r="C53" s="145"/>
      <c r="D53" s="145"/>
      <c r="E53" s="152">
        <f>SUM(F53:AE53)</f>
      </c>
      <c r="F53" s="145"/>
      <c r="G53" s="145"/>
      <c r="H53" s="145"/>
      <c r="I53" s="145"/>
      <c r="J53" s="145"/>
      <c r="K53" s="145"/>
      <c r="L53" s="145"/>
      <c r="M53" s="145"/>
      <c r="N53" s="145"/>
      <c r="O53" s="145"/>
      <c r="P53" s="145"/>
      <c r="Q53" s="145"/>
      <c r="R53" s="145"/>
      <c r="S53" s="145"/>
      <c r="T53" s="145"/>
      <c r="U53" s="145"/>
      <c r="V53" s="145"/>
      <c r="W53" s="145"/>
      <c r="X53" s="145"/>
      <c r="Y53" s="145"/>
      <c r="Z53" s="145"/>
      <c r="AA53" s="145"/>
      <c r="AB53" s="145"/>
      <c r="AC53" s="148"/>
      <c r="AD53" s="148"/>
      <c r="AE53" s="148"/>
      <c r="AF53" s="152">
        <f>SUM(AG53:AJ53)</f>
      </c>
      <c r="AG53" s="145"/>
      <c r="AH53" s="145"/>
      <c r="AI53" s="145"/>
      <c r="AJ53" s="145"/>
      <c r="AK53" s="152">
        <f>SUM(AL53:AW53)</f>
      </c>
      <c r="AL53" s="145"/>
      <c r="AM53" s="145"/>
      <c r="AN53" s="145"/>
      <c r="AO53" s="145"/>
      <c r="AP53" s="145"/>
      <c r="AQ53" s="145"/>
      <c r="AR53" s="145"/>
      <c r="AS53" s="145"/>
      <c r="AT53" s="145"/>
      <c r="AU53" s="145"/>
      <c r="AV53" s="145"/>
      <c r="AW53" s="152"/>
      <c r="AX53" s="145"/>
      <c r="AY53" s="145"/>
      <c r="AZ53" s="145"/>
      <c r="BA53" s="152"/>
      <c r="BB53" s="145"/>
      <c r="BC53" s="145"/>
      <c r="BD53" s="152"/>
      <c r="BE53" s="145"/>
      <c r="BF53" s="145"/>
      <c r="BG53" s="145"/>
      <c r="BH53" s="152">
        <f>SUM(BI53:BK53)</f>
      </c>
      <c r="BI53" s="145"/>
      <c r="BJ53" s="145"/>
      <c r="BK53" s="145"/>
      <c r="BL53" s="145">
        <f>SUM(BM53:BR53)</f>
      </c>
      <c r="BM53" s="145"/>
      <c r="BN53" s="145"/>
      <c r="BO53" s="152"/>
      <c r="BP53" s="145"/>
      <c r="BQ53" s="145"/>
      <c r="BR53" s="145"/>
      <c r="BS53" s="145"/>
      <c r="BT53" s="145"/>
      <c r="BU53" s="152"/>
      <c r="BV53" s="145"/>
      <c r="BW53" s="145"/>
      <c r="BX53" s="145"/>
      <c r="BY53" s="152">
        <f>SUM(BZ53:CB53)</f>
      </c>
      <c r="BZ53" s="145"/>
      <c r="CA53" s="145"/>
      <c r="CB53" s="145"/>
      <c r="CC53" s="145">
        <f>SUM(CD53:CH53)</f>
      </c>
      <c r="CD53" s="145"/>
      <c r="CE53" s="152"/>
      <c r="CF53" s="145"/>
      <c r="CG53" s="145"/>
      <c r="CH53" s="145"/>
      <c r="CI53" s="152"/>
      <c r="CJ53" s="145"/>
      <c r="CK53" s="145"/>
      <c r="CL53" s="145"/>
      <c r="CM53" s="145"/>
      <c r="CN53" s="145"/>
      <c r="CO53" s="145"/>
      <c r="CP53" s="145"/>
      <c r="CQ53" s="152"/>
      <c r="CR53" s="145"/>
      <c r="CS53" s="152"/>
      <c r="CT53" s="152"/>
      <c r="CU53" s="152">
        <f>SUM(CV53:CV53)</f>
      </c>
      <c r="CV53" s="145"/>
      <c r="CW53" s="145"/>
      <c r="CX53" s="145"/>
      <c r="CY53" s="145">
        <f>SUM(CZ53:DE53)</f>
      </c>
      <c r="CZ53" s="145"/>
      <c r="DA53" s="145"/>
      <c r="DB53" s="145"/>
      <c r="DC53" s="153"/>
      <c r="DD53" s="153"/>
      <c r="DE53" s="145"/>
      <c r="DF53" s="145"/>
      <c r="DG53" s="145"/>
      <c r="DH53" s="152"/>
      <c r="DI53" s="145"/>
      <c r="DJ53" s="152"/>
      <c r="DK53" s="145"/>
      <c r="DL53" s="152"/>
      <c r="DM53" s="145"/>
      <c r="DN53" s="145"/>
      <c r="DO53" s="145"/>
      <c r="DP53" s="152"/>
      <c r="DQ53" s="145"/>
      <c r="DR53" s="145"/>
      <c r="DS53" s="145"/>
      <c r="DT53" s="145"/>
      <c r="DU53" s="145">
        <f>SUM(DV53:EE53)</f>
      </c>
      <c r="DV53" s="145"/>
      <c r="DW53" s="145"/>
      <c r="DX53" s="145"/>
      <c r="DY53" s="145"/>
      <c r="DZ53" s="145"/>
      <c r="EA53" s="152"/>
      <c r="EB53" s="145"/>
      <c r="EC53" s="145"/>
      <c r="ED53" s="145"/>
      <c r="EE53" s="145"/>
      <c r="EF53" s="145">
        <f>SUM(EG53:EH53)</f>
      </c>
      <c r="EG53" s="145"/>
      <c r="EH53" s="145"/>
      <c r="EI53" s="151" cm="1">
        <f t="array" ref="EI53">ROW()-ROW(Run[#Headers])</f>
        <v>47</v>
      </c>
    </row>
    <row r="54" spans="2:139" s="79" customFormat="1" ht="11.25" x14ac:dyDescent="0.2">
      <c r="B54" s="145"/>
      <c r="C54" s="145"/>
      <c r="D54" s="145"/>
      <c r="E54" s="152">
        <f>SUM(F54:AE54)</f>
      </c>
      <c r="F54" s="145"/>
      <c r="G54" s="145"/>
      <c r="H54" s="145"/>
      <c r="I54" s="145"/>
      <c r="J54" s="145"/>
      <c r="K54" s="145"/>
      <c r="L54" s="145"/>
      <c r="M54" s="145"/>
      <c r="N54" s="145"/>
      <c r="O54" s="145"/>
      <c r="P54" s="145"/>
      <c r="Q54" s="145"/>
      <c r="R54" s="145"/>
      <c r="S54" s="145"/>
      <c r="T54" s="145"/>
      <c r="U54" s="145"/>
      <c r="V54" s="145"/>
      <c r="W54" s="145"/>
      <c r="X54" s="145"/>
      <c r="Y54" s="145"/>
      <c r="Z54" s="145"/>
      <c r="AA54" s="145"/>
      <c r="AB54" s="145"/>
      <c r="AC54" s="148"/>
      <c r="AD54" s="148"/>
      <c r="AE54" s="148"/>
      <c r="AF54" s="152">
        <f>SUM(AG54:AJ54)</f>
      </c>
      <c r="AG54" s="145"/>
      <c r="AH54" s="145"/>
      <c r="AI54" s="145"/>
      <c r="AJ54" s="145"/>
      <c r="AK54" s="152">
        <f>SUM(AL54:AW54)</f>
      </c>
      <c r="AL54" s="145"/>
      <c r="AM54" s="145"/>
      <c r="AN54" s="145"/>
      <c r="AO54" s="145"/>
      <c r="AP54" s="145"/>
      <c r="AQ54" s="145"/>
      <c r="AR54" s="145"/>
      <c r="AS54" s="145"/>
      <c r="AT54" s="145"/>
      <c r="AU54" s="145"/>
      <c r="AV54" s="145"/>
      <c r="AW54" s="152"/>
      <c r="AX54" s="145"/>
      <c r="AY54" s="145"/>
      <c r="AZ54" s="145"/>
      <c r="BA54" s="152"/>
      <c r="BB54" s="145"/>
      <c r="BC54" s="145"/>
      <c r="BD54" s="152"/>
      <c r="BE54" s="145"/>
      <c r="BF54" s="145"/>
      <c r="BG54" s="145"/>
      <c r="BH54" s="152">
        <f>SUM(BI54:BK54)</f>
      </c>
      <c r="BI54" s="145"/>
      <c r="BJ54" s="145"/>
      <c r="BK54" s="145"/>
      <c r="BL54" s="145">
        <f>SUM(BM54:BR54)</f>
      </c>
      <c r="BM54" s="145"/>
      <c r="BN54" s="145"/>
      <c r="BO54" s="152"/>
      <c r="BP54" s="145"/>
      <c r="BQ54" s="145"/>
      <c r="BR54" s="145"/>
      <c r="BS54" s="145"/>
      <c r="BT54" s="145"/>
      <c r="BU54" s="152"/>
      <c r="BV54" s="145"/>
      <c r="BW54" s="145"/>
      <c r="BX54" s="145"/>
      <c r="BY54" s="152">
        <f>SUM(BZ54:CB54)</f>
      </c>
      <c r="BZ54" s="145"/>
      <c r="CA54" s="145"/>
      <c r="CB54" s="145"/>
      <c r="CC54" s="145">
        <f>SUM(CD54:CH54)</f>
      </c>
      <c r="CD54" s="145"/>
      <c r="CE54" s="152"/>
      <c r="CF54" s="145"/>
      <c r="CG54" s="145"/>
      <c r="CH54" s="145"/>
      <c r="CI54" s="152"/>
      <c r="CJ54" s="145"/>
      <c r="CK54" s="145"/>
      <c r="CL54" s="145"/>
      <c r="CM54" s="145"/>
      <c r="CN54" s="145"/>
      <c r="CO54" s="145"/>
      <c r="CP54" s="145"/>
      <c r="CQ54" s="152"/>
      <c r="CR54" s="145"/>
      <c r="CS54" s="152"/>
      <c r="CT54" s="152"/>
      <c r="CU54" s="152">
        <f>SUM(CV54:CV54)</f>
      </c>
      <c r="CV54" s="145"/>
      <c r="CW54" s="145"/>
      <c r="CX54" s="145"/>
      <c r="CY54" s="145">
        <f>SUM(CZ54:DE54)</f>
      </c>
      <c r="CZ54" s="145"/>
      <c r="DA54" s="145"/>
      <c r="DB54" s="145"/>
      <c r="DC54" s="153"/>
      <c r="DD54" s="153"/>
      <c r="DE54" s="145"/>
      <c r="DF54" s="145"/>
      <c r="DG54" s="145"/>
      <c r="DH54" s="152"/>
      <c r="DI54" s="145"/>
      <c r="DJ54" s="152"/>
      <c r="DK54" s="145"/>
      <c r="DL54" s="152"/>
      <c r="DM54" s="145"/>
      <c r="DN54" s="145"/>
      <c r="DO54" s="145"/>
      <c r="DP54" s="152"/>
      <c r="DQ54" s="145"/>
      <c r="DR54" s="145"/>
      <c r="DS54" s="145"/>
      <c r="DT54" s="145"/>
      <c r="DU54" s="145">
        <f>SUM(DV54:EE54)</f>
      </c>
      <c r="DV54" s="145"/>
      <c r="DW54" s="145"/>
      <c r="DX54" s="145"/>
      <c r="DY54" s="145"/>
      <c r="DZ54" s="145"/>
      <c r="EA54" s="152"/>
      <c r="EB54" s="145"/>
      <c r="EC54" s="145"/>
      <c r="ED54" s="145"/>
      <c r="EE54" s="145"/>
      <c r="EF54" s="145">
        <f>SUM(EG54:EH54)</f>
      </c>
      <c r="EG54" s="145"/>
      <c r="EH54" s="145"/>
      <c r="EI54" s="151" cm="1">
        <f t="array" ref="EI54">ROW()-ROW(Run[#Headers])</f>
        <v>48</v>
      </c>
    </row>
    <row r="55" spans="2:139" s="79" customFormat="1" ht="11.25" x14ac:dyDescent="0.2">
      <c r="B55" s="145"/>
      <c r="C55" s="145"/>
      <c r="D55" s="145"/>
      <c r="E55" s="152">
        <f>SUM(F55:AE55)</f>
      </c>
      <c r="F55" s="145"/>
      <c r="G55" s="145"/>
      <c r="H55" s="145"/>
      <c r="I55" s="145"/>
      <c r="J55" s="145"/>
      <c r="K55" s="145"/>
      <c r="L55" s="145"/>
      <c r="M55" s="145"/>
      <c r="N55" s="145"/>
      <c r="O55" s="145"/>
      <c r="P55" s="145"/>
      <c r="Q55" s="145"/>
      <c r="R55" s="145"/>
      <c r="S55" s="145"/>
      <c r="T55" s="145"/>
      <c r="U55" s="145"/>
      <c r="V55" s="145"/>
      <c r="W55" s="145"/>
      <c r="X55" s="145"/>
      <c r="Y55" s="145"/>
      <c r="Z55" s="145"/>
      <c r="AA55" s="145"/>
      <c r="AB55" s="145"/>
      <c r="AC55" s="148"/>
      <c r="AD55" s="148"/>
      <c r="AE55" s="148"/>
      <c r="AF55" s="152">
        <f>SUM(AG55:AJ55)</f>
      </c>
      <c r="AG55" s="145"/>
      <c r="AH55" s="145"/>
      <c r="AI55" s="145"/>
      <c r="AJ55" s="145"/>
      <c r="AK55" s="152">
        <f>SUM(AL55:AW55)</f>
      </c>
      <c r="AL55" s="145"/>
      <c r="AM55" s="145"/>
      <c r="AN55" s="145"/>
      <c r="AO55" s="145"/>
      <c r="AP55" s="145"/>
      <c r="AQ55" s="145"/>
      <c r="AR55" s="145"/>
      <c r="AS55" s="145"/>
      <c r="AT55" s="145"/>
      <c r="AU55" s="145"/>
      <c r="AV55" s="145"/>
      <c r="AW55" s="152"/>
      <c r="AX55" s="145"/>
      <c r="AY55" s="145"/>
      <c r="AZ55" s="145"/>
      <c r="BA55" s="152"/>
      <c r="BB55" s="145"/>
      <c r="BC55" s="145"/>
      <c r="BD55" s="152"/>
      <c r="BE55" s="145"/>
      <c r="BF55" s="145"/>
      <c r="BG55" s="145"/>
      <c r="BH55" s="152">
        <f>SUM(BI55:BK55)</f>
      </c>
      <c r="BI55" s="145"/>
      <c r="BJ55" s="145"/>
      <c r="BK55" s="145"/>
      <c r="BL55" s="145">
        <f>SUM(BM55:BR55)</f>
      </c>
      <c r="BM55" s="145"/>
      <c r="BN55" s="145"/>
      <c r="BO55" s="152"/>
      <c r="BP55" s="145"/>
      <c r="BQ55" s="145"/>
      <c r="BR55" s="145"/>
      <c r="BS55" s="145"/>
      <c r="BT55" s="145"/>
      <c r="BU55" s="152"/>
      <c r="BV55" s="145"/>
      <c r="BW55" s="145"/>
      <c r="BX55" s="145"/>
      <c r="BY55" s="152">
        <f>SUM(BZ55:CB55)</f>
      </c>
      <c r="BZ55" s="145"/>
      <c r="CA55" s="145"/>
      <c r="CB55" s="145"/>
      <c r="CC55" s="145">
        <f>SUM(CD55:CH55)</f>
      </c>
      <c r="CD55" s="145"/>
      <c r="CE55" s="152"/>
      <c r="CF55" s="145"/>
      <c r="CG55" s="145"/>
      <c r="CH55" s="145"/>
      <c r="CI55" s="152"/>
      <c r="CJ55" s="145"/>
      <c r="CK55" s="145"/>
      <c r="CL55" s="145"/>
      <c r="CM55" s="145"/>
      <c r="CN55" s="145"/>
      <c r="CO55" s="145"/>
      <c r="CP55" s="145"/>
      <c r="CQ55" s="152"/>
      <c r="CR55" s="145"/>
      <c r="CS55" s="152"/>
      <c r="CT55" s="152"/>
      <c r="CU55" s="152">
        <f>SUM(CV55:CV55)</f>
      </c>
      <c r="CV55" s="145"/>
      <c r="CW55" s="145"/>
      <c r="CX55" s="145"/>
      <c r="CY55" s="145">
        <f>SUM(CZ55:DE55)</f>
      </c>
      <c r="CZ55" s="145"/>
      <c r="DA55" s="145"/>
      <c r="DB55" s="145"/>
      <c r="DC55" s="153"/>
      <c r="DD55" s="153"/>
      <c r="DE55" s="145"/>
      <c r="DF55" s="145"/>
      <c r="DG55" s="145"/>
      <c r="DH55" s="152"/>
      <c r="DI55" s="145"/>
      <c r="DJ55" s="152"/>
      <c r="DK55" s="145"/>
      <c r="DL55" s="152"/>
      <c r="DM55" s="145"/>
      <c r="DN55" s="145"/>
      <c r="DO55" s="145"/>
      <c r="DP55" s="152"/>
      <c r="DQ55" s="145"/>
      <c r="DR55" s="145"/>
      <c r="DS55" s="145"/>
      <c r="DT55" s="145"/>
      <c r="DU55" s="145">
        <f>SUM(DV55:EE55)</f>
      </c>
      <c r="DV55" s="145"/>
      <c r="DW55" s="145"/>
      <c r="DX55" s="145"/>
      <c r="DY55" s="145"/>
      <c r="DZ55" s="145"/>
      <c r="EA55" s="152"/>
      <c r="EB55" s="145"/>
      <c r="EC55" s="145"/>
      <c r="ED55" s="145"/>
      <c r="EE55" s="145"/>
      <c r="EF55" s="145">
        <f>SUM(EG55:EH55)</f>
      </c>
      <c r="EG55" s="145"/>
      <c r="EH55" s="145"/>
      <c r="EI55" s="151" cm="1">
        <f t="array" ref="EI55">ROW()-ROW(Run[#Headers])</f>
        <v>49</v>
      </c>
    </row>
    <row r="56" spans="2:139" s="79" customFormat="1" ht="11.25" x14ac:dyDescent="0.2">
      <c r="B56" s="145"/>
      <c r="C56" s="145"/>
      <c r="D56" s="145"/>
      <c r="E56" s="152">
        <f>SUM(F56:AE56)</f>
      </c>
      <c r="F56" s="145"/>
      <c r="G56" s="145"/>
      <c r="H56" s="145"/>
      <c r="I56" s="145"/>
      <c r="J56" s="145"/>
      <c r="K56" s="145"/>
      <c r="L56" s="145"/>
      <c r="M56" s="145"/>
      <c r="N56" s="145"/>
      <c r="O56" s="145"/>
      <c r="P56" s="145"/>
      <c r="Q56" s="145"/>
      <c r="R56" s="145"/>
      <c r="S56" s="145"/>
      <c r="T56" s="145"/>
      <c r="U56" s="145"/>
      <c r="V56" s="145"/>
      <c r="W56" s="145"/>
      <c r="X56" s="145"/>
      <c r="Y56" s="145"/>
      <c r="Z56" s="145"/>
      <c r="AA56" s="145"/>
      <c r="AB56" s="145"/>
      <c r="AC56" s="148"/>
      <c r="AD56" s="148"/>
      <c r="AE56" s="148"/>
      <c r="AF56" s="152">
        <f>SUM(AG56:AJ56)</f>
      </c>
      <c r="AG56" s="145"/>
      <c r="AH56" s="145"/>
      <c r="AI56" s="145"/>
      <c r="AJ56" s="145"/>
      <c r="AK56" s="152">
        <f>SUM(AL56:AW56)</f>
      </c>
      <c r="AL56" s="145"/>
      <c r="AM56" s="145"/>
      <c r="AN56" s="145"/>
      <c r="AO56" s="145"/>
      <c r="AP56" s="145"/>
      <c r="AQ56" s="145"/>
      <c r="AR56" s="145"/>
      <c r="AS56" s="145"/>
      <c r="AT56" s="145"/>
      <c r="AU56" s="145"/>
      <c r="AV56" s="145"/>
      <c r="AW56" s="152"/>
      <c r="AX56" s="145"/>
      <c r="AY56" s="145"/>
      <c r="AZ56" s="145"/>
      <c r="BA56" s="152"/>
      <c r="BB56" s="145"/>
      <c r="BC56" s="145"/>
      <c r="BD56" s="152"/>
      <c r="BE56" s="145"/>
      <c r="BF56" s="145"/>
      <c r="BG56" s="145"/>
      <c r="BH56" s="152">
        <f>SUM(BI56:BK56)</f>
      </c>
      <c r="BI56" s="145"/>
      <c r="BJ56" s="145"/>
      <c r="BK56" s="145"/>
      <c r="BL56" s="145">
        <f>SUM(BM56:BR56)</f>
      </c>
      <c r="BM56" s="145"/>
      <c r="BN56" s="145"/>
      <c r="BO56" s="152"/>
      <c r="BP56" s="145"/>
      <c r="BQ56" s="145"/>
      <c r="BR56" s="145"/>
      <c r="BS56" s="145"/>
      <c r="BT56" s="145"/>
      <c r="BU56" s="152"/>
      <c r="BV56" s="145"/>
      <c r="BW56" s="145"/>
      <c r="BX56" s="145"/>
      <c r="BY56" s="152">
        <f>SUM(BZ56:CB56)</f>
      </c>
      <c r="BZ56" s="145"/>
      <c r="CA56" s="145"/>
      <c r="CB56" s="145"/>
      <c r="CC56" s="145">
        <f>SUM(CD56:CH56)</f>
      </c>
      <c r="CD56" s="145"/>
      <c r="CE56" s="152"/>
      <c r="CF56" s="145"/>
      <c r="CG56" s="145"/>
      <c r="CH56" s="145"/>
      <c r="CI56" s="152"/>
      <c r="CJ56" s="145"/>
      <c r="CK56" s="145"/>
      <c r="CL56" s="145"/>
      <c r="CM56" s="145"/>
      <c r="CN56" s="145"/>
      <c r="CO56" s="145"/>
      <c r="CP56" s="145"/>
      <c r="CQ56" s="152"/>
      <c r="CR56" s="145"/>
      <c r="CS56" s="152"/>
      <c r="CT56" s="152"/>
      <c r="CU56" s="152">
        <f>SUM(CV56:CV56)</f>
      </c>
      <c r="CV56" s="145"/>
      <c r="CW56" s="145"/>
      <c r="CX56" s="145"/>
      <c r="CY56" s="145">
        <f>SUM(CZ56:DE56)</f>
      </c>
      <c r="CZ56" s="145"/>
      <c r="DA56" s="145"/>
      <c r="DB56" s="145"/>
      <c r="DC56" s="153"/>
      <c r="DD56" s="153"/>
      <c r="DE56" s="145"/>
      <c r="DF56" s="145"/>
      <c r="DG56" s="145"/>
      <c r="DH56" s="152"/>
      <c r="DI56" s="145"/>
      <c r="DJ56" s="152"/>
      <c r="DK56" s="145"/>
      <c r="DL56" s="152"/>
      <c r="DM56" s="145"/>
      <c r="DN56" s="145"/>
      <c r="DO56" s="145"/>
      <c r="DP56" s="152"/>
      <c r="DQ56" s="145"/>
      <c r="DR56" s="145"/>
      <c r="DS56" s="145"/>
      <c r="DT56" s="145"/>
      <c r="DU56" s="145">
        <f>SUM(DV56:EE56)</f>
      </c>
      <c r="DV56" s="145"/>
      <c r="DW56" s="145"/>
      <c r="DX56" s="145"/>
      <c r="DY56" s="145"/>
      <c r="DZ56" s="145"/>
      <c r="EA56" s="152"/>
      <c r="EB56" s="145"/>
      <c r="EC56" s="145"/>
      <c r="ED56" s="145"/>
      <c r="EE56" s="145"/>
      <c r="EF56" s="145">
        <f>SUM(EG56:EH56)</f>
      </c>
      <c r="EG56" s="145"/>
      <c r="EH56" s="145"/>
      <c r="EI56" s="151" cm="1">
        <f t="array" ref="EI56">ROW()-ROW(Run[#Headers])</f>
        <v>50</v>
      </c>
    </row>
    <row r="57" spans="2:139" s="79" customFormat="1" ht="11.25" x14ac:dyDescent="0.2">
      <c r="B57" s="145"/>
      <c r="C57" s="145"/>
      <c r="D57" s="145"/>
      <c r="E57" s="152">
        <f>SUM(F57:AE57)</f>
      </c>
      <c r="F57" s="145"/>
      <c r="G57" s="145"/>
      <c r="H57" s="145"/>
      <c r="I57" s="145"/>
      <c r="J57" s="145"/>
      <c r="K57" s="145"/>
      <c r="L57" s="145"/>
      <c r="M57" s="145"/>
      <c r="N57" s="145"/>
      <c r="O57" s="145"/>
      <c r="P57" s="145"/>
      <c r="Q57" s="145"/>
      <c r="R57" s="145"/>
      <c r="S57" s="145"/>
      <c r="T57" s="145"/>
      <c r="U57" s="145"/>
      <c r="V57" s="145"/>
      <c r="W57" s="145"/>
      <c r="X57" s="145"/>
      <c r="Y57" s="145"/>
      <c r="Z57" s="145"/>
      <c r="AA57" s="145"/>
      <c r="AB57" s="145"/>
      <c r="AC57" s="148"/>
      <c r="AD57" s="148"/>
      <c r="AE57" s="148"/>
      <c r="AF57" s="152">
        <f>SUM(AG57:AJ57)</f>
      </c>
      <c r="AG57" s="145"/>
      <c r="AH57" s="145"/>
      <c r="AI57" s="145"/>
      <c r="AJ57" s="145"/>
      <c r="AK57" s="152">
        <f>SUM(AL57:AW57)</f>
      </c>
      <c r="AL57" s="145"/>
      <c r="AM57" s="145"/>
      <c r="AN57" s="145"/>
      <c r="AO57" s="145"/>
      <c r="AP57" s="145"/>
      <c r="AQ57" s="145"/>
      <c r="AR57" s="145"/>
      <c r="AS57" s="145"/>
      <c r="AT57" s="145"/>
      <c r="AU57" s="145"/>
      <c r="AV57" s="145"/>
      <c r="AW57" s="152"/>
      <c r="AX57" s="145"/>
      <c r="AY57" s="145"/>
      <c r="AZ57" s="145"/>
      <c r="BA57" s="152"/>
      <c r="BB57" s="145"/>
      <c r="BC57" s="145"/>
      <c r="BD57" s="152"/>
      <c r="BE57" s="145"/>
      <c r="BF57" s="145"/>
      <c r="BG57" s="145"/>
      <c r="BH57" s="152">
        <f>SUM(BI57:BK57)</f>
      </c>
      <c r="BI57" s="145"/>
      <c r="BJ57" s="145"/>
      <c r="BK57" s="145"/>
      <c r="BL57" s="145">
        <f>SUM(BM57:BR57)</f>
      </c>
      <c r="BM57" s="145"/>
      <c r="BN57" s="145"/>
      <c r="BO57" s="152"/>
      <c r="BP57" s="145"/>
      <c r="BQ57" s="145"/>
      <c r="BR57" s="145"/>
      <c r="BS57" s="145"/>
      <c r="BT57" s="145"/>
      <c r="BU57" s="152"/>
      <c r="BV57" s="145"/>
      <c r="BW57" s="145"/>
      <c r="BX57" s="145"/>
      <c r="BY57" s="152">
        <f>SUM(BZ57:CB57)</f>
      </c>
      <c r="BZ57" s="145"/>
      <c r="CA57" s="145"/>
      <c r="CB57" s="145"/>
      <c r="CC57" s="145">
        <f>SUM(CD57:CH57)</f>
      </c>
      <c r="CD57" s="145"/>
      <c r="CE57" s="152"/>
      <c r="CF57" s="145"/>
      <c r="CG57" s="145"/>
      <c r="CH57" s="145"/>
      <c r="CI57" s="152"/>
      <c r="CJ57" s="145"/>
      <c r="CK57" s="145"/>
      <c r="CL57" s="145"/>
      <c r="CM57" s="145"/>
      <c r="CN57" s="145"/>
      <c r="CO57" s="145"/>
      <c r="CP57" s="145"/>
      <c r="CQ57" s="152"/>
      <c r="CR57" s="145"/>
      <c r="CS57" s="152"/>
      <c r="CT57" s="152"/>
      <c r="CU57" s="152">
        <f>SUM(CV57:CV57)</f>
      </c>
      <c r="CV57" s="145"/>
      <c r="CW57" s="145"/>
      <c r="CX57" s="145"/>
      <c r="CY57" s="145">
        <f>SUM(CZ57:DE57)</f>
      </c>
      <c r="CZ57" s="145"/>
      <c r="DA57" s="145"/>
      <c r="DB57" s="145"/>
      <c r="DC57" s="153"/>
      <c r="DD57" s="153"/>
      <c r="DE57" s="145"/>
      <c r="DF57" s="145"/>
      <c r="DG57" s="145"/>
      <c r="DH57" s="152"/>
      <c r="DI57" s="145"/>
      <c r="DJ57" s="152"/>
      <c r="DK57" s="145"/>
      <c r="DL57" s="152"/>
      <c r="DM57" s="145"/>
      <c r="DN57" s="145"/>
      <c r="DO57" s="145"/>
      <c r="DP57" s="152"/>
      <c r="DQ57" s="145"/>
      <c r="DR57" s="145"/>
      <c r="DS57" s="145"/>
      <c r="DT57" s="145"/>
      <c r="DU57" s="145">
        <f>SUM(DV57:EE57)</f>
      </c>
      <c r="DV57" s="145"/>
      <c r="DW57" s="145"/>
      <c r="DX57" s="145"/>
      <c r="DY57" s="145"/>
      <c r="DZ57" s="145"/>
      <c r="EA57" s="152"/>
      <c r="EB57" s="145"/>
      <c r="EC57" s="145"/>
      <c r="ED57" s="145"/>
      <c r="EE57" s="145"/>
      <c r="EF57" s="145">
        <f>SUM(EG57:EH57)</f>
      </c>
      <c r="EG57" s="145"/>
      <c r="EH57" s="145"/>
      <c r="EI57" s="151" cm="1">
        <f t="array" ref="EI57">ROW()-ROW(Run[#Headers])</f>
        <v>51</v>
      </c>
    </row>
    <row r="58" spans="2:139" s="79" customFormat="1" ht="11.25" x14ac:dyDescent="0.2">
      <c r="B58" s="145"/>
      <c r="C58" s="145"/>
      <c r="D58" s="145"/>
      <c r="E58" s="152">
        <f>SUM(F58:AE58)</f>
      </c>
      <c r="F58" s="145"/>
      <c r="G58" s="145"/>
      <c r="H58" s="145"/>
      <c r="I58" s="145"/>
      <c r="J58" s="145"/>
      <c r="K58" s="145"/>
      <c r="L58" s="145"/>
      <c r="M58" s="145"/>
      <c r="N58" s="145"/>
      <c r="O58" s="145"/>
      <c r="P58" s="145"/>
      <c r="Q58" s="145"/>
      <c r="R58" s="145"/>
      <c r="S58" s="145"/>
      <c r="T58" s="145"/>
      <c r="U58" s="145"/>
      <c r="V58" s="145"/>
      <c r="W58" s="145"/>
      <c r="X58" s="145"/>
      <c r="Y58" s="145"/>
      <c r="Z58" s="145"/>
      <c r="AA58" s="145"/>
      <c r="AB58" s="145"/>
      <c r="AC58" s="148"/>
      <c r="AD58" s="148"/>
      <c r="AE58" s="148"/>
      <c r="AF58" s="152">
        <f>SUM(AG58:AJ58)</f>
      </c>
      <c r="AG58" s="145"/>
      <c r="AH58" s="145"/>
      <c r="AI58" s="145"/>
      <c r="AJ58" s="145"/>
      <c r="AK58" s="152">
        <f>SUM(AL58:AW58)</f>
      </c>
      <c r="AL58" s="145"/>
      <c r="AM58" s="145"/>
      <c r="AN58" s="145"/>
      <c r="AO58" s="145"/>
      <c r="AP58" s="145"/>
      <c r="AQ58" s="145"/>
      <c r="AR58" s="145"/>
      <c r="AS58" s="145"/>
      <c r="AT58" s="145"/>
      <c r="AU58" s="145"/>
      <c r="AV58" s="145"/>
      <c r="AW58" s="152"/>
      <c r="AX58" s="145"/>
      <c r="AY58" s="145"/>
      <c r="AZ58" s="145"/>
      <c r="BA58" s="152"/>
      <c r="BB58" s="145"/>
      <c r="BC58" s="145"/>
      <c r="BD58" s="152"/>
      <c r="BE58" s="145"/>
      <c r="BF58" s="145"/>
      <c r="BG58" s="145"/>
      <c r="BH58" s="152">
        <f>SUM(BI58:BK58)</f>
      </c>
      <c r="BI58" s="145"/>
      <c r="BJ58" s="145"/>
      <c r="BK58" s="145"/>
      <c r="BL58" s="145">
        <f>SUM(BM58:BR58)</f>
      </c>
      <c r="BM58" s="145"/>
      <c r="BN58" s="145"/>
      <c r="BO58" s="152"/>
      <c r="BP58" s="145"/>
      <c r="BQ58" s="145"/>
      <c r="BR58" s="145"/>
      <c r="BS58" s="145"/>
      <c r="BT58" s="145"/>
      <c r="BU58" s="152"/>
      <c r="BV58" s="145"/>
      <c r="BW58" s="145"/>
      <c r="BX58" s="145"/>
      <c r="BY58" s="152">
        <f>SUM(BZ58:CB58)</f>
      </c>
      <c r="BZ58" s="145"/>
      <c r="CA58" s="145"/>
      <c r="CB58" s="145"/>
      <c r="CC58" s="145">
        <f>SUM(CD58:CH58)</f>
      </c>
      <c r="CD58" s="145"/>
      <c r="CE58" s="152"/>
      <c r="CF58" s="145"/>
      <c r="CG58" s="145"/>
      <c r="CH58" s="145"/>
      <c r="CI58" s="152"/>
      <c r="CJ58" s="145"/>
      <c r="CK58" s="145"/>
      <c r="CL58" s="145"/>
      <c r="CM58" s="145"/>
      <c r="CN58" s="145"/>
      <c r="CO58" s="145"/>
      <c r="CP58" s="145"/>
      <c r="CQ58" s="152"/>
      <c r="CR58" s="145"/>
      <c r="CS58" s="152"/>
      <c r="CT58" s="152"/>
      <c r="CU58" s="152">
        <f>SUM(CV58:CV58)</f>
      </c>
      <c r="CV58" s="145"/>
      <c r="CW58" s="145"/>
      <c r="CX58" s="145"/>
      <c r="CY58" s="145">
        <f>SUM(CZ58:DE58)</f>
      </c>
      <c r="CZ58" s="145"/>
      <c r="DA58" s="145"/>
      <c r="DB58" s="145"/>
      <c r="DC58" s="153"/>
      <c r="DD58" s="153"/>
      <c r="DE58" s="145"/>
      <c r="DF58" s="145"/>
      <c r="DG58" s="145"/>
      <c r="DH58" s="152"/>
      <c r="DI58" s="145"/>
      <c r="DJ58" s="152"/>
      <c r="DK58" s="145"/>
      <c r="DL58" s="152"/>
      <c r="DM58" s="145"/>
      <c r="DN58" s="145"/>
      <c r="DO58" s="145"/>
      <c r="DP58" s="152"/>
      <c r="DQ58" s="145"/>
      <c r="DR58" s="145"/>
      <c r="DS58" s="145"/>
      <c r="DT58" s="145"/>
      <c r="DU58" s="145">
        <f>SUM(DV58:EE58)</f>
      </c>
      <c r="DV58" s="145"/>
      <c r="DW58" s="145"/>
      <c r="DX58" s="145"/>
      <c r="DY58" s="145"/>
      <c r="DZ58" s="145"/>
      <c r="EA58" s="152"/>
      <c r="EB58" s="145"/>
      <c r="EC58" s="145"/>
      <c r="ED58" s="145"/>
      <c r="EE58" s="145"/>
      <c r="EF58" s="145">
        <f>SUM(EG58:EH58)</f>
      </c>
      <c r="EG58" s="145"/>
      <c r="EH58" s="145"/>
      <c r="EI58" s="151" cm="1">
        <f t="array" ref="EI58">ROW()-ROW(Run[#Headers])</f>
        <v>52</v>
      </c>
    </row>
    <row r="59" spans="2:139" s="79" customFormat="1" ht="11.25" x14ac:dyDescent="0.2">
      <c r="B59" s="145"/>
      <c r="C59" s="145"/>
      <c r="D59" s="145"/>
      <c r="E59" s="152">
        <f>SUM(F59:AE59)</f>
      </c>
      <c r="F59" s="145"/>
      <c r="G59" s="145"/>
      <c r="H59" s="145"/>
      <c r="I59" s="145"/>
      <c r="J59" s="145"/>
      <c r="K59" s="145"/>
      <c r="L59" s="145"/>
      <c r="M59" s="145"/>
      <c r="N59" s="145"/>
      <c r="O59" s="145"/>
      <c r="P59" s="145"/>
      <c r="Q59" s="145"/>
      <c r="R59" s="145"/>
      <c r="S59" s="145"/>
      <c r="T59" s="145"/>
      <c r="U59" s="145"/>
      <c r="V59" s="145"/>
      <c r="W59" s="145"/>
      <c r="X59" s="145"/>
      <c r="Y59" s="145"/>
      <c r="Z59" s="145"/>
      <c r="AA59" s="145"/>
      <c r="AB59" s="145"/>
      <c r="AC59" s="148"/>
      <c r="AD59" s="148"/>
      <c r="AE59" s="148"/>
      <c r="AF59" s="152">
        <f>SUM(AG59:AJ59)</f>
      </c>
      <c r="AG59" s="145"/>
      <c r="AH59" s="145"/>
      <c r="AI59" s="145"/>
      <c r="AJ59" s="145"/>
      <c r="AK59" s="152">
        <f>SUM(AL59:AW59)</f>
      </c>
      <c r="AL59" s="145"/>
      <c r="AM59" s="145"/>
      <c r="AN59" s="145"/>
      <c r="AO59" s="145"/>
      <c r="AP59" s="145"/>
      <c r="AQ59" s="145"/>
      <c r="AR59" s="145"/>
      <c r="AS59" s="145"/>
      <c r="AT59" s="145"/>
      <c r="AU59" s="145"/>
      <c r="AV59" s="145"/>
      <c r="AW59" s="152"/>
      <c r="AX59" s="145"/>
      <c r="AY59" s="145"/>
      <c r="AZ59" s="145"/>
      <c r="BA59" s="152"/>
      <c r="BB59" s="145"/>
      <c r="BC59" s="145"/>
      <c r="BD59" s="152"/>
      <c r="BE59" s="145"/>
      <c r="BF59" s="145"/>
      <c r="BG59" s="145"/>
      <c r="BH59" s="152">
        <f>SUM(BI59:BK59)</f>
      </c>
      <c r="BI59" s="145"/>
      <c r="BJ59" s="145"/>
      <c r="BK59" s="145"/>
      <c r="BL59" s="145">
        <f>SUM(BM59:BR59)</f>
      </c>
      <c r="BM59" s="145"/>
      <c r="BN59" s="145"/>
      <c r="BO59" s="152"/>
      <c r="BP59" s="145"/>
      <c r="BQ59" s="145"/>
      <c r="BR59" s="145"/>
      <c r="BS59" s="145"/>
      <c r="BT59" s="145"/>
      <c r="BU59" s="152"/>
      <c r="BV59" s="145"/>
      <c r="BW59" s="145"/>
      <c r="BX59" s="145"/>
      <c r="BY59" s="152">
        <f>SUM(BZ59:CB59)</f>
      </c>
      <c r="BZ59" s="145"/>
      <c r="CA59" s="145"/>
      <c r="CB59" s="145"/>
      <c r="CC59" s="145">
        <f>SUM(CD59:CH59)</f>
      </c>
      <c r="CD59" s="145"/>
      <c r="CE59" s="152"/>
      <c r="CF59" s="145"/>
      <c r="CG59" s="145"/>
      <c r="CH59" s="145"/>
      <c r="CI59" s="152"/>
      <c r="CJ59" s="145"/>
      <c r="CK59" s="145"/>
      <c r="CL59" s="145"/>
      <c r="CM59" s="145"/>
      <c r="CN59" s="145"/>
      <c r="CO59" s="145"/>
      <c r="CP59" s="145"/>
      <c r="CQ59" s="152"/>
      <c r="CR59" s="145"/>
      <c r="CS59" s="152"/>
      <c r="CT59" s="152"/>
      <c r="CU59" s="152">
        <f>SUM(CV59:CV59)</f>
      </c>
      <c r="CV59" s="145"/>
      <c r="CW59" s="145"/>
      <c r="CX59" s="145"/>
      <c r="CY59" s="145">
        <f>SUM(CZ59:DE59)</f>
      </c>
      <c r="CZ59" s="145"/>
      <c r="DA59" s="145"/>
      <c r="DB59" s="145"/>
      <c r="DC59" s="153"/>
      <c r="DD59" s="153"/>
      <c r="DE59" s="145"/>
      <c r="DF59" s="145"/>
      <c r="DG59" s="145"/>
      <c r="DH59" s="152"/>
      <c r="DI59" s="145"/>
      <c r="DJ59" s="152"/>
      <c r="DK59" s="145"/>
      <c r="DL59" s="152"/>
      <c r="DM59" s="145"/>
      <c r="DN59" s="145"/>
      <c r="DO59" s="145"/>
      <c r="DP59" s="152"/>
      <c r="DQ59" s="145"/>
      <c r="DR59" s="145"/>
      <c r="DS59" s="145"/>
      <c r="DT59" s="145"/>
      <c r="DU59" s="145">
        <f>SUM(DV59:EE59)</f>
      </c>
      <c r="DV59" s="145"/>
      <c r="DW59" s="145"/>
      <c r="DX59" s="145"/>
      <c r="DY59" s="145"/>
      <c r="DZ59" s="145"/>
      <c r="EA59" s="152"/>
      <c r="EB59" s="145"/>
      <c r="EC59" s="145"/>
      <c r="ED59" s="145"/>
      <c r="EE59" s="145"/>
      <c r="EF59" s="145">
        <f>SUM(EG59:EH59)</f>
      </c>
      <c r="EG59" s="145"/>
      <c r="EH59" s="145"/>
      <c r="EI59" s="151" cm="1">
        <f t="array" ref="EI59">ROW()-ROW(Run[#Headers])</f>
        <v>53</v>
      </c>
    </row>
    <row r="60" spans="2:139" s="79" customFormat="1" ht="11.25" x14ac:dyDescent="0.2">
      <c r="B60" s="145"/>
      <c r="C60" s="154"/>
      <c r="D60" s="145"/>
      <c r="E60" s="152">
        <f>SUM(F60:AE60)</f>
      </c>
      <c r="F60" s="145"/>
      <c r="G60" s="145"/>
      <c r="H60" s="145"/>
      <c r="I60" s="145"/>
      <c r="J60" s="145"/>
      <c r="K60" s="145"/>
      <c r="L60" s="145"/>
      <c r="M60" s="145"/>
      <c r="N60" s="145"/>
      <c r="O60" s="145"/>
      <c r="P60" s="145"/>
      <c r="Q60" s="145"/>
      <c r="R60" s="145"/>
      <c r="S60" s="145"/>
      <c r="T60" s="145"/>
      <c r="U60" s="145"/>
      <c r="V60" s="145"/>
      <c r="W60" s="145"/>
      <c r="X60" s="145"/>
      <c r="Y60" s="145"/>
      <c r="Z60" s="145"/>
      <c r="AA60" s="145"/>
      <c r="AB60" s="145"/>
      <c r="AC60" s="148"/>
      <c r="AD60" s="148"/>
      <c r="AE60" s="148"/>
      <c r="AF60" s="152">
        <f>SUM(AG60:AJ60)</f>
      </c>
      <c r="AG60" s="145"/>
      <c r="AH60" s="145"/>
      <c r="AI60" s="145"/>
      <c r="AJ60" s="145"/>
      <c r="AK60" s="152">
        <f>SUM(AL60:AW60)</f>
      </c>
      <c r="AL60" s="145"/>
      <c r="AM60" s="145"/>
      <c r="AN60" s="145"/>
      <c r="AO60" s="145"/>
      <c r="AP60" s="145"/>
      <c r="AQ60" s="145"/>
      <c r="AR60" s="145"/>
      <c r="AS60" s="145"/>
      <c r="AT60" s="145"/>
      <c r="AU60" s="145"/>
      <c r="AV60" s="145"/>
      <c r="AW60" s="152"/>
      <c r="AX60" s="145"/>
      <c r="AY60" s="145"/>
      <c r="AZ60" s="145"/>
      <c r="BA60" s="152"/>
      <c r="BB60" s="145"/>
      <c r="BC60" s="145"/>
      <c r="BD60" s="152"/>
      <c r="BE60" s="145"/>
      <c r="BF60" s="145"/>
      <c r="BG60" s="145"/>
      <c r="BH60" s="152">
        <f>SUM(BI60:BK60)</f>
      </c>
      <c r="BI60" s="145"/>
      <c r="BJ60" s="145"/>
      <c r="BK60" s="145"/>
      <c r="BL60" s="145">
        <f>SUM(BM60:BR60)</f>
      </c>
      <c r="BM60" s="145"/>
      <c r="BN60" s="145"/>
      <c r="BO60" s="152"/>
      <c r="BP60" s="145"/>
      <c r="BQ60" s="145"/>
      <c r="BR60" s="145"/>
      <c r="BS60" s="145"/>
      <c r="BT60" s="145"/>
      <c r="BU60" s="152"/>
      <c r="BV60" s="145"/>
      <c r="BW60" s="145"/>
      <c r="BX60" s="145"/>
      <c r="BY60" s="152">
        <f>SUM(BZ60:CB60)</f>
      </c>
      <c r="BZ60" s="145"/>
      <c r="CA60" s="145"/>
      <c r="CB60" s="145"/>
      <c r="CC60" s="145">
        <f>SUM(CD60:CH60)</f>
      </c>
      <c r="CD60" s="145"/>
      <c r="CE60" s="152"/>
      <c r="CF60" s="145"/>
      <c r="CG60" s="145"/>
      <c r="CH60" s="145"/>
      <c r="CI60" s="152"/>
      <c r="CJ60" s="145"/>
      <c r="CK60" s="145"/>
      <c r="CL60" s="145"/>
      <c r="CM60" s="145"/>
      <c r="CN60" s="145"/>
      <c r="CO60" s="145"/>
      <c r="CP60" s="145"/>
      <c r="CQ60" s="152"/>
      <c r="CR60" s="145"/>
      <c r="CS60" s="152"/>
      <c r="CT60" s="152"/>
      <c r="CU60" s="152">
        <f>SUM(CV60:CV60)</f>
      </c>
      <c r="CV60" s="145"/>
      <c r="CW60" s="145"/>
      <c r="CX60" s="145"/>
      <c r="CY60" s="145">
        <f>SUM(CZ60:DE60)</f>
      </c>
      <c r="CZ60" s="145"/>
      <c r="DA60" s="145"/>
      <c r="DB60" s="145"/>
      <c r="DC60" s="153"/>
      <c r="DD60" s="153"/>
      <c r="DE60" s="145"/>
      <c r="DF60" s="145"/>
      <c r="DG60" s="145"/>
      <c r="DH60" s="152"/>
      <c r="DI60" s="145"/>
      <c r="DJ60" s="152"/>
      <c r="DK60" s="145"/>
      <c r="DL60" s="152"/>
      <c r="DM60" s="145"/>
      <c r="DN60" s="145"/>
      <c r="DO60" s="145"/>
      <c r="DP60" s="152"/>
      <c r="DQ60" s="145"/>
      <c r="DR60" s="145"/>
      <c r="DS60" s="145"/>
      <c r="DT60" s="145"/>
      <c r="DU60" s="145">
        <f>SUM(DV60:EE60)</f>
      </c>
      <c r="DV60" s="145"/>
      <c r="DW60" s="145"/>
      <c r="DX60" s="145"/>
      <c r="DY60" s="145"/>
      <c r="DZ60" s="145"/>
      <c r="EA60" s="152"/>
      <c r="EB60" s="145"/>
      <c r="EC60" s="145"/>
      <c r="ED60" s="145"/>
      <c r="EE60" s="145"/>
      <c r="EF60" s="145">
        <f>SUM(EG60:EH60)</f>
      </c>
      <c r="EG60" s="145"/>
      <c r="EH60" s="145"/>
      <c r="EI60" s="151" cm="1">
        <f t="array" ref="EI60">ROW()-ROW(Run[#Headers])</f>
        <v>54</v>
      </c>
    </row>
    <row r="61" spans="2:139" s="79" customFormat="1" ht="11.25" x14ac:dyDescent="0.2">
      <c r="B61" s="145"/>
      <c r="C61" s="148"/>
      <c r="D61" s="145"/>
      <c r="E61" s="152">
        <f>SUM(F61:AE61)</f>
      </c>
      <c r="F61" s="145"/>
      <c r="G61" s="145"/>
      <c r="H61" s="145"/>
      <c r="I61" s="145"/>
      <c r="J61" s="145"/>
      <c r="K61" s="145"/>
      <c r="L61" s="145"/>
      <c r="M61" s="145"/>
      <c r="N61" s="145"/>
      <c r="O61" s="145"/>
      <c r="P61" s="145"/>
      <c r="Q61" s="145"/>
      <c r="R61" s="145"/>
      <c r="S61" s="145"/>
      <c r="T61" s="145"/>
      <c r="U61" s="145"/>
      <c r="V61" s="145"/>
      <c r="W61" s="145"/>
      <c r="X61" s="145"/>
      <c r="Y61" s="145"/>
      <c r="Z61" s="145"/>
      <c r="AA61" s="145"/>
      <c r="AB61" s="145"/>
      <c r="AC61" s="148"/>
      <c r="AD61" s="148"/>
      <c r="AE61" s="148"/>
      <c r="AF61" s="152">
        <f>SUM(AG61:AJ61)</f>
      </c>
      <c r="AG61" s="145"/>
      <c r="AH61" s="145"/>
      <c r="AI61" s="145"/>
      <c r="AJ61" s="145"/>
      <c r="AK61" s="152">
        <f>SUM(AL61:AW61)</f>
      </c>
      <c r="AL61" s="145"/>
      <c r="AM61" s="145"/>
      <c r="AN61" s="145"/>
      <c r="AO61" s="145"/>
      <c r="AP61" s="145"/>
      <c r="AQ61" s="145"/>
      <c r="AR61" s="145"/>
      <c r="AS61" s="145"/>
      <c r="AT61" s="145"/>
      <c r="AU61" s="145"/>
      <c r="AV61" s="145"/>
      <c r="AW61" s="152"/>
      <c r="AX61" s="145"/>
      <c r="AY61" s="145"/>
      <c r="AZ61" s="145"/>
      <c r="BA61" s="152"/>
      <c r="BB61" s="145"/>
      <c r="BC61" s="145"/>
      <c r="BD61" s="152"/>
      <c r="BE61" s="145"/>
      <c r="BF61" s="145"/>
      <c r="BG61" s="145"/>
      <c r="BH61" s="152">
        <f>SUM(BI61:BK61)</f>
      </c>
      <c r="BI61" s="145"/>
      <c r="BJ61" s="145"/>
      <c r="BK61" s="145"/>
      <c r="BL61" s="145">
        <f>SUM(BM61:BR61)</f>
      </c>
      <c r="BM61" s="145"/>
      <c r="BN61" s="145"/>
      <c r="BO61" s="152"/>
      <c r="BP61" s="145"/>
      <c r="BQ61" s="145"/>
      <c r="BR61" s="145"/>
      <c r="BS61" s="145"/>
      <c r="BT61" s="145"/>
      <c r="BU61" s="152"/>
      <c r="BV61" s="145"/>
      <c r="BW61" s="145"/>
      <c r="BX61" s="145"/>
      <c r="BY61" s="152">
        <f>SUM(BZ61:CB61)</f>
      </c>
      <c r="BZ61" s="145"/>
      <c r="CA61" s="145"/>
      <c r="CB61" s="145"/>
      <c r="CC61" s="145">
        <f>SUM(CD61:CH61)</f>
      </c>
      <c r="CD61" s="145"/>
      <c r="CE61" s="152"/>
      <c r="CF61" s="145"/>
      <c r="CG61" s="145"/>
      <c r="CH61" s="145"/>
      <c r="CI61" s="152"/>
      <c r="CJ61" s="145"/>
      <c r="CK61" s="145"/>
      <c r="CL61" s="145"/>
      <c r="CM61" s="145"/>
      <c r="CN61" s="145"/>
      <c r="CO61" s="145"/>
      <c r="CP61" s="145"/>
      <c r="CQ61" s="152"/>
      <c r="CR61" s="145"/>
      <c r="CS61" s="152"/>
      <c r="CT61" s="152"/>
      <c r="CU61" s="152">
        <f>SUM(CV61:CV61)</f>
      </c>
      <c r="CV61" s="145"/>
      <c r="CW61" s="145"/>
      <c r="CX61" s="145"/>
      <c r="CY61" s="145">
        <f>SUM(CZ61:DE61)</f>
      </c>
      <c r="CZ61" s="145"/>
      <c r="DA61" s="145"/>
      <c r="DB61" s="145"/>
      <c r="DC61" s="153"/>
      <c r="DD61" s="153"/>
      <c r="DE61" s="145"/>
      <c r="DF61" s="145"/>
      <c r="DG61" s="145"/>
      <c r="DH61" s="152"/>
      <c r="DI61" s="145"/>
      <c r="DJ61" s="152"/>
      <c r="DK61" s="145"/>
      <c r="DL61" s="152"/>
      <c r="DM61" s="145"/>
      <c r="DN61" s="145"/>
      <c r="DO61" s="145"/>
      <c r="DP61" s="152"/>
      <c r="DQ61" s="145"/>
      <c r="DR61" s="145"/>
      <c r="DS61" s="145"/>
      <c r="DT61" s="145"/>
      <c r="DU61" s="145">
        <f>SUM(DV61:EE61)</f>
      </c>
      <c r="DV61" s="145"/>
      <c r="DW61" s="145"/>
      <c r="DX61" s="145"/>
      <c r="DY61" s="145"/>
      <c r="DZ61" s="145"/>
      <c r="EA61" s="152"/>
      <c r="EB61" s="145"/>
      <c r="EC61" s="145"/>
      <c r="ED61" s="145"/>
      <c r="EE61" s="145"/>
      <c r="EF61" s="145">
        <f>SUM(EG61:EH61)</f>
      </c>
      <c r="EG61" s="145"/>
      <c r="EH61" s="145"/>
      <c r="EI61" s="151" cm="1">
        <f t="array" ref="EI61">ROW()-ROW(Run[#Headers])</f>
        <v>55</v>
      </c>
    </row>
    <row r="62" spans="2:139" s="79" customFormat="1" ht="11.25" x14ac:dyDescent="0.2">
      <c r="B62" s="145"/>
      <c r="C62" s="148"/>
      <c r="D62" s="145"/>
      <c r="E62" s="152">
        <f>SUM(F62:AE62)</f>
      </c>
      <c r="F62" s="145"/>
      <c r="G62" s="145"/>
      <c r="H62" s="145"/>
      <c r="I62" s="145"/>
      <c r="J62" s="145"/>
      <c r="K62" s="145"/>
      <c r="L62" s="145"/>
      <c r="M62" s="145"/>
      <c r="N62" s="145"/>
      <c r="O62" s="145"/>
      <c r="P62" s="145"/>
      <c r="Q62" s="145"/>
      <c r="R62" s="145"/>
      <c r="S62" s="145"/>
      <c r="T62" s="145"/>
      <c r="U62" s="145"/>
      <c r="V62" s="145"/>
      <c r="W62" s="145"/>
      <c r="X62" s="145"/>
      <c r="Y62" s="145"/>
      <c r="Z62" s="145"/>
      <c r="AA62" s="145"/>
      <c r="AB62" s="145"/>
      <c r="AC62" s="148"/>
      <c r="AD62" s="148"/>
      <c r="AE62" s="148"/>
      <c r="AF62" s="152">
        <f>SUM(AG62:AJ62)</f>
      </c>
      <c r="AG62" s="145"/>
      <c r="AH62" s="145"/>
      <c r="AI62" s="145"/>
      <c r="AJ62" s="145"/>
      <c r="AK62" s="152">
        <f>SUM(AL62:AW62)</f>
      </c>
      <c r="AL62" s="145"/>
      <c r="AM62" s="145"/>
      <c r="AN62" s="145"/>
      <c r="AO62" s="145"/>
      <c r="AP62" s="145"/>
      <c r="AQ62" s="145"/>
      <c r="AR62" s="145"/>
      <c r="AS62" s="145"/>
      <c r="AT62" s="145"/>
      <c r="AU62" s="145"/>
      <c r="AV62" s="145"/>
      <c r="AW62" s="152"/>
      <c r="AX62" s="145"/>
      <c r="AY62" s="145"/>
      <c r="AZ62" s="145"/>
      <c r="BA62" s="152"/>
      <c r="BB62" s="145"/>
      <c r="BC62" s="145"/>
      <c r="BD62" s="152"/>
      <c r="BE62" s="145"/>
      <c r="BF62" s="145"/>
      <c r="BG62" s="145"/>
      <c r="BH62" s="152">
        <f>SUM(BI62:BK62)</f>
      </c>
      <c r="BI62" s="145"/>
      <c r="BJ62" s="145"/>
      <c r="BK62" s="145"/>
      <c r="BL62" s="145">
        <f>SUM(BM62:BR62)</f>
      </c>
      <c r="BM62" s="145"/>
      <c r="BN62" s="145"/>
      <c r="BO62" s="152"/>
      <c r="BP62" s="145"/>
      <c r="BQ62" s="145"/>
      <c r="BR62" s="145"/>
      <c r="BS62" s="145"/>
      <c r="BT62" s="145"/>
      <c r="BU62" s="152"/>
      <c r="BV62" s="145"/>
      <c r="BW62" s="145"/>
      <c r="BX62" s="145"/>
      <c r="BY62" s="152">
        <f>SUM(BZ62:CB62)</f>
      </c>
      <c r="BZ62" s="145"/>
      <c r="CA62" s="145"/>
      <c r="CB62" s="145"/>
      <c r="CC62" s="145">
        <f>SUM(CD62:CH62)</f>
      </c>
      <c r="CD62" s="145"/>
      <c r="CE62" s="152"/>
      <c r="CF62" s="145"/>
      <c r="CG62" s="145"/>
      <c r="CH62" s="145"/>
      <c r="CI62" s="152"/>
      <c r="CJ62" s="145"/>
      <c r="CK62" s="145"/>
      <c r="CL62" s="145"/>
      <c r="CM62" s="145"/>
      <c r="CN62" s="145"/>
      <c r="CO62" s="145"/>
      <c r="CP62" s="145"/>
      <c r="CQ62" s="152"/>
      <c r="CR62" s="145"/>
      <c r="CS62" s="152"/>
      <c r="CT62" s="152"/>
      <c r="CU62" s="152">
        <f>SUM(CV62:CV62)</f>
      </c>
      <c r="CV62" s="145"/>
      <c r="CW62" s="145"/>
      <c r="CX62" s="145"/>
      <c r="CY62" s="145">
        <f>SUM(CZ62:DE62)</f>
      </c>
      <c r="CZ62" s="145"/>
      <c r="DA62" s="145"/>
      <c r="DB62" s="145"/>
      <c r="DC62" s="153"/>
      <c r="DD62" s="153"/>
      <c r="DE62" s="145"/>
      <c r="DF62" s="145"/>
      <c r="DG62" s="145"/>
      <c r="DH62" s="152"/>
      <c r="DI62" s="145"/>
      <c r="DJ62" s="152"/>
      <c r="DK62" s="145"/>
      <c r="DL62" s="152"/>
      <c r="DM62" s="145"/>
      <c r="DN62" s="145"/>
      <c r="DO62" s="145"/>
      <c r="DP62" s="152"/>
      <c r="DQ62" s="145"/>
      <c r="DR62" s="145"/>
      <c r="DS62" s="145"/>
      <c r="DT62" s="145"/>
      <c r="DU62" s="145">
        <f>SUM(DV62:EE62)</f>
      </c>
      <c r="DV62" s="145"/>
      <c r="DW62" s="145"/>
      <c r="DX62" s="145"/>
      <c r="DY62" s="145"/>
      <c r="DZ62" s="145"/>
      <c r="EA62" s="152"/>
      <c r="EB62" s="145"/>
      <c r="EC62" s="145"/>
      <c r="ED62" s="145"/>
      <c r="EE62" s="145"/>
      <c r="EF62" s="145">
        <f>SUM(EG62:EH62)</f>
      </c>
      <c r="EG62" s="145"/>
      <c r="EH62" s="145"/>
      <c r="EI62" s="151" cm="1">
        <f t="array" ref="EI62">ROW()-ROW(Run[#Headers])</f>
        <v>56</v>
      </c>
    </row>
    <row r="63" spans="2:139" s="79" customFormat="1" ht="11.25" x14ac:dyDescent="0.2">
      <c r="B63" s="145"/>
      <c r="C63" s="148"/>
      <c r="D63" s="145"/>
      <c r="E63" s="152">
        <f>SUM(F63:AE63)</f>
      </c>
      <c r="F63" s="145"/>
      <c r="G63" s="145"/>
      <c r="H63" s="145"/>
      <c r="I63" s="145"/>
      <c r="J63" s="145"/>
      <c r="K63" s="145"/>
      <c r="L63" s="145"/>
      <c r="M63" s="145"/>
      <c r="N63" s="145"/>
      <c r="O63" s="145"/>
      <c r="P63" s="145"/>
      <c r="Q63" s="145"/>
      <c r="R63" s="145"/>
      <c r="S63" s="145"/>
      <c r="T63" s="145"/>
      <c r="U63" s="145"/>
      <c r="V63" s="145"/>
      <c r="W63" s="145"/>
      <c r="X63" s="145"/>
      <c r="Y63" s="145"/>
      <c r="Z63" s="145"/>
      <c r="AA63" s="145"/>
      <c r="AB63" s="145"/>
      <c r="AC63" s="148"/>
      <c r="AD63" s="148"/>
      <c r="AE63" s="148"/>
      <c r="AF63" s="152">
        <f>SUM(AG63:AJ63)</f>
      </c>
      <c r="AG63" s="145"/>
      <c r="AH63" s="145"/>
      <c r="AI63" s="145"/>
      <c r="AJ63" s="145"/>
      <c r="AK63" s="152">
        <f>SUM(AL63:AW63)</f>
      </c>
      <c r="AL63" s="145"/>
      <c r="AM63" s="145"/>
      <c r="AN63" s="145"/>
      <c r="AO63" s="145"/>
      <c r="AP63" s="145"/>
      <c r="AQ63" s="145"/>
      <c r="AR63" s="145"/>
      <c r="AS63" s="145"/>
      <c r="AT63" s="145"/>
      <c r="AU63" s="145"/>
      <c r="AV63" s="145"/>
      <c r="AW63" s="152"/>
      <c r="AX63" s="145"/>
      <c r="AY63" s="145"/>
      <c r="AZ63" s="145"/>
      <c r="BA63" s="152"/>
      <c r="BB63" s="145"/>
      <c r="BC63" s="145"/>
      <c r="BD63" s="152"/>
      <c r="BE63" s="145"/>
      <c r="BF63" s="145"/>
      <c r="BG63" s="145"/>
      <c r="BH63" s="152">
        <f>SUM(BI63:BK63)</f>
      </c>
      <c r="BI63" s="145"/>
      <c r="BJ63" s="145"/>
      <c r="BK63" s="145"/>
      <c r="BL63" s="145">
        <f>SUM(BM63:BR63)</f>
      </c>
      <c r="BM63" s="145"/>
      <c r="BN63" s="145"/>
      <c r="BO63" s="152"/>
      <c r="BP63" s="145"/>
      <c r="BQ63" s="145"/>
      <c r="BR63" s="145"/>
      <c r="BS63" s="145"/>
      <c r="BT63" s="145"/>
      <c r="BU63" s="152"/>
      <c r="BV63" s="145"/>
      <c r="BW63" s="145"/>
      <c r="BX63" s="145"/>
      <c r="BY63" s="152">
        <f>SUM(BZ63:CB63)</f>
      </c>
      <c r="BZ63" s="145"/>
      <c r="CA63" s="145"/>
      <c r="CB63" s="145"/>
      <c r="CC63" s="145">
        <f>SUM(CD63:CH63)</f>
      </c>
      <c r="CD63" s="145"/>
      <c r="CE63" s="152"/>
      <c r="CF63" s="145"/>
      <c r="CG63" s="145"/>
      <c r="CH63" s="145"/>
      <c r="CI63" s="152"/>
      <c r="CJ63" s="145"/>
      <c r="CK63" s="145"/>
      <c r="CL63" s="145"/>
      <c r="CM63" s="145"/>
      <c r="CN63" s="145"/>
      <c r="CO63" s="145"/>
      <c r="CP63" s="145"/>
      <c r="CQ63" s="152"/>
      <c r="CR63" s="145"/>
      <c r="CS63" s="152"/>
      <c r="CT63" s="152"/>
      <c r="CU63" s="152">
        <f>SUM(CV63:CV63)</f>
      </c>
      <c r="CV63" s="145"/>
      <c r="CW63" s="145"/>
      <c r="CX63" s="145"/>
      <c r="CY63" s="145">
        <f>SUM(CZ63:DE63)</f>
      </c>
      <c r="CZ63" s="145"/>
      <c r="DA63" s="145"/>
      <c r="DB63" s="145"/>
      <c r="DC63" s="153"/>
      <c r="DD63" s="153"/>
      <c r="DE63" s="145"/>
      <c r="DF63" s="145"/>
      <c r="DG63" s="145"/>
      <c r="DH63" s="152"/>
      <c r="DI63" s="145"/>
      <c r="DJ63" s="152"/>
      <c r="DK63" s="145"/>
      <c r="DL63" s="152"/>
      <c r="DM63" s="145"/>
      <c r="DN63" s="145"/>
      <c r="DO63" s="145"/>
      <c r="DP63" s="152"/>
      <c r="DQ63" s="145"/>
      <c r="DR63" s="145"/>
      <c r="DS63" s="145"/>
      <c r="DT63" s="145"/>
      <c r="DU63" s="145">
        <f>SUM(DV63:EE63)</f>
      </c>
      <c r="DV63" s="145"/>
      <c r="DW63" s="145"/>
      <c r="DX63" s="145"/>
      <c r="DY63" s="145"/>
      <c r="DZ63" s="145"/>
      <c r="EA63" s="152"/>
      <c r="EB63" s="145"/>
      <c r="EC63" s="145"/>
      <c r="ED63" s="145"/>
      <c r="EE63" s="145"/>
      <c r="EF63" s="145">
        <f>SUM(EG63:EH63)</f>
      </c>
      <c r="EG63" s="145"/>
      <c r="EH63" s="145"/>
      <c r="EI63" s="151" cm="1">
        <f t="array" ref="EI63">ROW()-ROW(Run[#Headers])</f>
        <v>57</v>
      </c>
    </row>
    <row r="64" spans="2:139" s="79" customFormat="1" ht="11.25" x14ac:dyDescent="0.2">
      <c r="B64" s="145"/>
      <c r="C64" s="148"/>
      <c r="D64" s="145"/>
      <c r="E64" s="152">
        <f>SUM(F64:AE64)</f>
      </c>
      <c r="F64" s="145"/>
      <c r="G64" s="145"/>
      <c r="H64" s="145"/>
      <c r="I64" s="145"/>
      <c r="J64" s="145"/>
      <c r="K64" s="145"/>
      <c r="L64" s="145"/>
      <c r="M64" s="145"/>
      <c r="N64" s="145"/>
      <c r="O64" s="145"/>
      <c r="P64" s="145"/>
      <c r="Q64" s="145"/>
      <c r="R64" s="145"/>
      <c r="S64" s="145"/>
      <c r="T64" s="145"/>
      <c r="U64" s="145"/>
      <c r="V64" s="145"/>
      <c r="W64" s="145"/>
      <c r="X64" s="145"/>
      <c r="Y64" s="145"/>
      <c r="Z64" s="145"/>
      <c r="AA64" s="145"/>
      <c r="AB64" s="145"/>
      <c r="AC64" s="148"/>
      <c r="AD64" s="148"/>
      <c r="AE64" s="148"/>
      <c r="AF64" s="152">
        <f>SUM(AG64:AJ64)</f>
      </c>
      <c r="AG64" s="145"/>
      <c r="AH64" s="145"/>
      <c r="AI64" s="145"/>
      <c r="AJ64" s="145"/>
      <c r="AK64" s="152">
        <f>SUM(AL64:AW64)</f>
      </c>
      <c r="AL64" s="145"/>
      <c r="AM64" s="145"/>
      <c r="AN64" s="145"/>
      <c r="AO64" s="145"/>
      <c r="AP64" s="145"/>
      <c r="AQ64" s="145"/>
      <c r="AR64" s="145"/>
      <c r="AS64" s="145"/>
      <c r="AT64" s="145"/>
      <c r="AU64" s="145"/>
      <c r="AV64" s="145"/>
      <c r="AW64" s="152"/>
      <c r="AX64" s="145"/>
      <c r="AY64" s="145"/>
      <c r="AZ64" s="145"/>
      <c r="BA64" s="152"/>
      <c r="BB64" s="145"/>
      <c r="BC64" s="145"/>
      <c r="BD64" s="152"/>
      <c r="BE64" s="145"/>
      <c r="BF64" s="145"/>
      <c r="BG64" s="145"/>
      <c r="BH64" s="152">
        <f>SUM(BI64:BK64)</f>
      </c>
      <c r="BI64" s="145"/>
      <c r="BJ64" s="145"/>
      <c r="BK64" s="145"/>
      <c r="BL64" s="145">
        <f>SUM(BM64:BR64)</f>
      </c>
      <c r="BM64" s="145"/>
      <c r="BN64" s="145"/>
      <c r="BO64" s="152"/>
      <c r="BP64" s="145"/>
      <c r="BQ64" s="145"/>
      <c r="BR64" s="145"/>
      <c r="BS64" s="145"/>
      <c r="BT64" s="145"/>
      <c r="BU64" s="152"/>
      <c r="BV64" s="145"/>
      <c r="BW64" s="145"/>
      <c r="BX64" s="145"/>
      <c r="BY64" s="152">
        <f>SUM(BZ64:CB64)</f>
      </c>
      <c r="BZ64" s="145"/>
      <c r="CA64" s="145"/>
      <c r="CB64" s="145"/>
      <c r="CC64" s="145">
        <f>SUM(CD64:CH64)</f>
      </c>
      <c r="CD64" s="145"/>
      <c r="CE64" s="152"/>
      <c r="CF64" s="145"/>
      <c r="CG64" s="145"/>
      <c r="CH64" s="145"/>
      <c r="CI64" s="152"/>
      <c r="CJ64" s="145"/>
      <c r="CK64" s="145"/>
      <c r="CL64" s="145"/>
      <c r="CM64" s="145"/>
      <c r="CN64" s="145"/>
      <c r="CO64" s="145"/>
      <c r="CP64" s="145"/>
      <c r="CQ64" s="152"/>
      <c r="CR64" s="145"/>
      <c r="CS64" s="152"/>
      <c r="CT64" s="152"/>
      <c r="CU64" s="152">
        <f>SUM(CV64:CV64)</f>
      </c>
      <c r="CV64" s="145"/>
      <c r="CW64" s="145"/>
      <c r="CX64" s="145"/>
      <c r="CY64" s="145">
        <f>SUM(CZ64:DE64)</f>
      </c>
      <c r="CZ64" s="145"/>
      <c r="DA64" s="145"/>
      <c r="DB64" s="145"/>
      <c r="DC64" s="153"/>
      <c r="DD64" s="153"/>
      <c r="DE64" s="145"/>
      <c r="DF64" s="145"/>
      <c r="DG64" s="145"/>
      <c r="DH64" s="152"/>
      <c r="DI64" s="145"/>
      <c r="DJ64" s="152"/>
      <c r="DK64" s="145"/>
      <c r="DL64" s="152"/>
      <c r="DM64" s="145"/>
      <c r="DN64" s="145"/>
      <c r="DO64" s="145"/>
      <c r="DP64" s="152"/>
      <c r="DQ64" s="145"/>
      <c r="DR64" s="145"/>
      <c r="DS64" s="145"/>
      <c r="DT64" s="145"/>
      <c r="DU64" s="145">
        <f>SUM(DV64:EE64)</f>
      </c>
      <c r="DV64" s="145"/>
      <c r="DW64" s="145"/>
      <c r="DX64" s="145"/>
      <c r="DY64" s="145"/>
      <c r="DZ64" s="145"/>
      <c r="EA64" s="152"/>
      <c r="EB64" s="145"/>
      <c r="EC64" s="145"/>
      <c r="ED64" s="145"/>
      <c r="EE64" s="145"/>
      <c r="EF64" s="145">
        <f>SUM(EG64:EH64)</f>
      </c>
      <c r="EG64" s="145"/>
      <c r="EH64" s="145"/>
      <c r="EI64" s="151" cm="1">
        <f t="array" ref="EI64">ROW()-ROW(Run[#Headers])</f>
        <v>58</v>
      </c>
    </row>
    <row r="65" spans="2:139" s="79" customFormat="1" ht="11.25" x14ac:dyDescent="0.2">
      <c r="B65" s="145"/>
      <c r="C65" s="148"/>
      <c r="D65" s="145"/>
      <c r="E65" s="152">
        <f>SUM(F65:AE65)</f>
      </c>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48"/>
      <c r="AD65" s="148"/>
      <c r="AE65" s="148"/>
      <c r="AF65" s="152">
        <f>SUM(AG65:AJ65)</f>
      </c>
      <c r="AG65" s="145"/>
      <c r="AH65" s="145"/>
      <c r="AI65" s="145"/>
      <c r="AJ65" s="145"/>
      <c r="AK65" s="152">
        <f>SUM(AL65:AW65)</f>
      </c>
      <c r="AL65" s="145"/>
      <c r="AM65" s="145"/>
      <c r="AN65" s="145"/>
      <c r="AO65" s="145"/>
      <c r="AP65" s="145"/>
      <c r="AQ65" s="145"/>
      <c r="AR65" s="145"/>
      <c r="AS65" s="145"/>
      <c r="AT65" s="145"/>
      <c r="AU65" s="145"/>
      <c r="AV65" s="145"/>
      <c r="AW65" s="152"/>
      <c r="AX65" s="145"/>
      <c r="AY65" s="145"/>
      <c r="AZ65" s="145"/>
      <c r="BA65" s="152"/>
      <c r="BB65" s="145"/>
      <c r="BC65" s="145"/>
      <c r="BD65" s="152"/>
      <c r="BE65" s="145"/>
      <c r="BF65" s="145"/>
      <c r="BG65" s="145"/>
      <c r="BH65" s="152">
        <f>SUM(BI65:BK65)</f>
      </c>
      <c r="BI65" s="145"/>
      <c r="BJ65" s="145"/>
      <c r="BK65" s="145"/>
      <c r="BL65" s="145">
        <f>SUM(BM65:BR65)</f>
      </c>
      <c r="BM65" s="145"/>
      <c r="BN65" s="145"/>
      <c r="BO65" s="152"/>
      <c r="BP65" s="145"/>
      <c r="BQ65" s="145"/>
      <c r="BR65" s="145"/>
      <c r="BS65" s="145"/>
      <c r="BT65" s="145"/>
      <c r="BU65" s="152"/>
      <c r="BV65" s="145"/>
      <c r="BW65" s="145"/>
      <c r="BX65" s="145"/>
      <c r="BY65" s="152">
        <f>SUM(BZ65:CB65)</f>
      </c>
      <c r="BZ65" s="145"/>
      <c r="CA65" s="145"/>
      <c r="CB65" s="145"/>
      <c r="CC65" s="145">
        <f>SUM(CD65:CH65)</f>
      </c>
      <c r="CD65" s="145"/>
      <c r="CE65" s="152"/>
      <c r="CF65" s="145"/>
      <c r="CG65" s="145"/>
      <c r="CH65" s="145"/>
      <c r="CI65" s="152"/>
      <c r="CJ65" s="145"/>
      <c r="CK65" s="145"/>
      <c r="CL65" s="145"/>
      <c r="CM65" s="145"/>
      <c r="CN65" s="145"/>
      <c r="CO65" s="145"/>
      <c r="CP65" s="145"/>
      <c r="CQ65" s="152"/>
      <c r="CR65" s="145"/>
      <c r="CS65" s="152"/>
      <c r="CT65" s="152"/>
      <c r="CU65" s="152">
        <f>SUM(CV65:CV65)</f>
      </c>
      <c r="CV65" s="145"/>
      <c r="CW65" s="145"/>
      <c r="CX65" s="145"/>
      <c r="CY65" s="145">
        <f>SUM(CZ65:DE65)</f>
      </c>
      <c r="CZ65" s="145"/>
      <c r="DA65" s="145"/>
      <c r="DB65" s="145"/>
      <c r="DC65" s="153"/>
      <c r="DD65" s="153"/>
      <c r="DE65" s="145"/>
      <c r="DF65" s="145"/>
      <c r="DG65" s="145"/>
      <c r="DH65" s="152"/>
      <c r="DI65" s="145"/>
      <c r="DJ65" s="152"/>
      <c r="DK65" s="145"/>
      <c r="DL65" s="152"/>
      <c r="DM65" s="145"/>
      <c r="DN65" s="145"/>
      <c r="DO65" s="145"/>
      <c r="DP65" s="152"/>
      <c r="DQ65" s="145"/>
      <c r="DR65" s="145"/>
      <c r="DS65" s="145"/>
      <c r="DT65" s="145"/>
      <c r="DU65" s="145">
        <f>SUM(DV65:EE65)</f>
      </c>
      <c r="DV65" s="145"/>
      <c r="DW65" s="145"/>
      <c r="DX65" s="145"/>
      <c r="DY65" s="145"/>
      <c r="DZ65" s="145"/>
      <c r="EA65" s="152"/>
      <c r="EB65" s="145"/>
      <c r="EC65" s="145"/>
      <c r="ED65" s="145"/>
      <c r="EE65" s="145"/>
      <c r="EF65" s="145">
        <f>SUM(EG65:EH65)</f>
      </c>
      <c r="EG65" s="145"/>
      <c r="EH65" s="145"/>
      <c r="EI65" s="151" cm="1">
        <f t="array" ref="EI65">ROW()-ROW(Run[#Headers])</f>
        <v>59</v>
      </c>
    </row>
    <row r="66" spans="2:139" s="79" customFormat="1" ht="11.25" x14ac:dyDescent="0.2">
      <c r="B66" s="145"/>
      <c r="C66" s="148"/>
      <c r="D66" s="145"/>
      <c r="E66" s="152">
        <f>SUM(F66:AE66)</f>
      </c>
      <c r="F66" s="145"/>
      <c r="G66" s="145"/>
      <c r="H66" s="145"/>
      <c r="I66" s="145"/>
      <c r="J66" s="145"/>
      <c r="K66" s="145"/>
      <c r="L66" s="145"/>
      <c r="M66" s="145"/>
      <c r="N66" s="145"/>
      <c r="O66" s="145"/>
      <c r="P66" s="145"/>
      <c r="Q66" s="145"/>
      <c r="R66" s="145"/>
      <c r="S66" s="145"/>
      <c r="T66" s="145"/>
      <c r="U66" s="145"/>
      <c r="V66" s="145"/>
      <c r="W66" s="145"/>
      <c r="X66" s="145"/>
      <c r="Y66" s="145"/>
      <c r="Z66" s="145"/>
      <c r="AA66" s="145"/>
      <c r="AB66" s="145"/>
      <c r="AC66" s="148"/>
      <c r="AD66" s="148"/>
      <c r="AE66" s="148"/>
      <c r="AF66" s="152">
        <f>SUM(AG66:AJ66)</f>
      </c>
      <c r="AG66" s="145"/>
      <c r="AH66" s="145"/>
      <c r="AI66" s="145"/>
      <c r="AJ66" s="145"/>
      <c r="AK66" s="152">
        <f>SUM(AL66:AW66)</f>
      </c>
      <c r="AL66" s="145"/>
      <c r="AM66" s="145"/>
      <c r="AN66" s="145"/>
      <c r="AO66" s="145"/>
      <c r="AP66" s="145"/>
      <c r="AQ66" s="145"/>
      <c r="AR66" s="145"/>
      <c r="AS66" s="145"/>
      <c r="AT66" s="145"/>
      <c r="AU66" s="145"/>
      <c r="AV66" s="145"/>
      <c r="AW66" s="152"/>
      <c r="AX66" s="145"/>
      <c r="AY66" s="145"/>
      <c r="AZ66" s="145"/>
      <c r="BA66" s="152"/>
      <c r="BB66" s="145"/>
      <c r="BC66" s="145"/>
      <c r="BD66" s="152"/>
      <c r="BE66" s="145"/>
      <c r="BF66" s="145"/>
      <c r="BG66" s="145"/>
      <c r="BH66" s="152">
        <f>SUM(BI66:BK66)</f>
      </c>
      <c r="BI66" s="145"/>
      <c r="BJ66" s="145"/>
      <c r="BK66" s="145"/>
      <c r="BL66" s="145">
        <f>SUM(BM66:BR66)</f>
      </c>
      <c r="BM66" s="145"/>
      <c r="BN66" s="145"/>
      <c r="BO66" s="152"/>
      <c r="BP66" s="145"/>
      <c r="BQ66" s="145"/>
      <c r="BR66" s="145"/>
      <c r="BS66" s="145"/>
      <c r="BT66" s="145"/>
      <c r="BU66" s="152"/>
      <c r="BV66" s="145"/>
      <c r="BW66" s="145"/>
      <c r="BX66" s="145"/>
      <c r="BY66" s="152">
        <f>SUM(BZ66:CB66)</f>
      </c>
      <c r="BZ66" s="145"/>
      <c r="CA66" s="145"/>
      <c r="CB66" s="145"/>
      <c r="CC66" s="145">
        <f>SUM(CD66:CH66)</f>
      </c>
      <c r="CD66" s="145"/>
      <c r="CE66" s="152"/>
      <c r="CF66" s="145"/>
      <c r="CG66" s="145"/>
      <c r="CH66" s="145"/>
      <c r="CI66" s="152"/>
      <c r="CJ66" s="145"/>
      <c r="CK66" s="145"/>
      <c r="CL66" s="145"/>
      <c r="CM66" s="145"/>
      <c r="CN66" s="145"/>
      <c r="CO66" s="145"/>
      <c r="CP66" s="145"/>
      <c r="CQ66" s="152"/>
      <c r="CR66" s="145"/>
      <c r="CS66" s="152"/>
      <c r="CT66" s="152"/>
      <c r="CU66" s="152">
        <f>SUM(CV66:CV66)</f>
      </c>
      <c r="CV66" s="145"/>
      <c r="CW66" s="145"/>
      <c r="CX66" s="145"/>
      <c r="CY66" s="145">
        <f>SUM(CZ66:DE66)</f>
      </c>
      <c r="CZ66" s="145"/>
      <c r="DA66" s="145"/>
      <c r="DB66" s="145"/>
      <c r="DC66" s="153"/>
      <c r="DD66" s="153"/>
      <c r="DE66" s="145"/>
      <c r="DF66" s="145"/>
      <c r="DG66" s="145"/>
      <c r="DH66" s="152"/>
      <c r="DI66" s="145"/>
      <c r="DJ66" s="152"/>
      <c r="DK66" s="145"/>
      <c r="DL66" s="152"/>
      <c r="DM66" s="145"/>
      <c r="DN66" s="145"/>
      <c r="DO66" s="145"/>
      <c r="DP66" s="152"/>
      <c r="DQ66" s="145"/>
      <c r="DR66" s="145"/>
      <c r="DS66" s="145"/>
      <c r="DT66" s="145"/>
      <c r="DU66" s="145">
        <f>SUM(DV66:EE66)</f>
      </c>
      <c r="DV66" s="145"/>
      <c r="DW66" s="145"/>
      <c r="DX66" s="145"/>
      <c r="DY66" s="145"/>
      <c r="DZ66" s="145"/>
      <c r="EA66" s="152"/>
      <c r="EB66" s="145"/>
      <c r="EC66" s="145"/>
      <c r="ED66" s="145"/>
      <c r="EE66" s="145"/>
      <c r="EF66" s="145">
        <f>SUM(EG66:EH66)</f>
      </c>
      <c r="EG66" s="145"/>
      <c r="EH66" s="145"/>
      <c r="EI66" s="151" cm="1">
        <f t="array" ref="EI66">ROW()-ROW(Run[#Headers])</f>
        <v>60</v>
      </c>
    </row>
    <row r="67" spans="2:139" s="79" customFormat="1" ht="11.25" x14ac:dyDescent="0.2">
      <c r="B67" s="145"/>
      <c r="C67" s="145"/>
      <c r="D67" s="145"/>
      <c r="E67" s="152">
        <f>SUM(F67:AE67)</f>
      </c>
      <c r="F67" s="145"/>
      <c r="G67" s="145"/>
      <c r="H67" s="145"/>
      <c r="I67" s="145"/>
      <c r="J67" s="145"/>
      <c r="K67" s="145"/>
      <c r="L67" s="145"/>
      <c r="M67" s="145"/>
      <c r="N67" s="145"/>
      <c r="O67" s="145"/>
      <c r="P67" s="145"/>
      <c r="Q67" s="145"/>
      <c r="R67" s="145"/>
      <c r="S67" s="145"/>
      <c r="T67" s="145"/>
      <c r="U67" s="145"/>
      <c r="V67" s="145"/>
      <c r="W67" s="145"/>
      <c r="X67" s="145"/>
      <c r="Y67" s="145"/>
      <c r="Z67" s="145"/>
      <c r="AA67" s="145"/>
      <c r="AB67" s="145"/>
      <c r="AC67" s="148"/>
      <c r="AD67" s="148"/>
      <c r="AE67" s="148"/>
      <c r="AF67" s="152">
        <f>SUM(AG67:AJ67)</f>
      </c>
      <c r="AG67" s="145"/>
      <c r="AH67" s="145"/>
      <c r="AI67" s="145"/>
      <c r="AJ67" s="145"/>
      <c r="AK67" s="152">
        <f>SUM(AL67:AW67)</f>
      </c>
      <c r="AL67" s="145"/>
      <c r="AM67" s="145"/>
      <c r="AN67" s="145"/>
      <c r="AO67" s="145"/>
      <c r="AP67" s="145"/>
      <c r="AQ67" s="145"/>
      <c r="AR67" s="145"/>
      <c r="AS67" s="145"/>
      <c r="AT67" s="145"/>
      <c r="AU67" s="145"/>
      <c r="AV67" s="145"/>
      <c r="AW67" s="152"/>
      <c r="AX67" s="145"/>
      <c r="AY67" s="145"/>
      <c r="AZ67" s="145"/>
      <c r="BA67" s="152"/>
      <c r="BB67" s="145"/>
      <c r="BC67" s="145"/>
      <c r="BD67" s="152"/>
      <c r="BE67" s="145"/>
      <c r="BF67" s="145"/>
      <c r="BG67" s="145"/>
      <c r="BH67" s="152">
        <f>SUM(BI67:BK67)</f>
      </c>
      <c r="BI67" s="145"/>
      <c r="BJ67" s="145"/>
      <c r="BK67" s="145"/>
      <c r="BL67" s="145">
        <f>SUM(BM67:BR67)</f>
      </c>
      <c r="BM67" s="145"/>
      <c r="BN67" s="145"/>
      <c r="BO67" s="152"/>
      <c r="BP67" s="145"/>
      <c r="BQ67" s="145"/>
      <c r="BR67" s="145"/>
      <c r="BS67" s="145"/>
      <c r="BT67" s="145"/>
      <c r="BU67" s="152"/>
      <c r="BV67" s="145"/>
      <c r="BW67" s="145"/>
      <c r="BX67" s="145"/>
      <c r="BY67" s="152">
        <f>SUM(BZ67:CB67)</f>
      </c>
      <c r="BZ67" s="145"/>
      <c r="CA67" s="145"/>
      <c r="CB67" s="145"/>
      <c r="CC67" s="145">
        <f>SUM(CD67:CH67)</f>
      </c>
      <c r="CD67" s="145"/>
      <c r="CE67" s="152"/>
      <c r="CF67" s="145"/>
      <c r="CG67" s="145"/>
      <c r="CH67" s="145"/>
      <c r="CI67" s="152"/>
      <c r="CJ67" s="145"/>
      <c r="CK67" s="145"/>
      <c r="CL67" s="145"/>
      <c r="CM67" s="145"/>
      <c r="CN67" s="145"/>
      <c r="CO67" s="145"/>
      <c r="CP67" s="145"/>
      <c r="CQ67" s="152"/>
      <c r="CR67" s="145"/>
      <c r="CS67" s="152"/>
      <c r="CT67" s="152"/>
      <c r="CU67" s="152">
        <f>SUM(CV67:CV67)</f>
      </c>
      <c r="CV67" s="145"/>
      <c r="CW67" s="145"/>
      <c r="CX67" s="145"/>
      <c r="CY67" s="145">
        <f>SUM(CZ67:DE67)</f>
      </c>
      <c r="CZ67" s="145"/>
      <c r="DA67" s="145"/>
      <c r="DB67" s="145"/>
      <c r="DC67" s="153"/>
      <c r="DD67" s="153"/>
      <c r="DE67" s="145"/>
      <c r="DF67" s="145"/>
      <c r="DG67" s="145"/>
      <c r="DH67" s="152"/>
      <c r="DI67" s="145"/>
      <c r="DJ67" s="152"/>
      <c r="DK67" s="145"/>
      <c r="DL67" s="152"/>
      <c r="DM67" s="145"/>
      <c r="DN67" s="145"/>
      <c r="DO67" s="145"/>
      <c r="DP67" s="152"/>
      <c r="DQ67" s="145"/>
      <c r="DR67" s="145"/>
      <c r="DS67" s="145"/>
      <c r="DT67" s="145"/>
      <c r="DU67" s="145">
        <f>SUM(DV67:EE67)</f>
      </c>
      <c r="DV67" s="145"/>
      <c r="DW67" s="145"/>
      <c r="DX67" s="145"/>
      <c r="DY67" s="145"/>
      <c r="DZ67" s="145"/>
      <c r="EA67" s="152"/>
      <c r="EB67" s="145"/>
      <c r="EC67" s="145"/>
      <c r="ED67" s="145"/>
      <c r="EE67" s="145"/>
      <c r="EF67" s="145">
        <f>SUM(EG67:EH67)</f>
      </c>
      <c r="EG67" s="145"/>
      <c r="EH67" s="145"/>
      <c r="EI67" s="151" cm="1">
        <f t="array" ref="EI67">ROW()-ROW(Run[#Headers])</f>
        <v>61</v>
      </c>
    </row>
    <row r="68" spans="2:139" s="79" customFormat="1" ht="11.25" x14ac:dyDescent="0.2">
      <c r="B68" s="145"/>
      <c r="C68" s="145"/>
      <c r="D68" s="145"/>
      <c r="E68" s="152">
        <f>SUM(F68:AE68)</f>
      </c>
      <c r="F68" s="145"/>
      <c r="G68" s="145"/>
      <c r="H68" s="145"/>
      <c r="I68" s="145"/>
      <c r="J68" s="145"/>
      <c r="K68" s="145"/>
      <c r="L68" s="145"/>
      <c r="M68" s="145"/>
      <c r="N68" s="145"/>
      <c r="O68" s="145"/>
      <c r="P68" s="145"/>
      <c r="Q68" s="145"/>
      <c r="R68" s="145"/>
      <c r="S68" s="145"/>
      <c r="T68" s="145"/>
      <c r="U68" s="145"/>
      <c r="V68" s="145"/>
      <c r="W68" s="145"/>
      <c r="X68" s="145"/>
      <c r="Y68" s="145"/>
      <c r="Z68" s="145"/>
      <c r="AA68" s="145"/>
      <c r="AB68" s="145"/>
      <c r="AC68" s="148"/>
      <c r="AD68" s="148"/>
      <c r="AE68" s="148"/>
      <c r="AF68" s="152">
        <f>SUM(AG68:AJ68)</f>
      </c>
      <c r="AG68" s="145"/>
      <c r="AH68" s="145"/>
      <c r="AI68" s="145"/>
      <c r="AJ68" s="145"/>
      <c r="AK68" s="152">
        <f>SUM(AL68:AW68)</f>
      </c>
      <c r="AL68" s="145"/>
      <c r="AM68" s="145"/>
      <c r="AN68" s="145"/>
      <c r="AO68" s="145"/>
      <c r="AP68" s="145"/>
      <c r="AQ68" s="145"/>
      <c r="AR68" s="145"/>
      <c r="AS68" s="145"/>
      <c r="AT68" s="145"/>
      <c r="AU68" s="145"/>
      <c r="AV68" s="145"/>
      <c r="AW68" s="152"/>
      <c r="AX68" s="145"/>
      <c r="AY68" s="145"/>
      <c r="AZ68" s="145"/>
      <c r="BA68" s="152"/>
      <c r="BB68" s="145"/>
      <c r="BC68" s="145"/>
      <c r="BD68" s="152"/>
      <c r="BE68" s="145"/>
      <c r="BF68" s="145"/>
      <c r="BG68" s="145"/>
      <c r="BH68" s="152">
        <f>SUM(BI68:BK68)</f>
      </c>
      <c r="BI68" s="145"/>
      <c r="BJ68" s="145"/>
      <c r="BK68" s="145"/>
      <c r="BL68" s="145">
        <f>SUM(BM68:BR68)</f>
      </c>
      <c r="BM68" s="145"/>
      <c r="BN68" s="145"/>
      <c r="BO68" s="152"/>
      <c r="BP68" s="145"/>
      <c r="BQ68" s="145"/>
      <c r="BR68" s="145"/>
      <c r="BS68" s="145"/>
      <c r="BT68" s="145"/>
      <c r="BU68" s="152"/>
      <c r="BV68" s="145"/>
      <c r="BW68" s="145"/>
      <c r="BX68" s="145"/>
      <c r="BY68" s="152">
        <f>SUM(BZ68:CB68)</f>
      </c>
      <c r="BZ68" s="145"/>
      <c r="CA68" s="145"/>
      <c r="CB68" s="145"/>
      <c r="CC68" s="145">
        <f>SUM(CD68:CH68)</f>
      </c>
      <c r="CD68" s="145"/>
      <c r="CE68" s="152"/>
      <c r="CF68" s="145"/>
      <c r="CG68" s="145"/>
      <c r="CH68" s="145"/>
      <c r="CI68" s="152"/>
      <c r="CJ68" s="145"/>
      <c r="CK68" s="145"/>
      <c r="CL68" s="145"/>
      <c r="CM68" s="145"/>
      <c r="CN68" s="145"/>
      <c r="CO68" s="145"/>
      <c r="CP68" s="145"/>
      <c r="CQ68" s="152"/>
      <c r="CR68" s="145"/>
      <c r="CS68" s="152"/>
      <c r="CT68" s="152"/>
      <c r="CU68" s="152">
        <f>SUM(CV68:CV68)</f>
      </c>
      <c r="CV68" s="145"/>
      <c r="CW68" s="145"/>
      <c r="CX68" s="145"/>
      <c r="CY68" s="145">
        <f>SUM(CZ68:DE68)</f>
      </c>
      <c r="CZ68" s="145"/>
      <c r="DA68" s="145"/>
      <c r="DB68" s="145"/>
      <c r="DC68" s="153"/>
      <c r="DD68" s="153"/>
      <c r="DE68" s="145"/>
      <c r="DF68" s="145"/>
      <c r="DG68" s="145"/>
      <c r="DH68" s="152"/>
      <c r="DI68" s="145"/>
      <c r="DJ68" s="152"/>
      <c r="DK68" s="145"/>
      <c r="DL68" s="152"/>
      <c r="DM68" s="145"/>
      <c r="DN68" s="145"/>
      <c r="DO68" s="145"/>
      <c r="DP68" s="152"/>
      <c r="DQ68" s="145"/>
      <c r="DR68" s="145"/>
      <c r="DS68" s="145"/>
      <c r="DT68" s="145"/>
      <c r="DU68" s="145">
        <f>SUM(DV68:EE68)</f>
      </c>
      <c r="DV68" s="145"/>
      <c r="DW68" s="145"/>
      <c r="DX68" s="145"/>
      <c r="DY68" s="145"/>
      <c r="DZ68" s="145"/>
      <c r="EA68" s="152"/>
      <c r="EB68" s="145"/>
      <c r="EC68" s="145"/>
      <c r="ED68" s="145"/>
      <c r="EE68" s="145"/>
      <c r="EF68" s="145">
        <f>SUM(EG68:EH68)</f>
      </c>
      <c r="EG68" s="145"/>
      <c r="EH68" s="145"/>
      <c r="EI68" s="151" cm="1">
        <f t="array" ref="EI68">ROW()-ROW(Run[#Headers])</f>
        <v>62</v>
      </c>
    </row>
    <row r="69" spans="2:139" s="79" customFormat="1" ht="11.25" x14ac:dyDescent="0.2">
      <c r="B69" s="145"/>
      <c r="C69" s="145"/>
      <c r="D69" s="145"/>
      <c r="E69" s="152">
        <f>SUM(F69:AE69)</f>
      </c>
      <c r="F69" s="145"/>
      <c r="G69" s="145"/>
      <c r="H69" s="145"/>
      <c r="I69" s="145"/>
      <c r="J69" s="145"/>
      <c r="K69" s="145"/>
      <c r="L69" s="145"/>
      <c r="M69" s="145"/>
      <c r="N69" s="145"/>
      <c r="O69" s="145"/>
      <c r="P69" s="145"/>
      <c r="Q69" s="145"/>
      <c r="R69" s="145"/>
      <c r="S69" s="145"/>
      <c r="T69" s="145"/>
      <c r="U69" s="145"/>
      <c r="V69" s="145"/>
      <c r="W69" s="145"/>
      <c r="X69" s="145"/>
      <c r="Y69" s="145"/>
      <c r="Z69" s="145"/>
      <c r="AA69" s="145"/>
      <c r="AB69" s="145"/>
      <c r="AC69" s="148"/>
      <c r="AD69" s="148"/>
      <c r="AE69" s="148"/>
      <c r="AF69" s="152">
        <f>SUM(AG69:AJ69)</f>
      </c>
      <c r="AG69" s="145"/>
      <c r="AH69" s="145"/>
      <c r="AI69" s="145"/>
      <c r="AJ69" s="145"/>
      <c r="AK69" s="152">
        <f>SUM(AL69:AW69)</f>
      </c>
      <c r="AL69" s="145"/>
      <c r="AM69" s="145"/>
      <c r="AN69" s="145"/>
      <c r="AO69" s="145"/>
      <c r="AP69" s="145"/>
      <c r="AQ69" s="145"/>
      <c r="AR69" s="145"/>
      <c r="AS69" s="145"/>
      <c r="AT69" s="145"/>
      <c r="AU69" s="145"/>
      <c r="AV69" s="145"/>
      <c r="AW69" s="152"/>
      <c r="AX69" s="145"/>
      <c r="AY69" s="145"/>
      <c r="AZ69" s="145"/>
      <c r="BA69" s="152"/>
      <c r="BB69" s="145"/>
      <c r="BC69" s="145"/>
      <c r="BD69" s="152"/>
      <c r="BE69" s="145"/>
      <c r="BF69" s="145"/>
      <c r="BG69" s="145"/>
      <c r="BH69" s="152">
        <f>SUM(BI69:BK69)</f>
      </c>
      <c r="BI69" s="145"/>
      <c r="BJ69" s="145"/>
      <c r="BK69" s="145"/>
      <c r="BL69" s="145">
        <f>SUM(BM69:BR69)</f>
      </c>
      <c r="BM69" s="145"/>
      <c r="BN69" s="145"/>
      <c r="BO69" s="152"/>
      <c r="BP69" s="145"/>
      <c r="BQ69" s="145"/>
      <c r="BR69" s="145"/>
      <c r="BS69" s="145"/>
      <c r="BT69" s="145"/>
      <c r="BU69" s="152"/>
      <c r="BV69" s="145"/>
      <c r="BW69" s="145"/>
      <c r="BX69" s="145"/>
      <c r="BY69" s="152">
        <f>SUM(BZ69:CB69)</f>
      </c>
      <c r="BZ69" s="145"/>
      <c r="CA69" s="145"/>
      <c r="CB69" s="145"/>
      <c r="CC69" s="145">
        <f>SUM(CD69:CH69)</f>
      </c>
      <c r="CD69" s="145"/>
      <c r="CE69" s="152"/>
      <c r="CF69" s="145"/>
      <c r="CG69" s="145"/>
      <c r="CH69" s="145"/>
      <c r="CI69" s="152"/>
      <c r="CJ69" s="145"/>
      <c r="CK69" s="145"/>
      <c r="CL69" s="145"/>
      <c r="CM69" s="145"/>
      <c r="CN69" s="145"/>
      <c r="CO69" s="145"/>
      <c r="CP69" s="145"/>
      <c r="CQ69" s="152"/>
      <c r="CR69" s="145"/>
      <c r="CS69" s="152"/>
      <c r="CT69" s="152"/>
      <c r="CU69" s="152">
        <f>SUM(CV69:CV69)</f>
      </c>
      <c r="CV69" s="145"/>
      <c r="CW69" s="145"/>
      <c r="CX69" s="145"/>
      <c r="CY69" s="145">
        <f>SUM(CZ69:DE69)</f>
      </c>
      <c r="CZ69" s="145"/>
      <c r="DA69" s="145"/>
      <c r="DB69" s="145"/>
      <c r="DC69" s="153"/>
      <c r="DD69" s="153"/>
      <c r="DE69" s="145"/>
      <c r="DF69" s="145"/>
      <c r="DG69" s="145"/>
      <c r="DH69" s="152"/>
      <c r="DI69" s="145"/>
      <c r="DJ69" s="152"/>
      <c r="DK69" s="145"/>
      <c r="DL69" s="152"/>
      <c r="DM69" s="145"/>
      <c r="DN69" s="145"/>
      <c r="DO69" s="145"/>
      <c r="DP69" s="152"/>
      <c r="DQ69" s="145"/>
      <c r="DR69" s="145"/>
      <c r="DS69" s="145"/>
      <c r="DT69" s="145"/>
      <c r="DU69" s="145">
        <f>SUM(DV69:EE69)</f>
      </c>
      <c r="DV69" s="145"/>
      <c r="DW69" s="145"/>
      <c r="DX69" s="145"/>
      <c r="DY69" s="145"/>
      <c r="DZ69" s="145"/>
      <c r="EA69" s="152"/>
      <c r="EB69" s="145"/>
      <c r="EC69" s="145"/>
      <c r="ED69" s="145"/>
      <c r="EE69" s="145"/>
      <c r="EF69" s="145">
        <f>SUM(EG69:EH69)</f>
      </c>
      <c r="EG69" s="145"/>
      <c r="EH69" s="145"/>
      <c r="EI69" s="151" cm="1">
        <f t="array" ref="EI69">ROW()-ROW(Run[#Headers])</f>
        <v>63</v>
      </c>
    </row>
    <row r="70" spans="2:139" s="79" customFormat="1" ht="11.25" x14ac:dyDescent="0.2">
      <c r="B70" s="145"/>
      <c r="C70" s="148"/>
      <c r="D70" s="145"/>
      <c r="E70" s="152">
        <f>SUM(F70:AE70)</f>
      </c>
      <c r="F70" s="145"/>
      <c r="G70" s="145"/>
      <c r="H70" s="145"/>
      <c r="I70" s="145"/>
      <c r="J70" s="145"/>
      <c r="K70" s="145"/>
      <c r="L70" s="145"/>
      <c r="M70" s="145"/>
      <c r="N70" s="145"/>
      <c r="O70" s="145"/>
      <c r="P70" s="145"/>
      <c r="Q70" s="145"/>
      <c r="R70" s="145"/>
      <c r="S70" s="145"/>
      <c r="T70" s="145"/>
      <c r="U70" s="145"/>
      <c r="V70" s="145"/>
      <c r="W70" s="145"/>
      <c r="X70" s="145"/>
      <c r="Y70" s="145"/>
      <c r="Z70" s="145"/>
      <c r="AA70" s="145"/>
      <c r="AB70" s="145"/>
      <c r="AC70" s="148"/>
      <c r="AD70" s="148"/>
      <c r="AE70" s="148"/>
      <c r="AF70" s="152">
        <f>SUM(AG70:AJ70)</f>
      </c>
      <c r="AG70" s="145"/>
      <c r="AH70" s="145"/>
      <c r="AI70" s="145"/>
      <c r="AJ70" s="145"/>
      <c r="AK70" s="152">
        <f>SUM(AL70:AW70)</f>
      </c>
      <c r="AL70" s="145"/>
      <c r="AM70" s="145"/>
      <c r="AN70" s="145"/>
      <c r="AO70" s="145"/>
      <c r="AP70" s="145"/>
      <c r="AQ70" s="145"/>
      <c r="AR70" s="145"/>
      <c r="AS70" s="145"/>
      <c r="AT70" s="145"/>
      <c r="AU70" s="145"/>
      <c r="AV70" s="145"/>
      <c r="AW70" s="152"/>
      <c r="AX70" s="145"/>
      <c r="AY70" s="145"/>
      <c r="AZ70" s="145"/>
      <c r="BA70" s="152"/>
      <c r="BB70" s="145"/>
      <c r="BC70" s="145"/>
      <c r="BD70" s="152"/>
      <c r="BE70" s="145"/>
      <c r="BF70" s="145"/>
      <c r="BG70" s="145"/>
      <c r="BH70" s="152">
        <f>SUM(BI70:BK70)</f>
      </c>
      <c r="BI70" s="145"/>
      <c r="BJ70" s="145"/>
      <c r="BK70" s="145"/>
      <c r="BL70" s="145">
        <f>SUM(BM70:BR70)</f>
      </c>
      <c r="BM70" s="145"/>
      <c r="BN70" s="145"/>
      <c r="BO70" s="152"/>
      <c r="BP70" s="145"/>
      <c r="BQ70" s="145"/>
      <c r="BR70" s="145"/>
      <c r="BS70" s="145"/>
      <c r="BT70" s="145"/>
      <c r="BU70" s="152"/>
      <c r="BV70" s="145"/>
      <c r="BW70" s="145"/>
      <c r="BX70" s="145"/>
      <c r="BY70" s="152">
        <f>SUM(BZ70:CB70)</f>
      </c>
      <c r="BZ70" s="145"/>
      <c r="CA70" s="145"/>
      <c r="CB70" s="145"/>
      <c r="CC70" s="145">
        <f>SUM(CD70:CH70)</f>
      </c>
      <c r="CD70" s="145"/>
      <c r="CE70" s="152"/>
      <c r="CF70" s="145"/>
      <c r="CG70" s="145"/>
      <c r="CH70" s="145"/>
      <c r="CI70" s="152"/>
      <c r="CJ70" s="145"/>
      <c r="CK70" s="145"/>
      <c r="CL70" s="145"/>
      <c r="CM70" s="145"/>
      <c r="CN70" s="145"/>
      <c r="CO70" s="145"/>
      <c r="CP70" s="145"/>
      <c r="CQ70" s="152"/>
      <c r="CR70" s="145"/>
      <c r="CS70" s="152"/>
      <c r="CT70" s="152"/>
      <c r="CU70" s="152">
        <f>SUM(CV70:CV70)</f>
      </c>
      <c r="CV70" s="145"/>
      <c r="CW70" s="145"/>
      <c r="CX70" s="145"/>
      <c r="CY70" s="145">
        <f>SUM(CZ70:DE70)</f>
      </c>
      <c r="CZ70" s="145"/>
      <c r="DA70" s="145"/>
      <c r="DB70" s="145"/>
      <c r="DC70" s="153"/>
      <c r="DD70" s="153"/>
      <c r="DE70" s="145"/>
      <c r="DF70" s="145"/>
      <c r="DG70" s="145"/>
      <c r="DH70" s="152"/>
      <c r="DI70" s="145"/>
      <c r="DJ70" s="152"/>
      <c r="DK70" s="145"/>
      <c r="DL70" s="152"/>
      <c r="DM70" s="145"/>
      <c r="DN70" s="145"/>
      <c r="DO70" s="145"/>
      <c r="DP70" s="152"/>
      <c r="DQ70" s="145"/>
      <c r="DR70" s="145"/>
      <c r="DS70" s="145"/>
      <c r="DT70" s="145"/>
      <c r="DU70" s="145">
        <f>SUM(DV70:EE70)</f>
      </c>
      <c r="DV70" s="145"/>
      <c r="DW70" s="145"/>
      <c r="DX70" s="145"/>
      <c r="DY70" s="145"/>
      <c r="DZ70" s="145"/>
      <c r="EA70" s="152"/>
      <c r="EB70" s="145"/>
      <c r="EC70" s="145"/>
      <c r="ED70" s="145"/>
      <c r="EE70" s="145"/>
      <c r="EF70" s="145">
        <f>SUM(EG70:EH70)</f>
      </c>
      <c r="EG70" s="145"/>
      <c r="EH70" s="145"/>
      <c r="EI70" s="151" cm="1">
        <f t="array" ref="EI70">ROW()-ROW(Run[#Headers])</f>
        <v>64</v>
      </c>
    </row>
    <row r="71" spans="2:139" s="79" customFormat="1" ht="11.25" x14ac:dyDescent="0.2">
      <c r="B71" s="145"/>
      <c r="C71" s="148"/>
      <c r="D71" s="145"/>
      <c r="E71" s="152">
        <f>SUM(F71:AE71)</f>
      </c>
      <c r="F71" s="145"/>
      <c r="G71" s="145"/>
      <c r="H71" s="145"/>
      <c r="I71" s="145"/>
      <c r="J71" s="145"/>
      <c r="K71" s="145"/>
      <c r="L71" s="145"/>
      <c r="M71" s="145"/>
      <c r="N71" s="145"/>
      <c r="O71" s="145"/>
      <c r="P71" s="145"/>
      <c r="Q71" s="145"/>
      <c r="R71" s="145"/>
      <c r="S71" s="145"/>
      <c r="T71" s="145"/>
      <c r="U71" s="145"/>
      <c r="V71" s="145"/>
      <c r="W71" s="145"/>
      <c r="X71" s="145"/>
      <c r="Y71" s="145"/>
      <c r="Z71" s="145"/>
      <c r="AA71" s="145"/>
      <c r="AB71" s="145"/>
      <c r="AC71" s="148"/>
      <c r="AD71" s="148"/>
      <c r="AE71" s="148"/>
      <c r="AF71" s="152">
        <f>SUM(AG71:AJ71)</f>
      </c>
      <c r="AG71" s="145"/>
      <c r="AH71" s="145"/>
      <c r="AI71" s="145"/>
      <c r="AJ71" s="145"/>
      <c r="AK71" s="152">
        <f>SUM(AL71:AW71)</f>
      </c>
      <c r="AL71" s="145"/>
      <c r="AM71" s="145"/>
      <c r="AN71" s="145"/>
      <c r="AO71" s="145"/>
      <c r="AP71" s="145"/>
      <c r="AQ71" s="145"/>
      <c r="AR71" s="145"/>
      <c r="AS71" s="145"/>
      <c r="AT71" s="145"/>
      <c r="AU71" s="145"/>
      <c r="AV71" s="145"/>
      <c r="AW71" s="152"/>
      <c r="AX71" s="145"/>
      <c r="AY71" s="145"/>
      <c r="AZ71" s="145"/>
      <c r="BA71" s="152"/>
      <c r="BB71" s="145"/>
      <c r="BC71" s="145"/>
      <c r="BD71" s="152"/>
      <c r="BE71" s="145"/>
      <c r="BF71" s="145"/>
      <c r="BG71" s="145"/>
      <c r="BH71" s="152">
        <f>SUM(BI71:BK71)</f>
      </c>
      <c r="BI71" s="145"/>
      <c r="BJ71" s="145"/>
      <c r="BK71" s="145"/>
      <c r="BL71" s="145">
        <f>SUM(BM71:BR71)</f>
      </c>
      <c r="BM71" s="145"/>
      <c r="BN71" s="145"/>
      <c r="BO71" s="152"/>
      <c r="BP71" s="145"/>
      <c r="BQ71" s="145"/>
      <c r="BR71" s="145"/>
      <c r="BS71" s="145"/>
      <c r="BT71" s="145"/>
      <c r="BU71" s="152"/>
      <c r="BV71" s="145"/>
      <c r="BW71" s="145"/>
      <c r="BX71" s="145"/>
      <c r="BY71" s="152">
        <f>SUM(BZ71:CB71)</f>
      </c>
      <c r="BZ71" s="145"/>
      <c r="CA71" s="145"/>
      <c r="CB71" s="145"/>
      <c r="CC71" s="145">
        <f>SUM(CD71:CH71)</f>
      </c>
      <c r="CD71" s="145"/>
      <c r="CE71" s="152"/>
      <c r="CF71" s="145"/>
      <c r="CG71" s="145"/>
      <c r="CH71" s="145"/>
      <c r="CI71" s="152"/>
      <c r="CJ71" s="145"/>
      <c r="CK71" s="145"/>
      <c r="CL71" s="145"/>
      <c r="CM71" s="145"/>
      <c r="CN71" s="145"/>
      <c r="CO71" s="145"/>
      <c r="CP71" s="145"/>
      <c r="CQ71" s="152"/>
      <c r="CR71" s="145"/>
      <c r="CS71" s="152"/>
      <c r="CT71" s="152"/>
      <c r="CU71" s="152">
        <f>SUM(CV71:CV71)</f>
      </c>
      <c r="CV71" s="145"/>
      <c r="CW71" s="145"/>
      <c r="CX71" s="145"/>
      <c r="CY71" s="145">
        <f>SUM(CZ71:DE71)</f>
      </c>
      <c r="CZ71" s="145"/>
      <c r="DA71" s="145"/>
      <c r="DB71" s="145"/>
      <c r="DC71" s="153"/>
      <c r="DD71" s="153"/>
      <c r="DE71" s="145"/>
      <c r="DF71" s="145"/>
      <c r="DG71" s="145"/>
      <c r="DH71" s="152"/>
      <c r="DI71" s="145"/>
      <c r="DJ71" s="152"/>
      <c r="DK71" s="145"/>
      <c r="DL71" s="152"/>
      <c r="DM71" s="145"/>
      <c r="DN71" s="145"/>
      <c r="DO71" s="145"/>
      <c r="DP71" s="152"/>
      <c r="DQ71" s="145"/>
      <c r="DR71" s="145"/>
      <c r="DS71" s="145"/>
      <c r="DT71" s="145"/>
      <c r="DU71" s="145">
        <f>SUM(DV71:EE71)</f>
      </c>
      <c r="DV71" s="145"/>
      <c r="DW71" s="145"/>
      <c r="DX71" s="145"/>
      <c r="DY71" s="145"/>
      <c r="DZ71" s="145"/>
      <c r="EA71" s="152"/>
      <c r="EB71" s="145"/>
      <c r="EC71" s="145"/>
      <c r="ED71" s="145"/>
      <c r="EE71" s="145"/>
      <c r="EF71" s="145">
        <f>SUM(EG71:EH71)</f>
      </c>
      <c r="EG71" s="145"/>
      <c r="EH71" s="145"/>
      <c r="EI71" s="151" cm="1">
        <f t="array" ref="EI71">ROW()-ROW(Run[#Headers])</f>
        <v>65</v>
      </c>
    </row>
    <row r="72" spans="2:139" s="79" customFormat="1" ht="11.25" x14ac:dyDescent="0.2">
      <c r="B72" s="145"/>
      <c r="C72" s="148"/>
      <c r="D72" s="145"/>
      <c r="E72" s="152">
        <f>SUM(F72:AE72)</f>
      </c>
      <c r="F72" s="145"/>
      <c r="G72" s="145"/>
      <c r="H72" s="145"/>
      <c r="I72" s="145"/>
      <c r="J72" s="145"/>
      <c r="K72" s="145"/>
      <c r="L72" s="145"/>
      <c r="M72" s="145"/>
      <c r="N72" s="145"/>
      <c r="O72" s="145"/>
      <c r="P72" s="145"/>
      <c r="Q72" s="145"/>
      <c r="R72" s="145"/>
      <c r="S72" s="145"/>
      <c r="T72" s="145"/>
      <c r="U72" s="145"/>
      <c r="V72" s="145"/>
      <c r="W72" s="145"/>
      <c r="X72" s="145"/>
      <c r="Y72" s="145"/>
      <c r="Z72" s="145"/>
      <c r="AA72" s="145"/>
      <c r="AB72" s="145"/>
      <c r="AC72" s="148"/>
      <c r="AD72" s="148"/>
      <c r="AE72" s="148"/>
      <c r="AF72" s="152">
        <f>SUM(AG72:AJ72)</f>
      </c>
      <c r="AG72" s="145"/>
      <c r="AH72" s="145"/>
      <c r="AI72" s="145"/>
      <c r="AJ72" s="145"/>
      <c r="AK72" s="152">
        <f>SUM(AL72:AW72)</f>
      </c>
      <c r="AL72" s="145"/>
      <c r="AM72" s="145"/>
      <c r="AN72" s="145"/>
      <c r="AO72" s="145"/>
      <c r="AP72" s="145"/>
      <c r="AQ72" s="145"/>
      <c r="AR72" s="145"/>
      <c r="AS72" s="145"/>
      <c r="AT72" s="145"/>
      <c r="AU72" s="145"/>
      <c r="AV72" s="145"/>
      <c r="AW72" s="152"/>
      <c r="AX72" s="145"/>
      <c r="AY72" s="145"/>
      <c r="AZ72" s="145"/>
      <c r="BA72" s="152"/>
      <c r="BB72" s="145"/>
      <c r="BC72" s="145"/>
      <c r="BD72" s="152"/>
      <c r="BE72" s="145"/>
      <c r="BF72" s="145"/>
      <c r="BG72" s="145"/>
      <c r="BH72" s="152">
        <f>SUM(BI72:BK72)</f>
      </c>
      <c r="BI72" s="145"/>
      <c r="BJ72" s="145"/>
      <c r="BK72" s="145"/>
      <c r="BL72" s="145">
        <f>SUM(BM72:BR72)</f>
      </c>
      <c r="BM72" s="145"/>
      <c r="BN72" s="145"/>
      <c r="BO72" s="152"/>
      <c r="BP72" s="145"/>
      <c r="BQ72" s="145"/>
      <c r="BR72" s="145"/>
      <c r="BS72" s="145"/>
      <c r="BT72" s="145"/>
      <c r="BU72" s="152"/>
      <c r="BV72" s="145"/>
      <c r="BW72" s="145"/>
      <c r="BX72" s="145"/>
      <c r="BY72" s="152">
        <f>SUM(BZ72:CB72)</f>
      </c>
      <c r="BZ72" s="145"/>
      <c r="CA72" s="145"/>
      <c r="CB72" s="145"/>
      <c r="CC72" s="145">
        <f>SUM(CD72:CH72)</f>
      </c>
      <c r="CD72" s="145"/>
      <c r="CE72" s="152"/>
      <c r="CF72" s="145"/>
      <c r="CG72" s="145"/>
      <c r="CH72" s="145"/>
      <c r="CI72" s="152"/>
      <c r="CJ72" s="145"/>
      <c r="CK72" s="145"/>
      <c r="CL72" s="145"/>
      <c r="CM72" s="145"/>
      <c r="CN72" s="145"/>
      <c r="CO72" s="145"/>
      <c r="CP72" s="145"/>
      <c r="CQ72" s="152"/>
      <c r="CR72" s="145"/>
      <c r="CS72" s="152"/>
      <c r="CT72" s="152"/>
      <c r="CU72" s="152">
        <f>SUM(CV72:CV72)</f>
      </c>
      <c r="CV72" s="145"/>
      <c r="CW72" s="145"/>
      <c r="CX72" s="145"/>
      <c r="CY72" s="145">
        <f>SUM(CZ72:DE72)</f>
      </c>
      <c r="CZ72" s="145"/>
      <c r="DA72" s="145"/>
      <c r="DB72" s="145"/>
      <c r="DC72" s="153"/>
      <c r="DD72" s="153"/>
      <c r="DE72" s="145"/>
      <c r="DF72" s="145"/>
      <c r="DG72" s="145"/>
      <c r="DH72" s="152"/>
      <c r="DI72" s="145"/>
      <c r="DJ72" s="152"/>
      <c r="DK72" s="145"/>
      <c r="DL72" s="152"/>
      <c r="DM72" s="145"/>
      <c r="DN72" s="145"/>
      <c r="DO72" s="145"/>
      <c r="DP72" s="152"/>
      <c r="DQ72" s="145"/>
      <c r="DR72" s="145"/>
      <c r="DS72" s="145"/>
      <c r="DT72" s="145"/>
      <c r="DU72" s="145">
        <f>SUM(DV72:EE72)</f>
      </c>
      <c r="DV72" s="145"/>
      <c r="DW72" s="145"/>
      <c r="DX72" s="145"/>
      <c r="DY72" s="145"/>
      <c r="DZ72" s="145"/>
      <c r="EA72" s="152"/>
      <c r="EB72" s="145"/>
      <c r="EC72" s="145"/>
      <c r="ED72" s="145"/>
      <c r="EE72" s="145"/>
      <c r="EF72" s="145">
        <f>SUM(EG72:EH72)</f>
      </c>
      <c r="EG72" s="145"/>
      <c r="EH72" s="145"/>
      <c r="EI72" s="151" cm="1">
        <f t="array" ref="EI72">ROW()-ROW(Run[#Headers])</f>
        <v>66</v>
      </c>
    </row>
    <row r="73" spans="2:139" s="79" customFormat="1" ht="11.25" x14ac:dyDescent="0.2">
      <c r="B73" s="145"/>
      <c r="C73" s="145"/>
      <c r="D73" s="145"/>
      <c r="E73" s="152">
        <f>SUM(F73:AE73)</f>
      </c>
      <c r="F73" s="145"/>
      <c r="G73" s="145"/>
      <c r="H73" s="145"/>
      <c r="I73" s="145"/>
      <c r="J73" s="145"/>
      <c r="K73" s="145"/>
      <c r="L73" s="145"/>
      <c r="M73" s="145"/>
      <c r="N73" s="145"/>
      <c r="O73" s="145"/>
      <c r="P73" s="145"/>
      <c r="Q73" s="145"/>
      <c r="R73" s="145"/>
      <c r="S73" s="145"/>
      <c r="T73" s="145"/>
      <c r="U73" s="145"/>
      <c r="V73" s="145"/>
      <c r="W73" s="145"/>
      <c r="X73" s="145"/>
      <c r="Y73" s="145"/>
      <c r="Z73" s="145"/>
      <c r="AA73" s="145"/>
      <c r="AB73" s="145"/>
      <c r="AC73" s="148"/>
      <c r="AD73" s="148"/>
      <c r="AE73" s="148"/>
      <c r="AF73" s="152">
        <f>SUM(AG73:AJ73)</f>
      </c>
      <c r="AG73" s="145"/>
      <c r="AH73" s="145"/>
      <c r="AI73" s="145"/>
      <c r="AJ73" s="145"/>
      <c r="AK73" s="152">
        <f>SUM(AL73:AW73)</f>
      </c>
      <c r="AL73" s="145"/>
      <c r="AM73" s="145"/>
      <c r="AN73" s="145"/>
      <c r="AO73" s="145"/>
      <c r="AP73" s="145"/>
      <c r="AQ73" s="145"/>
      <c r="AR73" s="145"/>
      <c r="AS73" s="145"/>
      <c r="AT73" s="145"/>
      <c r="AU73" s="145"/>
      <c r="AV73" s="145"/>
      <c r="AW73" s="152"/>
      <c r="AX73" s="145"/>
      <c r="AY73" s="145"/>
      <c r="AZ73" s="145"/>
      <c r="BA73" s="152"/>
      <c r="BB73" s="145"/>
      <c r="BC73" s="145"/>
      <c r="BD73" s="152"/>
      <c r="BE73" s="145"/>
      <c r="BF73" s="145"/>
      <c r="BG73" s="145"/>
      <c r="BH73" s="152">
        <f>SUM(BI73:BK73)</f>
      </c>
      <c r="BI73" s="145"/>
      <c r="BJ73" s="145"/>
      <c r="BK73" s="145"/>
      <c r="BL73" s="145">
        <f>SUM(BM73:BR73)</f>
      </c>
      <c r="BM73" s="145"/>
      <c r="BN73" s="145"/>
      <c r="BO73" s="152"/>
      <c r="BP73" s="145"/>
      <c r="BQ73" s="145"/>
      <c r="BR73" s="145"/>
      <c r="BS73" s="145"/>
      <c r="BT73" s="145"/>
      <c r="BU73" s="152"/>
      <c r="BV73" s="145"/>
      <c r="BW73" s="145"/>
      <c r="BX73" s="145"/>
      <c r="BY73" s="152">
        <f>SUM(BZ73:CB73)</f>
      </c>
      <c r="BZ73" s="145"/>
      <c r="CA73" s="145"/>
      <c r="CB73" s="145"/>
      <c r="CC73" s="145">
        <f>SUM(CD73:CH73)</f>
      </c>
      <c r="CD73" s="145"/>
      <c r="CE73" s="152"/>
      <c r="CF73" s="145"/>
      <c r="CG73" s="145"/>
      <c r="CH73" s="145"/>
      <c r="CI73" s="152"/>
      <c r="CJ73" s="145"/>
      <c r="CK73" s="145"/>
      <c r="CL73" s="145"/>
      <c r="CM73" s="145"/>
      <c r="CN73" s="145"/>
      <c r="CO73" s="145"/>
      <c r="CP73" s="145"/>
      <c r="CQ73" s="152"/>
      <c r="CR73" s="145"/>
      <c r="CS73" s="152"/>
      <c r="CT73" s="152"/>
      <c r="CU73" s="152">
        <f>SUM(CV73:CV73)</f>
      </c>
      <c r="CV73" s="145"/>
      <c r="CW73" s="145"/>
      <c r="CX73" s="145"/>
      <c r="CY73" s="145">
        <f>SUM(CZ73:DE73)</f>
      </c>
      <c r="CZ73" s="145"/>
      <c r="DA73" s="145"/>
      <c r="DB73" s="145"/>
      <c r="DC73" s="153"/>
      <c r="DD73" s="153"/>
      <c r="DE73" s="145"/>
      <c r="DF73" s="145"/>
      <c r="DG73" s="145"/>
      <c r="DH73" s="152"/>
      <c r="DI73" s="145"/>
      <c r="DJ73" s="152"/>
      <c r="DK73" s="145"/>
      <c r="DL73" s="152"/>
      <c r="DM73" s="145"/>
      <c r="DN73" s="145"/>
      <c r="DO73" s="145"/>
      <c r="DP73" s="152"/>
      <c r="DQ73" s="145"/>
      <c r="DR73" s="145"/>
      <c r="DS73" s="145"/>
      <c r="DT73" s="145"/>
      <c r="DU73" s="145">
        <f>SUM(DV73:EE73)</f>
      </c>
      <c r="DV73" s="145"/>
      <c r="DW73" s="145"/>
      <c r="DX73" s="145"/>
      <c r="DY73" s="145"/>
      <c r="DZ73" s="145"/>
      <c r="EA73" s="152"/>
      <c r="EB73" s="145"/>
      <c r="EC73" s="145"/>
      <c r="ED73" s="145"/>
      <c r="EE73" s="145"/>
      <c r="EF73" s="145">
        <f>SUM(EG73:EH73)</f>
      </c>
      <c r="EG73" s="145"/>
      <c r="EH73" s="145"/>
      <c r="EI73" s="151" cm="1">
        <f t="array" ref="EI73">ROW()-ROW(Run[#Headers])</f>
        <v>67</v>
      </c>
    </row>
    <row r="74" spans="2:139" s="79" customFormat="1" ht="11.25" x14ac:dyDescent="0.2">
      <c r="B74" s="145"/>
      <c r="C74" s="145"/>
      <c r="D74" s="145"/>
      <c r="E74" s="152">
        <f>SUM(F74:AE74)</f>
      </c>
      <c r="F74" s="145"/>
      <c r="G74" s="145"/>
      <c r="H74" s="145"/>
      <c r="I74" s="145"/>
      <c r="J74" s="145"/>
      <c r="K74" s="145"/>
      <c r="L74" s="145"/>
      <c r="M74" s="145"/>
      <c r="N74" s="145"/>
      <c r="O74" s="145"/>
      <c r="P74" s="145"/>
      <c r="Q74" s="145"/>
      <c r="R74" s="145"/>
      <c r="S74" s="145"/>
      <c r="T74" s="145"/>
      <c r="U74" s="145"/>
      <c r="V74" s="145"/>
      <c r="W74" s="145"/>
      <c r="X74" s="145"/>
      <c r="Y74" s="145"/>
      <c r="Z74" s="145"/>
      <c r="AA74" s="145"/>
      <c r="AB74" s="145"/>
      <c r="AC74" s="148"/>
      <c r="AD74" s="148"/>
      <c r="AE74" s="148"/>
      <c r="AF74" s="152">
        <f>SUM(AG74:AJ74)</f>
      </c>
      <c r="AG74" s="145"/>
      <c r="AH74" s="145"/>
      <c r="AI74" s="145"/>
      <c r="AJ74" s="145"/>
      <c r="AK74" s="152">
        <f>SUM(AL74:AW74)</f>
      </c>
      <c r="AL74" s="145"/>
      <c r="AM74" s="145"/>
      <c r="AN74" s="145"/>
      <c r="AO74" s="145"/>
      <c r="AP74" s="145"/>
      <c r="AQ74" s="145"/>
      <c r="AR74" s="145"/>
      <c r="AS74" s="145"/>
      <c r="AT74" s="145"/>
      <c r="AU74" s="145"/>
      <c r="AV74" s="145"/>
      <c r="AW74" s="152"/>
      <c r="AX74" s="145"/>
      <c r="AY74" s="145"/>
      <c r="AZ74" s="145"/>
      <c r="BA74" s="152"/>
      <c r="BB74" s="145"/>
      <c r="BC74" s="145"/>
      <c r="BD74" s="152"/>
      <c r="BE74" s="145"/>
      <c r="BF74" s="145"/>
      <c r="BG74" s="145"/>
      <c r="BH74" s="152">
        <f>SUM(BI74:BK74)</f>
      </c>
      <c r="BI74" s="145"/>
      <c r="BJ74" s="145"/>
      <c r="BK74" s="145"/>
      <c r="BL74" s="145">
        <f>SUM(BM74:BR74)</f>
      </c>
      <c r="BM74" s="145"/>
      <c r="BN74" s="145"/>
      <c r="BO74" s="152"/>
      <c r="BP74" s="145"/>
      <c r="BQ74" s="145"/>
      <c r="BR74" s="145"/>
      <c r="BS74" s="145"/>
      <c r="BT74" s="145"/>
      <c r="BU74" s="152"/>
      <c r="BV74" s="145"/>
      <c r="BW74" s="145"/>
      <c r="BX74" s="145"/>
      <c r="BY74" s="152">
        <f>SUM(BZ74:CB74)</f>
      </c>
      <c r="BZ74" s="145"/>
      <c r="CA74" s="145"/>
      <c r="CB74" s="145"/>
      <c r="CC74" s="145">
        <f>SUM(CD74:CH74)</f>
      </c>
      <c r="CD74" s="145"/>
      <c r="CE74" s="152"/>
      <c r="CF74" s="145"/>
      <c r="CG74" s="145"/>
      <c r="CH74" s="145"/>
      <c r="CI74" s="152"/>
      <c r="CJ74" s="145"/>
      <c r="CK74" s="145"/>
      <c r="CL74" s="145"/>
      <c r="CM74" s="145"/>
      <c r="CN74" s="145"/>
      <c r="CO74" s="145"/>
      <c r="CP74" s="145"/>
      <c r="CQ74" s="152"/>
      <c r="CR74" s="145"/>
      <c r="CS74" s="152"/>
      <c r="CT74" s="152"/>
      <c r="CU74" s="152">
        <f>SUM(CV74:CV74)</f>
      </c>
      <c r="CV74" s="145"/>
      <c r="CW74" s="145"/>
      <c r="CX74" s="145"/>
      <c r="CY74" s="145">
        <f>SUM(CZ74:DE74)</f>
      </c>
      <c r="CZ74" s="145"/>
      <c r="DA74" s="145"/>
      <c r="DB74" s="145"/>
      <c r="DC74" s="153"/>
      <c r="DD74" s="153"/>
      <c r="DE74" s="145"/>
      <c r="DF74" s="145"/>
      <c r="DG74" s="145"/>
      <c r="DH74" s="152"/>
      <c r="DI74" s="145"/>
      <c r="DJ74" s="152"/>
      <c r="DK74" s="145"/>
      <c r="DL74" s="152"/>
      <c r="DM74" s="145"/>
      <c r="DN74" s="145"/>
      <c r="DO74" s="145"/>
      <c r="DP74" s="152"/>
      <c r="DQ74" s="145"/>
      <c r="DR74" s="145"/>
      <c r="DS74" s="145"/>
      <c r="DT74" s="145"/>
      <c r="DU74" s="145">
        <f>SUM(DV74:EE74)</f>
      </c>
      <c r="DV74" s="145"/>
      <c r="DW74" s="145"/>
      <c r="DX74" s="145"/>
      <c r="DY74" s="145"/>
      <c r="DZ74" s="145"/>
      <c r="EA74" s="152"/>
      <c r="EB74" s="145"/>
      <c r="EC74" s="145"/>
      <c r="ED74" s="145"/>
      <c r="EE74" s="145"/>
      <c r="EF74" s="145">
        <f>SUM(EG74:EH74)</f>
      </c>
      <c r="EG74" s="145"/>
      <c r="EH74" s="145"/>
      <c r="EI74" s="151" cm="1">
        <f t="array" ref="EI74">ROW()-ROW(Run[#Headers])</f>
        <v>68</v>
      </c>
    </row>
    <row r="75" spans="2:139" s="79" customFormat="1" ht="11.25" x14ac:dyDescent="0.2">
      <c r="B75" s="145"/>
      <c r="C75" s="145"/>
      <c r="D75" s="145"/>
      <c r="E75" s="152">
        <f>SUM(F75:AE75)</f>
      </c>
      <c r="F75" s="145"/>
      <c r="G75" s="145"/>
      <c r="H75" s="145"/>
      <c r="I75" s="145"/>
      <c r="J75" s="145"/>
      <c r="K75" s="145"/>
      <c r="L75" s="145"/>
      <c r="M75" s="145"/>
      <c r="N75" s="145"/>
      <c r="O75" s="145"/>
      <c r="P75" s="145"/>
      <c r="Q75" s="145"/>
      <c r="R75" s="145"/>
      <c r="S75" s="145"/>
      <c r="T75" s="145"/>
      <c r="U75" s="145"/>
      <c r="V75" s="145"/>
      <c r="W75" s="145"/>
      <c r="X75" s="145"/>
      <c r="Y75" s="145"/>
      <c r="Z75" s="145"/>
      <c r="AA75" s="145"/>
      <c r="AB75" s="145"/>
      <c r="AC75" s="148"/>
      <c r="AD75" s="148"/>
      <c r="AE75" s="148"/>
      <c r="AF75" s="152">
        <f>SUM(AG75:AJ75)</f>
      </c>
      <c r="AG75" s="145"/>
      <c r="AH75" s="145"/>
      <c r="AI75" s="145"/>
      <c r="AJ75" s="145"/>
      <c r="AK75" s="152">
        <f>SUM(AL75:AW75)</f>
      </c>
      <c r="AL75" s="145"/>
      <c r="AM75" s="145"/>
      <c r="AN75" s="145"/>
      <c r="AO75" s="145"/>
      <c r="AP75" s="145"/>
      <c r="AQ75" s="145"/>
      <c r="AR75" s="145"/>
      <c r="AS75" s="145"/>
      <c r="AT75" s="145"/>
      <c r="AU75" s="145"/>
      <c r="AV75" s="145"/>
      <c r="AW75" s="152"/>
      <c r="AX75" s="145"/>
      <c r="AY75" s="145"/>
      <c r="AZ75" s="145"/>
      <c r="BA75" s="152"/>
      <c r="BB75" s="145"/>
      <c r="BC75" s="145"/>
      <c r="BD75" s="152"/>
      <c r="BE75" s="145"/>
      <c r="BF75" s="145"/>
      <c r="BG75" s="145"/>
      <c r="BH75" s="152">
        <f>SUM(BI75:BK75)</f>
      </c>
      <c r="BI75" s="145"/>
      <c r="BJ75" s="145"/>
      <c r="BK75" s="145"/>
      <c r="BL75" s="145">
        <f>SUM(BM75:BR75)</f>
      </c>
      <c r="BM75" s="145"/>
      <c r="BN75" s="145"/>
      <c r="BO75" s="152"/>
      <c r="BP75" s="145"/>
      <c r="BQ75" s="145"/>
      <c r="BR75" s="145"/>
      <c r="BS75" s="145"/>
      <c r="BT75" s="145"/>
      <c r="BU75" s="152"/>
      <c r="BV75" s="145"/>
      <c r="BW75" s="145"/>
      <c r="BX75" s="145"/>
      <c r="BY75" s="152">
        <f>SUM(BZ75:CB75)</f>
      </c>
      <c r="BZ75" s="145"/>
      <c r="CA75" s="145"/>
      <c r="CB75" s="145"/>
      <c r="CC75" s="145">
        <f>SUM(CD75:CH75)</f>
      </c>
      <c r="CD75" s="145"/>
      <c r="CE75" s="152"/>
      <c r="CF75" s="145"/>
      <c r="CG75" s="145"/>
      <c r="CH75" s="145"/>
      <c r="CI75" s="152"/>
      <c r="CJ75" s="145"/>
      <c r="CK75" s="145"/>
      <c r="CL75" s="145"/>
      <c r="CM75" s="145"/>
      <c r="CN75" s="145"/>
      <c r="CO75" s="145"/>
      <c r="CP75" s="145"/>
      <c r="CQ75" s="152"/>
      <c r="CR75" s="145"/>
      <c r="CS75" s="152"/>
      <c r="CT75" s="152"/>
      <c r="CU75" s="152">
        <f>SUM(CV75:CV75)</f>
      </c>
      <c r="CV75" s="145"/>
      <c r="CW75" s="145"/>
      <c r="CX75" s="145"/>
      <c r="CY75" s="145">
        <f>SUM(CZ75:DE75)</f>
      </c>
      <c r="CZ75" s="145"/>
      <c r="DA75" s="145"/>
      <c r="DB75" s="145"/>
      <c r="DC75" s="153"/>
      <c r="DD75" s="153"/>
      <c r="DE75" s="145"/>
      <c r="DF75" s="145"/>
      <c r="DG75" s="145"/>
      <c r="DH75" s="152"/>
      <c r="DI75" s="145"/>
      <c r="DJ75" s="152"/>
      <c r="DK75" s="145"/>
      <c r="DL75" s="152"/>
      <c r="DM75" s="145"/>
      <c r="DN75" s="145"/>
      <c r="DO75" s="145"/>
      <c r="DP75" s="152"/>
      <c r="DQ75" s="145"/>
      <c r="DR75" s="145"/>
      <c r="DS75" s="145"/>
      <c r="DT75" s="145"/>
      <c r="DU75" s="145">
        <f>SUM(DV75:EE75)</f>
      </c>
      <c r="DV75" s="145"/>
      <c r="DW75" s="145"/>
      <c r="DX75" s="145"/>
      <c r="DY75" s="145"/>
      <c r="DZ75" s="145"/>
      <c r="EA75" s="152"/>
      <c r="EB75" s="145"/>
      <c r="EC75" s="145"/>
      <c r="ED75" s="145"/>
      <c r="EE75" s="145"/>
      <c r="EF75" s="145">
        <f>SUM(EG75:EH75)</f>
      </c>
      <c r="EG75" s="145"/>
      <c r="EH75" s="145"/>
      <c r="EI75" s="151" cm="1">
        <f t="array" ref="EI75">ROW()-ROW(Run[#Headers])</f>
        <v>69</v>
      </c>
    </row>
    <row r="76" spans="2:139" s="79" customFormat="1" ht="11.25" x14ac:dyDescent="0.2">
      <c r="B76" s="145"/>
      <c r="C76" s="145"/>
      <c r="D76" s="145"/>
      <c r="E76" s="152">
        <f>SUM(F76:AE76)</f>
      </c>
      <c r="F76" s="145"/>
      <c r="G76" s="145"/>
      <c r="H76" s="145"/>
      <c r="I76" s="145"/>
      <c r="J76" s="145"/>
      <c r="K76" s="145"/>
      <c r="L76" s="145"/>
      <c r="M76" s="145"/>
      <c r="N76" s="145"/>
      <c r="O76" s="145"/>
      <c r="P76" s="145"/>
      <c r="Q76" s="145"/>
      <c r="R76" s="145"/>
      <c r="S76" s="145"/>
      <c r="T76" s="145"/>
      <c r="U76" s="145"/>
      <c r="V76" s="145"/>
      <c r="W76" s="145"/>
      <c r="X76" s="145"/>
      <c r="Y76" s="145"/>
      <c r="Z76" s="145"/>
      <c r="AA76" s="145"/>
      <c r="AB76" s="145"/>
      <c r="AC76" s="148"/>
      <c r="AD76" s="148"/>
      <c r="AE76" s="148"/>
      <c r="AF76" s="152">
        <f>SUM(AG76:AJ76)</f>
      </c>
      <c r="AG76" s="145"/>
      <c r="AH76" s="145"/>
      <c r="AI76" s="145"/>
      <c r="AJ76" s="145"/>
      <c r="AK76" s="152">
        <f>SUM(AL76:AW76)</f>
      </c>
      <c r="AL76" s="145"/>
      <c r="AM76" s="145"/>
      <c r="AN76" s="145"/>
      <c r="AO76" s="145"/>
      <c r="AP76" s="145"/>
      <c r="AQ76" s="145"/>
      <c r="AR76" s="145"/>
      <c r="AS76" s="145"/>
      <c r="AT76" s="145"/>
      <c r="AU76" s="145"/>
      <c r="AV76" s="145"/>
      <c r="AW76" s="152"/>
      <c r="AX76" s="145"/>
      <c r="AY76" s="145"/>
      <c r="AZ76" s="145"/>
      <c r="BA76" s="152"/>
      <c r="BB76" s="145"/>
      <c r="BC76" s="145"/>
      <c r="BD76" s="152"/>
      <c r="BE76" s="145"/>
      <c r="BF76" s="145"/>
      <c r="BG76" s="145"/>
      <c r="BH76" s="152">
        <f>SUM(BI76:BK76)</f>
      </c>
      <c r="BI76" s="145"/>
      <c r="BJ76" s="145"/>
      <c r="BK76" s="145"/>
      <c r="BL76" s="145">
        <f>SUM(BM76:BR76)</f>
      </c>
      <c r="BM76" s="145"/>
      <c r="BN76" s="145"/>
      <c r="BO76" s="152"/>
      <c r="BP76" s="145"/>
      <c r="BQ76" s="145"/>
      <c r="BR76" s="145"/>
      <c r="BS76" s="145"/>
      <c r="BT76" s="145"/>
      <c r="BU76" s="152"/>
      <c r="BV76" s="145"/>
      <c r="BW76" s="145"/>
      <c r="BX76" s="145"/>
      <c r="BY76" s="152">
        <f>SUM(BZ76:CB76)</f>
      </c>
      <c r="BZ76" s="145"/>
      <c r="CA76" s="145"/>
      <c r="CB76" s="145"/>
      <c r="CC76" s="145">
        <f>SUM(CD76:CH76)</f>
      </c>
      <c r="CD76" s="145"/>
      <c r="CE76" s="152"/>
      <c r="CF76" s="145"/>
      <c r="CG76" s="145"/>
      <c r="CH76" s="145"/>
      <c r="CI76" s="152"/>
      <c r="CJ76" s="145"/>
      <c r="CK76" s="145"/>
      <c r="CL76" s="145"/>
      <c r="CM76" s="145"/>
      <c r="CN76" s="145"/>
      <c r="CO76" s="145"/>
      <c r="CP76" s="145"/>
      <c r="CQ76" s="152"/>
      <c r="CR76" s="145"/>
      <c r="CS76" s="152"/>
      <c r="CT76" s="152"/>
      <c r="CU76" s="152">
        <f>SUM(CV76:CV76)</f>
      </c>
      <c r="CV76" s="145"/>
      <c r="CW76" s="145"/>
      <c r="CX76" s="145"/>
      <c r="CY76" s="145">
        <f>SUM(CZ76:DE76)</f>
      </c>
      <c r="CZ76" s="145"/>
      <c r="DA76" s="145"/>
      <c r="DB76" s="145"/>
      <c r="DC76" s="153"/>
      <c r="DD76" s="153"/>
      <c r="DE76" s="145"/>
      <c r="DF76" s="145"/>
      <c r="DG76" s="145"/>
      <c r="DH76" s="152"/>
      <c r="DI76" s="145"/>
      <c r="DJ76" s="152"/>
      <c r="DK76" s="145"/>
      <c r="DL76" s="152"/>
      <c r="DM76" s="145"/>
      <c r="DN76" s="145"/>
      <c r="DO76" s="145"/>
      <c r="DP76" s="152"/>
      <c r="DQ76" s="145"/>
      <c r="DR76" s="145"/>
      <c r="DS76" s="145"/>
      <c r="DT76" s="145"/>
      <c r="DU76" s="145">
        <f>SUM(DV76:EE76)</f>
      </c>
      <c r="DV76" s="145"/>
      <c r="DW76" s="145"/>
      <c r="DX76" s="145"/>
      <c r="DY76" s="145"/>
      <c r="DZ76" s="145"/>
      <c r="EA76" s="152"/>
      <c r="EB76" s="145"/>
      <c r="EC76" s="145"/>
      <c r="ED76" s="145"/>
      <c r="EE76" s="145"/>
      <c r="EF76" s="145">
        <f>SUM(EG76:EH76)</f>
      </c>
      <c r="EG76" s="145"/>
      <c r="EH76" s="145"/>
      <c r="EI76" s="151" cm="1">
        <f t="array" ref="EI76">ROW()-ROW(Run[#Headers])</f>
        <v>70</v>
      </c>
    </row>
    <row r="77" spans="2:139" s="79" customFormat="1" ht="11.25" x14ac:dyDescent="0.2">
      <c r="B77" s="145"/>
      <c r="C77" s="145"/>
      <c r="D77" s="145"/>
      <c r="E77" s="152">
        <f>SUM(F77:AE77)</f>
      </c>
      <c r="F77" s="145"/>
      <c r="G77" s="145"/>
      <c r="H77" s="145"/>
      <c r="I77" s="145"/>
      <c r="J77" s="145"/>
      <c r="K77" s="145"/>
      <c r="L77" s="145"/>
      <c r="M77" s="145"/>
      <c r="N77" s="145"/>
      <c r="O77" s="145"/>
      <c r="P77" s="145"/>
      <c r="Q77" s="145"/>
      <c r="R77" s="145"/>
      <c r="S77" s="145"/>
      <c r="T77" s="145"/>
      <c r="U77" s="145"/>
      <c r="V77" s="145"/>
      <c r="W77" s="145"/>
      <c r="X77" s="145"/>
      <c r="Y77" s="145"/>
      <c r="Z77" s="145"/>
      <c r="AA77" s="145"/>
      <c r="AB77" s="145"/>
      <c r="AC77" s="148"/>
      <c r="AD77" s="148"/>
      <c r="AE77" s="148"/>
      <c r="AF77" s="152">
        <f>SUM(AG77:AJ77)</f>
      </c>
      <c r="AG77" s="145"/>
      <c r="AH77" s="145"/>
      <c r="AI77" s="145"/>
      <c r="AJ77" s="145"/>
      <c r="AK77" s="152">
        <f>SUM(AL77:AW77)</f>
      </c>
      <c r="AL77" s="145"/>
      <c r="AM77" s="145"/>
      <c r="AN77" s="145"/>
      <c r="AO77" s="145"/>
      <c r="AP77" s="145"/>
      <c r="AQ77" s="145"/>
      <c r="AR77" s="145"/>
      <c r="AS77" s="145"/>
      <c r="AT77" s="145"/>
      <c r="AU77" s="145"/>
      <c r="AV77" s="145"/>
      <c r="AW77" s="152"/>
      <c r="AX77" s="145"/>
      <c r="AY77" s="145"/>
      <c r="AZ77" s="145"/>
      <c r="BA77" s="152"/>
      <c r="BB77" s="145"/>
      <c r="BC77" s="145"/>
      <c r="BD77" s="152"/>
      <c r="BE77" s="145"/>
      <c r="BF77" s="145"/>
      <c r="BG77" s="145"/>
      <c r="BH77" s="152">
        <f>SUM(BI77:BK77)</f>
      </c>
      <c r="BI77" s="145"/>
      <c r="BJ77" s="145"/>
      <c r="BK77" s="145"/>
      <c r="BL77" s="145">
        <f>SUM(BM77:BR77)</f>
      </c>
      <c r="BM77" s="145"/>
      <c r="BN77" s="145"/>
      <c r="BO77" s="152"/>
      <c r="BP77" s="145"/>
      <c r="BQ77" s="145"/>
      <c r="BR77" s="145"/>
      <c r="BS77" s="145"/>
      <c r="BT77" s="145"/>
      <c r="BU77" s="152"/>
      <c r="BV77" s="145"/>
      <c r="BW77" s="145"/>
      <c r="BX77" s="145"/>
      <c r="BY77" s="152">
        <f>SUM(BZ77:CB77)</f>
      </c>
      <c r="BZ77" s="145"/>
      <c r="CA77" s="145"/>
      <c r="CB77" s="145"/>
      <c r="CC77" s="145">
        <f>SUM(CD77:CH77)</f>
      </c>
      <c r="CD77" s="145"/>
      <c r="CE77" s="152"/>
      <c r="CF77" s="145"/>
      <c r="CG77" s="145"/>
      <c r="CH77" s="145"/>
      <c r="CI77" s="152"/>
      <c r="CJ77" s="145"/>
      <c r="CK77" s="145"/>
      <c r="CL77" s="145"/>
      <c r="CM77" s="145"/>
      <c r="CN77" s="145"/>
      <c r="CO77" s="145"/>
      <c r="CP77" s="145"/>
      <c r="CQ77" s="152"/>
      <c r="CR77" s="145"/>
      <c r="CS77" s="152"/>
      <c r="CT77" s="152"/>
      <c r="CU77" s="152">
        <f>SUM(CV77:CV77)</f>
      </c>
      <c r="CV77" s="145"/>
      <c r="CW77" s="145"/>
      <c r="CX77" s="145"/>
      <c r="CY77" s="145">
        <f>SUM(CZ77:DE77)</f>
      </c>
      <c r="CZ77" s="145"/>
      <c r="DA77" s="145"/>
      <c r="DB77" s="145"/>
      <c r="DC77" s="153"/>
      <c r="DD77" s="153"/>
      <c r="DE77" s="145"/>
      <c r="DF77" s="145"/>
      <c r="DG77" s="145"/>
      <c r="DH77" s="152"/>
      <c r="DI77" s="145"/>
      <c r="DJ77" s="152"/>
      <c r="DK77" s="145"/>
      <c r="DL77" s="152"/>
      <c r="DM77" s="145"/>
      <c r="DN77" s="145"/>
      <c r="DO77" s="145"/>
      <c r="DP77" s="152"/>
      <c r="DQ77" s="145"/>
      <c r="DR77" s="145"/>
      <c r="DS77" s="145"/>
      <c r="DT77" s="145"/>
      <c r="DU77" s="145">
        <f>SUM(DV77:EE77)</f>
      </c>
      <c r="DV77" s="145"/>
      <c r="DW77" s="145"/>
      <c r="DX77" s="145"/>
      <c r="DY77" s="145"/>
      <c r="DZ77" s="145"/>
      <c r="EA77" s="152"/>
      <c r="EB77" s="145"/>
      <c r="EC77" s="145"/>
      <c r="ED77" s="145"/>
      <c r="EE77" s="145"/>
      <c r="EF77" s="145">
        <f>SUM(EG77:EH77)</f>
      </c>
      <c r="EG77" s="145"/>
      <c r="EH77" s="145"/>
      <c r="EI77" s="151" cm="1">
        <f t="array" ref="EI77">ROW()-ROW(Run[#Headers])</f>
        <v>71</v>
      </c>
    </row>
    <row r="78" spans="2:139" s="79" customFormat="1" ht="11.25" x14ac:dyDescent="0.2">
      <c r="B78" s="146"/>
      <c r="C78" s="155"/>
      <c r="D78" s="145"/>
      <c r="E78" s="152">
        <f>SUM(F78:AE78)</f>
      </c>
      <c r="F78" s="146"/>
      <c r="G78" s="146"/>
      <c r="H78" s="146"/>
      <c r="I78" s="146"/>
      <c r="J78" s="146"/>
      <c r="K78" s="156"/>
      <c r="L78" s="146"/>
      <c r="M78" s="146"/>
      <c r="N78" s="146"/>
      <c r="O78" s="146"/>
      <c r="P78" s="156"/>
      <c r="Q78" s="146"/>
      <c r="R78" s="146"/>
      <c r="S78" s="146"/>
      <c r="T78" s="156"/>
      <c r="U78" s="146"/>
      <c r="V78" s="146"/>
      <c r="W78" s="146"/>
      <c r="X78" s="146"/>
      <c r="Y78" s="146"/>
      <c r="Z78" s="146"/>
      <c r="AA78" s="146"/>
      <c r="AB78" s="146"/>
      <c r="AC78" s="157"/>
      <c r="AD78" s="157"/>
      <c r="AE78" s="157"/>
      <c r="AF78" s="158">
        <f>SUM(AG78:AJ78)</f>
      </c>
      <c r="AG78" s="146"/>
      <c r="AH78" s="145"/>
      <c r="AI78" s="145"/>
      <c r="AJ78" s="145"/>
      <c r="AK78" s="158">
        <f>SUM(AL78:AW78)</f>
      </c>
      <c r="AL78" s="146"/>
      <c r="AM78" s="145"/>
      <c r="AN78" s="145"/>
      <c r="AO78" s="145"/>
      <c r="AP78" s="145"/>
      <c r="AQ78" s="145"/>
      <c r="AR78" s="145"/>
      <c r="AS78" s="145"/>
      <c r="AT78" s="145"/>
      <c r="AU78" s="145"/>
      <c r="AV78" s="145"/>
      <c r="AW78" s="158"/>
      <c r="AX78" s="145"/>
      <c r="AY78" s="145"/>
      <c r="AZ78" s="145"/>
      <c r="BA78" s="158"/>
      <c r="BB78" s="145"/>
      <c r="BC78" s="145"/>
      <c r="BD78" s="158"/>
      <c r="BE78" s="146"/>
      <c r="BF78" s="145"/>
      <c r="BG78" s="145"/>
      <c r="BH78" s="158">
        <f>SUM(BI78:BK78)</f>
      </c>
      <c r="BI78" s="145"/>
      <c r="BJ78" s="145"/>
      <c r="BK78" s="145"/>
      <c r="BL78" s="145">
        <f>SUM(BM78:BR78)</f>
      </c>
      <c r="BM78" s="145"/>
      <c r="BN78" s="145"/>
      <c r="BO78" s="158"/>
      <c r="BP78" s="145"/>
      <c r="BQ78" s="145"/>
      <c r="BR78" s="145"/>
      <c r="BS78" s="145"/>
      <c r="BT78" s="145"/>
      <c r="BU78" s="158"/>
      <c r="BV78" s="146"/>
      <c r="BW78" s="145"/>
      <c r="BX78" s="145"/>
      <c r="BY78" s="158">
        <f>SUM(BZ78:CB78)</f>
      </c>
      <c r="BZ78" s="146"/>
      <c r="CA78" s="145"/>
      <c r="CB78" s="145"/>
      <c r="CC78" s="145">
        <f>SUM(CD78:CH78)</f>
      </c>
      <c r="CD78" s="145"/>
      <c r="CE78" s="158"/>
      <c r="CF78" s="145"/>
      <c r="CG78" s="145"/>
      <c r="CH78" s="145"/>
      <c r="CI78" s="158"/>
      <c r="CJ78" s="145"/>
      <c r="CK78" s="145"/>
      <c r="CL78" s="145"/>
      <c r="CM78" s="145"/>
      <c r="CN78" s="145"/>
      <c r="CO78" s="145"/>
      <c r="CP78" s="145"/>
      <c r="CQ78" s="158"/>
      <c r="CR78" s="146"/>
      <c r="CS78" s="158"/>
      <c r="CT78" s="158"/>
      <c r="CU78" s="158">
        <f>SUM(CV78:CV78)</f>
      </c>
      <c r="CV78" s="146"/>
      <c r="CW78" s="145"/>
      <c r="CX78" s="145"/>
      <c r="CY78" s="145">
        <f>SUM(CZ78:DE78)</f>
      </c>
      <c r="CZ78" s="145"/>
      <c r="DA78" s="146"/>
      <c r="DB78" s="146"/>
      <c r="DC78" s="153"/>
      <c r="DD78" s="153"/>
      <c r="DE78" s="145"/>
      <c r="DF78" s="145"/>
      <c r="DG78" s="145"/>
      <c r="DH78" s="158"/>
      <c r="DI78" s="145"/>
      <c r="DJ78" s="158"/>
      <c r="DK78" s="145"/>
      <c r="DL78" s="158"/>
      <c r="DM78" s="145"/>
      <c r="DN78" s="145"/>
      <c r="DO78" s="145"/>
      <c r="DP78" s="158"/>
      <c r="DQ78" s="145"/>
      <c r="DR78" s="145"/>
      <c r="DS78" s="145"/>
      <c r="DT78" s="145"/>
      <c r="DU78" s="145">
        <f>SUM(DV78:EE78)</f>
      </c>
      <c r="DV78" s="145"/>
      <c r="DW78" s="145"/>
      <c r="DX78" s="145"/>
      <c r="DY78" s="145"/>
      <c r="DZ78" s="146"/>
      <c r="EA78" s="158"/>
      <c r="EB78" s="146"/>
      <c r="EC78" s="145"/>
      <c r="ED78" s="145"/>
      <c r="EE78" s="155"/>
      <c r="EF78" s="145">
        <f>SUM(EG78:EH78)</f>
      </c>
      <c r="EG78" s="145"/>
      <c r="EH78" s="146"/>
      <c r="EI78" s="159" cm="1">
        <f t="array" ref="EI78">ROW()-ROW(Run[#Headers])</f>
        <v>72</v>
      </c>
    </row>
    <row r="79" spans="2:139" s="79" customFormat="1" ht="11.25" x14ac:dyDescent="0.2">
      <c r="B79" s="146"/>
      <c r="C79" s="155"/>
      <c r="D79" s="145"/>
      <c r="E79" s="152">
        <f>SUM(F79:AE79)</f>
      </c>
      <c r="F79" s="146"/>
      <c r="G79" s="146"/>
      <c r="H79" s="146"/>
      <c r="I79" s="146"/>
      <c r="J79" s="146"/>
      <c r="K79" s="156"/>
      <c r="L79" s="146"/>
      <c r="M79" s="146"/>
      <c r="N79" s="146"/>
      <c r="O79" s="146"/>
      <c r="P79" s="156"/>
      <c r="Q79" s="146"/>
      <c r="R79" s="146"/>
      <c r="S79" s="146"/>
      <c r="T79" s="156"/>
      <c r="U79" s="146"/>
      <c r="V79" s="146"/>
      <c r="W79" s="146"/>
      <c r="X79" s="146"/>
      <c r="Y79" s="146"/>
      <c r="Z79" s="146"/>
      <c r="AA79" s="146"/>
      <c r="AB79" s="146"/>
      <c r="AC79" s="157"/>
      <c r="AD79" s="157"/>
      <c r="AE79" s="157"/>
      <c r="AF79" s="158">
        <f>SUM(AG79:AJ79)</f>
      </c>
      <c r="AG79" s="146"/>
      <c r="AH79" s="145"/>
      <c r="AI79" s="145"/>
      <c r="AJ79" s="145"/>
      <c r="AK79" s="158">
        <f>SUM(AL79:AW79)</f>
      </c>
      <c r="AL79" s="146"/>
      <c r="AM79" s="145"/>
      <c r="AN79" s="145"/>
      <c r="AO79" s="145"/>
      <c r="AP79" s="145"/>
      <c r="AQ79" s="145"/>
      <c r="AR79" s="145"/>
      <c r="AS79" s="145"/>
      <c r="AT79" s="145"/>
      <c r="AU79" s="145"/>
      <c r="AV79" s="145"/>
      <c r="AW79" s="158"/>
      <c r="AX79" s="145"/>
      <c r="AY79" s="145"/>
      <c r="AZ79" s="145"/>
      <c r="BA79" s="158"/>
      <c r="BB79" s="145"/>
      <c r="BC79" s="145"/>
      <c r="BD79" s="158"/>
      <c r="BE79" s="146"/>
      <c r="BF79" s="145"/>
      <c r="BG79" s="145"/>
      <c r="BH79" s="158">
        <f>SUM(BI79:BK79)</f>
      </c>
      <c r="BI79" s="145"/>
      <c r="BJ79" s="145"/>
      <c r="BK79" s="145"/>
      <c r="BL79" s="145">
        <f>SUM(BM79:BR79)</f>
      </c>
      <c r="BM79" s="145"/>
      <c r="BN79" s="145"/>
      <c r="BO79" s="158"/>
      <c r="BP79" s="145"/>
      <c r="BQ79" s="145"/>
      <c r="BR79" s="145"/>
      <c r="BS79" s="145"/>
      <c r="BT79" s="145"/>
      <c r="BU79" s="158"/>
      <c r="BV79" s="146"/>
      <c r="BW79" s="145"/>
      <c r="BX79" s="145"/>
      <c r="BY79" s="158">
        <f>SUM(BZ79:CB79)</f>
      </c>
      <c r="BZ79" s="146"/>
      <c r="CA79" s="145"/>
      <c r="CB79" s="145"/>
      <c r="CC79" s="145">
        <f>SUM(CD79:CH79)</f>
      </c>
      <c r="CD79" s="145"/>
      <c r="CE79" s="158"/>
      <c r="CF79" s="145"/>
      <c r="CG79" s="145"/>
      <c r="CH79" s="145"/>
      <c r="CI79" s="158"/>
      <c r="CJ79" s="145"/>
      <c r="CK79" s="145"/>
      <c r="CL79" s="145"/>
      <c r="CM79" s="145"/>
      <c r="CN79" s="145"/>
      <c r="CO79" s="145"/>
      <c r="CP79" s="145"/>
      <c r="CQ79" s="158"/>
      <c r="CR79" s="146"/>
      <c r="CS79" s="158"/>
      <c r="CT79" s="158"/>
      <c r="CU79" s="158">
        <f>SUM(CV79:CV79)</f>
      </c>
      <c r="CV79" s="146"/>
      <c r="CW79" s="145"/>
      <c r="CX79" s="145"/>
      <c r="CY79" s="145">
        <f>SUM(CZ79:DE79)</f>
      </c>
      <c r="CZ79" s="145"/>
      <c r="DA79" s="146"/>
      <c r="DB79" s="146"/>
      <c r="DC79" s="153"/>
      <c r="DD79" s="153"/>
      <c r="DE79" s="145"/>
      <c r="DF79" s="145"/>
      <c r="DG79" s="145"/>
      <c r="DH79" s="158"/>
      <c r="DI79" s="145"/>
      <c r="DJ79" s="158"/>
      <c r="DK79" s="145"/>
      <c r="DL79" s="158"/>
      <c r="DM79" s="145"/>
      <c r="DN79" s="145"/>
      <c r="DO79" s="145"/>
      <c r="DP79" s="158"/>
      <c r="DQ79" s="145"/>
      <c r="DR79" s="145"/>
      <c r="DS79" s="145"/>
      <c r="DT79" s="145"/>
      <c r="DU79" s="145">
        <f>SUM(DV79:EE79)</f>
      </c>
      <c r="DV79" s="145"/>
      <c r="DW79" s="145"/>
      <c r="DX79" s="145"/>
      <c r="DY79" s="145"/>
      <c r="DZ79" s="146"/>
      <c r="EA79" s="158"/>
      <c r="EB79" s="146"/>
      <c r="EC79" s="145"/>
      <c r="ED79" s="145"/>
      <c r="EE79" s="155"/>
      <c r="EF79" s="145">
        <f>SUM(EG79:EH79)</f>
      </c>
      <c r="EG79" s="145"/>
      <c r="EH79" s="146"/>
      <c r="EI79" s="159" cm="1">
        <f t="array" ref="EI79">ROW()-ROW(Run[#Headers])</f>
        <v>73</v>
      </c>
    </row>
    <row r="80" spans="2:139" s="79" customFormat="1" ht="11.25" x14ac:dyDescent="0.2">
      <c r="B80" s="146"/>
      <c r="C80" s="155"/>
      <c r="D80" s="145"/>
      <c r="E80" s="152">
        <f>SUM(F80:AE80)</f>
      </c>
      <c r="F80" s="146"/>
      <c r="G80" s="146"/>
      <c r="H80" s="146"/>
      <c r="I80" s="146"/>
      <c r="J80" s="146"/>
      <c r="K80" s="156"/>
      <c r="L80" s="146"/>
      <c r="M80" s="146"/>
      <c r="N80" s="146"/>
      <c r="O80" s="146"/>
      <c r="P80" s="156"/>
      <c r="Q80" s="146"/>
      <c r="R80" s="146"/>
      <c r="S80" s="146"/>
      <c r="T80" s="156"/>
      <c r="U80" s="146"/>
      <c r="V80" s="146"/>
      <c r="W80" s="146"/>
      <c r="X80" s="146"/>
      <c r="Y80" s="146"/>
      <c r="Z80" s="146"/>
      <c r="AA80" s="146"/>
      <c r="AB80" s="146"/>
      <c r="AC80" s="157"/>
      <c r="AD80" s="157"/>
      <c r="AE80" s="157"/>
      <c r="AF80" s="158">
        <f>SUM(AG80:AJ80)</f>
      </c>
      <c r="AG80" s="146"/>
      <c r="AH80" s="145"/>
      <c r="AI80" s="145"/>
      <c r="AJ80" s="145"/>
      <c r="AK80" s="158">
        <f>SUM(AL80:AW80)</f>
      </c>
      <c r="AL80" s="146"/>
      <c r="AM80" s="145"/>
      <c r="AN80" s="145"/>
      <c r="AO80" s="145"/>
      <c r="AP80" s="145"/>
      <c r="AQ80" s="145"/>
      <c r="AR80" s="145"/>
      <c r="AS80" s="145"/>
      <c r="AT80" s="145"/>
      <c r="AU80" s="145"/>
      <c r="AV80" s="145"/>
      <c r="AW80" s="158"/>
      <c r="AX80" s="145"/>
      <c r="AY80" s="145"/>
      <c r="AZ80" s="145"/>
      <c r="BA80" s="158"/>
      <c r="BB80" s="145"/>
      <c r="BC80" s="145"/>
      <c r="BD80" s="158"/>
      <c r="BE80" s="146"/>
      <c r="BF80" s="145"/>
      <c r="BG80" s="145"/>
      <c r="BH80" s="158">
        <f>SUM(BI80:BK80)</f>
      </c>
      <c r="BI80" s="145"/>
      <c r="BJ80" s="145"/>
      <c r="BK80" s="145"/>
      <c r="BL80" s="145">
        <f>SUM(BM80:BR80)</f>
      </c>
      <c r="BM80" s="145"/>
      <c r="BN80" s="145"/>
      <c r="BO80" s="158"/>
      <c r="BP80" s="145"/>
      <c r="BQ80" s="145"/>
      <c r="BR80" s="145"/>
      <c r="BS80" s="145"/>
      <c r="BT80" s="145"/>
      <c r="BU80" s="158"/>
      <c r="BV80" s="146"/>
      <c r="BW80" s="145"/>
      <c r="BX80" s="145"/>
      <c r="BY80" s="158">
        <f>SUM(BZ80:CB80)</f>
      </c>
      <c r="BZ80" s="146"/>
      <c r="CA80" s="145"/>
      <c r="CB80" s="145"/>
      <c r="CC80" s="145">
        <f>SUM(CD80:CH80)</f>
      </c>
      <c r="CD80" s="145"/>
      <c r="CE80" s="158"/>
      <c r="CF80" s="145"/>
      <c r="CG80" s="145"/>
      <c r="CH80" s="145"/>
      <c r="CI80" s="158"/>
      <c r="CJ80" s="145"/>
      <c r="CK80" s="145"/>
      <c r="CL80" s="145"/>
      <c r="CM80" s="145"/>
      <c r="CN80" s="145"/>
      <c r="CO80" s="145"/>
      <c r="CP80" s="145"/>
      <c r="CQ80" s="158"/>
      <c r="CR80" s="146"/>
      <c r="CS80" s="158"/>
      <c r="CT80" s="158"/>
      <c r="CU80" s="158">
        <f>SUM(CV80:CV80)</f>
      </c>
      <c r="CV80" s="146"/>
      <c r="CW80" s="145"/>
      <c r="CX80" s="145"/>
      <c r="CY80" s="145">
        <f>SUM(CZ80:DE80)</f>
      </c>
      <c r="CZ80" s="145"/>
      <c r="DA80" s="146"/>
      <c r="DB80" s="146"/>
      <c r="DC80" s="153"/>
      <c r="DD80" s="153"/>
      <c r="DE80" s="145"/>
      <c r="DF80" s="145"/>
      <c r="DG80" s="145"/>
      <c r="DH80" s="158"/>
      <c r="DI80" s="145"/>
      <c r="DJ80" s="158"/>
      <c r="DK80" s="145"/>
      <c r="DL80" s="158"/>
      <c r="DM80" s="145"/>
      <c r="DN80" s="145"/>
      <c r="DO80" s="145"/>
      <c r="DP80" s="158"/>
      <c r="DQ80" s="145"/>
      <c r="DR80" s="145"/>
      <c r="DS80" s="145"/>
      <c r="DT80" s="145"/>
      <c r="DU80" s="145">
        <f>SUM(DV80:EE80)</f>
      </c>
      <c r="DV80" s="145"/>
      <c r="DW80" s="145"/>
      <c r="DX80" s="145"/>
      <c r="DY80" s="145"/>
      <c r="DZ80" s="146"/>
      <c r="EA80" s="158"/>
      <c r="EB80" s="146"/>
      <c r="EC80" s="145"/>
      <c r="ED80" s="145"/>
      <c r="EE80" s="155"/>
      <c r="EF80" s="145">
        <f>SUM(EG80:EH80)</f>
      </c>
      <c r="EG80" s="145"/>
      <c r="EH80" s="146"/>
      <c r="EI80" s="159" cm="1">
        <f t="array" ref="EI80">ROW()-ROW(Run[#Headers])</f>
        <v>74</v>
      </c>
    </row>
    <row r="81" spans="2:139" s="79" customFormat="1" ht="11.25" x14ac:dyDescent="0.2">
      <c r="B81" s="146"/>
      <c r="C81" s="155"/>
      <c r="D81" s="145"/>
      <c r="E81" s="152">
        <f>SUM(F81:AE81)</f>
      </c>
      <c r="F81" s="146"/>
      <c r="G81" s="146"/>
      <c r="H81" s="146"/>
      <c r="I81" s="146"/>
      <c r="J81" s="146"/>
      <c r="K81" s="156"/>
      <c r="L81" s="146"/>
      <c r="M81" s="146"/>
      <c r="N81" s="146"/>
      <c r="O81" s="146"/>
      <c r="P81" s="156"/>
      <c r="Q81" s="146"/>
      <c r="R81" s="146"/>
      <c r="S81" s="146"/>
      <c r="T81" s="156"/>
      <c r="U81" s="146"/>
      <c r="V81" s="146"/>
      <c r="W81" s="146"/>
      <c r="X81" s="146"/>
      <c r="Y81" s="146"/>
      <c r="Z81" s="146"/>
      <c r="AA81" s="146"/>
      <c r="AB81" s="146"/>
      <c r="AC81" s="157"/>
      <c r="AD81" s="157"/>
      <c r="AE81" s="157"/>
      <c r="AF81" s="158">
        <f>SUM(AG81:AJ81)</f>
      </c>
      <c r="AG81" s="146"/>
      <c r="AH81" s="145"/>
      <c r="AI81" s="145"/>
      <c r="AJ81" s="145"/>
      <c r="AK81" s="158">
        <f>SUM(AL81:AW81)</f>
      </c>
      <c r="AL81" s="146"/>
      <c r="AM81" s="145"/>
      <c r="AN81" s="145"/>
      <c r="AO81" s="145"/>
      <c r="AP81" s="145"/>
      <c r="AQ81" s="145"/>
      <c r="AR81" s="145"/>
      <c r="AS81" s="145"/>
      <c r="AT81" s="145"/>
      <c r="AU81" s="145"/>
      <c r="AV81" s="145"/>
      <c r="AW81" s="158"/>
      <c r="AX81" s="145"/>
      <c r="AY81" s="145"/>
      <c r="AZ81" s="145"/>
      <c r="BA81" s="158"/>
      <c r="BB81" s="145"/>
      <c r="BC81" s="145"/>
      <c r="BD81" s="158"/>
      <c r="BE81" s="146"/>
      <c r="BF81" s="145"/>
      <c r="BG81" s="145"/>
      <c r="BH81" s="158">
        <f>SUM(BI81:BK81)</f>
      </c>
      <c r="BI81" s="145"/>
      <c r="BJ81" s="145"/>
      <c r="BK81" s="145"/>
      <c r="BL81" s="145">
        <f>SUM(BM81:BR81)</f>
      </c>
      <c r="BM81" s="145"/>
      <c r="BN81" s="145"/>
      <c r="BO81" s="158"/>
      <c r="BP81" s="145"/>
      <c r="BQ81" s="145"/>
      <c r="BR81" s="145"/>
      <c r="BS81" s="145"/>
      <c r="BT81" s="145"/>
      <c r="BU81" s="158"/>
      <c r="BV81" s="146"/>
      <c r="BW81" s="145"/>
      <c r="BX81" s="145"/>
      <c r="BY81" s="158">
        <f>SUM(BZ81:CB81)</f>
      </c>
      <c r="BZ81" s="146"/>
      <c r="CA81" s="145"/>
      <c r="CB81" s="145"/>
      <c r="CC81" s="145">
        <f>SUM(CD81:CH81)</f>
      </c>
      <c r="CD81" s="145"/>
      <c r="CE81" s="158"/>
      <c r="CF81" s="145"/>
      <c r="CG81" s="145"/>
      <c r="CH81" s="145"/>
      <c r="CI81" s="158"/>
      <c r="CJ81" s="145"/>
      <c r="CK81" s="145"/>
      <c r="CL81" s="145"/>
      <c r="CM81" s="145"/>
      <c r="CN81" s="145"/>
      <c r="CO81" s="145"/>
      <c r="CP81" s="145"/>
      <c r="CQ81" s="158"/>
      <c r="CR81" s="146"/>
      <c r="CS81" s="158"/>
      <c r="CT81" s="158"/>
      <c r="CU81" s="158">
        <f>SUM(CV81:CV81)</f>
      </c>
      <c r="CV81" s="146"/>
      <c r="CW81" s="145"/>
      <c r="CX81" s="145"/>
      <c r="CY81" s="145">
        <f>SUM(CZ81:DE81)</f>
      </c>
      <c r="CZ81" s="145"/>
      <c r="DA81" s="146"/>
      <c r="DB81" s="146"/>
      <c r="DC81" s="153"/>
      <c r="DD81" s="153"/>
      <c r="DE81" s="145"/>
      <c r="DF81" s="145"/>
      <c r="DG81" s="145"/>
      <c r="DH81" s="158"/>
      <c r="DI81" s="145"/>
      <c r="DJ81" s="158"/>
      <c r="DK81" s="145"/>
      <c r="DL81" s="158"/>
      <c r="DM81" s="145"/>
      <c r="DN81" s="145"/>
      <c r="DO81" s="145"/>
      <c r="DP81" s="158"/>
      <c r="DQ81" s="145"/>
      <c r="DR81" s="145"/>
      <c r="DS81" s="145"/>
      <c r="DT81" s="145"/>
      <c r="DU81" s="145">
        <f>SUM(DV81:EE81)</f>
      </c>
      <c r="DV81" s="145"/>
      <c r="DW81" s="145"/>
      <c r="DX81" s="145"/>
      <c r="DY81" s="145"/>
      <c r="DZ81" s="146"/>
      <c r="EA81" s="158"/>
      <c r="EB81" s="146"/>
      <c r="EC81" s="145"/>
      <c r="ED81" s="145"/>
      <c r="EE81" s="155"/>
      <c r="EF81" s="145">
        <f>SUM(EG81:EH81)</f>
      </c>
      <c r="EG81" s="145"/>
      <c r="EH81" s="146"/>
      <c r="EI81" s="159" cm="1">
        <f t="array" ref="EI81">ROW()-ROW(Run[#Headers])</f>
        <v>75</v>
      </c>
    </row>
    <row r="82" spans="2:139" s="79" customFormat="1" ht="11.25" x14ac:dyDescent="0.2">
      <c r="B82" s="146"/>
      <c r="C82" s="155"/>
      <c r="D82" s="145"/>
      <c r="E82" s="152">
        <f>SUM(F82:AE82)</f>
      </c>
      <c r="F82" s="146"/>
      <c r="G82" s="146"/>
      <c r="H82" s="146"/>
      <c r="I82" s="146"/>
      <c r="J82" s="146"/>
      <c r="K82" s="156"/>
      <c r="L82" s="146"/>
      <c r="M82" s="146"/>
      <c r="N82" s="146"/>
      <c r="O82" s="146"/>
      <c r="P82" s="156"/>
      <c r="Q82" s="146"/>
      <c r="R82" s="146"/>
      <c r="S82" s="146"/>
      <c r="T82" s="156"/>
      <c r="U82" s="146"/>
      <c r="V82" s="146"/>
      <c r="W82" s="146"/>
      <c r="X82" s="146"/>
      <c r="Y82" s="146"/>
      <c r="Z82" s="146"/>
      <c r="AA82" s="146"/>
      <c r="AB82" s="146"/>
      <c r="AC82" s="157"/>
      <c r="AD82" s="157"/>
      <c r="AE82" s="157"/>
      <c r="AF82" s="158">
        <f>SUM(AG82:AJ82)</f>
      </c>
      <c r="AG82" s="146"/>
      <c r="AH82" s="145"/>
      <c r="AI82" s="145"/>
      <c r="AJ82" s="145"/>
      <c r="AK82" s="158">
        <f>SUM(AL82:AW82)</f>
      </c>
      <c r="AL82" s="146"/>
      <c r="AM82" s="145"/>
      <c r="AN82" s="145"/>
      <c r="AO82" s="145"/>
      <c r="AP82" s="145"/>
      <c r="AQ82" s="145"/>
      <c r="AR82" s="145"/>
      <c r="AS82" s="145"/>
      <c r="AT82" s="145"/>
      <c r="AU82" s="145"/>
      <c r="AV82" s="145"/>
      <c r="AW82" s="158"/>
      <c r="AX82" s="145"/>
      <c r="AY82" s="145"/>
      <c r="AZ82" s="145"/>
      <c r="BA82" s="158"/>
      <c r="BB82" s="145"/>
      <c r="BC82" s="145"/>
      <c r="BD82" s="158"/>
      <c r="BE82" s="146"/>
      <c r="BF82" s="145"/>
      <c r="BG82" s="145"/>
      <c r="BH82" s="158">
        <f>SUM(BI82:BK82)</f>
      </c>
      <c r="BI82" s="145"/>
      <c r="BJ82" s="145"/>
      <c r="BK82" s="145"/>
      <c r="BL82" s="145">
        <f>SUM(BM82:BR82)</f>
      </c>
      <c r="BM82" s="145"/>
      <c r="BN82" s="145"/>
      <c r="BO82" s="158"/>
      <c r="BP82" s="145"/>
      <c r="BQ82" s="145"/>
      <c r="BR82" s="145"/>
      <c r="BS82" s="145"/>
      <c r="BT82" s="145"/>
      <c r="BU82" s="158"/>
      <c r="BV82" s="146"/>
      <c r="BW82" s="145"/>
      <c r="BX82" s="145"/>
      <c r="BY82" s="158">
        <f>SUM(BZ82:CB82)</f>
      </c>
      <c r="BZ82" s="146"/>
      <c r="CA82" s="145"/>
      <c r="CB82" s="145"/>
      <c r="CC82" s="145">
        <f>SUM(CD82:CH82)</f>
      </c>
      <c r="CD82" s="145"/>
      <c r="CE82" s="158"/>
      <c r="CF82" s="145"/>
      <c r="CG82" s="145"/>
      <c r="CH82" s="145"/>
      <c r="CI82" s="158"/>
      <c r="CJ82" s="145"/>
      <c r="CK82" s="145"/>
      <c r="CL82" s="145"/>
      <c r="CM82" s="145"/>
      <c r="CN82" s="145"/>
      <c r="CO82" s="145"/>
      <c r="CP82" s="145"/>
      <c r="CQ82" s="158"/>
      <c r="CR82" s="146"/>
      <c r="CS82" s="158"/>
      <c r="CT82" s="158"/>
      <c r="CU82" s="158">
        <f>SUM(CV82:CV82)</f>
      </c>
      <c r="CV82" s="146"/>
      <c r="CW82" s="145"/>
      <c r="CX82" s="145"/>
      <c r="CY82" s="145">
        <f>SUM(CZ82:DE82)</f>
      </c>
      <c r="CZ82" s="145"/>
      <c r="DA82" s="146"/>
      <c r="DB82" s="146"/>
      <c r="DC82" s="153"/>
      <c r="DD82" s="153"/>
      <c r="DE82" s="145"/>
      <c r="DF82" s="145"/>
      <c r="DG82" s="145"/>
      <c r="DH82" s="158"/>
      <c r="DI82" s="145"/>
      <c r="DJ82" s="158"/>
      <c r="DK82" s="145"/>
      <c r="DL82" s="158"/>
      <c r="DM82" s="145"/>
      <c r="DN82" s="145"/>
      <c r="DO82" s="145"/>
      <c r="DP82" s="158"/>
      <c r="DQ82" s="145"/>
      <c r="DR82" s="145"/>
      <c r="DS82" s="145"/>
      <c r="DT82" s="145"/>
      <c r="DU82" s="145">
        <f>SUM(DV82:EE82)</f>
      </c>
      <c r="DV82" s="145"/>
      <c r="DW82" s="145"/>
      <c r="DX82" s="145"/>
      <c r="DY82" s="145"/>
      <c r="DZ82" s="146"/>
      <c r="EA82" s="158"/>
      <c r="EB82" s="146"/>
      <c r="EC82" s="145"/>
      <c r="ED82" s="145"/>
      <c r="EE82" s="155"/>
      <c r="EF82" s="145">
        <f>SUM(EG82:EH82)</f>
      </c>
      <c r="EG82" s="145"/>
      <c r="EH82" s="146"/>
      <c r="EI82" s="159" cm="1">
        <f t="array" ref="EI82">ROW()-ROW(Run[#Headers])</f>
        <v>76</v>
      </c>
    </row>
    <row r="83" spans="2:139" s="79" customFormat="1" ht="11.25" x14ac:dyDescent="0.2">
      <c r="B83" s="146"/>
      <c r="C83" s="155"/>
      <c r="D83" s="145"/>
      <c r="E83" s="152">
        <f>SUM(F83:AE83)</f>
      </c>
      <c r="F83" s="146"/>
      <c r="G83" s="146"/>
      <c r="H83" s="146"/>
      <c r="I83" s="146"/>
      <c r="J83" s="146"/>
      <c r="K83" s="156"/>
      <c r="L83" s="146"/>
      <c r="M83" s="146"/>
      <c r="N83" s="146"/>
      <c r="O83" s="146"/>
      <c r="P83" s="156"/>
      <c r="Q83" s="146"/>
      <c r="R83" s="146"/>
      <c r="S83" s="146"/>
      <c r="T83" s="156"/>
      <c r="U83" s="146"/>
      <c r="V83" s="146"/>
      <c r="W83" s="146"/>
      <c r="X83" s="146"/>
      <c r="Y83" s="146"/>
      <c r="Z83" s="146"/>
      <c r="AA83" s="146"/>
      <c r="AB83" s="146"/>
      <c r="AC83" s="157"/>
      <c r="AD83" s="157"/>
      <c r="AE83" s="157"/>
      <c r="AF83" s="158">
        <f>SUM(AG83:AJ83)</f>
      </c>
      <c r="AG83" s="146"/>
      <c r="AH83" s="145"/>
      <c r="AI83" s="145"/>
      <c r="AJ83" s="145"/>
      <c r="AK83" s="158">
        <f>SUM(AL83:AW83)</f>
      </c>
      <c r="AL83" s="146"/>
      <c r="AM83" s="145"/>
      <c r="AN83" s="145"/>
      <c r="AO83" s="145"/>
      <c r="AP83" s="145"/>
      <c r="AQ83" s="145"/>
      <c r="AR83" s="145"/>
      <c r="AS83" s="145"/>
      <c r="AT83" s="145"/>
      <c r="AU83" s="145"/>
      <c r="AV83" s="145"/>
      <c r="AW83" s="158"/>
      <c r="AX83" s="145"/>
      <c r="AY83" s="145"/>
      <c r="AZ83" s="145"/>
      <c r="BA83" s="158"/>
      <c r="BB83" s="145"/>
      <c r="BC83" s="145"/>
      <c r="BD83" s="158"/>
      <c r="BE83" s="146"/>
      <c r="BF83" s="145"/>
      <c r="BG83" s="145"/>
      <c r="BH83" s="158">
        <f>SUM(BI83:BK83)</f>
      </c>
      <c r="BI83" s="145"/>
      <c r="BJ83" s="145"/>
      <c r="BK83" s="145"/>
      <c r="BL83" s="145">
        <f>SUM(BM83:BR83)</f>
      </c>
      <c r="BM83" s="145"/>
      <c r="BN83" s="145"/>
      <c r="BO83" s="158"/>
      <c r="BP83" s="145"/>
      <c r="BQ83" s="145"/>
      <c r="BR83" s="145"/>
      <c r="BS83" s="145"/>
      <c r="BT83" s="145"/>
      <c r="BU83" s="158"/>
      <c r="BV83" s="146"/>
      <c r="BW83" s="145"/>
      <c r="BX83" s="145"/>
      <c r="BY83" s="158">
        <f>SUM(BZ83:CB83)</f>
      </c>
      <c r="BZ83" s="146"/>
      <c r="CA83" s="145"/>
      <c r="CB83" s="145"/>
      <c r="CC83" s="145">
        <f>SUM(CD83:CH83)</f>
      </c>
      <c r="CD83" s="145"/>
      <c r="CE83" s="158"/>
      <c r="CF83" s="145"/>
      <c r="CG83" s="145"/>
      <c r="CH83" s="145"/>
      <c r="CI83" s="158"/>
      <c r="CJ83" s="145"/>
      <c r="CK83" s="145"/>
      <c r="CL83" s="145"/>
      <c r="CM83" s="145"/>
      <c r="CN83" s="145"/>
      <c r="CO83" s="145"/>
      <c r="CP83" s="145"/>
      <c r="CQ83" s="158"/>
      <c r="CR83" s="146"/>
      <c r="CS83" s="158"/>
      <c r="CT83" s="158"/>
      <c r="CU83" s="158">
        <f>SUM(CV83:CV83)</f>
      </c>
      <c r="CV83" s="146"/>
      <c r="CW83" s="145"/>
      <c r="CX83" s="145"/>
      <c r="CY83" s="145">
        <f>SUM(CZ83:DE83)</f>
      </c>
      <c r="CZ83" s="145"/>
      <c r="DA83" s="146"/>
      <c r="DB83" s="146"/>
      <c r="DC83" s="153"/>
      <c r="DD83" s="153"/>
      <c r="DE83" s="145"/>
      <c r="DF83" s="145"/>
      <c r="DG83" s="145"/>
      <c r="DH83" s="158"/>
      <c r="DI83" s="145"/>
      <c r="DJ83" s="158"/>
      <c r="DK83" s="145"/>
      <c r="DL83" s="158"/>
      <c r="DM83" s="145"/>
      <c r="DN83" s="145"/>
      <c r="DO83" s="145"/>
      <c r="DP83" s="158"/>
      <c r="DQ83" s="145"/>
      <c r="DR83" s="145"/>
      <c r="DS83" s="145"/>
      <c r="DT83" s="145"/>
      <c r="DU83" s="145">
        <f>SUM(DV83:EE83)</f>
      </c>
      <c r="DV83" s="145"/>
      <c r="DW83" s="145"/>
      <c r="DX83" s="145"/>
      <c r="DY83" s="145"/>
      <c r="DZ83" s="146"/>
      <c r="EA83" s="158"/>
      <c r="EB83" s="146"/>
      <c r="EC83" s="145"/>
      <c r="ED83" s="145"/>
      <c r="EE83" s="155"/>
      <c r="EF83" s="145">
        <f>SUM(EG83:EH83)</f>
      </c>
      <c r="EG83" s="145"/>
      <c r="EH83" s="146"/>
      <c r="EI83" s="159" cm="1">
        <f t="array" ref="EI83">ROW()-ROW(Run[#Headers])</f>
        <v>77</v>
      </c>
    </row>
    <row r="84" spans="2:139" s="79" customFormat="1" ht="11.25" x14ac:dyDescent="0.2">
      <c r="B84" s="146"/>
      <c r="C84" s="155"/>
      <c r="D84" s="145"/>
      <c r="E84" s="152">
        <f>SUM(F84:AE84)</f>
      </c>
      <c r="F84" s="146"/>
      <c r="G84" s="146"/>
      <c r="H84" s="146"/>
      <c r="I84" s="146"/>
      <c r="J84" s="146"/>
      <c r="K84" s="156"/>
      <c r="L84" s="146"/>
      <c r="M84" s="146"/>
      <c r="N84" s="146"/>
      <c r="O84" s="146"/>
      <c r="P84" s="156"/>
      <c r="Q84" s="146"/>
      <c r="R84" s="146"/>
      <c r="S84" s="146"/>
      <c r="T84" s="156"/>
      <c r="U84" s="146"/>
      <c r="V84" s="146"/>
      <c r="W84" s="146"/>
      <c r="X84" s="146"/>
      <c r="Y84" s="146"/>
      <c r="Z84" s="146"/>
      <c r="AA84" s="146"/>
      <c r="AB84" s="146"/>
      <c r="AC84" s="157"/>
      <c r="AD84" s="157"/>
      <c r="AE84" s="157"/>
      <c r="AF84" s="158">
        <f>SUM(AG84:AJ84)</f>
      </c>
      <c r="AG84" s="146"/>
      <c r="AH84" s="145"/>
      <c r="AI84" s="145"/>
      <c r="AJ84" s="145"/>
      <c r="AK84" s="158">
        <f>SUM(AL84:AW84)</f>
      </c>
      <c r="AL84" s="146"/>
      <c r="AM84" s="145"/>
      <c r="AN84" s="145"/>
      <c r="AO84" s="145"/>
      <c r="AP84" s="145"/>
      <c r="AQ84" s="145"/>
      <c r="AR84" s="145"/>
      <c r="AS84" s="145"/>
      <c r="AT84" s="145"/>
      <c r="AU84" s="145"/>
      <c r="AV84" s="145"/>
      <c r="AW84" s="158"/>
      <c r="AX84" s="145"/>
      <c r="AY84" s="145"/>
      <c r="AZ84" s="145"/>
      <c r="BA84" s="158"/>
      <c r="BB84" s="145"/>
      <c r="BC84" s="145"/>
      <c r="BD84" s="158"/>
      <c r="BE84" s="146"/>
      <c r="BF84" s="145"/>
      <c r="BG84" s="145"/>
      <c r="BH84" s="158">
        <f>SUM(BI84:BK84)</f>
      </c>
      <c r="BI84" s="145"/>
      <c r="BJ84" s="145"/>
      <c r="BK84" s="145"/>
      <c r="BL84" s="145">
        <f>SUM(BM84:BR84)</f>
      </c>
      <c r="BM84" s="145"/>
      <c r="BN84" s="145"/>
      <c r="BO84" s="158"/>
      <c r="BP84" s="145"/>
      <c r="BQ84" s="145"/>
      <c r="BR84" s="145"/>
      <c r="BS84" s="145"/>
      <c r="BT84" s="145"/>
      <c r="BU84" s="158"/>
      <c r="BV84" s="146"/>
      <c r="BW84" s="145"/>
      <c r="BX84" s="145"/>
      <c r="BY84" s="158">
        <f>SUM(BZ84:CB84)</f>
      </c>
      <c r="BZ84" s="146"/>
      <c r="CA84" s="145"/>
      <c r="CB84" s="145"/>
      <c r="CC84" s="145">
        <f>SUM(CD84:CH84)</f>
      </c>
      <c r="CD84" s="145"/>
      <c r="CE84" s="158"/>
      <c r="CF84" s="145"/>
      <c r="CG84" s="145"/>
      <c r="CH84" s="145"/>
      <c r="CI84" s="158"/>
      <c r="CJ84" s="145"/>
      <c r="CK84" s="145"/>
      <c r="CL84" s="145"/>
      <c r="CM84" s="145"/>
      <c r="CN84" s="145"/>
      <c r="CO84" s="145"/>
      <c r="CP84" s="145"/>
      <c r="CQ84" s="158"/>
      <c r="CR84" s="146"/>
      <c r="CS84" s="158"/>
      <c r="CT84" s="158"/>
      <c r="CU84" s="158">
        <f>SUM(CV84:CV84)</f>
      </c>
      <c r="CV84" s="146"/>
      <c r="CW84" s="145"/>
      <c r="CX84" s="145"/>
      <c r="CY84" s="145">
        <f>SUM(CZ84:DE84)</f>
      </c>
      <c r="CZ84" s="145"/>
      <c r="DA84" s="146"/>
      <c r="DB84" s="146"/>
      <c r="DC84" s="153"/>
      <c r="DD84" s="153"/>
      <c r="DE84" s="145"/>
      <c r="DF84" s="145"/>
      <c r="DG84" s="145"/>
      <c r="DH84" s="158"/>
      <c r="DI84" s="145"/>
      <c r="DJ84" s="158"/>
      <c r="DK84" s="145"/>
      <c r="DL84" s="158"/>
      <c r="DM84" s="145"/>
      <c r="DN84" s="145"/>
      <c r="DO84" s="145"/>
      <c r="DP84" s="158"/>
      <c r="DQ84" s="145"/>
      <c r="DR84" s="145"/>
      <c r="DS84" s="145"/>
      <c r="DT84" s="145"/>
      <c r="DU84" s="145">
        <f>SUM(DV84:EE84)</f>
      </c>
      <c r="DV84" s="145"/>
      <c r="DW84" s="145"/>
      <c r="DX84" s="145"/>
      <c r="DY84" s="145"/>
      <c r="DZ84" s="146"/>
      <c r="EA84" s="158"/>
      <c r="EB84" s="146"/>
      <c r="EC84" s="145"/>
      <c r="ED84" s="145"/>
      <c r="EE84" s="155"/>
      <c r="EF84" s="145">
        <f>SUM(EG84:EH84)</f>
      </c>
      <c r="EG84" s="145"/>
      <c r="EH84" s="146"/>
      <c r="EI84" s="159" cm="1">
        <f t="array" ref="EI84">ROW()-ROW(Run[#Headers])</f>
        <v>78</v>
      </c>
    </row>
    <row r="85" spans="2:139" s="79" customFormat="1" ht="11.25" x14ac:dyDescent="0.2">
      <c r="B85" s="146"/>
      <c r="C85" s="155"/>
      <c r="D85" s="145"/>
      <c r="E85" s="152">
        <f>SUM(F85:AE85)</f>
      </c>
      <c r="F85" s="146"/>
      <c r="G85" s="146"/>
      <c r="H85" s="146"/>
      <c r="I85" s="146"/>
      <c r="J85" s="146"/>
      <c r="K85" s="156"/>
      <c r="L85" s="146"/>
      <c r="M85" s="146"/>
      <c r="N85" s="146"/>
      <c r="O85" s="146"/>
      <c r="P85" s="156"/>
      <c r="Q85" s="146"/>
      <c r="R85" s="146"/>
      <c r="S85" s="146"/>
      <c r="T85" s="156"/>
      <c r="U85" s="146"/>
      <c r="V85" s="146"/>
      <c r="W85" s="146"/>
      <c r="X85" s="146"/>
      <c r="Y85" s="146"/>
      <c r="Z85" s="146"/>
      <c r="AA85" s="146"/>
      <c r="AB85" s="146"/>
      <c r="AC85" s="157"/>
      <c r="AD85" s="157"/>
      <c r="AE85" s="157"/>
      <c r="AF85" s="158">
        <f>SUM(AG85:AJ85)</f>
      </c>
      <c r="AG85" s="146"/>
      <c r="AH85" s="145"/>
      <c r="AI85" s="145"/>
      <c r="AJ85" s="145"/>
      <c r="AK85" s="158">
        <f>SUM(AL85:AW85)</f>
      </c>
      <c r="AL85" s="146"/>
      <c r="AM85" s="145"/>
      <c r="AN85" s="145"/>
      <c r="AO85" s="145"/>
      <c r="AP85" s="145"/>
      <c r="AQ85" s="145"/>
      <c r="AR85" s="145"/>
      <c r="AS85" s="145"/>
      <c r="AT85" s="145"/>
      <c r="AU85" s="145"/>
      <c r="AV85" s="145"/>
      <c r="AW85" s="158"/>
      <c r="AX85" s="145"/>
      <c r="AY85" s="145"/>
      <c r="AZ85" s="145"/>
      <c r="BA85" s="158"/>
      <c r="BB85" s="145"/>
      <c r="BC85" s="145"/>
      <c r="BD85" s="158"/>
      <c r="BE85" s="146"/>
      <c r="BF85" s="145"/>
      <c r="BG85" s="145"/>
      <c r="BH85" s="158">
        <f>SUM(BI85:BK85)</f>
      </c>
      <c r="BI85" s="145"/>
      <c r="BJ85" s="145"/>
      <c r="BK85" s="145"/>
      <c r="BL85" s="145">
        <f>SUM(BM85:BR85)</f>
      </c>
      <c r="BM85" s="145"/>
      <c r="BN85" s="145"/>
      <c r="BO85" s="158"/>
      <c r="BP85" s="145"/>
      <c r="BQ85" s="145"/>
      <c r="BR85" s="145"/>
      <c r="BS85" s="145"/>
      <c r="BT85" s="145"/>
      <c r="BU85" s="158"/>
      <c r="BV85" s="146"/>
      <c r="BW85" s="145"/>
      <c r="BX85" s="145"/>
      <c r="BY85" s="158">
        <f>SUM(BZ85:CB85)</f>
      </c>
      <c r="BZ85" s="146"/>
      <c r="CA85" s="145"/>
      <c r="CB85" s="145"/>
      <c r="CC85" s="145">
        <f>SUM(CD85:CH85)</f>
      </c>
      <c r="CD85" s="145"/>
      <c r="CE85" s="158"/>
      <c r="CF85" s="145"/>
      <c r="CG85" s="145"/>
      <c r="CH85" s="145"/>
      <c r="CI85" s="158"/>
      <c r="CJ85" s="145"/>
      <c r="CK85" s="145"/>
      <c r="CL85" s="145"/>
      <c r="CM85" s="145"/>
      <c r="CN85" s="145"/>
      <c r="CO85" s="145"/>
      <c r="CP85" s="145"/>
      <c r="CQ85" s="158"/>
      <c r="CR85" s="146"/>
      <c r="CS85" s="158"/>
      <c r="CT85" s="158"/>
      <c r="CU85" s="158">
        <f>SUM(CV85:CV85)</f>
      </c>
      <c r="CV85" s="146"/>
      <c r="CW85" s="145"/>
      <c r="CX85" s="145"/>
      <c r="CY85" s="145">
        <f>SUM(CZ85:DE85)</f>
      </c>
      <c r="CZ85" s="145"/>
      <c r="DA85" s="146"/>
      <c r="DB85" s="146"/>
      <c r="DC85" s="153"/>
      <c r="DD85" s="153"/>
      <c r="DE85" s="145"/>
      <c r="DF85" s="145"/>
      <c r="DG85" s="145"/>
      <c r="DH85" s="158"/>
      <c r="DI85" s="145"/>
      <c r="DJ85" s="158"/>
      <c r="DK85" s="145"/>
      <c r="DL85" s="158"/>
      <c r="DM85" s="145"/>
      <c r="DN85" s="145"/>
      <c r="DO85" s="145"/>
      <c r="DP85" s="158"/>
      <c r="DQ85" s="145"/>
      <c r="DR85" s="145"/>
      <c r="DS85" s="145"/>
      <c r="DT85" s="145"/>
      <c r="DU85" s="145">
        <f>SUM(DV85:EE85)</f>
      </c>
      <c r="DV85" s="145"/>
      <c r="DW85" s="145"/>
      <c r="DX85" s="145"/>
      <c r="DY85" s="145"/>
      <c r="DZ85" s="146"/>
      <c r="EA85" s="158"/>
      <c r="EB85" s="146"/>
      <c r="EC85" s="145"/>
      <c r="ED85" s="145"/>
      <c r="EE85" s="155"/>
      <c r="EF85" s="145">
        <f>SUM(EG85:EH85)</f>
      </c>
      <c r="EG85" s="145"/>
      <c r="EH85" s="146"/>
      <c r="EI85" s="159" cm="1">
        <f t="array" ref="EI85">ROW()-ROW(Run[#Headers])</f>
        <v>79</v>
      </c>
    </row>
    <row r="86" spans="2:139" s="79" customFormat="1" ht="11.25" x14ac:dyDescent="0.2">
      <c r="B86" s="146"/>
      <c r="C86" s="155"/>
      <c r="D86" s="145"/>
      <c r="E86" s="152">
        <f>SUM(F86:AE86)</f>
      </c>
      <c r="F86" s="146"/>
      <c r="G86" s="146"/>
      <c r="H86" s="146"/>
      <c r="I86" s="146"/>
      <c r="J86" s="146"/>
      <c r="K86" s="156"/>
      <c r="L86" s="146"/>
      <c r="M86" s="146"/>
      <c r="N86" s="146"/>
      <c r="O86" s="146"/>
      <c r="P86" s="156"/>
      <c r="Q86" s="146"/>
      <c r="R86" s="146"/>
      <c r="S86" s="146"/>
      <c r="T86" s="156"/>
      <c r="U86" s="146"/>
      <c r="V86" s="146"/>
      <c r="W86" s="146"/>
      <c r="X86" s="146"/>
      <c r="Y86" s="146"/>
      <c r="Z86" s="146"/>
      <c r="AA86" s="146"/>
      <c r="AB86" s="146"/>
      <c r="AC86" s="157"/>
      <c r="AD86" s="157"/>
      <c r="AE86" s="157"/>
      <c r="AF86" s="158">
        <f>SUM(AG86:AJ86)</f>
      </c>
      <c r="AG86" s="146"/>
      <c r="AH86" s="145"/>
      <c r="AI86" s="145"/>
      <c r="AJ86" s="145"/>
      <c r="AK86" s="158">
        <f>SUM(AL86:AW86)</f>
      </c>
      <c r="AL86" s="146"/>
      <c r="AM86" s="145"/>
      <c r="AN86" s="145"/>
      <c r="AO86" s="145"/>
      <c r="AP86" s="145"/>
      <c r="AQ86" s="145"/>
      <c r="AR86" s="145"/>
      <c r="AS86" s="145"/>
      <c r="AT86" s="145"/>
      <c r="AU86" s="145"/>
      <c r="AV86" s="145"/>
      <c r="AW86" s="158"/>
      <c r="AX86" s="145"/>
      <c r="AY86" s="145"/>
      <c r="AZ86" s="145"/>
      <c r="BA86" s="158"/>
      <c r="BB86" s="145"/>
      <c r="BC86" s="145"/>
      <c r="BD86" s="158"/>
      <c r="BE86" s="146"/>
      <c r="BF86" s="145"/>
      <c r="BG86" s="145"/>
      <c r="BH86" s="158">
        <f>SUM(BI86:BK86)</f>
      </c>
      <c r="BI86" s="145"/>
      <c r="BJ86" s="145"/>
      <c r="BK86" s="145"/>
      <c r="BL86" s="145">
        <f>SUM(BM86:BR86)</f>
      </c>
      <c r="BM86" s="145"/>
      <c r="BN86" s="145"/>
      <c r="BO86" s="158"/>
      <c r="BP86" s="145"/>
      <c r="BQ86" s="145"/>
      <c r="BR86" s="145"/>
      <c r="BS86" s="145"/>
      <c r="BT86" s="145"/>
      <c r="BU86" s="158"/>
      <c r="BV86" s="146"/>
      <c r="BW86" s="145"/>
      <c r="BX86" s="145"/>
      <c r="BY86" s="158">
        <f>SUM(BZ86:CB86)</f>
      </c>
      <c r="BZ86" s="146"/>
      <c r="CA86" s="145"/>
      <c r="CB86" s="145"/>
      <c r="CC86" s="145">
        <f>SUM(CD86:CH86)</f>
      </c>
      <c r="CD86" s="145"/>
      <c r="CE86" s="158"/>
      <c r="CF86" s="145"/>
      <c r="CG86" s="145"/>
      <c r="CH86" s="145"/>
      <c r="CI86" s="158"/>
      <c r="CJ86" s="145"/>
      <c r="CK86" s="145"/>
      <c r="CL86" s="145"/>
      <c r="CM86" s="145"/>
      <c r="CN86" s="145"/>
      <c r="CO86" s="145"/>
      <c r="CP86" s="145"/>
      <c r="CQ86" s="158"/>
      <c r="CR86" s="146"/>
      <c r="CS86" s="158"/>
      <c r="CT86" s="158"/>
      <c r="CU86" s="158">
        <f>SUM(CV86:CV86)</f>
      </c>
      <c r="CV86" s="146"/>
      <c r="CW86" s="145"/>
      <c r="CX86" s="145"/>
      <c r="CY86" s="145">
        <f>SUM(CZ86:DE86)</f>
      </c>
      <c r="CZ86" s="145"/>
      <c r="DA86" s="146"/>
      <c r="DB86" s="146"/>
      <c r="DC86" s="153"/>
      <c r="DD86" s="153"/>
      <c r="DE86" s="145"/>
      <c r="DF86" s="145"/>
      <c r="DG86" s="145"/>
      <c r="DH86" s="158"/>
      <c r="DI86" s="145"/>
      <c r="DJ86" s="158"/>
      <c r="DK86" s="145"/>
      <c r="DL86" s="158"/>
      <c r="DM86" s="145"/>
      <c r="DN86" s="145"/>
      <c r="DO86" s="145"/>
      <c r="DP86" s="158"/>
      <c r="DQ86" s="145"/>
      <c r="DR86" s="145"/>
      <c r="DS86" s="145"/>
      <c r="DT86" s="145"/>
      <c r="DU86" s="145">
        <f>SUM(DV86:EE86)</f>
      </c>
      <c r="DV86" s="145"/>
      <c r="DW86" s="145"/>
      <c r="DX86" s="145"/>
      <c r="DY86" s="145"/>
      <c r="DZ86" s="146"/>
      <c r="EA86" s="158"/>
      <c r="EB86" s="146"/>
      <c r="EC86" s="145"/>
      <c r="ED86" s="145"/>
      <c r="EE86" s="155"/>
      <c r="EF86" s="145">
        <f>SUM(EG86:EH86)</f>
      </c>
      <c r="EG86" s="145"/>
      <c r="EH86" s="146"/>
      <c r="EI86" s="159" cm="1">
        <f t="array" ref="EI86">ROW()-ROW(Run[#Headers])</f>
        <v>80</v>
      </c>
    </row>
    <row r="87" spans="2:139" s="79" customFormat="1" ht="11.25" x14ac:dyDescent="0.2">
      <c r="B87" s="146"/>
      <c r="C87" s="155"/>
      <c r="D87" s="145"/>
      <c r="E87" s="152">
        <f>SUM(F87:AE87)</f>
      </c>
      <c r="F87" s="146"/>
      <c r="G87" s="146"/>
      <c r="H87" s="146"/>
      <c r="I87" s="146"/>
      <c r="J87" s="146"/>
      <c r="K87" s="156"/>
      <c r="L87" s="146"/>
      <c r="M87" s="146"/>
      <c r="N87" s="146"/>
      <c r="O87" s="146"/>
      <c r="P87" s="156"/>
      <c r="Q87" s="146"/>
      <c r="R87" s="146"/>
      <c r="S87" s="146"/>
      <c r="T87" s="156"/>
      <c r="U87" s="146"/>
      <c r="V87" s="146"/>
      <c r="W87" s="146"/>
      <c r="X87" s="146"/>
      <c r="Y87" s="146"/>
      <c r="Z87" s="146"/>
      <c r="AA87" s="146"/>
      <c r="AB87" s="146"/>
      <c r="AC87" s="157"/>
      <c r="AD87" s="157"/>
      <c r="AE87" s="157"/>
      <c r="AF87" s="158">
        <f>SUM(AG87:AJ87)</f>
      </c>
      <c r="AG87" s="146"/>
      <c r="AH87" s="145"/>
      <c r="AI87" s="145"/>
      <c r="AJ87" s="145"/>
      <c r="AK87" s="158">
        <f>SUM(AL87:AW87)</f>
      </c>
      <c r="AL87" s="146"/>
      <c r="AM87" s="145"/>
      <c r="AN87" s="145"/>
      <c r="AO87" s="145"/>
      <c r="AP87" s="145"/>
      <c r="AQ87" s="145"/>
      <c r="AR87" s="145"/>
      <c r="AS87" s="145"/>
      <c r="AT87" s="145"/>
      <c r="AU87" s="145"/>
      <c r="AV87" s="145"/>
      <c r="AW87" s="158"/>
      <c r="AX87" s="145"/>
      <c r="AY87" s="145"/>
      <c r="AZ87" s="145"/>
      <c r="BA87" s="158"/>
      <c r="BB87" s="145"/>
      <c r="BC87" s="145"/>
      <c r="BD87" s="158"/>
      <c r="BE87" s="146"/>
      <c r="BF87" s="145"/>
      <c r="BG87" s="145"/>
      <c r="BH87" s="158">
        <f>SUM(BI87:BK87)</f>
      </c>
      <c r="BI87" s="145"/>
      <c r="BJ87" s="145"/>
      <c r="BK87" s="145"/>
      <c r="BL87" s="145">
        <f>SUM(BM87:BR87)</f>
      </c>
      <c r="BM87" s="145"/>
      <c r="BN87" s="145"/>
      <c r="BO87" s="158"/>
      <c r="BP87" s="145"/>
      <c r="BQ87" s="145"/>
      <c r="BR87" s="145"/>
      <c r="BS87" s="145"/>
      <c r="BT87" s="145"/>
      <c r="BU87" s="158"/>
      <c r="BV87" s="146"/>
      <c r="BW87" s="145"/>
      <c r="BX87" s="145"/>
      <c r="BY87" s="158">
        <f>SUM(BZ87:CB87)</f>
      </c>
      <c r="BZ87" s="146"/>
      <c r="CA87" s="145"/>
      <c r="CB87" s="145"/>
      <c r="CC87" s="145">
        <f>SUM(CD87:CH87)</f>
      </c>
      <c r="CD87" s="145"/>
      <c r="CE87" s="158"/>
      <c r="CF87" s="145"/>
      <c r="CG87" s="145"/>
      <c r="CH87" s="145"/>
      <c r="CI87" s="158"/>
      <c r="CJ87" s="145"/>
      <c r="CK87" s="145"/>
      <c r="CL87" s="145"/>
      <c r="CM87" s="145"/>
      <c r="CN87" s="145"/>
      <c r="CO87" s="145"/>
      <c r="CP87" s="145"/>
      <c r="CQ87" s="158"/>
      <c r="CR87" s="146"/>
      <c r="CS87" s="158"/>
      <c r="CT87" s="158"/>
      <c r="CU87" s="158">
        <f>SUM(CV87:CV87)</f>
      </c>
      <c r="CV87" s="146"/>
      <c r="CW87" s="145"/>
      <c r="CX87" s="145"/>
      <c r="CY87" s="145">
        <f>SUM(CZ87:DE87)</f>
      </c>
      <c r="CZ87" s="145"/>
      <c r="DA87" s="146"/>
      <c r="DB87" s="146"/>
      <c r="DC87" s="153"/>
      <c r="DD87" s="153"/>
      <c r="DE87" s="145"/>
      <c r="DF87" s="145"/>
      <c r="DG87" s="145"/>
      <c r="DH87" s="158"/>
      <c r="DI87" s="145"/>
      <c r="DJ87" s="158"/>
      <c r="DK87" s="145"/>
      <c r="DL87" s="158"/>
      <c r="DM87" s="145"/>
      <c r="DN87" s="145"/>
      <c r="DO87" s="145"/>
      <c r="DP87" s="158"/>
      <c r="DQ87" s="145"/>
      <c r="DR87" s="145"/>
      <c r="DS87" s="145"/>
      <c r="DT87" s="145"/>
      <c r="DU87" s="145">
        <f>SUM(DV87:EE87)</f>
      </c>
      <c r="DV87" s="145"/>
      <c r="DW87" s="145"/>
      <c r="DX87" s="145"/>
      <c r="DY87" s="145"/>
      <c r="DZ87" s="146"/>
      <c r="EA87" s="158"/>
      <c r="EB87" s="146"/>
      <c r="EC87" s="145"/>
      <c r="ED87" s="145"/>
      <c r="EE87" s="155"/>
      <c r="EF87" s="145">
        <f>SUM(EG87:EH87)</f>
      </c>
      <c r="EG87" s="145"/>
      <c r="EH87" s="146"/>
      <c r="EI87" s="159" cm="1">
        <f t="array" ref="EI87">ROW()-ROW(Run[#Headers])</f>
        <v>81</v>
      </c>
    </row>
    <row r="88" spans="2:139" s="79" customFormat="1" ht="11.25" x14ac:dyDescent="0.2">
      <c r="B88" s="146"/>
      <c r="C88" s="155"/>
      <c r="D88" s="145"/>
      <c r="E88" s="152">
        <f>SUM(F88:AE88)</f>
      </c>
      <c r="F88" s="146"/>
      <c r="G88" s="146"/>
      <c r="H88" s="146"/>
      <c r="I88" s="146"/>
      <c r="J88" s="146"/>
      <c r="K88" s="156"/>
      <c r="L88" s="146"/>
      <c r="M88" s="146"/>
      <c r="N88" s="146"/>
      <c r="O88" s="146"/>
      <c r="P88" s="156"/>
      <c r="Q88" s="146"/>
      <c r="R88" s="146"/>
      <c r="S88" s="146"/>
      <c r="T88" s="156"/>
      <c r="U88" s="146"/>
      <c r="V88" s="146"/>
      <c r="W88" s="146"/>
      <c r="X88" s="146"/>
      <c r="Y88" s="146"/>
      <c r="Z88" s="146"/>
      <c r="AA88" s="146"/>
      <c r="AB88" s="146"/>
      <c r="AC88" s="157"/>
      <c r="AD88" s="157"/>
      <c r="AE88" s="157"/>
      <c r="AF88" s="158">
        <f>SUM(AG88:AJ88)</f>
      </c>
      <c r="AG88" s="146"/>
      <c r="AH88" s="145"/>
      <c r="AI88" s="145"/>
      <c r="AJ88" s="145"/>
      <c r="AK88" s="158">
        <f>SUM(AL88:AW88)</f>
      </c>
      <c r="AL88" s="146"/>
      <c r="AM88" s="145"/>
      <c r="AN88" s="145"/>
      <c r="AO88" s="145"/>
      <c r="AP88" s="145"/>
      <c r="AQ88" s="145"/>
      <c r="AR88" s="145"/>
      <c r="AS88" s="145"/>
      <c r="AT88" s="145"/>
      <c r="AU88" s="145"/>
      <c r="AV88" s="145"/>
      <c r="AW88" s="158"/>
      <c r="AX88" s="145"/>
      <c r="AY88" s="145"/>
      <c r="AZ88" s="145"/>
      <c r="BA88" s="158"/>
      <c r="BB88" s="145"/>
      <c r="BC88" s="145"/>
      <c r="BD88" s="158"/>
      <c r="BE88" s="146"/>
      <c r="BF88" s="145"/>
      <c r="BG88" s="145"/>
      <c r="BH88" s="158">
        <f>SUM(BI88:BK88)</f>
      </c>
      <c r="BI88" s="145"/>
      <c r="BJ88" s="145"/>
      <c r="BK88" s="145"/>
      <c r="BL88" s="145">
        <f>SUM(BM88:BR88)</f>
      </c>
      <c r="BM88" s="145"/>
      <c r="BN88" s="145"/>
      <c r="BO88" s="158"/>
      <c r="BP88" s="145"/>
      <c r="BQ88" s="145"/>
      <c r="BR88" s="145"/>
      <c r="BS88" s="145"/>
      <c r="BT88" s="145"/>
      <c r="BU88" s="158"/>
      <c r="BV88" s="146"/>
      <c r="BW88" s="145"/>
      <c r="BX88" s="145"/>
      <c r="BY88" s="158">
        <f>SUM(BZ88:CB88)</f>
      </c>
      <c r="BZ88" s="146"/>
      <c r="CA88" s="145"/>
      <c r="CB88" s="145"/>
      <c r="CC88" s="145">
        <f>SUM(CD88:CH88)</f>
      </c>
      <c r="CD88" s="145"/>
      <c r="CE88" s="158"/>
      <c r="CF88" s="145"/>
      <c r="CG88" s="145"/>
      <c r="CH88" s="145"/>
      <c r="CI88" s="158"/>
      <c r="CJ88" s="145"/>
      <c r="CK88" s="145"/>
      <c r="CL88" s="145"/>
      <c r="CM88" s="145"/>
      <c r="CN88" s="145"/>
      <c r="CO88" s="145"/>
      <c r="CP88" s="145"/>
      <c r="CQ88" s="158"/>
      <c r="CR88" s="146"/>
      <c r="CS88" s="158"/>
      <c r="CT88" s="158"/>
      <c r="CU88" s="158">
        <f>SUM(CV88:CV88)</f>
      </c>
      <c r="CV88" s="146"/>
      <c r="CW88" s="145"/>
      <c r="CX88" s="145"/>
      <c r="CY88" s="145">
        <f>SUM(CZ88:DE88)</f>
      </c>
      <c r="CZ88" s="145"/>
      <c r="DA88" s="146"/>
      <c r="DB88" s="146"/>
      <c r="DC88" s="153"/>
      <c r="DD88" s="153"/>
      <c r="DE88" s="145"/>
      <c r="DF88" s="145"/>
      <c r="DG88" s="145"/>
      <c r="DH88" s="158"/>
      <c r="DI88" s="145"/>
      <c r="DJ88" s="158"/>
      <c r="DK88" s="145"/>
      <c r="DL88" s="158"/>
      <c r="DM88" s="145"/>
      <c r="DN88" s="145"/>
      <c r="DO88" s="145"/>
      <c r="DP88" s="158"/>
      <c r="DQ88" s="145"/>
      <c r="DR88" s="145"/>
      <c r="DS88" s="145"/>
      <c r="DT88" s="145"/>
      <c r="DU88" s="145">
        <f>SUM(DV88:EE88)</f>
      </c>
      <c r="DV88" s="145"/>
      <c r="DW88" s="145"/>
      <c r="DX88" s="145"/>
      <c r="DY88" s="145"/>
      <c r="DZ88" s="146"/>
      <c r="EA88" s="158"/>
      <c r="EB88" s="146"/>
      <c r="EC88" s="145"/>
      <c r="ED88" s="145"/>
      <c r="EE88" s="155"/>
      <c r="EF88" s="145">
        <f>SUM(EG88:EH88)</f>
      </c>
      <c r="EG88" s="145"/>
      <c r="EH88" s="146"/>
      <c r="EI88" s="159" cm="1">
        <f t="array" ref="EI88">ROW()-ROW(Run[#Headers])</f>
        <v>82</v>
      </c>
    </row>
    <row r="89" spans="2:139" s="79" customFormat="1" ht="11.25" x14ac:dyDescent="0.2">
      <c r="B89" s="146"/>
      <c r="C89" s="155"/>
      <c r="D89" s="145"/>
      <c r="E89" s="152">
        <f>SUM(F89:AE89)</f>
      </c>
      <c r="F89" s="146"/>
      <c r="G89" s="146"/>
      <c r="H89" s="146"/>
      <c r="I89" s="146"/>
      <c r="J89" s="146"/>
      <c r="K89" s="156"/>
      <c r="L89" s="146"/>
      <c r="M89" s="146"/>
      <c r="N89" s="146"/>
      <c r="O89" s="146"/>
      <c r="P89" s="156"/>
      <c r="Q89" s="146"/>
      <c r="R89" s="146"/>
      <c r="S89" s="146"/>
      <c r="T89" s="156"/>
      <c r="U89" s="146"/>
      <c r="V89" s="146"/>
      <c r="W89" s="146"/>
      <c r="X89" s="146"/>
      <c r="Y89" s="146"/>
      <c r="Z89" s="146"/>
      <c r="AA89" s="146"/>
      <c r="AB89" s="146"/>
      <c r="AC89" s="157"/>
      <c r="AD89" s="157"/>
      <c r="AE89" s="157"/>
      <c r="AF89" s="158">
        <f>SUM(AG89:AJ89)</f>
      </c>
      <c r="AG89" s="146"/>
      <c r="AH89" s="145"/>
      <c r="AI89" s="145"/>
      <c r="AJ89" s="145"/>
      <c r="AK89" s="158">
        <f>SUM(AL89:AW89)</f>
      </c>
      <c r="AL89" s="146"/>
      <c r="AM89" s="145"/>
      <c r="AN89" s="145"/>
      <c r="AO89" s="145"/>
      <c r="AP89" s="145"/>
      <c r="AQ89" s="145"/>
      <c r="AR89" s="145"/>
      <c r="AS89" s="145"/>
      <c r="AT89" s="145"/>
      <c r="AU89" s="145"/>
      <c r="AV89" s="145"/>
      <c r="AW89" s="158"/>
      <c r="AX89" s="145"/>
      <c r="AY89" s="145"/>
      <c r="AZ89" s="145"/>
      <c r="BA89" s="158"/>
      <c r="BB89" s="145"/>
      <c r="BC89" s="145"/>
      <c r="BD89" s="158"/>
      <c r="BE89" s="146"/>
      <c r="BF89" s="145"/>
      <c r="BG89" s="145"/>
      <c r="BH89" s="158">
        <f>SUM(BI89:BK89)</f>
      </c>
      <c r="BI89" s="145"/>
      <c r="BJ89" s="145"/>
      <c r="BK89" s="145"/>
      <c r="BL89" s="145">
        <f>SUM(BM89:BR89)</f>
      </c>
      <c r="BM89" s="145"/>
      <c r="BN89" s="145"/>
      <c r="BO89" s="158"/>
      <c r="BP89" s="145"/>
      <c r="BQ89" s="145"/>
      <c r="BR89" s="145"/>
      <c r="BS89" s="145"/>
      <c r="BT89" s="145"/>
      <c r="BU89" s="158"/>
      <c r="BV89" s="146"/>
      <c r="BW89" s="145"/>
      <c r="BX89" s="145"/>
      <c r="BY89" s="158">
        <f>SUM(BZ89:CB89)</f>
      </c>
      <c r="BZ89" s="146"/>
      <c r="CA89" s="145"/>
      <c r="CB89" s="145"/>
      <c r="CC89" s="145">
        <f>SUM(CD89:CH89)</f>
      </c>
      <c r="CD89" s="145"/>
      <c r="CE89" s="158"/>
      <c r="CF89" s="145"/>
      <c r="CG89" s="145"/>
      <c r="CH89" s="145"/>
      <c r="CI89" s="158"/>
      <c r="CJ89" s="145"/>
      <c r="CK89" s="145"/>
      <c r="CL89" s="145"/>
      <c r="CM89" s="145"/>
      <c r="CN89" s="145"/>
      <c r="CO89" s="145"/>
      <c r="CP89" s="145"/>
      <c r="CQ89" s="158"/>
      <c r="CR89" s="146"/>
      <c r="CS89" s="158"/>
      <c r="CT89" s="158"/>
      <c r="CU89" s="158">
        <f>SUM(CV89:CV89)</f>
      </c>
      <c r="CV89" s="146"/>
      <c r="CW89" s="145"/>
      <c r="CX89" s="145"/>
      <c r="CY89" s="145">
        <f>SUM(CZ89:DE89)</f>
      </c>
      <c r="CZ89" s="145"/>
      <c r="DA89" s="146"/>
      <c r="DB89" s="146"/>
      <c r="DC89" s="153"/>
      <c r="DD89" s="153"/>
      <c r="DE89" s="145"/>
      <c r="DF89" s="145"/>
      <c r="DG89" s="145"/>
      <c r="DH89" s="158"/>
      <c r="DI89" s="145"/>
      <c r="DJ89" s="158"/>
      <c r="DK89" s="145"/>
      <c r="DL89" s="158"/>
      <c r="DM89" s="145"/>
      <c r="DN89" s="145"/>
      <c r="DO89" s="145"/>
      <c r="DP89" s="158"/>
      <c r="DQ89" s="145"/>
      <c r="DR89" s="145"/>
      <c r="DS89" s="145"/>
      <c r="DT89" s="145"/>
      <c r="DU89" s="145">
        <f>SUM(DV89:EE89)</f>
      </c>
      <c r="DV89" s="145"/>
      <c r="DW89" s="145"/>
      <c r="DX89" s="145"/>
      <c r="DY89" s="145"/>
      <c r="DZ89" s="146"/>
      <c r="EA89" s="158"/>
      <c r="EB89" s="146"/>
      <c r="EC89" s="145"/>
      <c r="ED89" s="145"/>
      <c r="EE89" s="155"/>
      <c r="EF89" s="145">
        <f>SUM(EG89:EH89)</f>
      </c>
      <c r="EG89" s="145"/>
      <c r="EH89" s="146"/>
      <c r="EI89" s="159" cm="1">
        <f t="array" ref="EI89">ROW()-ROW(Run[#Headers])</f>
        <v>83</v>
      </c>
    </row>
    <row r="90" spans="2:139" s="79" customFormat="1" ht="11.25" x14ac:dyDescent="0.2">
      <c r="B90" s="146"/>
      <c r="C90" s="155"/>
      <c r="D90" s="145"/>
      <c r="E90" s="152">
        <f>SUM(F90:AE90)</f>
      </c>
      <c r="F90" s="146"/>
      <c r="G90" s="146"/>
      <c r="H90" s="146"/>
      <c r="I90" s="146"/>
      <c r="J90" s="146"/>
      <c r="K90" s="156"/>
      <c r="L90" s="146"/>
      <c r="M90" s="146"/>
      <c r="N90" s="146"/>
      <c r="O90" s="146"/>
      <c r="P90" s="156"/>
      <c r="Q90" s="146"/>
      <c r="R90" s="146"/>
      <c r="S90" s="146"/>
      <c r="T90" s="156"/>
      <c r="U90" s="146"/>
      <c r="V90" s="146"/>
      <c r="W90" s="146"/>
      <c r="X90" s="146"/>
      <c r="Y90" s="146"/>
      <c r="Z90" s="146"/>
      <c r="AA90" s="146"/>
      <c r="AB90" s="146"/>
      <c r="AC90" s="157"/>
      <c r="AD90" s="157"/>
      <c r="AE90" s="157"/>
      <c r="AF90" s="158">
        <f>SUM(AG90:AJ90)</f>
      </c>
      <c r="AG90" s="146"/>
      <c r="AH90" s="145"/>
      <c r="AI90" s="145"/>
      <c r="AJ90" s="145"/>
      <c r="AK90" s="158">
        <f>SUM(AL90:AW90)</f>
      </c>
      <c r="AL90" s="146"/>
      <c r="AM90" s="145"/>
      <c r="AN90" s="145"/>
      <c r="AO90" s="145"/>
      <c r="AP90" s="145"/>
      <c r="AQ90" s="145"/>
      <c r="AR90" s="145"/>
      <c r="AS90" s="145"/>
      <c r="AT90" s="145"/>
      <c r="AU90" s="145"/>
      <c r="AV90" s="145"/>
      <c r="AW90" s="158"/>
      <c r="AX90" s="145"/>
      <c r="AY90" s="145"/>
      <c r="AZ90" s="145"/>
      <c r="BA90" s="158"/>
      <c r="BB90" s="145"/>
      <c r="BC90" s="145"/>
      <c r="BD90" s="158"/>
      <c r="BE90" s="146"/>
      <c r="BF90" s="145"/>
      <c r="BG90" s="145"/>
      <c r="BH90" s="158">
        <f>SUM(BI90:BK90)</f>
      </c>
      <c r="BI90" s="145"/>
      <c r="BJ90" s="145"/>
      <c r="BK90" s="145"/>
      <c r="BL90" s="145">
        <f>SUM(BM90:BR90)</f>
      </c>
      <c r="BM90" s="145"/>
      <c r="BN90" s="145"/>
      <c r="BO90" s="158"/>
      <c r="BP90" s="145"/>
      <c r="BQ90" s="145"/>
      <c r="BR90" s="145"/>
      <c r="BS90" s="145"/>
      <c r="BT90" s="145"/>
      <c r="BU90" s="158"/>
      <c r="BV90" s="146"/>
      <c r="BW90" s="145"/>
      <c r="BX90" s="145"/>
      <c r="BY90" s="158">
        <f>SUM(BZ90:CB90)</f>
      </c>
      <c r="BZ90" s="146"/>
      <c r="CA90" s="145"/>
      <c r="CB90" s="145"/>
      <c r="CC90" s="145">
        <f>SUM(CD90:CH90)</f>
      </c>
      <c r="CD90" s="145"/>
      <c r="CE90" s="158"/>
      <c r="CF90" s="145"/>
      <c r="CG90" s="145"/>
      <c r="CH90" s="145"/>
      <c r="CI90" s="158"/>
      <c r="CJ90" s="145"/>
      <c r="CK90" s="145"/>
      <c r="CL90" s="145"/>
      <c r="CM90" s="145"/>
      <c r="CN90" s="145"/>
      <c r="CO90" s="145"/>
      <c r="CP90" s="145"/>
      <c r="CQ90" s="158"/>
      <c r="CR90" s="146"/>
      <c r="CS90" s="158"/>
      <c r="CT90" s="158"/>
      <c r="CU90" s="158">
        <f>SUM(CV90:CV90)</f>
      </c>
      <c r="CV90" s="146"/>
      <c r="CW90" s="145"/>
      <c r="CX90" s="145"/>
      <c r="CY90" s="145">
        <f>SUM(CZ90:DE90)</f>
      </c>
      <c r="CZ90" s="145"/>
      <c r="DA90" s="146"/>
      <c r="DB90" s="146"/>
      <c r="DC90" s="153"/>
      <c r="DD90" s="153"/>
      <c r="DE90" s="145"/>
      <c r="DF90" s="145"/>
      <c r="DG90" s="145"/>
      <c r="DH90" s="158"/>
      <c r="DI90" s="145"/>
      <c r="DJ90" s="158"/>
      <c r="DK90" s="145"/>
      <c r="DL90" s="158"/>
      <c r="DM90" s="145"/>
      <c r="DN90" s="145"/>
      <c r="DO90" s="145"/>
      <c r="DP90" s="158"/>
      <c r="DQ90" s="145"/>
      <c r="DR90" s="145"/>
      <c r="DS90" s="145"/>
      <c r="DT90" s="145"/>
      <c r="DU90" s="145">
        <f>SUM(DV90:EE90)</f>
      </c>
      <c r="DV90" s="145"/>
      <c r="DW90" s="145"/>
      <c r="DX90" s="145"/>
      <c r="DY90" s="145"/>
      <c r="DZ90" s="146"/>
      <c r="EA90" s="158"/>
      <c r="EB90" s="146"/>
      <c r="EC90" s="145"/>
      <c r="ED90" s="145"/>
      <c r="EE90" s="155"/>
      <c r="EF90" s="145">
        <f>SUM(EG90:EH90)</f>
      </c>
      <c r="EG90" s="145"/>
      <c r="EH90" s="146"/>
      <c r="EI90" s="159" cm="1">
        <f t="array" ref="EI90">ROW()-ROW(Run[#Headers])</f>
        <v>84</v>
      </c>
    </row>
    <row r="91" spans="2:139" s="79" customFormat="1" ht="11.25" x14ac:dyDescent="0.2">
      <c r="B91" s="146"/>
      <c r="C91" s="155"/>
      <c r="D91" s="145"/>
      <c r="E91" s="152">
        <f>SUM(F91:AE91)</f>
      </c>
      <c r="F91" s="146"/>
      <c r="G91" s="146"/>
      <c r="H91" s="146"/>
      <c r="I91" s="146"/>
      <c r="J91" s="146"/>
      <c r="K91" s="156"/>
      <c r="L91" s="146"/>
      <c r="M91" s="146"/>
      <c r="N91" s="146"/>
      <c r="O91" s="146"/>
      <c r="P91" s="156"/>
      <c r="Q91" s="146"/>
      <c r="R91" s="146"/>
      <c r="S91" s="146"/>
      <c r="T91" s="156"/>
      <c r="U91" s="146"/>
      <c r="V91" s="146"/>
      <c r="W91" s="146"/>
      <c r="X91" s="146"/>
      <c r="Y91" s="146"/>
      <c r="Z91" s="146"/>
      <c r="AA91" s="146"/>
      <c r="AB91" s="146"/>
      <c r="AC91" s="157"/>
      <c r="AD91" s="157"/>
      <c r="AE91" s="157"/>
      <c r="AF91" s="158">
        <f>SUM(AG91:AJ91)</f>
      </c>
      <c r="AG91" s="146"/>
      <c r="AH91" s="145"/>
      <c r="AI91" s="145"/>
      <c r="AJ91" s="145"/>
      <c r="AK91" s="158">
        <f>SUM(AL91:AW91)</f>
      </c>
      <c r="AL91" s="146"/>
      <c r="AM91" s="145"/>
      <c r="AN91" s="145"/>
      <c r="AO91" s="145"/>
      <c r="AP91" s="145"/>
      <c r="AQ91" s="145"/>
      <c r="AR91" s="145"/>
      <c r="AS91" s="145"/>
      <c r="AT91" s="145"/>
      <c r="AU91" s="145"/>
      <c r="AV91" s="145"/>
      <c r="AW91" s="158"/>
      <c r="AX91" s="145"/>
      <c r="AY91" s="145"/>
      <c r="AZ91" s="145"/>
      <c r="BA91" s="158"/>
      <c r="BB91" s="145"/>
      <c r="BC91" s="145"/>
      <c r="BD91" s="158"/>
      <c r="BE91" s="146"/>
      <c r="BF91" s="145"/>
      <c r="BG91" s="145"/>
      <c r="BH91" s="158">
        <f>SUM(BI91:BK91)</f>
      </c>
      <c r="BI91" s="145"/>
      <c r="BJ91" s="145"/>
      <c r="BK91" s="145"/>
      <c r="BL91" s="145">
        <f>SUM(BM91:BR91)</f>
      </c>
      <c r="BM91" s="145"/>
      <c r="BN91" s="145"/>
      <c r="BO91" s="158"/>
      <c r="BP91" s="145"/>
      <c r="BQ91" s="145"/>
      <c r="BR91" s="145"/>
      <c r="BS91" s="145"/>
      <c r="BT91" s="145"/>
      <c r="BU91" s="158"/>
      <c r="BV91" s="146"/>
      <c r="BW91" s="145"/>
      <c r="BX91" s="145"/>
      <c r="BY91" s="158">
        <f>SUM(BZ91:CB91)</f>
      </c>
      <c r="BZ91" s="146"/>
      <c r="CA91" s="145"/>
      <c r="CB91" s="145"/>
      <c r="CC91" s="145">
        <f>SUM(CD91:CH91)</f>
      </c>
      <c r="CD91" s="145"/>
      <c r="CE91" s="158"/>
      <c r="CF91" s="145"/>
      <c r="CG91" s="145"/>
      <c r="CH91" s="145"/>
      <c r="CI91" s="158"/>
      <c r="CJ91" s="145"/>
      <c r="CK91" s="145"/>
      <c r="CL91" s="145"/>
      <c r="CM91" s="145"/>
      <c r="CN91" s="145"/>
      <c r="CO91" s="145"/>
      <c r="CP91" s="145"/>
      <c r="CQ91" s="158"/>
      <c r="CR91" s="146"/>
      <c r="CS91" s="158"/>
      <c r="CT91" s="158"/>
      <c r="CU91" s="158">
        <f>SUM(CV91:CV91)</f>
      </c>
      <c r="CV91" s="146"/>
      <c r="CW91" s="145"/>
      <c r="CX91" s="145"/>
      <c r="CY91" s="145">
        <f>SUM(CZ91:DE91)</f>
      </c>
      <c r="CZ91" s="145"/>
      <c r="DA91" s="146"/>
      <c r="DB91" s="146"/>
      <c r="DC91" s="153"/>
      <c r="DD91" s="153"/>
      <c r="DE91" s="145"/>
      <c r="DF91" s="145"/>
      <c r="DG91" s="145"/>
      <c r="DH91" s="158"/>
      <c r="DI91" s="145"/>
      <c r="DJ91" s="158"/>
      <c r="DK91" s="145"/>
      <c r="DL91" s="158"/>
      <c r="DM91" s="145"/>
      <c r="DN91" s="145"/>
      <c r="DO91" s="145"/>
      <c r="DP91" s="158"/>
      <c r="DQ91" s="145"/>
      <c r="DR91" s="145"/>
      <c r="DS91" s="145"/>
      <c r="DT91" s="145"/>
      <c r="DU91" s="145">
        <f>SUM(DV91:EE91)</f>
      </c>
      <c r="DV91" s="145"/>
      <c r="DW91" s="145"/>
      <c r="DX91" s="145"/>
      <c r="DY91" s="145"/>
      <c r="DZ91" s="146"/>
      <c r="EA91" s="158"/>
      <c r="EB91" s="146"/>
      <c r="EC91" s="145"/>
      <c r="ED91" s="145"/>
      <c r="EE91" s="155"/>
      <c r="EF91" s="145">
        <f>SUM(EG91:EH91)</f>
      </c>
      <c r="EG91" s="145"/>
      <c r="EH91" s="146"/>
      <c r="EI91" s="159" cm="1">
        <f t="array" ref="EI91">ROW()-ROW(Run[#Headers])</f>
        <v>85</v>
      </c>
    </row>
    <row r="92" spans="2:139" s="79" customFormat="1" ht="11.25" x14ac:dyDescent="0.2">
      <c r="B92" s="146"/>
      <c r="C92" s="155"/>
      <c r="D92" s="145"/>
      <c r="E92" s="152">
        <f>SUM(F92:AE92)</f>
      </c>
      <c r="F92" s="146"/>
      <c r="G92" s="146"/>
      <c r="H92" s="146"/>
      <c r="I92" s="146"/>
      <c r="J92" s="146"/>
      <c r="K92" s="156"/>
      <c r="L92" s="146"/>
      <c r="M92" s="146"/>
      <c r="N92" s="146"/>
      <c r="O92" s="146"/>
      <c r="P92" s="156"/>
      <c r="Q92" s="146"/>
      <c r="R92" s="146"/>
      <c r="S92" s="146"/>
      <c r="T92" s="156"/>
      <c r="U92" s="146"/>
      <c r="V92" s="146"/>
      <c r="W92" s="146"/>
      <c r="X92" s="146"/>
      <c r="Y92" s="146"/>
      <c r="Z92" s="146"/>
      <c r="AA92" s="146"/>
      <c r="AB92" s="146"/>
      <c r="AC92" s="157"/>
      <c r="AD92" s="157"/>
      <c r="AE92" s="157"/>
      <c r="AF92" s="158">
        <f>SUM(AG92:AJ92)</f>
      </c>
      <c r="AG92" s="146"/>
      <c r="AH92" s="145"/>
      <c r="AI92" s="145"/>
      <c r="AJ92" s="145"/>
      <c r="AK92" s="158">
        <f>SUM(AL92:AW92)</f>
      </c>
      <c r="AL92" s="146"/>
      <c r="AM92" s="145"/>
      <c r="AN92" s="145"/>
      <c r="AO92" s="145"/>
      <c r="AP92" s="145"/>
      <c r="AQ92" s="145"/>
      <c r="AR92" s="145"/>
      <c r="AS92" s="145"/>
      <c r="AT92" s="145"/>
      <c r="AU92" s="145"/>
      <c r="AV92" s="145"/>
      <c r="AW92" s="158"/>
      <c r="AX92" s="145"/>
      <c r="AY92" s="145"/>
      <c r="AZ92" s="145"/>
      <c r="BA92" s="158"/>
      <c r="BB92" s="145"/>
      <c r="BC92" s="145"/>
      <c r="BD92" s="158"/>
      <c r="BE92" s="146"/>
      <c r="BF92" s="145"/>
      <c r="BG92" s="145"/>
      <c r="BH92" s="158">
        <f>SUM(BI92:BK92)</f>
      </c>
      <c r="BI92" s="145"/>
      <c r="BJ92" s="145"/>
      <c r="BK92" s="145"/>
      <c r="BL92" s="145">
        <f>SUM(BM92:BR92)</f>
      </c>
      <c r="BM92" s="145"/>
      <c r="BN92" s="145"/>
      <c r="BO92" s="158"/>
      <c r="BP92" s="145"/>
      <c r="BQ92" s="145"/>
      <c r="BR92" s="145"/>
      <c r="BS92" s="145"/>
      <c r="BT92" s="145"/>
      <c r="BU92" s="158"/>
      <c r="BV92" s="146"/>
      <c r="BW92" s="145"/>
      <c r="BX92" s="145"/>
      <c r="BY92" s="158">
        <f>SUM(BZ92:CB92)</f>
      </c>
      <c r="BZ92" s="146"/>
      <c r="CA92" s="145"/>
      <c r="CB92" s="145"/>
      <c r="CC92" s="145">
        <f>SUM(CD92:CH92)</f>
      </c>
      <c r="CD92" s="145"/>
      <c r="CE92" s="158"/>
      <c r="CF92" s="145"/>
      <c r="CG92" s="145"/>
      <c r="CH92" s="145"/>
      <c r="CI92" s="158"/>
      <c r="CJ92" s="145"/>
      <c r="CK92" s="145"/>
      <c r="CL92" s="145"/>
      <c r="CM92" s="145"/>
      <c r="CN92" s="145"/>
      <c r="CO92" s="145"/>
      <c r="CP92" s="145"/>
      <c r="CQ92" s="158"/>
      <c r="CR92" s="146"/>
      <c r="CS92" s="158"/>
      <c r="CT92" s="158"/>
      <c r="CU92" s="158">
        <f>SUM(CV92:CV92)</f>
      </c>
      <c r="CV92" s="146"/>
      <c r="CW92" s="145"/>
      <c r="CX92" s="145"/>
      <c r="CY92" s="145">
        <f>SUM(CZ92:DE92)</f>
      </c>
      <c r="CZ92" s="145"/>
      <c r="DA92" s="146"/>
      <c r="DB92" s="146"/>
      <c r="DC92" s="153"/>
      <c r="DD92" s="153"/>
      <c r="DE92" s="145"/>
      <c r="DF92" s="145"/>
      <c r="DG92" s="145"/>
      <c r="DH92" s="158"/>
      <c r="DI92" s="145"/>
      <c r="DJ92" s="158"/>
      <c r="DK92" s="145"/>
      <c r="DL92" s="158"/>
      <c r="DM92" s="145"/>
      <c r="DN92" s="145"/>
      <c r="DO92" s="145"/>
      <c r="DP92" s="158"/>
      <c r="DQ92" s="145"/>
      <c r="DR92" s="145"/>
      <c r="DS92" s="145"/>
      <c r="DT92" s="145"/>
      <c r="DU92" s="145">
        <f>SUM(DV92:EE92)</f>
      </c>
      <c r="DV92" s="145"/>
      <c r="DW92" s="145"/>
      <c r="DX92" s="145"/>
      <c r="DY92" s="145"/>
      <c r="DZ92" s="146"/>
      <c r="EA92" s="158"/>
      <c r="EB92" s="146"/>
      <c r="EC92" s="145"/>
      <c r="ED92" s="145"/>
      <c r="EE92" s="155"/>
      <c r="EF92" s="145">
        <f>SUM(EG92:EH92)</f>
      </c>
      <c r="EG92" s="145"/>
      <c r="EH92" s="146"/>
      <c r="EI92" s="159" cm="1">
        <f t="array" ref="EI92">ROW()-ROW(Run[#Headers])</f>
        <v>86</v>
      </c>
    </row>
    <row r="93" spans="2:139" s="79" customFormat="1" ht="11.25" x14ac:dyDescent="0.2">
      <c r="B93" s="146"/>
      <c r="C93" s="155"/>
      <c r="D93" s="145"/>
      <c r="E93" s="152">
        <f>SUM(F93:AE93)</f>
      </c>
      <c r="F93" s="146"/>
      <c r="G93" s="146"/>
      <c r="H93" s="146"/>
      <c r="I93" s="146"/>
      <c r="J93" s="146"/>
      <c r="K93" s="156"/>
      <c r="L93" s="146"/>
      <c r="M93" s="146"/>
      <c r="N93" s="146"/>
      <c r="O93" s="146"/>
      <c r="P93" s="156"/>
      <c r="Q93" s="146"/>
      <c r="R93" s="146"/>
      <c r="S93" s="146"/>
      <c r="T93" s="156"/>
      <c r="U93" s="146"/>
      <c r="V93" s="146"/>
      <c r="W93" s="146"/>
      <c r="X93" s="146"/>
      <c r="Y93" s="146"/>
      <c r="Z93" s="146"/>
      <c r="AA93" s="146"/>
      <c r="AB93" s="146"/>
      <c r="AC93" s="157"/>
      <c r="AD93" s="157"/>
      <c r="AE93" s="157"/>
      <c r="AF93" s="158">
        <f>SUM(AG93:AJ93)</f>
      </c>
      <c r="AG93" s="146"/>
      <c r="AH93" s="145"/>
      <c r="AI93" s="145"/>
      <c r="AJ93" s="145"/>
      <c r="AK93" s="158">
        <f>SUM(AL93:AW93)</f>
      </c>
      <c r="AL93" s="146"/>
      <c r="AM93" s="145"/>
      <c r="AN93" s="145"/>
      <c r="AO93" s="145"/>
      <c r="AP93" s="145"/>
      <c r="AQ93" s="145"/>
      <c r="AR93" s="145"/>
      <c r="AS93" s="145"/>
      <c r="AT93" s="145"/>
      <c r="AU93" s="145"/>
      <c r="AV93" s="145"/>
      <c r="AW93" s="158"/>
      <c r="AX93" s="145"/>
      <c r="AY93" s="145"/>
      <c r="AZ93" s="145"/>
      <c r="BA93" s="158"/>
      <c r="BB93" s="145"/>
      <c r="BC93" s="145"/>
      <c r="BD93" s="158"/>
      <c r="BE93" s="146"/>
      <c r="BF93" s="145"/>
      <c r="BG93" s="145"/>
      <c r="BH93" s="158">
        <f>SUM(BI93:BK93)</f>
      </c>
      <c r="BI93" s="145"/>
      <c r="BJ93" s="145"/>
      <c r="BK93" s="145"/>
      <c r="BL93" s="145">
        <f>SUM(BM93:BR93)</f>
      </c>
      <c r="BM93" s="145"/>
      <c r="BN93" s="145"/>
      <c r="BO93" s="158"/>
      <c r="BP93" s="145"/>
      <c r="BQ93" s="145"/>
      <c r="BR93" s="145"/>
      <c r="BS93" s="145"/>
      <c r="BT93" s="145"/>
      <c r="BU93" s="158"/>
      <c r="BV93" s="146"/>
      <c r="BW93" s="145"/>
      <c r="BX93" s="145"/>
      <c r="BY93" s="158">
        <f>SUM(BZ93:CB93)</f>
      </c>
      <c r="BZ93" s="146"/>
      <c r="CA93" s="145"/>
      <c r="CB93" s="145"/>
      <c r="CC93" s="145">
        <f>SUM(CD93:CH93)</f>
      </c>
      <c r="CD93" s="145"/>
      <c r="CE93" s="158"/>
      <c r="CF93" s="145"/>
      <c r="CG93" s="145"/>
      <c r="CH93" s="145"/>
      <c r="CI93" s="158"/>
      <c r="CJ93" s="145"/>
      <c r="CK93" s="145"/>
      <c r="CL93" s="145"/>
      <c r="CM93" s="145"/>
      <c r="CN93" s="145"/>
      <c r="CO93" s="145"/>
      <c r="CP93" s="145"/>
      <c r="CQ93" s="158"/>
      <c r="CR93" s="146"/>
      <c r="CS93" s="158"/>
      <c r="CT93" s="158"/>
      <c r="CU93" s="158">
        <f>SUM(CV93:CV93)</f>
      </c>
      <c r="CV93" s="146"/>
      <c r="CW93" s="145"/>
      <c r="CX93" s="145"/>
      <c r="CY93" s="145">
        <f>SUM(CZ93:DE93)</f>
      </c>
      <c r="CZ93" s="145"/>
      <c r="DA93" s="146"/>
      <c r="DB93" s="146"/>
      <c r="DC93" s="153"/>
      <c r="DD93" s="153"/>
      <c r="DE93" s="145"/>
      <c r="DF93" s="145"/>
      <c r="DG93" s="145"/>
      <c r="DH93" s="158"/>
      <c r="DI93" s="145"/>
      <c r="DJ93" s="158"/>
      <c r="DK93" s="145"/>
      <c r="DL93" s="158"/>
      <c r="DM93" s="145"/>
      <c r="DN93" s="145"/>
      <c r="DO93" s="145"/>
      <c r="DP93" s="158"/>
      <c r="DQ93" s="145"/>
      <c r="DR93" s="145"/>
      <c r="DS93" s="145"/>
      <c r="DT93" s="145"/>
      <c r="DU93" s="145">
        <f>SUM(DV93:EE93)</f>
      </c>
      <c r="DV93" s="145"/>
      <c r="DW93" s="145"/>
      <c r="DX93" s="145"/>
      <c r="DY93" s="145"/>
      <c r="DZ93" s="146"/>
      <c r="EA93" s="158"/>
      <c r="EB93" s="146"/>
      <c r="EC93" s="145"/>
      <c r="ED93" s="145"/>
      <c r="EE93" s="155"/>
      <c r="EF93" s="145">
        <f>SUM(EG93:EH93)</f>
      </c>
      <c r="EG93" s="145"/>
      <c r="EH93" s="146"/>
      <c r="EI93" s="159" cm="1">
        <f t="array" ref="EI93">ROW()-ROW(Run[#Headers])</f>
        <v>87</v>
      </c>
    </row>
    <row r="94" spans="2:139" s="79" customFormat="1" ht="11.25" x14ac:dyDescent="0.2">
      <c r="B94" s="146"/>
      <c r="C94" s="155"/>
      <c r="D94" s="145"/>
      <c r="E94" s="152">
        <f>SUM(F94:AE94)</f>
      </c>
      <c r="F94" s="146"/>
      <c r="G94" s="146"/>
      <c r="H94" s="146"/>
      <c r="I94" s="146"/>
      <c r="J94" s="146"/>
      <c r="K94" s="156"/>
      <c r="L94" s="146"/>
      <c r="M94" s="146"/>
      <c r="N94" s="146"/>
      <c r="O94" s="146"/>
      <c r="P94" s="156"/>
      <c r="Q94" s="146"/>
      <c r="R94" s="146"/>
      <c r="S94" s="146"/>
      <c r="T94" s="156"/>
      <c r="U94" s="146"/>
      <c r="V94" s="146"/>
      <c r="W94" s="146"/>
      <c r="X94" s="146"/>
      <c r="Y94" s="146"/>
      <c r="Z94" s="146"/>
      <c r="AA94" s="146"/>
      <c r="AB94" s="146"/>
      <c r="AC94" s="157"/>
      <c r="AD94" s="157"/>
      <c r="AE94" s="157"/>
      <c r="AF94" s="158">
        <f>SUM(AG94:AJ94)</f>
      </c>
      <c r="AG94" s="146"/>
      <c r="AH94" s="145"/>
      <c r="AI94" s="145"/>
      <c r="AJ94" s="145"/>
      <c r="AK94" s="158">
        <f>SUM(AL94:AW94)</f>
      </c>
      <c r="AL94" s="146"/>
      <c r="AM94" s="145"/>
      <c r="AN94" s="145"/>
      <c r="AO94" s="145"/>
      <c r="AP94" s="145"/>
      <c r="AQ94" s="145"/>
      <c r="AR94" s="145"/>
      <c r="AS94" s="145"/>
      <c r="AT94" s="145"/>
      <c r="AU94" s="145"/>
      <c r="AV94" s="145"/>
      <c r="AW94" s="158"/>
      <c r="AX94" s="145"/>
      <c r="AY94" s="145"/>
      <c r="AZ94" s="145"/>
      <c r="BA94" s="158"/>
      <c r="BB94" s="145"/>
      <c r="BC94" s="145"/>
      <c r="BD94" s="158"/>
      <c r="BE94" s="146"/>
      <c r="BF94" s="145"/>
      <c r="BG94" s="145"/>
      <c r="BH94" s="158">
        <f>SUM(BI94:BK94)</f>
      </c>
      <c r="BI94" s="145"/>
      <c r="BJ94" s="145"/>
      <c r="BK94" s="145"/>
      <c r="BL94" s="145">
        <f>SUM(BM94:BR94)</f>
      </c>
      <c r="BM94" s="145"/>
      <c r="BN94" s="145"/>
      <c r="BO94" s="158"/>
      <c r="BP94" s="145"/>
      <c r="BQ94" s="145"/>
      <c r="BR94" s="145"/>
      <c r="BS94" s="145"/>
      <c r="BT94" s="145"/>
      <c r="BU94" s="158"/>
      <c r="BV94" s="146"/>
      <c r="BW94" s="145"/>
      <c r="BX94" s="145"/>
      <c r="BY94" s="158">
        <f>SUM(BZ94:CB94)</f>
      </c>
      <c r="BZ94" s="146"/>
      <c r="CA94" s="145"/>
      <c r="CB94" s="145"/>
      <c r="CC94" s="145">
        <f>SUM(CD94:CH94)</f>
      </c>
      <c r="CD94" s="145"/>
      <c r="CE94" s="158"/>
      <c r="CF94" s="145"/>
      <c r="CG94" s="145"/>
      <c r="CH94" s="145"/>
      <c r="CI94" s="158"/>
      <c r="CJ94" s="145"/>
      <c r="CK94" s="145"/>
      <c r="CL94" s="145"/>
      <c r="CM94" s="145"/>
      <c r="CN94" s="145"/>
      <c r="CO94" s="145"/>
      <c r="CP94" s="145"/>
      <c r="CQ94" s="158"/>
      <c r="CR94" s="146"/>
      <c r="CS94" s="158"/>
      <c r="CT94" s="158"/>
      <c r="CU94" s="158">
        <f>SUM(CV94:CV94)</f>
      </c>
      <c r="CV94" s="146"/>
      <c r="CW94" s="145"/>
      <c r="CX94" s="145"/>
      <c r="CY94" s="145">
        <f>SUM(CZ94:DE94)</f>
      </c>
      <c r="CZ94" s="145"/>
      <c r="DA94" s="146"/>
      <c r="DB94" s="146"/>
      <c r="DC94" s="153"/>
      <c r="DD94" s="153"/>
      <c r="DE94" s="145"/>
      <c r="DF94" s="145"/>
      <c r="DG94" s="145"/>
      <c r="DH94" s="158"/>
      <c r="DI94" s="145"/>
      <c r="DJ94" s="158"/>
      <c r="DK94" s="145"/>
      <c r="DL94" s="158"/>
      <c r="DM94" s="145"/>
      <c r="DN94" s="145"/>
      <c r="DO94" s="145"/>
      <c r="DP94" s="158"/>
      <c r="DQ94" s="145"/>
      <c r="DR94" s="145"/>
      <c r="DS94" s="145"/>
      <c r="DT94" s="145"/>
      <c r="DU94" s="145">
        <f>SUM(DV94:EE94)</f>
      </c>
      <c r="DV94" s="145"/>
      <c r="DW94" s="145"/>
      <c r="DX94" s="145"/>
      <c r="DY94" s="145"/>
      <c r="DZ94" s="146"/>
      <c r="EA94" s="158"/>
      <c r="EB94" s="146"/>
      <c r="EC94" s="145"/>
      <c r="ED94" s="145"/>
      <c r="EE94" s="155"/>
      <c r="EF94" s="145">
        <f>SUM(EG94:EH94)</f>
      </c>
      <c r="EG94" s="145"/>
      <c r="EH94" s="146"/>
      <c r="EI94" s="159" cm="1">
        <f t="array" ref="EI94">ROW()-ROW(Run[#Headers])</f>
        <v>88</v>
      </c>
    </row>
    <row r="95" spans="2:139" s="79" customFormat="1" ht="11.25" x14ac:dyDescent="0.2">
      <c r="B95" s="146"/>
      <c r="C95" s="155"/>
      <c r="D95" s="145"/>
      <c r="E95" s="152">
        <f>SUM(F95:AE95)</f>
      </c>
      <c r="F95" s="146"/>
      <c r="G95" s="146"/>
      <c r="H95" s="146"/>
      <c r="I95" s="146"/>
      <c r="J95" s="146"/>
      <c r="K95" s="156"/>
      <c r="L95" s="146"/>
      <c r="M95" s="146"/>
      <c r="N95" s="146"/>
      <c r="O95" s="146"/>
      <c r="P95" s="156"/>
      <c r="Q95" s="146"/>
      <c r="R95" s="146"/>
      <c r="S95" s="146"/>
      <c r="T95" s="156"/>
      <c r="U95" s="146"/>
      <c r="V95" s="146"/>
      <c r="W95" s="146"/>
      <c r="X95" s="146"/>
      <c r="Y95" s="146"/>
      <c r="Z95" s="146"/>
      <c r="AA95" s="146"/>
      <c r="AB95" s="146"/>
      <c r="AC95" s="157"/>
      <c r="AD95" s="157"/>
      <c r="AE95" s="157"/>
      <c r="AF95" s="158">
        <f>SUM(AG95:AJ95)</f>
      </c>
      <c r="AG95" s="146"/>
      <c r="AH95" s="145"/>
      <c r="AI95" s="145"/>
      <c r="AJ95" s="145"/>
      <c r="AK95" s="158">
        <f>SUM(AL95:AW95)</f>
      </c>
      <c r="AL95" s="146"/>
      <c r="AM95" s="145"/>
      <c r="AN95" s="145"/>
      <c r="AO95" s="145"/>
      <c r="AP95" s="145"/>
      <c r="AQ95" s="145"/>
      <c r="AR95" s="145"/>
      <c r="AS95" s="145"/>
      <c r="AT95" s="145"/>
      <c r="AU95" s="145"/>
      <c r="AV95" s="145"/>
      <c r="AW95" s="158"/>
      <c r="AX95" s="145"/>
      <c r="AY95" s="145"/>
      <c r="AZ95" s="145"/>
      <c r="BA95" s="158"/>
      <c r="BB95" s="145"/>
      <c r="BC95" s="145"/>
      <c r="BD95" s="158"/>
      <c r="BE95" s="146"/>
      <c r="BF95" s="145"/>
      <c r="BG95" s="145"/>
      <c r="BH95" s="158">
        <f>SUM(BI95:BK95)</f>
      </c>
      <c r="BI95" s="145"/>
      <c r="BJ95" s="145"/>
      <c r="BK95" s="145"/>
      <c r="BL95" s="145">
        <f>SUM(BM95:BR95)</f>
      </c>
      <c r="BM95" s="145"/>
      <c r="BN95" s="145"/>
      <c r="BO95" s="158"/>
      <c r="BP95" s="145"/>
      <c r="BQ95" s="145"/>
      <c r="BR95" s="145"/>
      <c r="BS95" s="145"/>
      <c r="BT95" s="145"/>
      <c r="BU95" s="158"/>
      <c r="BV95" s="146"/>
      <c r="BW95" s="145"/>
      <c r="BX95" s="145"/>
      <c r="BY95" s="158">
        <f>SUM(BZ95:CB95)</f>
      </c>
      <c r="BZ95" s="146"/>
      <c r="CA95" s="145"/>
      <c r="CB95" s="145"/>
      <c r="CC95" s="145">
        <f>SUM(CD95:CH95)</f>
      </c>
      <c r="CD95" s="145"/>
      <c r="CE95" s="158"/>
      <c r="CF95" s="145"/>
      <c r="CG95" s="145"/>
      <c r="CH95" s="145"/>
      <c r="CI95" s="158"/>
      <c r="CJ95" s="145"/>
      <c r="CK95" s="145"/>
      <c r="CL95" s="145"/>
      <c r="CM95" s="145"/>
      <c r="CN95" s="145"/>
      <c r="CO95" s="145"/>
      <c r="CP95" s="145"/>
      <c r="CQ95" s="158"/>
      <c r="CR95" s="146"/>
      <c r="CS95" s="158"/>
      <c r="CT95" s="158"/>
      <c r="CU95" s="158">
        <f>SUM(CV95:CV95)</f>
      </c>
      <c r="CV95" s="146"/>
      <c r="CW95" s="145"/>
      <c r="CX95" s="145"/>
      <c r="CY95" s="145">
        <f>SUM(CZ95:DE95)</f>
      </c>
      <c r="CZ95" s="145"/>
      <c r="DA95" s="146"/>
      <c r="DB95" s="146"/>
      <c r="DC95" s="153"/>
      <c r="DD95" s="153"/>
      <c r="DE95" s="145"/>
      <c r="DF95" s="145"/>
      <c r="DG95" s="145"/>
      <c r="DH95" s="158"/>
      <c r="DI95" s="145"/>
      <c r="DJ95" s="158"/>
      <c r="DK95" s="145"/>
      <c r="DL95" s="158"/>
      <c r="DM95" s="145"/>
      <c r="DN95" s="145"/>
      <c r="DO95" s="145"/>
      <c r="DP95" s="158"/>
      <c r="DQ95" s="145"/>
      <c r="DR95" s="145"/>
      <c r="DS95" s="145"/>
      <c r="DT95" s="145"/>
      <c r="DU95" s="145">
        <f>SUM(DV95:EE95)</f>
      </c>
      <c r="DV95" s="145"/>
      <c r="DW95" s="145"/>
      <c r="DX95" s="145"/>
      <c r="DY95" s="145"/>
      <c r="DZ95" s="146"/>
      <c r="EA95" s="158"/>
      <c r="EB95" s="146"/>
      <c r="EC95" s="145"/>
      <c r="ED95" s="145"/>
      <c r="EE95" s="155"/>
      <c r="EF95" s="145">
        <f>SUM(EG95:EH95)</f>
      </c>
      <c r="EG95" s="145"/>
      <c r="EH95" s="146"/>
      <c r="EI95" s="159" cm="1">
        <f t="array" ref="EI95">ROW()-ROW(Run[#Headers])</f>
        <v>89</v>
      </c>
    </row>
    <row r="96" spans="2:139" s="79" customFormat="1" ht="11.25" x14ac:dyDescent="0.2">
      <c r="B96" s="146"/>
      <c r="C96" s="155"/>
      <c r="D96" s="145"/>
      <c r="E96" s="152">
        <f>SUM(F96:AE96)</f>
      </c>
      <c r="F96" s="146"/>
      <c r="G96" s="146"/>
      <c r="H96" s="146"/>
      <c r="I96" s="146"/>
      <c r="J96" s="146"/>
      <c r="K96" s="156"/>
      <c r="L96" s="146"/>
      <c r="M96" s="146"/>
      <c r="N96" s="146"/>
      <c r="O96" s="146"/>
      <c r="P96" s="156"/>
      <c r="Q96" s="146"/>
      <c r="R96" s="146"/>
      <c r="S96" s="146"/>
      <c r="T96" s="156"/>
      <c r="U96" s="146"/>
      <c r="V96" s="146"/>
      <c r="W96" s="146"/>
      <c r="X96" s="146"/>
      <c r="Y96" s="146"/>
      <c r="Z96" s="146"/>
      <c r="AA96" s="146"/>
      <c r="AB96" s="146"/>
      <c r="AC96" s="157"/>
      <c r="AD96" s="157"/>
      <c r="AE96" s="157"/>
      <c r="AF96" s="158">
        <f>SUM(AG96:AJ96)</f>
      </c>
      <c r="AG96" s="146"/>
      <c r="AH96" s="145"/>
      <c r="AI96" s="145"/>
      <c r="AJ96" s="145"/>
      <c r="AK96" s="158">
        <f>SUM(AL96:AW96)</f>
      </c>
      <c r="AL96" s="146"/>
      <c r="AM96" s="145"/>
      <c r="AN96" s="145"/>
      <c r="AO96" s="145"/>
      <c r="AP96" s="145"/>
      <c r="AQ96" s="145"/>
      <c r="AR96" s="145"/>
      <c r="AS96" s="145"/>
      <c r="AT96" s="145"/>
      <c r="AU96" s="145"/>
      <c r="AV96" s="145"/>
      <c r="AW96" s="158"/>
      <c r="AX96" s="145"/>
      <c r="AY96" s="145"/>
      <c r="AZ96" s="145"/>
      <c r="BA96" s="158"/>
      <c r="BB96" s="145"/>
      <c r="BC96" s="145"/>
      <c r="BD96" s="158"/>
      <c r="BE96" s="146"/>
      <c r="BF96" s="145"/>
      <c r="BG96" s="145"/>
      <c r="BH96" s="158">
        <f>SUM(BI96:BK96)</f>
      </c>
      <c r="BI96" s="145"/>
      <c r="BJ96" s="145"/>
      <c r="BK96" s="145"/>
      <c r="BL96" s="145">
        <f>SUM(BM96:BR96)</f>
      </c>
      <c r="BM96" s="145"/>
      <c r="BN96" s="145"/>
      <c r="BO96" s="158"/>
      <c r="BP96" s="145"/>
      <c r="BQ96" s="145"/>
      <c r="BR96" s="145"/>
      <c r="BS96" s="145"/>
      <c r="BT96" s="145"/>
      <c r="BU96" s="158"/>
      <c r="BV96" s="146"/>
      <c r="BW96" s="145"/>
      <c r="BX96" s="145"/>
      <c r="BY96" s="158">
        <f>SUM(BZ96:CB96)</f>
      </c>
      <c r="BZ96" s="146"/>
      <c r="CA96" s="145"/>
      <c r="CB96" s="145"/>
      <c r="CC96" s="145">
        <f>SUM(CD96:CH96)</f>
      </c>
      <c r="CD96" s="145"/>
      <c r="CE96" s="158"/>
      <c r="CF96" s="145"/>
      <c r="CG96" s="145"/>
      <c r="CH96" s="145"/>
      <c r="CI96" s="158"/>
      <c r="CJ96" s="145"/>
      <c r="CK96" s="145"/>
      <c r="CL96" s="145"/>
      <c r="CM96" s="145"/>
      <c r="CN96" s="145"/>
      <c r="CO96" s="145"/>
      <c r="CP96" s="145"/>
      <c r="CQ96" s="158"/>
      <c r="CR96" s="146"/>
      <c r="CS96" s="158"/>
      <c r="CT96" s="158"/>
      <c r="CU96" s="158">
        <f>SUM(CV96:CV96)</f>
      </c>
      <c r="CV96" s="146"/>
      <c r="CW96" s="145"/>
      <c r="CX96" s="145"/>
      <c r="CY96" s="145">
        <f>SUM(CZ96:DE96)</f>
      </c>
      <c r="CZ96" s="145"/>
      <c r="DA96" s="146"/>
      <c r="DB96" s="146"/>
      <c r="DC96" s="153"/>
      <c r="DD96" s="153"/>
      <c r="DE96" s="145"/>
      <c r="DF96" s="145"/>
      <c r="DG96" s="145"/>
      <c r="DH96" s="158"/>
      <c r="DI96" s="145"/>
      <c r="DJ96" s="158"/>
      <c r="DK96" s="145"/>
      <c r="DL96" s="158"/>
      <c r="DM96" s="145"/>
      <c r="DN96" s="145"/>
      <c r="DO96" s="145"/>
      <c r="DP96" s="158"/>
      <c r="DQ96" s="145"/>
      <c r="DR96" s="145"/>
      <c r="DS96" s="145"/>
      <c r="DT96" s="145"/>
      <c r="DU96" s="145">
        <f>SUM(DV96:EE96)</f>
      </c>
      <c r="DV96" s="145"/>
      <c r="DW96" s="145"/>
      <c r="DX96" s="145"/>
      <c r="DY96" s="145"/>
      <c r="DZ96" s="146"/>
      <c r="EA96" s="158"/>
      <c r="EB96" s="146"/>
      <c r="EC96" s="145"/>
      <c r="ED96" s="145"/>
      <c r="EE96" s="155"/>
      <c r="EF96" s="145">
        <f>SUM(EG96:EH96)</f>
      </c>
      <c r="EG96" s="145"/>
      <c r="EH96" s="146"/>
      <c r="EI96" s="159" cm="1">
        <f t="array" ref="EI96">ROW()-ROW(Run[#Headers])</f>
        <v>90</v>
      </c>
    </row>
    <row r="97" spans="2:139" s="79" customFormat="1" ht="11.25" x14ac:dyDescent="0.2">
      <c r="B97" s="146"/>
      <c r="C97" s="155"/>
      <c r="D97" s="145"/>
      <c r="E97" s="152">
        <f>SUM(F97:AE97)</f>
      </c>
      <c r="F97" s="146"/>
      <c r="G97" s="146"/>
      <c r="H97" s="146"/>
      <c r="I97" s="146"/>
      <c r="J97" s="146"/>
      <c r="K97" s="156"/>
      <c r="L97" s="146"/>
      <c r="M97" s="146"/>
      <c r="N97" s="146"/>
      <c r="O97" s="146"/>
      <c r="P97" s="156"/>
      <c r="Q97" s="146"/>
      <c r="R97" s="146"/>
      <c r="S97" s="146"/>
      <c r="T97" s="156"/>
      <c r="U97" s="146"/>
      <c r="V97" s="146"/>
      <c r="W97" s="146"/>
      <c r="X97" s="146"/>
      <c r="Y97" s="146"/>
      <c r="Z97" s="146"/>
      <c r="AA97" s="146"/>
      <c r="AB97" s="146"/>
      <c r="AC97" s="157"/>
      <c r="AD97" s="157"/>
      <c r="AE97" s="157"/>
      <c r="AF97" s="158">
        <f>SUM(AG97:AJ97)</f>
      </c>
      <c r="AG97" s="146"/>
      <c r="AH97" s="145"/>
      <c r="AI97" s="145"/>
      <c r="AJ97" s="145"/>
      <c r="AK97" s="158">
        <f>SUM(AL97:AW97)</f>
      </c>
      <c r="AL97" s="146"/>
      <c r="AM97" s="145"/>
      <c r="AN97" s="145"/>
      <c r="AO97" s="145"/>
      <c r="AP97" s="145"/>
      <c r="AQ97" s="145"/>
      <c r="AR97" s="145"/>
      <c r="AS97" s="145"/>
      <c r="AT97" s="145"/>
      <c r="AU97" s="145"/>
      <c r="AV97" s="145"/>
      <c r="AW97" s="158"/>
      <c r="AX97" s="145"/>
      <c r="AY97" s="145"/>
      <c r="AZ97" s="145"/>
      <c r="BA97" s="158"/>
      <c r="BB97" s="145"/>
      <c r="BC97" s="145"/>
      <c r="BD97" s="158"/>
      <c r="BE97" s="146"/>
      <c r="BF97" s="145"/>
      <c r="BG97" s="145"/>
      <c r="BH97" s="158">
        <f>SUM(BI97:BK97)</f>
      </c>
      <c r="BI97" s="145"/>
      <c r="BJ97" s="145"/>
      <c r="BK97" s="145"/>
      <c r="BL97" s="145">
        <f>SUM(BM97:BR97)</f>
      </c>
      <c r="BM97" s="145"/>
      <c r="BN97" s="145"/>
      <c r="BO97" s="158"/>
      <c r="BP97" s="145"/>
      <c r="BQ97" s="145"/>
      <c r="BR97" s="145"/>
      <c r="BS97" s="145"/>
      <c r="BT97" s="145"/>
      <c r="BU97" s="158"/>
      <c r="BV97" s="146"/>
      <c r="BW97" s="145"/>
      <c r="BX97" s="145"/>
      <c r="BY97" s="158">
        <f>SUM(BZ97:CB97)</f>
      </c>
      <c r="BZ97" s="146"/>
      <c r="CA97" s="145"/>
      <c r="CB97" s="145"/>
      <c r="CC97" s="145">
        <f>SUM(CD97:CH97)</f>
      </c>
      <c r="CD97" s="145"/>
      <c r="CE97" s="158"/>
      <c r="CF97" s="145"/>
      <c r="CG97" s="145"/>
      <c r="CH97" s="145"/>
      <c r="CI97" s="158"/>
      <c r="CJ97" s="145"/>
      <c r="CK97" s="145"/>
      <c r="CL97" s="145"/>
      <c r="CM97" s="145"/>
      <c r="CN97" s="145"/>
      <c r="CO97" s="145"/>
      <c r="CP97" s="145"/>
      <c r="CQ97" s="158"/>
      <c r="CR97" s="146"/>
      <c r="CS97" s="158"/>
      <c r="CT97" s="158"/>
      <c r="CU97" s="158">
        <f>SUM(CV97:CV97)</f>
      </c>
      <c r="CV97" s="146"/>
      <c r="CW97" s="145"/>
      <c r="CX97" s="145"/>
      <c r="CY97" s="145">
        <f>SUM(CZ97:DE97)</f>
      </c>
      <c r="CZ97" s="145"/>
      <c r="DA97" s="146"/>
      <c r="DB97" s="146"/>
      <c r="DC97" s="153"/>
      <c r="DD97" s="153"/>
      <c r="DE97" s="145"/>
      <c r="DF97" s="145"/>
      <c r="DG97" s="145"/>
      <c r="DH97" s="158"/>
      <c r="DI97" s="145"/>
      <c r="DJ97" s="158"/>
      <c r="DK97" s="145"/>
      <c r="DL97" s="158"/>
      <c r="DM97" s="145"/>
      <c r="DN97" s="145"/>
      <c r="DO97" s="145"/>
      <c r="DP97" s="158"/>
      <c r="DQ97" s="145"/>
      <c r="DR97" s="145"/>
      <c r="DS97" s="145"/>
      <c r="DT97" s="145"/>
      <c r="DU97" s="145">
        <f>SUM(DV97:EE97)</f>
      </c>
      <c r="DV97" s="145"/>
      <c r="DW97" s="145"/>
      <c r="DX97" s="145"/>
      <c r="DY97" s="145"/>
      <c r="DZ97" s="146"/>
      <c r="EA97" s="158"/>
      <c r="EB97" s="146"/>
      <c r="EC97" s="145"/>
      <c r="ED97" s="145"/>
      <c r="EE97" s="155"/>
      <c r="EF97" s="145">
        <f>SUM(EG97:EH97)</f>
      </c>
      <c r="EG97" s="145"/>
      <c r="EH97" s="146"/>
      <c r="EI97" s="159" cm="1">
        <f t="array" ref="EI97">ROW()-ROW(Run[#Headers])</f>
        <v>91</v>
      </c>
    </row>
    <row r="98" spans="2:139" s="79" customFormat="1" ht="11.25" x14ac:dyDescent="0.2">
      <c r="B98" s="146"/>
      <c r="C98" s="155"/>
      <c r="D98" s="145"/>
      <c r="E98" s="152">
        <f>SUM(F98:AE98)</f>
      </c>
      <c r="F98" s="146"/>
      <c r="G98" s="146"/>
      <c r="H98" s="146"/>
      <c r="I98" s="146"/>
      <c r="J98" s="146"/>
      <c r="K98" s="156"/>
      <c r="L98" s="146"/>
      <c r="M98" s="146"/>
      <c r="N98" s="146"/>
      <c r="O98" s="146"/>
      <c r="P98" s="156"/>
      <c r="Q98" s="146"/>
      <c r="R98" s="146"/>
      <c r="S98" s="146"/>
      <c r="T98" s="156"/>
      <c r="U98" s="146"/>
      <c r="V98" s="146"/>
      <c r="W98" s="146"/>
      <c r="X98" s="146"/>
      <c r="Y98" s="146"/>
      <c r="Z98" s="146"/>
      <c r="AA98" s="146"/>
      <c r="AB98" s="146"/>
      <c r="AC98" s="157"/>
      <c r="AD98" s="157"/>
      <c r="AE98" s="157"/>
      <c r="AF98" s="158">
        <f>SUM(AG98:AJ98)</f>
      </c>
      <c r="AG98" s="146"/>
      <c r="AH98" s="145"/>
      <c r="AI98" s="145"/>
      <c r="AJ98" s="145"/>
      <c r="AK98" s="158">
        <f>SUM(AL98:AW98)</f>
      </c>
      <c r="AL98" s="146"/>
      <c r="AM98" s="145"/>
      <c r="AN98" s="145"/>
      <c r="AO98" s="145"/>
      <c r="AP98" s="145"/>
      <c r="AQ98" s="145"/>
      <c r="AR98" s="145"/>
      <c r="AS98" s="145"/>
      <c r="AT98" s="145"/>
      <c r="AU98" s="145"/>
      <c r="AV98" s="145"/>
      <c r="AW98" s="158"/>
      <c r="AX98" s="145"/>
      <c r="AY98" s="145"/>
      <c r="AZ98" s="145"/>
      <c r="BA98" s="158"/>
      <c r="BB98" s="145"/>
      <c r="BC98" s="145"/>
      <c r="BD98" s="158"/>
      <c r="BE98" s="146"/>
      <c r="BF98" s="145"/>
      <c r="BG98" s="145"/>
      <c r="BH98" s="158">
        <f>SUM(BI98:BK98)</f>
      </c>
      <c r="BI98" s="145"/>
      <c r="BJ98" s="145"/>
      <c r="BK98" s="145"/>
      <c r="BL98" s="145">
        <f>SUM(BM98:BR98)</f>
      </c>
      <c r="BM98" s="145"/>
      <c r="BN98" s="145"/>
      <c r="BO98" s="158"/>
      <c r="BP98" s="145"/>
      <c r="BQ98" s="145"/>
      <c r="BR98" s="145"/>
      <c r="BS98" s="145"/>
      <c r="BT98" s="145"/>
      <c r="BU98" s="158"/>
      <c r="BV98" s="146"/>
      <c r="BW98" s="145"/>
      <c r="BX98" s="145"/>
      <c r="BY98" s="158">
        <f>SUM(BZ98:CB98)</f>
      </c>
      <c r="BZ98" s="146"/>
      <c r="CA98" s="145"/>
      <c r="CB98" s="145"/>
      <c r="CC98" s="145">
        <f>SUM(CD98:CH98)</f>
      </c>
      <c r="CD98" s="145"/>
      <c r="CE98" s="158"/>
      <c r="CF98" s="145"/>
      <c r="CG98" s="145"/>
      <c r="CH98" s="145"/>
      <c r="CI98" s="158"/>
      <c r="CJ98" s="145"/>
      <c r="CK98" s="145"/>
      <c r="CL98" s="145"/>
      <c r="CM98" s="145"/>
      <c r="CN98" s="145"/>
      <c r="CO98" s="145"/>
      <c r="CP98" s="145"/>
      <c r="CQ98" s="158"/>
      <c r="CR98" s="146"/>
      <c r="CS98" s="158"/>
      <c r="CT98" s="158"/>
      <c r="CU98" s="158">
        <f>SUM(CV98:CV98)</f>
      </c>
      <c r="CV98" s="146"/>
      <c r="CW98" s="145"/>
      <c r="CX98" s="145"/>
      <c r="CY98" s="145">
        <f>SUM(CZ98:DE98)</f>
      </c>
      <c r="CZ98" s="145"/>
      <c r="DA98" s="146"/>
      <c r="DB98" s="146"/>
      <c r="DC98" s="153"/>
      <c r="DD98" s="153"/>
      <c r="DE98" s="145"/>
      <c r="DF98" s="145"/>
      <c r="DG98" s="145"/>
      <c r="DH98" s="158"/>
      <c r="DI98" s="145"/>
      <c r="DJ98" s="158"/>
      <c r="DK98" s="145"/>
      <c r="DL98" s="158"/>
      <c r="DM98" s="145"/>
      <c r="DN98" s="145"/>
      <c r="DO98" s="145"/>
      <c r="DP98" s="158"/>
      <c r="DQ98" s="145"/>
      <c r="DR98" s="145"/>
      <c r="DS98" s="145"/>
      <c r="DT98" s="145"/>
      <c r="DU98" s="145">
        <f>SUM(DV98:EE98)</f>
      </c>
      <c r="DV98" s="145"/>
      <c r="DW98" s="145"/>
      <c r="DX98" s="145"/>
      <c r="DY98" s="145"/>
      <c r="DZ98" s="146"/>
      <c r="EA98" s="158"/>
      <c r="EB98" s="146"/>
      <c r="EC98" s="145"/>
      <c r="ED98" s="145"/>
      <c r="EE98" s="155"/>
      <c r="EF98" s="145">
        <f>SUM(EG98:EH98)</f>
      </c>
      <c r="EG98" s="145"/>
      <c r="EH98" s="146"/>
      <c r="EI98" s="159" cm="1">
        <f t="array" ref="EI98">ROW()-ROW(Run[#Headers])</f>
        <v>92</v>
      </c>
    </row>
    <row r="99" spans="2:139" s="79" customFormat="1" ht="11.25" x14ac:dyDescent="0.2">
      <c r="B99" s="146"/>
      <c r="C99" s="155"/>
      <c r="D99" s="145"/>
      <c r="E99" s="152">
        <f>SUM(F99:AE99)</f>
      </c>
      <c r="F99" s="146"/>
      <c r="G99" s="146"/>
      <c r="H99" s="146"/>
      <c r="I99" s="146"/>
      <c r="J99" s="146"/>
      <c r="K99" s="156"/>
      <c r="L99" s="146"/>
      <c r="M99" s="146"/>
      <c r="N99" s="146"/>
      <c r="O99" s="146"/>
      <c r="P99" s="156"/>
      <c r="Q99" s="146"/>
      <c r="R99" s="146"/>
      <c r="S99" s="146"/>
      <c r="T99" s="156"/>
      <c r="U99" s="146"/>
      <c r="V99" s="146"/>
      <c r="W99" s="146"/>
      <c r="X99" s="146"/>
      <c r="Y99" s="146"/>
      <c r="Z99" s="146"/>
      <c r="AA99" s="146"/>
      <c r="AB99" s="146"/>
      <c r="AC99" s="157"/>
      <c r="AD99" s="157"/>
      <c r="AE99" s="157"/>
      <c r="AF99" s="158">
        <f>SUM(AG99:AJ99)</f>
      </c>
      <c r="AG99" s="146"/>
      <c r="AH99" s="145"/>
      <c r="AI99" s="145"/>
      <c r="AJ99" s="145"/>
      <c r="AK99" s="158">
        <f>SUM(AL99:AW99)</f>
      </c>
      <c r="AL99" s="146"/>
      <c r="AM99" s="145"/>
      <c r="AN99" s="145"/>
      <c r="AO99" s="145"/>
      <c r="AP99" s="145"/>
      <c r="AQ99" s="145"/>
      <c r="AR99" s="145"/>
      <c r="AS99" s="145"/>
      <c r="AT99" s="145"/>
      <c r="AU99" s="145"/>
      <c r="AV99" s="145"/>
      <c r="AW99" s="158"/>
      <c r="AX99" s="145"/>
      <c r="AY99" s="145"/>
      <c r="AZ99" s="145"/>
      <c r="BA99" s="158"/>
      <c r="BB99" s="145"/>
      <c r="BC99" s="145"/>
      <c r="BD99" s="158"/>
      <c r="BE99" s="146"/>
      <c r="BF99" s="145"/>
      <c r="BG99" s="145"/>
      <c r="BH99" s="158">
        <f>SUM(BI99:BK99)</f>
      </c>
      <c r="BI99" s="145"/>
      <c r="BJ99" s="145"/>
      <c r="BK99" s="145"/>
      <c r="BL99" s="145">
        <f>SUM(BM99:BR99)</f>
      </c>
      <c r="BM99" s="145"/>
      <c r="BN99" s="145"/>
      <c r="BO99" s="158"/>
      <c r="BP99" s="145"/>
      <c r="BQ99" s="145"/>
      <c r="BR99" s="145"/>
      <c r="BS99" s="145"/>
      <c r="BT99" s="145"/>
      <c r="BU99" s="158"/>
      <c r="BV99" s="146"/>
      <c r="BW99" s="145"/>
      <c r="BX99" s="145"/>
      <c r="BY99" s="158">
        <f>SUM(BZ99:CB99)</f>
      </c>
      <c r="BZ99" s="146"/>
      <c r="CA99" s="145"/>
      <c r="CB99" s="145"/>
      <c r="CC99" s="145">
        <f>SUM(CD99:CH99)</f>
      </c>
      <c r="CD99" s="145"/>
      <c r="CE99" s="158"/>
      <c r="CF99" s="145"/>
      <c r="CG99" s="145"/>
      <c r="CH99" s="145"/>
      <c r="CI99" s="158"/>
      <c r="CJ99" s="145"/>
      <c r="CK99" s="145"/>
      <c r="CL99" s="145"/>
      <c r="CM99" s="145"/>
      <c r="CN99" s="145"/>
      <c r="CO99" s="145"/>
      <c r="CP99" s="145"/>
      <c r="CQ99" s="158"/>
      <c r="CR99" s="146"/>
      <c r="CS99" s="158"/>
      <c r="CT99" s="158"/>
      <c r="CU99" s="158">
        <f>SUM(CV99:CV99)</f>
      </c>
      <c r="CV99" s="146"/>
      <c r="CW99" s="145"/>
      <c r="CX99" s="145"/>
      <c r="CY99" s="145">
        <f>SUM(CZ99:DE99)</f>
      </c>
      <c r="CZ99" s="145"/>
      <c r="DA99" s="146"/>
      <c r="DB99" s="146"/>
      <c r="DC99" s="153"/>
      <c r="DD99" s="153"/>
      <c r="DE99" s="145"/>
      <c r="DF99" s="145"/>
      <c r="DG99" s="145"/>
      <c r="DH99" s="158"/>
      <c r="DI99" s="145"/>
      <c r="DJ99" s="158"/>
      <c r="DK99" s="145"/>
      <c r="DL99" s="158"/>
      <c r="DM99" s="145"/>
      <c r="DN99" s="145"/>
      <c r="DO99" s="145"/>
      <c r="DP99" s="158"/>
      <c r="DQ99" s="145"/>
      <c r="DR99" s="145"/>
      <c r="DS99" s="145"/>
      <c r="DT99" s="145"/>
      <c r="DU99" s="145">
        <f>SUM(DV99:EE99)</f>
      </c>
      <c r="DV99" s="145"/>
      <c r="DW99" s="145"/>
      <c r="DX99" s="145"/>
      <c r="DY99" s="145"/>
      <c r="DZ99" s="146"/>
      <c r="EA99" s="158"/>
      <c r="EB99" s="146"/>
      <c r="EC99" s="145"/>
      <c r="ED99" s="145"/>
      <c r="EE99" s="155"/>
      <c r="EF99" s="145">
        <f>SUM(EG99:EH99)</f>
      </c>
      <c r="EG99" s="145"/>
      <c r="EH99" s="146"/>
      <c r="EI99" s="159" cm="1">
        <f t="array" ref="EI99">ROW()-ROW(Run[#Headers])</f>
        <v>93</v>
      </c>
    </row>
    <row r="100" spans="2:139" s="79" customFormat="1" ht="11.25" x14ac:dyDescent="0.2">
      <c r="B100" s="146"/>
      <c r="C100" s="155"/>
      <c r="D100" s="145"/>
      <c r="E100" s="152">
        <f>SUM(F100:AE100)</f>
      </c>
      <c r="F100" s="146"/>
      <c r="G100" s="146"/>
      <c r="H100" s="146"/>
      <c r="I100" s="146"/>
      <c r="J100" s="146"/>
      <c r="K100" s="156"/>
      <c r="L100" s="146"/>
      <c r="M100" s="146"/>
      <c r="N100" s="146"/>
      <c r="O100" s="146"/>
      <c r="P100" s="156"/>
      <c r="Q100" s="146"/>
      <c r="R100" s="146"/>
      <c r="S100" s="146"/>
      <c r="T100" s="156"/>
      <c r="U100" s="146"/>
      <c r="V100" s="146"/>
      <c r="W100" s="146"/>
      <c r="X100" s="146"/>
      <c r="Y100" s="146"/>
      <c r="Z100" s="146"/>
      <c r="AA100" s="146"/>
      <c r="AB100" s="146"/>
      <c r="AC100" s="157"/>
      <c r="AD100" s="157"/>
      <c r="AE100" s="157"/>
      <c r="AF100" s="158">
        <f>SUM(AG100:AJ100)</f>
      </c>
      <c r="AG100" s="146"/>
      <c r="AH100" s="145"/>
      <c r="AI100" s="145"/>
      <c r="AJ100" s="145"/>
      <c r="AK100" s="158">
        <f>SUM(AL100:AW100)</f>
      </c>
      <c r="AL100" s="146"/>
      <c r="AM100" s="145"/>
      <c r="AN100" s="145"/>
      <c r="AO100" s="145"/>
      <c r="AP100" s="145"/>
      <c r="AQ100" s="145"/>
      <c r="AR100" s="145"/>
      <c r="AS100" s="145"/>
      <c r="AT100" s="145"/>
      <c r="AU100" s="145"/>
      <c r="AV100" s="145"/>
      <c r="AW100" s="158"/>
      <c r="AX100" s="145"/>
      <c r="AY100" s="145"/>
      <c r="AZ100" s="145"/>
      <c r="BA100" s="158"/>
      <c r="BB100" s="145"/>
      <c r="BC100" s="145"/>
      <c r="BD100" s="158"/>
      <c r="BE100" s="146"/>
      <c r="BF100" s="145"/>
      <c r="BG100" s="145"/>
      <c r="BH100" s="158">
        <f>SUM(BI100:BK100)</f>
      </c>
      <c r="BI100" s="145"/>
      <c r="BJ100" s="145"/>
      <c r="BK100" s="145"/>
      <c r="BL100" s="145">
        <f>SUM(BM100:BR100)</f>
      </c>
      <c r="BM100" s="145"/>
      <c r="BN100" s="145"/>
      <c r="BO100" s="158"/>
      <c r="BP100" s="145"/>
      <c r="BQ100" s="145"/>
      <c r="BR100" s="145"/>
      <c r="BS100" s="145"/>
      <c r="BT100" s="145"/>
      <c r="BU100" s="158"/>
      <c r="BV100" s="146"/>
      <c r="BW100" s="145"/>
      <c r="BX100" s="145"/>
      <c r="BY100" s="158">
        <f>SUM(BZ100:CB100)</f>
      </c>
      <c r="BZ100" s="146"/>
      <c r="CA100" s="145"/>
      <c r="CB100" s="145"/>
      <c r="CC100" s="145">
        <f>SUM(CD100:CH100)</f>
      </c>
      <c r="CD100" s="145"/>
      <c r="CE100" s="158"/>
      <c r="CF100" s="145"/>
      <c r="CG100" s="145"/>
      <c r="CH100" s="145"/>
      <c r="CI100" s="158"/>
      <c r="CJ100" s="145"/>
      <c r="CK100" s="145"/>
      <c r="CL100" s="145"/>
      <c r="CM100" s="145"/>
      <c r="CN100" s="145"/>
      <c r="CO100" s="145"/>
      <c r="CP100" s="145"/>
      <c r="CQ100" s="158"/>
      <c r="CR100" s="146"/>
      <c r="CS100" s="158"/>
      <c r="CT100" s="158"/>
      <c r="CU100" s="158">
        <f>SUM(CV100:CV100)</f>
      </c>
      <c r="CV100" s="146"/>
      <c r="CW100" s="145"/>
      <c r="CX100" s="145"/>
      <c r="CY100" s="145">
        <f>SUM(CZ100:DE100)</f>
      </c>
      <c r="CZ100" s="145"/>
      <c r="DA100" s="146"/>
      <c r="DB100" s="146"/>
      <c r="DC100" s="153"/>
      <c r="DD100" s="153"/>
      <c r="DE100" s="145"/>
      <c r="DF100" s="145"/>
      <c r="DG100" s="145"/>
      <c r="DH100" s="158"/>
      <c r="DI100" s="145"/>
      <c r="DJ100" s="158"/>
      <c r="DK100" s="145"/>
      <c r="DL100" s="158"/>
      <c r="DM100" s="145"/>
      <c r="DN100" s="145"/>
      <c r="DO100" s="145"/>
      <c r="DP100" s="158"/>
      <c r="DQ100" s="145"/>
      <c r="DR100" s="145"/>
      <c r="DS100" s="145"/>
      <c r="DT100" s="145"/>
      <c r="DU100" s="145">
        <f>SUM(DV100:EE100)</f>
      </c>
      <c r="DV100" s="145"/>
      <c r="DW100" s="145"/>
      <c r="DX100" s="145"/>
      <c r="DY100" s="145"/>
      <c r="DZ100" s="146"/>
      <c r="EA100" s="158"/>
      <c r="EB100" s="146"/>
      <c r="EC100" s="145"/>
      <c r="ED100" s="145"/>
      <c r="EE100" s="155"/>
      <c r="EF100" s="145">
        <f>SUM(EG100:EH100)</f>
      </c>
      <c r="EG100" s="145"/>
      <c r="EH100" s="146"/>
      <c r="EI100" s="159" cm="1">
        <f t="array" ref="EI100">ROW()-ROW(Run[#Headers])</f>
        <v>94</v>
      </c>
    </row>
    <row r="101" spans="2:139" s="79" customFormat="1" ht="11.25" x14ac:dyDescent="0.2">
      <c r="B101" s="146"/>
      <c r="C101" s="155"/>
      <c r="D101" s="145"/>
      <c r="E101" s="152">
        <f>SUM(F101:AE101)</f>
      </c>
      <c r="F101" s="146"/>
      <c r="G101" s="146"/>
      <c r="H101" s="146"/>
      <c r="I101" s="146"/>
      <c r="J101" s="146"/>
      <c r="K101" s="156"/>
      <c r="L101" s="146"/>
      <c r="M101" s="146"/>
      <c r="N101" s="146"/>
      <c r="O101" s="146"/>
      <c r="P101" s="156"/>
      <c r="Q101" s="146"/>
      <c r="R101" s="146"/>
      <c r="S101" s="146"/>
      <c r="T101" s="156"/>
      <c r="U101" s="146"/>
      <c r="V101" s="146"/>
      <c r="W101" s="146"/>
      <c r="X101" s="146"/>
      <c r="Y101" s="146"/>
      <c r="Z101" s="146"/>
      <c r="AA101" s="146"/>
      <c r="AB101" s="146"/>
      <c r="AC101" s="157"/>
      <c r="AD101" s="157"/>
      <c r="AE101" s="157"/>
      <c r="AF101" s="158">
        <f>SUM(AG101:AJ101)</f>
      </c>
      <c r="AG101" s="146"/>
      <c r="AH101" s="145"/>
      <c r="AI101" s="145"/>
      <c r="AJ101" s="145"/>
      <c r="AK101" s="158">
        <f>SUM(AL101:AW101)</f>
      </c>
      <c r="AL101" s="146"/>
      <c r="AM101" s="145"/>
      <c r="AN101" s="145"/>
      <c r="AO101" s="145"/>
      <c r="AP101" s="145"/>
      <c r="AQ101" s="145"/>
      <c r="AR101" s="145"/>
      <c r="AS101" s="145"/>
      <c r="AT101" s="145"/>
      <c r="AU101" s="145"/>
      <c r="AV101" s="145"/>
      <c r="AW101" s="158"/>
      <c r="AX101" s="145"/>
      <c r="AY101" s="145"/>
      <c r="AZ101" s="145"/>
      <c r="BA101" s="158"/>
      <c r="BB101" s="145"/>
      <c r="BC101" s="145"/>
      <c r="BD101" s="158"/>
      <c r="BE101" s="146"/>
      <c r="BF101" s="145"/>
      <c r="BG101" s="145"/>
      <c r="BH101" s="158">
        <f>SUM(BI101:BK101)</f>
      </c>
      <c r="BI101" s="145"/>
      <c r="BJ101" s="145"/>
      <c r="BK101" s="145"/>
      <c r="BL101" s="145">
        <f>SUM(BM101:BR101)</f>
      </c>
      <c r="BM101" s="145"/>
      <c r="BN101" s="145"/>
      <c r="BO101" s="158"/>
      <c r="BP101" s="145"/>
      <c r="BQ101" s="145"/>
      <c r="BR101" s="145"/>
      <c r="BS101" s="145"/>
      <c r="BT101" s="145"/>
      <c r="BU101" s="158"/>
      <c r="BV101" s="146"/>
      <c r="BW101" s="145"/>
      <c r="BX101" s="145"/>
      <c r="BY101" s="158">
        <f>SUM(BZ101:CB101)</f>
      </c>
      <c r="BZ101" s="146"/>
      <c r="CA101" s="145"/>
      <c r="CB101" s="145"/>
      <c r="CC101" s="145">
        <f>SUM(CD101:CH101)</f>
      </c>
      <c r="CD101" s="145"/>
      <c r="CE101" s="158"/>
      <c r="CF101" s="145"/>
      <c r="CG101" s="145"/>
      <c r="CH101" s="145"/>
      <c r="CI101" s="158"/>
      <c r="CJ101" s="145"/>
      <c r="CK101" s="145"/>
      <c r="CL101" s="145"/>
      <c r="CM101" s="145"/>
      <c r="CN101" s="145"/>
      <c r="CO101" s="145"/>
      <c r="CP101" s="145"/>
      <c r="CQ101" s="158"/>
      <c r="CR101" s="146"/>
      <c r="CS101" s="158"/>
      <c r="CT101" s="158"/>
      <c r="CU101" s="158">
        <f>SUM(CV101:CV101)</f>
      </c>
      <c r="CV101" s="146"/>
      <c r="CW101" s="145"/>
      <c r="CX101" s="145"/>
      <c r="CY101" s="145">
        <f>SUM(CZ101:DE101)</f>
      </c>
      <c r="CZ101" s="145"/>
      <c r="DA101" s="146"/>
      <c r="DB101" s="146"/>
      <c r="DC101" s="153"/>
      <c r="DD101" s="153"/>
      <c r="DE101" s="145"/>
      <c r="DF101" s="145"/>
      <c r="DG101" s="145"/>
      <c r="DH101" s="158"/>
      <c r="DI101" s="145"/>
      <c r="DJ101" s="158"/>
      <c r="DK101" s="145"/>
      <c r="DL101" s="158"/>
      <c r="DM101" s="145"/>
      <c r="DN101" s="145"/>
      <c r="DO101" s="145"/>
      <c r="DP101" s="158"/>
      <c r="DQ101" s="145"/>
      <c r="DR101" s="145"/>
      <c r="DS101" s="145"/>
      <c r="DT101" s="145"/>
      <c r="DU101" s="145">
        <f>SUM(DV101:EE101)</f>
      </c>
      <c r="DV101" s="145"/>
      <c r="DW101" s="145"/>
      <c r="DX101" s="145"/>
      <c r="DY101" s="145"/>
      <c r="DZ101" s="146"/>
      <c r="EA101" s="158"/>
      <c r="EB101" s="146"/>
      <c r="EC101" s="145"/>
      <c r="ED101" s="145"/>
      <c r="EE101" s="155"/>
      <c r="EF101" s="145">
        <f>SUM(EG101:EH101)</f>
      </c>
      <c r="EG101" s="145"/>
      <c r="EH101" s="146"/>
      <c r="EI101" s="159" cm="1">
        <f t="array" ref="EI101">ROW()-ROW(Run[#Headers])</f>
        <v>95</v>
      </c>
    </row>
    <row r="102" spans="2:139" s="79" customFormat="1" ht="11.25" x14ac:dyDescent="0.2">
      <c r="B102" s="146"/>
      <c r="C102" s="155"/>
      <c r="D102" s="145"/>
      <c r="E102" s="152">
        <f>SUM(F102:AE102)</f>
      </c>
      <c r="F102" s="146"/>
      <c r="G102" s="146"/>
      <c r="H102" s="146"/>
      <c r="I102" s="146"/>
      <c r="J102" s="146"/>
      <c r="K102" s="156"/>
      <c r="L102" s="146"/>
      <c r="M102" s="146"/>
      <c r="N102" s="146"/>
      <c r="O102" s="146"/>
      <c r="P102" s="156"/>
      <c r="Q102" s="146"/>
      <c r="R102" s="146"/>
      <c r="S102" s="146"/>
      <c r="T102" s="156"/>
      <c r="U102" s="146"/>
      <c r="V102" s="146"/>
      <c r="W102" s="146"/>
      <c r="X102" s="146"/>
      <c r="Y102" s="146"/>
      <c r="Z102" s="146"/>
      <c r="AA102" s="146"/>
      <c r="AB102" s="146"/>
      <c r="AC102" s="157"/>
      <c r="AD102" s="157"/>
      <c r="AE102" s="157"/>
      <c r="AF102" s="158">
        <f>SUM(AG102:AJ102)</f>
      </c>
      <c r="AG102" s="146"/>
      <c r="AH102" s="145"/>
      <c r="AI102" s="145"/>
      <c r="AJ102" s="145"/>
      <c r="AK102" s="158">
        <f>SUM(AL102:AW102)</f>
      </c>
      <c r="AL102" s="146"/>
      <c r="AM102" s="145"/>
      <c r="AN102" s="145"/>
      <c r="AO102" s="145"/>
      <c r="AP102" s="145"/>
      <c r="AQ102" s="145"/>
      <c r="AR102" s="145"/>
      <c r="AS102" s="145"/>
      <c r="AT102" s="145"/>
      <c r="AU102" s="145"/>
      <c r="AV102" s="145"/>
      <c r="AW102" s="158"/>
      <c r="AX102" s="145"/>
      <c r="AY102" s="145"/>
      <c r="AZ102" s="145"/>
      <c r="BA102" s="158"/>
      <c r="BB102" s="145"/>
      <c r="BC102" s="145"/>
      <c r="BD102" s="158"/>
      <c r="BE102" s="146"/>
      <c r="BF102" s="145"/>
      <c r="BG102" s="145"/>
      <c r="BH102" s="158">
        <f>SUM(BI102:BK102)</f>
      </c>
      <c r="BI102" s="145"/>
      <c r="BJ102" s="145"/>
      <c r="BK102" s="145"/>
      <c r="BL102" s="145">
        <f>SUM(BM102:BR102)</f>
      </c>
      <c r="BM102" s="145"/>
      <c r="BN102" s="145"/>
      <c r="BO102" s="158"/>
      <c r="BP102" s="145"/>
      <c r="BQ102" s="145"/>
      <c r="BR102" s="145"/>
      <c r="BS102" s="145"/>
      <c r="BT102" s="145"/>
      <c r="BU102" s="158"/>
      <c r="BV102" s="146"/>
      <c r="BW102" s="145"/>
      <c r="BX102" s="145"/>
      <c r="BY102" s="158">
        <f>SUM(BZ102:CB102)</f>
      </c>
      <c r="BZ102" s="146"/>
      <c r="CA102" s="145"/>
      <c r="CB102" s="145"/>
      <c r="CC102" s="145">
        <f>SUM(CD102:CH102)</f>
      </c>
      <c r="CD102" s="145"/>
      <c r="CE102" s="158"/>
      <c r="CF102" s="145"/>
      <c r="CG102" s="145"/>
      <c r="CH102" s="145"/>
      <c r="CI102" s="158"/>
      <c r="CJ102" s="145"/>
      <c r="CK102" s="145"/>
      <c r="CL102" s="145"/>
      <c r="CM102" s="145"/>
      <c r="CN102" s="145"/>
      <c r="CO102" s="145"/>
      <c r="CP102" s="145"/>
      <c r="CQ102" s="158"/>
      <c r="CR102" s="146"/>
      <c r="CS102" s="158"/>
      <c r="CT102" s="158"/>
      <c r="CU102" s="158">
        <f>SUM(CV102:CV102)</f>
      </c>
      <c r="CV102" s="146"/>
      <c r="CW102" s="145"/>
      <c r="CX102" s="145"/>
      <c r="CY102" s="145">
        <f>SUM(CZ102:DE102)</f>
      </c>
      <c r="CZ102" s="145"/>
      <c r="DA102" s="146"/>
      <c r="DB102" s="146"/>
      <c r="DC102" s="153"/>
      <c r="DD102" s="153"/>
      <c r="DE102" s="145"/>
      <c r="DF102" s="145"/>
      <c r="DG102" s="145"/>
      <c r="DH102" s="158"/>
      <c r="DI102" s="145"/>
      <c r="DJ102" s="158"/>
      <c r="DK102" s="145"/>
      <c r="DL102" s="158"/>
      <c r="DM102" s="145"/>
      <c r="DN102" s="145"/>
      <c r="DO102" s="145"/>
      <c r="DP102" s="158"/>
      <c r="DQ102" s="145"/>
      <c r="DR102" s="145"/>
      <c r="DS102" s="145"/>
      <c r="DT102" s="145"/>
      <c r="DU102" s="145">
        <f>SUM(DV102:EE102)</f>
      </c>
      <c r="DV102" s="145"/>
      <c r="DW102" s="145"/>
      <c r="DX102" s="145"/>
      <c r="DY102" s="145"/>
      <c r="DZ102" s="146"/>
      <c r="EA102" s="158"/>
      <c r="EB102" s="146"/>
      <c r="EC102" s="145"/>
      <c r="ED102" s="145"/>
      <c r="EE102" s="155"/>
      <c r="EF102" s="145">
        <f>SUM(EG102:EH102)</f>
      </c>
      <c r="EG102" s="145"/>
      <c r="EH102" s="146"/>
      <c r="EI102" s="159" cm="1">
        <f t="array" ref="EI102">ROW()-ROW(Run[#Headers])</f>
        <v>96</v>
      </c>
    </row>
    <row r="103" spans="2:139" s="79" customFormat="1" ht="11.25" x14ac:dyDescent="0.2">
      <c r="B103" s="146"/>
      <c r="C103" s="155"/>
      <c r="D103" s="145"/>
      <c r="E103" s="152">
        <f>SUM(F103:AE103)</f>
      </c>
      <c r="F103" s="146"/>
      <c r="G103" s="146"/>
      <c r="H103" s="146"/>
      <c r="I103" s="146"/>
      <c r="J103" s="146"/>
      <c r="K103" s="156"/>
      <c r="L103" s="146"/>
      <c r="M103" s="146"/>
      <c r="N103" s="146"/>
      <c r="O103" s="146"/>
      <c r="P103" s="156"/>
      <c r="Q103" s="146"/>
      <c r="R103" s="146"/>
      <c r="S103" s="146"/>
      <c r="T103" s="156"/>
      <c r="U103" s="146"/>
      <c r="V103" s="146"/>
      <c r="W103" s="146"/>
      <c r="X103" s="146"/>
      <c r="Y103" s="146"/>
      <c r="Z103" s="146"/>
      <c r="AA103" s="146"/>
      <c r="AB103" s="146"/>
      <c r="AC103" s="157"/>
      <c r="AD103" s="157"/>
      <c r="AE103" s="157"/>
      <c r="AF103" s="158">
        <f>SUM(AG103:AJ103)</f>
      </c>
      <c r="AG103" s="146"/>
      <c r="AH103" s="145"/>
      <c r="AI103" s="145"/>
      <c r="AJ103" s="145"/>
      <c r="AK103" s="158">
        <f>SUM(AL103:AW103)</f>
      </c>
      <c r="AL103" s="146"/>
      <c r="AM103" s="145"/>
      <c r="AN103" s="145"/>
      <c r="AO103" s="145"/>
      <c r="AP103" s="145"/>
      <c r="AQ103" s="145"/>
      <c r="AR103" s="145"/>
      <c r="AS103" s="145"/>
      <c r="AT103" s="145"/>
      <c r="AU103" s="145"/>
      <c r="AV103" s="145"/>
      <c r="AW103" s="158"/>
      <c r="AX103" s="145"/>
      <c r="AY103" s="145"/>
      <c r="AZ103" s="145"/>
      <c r="BA103" s="158"/>
      <c r="BB103" s="145"/>
      <c r="BC103" s="145"/>
      <c r="BD103" s="158"/>
      <c r="BE103" s="146"/>
      <c r="BF103" s="145"/>
      <c r="BG103" s="145"/>
      <c r="BH103" s="158">
        <f>SUM(BI103:BK103)</f>
      </c>
      <c r="BI103" s="145"/>
      <c r="BJ103" s="145"/>
      <c r="BK103" s="145"/>
      <c r="BL103" s="145">
        <f>SUM(BM103:BR103)</f>
      </c>
      <c r="BM103" s="145"/>
      <c r="BN103" s="145"/>
      <c r="BO103" s="158"/>
      <c r="BP103" s="145"/>
      <c r="BQ103" s="145"/>
      <c r="BR103" s="145"/>
      <c r="BS103" s="145"/>
      <c r="BT103" s="145"/>
      <c r="BU103" s="158"/>
      <c r="BV103" s="146"/>
      <c r="BW103" s="145"/>
      <c r="BX103" s="145"/>
      <c r="BY103" s="158">
        <f>SUM(BZ103:CB103)</f>
      </c>
      <c r="BZ103" s="146"/>
      <c r="CA103" s="145"/>
      <c r="CB103" s="145"/>
      <c r="CC103" s="145">
        <f>SUM(CD103:CH103)</f>
      </c>
      <c r="CD103" s="145"/>
      <c r="CE103" s="158"/>
      <c r="CF103" s="145"/>
      <c r="CG103" s="145"/>
      <c r="CH103" s="145"/>
      <c r="CI103" s="158"/>
      <c r="CJ103" s="145"/>
      <c r="CK103" s="145"/>
      <c r="CL103" s="145"/>
      <c r="CM103" s="145"/>
      <c r="CN103" s="145"/>
      <c r="CO103" s="145"/>
      <c r="CP103" s="145"/>
      <c r="CQ103" s="158"/>
      <c r="CR103" s="146"/>
      <c r="CS103" s="158"/>
      <c r="CT103" s="158"/>
      <c r="CU103" s="158">
        <f>SUM(CV103:CV103)</f>
      </c>
      <c r="CV103" s="146"/>
      <c r="CW103" s="145"/>
      <c r="CX103" s="145"/>
      <c r="CY103" s="145">
        <f>SUM(CZ103:DE103)</f>
      </c>
      <c r="CZ103" s="145"/>
      <c r="DA103" s="146"/>
      <c r="DB103" s="146"/>
      <c r="DC103" s="153"/>
      <c r="DD103" s="153"/>
      <c r="DE103" s="145"/>
      <c r="DF103" s="145"/>
      <c r="DG103" s="145"/>
      <c r="DH103" s="158"/>
      <c r="DI103" s="145"/>
      <c r="DJ103" s="158"/>
      <c r="DK103" s="145"/>
      <c r="DL103" s="158"/>
      <c r="DM103" s="145"/>
      <c r="DN103" s="145"/>
      <c r="DO103" s="145"/>
      <c r="DP103" s="158"/>
      <c r="DQ103" s="145"/>
      <c r="DR103" s="145"/>
      <c r="DS103" s="145"/>
      <c r="DT103" s="145"/>
      <c r="DU103" s="145">
        <f>SUM(DV103:EE103)</f>
      </c>
      <c r="DV103" s="145"/>
      <c r="DW103" s="145"/>
      <c r="DX103" s="145"/>
      <c r="DY103" s="145"/>
      <c r="DZ103" s="146"/>
      <c r="EA103" s="158"/>
      <c r="EB103" s="146"/>
      <c r="EC103" s="145"/>
      <c r="ED103" s="145"/>
      <c r="EE103" s="155"/>
      <c r="EF103" s="145">
        <f>SUM(EG103:EH103)</f>
      </c>
      <c r="EG103" s="145"/>
      <c r="EH103" s="146"/>
      <c r="EI103" s="159" cm="1">
        <f t="array" ref="EI103">ROW()-ROW(Run[#Headers])</f>
        <v>97</v>
      </c>
    </row>
    <row r="104" spans="2:139" s="79" customFormat="1" ht="11.25" x14ac:dyDescent="0.2">
      <c r="B104" s="146"/>
      <c r="C104" s="155"/>
      <c r="D104" s="145"/>
      <c r="E104" s="152">
        <f>SUM(F104:AE104)</f>
      </c>
      <c r="F104" s="146"/>
      <c r="G104" s="146"/>
      <c r="H104" s="146"/>
      <c r="I104" s="146"/>
      <c r="J104" s="146"/>
      <c r="K104" s="156"/>
      <c r="L104" s="146"/>
      <c r="M104" s="146"/>
      <c r="N104" s="146"/>
      <c r="O104" s="146"/>
      <c r="P104" s="156"/>
      <c r="Q104" s="146"/>
      <c r="R104" s="146"/>
      <c r="S104" s="146"/>
      <c r="T104" s="156"/>
      <c r="U104" s="146"/>
      <c r="V104" s="146"/>
      <c r="W104" s="146"/>
      <c r="X104" s="146"/>
      <c r="Y104" s="146"/>
      <c r="Z104" s="146"/>
      <c r="AA104" s="146"/>
      <c r="AB104" s="146"/>
      <c r="AC104" s="157"/>
      <c r="AD104" s="157"/>
      <c r="AE104" s="157"/>
      <c r="AF104" s="158">
        <f>SUM(AG104:AJ104)</f>
      </c>
      <c r="AG104" s="146"/>
      <c r="AH104" s="145"/>
      <c r="AI104" s="145"/>
      <c r="AJ104" s="145"/>
      <c r="AK104" s="158">
        <f>SUM(AL104:AW104)</f>
      </c>
      <c r="AL104" s="146"/>
      <c r="AM104" s="145"/>
      <c r="AN104" s="145"/>
      <c r="AO104" s="145"/>
      <c r="AP104" s="145"/>
      <c r="AQ104" s="145"/>
      <c r="AR104" s="145"/>
      <c r="AS104" s="145"/>
      <c r="AT104" s="145"/>
      <c r="AU104" s="145"/>
      <c r="AV104" s="145"/>
      <c r="AW104" s="158"/>
      <c r="AX104" s="145"/>
      <c r="AY104" s="145"/>
      <c r="AZ104" s="145"/>
      <c r="BA104" s="158"/>
      <c r="BB104" s="145"/>
      <c r="BC104" s="145"/>
      <c r="BD104" s="158"/>
      <c r="BE104" s="146"/>
      <c r="BF104" s="145"/>
      <c r="BG104" s="145"/>
      <c r="BH104" s="158">
        <f>SUM(BI104:BK104)</f>
      </c>
      <c r="BI104" s="145"/>
      <c r="BJ104" s="145"/>
      <c r="BK104" s="145"/>
      <c r="BL104" s="145">
        <f>SUM(BM104:BR104)</f>
      </c>
      <c r="BM104" s="145"/>
      <c r="BN104" s="145"/>
      <c r="BO104" s="158"/>
      <c r="BP104" s="145"/>
      <c r="BQ104" s="145"/>
      <c r="BR104" s="145"/>
      <c r="BS104" s="145"/>
      <c r="BT104" s="145"/>
      <c r="BU104" s="158"/>
      <c r="BV104" s="146"/>
      <c r="BW104" s="145"/>
      <c r="BX104" s="145"/>
      <c r="BY104" s="158">
        <f>SUM(BZ104:CB104)</f>
      </c>
      <c r="BZ104" s="146"/>
      <c r="CA104" s="145"/>
      <c r="CB104" s="145"/>
      <c r="CC104" s="145">
        <f>SUM(CD104:CH104)</f>
      </c>
      <c r="CD104" s="145"/>
      <c r="CE104" s="158"/>
      <c r="CF104" s="145"/>
      <c r="CG104" s="145"/>
      <c r="CH104" s="145"/>
      <c r="CI104" s="158"/>
      <c r="CJ104" s="145"/>
      <c r="CK104" s="145"/>
      <c r="CL104" s="145"/>
      <c r="CM104" s="145"/>
      <c r="CN104" s="145"/>
      <c r="CO104" s="145"/>
      <c r="CP104" s="145"/>
      <c r="CQ104" s="158"/>
      <c r="CR104" s="146"/>
      <c r="CS104" s="158"/>
      <c r="CT104" s="158"/>
      <c r="CU104" s="158">
        <f>SUM(CV104:CV104)</f>
      </c>
      <c r="CV104" s="146"/>
      <c r="CW104" s="145"/>
      <c r="CX104" s="145"/>
      <c r="CY104" s="145">
        <f>SUM(CZ104:DE104)</f>
      </c>
      <c r="CZ104" s="145"/>
      <c r="DA104" s="146"/>
      <c r="DB104" s="146"/>
      <c r="DC104" s="153"/>
      <c r="DD104" s="153"/>
      <c r="DE104" s="145"/>
      <c r="DF104" s="145"/>
      <c r="DG104" s="145"/>
      <c r="DH104" s="158"/>
      <c r="DI104" s="145"/>
      <c r="DJ104" s="158"/>
      <c r="DK104" s="145"/>
      <c r="DL104" s="158"/>
      <c r="DM104" s="145"/>
      <c r="DN104" s="145"/>
      <c r="DO104" s="145"/>
      <c r="DP104" s="158"/>
      <c r="DQ104" s="145"/>
      <c r="DR104" s="145"/>
      <c r="DS104" s="145"/>
      <c r="DT104" s="145"/>
      <c r="DU104" s="145">
        <f>SUM(DV104:EE104)</f>
      </c>
      <c r="DV104" s="145"/>
      <c r="DW104" s="145"/>
      <c r="DX104" s="145"/>
      <c r="DY104" s="145"/>
      <c r="DZ104" s="146"/>
      <c r="EA104" s="158"/>
      <c r="EB104" s="146"/>
      <c r="EC104" s="145"/>
      <c r="ED104" s="145"/>
      <c r="EE104" s="155"/>
      <c r="EF104" s="145">
        <f>SUM(EG104:EH104)</f>
      </c>
      <c r="EG104" s="145"/>
      <c r="EH104" s="146"/>
      <c r="EI104" s="159" cm="1">
        <f t="array" ref="EI104">ROW()-ROW(Run[#Headers])</f>
        <v>98</v>
      </c>
    </row>
    <row r="105" spans="2:139" s="79" customFormat="1" ht="11.25" x14ac:dyDescent="0.2">
      <c r="B105" s="146"/>
      <c r="C105" s="155"/>
      <c r="D105" s="145"/>
      <c r="E105" s="152">
        <f>SUM(F105:AE105)</f>
      </c>
      <c r="F105" s="146"/>
      <c r="G105" s="146"/>
      <c r="H105" s="146"/>
      <c r="I105" s="146"/>
      <c r="J105" s="146"/>
      <c r="K105" s="156"/>
      <c r="L105" s="146"/>
      <c r="M105" s="146"/>
      <c r="N105" s="146"/>
      <c r="O105" s="146"/>
      <c r="P105" s="156"/>
      <c r="Q105" s="146"/>
      <c r="R105" s="146"/>
      <c r="S105" s="146"/>
      <c r="T105" s="156"/>
      <c r="U105" s="146"/>
      <c r="V105" s="146"/>
      <c r="W105" s="146"/>
      <c r="X105" s="146"/>
      <c r="Y105" s="146"/>
      <c r="Z105" s="146"/>
      <c r="AA105" s="146"/>
      <c r="AB105" s="146"/>
      <c r="AC105" s="157"/>
      <c r="AD105" s="157"/>
      <c r="AE105" s="157"/>
      <c r="AF105" s="158">
        <f>SUM(AG105:AJ105)</f>
      </c>
      <c r="AG105" s="146"/>
      <c r="AH105" s="145"/>
      <c r="AI105" s="145"/>
      <c r="AJ105" s="145"/>
      <c r="AK105" s="158">
        <f>SUM(AL105:AW105)</f>
      </c>
      <c r="AL105" s="146"/>
      <c r="AM105" s="145"/>
      <c r="AN105" s="145"/>
      <c r="AO105" s="145"/>
      <c r="AP105" s="145"/>
      <c r="AQ105" s="145"/>
      <c r="AR105" s="145"/>
      <c r="AS105" s="145"/>
      <c r="AT105" s="145"/>
      <c r="AU105" s="145"/>
      <c r="AV105" s="145"/>
      <c r="AW105" s="158"/>
      <c r="AX105" s="145"/>
      <c r="AY105" s="145"/>
      <c r="AZ105" s="145"/>
      <c r="BA105" s="158"/>
      <c r="BB105" s="145"/>
      <c r="BC105" s="145"/>
      <c r="BD105" s="158"/>
      <c r="BE105" s="146"/>
      <c r="BF105" s="145"/>
      <c r="BG105" s="145"/>
      <c r="BH105" s="158">
        <f>SUM(BI105:BK105)</f>
      </c>
      <c r="BI105" s="145"/>
      <c r="BJ105" s="145"/>
      <c r="BK105" s="145"/>
      <c r="BL105" s="145">
        <f>SUM(BM105:BR105)</f>
      </c>
      <c r="BM105" s="145"/>
      <c r="BN105" s="145"/>
      <c r="BO105" s="158"/>
      <c r="BP105" s="145"/>
      <c r="BQ105" s="145"/>
      <c r="BR105" s="145"/>
      <c r="BS105" s="145"/>
      <c r="BT105" s="145"/>
      <c r="BU105" s="158"/>
      <c r="BV105" s="146"/>
      <c r="BW105" s="145"/>
      <c r="BX105" s="145"/>
      <c r="BY105" s="158">
        <f>SUM(BZ105:CB105)</f>
      </c>
      <c r="BZ105" s="146"/>
      <c r="CA105" s="145"/>
      <c r="CB105" s="145"/>
      <c r="CC105" s="145">
        <f>SUM(CD105:CH105)</f>
      </c>
      <c r="CD105" s="145"/>
      <c r="CE105" s="158"/>
      <c r="CF105" s="145"/>
      <c r="CG105" s="145"/>
      <c r="CH105" s="145"/>
      <c r="CI105" s="158"/>
      <c r="CJ105" s="145"/>
      <c r="CK105" s="145"/>
      <c r="CL105" s="145"/>
      <c r="CM105" s="145"/>
      <c r="CN105" s="145"/>
      <c r="CO105" s="145"/>
      <c r="CP105" s="145"/>
      <c r="CQ105" s="158"/>
      <c r="CR105" s="146"/>
      <c r="CS105" s="158"/>
      <c r="CT105" s="158"/>
      <c r="CU105" s="158">
        <f>SUM(CV105:CV105)</f>
      </c>
      <c r="CV105" s="146"/>
      <c r="CW105" s="145"/>
      <c r="CX105" s="145"/>
      <c r="CY105" s="145">
        <f>SUM(CZ105:DE105)</f>
      </c>
      <c r="CZ105" s="145"/>
      <c r="DA105" s="146"/>
      <c r="DB105" s="146"/>
      <c r="DC105" s="153"/>
      <c r="DD105" s="153"/>
      <c r="DE105" s="145"/>
      <c r="DF105" s="145"/>
      <c r="DG105" s="145"/>
      <c r="DH105" s="158"/>
      <c r="DI105" s="145"/>
      <c r="DJ105" s="158"/>
      <c r="DK105" s="145"/>
      <c r="DL105" s="158"/>
      <c r="DM105" s="145"/>
      <c r="DN105" s="145"/>
      <c r="DO105" s="145"/>
      <c r="DP105" s="158"/>
      <c r="DQ105" s="145"/>
      <c r="DR105" s="145"/>
      <c r="DS105" s="145"/>
      <c r="DT105" s="145"/>
      <c r="DU105" s="145">
        <f>SUM(DV105:EE105)</f>
      </c>
      <c r="DV105" s="145"/>
      <c r="DW105" s="145"/>
      <c r="DX105" s="145"/>
      <c r="DY105" s="145"/>
      <c r="DZ105" s="146"/>
      <c r="EA105" s="158"/>
      <c r="EB105" s="146"/>
      <c r="EC105" s="145"/>
      <c r="ED105" s="145"/>
      <c r="EE105" s="155"/>
      <c r="EF105" s="145">
        <f>SUM(EG105:EH105)</f>
      </c>
      <c r="EG105" s="145"/>
      <c r="EH105" s="146"/>
      <c r="EI105" s="159" cm="1">
        <f t="array" ref="EI105">ROW()-ROW(Run[#Headers])</f>
        <v>99</v>
      </c>
    </row>
    <row r="106" spans="2:139" s="79" customFormat="1" ht="11.25" x14ac:dyDescent="0.2">
      <c r="B106" s="146"/>
      <c r="C106" s="155"/>
      <c r="D106" s="145"/>
      <c r="E106" s="152">
        <f>SUM(F106:AE106)</f>
      </c>
      <c r="F106" s="146"/>
      <c r="G106" s="146"/>
      <c r="H106" s="146"/>
      <c r="I106" s="146"/>
      <c r="J106" s="146"/>
      <c r="K106" s="156"/>
      <c r="L106" s="146"/>
      <c r="M106" s="146"/>
      <c r="N106" s="146"/>
      <c r="O106" s="146"/>
      <c r="P106" s="156"/>
      <c r="Q106" s="146"/>
      <c r="R106" s="146"/>
      <c r="S106" s="146"/>
      <c r="T106" s="156"/>
      <c r="U106" s="146"/>
      <c r="V106" s="146"/>
      <c r="W106" s="146"/>
      <c r="X106" s="146"/>
      <c r="Y106" s="146"/>
      <c r="Z106" s="146"/>
      <c r="AA106" s="146"/>
      <c r="AB106" s="146"/>
      <c r="AC106" s="157"/>
      <c r="AD106" s="157"/>
      <c r="AE106" s="157"/>
      <c r="AF106" s="158">
        <f>SUM(AG106:AJ106)</f>
      </c>
      <c r="AG106" s="146"/>
      <c r="AH106" s="145"/>
      <c r="AI106" s="145"/>
      <c r="AJ106" s="145"/>
      <c r="AK106" s="158">
        <f>SUM(AL106:AW106)</f>
      </c>
      <c r="AL106" s="146"/>
      <c r="AM106" s="145"/>
      <c r="AN106" s="145"/>
      <c r="AO106" s="145"/>
      <c r="AP106" s="145"/>
      <c r="AQ106" s="145"/>
      <c r="AR106" s="145"/>
      <c r="AS106" s="145"/>
      <c r="AT106" s="145"/>
      <c r="AU106" s="145"/>
      <c r="AV106" s="145"/>
      <c r="AW106" s="158"/>
      <c r="AX106" s="145"/>
      <c r="AY106" s="145"/>
      <c r="AZ106" s="145"/>
      <c r="BA106" s="158"/>
      <c r="BB106" s="145"/>
      <c r="BC106" s="145"/>
      <c r="BD106" s="158"/>
      <c r="BE106" s="146"/>
      <c r="BF106" s="145"/>
      <c r="BG106" s="145"/>
      <c r="BH106" s="158">
        <f>SUM(BI106:BK106)</f>
      </c>
      <c r="BI106" s="145"/>
      <c r="BJ106" s="145"/>
      <c r="BK106" s="145"/>
      <c r="BL106" s="145">
        <f>SUM(BM106:BR106)</f>
      </c>
      <c r="BM106" s="145"/>
      <c r="BN106" s="145"/>
      <c r="BO106" s="158"/>
      <c r="BP106" s="145"/>
      <c r="BQ106" s="145"/>
      <c r="BR106" s="145"/>
      <c r="BS106" s="145"/>
      <c r="BT106" s="145"/>
      <c r="BU106" s="158"/>
      <c r="BV106" s="146"/>
      <c r="BW106" s="145"/>
      <c r="BX106" s="145"/>
      <c r="BY106" s="158">
        <f>SUM(BZ106:CB106)</f>
      </c>
      <c r="BZ106" s="146"/>
      <c r="CA106" s="145"/>
      <c r="CB106" s="145"/>
      <c r="CC106" s="145">
        <f>SUM(CD106:CH106)</f>
      </c>
      <c r="CD106" s="145"/>
      <c r="CE106" s="158"/>
      <c r="CF106" s="145"/>
      <c r="CG106" s="145"/>
      <c r="CH106" s="145"/>
      <c r="CI106" s="158"/>
      <c r="CJ106" s="145"/>
      <c r="CK106" s="145"/>
      <c r="CL106" s="145"/>
      <c r="CM106" s="145"/>
      <c r="CN106" s="145"/>
      <c r="CO106" s="145"/>
      <c r="CP106" s="145"/>
      <c r="CQ106" s="158"/>
      <c r="CR106" s="146"/>
      <c r="CS106" s="158"/>
      <c r="CT106" s="158"/>
      <c r="CU106" s="158">
        <f>SUM(CV106:CV106)</f>
      </c>
      <c r="CV106" s="146"/>
      <c r="CW106" s="145"/>
      <c r="CX106" s="145"/>
      <c r="CY106" s="145">
        <f>SUM(CZ106:DE106)</f>
      </c>
      <c r="CZ106" s="145"/>
      <c r="DA106" s="146"/>
      <c r="DB106" s="146"/>
      <c r="DC106" s="153"/>
      <c r="DD106" s="153"/>
      <c r="DE106" s="145"/>
      <c r="DF106" s="145"/>
      <c r="DG106" s="145"/>
      <c r="DH106" s="158"/>
      <c r="DI106" s="145"/>
      <c r="DJ106" s="158"/>
      <c r="DK106" s="145"/>
      <c r="DL106" s="158"/>
      <c r="DM106" s="145"/>
      <c r="DN106" s="145"/>
      <c r="DO106" s="145"/>
      <c r="DP106" s="158"/>
      <c r="DQ106" s="145"/>
      <c r="DR106" s="145"/>
      <c r="DS106" s="145"/>
      <c r="DT106" s="145"/>
      <c r="DU106" s="145">
        <f>SUM(DV106:EE106)</f>
      </c>
      <c r="DV106" s="145"/>
      <c r="DW106" s="145"/>
      <c r="DX106" s="145"/>
      <c r="DY106" s="145"/>
      <c r="DZ106" s="146"/>
      <c r="EA106" s="158"/>
      <c r="EB106" s="146"/>
      <c r="EC106" s="145"/>
      <c r="ED106" s="145"/>
      <c r="EE106" s="155"/>
      <c r="EF106" s="145">
        <f>SUM(EG106:EH106)</f>
      </c>
      <c r="EG106" s="145"/>
      <c r="EH106" s="146"/>
      <c r="EI106" s="159" cm="1">
        <f t="array" ref="EI106">ROW()-ROW(Run[#Headers])</f>
        <v>100</v>
      </c>
    </row>
    <row r="107" spans="2:139" s="79" customFormat="1" ht="11.25" x14ac:dyDescent="0.2">
      <c r="B107" s="146"/>
      <c r="C107" s="155"/>
      <c r="D107" s="145"/>
      <c r="E107" s="152">
        <f>SUM(F107:AE107)</f>
      </c>
      <c r="F107" s="146"/>
      <c r="G107" s="146"/>
      <c r="H107" s="146"/>
      <c r="I107" s="146"/>
      <c r="J107" s="146"/>
      <c r="K107" s="156"/>
      <c r="L107" s="146"/>
      <c r="M107" s="146"/>
      <c r="N107" s="146"/>
      <c r="O107" s="146"/>
      <c r="P107" s="156"/>
      <c r="Q107" s="146"/>
      <c r="R107" s="146"/>
      <c r="S107" s="146"/>
      <c r="T107" s="156"/>
      <c r="U107" s="146"/>
      <c r="V107" s="146"/>
      <c r="W107" s="146"/>
      <c r="X107" s="146"/>
      <c r="Y107" s="146"/>
      <c r="Z107" s="146"/>
      <c r="AA107" s="146"/>
      <c r="AB107" s="146"/>
      <c r="AC107" s="157"/>
      <c r="AD107" s="157"/>
      <c r="AE107" s="157"/>
      <c r="AF107" s="158">
        <f>SUM(AG107:AJ107)</f>
      </c>
      <c r="AG107" s="146"/>
      <c r="AH107" s="145"/>
      <c r="AI107" s="145"/>
      <c r="AJ107" s="145"/>
      <c r="AK107" s="158">
        <f>SUM(AL107:AW107)</f>
      </c>
      <c r="AL107" s="146"/>
      <c r="AM107" s="145"/>
      <c r="AN107" s="145"/>
      <c r="AO107" s="145"/>
      <c r="AP107" s="145"/>
      <c r="AQ107" s="145"/>
      <c r="AR107" s="145"/>
      <c r="AS107" s="145"/>
      <c r="AT107" s="145"/>
      <c r="AU107" s="145"/>
      <c r="AV107" s="145"/>
      <c r="AW107" s="158"/>
      <c r="AX107" s="145"/>
      <c r="AY107" s="145"/>
      <c r="AZ107" s="145"/>
      <c r="BA107" s="158"/>
      <c r="BB107" s="145"/>
      <c r="BC107" s="145"/>
      <c r="BD107" s="158"/>
      <c r="BE107" s="146"/>
      <c r="BF107" s="145"/>
      <c r="BG107" s="145"/>
      <c r="BH107" s="158">
        <f>SUM(BI107:BK107)</f>
      </c>
      <c r="BI107" s="145"/>
      <c r="BJ107" s="145"/>
      <c r="BK107" s="145"/>
      <c r="BL107" s="145">
        <f>SUM(BM107:BR107)</f>
      </c>
      <c r="BM107" s="145"/>
      <c r="BN107" s="145"/>
      <c r="BO107" s="158"/>
      <c r="BP107" s="145"/>
      <c r="BQ107" s="145"/>
      <c r="BR107" s="145"/>
      <c r="BS107" s="145"/>
      <c r="BT107" s="145"/>
      <c r="BU107" s="158"/>
      <c r="BV107" s="146"/>
      <c r="BW107" s="145"/>
      <c r="BX107" s="145"/>
      <c r="BY107" s="158">
        <f>SUM(BZ107:CB107)</f>
      </c>
      <c r="BZ107" s="146"/>
      <c r="CA107" s="145"/>
      <c r="CB107" s="145"/>
      <c r="CC107" s="145">
        <f>SUM(CD107:CH107)</f>
      </c>
      <c r="CD107" s="145"/>
      <c r="CE107" s="158"/>
      <c r="CF107" s="145"/>
      <c r="CG107" s="145"/>
      <c r="CH107" s="145"/>
      <c r="CI107" s="158"/>
      <c r="CJ107" s="145"/>
      <c r="CK107" s="145"/>
      <c r="CL107" s="145"/>
      <c r="CM107" s="145"/>
      <c r="CN107" s="145"/>
      <c r="CO107" s="145"/>
      <c r="CP107" s="145"/>
      <c r="CQ107" s="158"/>
      <c r="CR107" s="146"/>
      <c r="CS107" s="158"/>
      <c r="CT107" s="158"/>
      <c r="CU107" s="158">
        <f>SUM(CV107:CV107)</f>
      </c>
      <c r="CV107" s="146"/>
      <c r="CW107" s="145"/>
      <c r="CX107" s="145"/>
      <c r="CY107" s="145">
        <f>SUM(CZ107:DE107)</f>
      </c>
      <c r="CZ107" s="145"/>
      <c r="DA107" s="146"/>
      <c r="DB107" s="146"/>
      <c r="DC107" s="153"/>
      <c r="DD107" s="153"/>
      <c r="DE107" s="145"/>
      <c r="DF107" s="145"/>
      <c r="DG107" s="145"/>
      <c r="DH107" s="158"/>
      <c r="DI107" s="145"/>
      <c r="DJ107" s="158"/>
      <c r="DK107" s="145"/>
      <c r="DL107" s="158"/>
      <c r="DM107" s="145"/>
      <c r="DN107" s="145"/>
      <c r="DO107" s="145"/>
      <c r="DP107" s="158"/>
      <c r="DQ107" s="145"/>
      <c r="DR107" s="145"/>
      <c r="DS107" s="145"/>
      <c r="DT107" s="145"/>
      <c r="DU107" s="145">
        <f>SUM(DV107:EE107)</f>
      </c>
      <c r="DV107" s="145"/>
      <c r="DW107" s="145"/>
      <c r="DX107" s="145"/>
      <c r="DY107" s="145"/>
      <c r="DZ107" s="146"/>
      <c r="EA107" s="158"/>
      <c r="EB107" s="146"/>
      <c r="EC107" s="145"/>
      <c r="ED107" s="145"/>
      <c r="EE107" s="155"/>
      <c r="EF107" s="145">
        <f>SUM(EG107:EH107)</f>
      </c>
      <c r="EG107" s="145"/>
      <c r="EH107" s="146"/>
      <c r="EI107" s="159" cm="1">
        <f t="array" ref="EI107">ROW()-ROW(Run[#Headers])</f>
        <v>101</v>
      </c>
    </row>
    <row r="108" spans="2:139" s="79" customFormat="1" ht="11.25" x14ac:dyDescent="0.2">
      <c r="B108" s="146"/>
      <c r="C108" s="155"/>
      <c r="D108" s="145"/>
      <c r="E108" s="152">
        <f>SUM(F108:AE108)</f>
      </c>
      <c r="F108" s="146"/>
      <c r="G108" s="146"/>
      <c r="H108" s="146"/>
      <c r="I108" s="146"/>
      <c r="J108" s="146"/>
      <c r="K108" s="156"/>
      <c r="L108" s="146"/>
      <c r="M108" s="146"/>
      <c r="N108" s="146"/>
      <c r="O108" s="146"/>
      <c r="P108" s="156"/>
      <c r="Q108" s="146"/>
      <c r="R108" s="146"/>
      <c r="S108" s="146"/>
      <c r="T108" s="156"/>
      <c r="U108" s="146"/>
      <c r="V108" s="146"/>
      <c r="W108" s="146"/>
      <c r="X108" s="146"/>
      <c r="Y108" s="146"/>
      <c r="Z108" s="146"/>
      <c r="AA108" s="146"/>
      <c r="AB108" s="146"/>
      <c r="AC108" s="157"/>
      <c r="AD108" s="157"/>
      <c r="AE108" s="157"/>
      <c r="AF108" s="158">
        <f>SUM(AG108:AJ108)</f>
      </c>
      <c r="AG108" s="146"/>
      <c r="AH108" s="145"/>
      <c r="AI108" s="145"/>
      <c r="AJ108" s="145"/>
      <c r="AK108" s="158">
        <f>SUM(AL108:AW108)</f>
      </c>
      <c r="AL108" s="146"/>
      <c r="AM108" s="145"/>
      <c r="AN108" s="145"/>
      <c r="AO108" s="145"/>
      <c r="AP108" s="145"/>
      <c r="AQ108" s="145"/>
      <c r="AR108" s="145"/>
      <c r="AS108" s="145"/>
      <c r="AT108" s="145"/>
      <c r="AU108" s="145"/>
      <c r="AV108" s="145"/>
      <c r="AW108" s="158"/>
      <c r="AX108" s="145"/>
      <c r="AY108" s="145"/>
      <c r="AZ108" s="145"/>
      <c r="BA108" s="158"/>
      <c r="BB108" s="145"/>
      <c r="BC108" s="145"/>
      <c r="BD108" s="158"/>
      <c r="BE108" s="146"/>
      <c r="BF108" s="145"/>
      <c r="BG108" s="145"/>
      <c r="BH108" s="158">
        <f>SUM(BI108:BK108)</f>
      </c>
      <c r="BI108" s="145"/>
      <c r="BJ108" s="145"/>
      <c r="BK108" s="145"/>
      <c r="BL108" s="145">
        <f>SUM(BM108:BR108)</f>
      </c>
      <c r="BM108" s="145"/>
      <c r="BN108" s="145"/>
      <c r="BO108" s="158"/>
      <c r="BP108" s="145"/>
      <c r="BQ108" s="145"/>
      <c r="BR108" s="145"/>
      <c r="BS108" s="145"/>
      <c r="BT108" s="145"/>
      <c r="BU108" s="158"/>
      <c r="BV108" s="146"/>
      <c r="BW108" s="145"/>
      <c r="BX108" s="145"/>
      <c r="BY108" s="158">
        <f>SUM(BZ108:CB108)</f>
      </c>
      <c r="BZ108" s="146"/>
      <c r="CA108" s="145"/>
      <c r="CB108" s="145"/>
      <c r="CC108" s="145">
        <f>SUM(CD108:CH108)</f>
      </c>
      <c r="CD108" s="145"/>
      <c r="CE108" s="158"/>
      <c r="CF108" s="145"/>
      <c r="CG108" s="145"/>
      <c r="CH108" s="145"/>
      <c r="CI108" s="158"/>
      <c r="CJ108" s="145"/>
      <c r="CK108" s="145"/>
      <c r="CL108" s="145"/>
      <c r="CM108" s="145"/>
      <c r="CN108" s="145"/>
      <c r="CO108" s="145"/>
      <c r="CP108" s="145"/>
      <c r="CQ108" s="158"/>
      <c r="CR108" s="146"/>
      <c r="CS108" s="158"/>
      <c r="CT108" s="158"/>
      <c r="CU108" s="158">
        <f>SUM(CV108:CV108)</f>
      </c>
      <c r="CV108" s="146"/>
      <c r="CW108" s="145"/>
      <c r="CX108" s="145"/>
      <c r="CY108" s="145">
        <f>SUM(CZ108:DE108)</f>
      </c>
      <c r="CZ108" s="145"/>
      <c r="DA108" s="146"/>
      <c r="DB108" s="146"/>
      <c r="DC108" s="153"/>
      <c r="DD108" s="153"/>
      <c r="DE108" s="145"/>
      <c r="DF108" s="145"/>
      <c r="DG108" s="145"/>
      <c r="DH108" s="158"/>
      <c r="DI108" s="145"/>
      <c r="DJ108" s="158"/>
      <c r="DK108" s="145"/>
      <c r="DL108" s="158"/>
      <c r="DM108" s="145"/>
      <c r="DN108" s="145"/>
      <c r="DO108" s="145"/>
      <c r="DP108" s="158"/>
      <c r="DQ108" s="145"/>
      <c r="DR108" s="145"/>
      <c r="DS108" s="145"/>
      <c r="DT108" s="145"/>
      <c r="DU108" s="145">
        <f>SUM(DV108:EE108)</f>
      </c>
      <c r="DV108" s="145"/>
      <c r="DW108" s="145"/>
      <c r="DX108" s="145"/>
      <c r="DY108" s="145"/>
      <c r="DZ108" s="146"/>
      <c r="EA108" s="158"/>
      <c r="EB108" s="146"/>
      <c r="EC108" s="145"/>
      <c r="ED108" s="145"/>
      <c r="EE108" s="155"/>
      <c r="EF108" s="145">
        <f>SUM(EG108:EH108)</f>
      </c>
      <c r="EG108" s="145"/>
      <c r="EH108" s="146"/>
      <c r="EI108" s="159" cm="1">
        <f t="array" ref="EI108">ROW()-ROW(Run[#Headers])</f>
        <v>102</v>
      </c>
    </row>
    <row r="109" spans="2:139" s="79" customFormat="1" ht="11.25" x14ac:dyDescent="0.2">
      <c r="B109" s="146"/>
      <c r="C109" s="155"/>
      <c r="D109" s="145"/>
      <c r="E109" s="152">
        <f>SUM(F109:AE109)</f>
      </c>
      <c r="F109" s="146"/>
      <c r="G109" s="146"/>
      <c r="H109" s="146"/>
      <c r="I109" s="146"/>
      <c r="J109" s="146"/>
      <c r="K109" s="156"/>
      <c r="L109" s="146"/>
      <c r="M109" s="146"/>
      <c r="N109" s="146"/>
      <c r="O109" s="146"/>
      <c r="P109" s="156"/>
      <c r="Q109" s="146"/>
      <c r="R109" s="146"/>
      <c r="S109" s="146"/>
      <c r="T109" s="156"/>
      <c r="U109" s="146"/>
      <c r="V109" s="146"/>
      <c r="W109" s="146"/>
      <c r="X109" s="146"/>
      <c r="Y109" s="146"/>
      <c r="Z109" s="146"/>
      <c r="AA109" s="146"/>
      <c r="AB109" s="146"/>
      <c r="AC109" s="157"/>
      <c r="AD109" s="157"/>
      <c r="AE109" s="157"/>
      <c r="AF109" s="158">
        <f>SUM(AG109:AJ109)</f>
      </c>
      <c r="AG109" s="146"/>
      <c r="AH109" s="145"/>
      <c r="AI109" s="145"/>
      <c r="AJ109" s="145"/>
      <c r="AK109" s="158">
        <f>SUM(AL109:AW109)</f>
      </c>
      <c r="AL109" s="146"/>
      <c r="AM109" s="145"/>
      <c r="AN109" s="145"/>
      <c r="AO109" s="145"/>
      <c r="AP109" s="145"/>
      <c r="AQ109" s="145"/>
      <c r="AR109" s="145"/>
      <c r="AS109" s="145"/>
      <c r="AT109" s="145"/>
      <c r="AU109" s="145"/>
      <c r="AV109" s="145"/>
      <c r="AW109" s="158"/>
      <c r="AX109" s="145"/>
      <c r="AY109" s="145"/>
      <c r="AZ109" s="145"/>
      <c r="BA109" s="158"/>
      <c r="BB109" s="145"/>
      <c r="BC109" s="145"/>
      <c r="BD109" s="158"/>
      <c r="BE109" s="146"/>
      <c r="BF109" s="145"/>
      <c r="BG109" s="145"/>
      <c r="BH109" s="158">
        <f>SUM(BI109:BK109)</f>
      </c>
      <c r="BI109" s="145"/>
      <c r="BJ109" s="145"/>
      <c r="BK109" s="145"/>
      <c r="BL109" s="145">
        <f>SUM(BM109:BR109)</f>
      </c>
      <c r="BM109" s="145"/>
      <c r="BN109" s="145"/>
      <c r="BO109" s="158"/>
      <c r="BP109" s="145"/>
      <c r="BQ109" s="145"/>
      <c r="BR109" s="145"/>
      <c r="BS109" s="145"/>
      <c r="BT109" s="145"/>
      <c r="BU109" s="158"/>
      <c r="BV109" s="146"/>
      <c r="BW109" s="145"/>
      <c r="BX109" s="145"/>
      <c r="BY109" s="158">
        <f>SUM(BZ109:CB109)</f>
      </c>
      <c r="BZ109" s="146"/>
      <c r="CA109" s="145"/>
      <c r="CB109" s="145"/>
      <c r="CC109" s="145">
        <f>SUM(CD109:CH109)</f>
      </c>
      <c r="CD109" s="145"/>
      <c r="CE109" s="158"/>
      <c r="CF109" s="145"/>
      <c r="CG109" s="145"/>
      <c r="CH109" s="145"/>
      <c r="CI109" s="158"/>
      <c r="CJ109" s="145"/>
      <c r="CK109" s="145"/>
      <c r="CL109" s="145"/>
      <c r="CM109" s="145"/>
      <c r="CN109" s="145"/>
      <c r="CO109" s="145"/>
      <c r="CP109" s="145"/>
      <c r="CQ109" s="158"/>
      <c r="CR109" s="146"/>
      <c r="CS109" s="158"/>
      <c r="CT109" s="158"/>
      <c r="CU109" s="158">
        <f>SUM(CV109:CV109)</f>
      </c>
      <c r="CV109" s="146"/>
      <c r="CW109" s="145"/>
      <c r="CX109" s="145"/>
      <c r="CY109" s="145">
        <f>SUM(CZ109:DE109)</f>
      </c>
      <c r="CZ109" s="145"/>
      <c r="DA109" s="146"/>
      <c r="DB109" s="146"/>
      <c r="DC109" s="153"/>
      <c r="DD109" s="153"/>
      <c r="DE109" s="145"/>
      <c r="DF109" s="145"/>
      <c r="DG109" s="145"/>
      <c r="DH109" s="158"/>
      <c r="DI109" s="145"/>
      <c r="DJ109" s="158"/>
      <c r="DK109" s="145"/>
      <c r="DL109" s="158"/>
      <c r="DM109" s="145"/>
      <c r="DN109" s="145"/>
      <c r="DO109" s="145"/>
      <c r="DP109" s="158"/>
      <c r="DQ109" s="145"/>
      <c r="DR109" s="145"/>
      <c r="DS109" s="145"/>
      <c r="DT109" s="145"/>
      <c r="DU109" s="145">
        <f>SUM(DV109:EE109)</f>
      </c>
      <c r="DV109" s="145"/>
      <c r="DW109" s="145"/>
      <c r="DX109" s="145"/>
      <c r="DY109" s="145"/>
      <c r="DZ109" s="146"/>
      <c r="EA109" s="158"/>
      <c r="EB109" s="146"/>
      <c r="EC109" s="145"/>
      <c r="ED109" s="145"/>
      <c r="EE109" s="155"/>
      <c r="EF109" s="145">
        <f>SUM(EG109:EH109)</f>
      </c>
      <c r="EG109" s="145"/>
      <c r="EH109" s="146"/>
      <c r="EI109" s="159" cm="1">
        <f t="array" ref="EI109">ROW()-ROW(Run[#Headers])</f>
        <v>103</v>
      </c>
    </row>
    <row r="110" spans="2:139" s="79" customFormat="1" ht="11.25" x14ac:dyDescent="0.2">
      <c r="B110" s="146"/>
      <c r="C110" s="155"/>
      <c r="D110" s="145"/>
      <c r="E110" s="152">
        <f>SUM(F110:AE110)</f>
      </c>
      <c r="F110" s="146"/>
      <c r="G110" s="146"/>
      <c r="H110" s="146"/>
      <c r="I110" s="146"/>
      <c r="J110" s="146"/>
      <c r="K110" s="156"/>
      <c r="L110" s="146"/>
      <c r="M110" s="146"/>
      <c r="N110" s="146"/>
      <c r="O110" s="146"/>
      <c r="P110" s="156"/>
      <c r="Q110" s="146"/>
      <c r="R110" s="146"/>
      <c r="S110" s="146"/>
      <c r="T110" s="156"/>
      <c r="U110" s="146"/>
      <c r="V110" s="146"/>
      <c r="W110" s="146"/>
      <c r="X110" s="146"/>
      <c r="Y110" s="146"/>
      <c r="Z110" s="146"/>
      <c r="AA110" s="146"/>
      <c r="AB110" s="146"/>
      <c r="AC110" s="157"/>
      <c r="AD110" s="157"/>
      <c r="AE110" s="157"/>
      <c r="AF110" s="158">
        <f>SUM(AG110:AJ110)</f>
      </c>
      <c r="AG110" s="146"/>
      <c r="AH110" s="145"/>
      <c r="AI110" s="145"/>
      <c r="AJ110" s="145"/>
      <c r="AK110" s="158">
        <f>SUM(AL110:AW110)</f>
      </c>
      <c r="AL110" s="146"/>
      <c r="AM110" s="145"/>
      <c r="AN110" s="145"/>
      <c r="AO110" s="145"/>
      <c r="AP110" s="145"/>
      <c r="AQ110" s="145"/>
      <c r="AR110" s="145"/>
      <c r="AS110" s="145"/>
      <c r="AT110" s="145"/>
      <c r="AU110" s="145"/>
      <c r="AV110" s="145"/>
      <c r="AW110" s="158"/>
      <c r="AX110" s="145"/>
      <c r="AY110" s="145"/>
      <c r="AZ110" s="145"/>
      <c r="BA110" s="158"/>
      <c r="BB110" s="145"/>
      <c r="BC110" s="145"/>
      <c r="BD110" s="158"/>
      <c r="BE110" s="146"/>
      <c r="BF110" s="145"/>
      <c r="BG110" s="145"/>
      <c r="BH110" s="158">
        <f>SUM(BI110:BK110)</f>
      </c>
      <c r="BI110" s="145"/>
      <c r="BJ110" s="145"/>
      <c r="BK110" s="145"/>
      <c r="BL110" s="145">
        <f>SUM(BM110:BR110)</f>
      </c>
      <c r="BM110" s="145"/>
      <c r="BN110" s="145"/>
      <c r="BO110" s="158"/>
      <c r="BP110" s="145"/>
      <c r="BQ110" s="145"/>
      <c r="BR110" s="145"/>
      <c r="BS110" s="145"/>
      <c r="BT110" s="145"/>
      <c r="BU110" s="158"/>
      <c r="BV110" s="146"/>
      <c r="BW110" s="145"/>
      <c r="BX110" s="145"/>
      <c r="BY110" s="158">
        <f>SUM(BZ110:CB110)</f>
      </c>
      <c r="BZ110" s="146"/>
      <c r="CA110" s="145"/>
      <c r="CB110" s="145"/>
      <c r="CC110" s="145">
        <f>SUM(CD110:CH110)</f>
      </c>
      <c r="CD110" s="145"/>
      <c r="CE110" s="158"/>
      <c r="CF110" s="145"/>
      <c r="CG110" s="145"/>
      <c r="CH110" s="145"/>
      <c r="CI110" s="158"/>
      <c r="CJ110" s="145"/>
      <c r="CK110" s="145"/>
      <c r="CL110" s="145"/>
      <c r="CM110" s="145"/>
      <c r="CN110" s="145"/>
      <c r="CO110" s="145"/>
      <c r="CP110" s="145"/>
      <c r="CQ110" s="158"/>
      <c r="CR110" s="146"/>
      <c r="CS110" s="158"/>
      <c r="CT110" s="158"/>
      <c r="CU110" s="158">
        <f>SUM(CV110:CV110)</f>
      </c>
      <c r="CV110" s="146"/>
      <c r="CW110" s="145"/>
      <c r="CX110" s="145"/>
      <c r="CY110" s="145">
        <f>SUM(CZ110:DE110)</f>
      </c>
      <c r="CZ110" s="145"/>
      <c r="DA110" s="146"/>
      <c r="DB110" s="146"/>
      <c r="DC110" s="153"/>
      <c r="DD110" s="153"/>
      <c r="DE110" s="145"/>
      <c r="DF110" s="145"/>
      <c r="DG110" s="145"/>
      <c r="DH110" s="158"/>
      <c r="DI110" s="145"/>
      <c r="DJ110" s="158"/>
      <c r="DK110" s="145"/>
      <c r="DL110" s="158"/>
      <c r="DM110" s="145"/>
      <c r="DN110" s="145"/>
      <c r="DO110" s="145"/>
      <c r="DP110" s="158"/>
      <c r="DQ110" s="145"/>
      <c r="DR110" s="145"/>
      <c r="DS110" s="145"/>
      <c r="DT110" s="145"/>
      <c r="DU110" s="145">
        <f>SUM(DV110:EE110)</f>
      </c>
      <c r="DV110" s="145"/>
      <c r="DW110" s="145"/>
      <c r="DX110" s="145"/>
      <c r="DY110" s="145"/>
      <c r="DZ110" s="146"/>
      <c r="EA110" s="158"/>
      <c r="EB110" s="146"/>
      <c r="EC110" s="145"/>
      <c r="ED110" s="145"/>
      <c r="EE110" s="155"/>
      <c r="EF110" s="145">
        <f>SUM(EG110:EH110)</f>
      </c>
      <c r="EG110" s="145"/>
      <c r="EH110" s="146"/>
      <c r="EI110" s="159" cm="1">
        <f t="array" ref="EI110">ROW()-ROW(Run[#Headers])</f>
        <v>104</v>
      </c>
    </row>
    <row r="111" spans="2:139" s="79" customFormat="1" ht="11.25" x14ac:dyDescent="0.2">
      <c r="B111" s="146"/>
      <c r="C111" s="155"/>
      <c r="D111" s="145"/>
      <c r="E111" s="152">
        <f>SUM(F111:AE111)</f>
      </c>
      <c r="F111" s="146"/>
      <c r="G111" s="146"/>
      <c r="H111" s="146"/>
      <c r="I111" s="146"/>
      <c r="J111" s="146"/>
      <c r="K111" s="156"/>
      <c r="L111" s="146"/>
      <c r="M111" s="146"/>
      <c r="N111" s="146"/>
      <c r="O111" s="146"/>
      <c r="P111" s="156"/>
      <c r="Q111" s="146"/>
      <c r="R111" s="146"/>
      <c r="S111" s="146"/>
      <c r="T111" s="156"/>
      <c r="U111" s="146"/>
      <c r="V111" s="146"/>
      <c r="W111" s="146"/>
      <c r="X111" s="146"/>
      <c r="Y111" s="146"/>
      <c r="Z111" s="146"/>
      <c r="AA111" s="146"/>
      <c r="AB111" s="146"/>
      <c r="AC111" s="157"/>
      <c r="AD111" s="157"/>
      <c r="AE111" s="157"/>
      <c r="AF111" s="158">
        <f>SUM(AG111:AJ111)</f>
      </c>
      <c r="AG111" s="146"/>
      <c r="AH111" s="145"/>
      <c r="AI111" s="145"/>
      <c r="AJ111" s="145"/>
      <c r="AK111" s="158">
        <f>SUM(AL111:AW111)</f>
      </c>
      <c r="AL111" s="146"/>
      <c r="AM111" s="145"/>
      <c r="AN111" s="145"/>
      <c r="AO111" s="145"/>
      <c r="AP111" s="145"/>
      <c r="AQ111" s="145"/>
      <c r="AR111" s="145"/>
      <c r="AS111" s="145"/>
      <c r="AT111" s="145"/>
      <c r="AU111" s="145"/>
      <c r="AV111" s="145"/>
      <c r="AW111" s="158"/>
      <c r="AX111" s="145"/>
      <c r="AY111" s="145"/>
      <c r="AZ111" s="145"/>
      <c r="BA111" s="158"/>
      <c r="BB111" s="145"/>
      <c r="BC111" s="145"/>
      <c r="BD111" s="158"/>
      <c r="BE111" s="146"/>
      <c r="BF111" s="145"/>
      <c r="BG111" s="145"/>
      <c r="BH111" s="158">
        <f>SUM(BI111:BK111)</f>
      </c>
      <c r="BI111" s="145"/>
      <c r="BJ111" s="145"/>
      <c r="BK111" s="145"/>
      <c r="BL111" s="145">
        <f>SUM(BM111:BR111)</f>
      </c>
      <c r="BM111" s="145"/>
      <c r="BN111" s="145"/>
      <c r="BO111" s="158"/>
      <c r="BP111" s="145"/>
      <c r="BQ111" s="145"/>
      <c r="BR111" s="145"/>
      <c r="BS111" s="145"/>
      <c r="BT111" s="145"/>
      <c r="BU111" s="158"/>
      <c r="BV111" s="146"/>
      <c r="BW111" s="145"/>
      <c r="BX111" s="145"/>
      <c r="BY111" s="158">
        <f>SUM(BZ111:CB111)</f>
      </c>
      <c r="BZ111" s="146"/>
      <c r="CA111" s="145"/>
      <c r="CB111" s="145"/>
      <c r="CC111" s="145">
        <f>SUM(CD111:CH111)</f>
      </c>
      <c r="CD111" s="145"/>
      <c r="CE111" s="158"/>
      <c r="CF111" s="145"/>
      <c r="CG111" s="145"/>
      <c r="CH111" s="145"/>
      <c r="CI111" s="158"/>
      <c r="CJ111" s="145"/>
      <c r="CK111" s="145"/>
      <c r="CL111" s="145"/>
      <c r="CM111" s="145"/>
      <c r="CN111" s="145"/>
      <c r="CO111" s="145"/>
      <c r="CP111" s="145"/>
      <c r="CQ111" s="158"/>
      <c r="CR111" s="146"/>
      <c r="CS111" s="158"/>
      <c r="CT111" s="158"/>
      <c r="CU111" s="158">
        <f>SUM(CV111:CV111)</f>
      </c>
      <c r="CV111" s="146"/>
      <c r="CW111" s="145"/>
      <c r="CX111" s="145"/>
      <c r="CY111" s="145">
        <f>SUM(CZ111:DE111)</f>
      </c>
      <c r="CZ111" s="145"/>
      <c r="DA111" s="146"/>
      <c r="DB111" s="146"/>
      <c r="DC111" s="153"/>
      <c r="DD111" s="153"/>
      <c r="DE111" s="145"/>
      <c r="DF111" s="145"/>
      <c r="DG111" s="145"/>
      <c r="DH111" s="158"/>
      <c r="DI111" s="145"/>
      <c r="DJ111" s="158"/>
      <c r="DK111" s="145"/>
      <c r="DL111" s="158"/>
      <c r="DM111" s="145"/>
      <c r="DN111" s="145"/>
      <c r="DO111" s="145"/>
      <c r="DP111" s="158"/>
      <c r="DQ111" s="145"/>
      <c r="DR111" s="145"/>
      <c r="DS111" s="145"/>
      <c r="DT111" s="145"/>
      <c r="DU111" s="145">
        <f>SUM(DV111:EE111)</f>
      </c>
      <c r="DV111" s="145"/>
      <c r="DW111" s="145"/>
      <c r="DX111" s="145"/>
      <c r="DY111" s="145"/>
      <c r="DZ111" s="146"/>
      <c r="EA111" s="158"/>
      <c r="EB111" s="146"/>
      <c r="EC111" s="145"/>
      <c r="ED111" s="145"/>
      <c r="EE111" s="155"/>
      <c r="EF111" s="145">
        <f>SUM(EG111:EH111)</f>
      </c>
      <c r="EG111" s="145"/>
      <c r="EH111" s="146"/>
      <c r="EI111" s="159" cm="1">
        <f t="array" ref="EI111">ROW()-ROW(Run[#Headers])</f>
        <v>105</v>
      </c>
    </row>
    <row r="112" spans="2:139" s="79" customFormat="1" ht="11.25" x14ac:dyDescent="0.2">
      <c r="B112" s="146"/>
      <c r="C112" s="155"/>
      <c r="D112" s="145"/>
      <c r="E112" s="152">
        <f>SUM(F112:AE112)</f>
      </c>
      <c r="F112" s="146"/>
      <c r="G112" s="146"/>
      <c r="H112" s="146"/>
      <c r="I112" s="146"/>
      <c r="J112" s="146"/>
      <c r="K112" s="156"/>
      <c r="L112" s="146"/>
      <c r="M112" s="146"/>
      <c r="N112" s="146"/>
      <c r="O112" s="146"/>
      <c r="P112" s="156"/>
      <c r="Q112" s="146"/>
      <c r="R112" s="146"/>
      <c r="S112" s="146"/>
      <c r="T112" s="156"/>
      <c r="U112" s="146"/>
      <c r="V112" s="146"/>
      <c r="W112" s="146"/>
      <c r="X112" s="146"/>
      <c r="Y112" s="146"/>
      <c r="Z112" s="146"/>
      <c r="AA112" s="146"/>
      <c r="AB112" s="146"/>
      <c r="AC112" s="157"/>
      <c r="AD112" s="157"/>
      <c r="AE112" s="157"/>
      <c r="AF112" s="158">
        <f>SUM(AG112:AJ112)</f>
      </c>
      <c r="AG112" s="146"/>
      <c r="AH112" s="145"/>
      <c r="AI112" s="145"/>
      <c r="AJ112" s="145"/>
      <c r="AK112" s="158">
        <f>SUM(AL112:AW112)</f>
      </c>
      <c r="AL112" s="146"/>
      <c r="AM112" s="145"/>
      <c r="AN112" s="145"/>
      <c r="AO112" s="145"/>
      <c r="AP112" s="145"/>
      <c r="AQ112" s="145"/>
      <c r="AR112" s="145"/>
      <c r="AS112" s="145"/>
      <c r="AT112" s="145"/>
      <c r="AU112" s="145"/>
      <c r="AV112" s="145"/>
      <c r="AW112" s="158"/>
      <c r="AX112" s="145"/>
      <c r="AY112" s="145"/>
      <c r="AZ112" s="145"/>
      <c r="BA112" s="158"/>
      <c r="BB112" s="145"/>
      <c r="BC112" s="145"/>
      <c r="BD112" s="158"/>
      <c r="BE112" s="146"/>
      <c r="BF112" s="145"/>
      <c r="BG112" s="145"/>
      <c r="BH112" s="158">
        <f>SUM(BI112:BK112)</f>
      </c>
      <c r="BI112" s="145"/>
      <c r="BJ112" s="145"/>
      <c r="BK112" s="145"/>
      <c r="BL112" s="145">
        <f>SUM(BM112:BR112)</f>
      </c>
      <c r="BM112" s="145"/>
      <c r="BN112" s="145"/>
      <c r="BO112" s="158"/>
      <c r="BP112" s="145"/>
      <c r="BQ112" s="145"/>
      <c r="BR112" s="145"/>
      <c r="BS112" s="145"/>
      <c r="BT112" s="145"/>
      <c r="BU112" s="158"/>
      <c r="BV112" s="146"/>
      <c r="BW112" s="145"/>
      <c r="BX112" s="145"/>
      <c r="BY112" s="158">
        <f>SUM(BZ112:CB112)</f>
      </c>
      <c r="BZ112" s="146"/>
      <c r="CA112" s="145"/>
      <c r="CB112" s="145"/>
      <c r="CC112" s="145">
        <f>SUM(CD112:CH112)</f>
      </c>
      <c r="CD112" s="145"/>
      <c r="CE112" s="158"/>
      <c r="CF112" s="145"/>
      <c r="CG112" s="145"/>
      <c r="CH112" s="145"/>
      <c r="CI112" s="158"/>
      <c r="CJ112" s="145"/>
      <c r="CK112" s="145"/>
      <c r="CL112" s="145"/>
      <c r="CM112" s="145"/>
      <c r="CN112" s="145"/>
      <c r="CO112" s="145"/>
      <c r="CP112" s="145"/>
      <c r="CQ112" s="158"/>
      <c r="CR112" s="146"/>
      <c r="CS112" s="158"/>
      <c r="CT112" s="158"/>
      <c r="CU112" s="158">
        <f>SUM(CV112:CV112)</f>
      </c>
      <c r="CV112" s="146"/>
      <c r="CW112" s="145"/>
      <c r="CX112" s="145"/>
      <c r="CY112" s="145">
        <f>SUM(CZ112:DE112)</f>
      </c>
      <c r="CZ112" s="145"/>
      <c r="DA112" s="146"/>
      <c r="DB112" s="146"/>
      <c r="DC112" s="153"/>
      <c r="DD112" s="153"/>
      <c r="DE112" s="145"/>
      <c r="DF112" s="145"/>
      <c r="DG112" s="145"/>
      <c r="DH112" s="158"/>
      <c r="DI112" s="145"/>
      <c r="DJ112" s="158"/>
      <c r="DK112" s="145"/>
      <c r="DL112" s="158"/>
      <c r="DM112" s="145"/>
      <c r="DN112" s="145"/>
      <c r="DO112" s="145"/>
      <c r="DP112" s="158"/>
      <c r="DQ112" s="145"/>
      <c r="DR112" s="145"/>
      <c r="DS112" s="145"/>
      <c r="DT112" s="145"/>
      <c r="DU112" s="145">
        <f>SUM(DV112:EE112)</f>
      </c>
      <c r="DV112" s="145"/>
      <c r="DW112" s="145"/>
      <c r="DX112" s="145"/>
      <c r="DY112" s="145"/>
      <c r="DZ112" s="146"/>
      <c r="EA112" s="158"/>
      <c r="EB112" s="146"/>
      <c r="EC112" s="145"/>
      <c r="ED112" s="145"/>
      <c r="EE112" s="155"/>
      <c r="EF112" s="145">
        <f>SUM(EG112:EH112)</f>
      </c>
      <c r="EG112" s="145"/>
      <c r="EH112" s="146"/>
      <c r="EI112" s="159" cm="1">
        <f t="array" ref="EI112">ROW()-ROW(Run[#Headers])</f>
        <v>106</v>
      </c>
    </row>
    <row r="113" spans="2:139" s="79" customFormat="1" ht="11.25" x14ac:dyDescent="0.2">
      <c r="B113" s="146"/>
      <c r="C113" s="155"/>
      <c r="D113" s="145"/>
      <c r="E113" s="152">
        <f>SUM(F113:AE113)</f>
      </c>
      <c r="F113" s="146"/>
      <c r="G113" s="146"/>
      <c r="H113" s="146"/>
      <c r="I113" s="146"/>
      <c r="J113" s="146"/>
      <c r="K113" s="156"/>
      <c r="L113" s="146"/>
      <c r="M113" s="146"/>
      <c r="N113" s="146"/>
      <c r="O113" s="146"/>
      <c r="P113" s="156"/>
      <c r="Q113" s="146"/>
      <c r="R113" s="146"/>
      <c r="S113" s="146"/>
      <c r="T113" s="156"/>
      <c r="U113" s="146"/>
      <c r="V113" s="146"/>
      <c r="W113" s="146"/>
      <c r="X113" s="146"/>
      <c r="Y113" s="146"/>
      <c r="Z113" s="146"/>
      <c r="AA113" s="146"/>
      <c r="AB113" s="146"/>
      <c r="AC113" s="157"/>
      <c r="AD113" s="157"/>
      <c r="AE113" s="157"/>
      <c r="AF113" s="158">
        <f>SUM(AG113:AJ113)</f>
      </c>
      <c r="AG113" s="146"/>
      <c r="AH113" s="145"/>
      <c r="AI113" s="145"/>
      <c r="AJ113" s="145"/>
      <c r="AK113" s="158">
        <f>SUM(AL113:AW113)</f>
      </c>
      <c r="AL113" s="146"/>
      <c r="AM113" s="145"/>
      <c r="AN113" s="145"/>
      <c r="AO113" s="145"/>
      <c r="AP113" s="145"/>
      <c r="AQ113" s="145"/>
      <c r="AR113" s="145"/>
      <c r="AS113" s="145"/>
      <c r="AT113" s="145"/>
      <c r="AU113" s="145"/>
      <c r="AV113" s="145"/>
      <c r="AW113" s="158"/>
      <c r="AX113" s="145"/>
      <c r="AY113" s="145"/>
      <c r="AZ113" s="145"/>
      <c r="BA113" s="158"/>
      <c r="BB113" s="145"/>
      <c r="BC113" s="145"/>
      <c r="BD113" s="158"/>
      <c r="BE113" s="146"/>
      <c r="BF113" s="145"/>
      <c r="BG113" s="145"/>
      <c r="BH113" s="158">
        <f>SUM(BI113:BK113)</f>
      </c>
      <c r="BI113" s="145"/>
      <c r="BJ113" s="145"/>
      <c r="BK113" s="145"/>
      <c r="BL113" s="145">
        <f>SUM(BM113:BR113)</f>
      </c>
      <c r="BM113" s="145"/>
      <c r="BN113" s="145"/>
      <c r="BO113" s="158"/>
      <c r="BP113" s="145"/>
      <c r="BQ113" s="145"/>
      <c r="BR113" s="145"/>
      <c r="BS113" s="145"/>
      <c r="BT113" s="145"/>
      <c r="BU113" s="158"/>
      <c r="BV113" s="146"/>
      <c r="BW113" s="145"/>
      <c r="BX113" s="145"/>
      <c r="BY113" s="158">
        <f>SUM(BZ113:CB113)</f>
      </c>
      <c r="BZ113" s="146"/>
      <c r="CA113" s="145"/>
      <c r="CB113" s="145"/>
      <c r="CC113" s="145">
        <f>SUM(CD113:CH113)</f>
      </c>
      <c r="CD113" s="145"/>
      <c r="CE113" s="158"/>
      <c r="CF113" s="145"/>
      <c r="CG113" s="145"/>
      <c r="CH113" s="145"/>
      <c r="CI113" s="158"/>
      <c r="CJ113" s="145"/>
      <c r="CK113" s="145"/>
      <c r="CL113" s="145"/>
      <c r="CM113" s="145"/>
      <c r="CN113" s="145"/>
      <c r="CO113" s="145"/>
      <c r="CP113" s="145"/>
      <c r="CQ113" s="158"/>
      <c r="CR113" s="146"/>
      <c r="CS113" s="158"/>
      <c r="CT113" s="158"/>
      <c r="CU113" s="158">
        <f>SUM(CV113:CV113)</f>
      </c>
      <c r="CV113" s="146"/>
      <c r="CW113" s="145"/>
      <c r="CX113" s="145"/>
      <c r="CY113" s="145">
        <f>SUM(CZ113:DE113)</f>
      </c>
      <c r="CZ113" s="145"/>
      <c r="DA113" s="146"/>
      <c r="DB113" s="146"/>
      <c r="DC113" s="153"/>
      <c r="DD113" s="153"/>
      <c r="DE113" s="145"/>
      <c r="DF113" s="145"/>
      <c r="DG113" s="145"/>
      <c r="DH113" s="158"/>
      <c r="DI113" s="145"/>
      <c r="DJ113" s="158"/>
      <c r="DK113" s="145"/>
      <c r="DL113" s="158"/>
      <c r="DM113" s="145"/>
      <c r="DN113" s="145"/>
      <c r="DO113" s="145"/>
      <c r="DP113" s="158"/>
      <c r="DQ113" s="145"/>
      <c r="DR113" s="145"/>
      <c r="DS113" s="145"/>
      <c r="DT113" s="145"/>
      <c r="DU113" s="145">
        <f>SUM(DV113:EE113)</f>
      </c>
      <c r="DV113" s="145"/>
      <c r="DW113" s="145"/>
      <c r="DX113" s="145"/>
      <c r="DY113" s="145"/>
      <c r="DZ113" s="146"/>
      <c r="EA113" s="158"/>
      <c r="EB113" s="146"/>
      <c r="EC113" s="145"/>
      <c r="ED113" s="145"/>
      <c r="EE113" s="155"/>
      <c r="EF113" s="145">
        <f>SUM(EG113:EH113)</f>
      </c>
      <c r="EG113" s="145"/>
      <c r="EH113" s="146"/>
      <c r="EI113" s="159" cm="1">
        <f t="array" ref="EI113">ROW()-ROW(Run[#Headers])</f>
        <v>107</v>
      </c>
    </row>
    <row r="114" spans="2:139" s="79" customFormat="1" ht="11.25" x14ac:dyDescent="0.2">
      <c r="B114" s="146"/>
      <c r="C114" s="155"/>
      <c r="D114" s="145"/>
      <c r="E114" s="152">
        <f>SUM(F114:AE114)</f>
      </c>
      <c r="F114" s="146"/>
      <c r="G114" s="146"/>
      <c r="H114" s="146"/>
      <c r="I114" s="146"/>
      <c r="J114" s="146"/>
      <c r="K114" s="156"/>
      <c r="L114" s="146"/>
      <c r="M114" s="146"/>
      <c r="N114" s="146"/>
      <c r="O114" s="146"/>
      <c r="P114" s="156"/>
      <c r="Q114" s="146"/>
      <c r="R114" s="146"/>
      <c r="S114" s="146"/>
      <c r="T114" s="156"/>
      <c r="U114" s="146"/>
      <c r="V114" s="146"/>
      <c r="W114" s="146"/>
      <c r="X114" s="146"/>
      <c r="Y114" s="146"/>
      <c r="Z114" s="146"/>
      <c r="AA114" s="146"/>
      <c r="AB114" s="146"/>
      <c r="AC114" s="157"/>
      <c r="AD114" s="157"/>
      <c r="AE114" s="157"/>
      <c r="AF114" s="158">
        <f>SUM(AG114:AJ114)</f>
      </c>
      <c r="AG114" s="146"/>
      <c r="AH114" s="145"/>
      <c r="AI114" s="145"/>
      <c r="AJ114" s="145"/>
      <c r="AK114" s="158">
        <f>SUM(AL114:AW114)</f>
      </c>
      <c r="AL114" s="146"/>
      <c r="AM114" s="145"/>
      <c r="AN114" s="145"/>
      <c r="AO114" s="145"/>
      <c r="AP114" s="145"/>
      <c r="AQ114" s="145"/>
      <c r="AR114" s="145"/>
      <c r="AS114" s="145"/>
      <c r="AT114" s="145"/>
      <c r="AU114" s="145"/>
      <c r="AV114" s="145"/>
      <c r="AW114" s="158"/>
      <c r="AX114" s="145"/>
      <c r="AY114" s="145"/>
      <c r="AZ114" s="145"/>
      <c r="BA114" s="158"/>
      <c r="BB114" s="145"/>
      <c r="BC114" s="145"/>
      <c r="BD114" s="158"/>
      <c r="BE114" s="146"/>
      <c r="BF114" s="145"/>
      <c r="BG114" s="145"/>
      <c r="BH114" s="158">
        <f>SUM(BI114:BK114)</f>
      </c>
      <c r="BI114" s="145"/>
      <c r="BJ114" s="145"/>
      <c r="BK114" s="145"/>
      <c r="BL114" s="145">
        <f>SUM(BM114:BR114)</f>
      </c>
      <c r="BM114" s="145"/>
      <c r="BN114" s="145"/>
      <c r="BO114" s="158"/>
      <c r="BP114" s="145"/>
      <c r="BQ114" s="145"/>
      <c r="BR114" s="145"/>
      <c r="BS114" s="145"/>
      <c r="BT114" s="145"/>
      <c r="BU114" s="158"/>
      <c r="BV114" s="146"/>
      <c r="BW114" s="145"/>
      <c r="BX114" s="145"/>
      <c r="BY114" s="158">
        <f>SUM(BZ114:CB114)</f>
      </c>
      <c r="BZ114" s="146"/>
      <c r="CA114" s="145"/>
      <c r="CB114" s="145"/>
      <c r="CC114" s="145">
        <f>SUM(CD114:CH114)</f>
      </c>
      <c r="CD114" s="145"/>
      <c r="CE114" s="158"/>
      <c r="CF114" s="145"/>
      <c r="CG114" s="145"/>
      <c r="CH114" s="145"/>
      <c r="CI114" s="158"/>
      <c r="CJ114" s="145"/>
      <c r="CK114" s="145"/>
      <c r="CL114" s="145"/>
      <c r="CM114" s="145"/>
      <c r="CN114" s="145"/>
      <c r="CO114" s="145"/>
      <c r="CP114" s="145"/>
      <c r="CQ114" s="158"/>
      <c r="CR114" s="146"/>
      <c r="CS114" s="158"/>
      <c r="CT114" s="158"/>
      <c r="CU114" s="158">
        <f>SUM(CV114:CV114)</f>
      </c>
      <c r="CV114" s="146"/>
      <c r="CW114" s="145"/>
      <c r="CX114" s="145"/>
      <c r="CY114" s="145">
        <f>SUM(CZ114:DE114)</f>
      </c>
      <c r="CZ114" s="145"/>
      <c r="DA114" s="146"/>
      <c r="DB114" s="146"/>
      <c r="DC114" s="153"/>
      <c r="DD114" s="153"/>
      <c r="DE114" s="145"/>
      <c r="DF114" s="145"/>
      <c r="DG114" s="145"/>
      <c r="DH114" s="158"/>
      <c r="DI114" s="145"/>
      <c r="DJ114" s="158"/>
      <c r="DK114" s="145"/>
      <c r="DL114" s="158"/>
      <c r="DM114" s="145"/>
      <c r="DN114" s="145"/>
      <c r="DO114" s="145"/>
      <c r="DP114" s="158"/>
      <c r="DQ114" s="145"/>
      <c r="DR114" s="145"/>
      <c r="DS114" s="145"/>
      <c r="DT114" s="145"/>
      <c r="DU114" s="145">
        <f>SUM(DV114:EE114)</f>
      </c>
      <c r="DV114" s="145"/>
      <c r="DW114" s="145"/>
      <c r="DX114" s="145"/>
      <c r="DY114" s="145"/>
      <c r="DZ114" s="146"/>
      <c r="EA114" s="158"/>
      <c r="EB114" s="146"/>
      <c r="EC114" s="145"/>
      <c r="ED114" s="145"/>
      <c r="EE114" s="155"/>
      <c r="EF114" s="145">
        <f>SUM(EG114:EH114)</f>
      </c>
      <c r="EG114" s="145"/>
      <c r="EH114" s="146"/>
      <c r="EI114" s="159" cm="1">
        <f t="array" ref="EI114">ROW()-ROW(Run[#Headers])</f>
        <v>108</v>
      </c>
    </row>
    <row r="115" spans="2:139" s="79" customFormat="1" ht="11.25" x14ac:dyDescent="0.2">
      <c r="B115" s="146"/>
      <c r="C115" s="155"/>
      <c r="D115" s="145"/>
      <c r="E115" s="152">
        <f>SUM(F115:AE115)</f>
      </c>
      <c r="F115" s="146"/>
      <c r="G115" s="146"/>
      <c r="H115" s="146"/>
      <c r="I115" s="146"/>
      <c r="J115" s="146"/>
      <c r="K115" s="156"/>
      <c r="L115" s="146"/>
      <c r="M115" s="146"/>
      <c r="N115" s="146"/>
      <c r="O115" s="146"/>
      <c r="P115" s="156"/>
      <c r="Q115" s="146"/>
      <c r="R115" s="146"/>
      <c r="S115" s="146"/>
      <c r="T115" s="156"/>
      <c r="U115" s="146"/>
      <c r="V115" s="146"/>
      <c r="W115" s="146"/>
      <c r="X115" s="146"/>
      <c r="Y115" s="146"/>
      <c r="Z115" s="146"/>
      <c r="AA115" s="146"/>
      <c r="AB115" s="146"/>
      <c r="AC115" s="157"/>
      <c r="AD115" s="157"/>
      <c r="AE115" s="157"/>
      <c r="AF115" s="158">
        <f>SUM(AG115:AJ115)</f>
      </c>
      <c r="AG115" s="146"/>
      <c r="AH115" s="145"/>
      <c r="AI115" s="145"/>
      <c r="AJ115" s="145"/>
      <c r="AK115" s="158">
        <f>SUM(AL115:AW115)</f>
      </c>
      <c r="AL115" s="146"/>
      <c r="AM115" s="145"/>
      <c r="AN115" s="145"/>
      <c r="AO115" s="145"/>
      <c r="AP115" s="145"/>
      <c r="AQ115" s="145"/>
      <c r="AR115" s="145"/>
      <c r="AS115" s="145"/>
      <c r="AT115" s="145"/>
      <c r="AU115" s="145"/>
      <c r="AV115" s="145"/>
      <c r="AW115" s="158"/>
      <c r="AX115" s="145"/>
      <c r="AY115" s="145"/>
      <c r="AZ115" s="145"/>
      <c r="BA115" s="158"/>
      <c r="BB115" s="145"/>
      <c r="BC115" s="145"/>
      <c r="BD115" s="158"/>
      <c r="BE115" s="146"/>
      <c r="BF115" s="145"/>
      <c r="BG115" s="145"/>
      <c r="BH115" s="158">
        <f>SUM(BI115:BK115)</f>
      </c>
      <c r="BI115" s="145"/>
      <c r="BJ115" s="145"/>
      <c r="BK115" s="145"/>
      <c r="BL115" s="145">
        <f>SUM(BM115:BR115)</f>
      </c>
      <c r="BM115" s="145"/>
      <c r="BN115" s="145"/>
      <c r="BO115" s="158"/>
      <c r="BP115" s="145"/>
      <c r="BQ115" s="145"/>
      <c r="BR115" s="145"/>
      <c r="BS115" s="145"/>
      <c r="BT115" s="145"/>
      <c r="BU115" s="158"/>
      <c r="BV115" s="146"/>
      <c r="BW115" s="145"/>
      <c r="BX115" s="145"/>
      <c r="BY115" s="158">
        <f>SUM(BZ115:CB115)</f>
      </c>
      <c r="BZ115" s="146"/>
      <c r="CA115" s="145"/>
      <c r="CB115" s="145"/>
      <c r="CC115" s="145">
        <f>SUM(CD115:CH115)</f>
      </c>
      <c r="CD115" s="145"/>
      <c r="CE115" s="158"/>
      <c r="CF115" s="145"/>
      <c r="CG115" s="145"/>
      <c r="CH115" s="145"/>
      <c r="CI115" s="158"/>
      <c r="CJ115" s="145"/>
      <c r="CK115" s="145"/>
      <c r="CL115" s="145"/>
      <c r="CM115" s="145"/>
      <c r="CN115" s="145"/>
      <c r="CO115" s="145"/>
      <c r="CP115" s="145"/>
      <c r="CQ115" s="158"/>
      <c r="CR115" s="146"/>
      <c r="CS115" s="158"/>
      <c r="CT115" s="158"/>
      <c r="CU115" s="158">
        <f>SUM(CV115:CV115)</f>
      </c>
      <c r="CV115" s="146"/>
      <c r="CW115" s="145"/>
      <c r="CX115" s="145"/>
      <c r="CY115" s="145">
        <f>SUM(CZ115:DE115)</f>
      </c>
      <c r="CZ115" s="145"/>
      <c r="DA115" s="146"/>
      <c r="DB115" s="146"/>
      <c r="DC115" s="153"/>
      <c r="DD115" s="153"/>
      <c r="DE115" s="145"/>
      <c r="DF115" s="145"/>
      <c r="DG115" s="145"/>
      <c r="DH115" s="158"/>
      <c r="DI115" s="145"/>
      <c r="DJ115" s="158"/>
      <c r="DK115" s="145"/>
      <c r="DL115" s="158"/>
      <c r="DM115" s="145"/>
      <c r="DN115" s="145"/>
      <c r="DO115" s="145"/>
      <c r="DP115" s="158"/>
      <c r="DQ115" s="145"/>
      <c r="DR115" s="145"/>
      <c r="DS115" s="145"/>
      <c r="DT115" s="145"/>
      <c r="DU115" s="145">
        <f>SUM(DV115:EE115)</f>
      </c>
      <c r="DV115" s="145"/>
      <c r="DW115" s="145"/>
      <c r="DX115" s="145"/>
      <c r="DY115" s="145"/>
      <c r="DZ115" s="146"/>
      <c r="EA115" s="158"/>
      <c r="EB115" s="146"/>
      <c r="EC115" s="145"/>
      <c r="ED115" s="145"/>
      <c r="EE115" s="155"/>
      <c r="EF115" s="145">
        <f>SUM(EG115:EH115)</f>
      </c>
      <c r="EG115" s="145"/>
      <c r="EH115" s="146"/>
      <c r="EI115" s="159" cm="1">
        <f t="array" ref="EI115">ROW()-ROW(Run[#Headers])</f>
        <v>109</v>
      </c>
    </row>
    <row r="116" spans="2:139" s="79" customFormat="1" ht="11.25" x14ac:dyDescent="0.2">
      <c r="B116" s="146"/>
      <c r="C116" s="155"/>
      <c r="D116" s="145"/>
      <c r="E116" s="152">
        <f>SUM(F116:AE116)</f>
      </c>
      <c r="F116" s="146"/>
      <c r="G116" s="146"/>
      <c r="H116" s="146"/>
      <c r="I116" s="146"/>
      <c r="J116" s="146"/>
      <c r="K116" s="156"/>
      <c r="L116" s="146"/>
      <c r="M116" s="146"/>
      <c r="N116" s="146"/>
      <c r="O116" s="146"/>
      <c r="P116" s="156"/>
      <c r="Q116" s="146"/>
      <c r="R116" s="146"/>
      <c r="S116" s="146"/>
      <c r="T116" s="156"/>
      <c r="U116" s="146"/>
      <c r="V116" s="146"/>
      <c r="W116" s="146"/>
      <c r="X116" s="146"/>
      <c r="Y116" s="146"/>
      <c r="Z116" s="146"/>
      <c r="AA116" s="146"/>
      <c r="AB116" s="146"/>
      <c r="AC116" s="157"/>
      <c r="AD116" s="157"/>
      <c r="AE116" s="157"/>
      <c r="AF116" s="158">
        <f>SUM(AG116:AJ116)</f>
      </c>
      <c r="AG116" s="146"/>
      <c r="AH116" s="145"/>
      <c r="AI116" s="145"/>
      <c r="AJ116" s="145"/>
      <c r="AK116" s="158">
        <f>SUM(AL116:AW116)</f>
      </c>
      <c r="AL116" s="146"/>
      <c r="AM116" s="145"/>
      <c r="AN116" s="145"/>
      <c r="AO116" s="145"/>
      <c r="AP116" s="145"/>
      <c r="AQ116" s="145"/>
      <c r="AR116" s="145"/>
      <c r="AS116" s="145"/>
      <c r="AT116" s="145"/>
      <c r="AU116" s="145"/>
      <c r="AV116" s="145"/>
      <c r="AW116" s="158"/>
      <c r="AX116" s="145"/>
      <c r="AY116" s="145"/>
      <c r="AZ116" s="145"/>
      <c r="BA116" s="158"/>
      <c r="BB116" s="145"/>
      <c r="BC116" s="145"/>
      <c r="BD116" s="158"/>
      <c r="BE116" s="146"/>
      <c r="BF116" s="145"/>
      <c r="BG116" s="145"/>
      <c r="BH116" s="158">
        <f>SUM(BI116:BK116)</f>
      </c>
      <c r="BI116" s="145"/>
      <c r="BJ116" s="145"/>
      <c r="BK116" s="145"/>
      <c r="BL116" s="145">
        <f>SUM(BM116:BR116)</f>
      </c>
      <c r="BM116" s="145"/>
      <c r="BN116" s="145"/>
      <c r="BO116" s="158"/>
      <c r="BP116" s="145"/>
      <c r="BQ116" s="145"/>
      <c r="BR116" s="145"/>
      <c r="BS116" s="145"/>
      <c r="BT116" s="145"/>
      <c r="BU116" s="158"/>
      <c r="BV116" s="146"/>
      <c r="BW116" s="145"/>
      <c r="BX116" s="145"/>
      <c r="BY116" s="158">
        <f>SUM(BZ116:CB116)</f>
      </c>
      <c r="BZ116" s="146"/>
      <c r="CA116" s="145"/>
      <c r="CB116" s="145"/>
      <c r="CC116" s="145">
        <f>SUM(CD116:CH116)</f>
      </c>
      <c r="CD116" s="145"/>
      <c r="CE116" s="158"/>
      <c r="CF116" s="145"/>
      <c r="CG116" s="145"/>
      <c r="CH116" s="145"/>
      <c r="CI116" s="158"/>
      <c r="CJ116" s="145"/>
      <c r="CK116" s="145"/>
      <c r="CL116" s="145"/>
      <c r="CM116" s="145"/>
      <c r="CN116" s="145"/>
      <c r="CO116" s="145"/>
      <c r="CP116" s="145"/>
      <c r="CQ116" s="158"/>
      <c r="CR116" s="146"/>
      <c r="CS116" s="158"/>
      <c r="CT116" s="158"/>
      <c r="CU116" s="158">
        <f>SUM(CV116:CV116)</f>
      </c>
      <c r="CV116" s="146"/>
      <c r="CW116" s="145"/>
      <c r="CX116" s="145"/>
      <c r="CY116" s="145">
        <f>SUM(CZ116:DE116)</f>
      </c>
      <c r="CZ116" s="145"/>
      <c r="DA116" s="146"/>
      <c r="DB116" s="146"/>
      <c r="DC116" s="153"/>
      <c r="DD116" s="153"/>
      <c r="DE116" s="145"/>
      <c r="DF116" s="145"/>
      <c r="DG116" s="145"/>
      <c r="DH116" s="158"/>
      <c r="DI116" s="145"/>
      <c r="DJ116" s="158"/>
      <c r="DK116" s="145"/>
      <c r="DL116" s="158"/>
      <c r="DM116" s="145"/>
      <c r="DN116" s="145"/>
      <c r="DO116" s="145"/>
      <c r="DP116" s="158"/>
      <c r="DQ116" s="145"/>
      <c r="DR116" s="145"/>
      <c r="DS116" s="145"/>
      <c r="DT116" s="145"/>
      <c r="DU116" s="145">
        <f>SUM(DV116:EE116)</f>
      </c>
      <c r="DV116" s="145"/>
      <c r="DW116" s="145"/>
      <c r="DX116" s="145"/>
      <c r="DY116" s="145"/>
      <c r="DZ116" s="146"/>
      <c r="EA116" s="158"/>
      <c r="EB116" s="146"/>
      <c r="EC116" s="145"/>
      <c r="ED116" s="145"/>
      <c r="EE116" s="155"/>
      <c r="EF116" s="145">
        <f>SUM(EG116:EH116)</f>
      </c>
      <c r="EG116" s="145"/>
      <c r="EH116" s="146"/>
      <c r="EI116" s="159" cm="1">
        <f t="array" ref="EI116">ROW()-ROW(Run[#Headers])</f>
        <v>110</v>
      </c>
    </row>
    <row r="117" spans="2:139" s="79" customFormat="1" ht="11.25" x14ac:dyDescent="0.2">
      <c r="B117" s="146"/>
      <c r="C117" s="155"/>
      <c r="D117" s="145"/>
      <c r="E117" s="152">
        <f>SUM(F117:AE117)</f>
      </c>
      <c r="F117" s="146"/>
      <c r="G117" s="146"/>
      <c r="H117" s="146"/>
      <c r="I117" s="146"/>
      <c r="J117" s="146"/>
      <c r="K117" s="156"/>
      <c r="L117" s="146"/>
      <c r="M117" s="146"/>
      <c r="N117" s="146"/>
      <c r="O117" s="146"/>
      <c r="P117" s="156"/>
      <c r="Q117" s="146"/>
      <c r="R117" s="146"/>
      <c r="S117" s="146"/>
      <c r="T117" s="156"/>
      <c r="U117" s="146"/>
      <c r="V117" s="146"/>
      <c r="W117" s="146"/>
      <c r="X117" s="146"/>
      <c r="Y117" s="146"/>
      <c r="Z117" s="146"/>
      <c r="AA117" s="146"/>
      <c r="AB117" s="146"/>
      <c r="AC117" s="157"/>
      <c r="AD117" s="157"/>
      <c r="AE117" s="157"/>
      <c r="AF117" s="158">
        <f>SUM(AG117:AJ117)</f>
      </c>
      <c r="AG117" s="146"/>
      <c r="AH117" s="145"/>
      <c r="AI117" s="145"/>
      <c r="AJ117" s="145"/>
      <c r="AK117" s="158">
        <f>SUM(AL117:AW117)</f>
      </c>
      <c r="AL117" s="146"/>
      <c r="AM117" s="145"/>
      <c r="AN117" s="145"/>
      <c r="AO117" s="145"/>
      <c r="AP117" s="145"/>
      <c r="AQ117" s="145"/>
      <c r="AR117" s="145"/>
      <c r="AS117" s="145"/>
      <c r="AT117" s="145"/>
      <c r="AU117" s="145"/>
      <c r="AV117" s="145"/>
      <c r="AW117" s="158"/>
      <c r="AX117" s="145"/>
      <c r="AY117" s="145"/>
      <c r="AZ117" s="145"/>
      <c r="BA117" s="158"/>
      <c r="BB117" s="145"/>
      <c r="BC117" s="145"/>
      <c r="BD117" s="158"/>
      <c r="BE117" s="146"/>
      <c r="BF117" s="145"/>
      <c r="BG117" s="145"/>
      <c r="BH117" s="158">
        <f>SUM(BI117:BK117)</f>
      </c>
      <c r="BI117" s="145"/>
      <c r="BJ117" s="145"/>
      <c r="BK117" s="145"/>
      <c r="BL117" s="145">
        <f>SUM(BM117:BR117)</f>
      </c>
      <c r="BM117" s="145"/>
      <c r="BN117" s="145"/>
      <c r="BO117" s="158"/>
      <c r="BP117" s="145"/>
      <c r="BQ117" s="145"/>
      <c r="BR117" s="145"/>
      <c r="BS117" s="145"/>
      <c r="BT117" s="145"/>
      <c r="BU117" s="158"/>
      <c r="BV117" s="146"/>
      <c r="BW117" s="145"/>
      <c r="BX117" s="145"/>
      <c r="BY117" s="158">
        <f>SUM(BZ117:CB117)</f>
      </c>
      <c r="BZ117" s="146"/>
      <c r="CA117" s="145"/>
      <c r="CB117" s="145"/>
      <c r="CC117" s="145">
        <f>SUM(CD117:CH117)</f>
      </c>
      <c r="CD117" s="145"/>
      <c r="CE117" s="158"/>
      <c r="CF117" s="145"/>
      <c r="CG117" s="145"/>
      <c r="CH117" s="145"/>
      <c r="CI117" s="158"/>
      <c r="CJ117" s="145"/>
      <c r="CK117" s="145"/>
      <c r="CL117" s="145"/>
      <c r="CM117" s="145"/>
      <c r="CN117" s="145"/>
      <c r="CO117" s="145"/>
      <c r="CP117" s="145"/>
      <c r="CQ117" s="158"/>
      <c r="CR117" s="146"/>
      <c r="CS117" s="158"/>
      <c r="CT117" s="158"/>
      <c r="CU117" s="158">
        <f>SUM(CV117:CV117)</f>
      </c>
      <c r="CV117" s="146"/>
      <c r="CW117" s="145"/>
      <c r="CX117" s="145"/>
      <c r="CY117" s="145">
        <f>SUM(CZ117:DE117)</f>
      </c>
      <c r="CZ117" s="145"/>
      <c r="DA117" s="146"/>
      <c r="DB117" s="146"/>
      <c r="DC117" s="153"/>
      <c r="DD117" s="153"/>
      <c r="DE117" s="145"/>
      <c r="DF117" s="145"/>
      <c r="DG117" s="145"/>
      <c r="DH117" s="158"/>
      <c r="DI117" s="145"/>
      <c r="DJ117" s="158"/>
      <c r="DK117" s="145"/>
      <c r="DL117" s="158"/>
      <c r="DM117" s="145"/>
      <c r="DN117" s="145"/>
      <c r="DO117" s="145"/>
      <c r="DP117" s="158"/>
      <c r="DQ117" s="145"/>
      <c r="DR117" s="145"/>
      <c r="DS117" s="145"/>
      <c r="DT117" s="145"/>
      <c r="DU117" s="145">
        <f>SUM(DV117:EE117)</f>
      </c>
      <c r="DV117" s="145"/>
      <c r="DW117" s="145"/>
      <c r="DX117" s="145"/>
      <c r="DY117" s="145"/>
      <c r="DZ117" s="146"/>
      <c r="EA117" s="158"/>
      <c r="EB117" s="146"/>
      <c r="EC117" s="145"/>
      <c r="ED117" s="145"/>
      <c r="EE117" s="155"/>
      <c r="EF117" s="145">
        <f>SUM(EG117:EH117)</f>
      </c>
      <c r="EG117" s="145"/>
      <c r="EH117" s="146"/>
      <c r="EI117" s="159" cm="1">
        <f t="array" ref="EI117">ROW()-ROW(Run[#Headers])</f>
        <v>111</v>
      </c>
    </row>
    <row r="118" spans="2:139" s="79" customFormat="1" ht="11.25" x14ac:dyDescent="0.2">
      <c r="B118" s="146"/>
      <c r="C118" s="155"/>
      <c r="D118" s="145"/>
      <c r="E118" s="152">
        <f>SUM(F118:AE118)</f>
      </c>
      <c r="F118" s="146"/>
      <c r="G118" s="146"/>
      <c r="H118" s="146"/>
      <c r="I118" s="146"/>
      <c r="J118" s="146"/>
      <c r="K118" s="156"/>
      <c r="L118" s="146"/>
      <c r="M118" s="146"/>
      <c r="N118" s="146"/>
      <c r="O118" s="146"/>
      <c r="P118" s="156"/>
      <c r="Q118" s="146"/>
      <c r="R118" s="146"/>
      <c r="S118" s="146"/>
      <c r="T118" s="156"/>
      <c r="U118" s="146"/>
      <c r="V118" s="146"/>
      <c r="W118" s="146"/>
      <c r="X118" s="146"/>
      <c r="Y118" s="146"/>
      <c r="Z118" s="146"/>
      <c r="AA118" s="146"/>
      <c r="AB118" s="146"/>
      <c r="AC118" s="157"/>
      <c r="AD118" s="157"/>
      <c r="AE118" s="157"/>
      <c r="AF118" s="158">
        <f>SUM(AG118:AJ118)</f>
      </c>
      <c r="AG118" s="146"/>
      <c r="AH118" s="145"/>
      <c r="AI118" s="145"/>
      <c r="AJ118" s="145"/>
      <c r="AK118" s="158">
        <f>SUM(AL118:AW118)</f>
      </c>
      <c r="AL118" s="146"/>
      <c r="AM118" s="145"/>
      <c r="AN118" s="145"/>
      <c r="AO118" s="145"/>
      <c r="AP118" s="145"/>
      <c r="AQ118" s="145"/>
      <c r="AR118" s="145"/>
      <c r="AS118" s="145"/>
      <c r="AT118" s="145"/>
      <c r="AU118" s="145"/>
      <c r="AV118" s="145"/>
      <c r="AW118" s="158"/>
      <c r="AX118" s="145"/>
      <c r="AY118" s="145"/>
      <c r="AZ118" s="145"/>
      <c r="BA118" s="158"/>
      <c r="BB118" s="145"/>
      <c r="BC118" s="145"/>
      <c r="BD118" s="158"/>
      <c r="BE118" s="146"/>
      <c r="BF118" s="145"/>
      <c r="BG118" s="145"/>
      <c r="BH118" s="158">
        <f>SUM(BI118:BK118)</f>
      </c>
      <c r="BI118" s="145"/>
      <c r="BJ118" s="145"/>
      <c r="BK118" s="145"/>
      <c r="BL118" s="145">
        <f>SUM(BM118:BR118)</f>
      </c>
      <c r="BM118" s="145"/>
      <c r="BN118" s="145"/>
      <c r="BO118" s="158"/>
      <c r="BP118" s="145"/>
      <c r="BQ118" s="145"/>
      <c r="BR118" s="145"/>
      <c r="BS118" s="145"/>
      <c r="BT118" s="145"/>
      <c r="BU118" s="158"/>
      <c r="BV118" s="146"/>
      <c r="BW118" s="145"/>
      <c r="BX118" s="145"/>
      <c r="BY118" s="158">
        <f>SUM(BZ118:CB118)</f>
      </c>
      <c r="BZ118" s="146"/>
      <c r="CA118" s="145"/>
      <c r="CB118" s="145"/>
      <c r="CC118" s="145">
        <f>SUM(CD118:CH118)</f>
      </c>
      <c r="CD118" s="145"/>
      <c r="CE118" s="158"/>
      <c r="CF118" s="145"/>
      <c r="CG118" s="145"/>
      <c r="CH118" s="145"/>
      <c r="CI118" s="158"/>
      <c r="CJ118" s="145"/>
      <c r="CK118" s="145"/>
      <c r="CL118" s="145"/>
      <c r="CM118" s="145"/>
      <c r="CN118" s="145"/>
      <c r="CO118" s="145"/>
      <c r="CP118" s="145"/>
      <c r="CQ118" s="158"/>
      <c r="CR118" s="146"/>
      <c r="CS118" s="158"/>
      <c r="CT118" s="158"/>
      <c r="CU118" s="158">
        <f>SUM(CV118:CV118)</f>
      </c>
      <c r="CV118" s="146"/>
      <c r="CW118" s="145"/>
      <c r="CX118" s="145"/>
      <c r="CY118" s="145">
        <f>SUM(CZ118:DE118)</f>
      </c>
      <c r="CZ118" s="145"/>
      <c r="DA118" s="146"/>
      <c r="DB118" s="146"/>
      <c r="DC118" s="153"/>
      <c r="DD118" s="153"/>
      <c r="DE118" s="145"/>
      <c r="DF118" s="145"/>
      <c r="DG118" s="145"/>
      <c r="DH118" s="158"/>
      <c r="DI118" s="145"/>
      <c r="DJ118" s="158"/>
      <c r="DK118" s="145"/>
      <c r="DL118" s="158"/>
      <c r="DM118" s="145"/>
      <c r="DN118" s="145"/>
      <c r="DO118" s="145"/>
      <c r="DP118" s="158"/>
      <c r="DQ118" s="145"/>
      <c r="DR118" s="145"/>
      <c r="DS118" s="145"/>
      <c r="DT118" s="145"/>
      <c r="DU118" s="145">
        <f>SUM(DV118:EE118)</f>
      </c>
      <c r="DV118" s="145"/>
      <c r="DW118" s="145"/>
      <c r="DX118" s="145"/>
      <c r="DY118" s="145"/>
      <c r="DZ118" s="146"/>
      <c r="EA118" s="158"/>
      <c r="EB118" s="146"/>
      <c r="EC118" s="145"/>
      <c r="ED118" s="145"/>
      <c r="EE118" s="155"/>
      <c r="EF118" s="145">
        <f>SUM(EG118:EH118)</f>
      </c>
      <c r="EG118" s="145"/>
      <c r="EH118" s="146"/>
      <c r="EI118" s="159" cm="1">
        <f t="array" ref="EI118">ROW()-ROW(Run[#Headers])</f>
        <v>112</v>
      </c>
    </row>
    <row r="119" spans="2:139" s="79" customFormat="1" ht="11.25" x14ac:dyDescent="0.2">
      <c r="B119" s="146"/>
      <c r="C119" s="155"/>
      <c r="D119" s="145"/>
      <c r="E119" s="152">
        <f>SUM(F119:AE119)</f>
      </c>
      <c r="F119" s="146"/>
      <c r="G119" s="146"/>
      <c r="H119" s="146"/>
      <c r="I119" s="146"/>
      <c r="J119" s="146"/>
      <c r="K119" s="156"/>
      <c r="L119" s="146"/>
      <c r="M119" s="146"/>
      <c r="N119" s="146"/>
      <c r="O119" s="146"/>
      <c r="P119" s="156"/>
      <c r="Q119" s="146"/>
      <c r="R119" s="146"/>
      <c r="S119" s="146"/>
      <c r="T119" s="156"/>
      <c r="U119" s="146"/>
      <c r="V119" s="146"/>
      <c r="W119" s="146"/>
      <c r="X119" s="146"/>
      <c r="Y119" s="146"/>
      <c r="Z119" s="146"/>
      <c r="AA119" s="146"/>
      <c r="AB119" s="146"/>
      <c r="AC119" s="157"/>
      <c r="AD119" s="157"/>
      <c r="AE119" s="157"/>
      <c r="AF119" s="158">
        <f>SUM(AG119:AJ119)</f>
      </c>
      <c r="AG119" s="146"/>
      <c r="AH119" s="145"/>
      <c r="AI119" s="145"/>
      <c r="AJ119" s="145"/>
      <c r="AK119" s="158">
        <f>SUM(AL119:AW119)</f>
      </c>
      <c r="AL119" s="146"/>
      <c r="AM119" s="145"/>
      <c r="AN119" s="145"/>
      <c r="AO119" s="145"/>
      <c r="AP119" s="145"/>
      <c r="AQ119" s="145"/>
      <c r="AR119" s="145"/>
      <c r="AS119" s="145"/>
      <c r="AT119" s="145"/>
      <c r="AU119" s="145"/>
      <c r="AV119" s="145"/>
      <c r="AW119" s="158"/>
      <c r="AX119" s="145"/>
      <c r="AY119" s="145"/>
      <c r="AZ119" s="145"/>
      <c r="BA119" s="158"/>
      <c r="BB119" s="145"/>
      <c r="BC119" s="145"/>
      <c r="BD119" s="158"/>
      <c r="BE119" s="146"/>
      <c r="BF119" s="145"/>
      <c r="BG119" s="145"/>
      <c r="BH119" s="158">
        <f>SUM(BI119:BK119)</f>
      </c>
      <c r="BI119" s="145"/>
      <c r="BJ119" s="145"/>
      <c r="BK119" s="145"/>
      <c r="BL119" s="145">
        <f>SUM(BM119:BR119)</f>
      </c>
      <c r="BM119" s="145"/>
      <c r="BN119" s="145"/>
      <c r="BO119" s="158"/>
      <c r="BP119" s="145"/>
      <c r="BQ119" s="145"/>
      <c r="BR119" s="145"/>
      <c r="BS119" s="145"/>
      <c r="BT119" s="145"/>
      <c r="BU119" s="158"/>
      <c r="BV119" s="146"/>
      <c r="BW119" s="145"/>
      <c r="BX119" s="145"/>
      <c r="BY119" s="158">
        <f>SUM(BZ119:CB119)</f>
      </c>
      <c r="BZ119" s="146"/>
      <c r="CA119" s="145"/>
      <c r="CB119" s="145"/>
      <c r="CC119" s="145">
        <f>SUM(CD119:CH119)</f>
      </c>
      <c r="CD119" s="145"/>
      <c r="CE119" s="158"/>
      <c r="CF119" s="145"/>
      <c r="CG119" s="145"/>
      <c r="CH119" s="145"/>
      <c r="CI119" s="158"/>
      <c r="CJ119" s="145"/>
      <c r="CK119" s="145"/>
      <c r="CL119" s="145"/>
      <c r="CM119" s="145"/>
      <c r="CN119" s="145"/>
      <c r="CO119" s="145"/>
      <c r="CP119" s="145"/>
      <c r="CQ119" s="158"/>
      <c r="CR119" s="146"/>
      <c r="CS119" s="158"/>
      <c r="CT119" s="158"/>
      <c r="CU119" s="158">
        <f>SUM(CV119:CV119)</f>
      </c>
      <c r="CV119" s="146"/>
      <c r="CW119" s="145"/>
      <c r="CX119" s="145"/>
      <c r="CY119" s="145">
        <f>SUM(CZ119:DE119)</f>
      </c>
      <c r="CZ119" s="145"/>
      <c r="DA119" s="146"/>
      <c r="DB119" s="146"/>
      <c r="DC119" s="153"/>
      <c r="DD119" s="153"/>
      <c r="DE119" s="145"/>
      <c r="DF119" s="145"/>
      <c r="DG119" s="145"/>
      <c r="DH119" s="158"/>
      <c r="DI119" s="145"/>
      <c r="DJ119" s="158"/>
      <c r="DK119" s="145"/>
      <c r="DL119" s="158"/>
      <c r="DM119" s="145"/>
      <c r="DN119" s="145"/>
      <c r="DO119" s="145"/>
      <c r="DP119" s="158"/>
      <c r="DQ119" s="145"/>
      <c r="DR119" s="145"/>
      <c r="DS119" s="145"/>
      <c r="DT119" s="145"/>
      <c r="DU119" s="145">
        <f>SUM(DV119:EE119)</f>
      </c>
      <c r="DV119" s="145"/>
      <c r="DW119" s="145"/>
      <c r="DX119" s="145"/>
      <c r="DY119" s="145"/>
      <c r="DZ119" s="146"/>
      <c r="EA119" s="158"/>
      <c r="EB119" s="146"/>
      <c r="EC119" s="145"/>
      <c r="ED119" s="145"/>
      <c r="EE119" s="155"/>
      <c r="EF119" s="145">
        <f>SUM(EG119:EH119)</f>
      </c>
      <c r="EG119" s="145"/>
      <c r="EH119" s="146"/>
      <c r="EI119" s="159" cm="1">
        <f t="array" ref="EI119">ROW()-ROW(Run[#Headers])</f>
        <v>113</v>
      </c>
    </row>
    <row r="120" spans="2:139" s="79" customFormat="1" ht="11.25" x14ac:dyDescent="0.2">
      <c r="B120" s="146"/>
      <c r="C120" s="155"/>
      <c r="D120" s="145"/>
      <c r="E120" s="152">
        <f>SUM(F120:AE120)</f>
      </c>
      <c r="F120" s="146"/>
      <c r="G120" s="146"/>
      <c r="H120" s="146"/>
      <c r="I120" s="146"/>
      <c r="J120" s="146"/>
      <c r="K120" s="156"/>
      <c r="L120" s="146"/>
      <c r="M120" s="146"/>
      <c r="N120" s="146"/>
      <c r="O120" s="146"/>
      <c r="P120" s="156"/>
      <c r="Q120" s="146"/>
      <c r="R120" s="146"/>
      <c r="S120" s="146"/>
      <c r="T120" s="156"/>
      <c r="U120" s="146"/>
      <c r="V120" s="146"/>
      <c r="W120" s="146"/>
      <c r="X120" s="146"/>
      <c r="Y120" s="146"/>
      <c r="Z120" s="146"/>
      <c r="AA120" s="146"/>
      <c r="AB120" s="146"/>
      <c r="AC120" s="157"/>
      <c r="AD120" s="157"/>
      <c r="AE120" s="157"/>
      <c r="AF120" s="158">
        <f>SUM(AG120:AJ120)</f>
      </c>
      <c r="AG120" s="146"/>
      <c r="AH120" s="145"/>
      <c r="AI120" s="145"/>
      <c r="AJ120" s="145"/>
      <c r="AK120" s="158">
        <f>SUM(AL120:AW120)</f>
      </c>
      <c r="AL120" s="146"/>
      <c r="AM120" s="145"/>
      <c r="AN120" s="145"/>
      <c r="AO120" s="145"/>
      <c r="AP120" s="145"/>
      <c r="AQ120" s="145"/>
      <c r="AR120" s="145"/>
      <c r="AS120" s="145"/>
      <c r="AT120" s="145"/>
      <c r="AU120" s="145"/>
      <c r="AV120" s="145"/>
      <c r="AW120" s="158"/>
      <c r="AX120" s="145"/>
      <c r="AY120" s="145"/>
      <c r="AZ120" s="145"/>
      <c r="BA120" s="158"/>
      <c r="BB120" s="145"/>
      <c r="BC120" s="145"/>
      <c r="BD120" s="158"/>
      <c r="BE120" s="146"/>
      <c r="BF120" s="145"/>
      <c r="BG120" s="145"/>
      <c r="BH120" s="158">
        <f>SUM(BI120:BK120)</f>
      </c>
      <c r="BI120" s="145"/>
      <c r="BJ120" s="145"/>
      <c r="BK120" s="145"/>
      <c r="BL120" s="145">
        <f>SUM(BM120:BR120)</f>
      </c>
      <c r="BM120" s="145"/>
      <c r="BN120" s="145"/>
      <c r="BO120" s="158"/>
      <c r="BP120" s="145"/>
      <c r="BQ120" s="145"/>
      <c r="BR120" s="145"/>
      <c r="BS120" s="145"/>
      <c r="BT120" s="145"/>
      <c r="BU120" s="158"/>
      <c r="BV120" s="146"/>
      <c r="BW120" s="145"/>
      <c r="BX120" s="145"/>
      <c r="BY120" s="158">
        <f>SUM(BZ120:CB120)</f>
      </c>
      <c r="BZ120" s="146"/>
      <c r="CA120" s="145"/>
      <c r="CB120" s="145"/>
      <c r="CC120" s="145">
        <f>SUM(CD120:CH120)</f>
      </c>
      <c r="CD120" s="145"/>
      <c r="CE120" s="158"/>
      <c r="CF120" s="145"/>
      <c r="CG120" s="145"/>
      <c r="CH120" s="145"/>
      <c r="CI120" s="158"/>
      <c r="CJ120" s="145"/>
      <c r="CK120" s="145"/>
      <c r="CL120" s="145"/>
      <c r="CM120" s="145"/>
      <c r="CN120" s="145"/>
      <c r="CO120" s="145"/>
      <c r="CP120" s="145"/>
      <c r="CQ120" s="158"/>
      <c r="CR120" s="146"/>
      <c r="CS120" s="158"/>
      <c r="CT120" s="158"/>
      <c r="CU120" s="158">
        <f>SUM(CV120:CV120)</f>
      </c>
      <c r="CV120" s="146"/>
      <c r="CW120" s="145"/>
      <c r="CX120" s="145"/>
      <c r="CY120" s="145">
        <f>SUM(CZ120:DE120)</f>
      </c>
      <c r="CZ120" s="145"/>
      <c r="DA120" s="146"/>
      <c r="DB120" s="146"/>
      <c r="DC120" s="153"/>
      <c r="DD120" s="153"/>
      <c r="DE120" s="145"/>
      <c r="DF120" s="145"/>
      <c r="DG120" s="145"/>
      <c r="DH120" s="158"/>
      <c r="DI120" s="145"/>
      <c r="DJ120" s="158"/>
      <c r="DK120" s="145"/>
      <c r="DL120" s="158"/>
      <c r="DM120" s="145"/>
      <c r="DN120" s="145"/>
      <c r="DO120" s="145"/>
      <c r="DP120" s="158"/>
      <c r="DQ120" s="145"/>
      <c r="DR120" s="145"/>
      <c r="DS120" s="145"/>
      <c r="DT120" s="145"/>
      <c r="DU120" s="145">
        <f>SUM(DV120:EE120)</f>
      </c>
      <c r="DV120" s="145"/>
      <c r="DW120" s="145"/>
      <c r="DX120" s="145"/>
      <c r="DY120" s="145"/>
      <c r="DZ120" s="146"/>
      <c r="EA120" s="158"/>
      <c r="EB120" s="146"/>
      <c r="EC120" s="145"/>
      <c r="ED120" s="145"/>
      <c r="EE120" s="155"/>
      <c r="EF120" s="145">
        <f>SUM(EG120:EH120)</f>
      </c>
      <c r="EG120" s="145"/>
      <c r="EH120" s="146"/>
      <c r="EI120" s="159" cm="1">
        <f t="array" ref="EI120">ROW()-ROW(Run[#Headers])</f>
        <v>114</v>
      </c>
    </row>
    <row r="121" spans="2:139" s="79" customFormat="1" ht="11.25" x14ac:dyDescent="0.2">
      <c r="B121" s="146"/>
      <c r="C121" s="155"/>
      <c r="D121" s="145"/>
      <c r="E121" s="152">
        <f>SUM(F121:AE121)</f>
      </c>
      <c r="F121" s="146"/>
      <c r="G121" s="146"/>
      <c r="H121" s="146"/>
      <c r="I121" s="146"/>
      <c r="J121" s="146"/>
      <c r="K121" s="156"/>
      <c r="L121" s="146"/>
      <c r="M121" s="146"/>
      <c r="N121" s="146"/>
      <c r="O121" s="146"/>
      <c r="P121" s="156"/>
      <c r="Q121" s="146"/>
      <c r="R121" s="146"/>
      <c r="S121" s="146"/>
      <c r="T121" s="156"/>
      <c r="U121" s="146"/>
      <c r="V121" s="146"/>
      <c r="W121" s="146"/>
      <c r="X121" s="146"/>
      <c r="Y121" s="146"/>
      <c r="Z121" s="146"/>
      <c r="AA121" s="146"/>
      <c r="AB121" s="146"/>
      <c r="AC121" s="157"/>
      <c r="AD121" s="157"/>
      <c r="AE121" s="157"/>
      <c r="AF121" s="158">
        <f>SUM(AG121:AJ121)</f>
      </c>
      <c r="AG121" s="146"/>
      <c r="AH121" s="145"/>
      <c r="AI121" s="145"/>
      <c r="AJ121" s="145"/>
      <c r="AK121" s="158">
        <f>SUM(AL121:AW121)</f>
      </c>
      <c r="AL121" s="146"/>
      <c r="AM121" s="145"/>
      <c r="AN121" s="145"/>
      <c r="AO121" s="145"/>
      <c r="AP121" s="145"/>
      <c r="AQ121" s="145"/>
      <c r="AR121" s="145"/>
      <c r="AS121" s="145"/>
      <c r="AT121" s="145"/>
      <c r="AU121" s="145"/>
      <c r="AV121" s="145"/>
      <c r="AW121" s="158"/>
      <c r="AX121" s="145"/>
      <c r="AY121" s="145"/>
      <c r="AZ121" s="145"/>
      <c r="BA121" s="158"/>
      <c r="BB121" s="145"/>
      <c r="BC121" s="145"/>
      <c r="BD121" s="158"/>
      <c r="BE121" s="146"/>
      <c r="BF121" s="145"/>
      <c r="BG121" s="145"/>
      <c r="BH121" s="158">
        <f>SUM(BI121:BK121)</f>
      </c>
      <c r="BI121" s="145"/>
      <c r="BJ121" s="145"/>
      <c r="BK121" s="145"/>
      <c r="BL121" s="145">
        <f>SUM(BM121:BR121)</f>
      </c>
      <c r="BM121" s="145"/>
      <c r="BN121" s="145"/>
      <c r="BO121" s="158"/>
      <c r="BP121" s="145"/>
      <c r="BQ121" s="145"/>
      <c r="BR121" s="145"/>
      <c r="BS121" s="145"/>
      <c r="BT121" s="145"/>
      <c r="BU121" s="158"/>
      <c r="BV121" s="146"/>
      <c r="BW121" s="145"/>
      <c r="BX121" s="145"/>
      <c r="BY121" s="158">
        <f>SUM(BZ121:CB121)</f>
      </c>
      <c r="BZ121" s="146"/>
      <c r="CA121" s="145"/>
      <c r="CB121" s="145"/>
      <c r="CC121" s="145">
        <f>SUM(CD121:CH121)</f>
      </c>
      <c r="CD121" s="145"/>
      <c r="CE121" s="158"/>
      <c r="CF121" s="145"/>
      <c r="CG121" s="145"/>
      <c r="CH121" s="145"/>
      <c r="CI121" s="158"/>
      <c r="CJ121" s="145"/>
      <c r="CK121" s="145"/>
      <c r="CL121" s="145"/>
      <c r="CM121" s="145"/>
      <c r="CN121" s="145"/>
      <c r="CO121" s="145"/>
      <c r="CP121" s="145"/>
      <c r="CQ121" s="158"/>
      <c r="CR121" s="146"/>
      <c r="CS121" s="158"/>
      <c r="CT121" s="158"/>
      <c r="CU121" s="158">
        <f>SUM(CV121:CV121)</f>
      </c>
      <c r="CV121" s="146"/>
      <c r="CW121" s="145"/>
      <c r="CX121" s="145"/>
      <c r="CY121" s="145">
        <f>SUM(CZ121:DE121)</f>
      </c>
      <c r="CZ121" s="145"/>
      <c r="DA121" s="146"/>
      <c r="DB121" s="146"/>
      <c r="DC121" s="153"/>
      <c r="DD121" s="153"/>
      <c r="DE121" s="145"/>
      <c r="DF121" s="145"/>
      <c r="DG121" s="145"/>
      <c r="DH121" s="158"/>
      <c r="DI121" s="145"/>
      <c r="DJ121" s="158"/>
      <c r="DK121" s="145"/>
      <c r="DL121" s="158"/>
      <c r="DM121" s="145"/>
      <c r="DN121" s="145"/>
      <c r="DO121" s="145"/>
      <c r="DP121" s="158"/>
      <c r="DQ121" s="145"/>
      <c r="DR121" s="145"/>
      <c r="DS121" s="145"/>
      <c r="DT121" s="145"/>
      <c r="DU121" s="145">
        <f>SUM(DV121:EE121)</f>
      </c>
      <c r="DV121" s="145"/>
      <c r="DW121" s="145"/>
      <c r="DX121" s="145"/>
      <c r="DY121" s="145"/>
      <c r="DZ121" s="146"/>
      <c r="EA121" s="158"/>
      <c r="EB121" s="146"/>
      <c r="EC121" s="145"/>
      <c r="ED121" s="145"/>
      <c r="EE121" s="155"/>
      <c r="EF121" s="145">
        <f>SUM(EG121:EH121)</f>
      </c>
      <c r="EG121" s="145"/>
      <c r="EH121" s="146"/>
      <c r="EI121" s="159" cm="1">
        <f t="array" ref="EI121">ROW()-ROW(Run[#Headers])</f>
        <v>115</v>
      </c>
    </row>
    <row r="122" spans="2:139" s="79" customFormat="1" ht="11.25" x14ac:dyDescent="0.2">
      <c r="B122" s="146"/>
      <c r="C122" s="155"/>
      <c r="D122" s="145"/>
      <c r="E122" s="152">
        <f>SUM(F122:AE122)</f>
      </c>
      <c r="F122" s="146"/>
      <c r="G122" s="146"/>
      <c r="H122" s="146"/>
      <c r="I122" s="146"/>
      <c r="J122" s="146"/>
      <c r="K122" s="156"/>
      <c r="L122" s="146"/>
      <c r="M122" s="146"/>
      <c r="N122" s="146"/>
      <c r="O122" s="146"/>
      <c r="P122" s="156"/>
      <c r="Q122" s="146"/>
      <c r="R122" s="146"/>
      <c r="S122" s="146"/>
      <c r="T122" s="156"/>
      <c r="U122" s="146"/>
      <c r="V122" s="146"/>
      <c r="W122" s="146"/>
      <c r="X122" s="146"/>
      <c r="Y122" s="146"/>
      <c r="Z122" s="146"/>
      <c r="AA122" s="146"/>
      <c r="AB122" s="146"/>
      <c r="AC122" s="157"/>
      <c r="AD122" s="157"/>
      <c r="AE122" s="157"/>
      <c r="AF122" s="158">
        <f>SUM(AG122:AJ122)</f>
      </c>
      <c r="AG122" s="146"/>
      <c r="AH122" s="145"/>
      <c r="AI122" s="145"/>
      <c r="AJ122" s="145"/>
      <c r="AK122" s="158">
        <f>SUM(AL122:AW122)</f>
      </c>
      <c r="AL122" s="146"/>
      <c r="AM122" s="145"/>
      <c r="AN122" s="145"/>
      <c r="AO122" s="145"/>
      <c r="AP122" s="145"/>
      <c r="AQ122" s="145"/>
      <c r="AR122" s="145"/>
      <c r="AS122" s="145"/>
      <c r="AT122" s="145"/>
      <c r="AU122" s="145"/>
      <c r="AV122" s="145"/>
      <c r="AW122" s="158"/>
      <c r="AX122" s="145"/>
      <c r="AY122" s="145"/>
      <c r="AZ122" s="145"/>
      <c r="BA122" s="158"/>
      <c r="BB122" s="145"/>
      <c r="BC122" s="145"/>
      <c r="BD122" s="158"/>
      <c r="BE122" s="146"/>
      <c r="BF122" s="145"/>
      <c r="BG122" s="145"/>
      <c r="BH122" s="158">
        <f>SUM(BI122:BK122)</f>
      </c>
      <c r="BI122" s="145"/>
      <c r="BJ122" s="145"/>
      <c r="BK122" s="145"/>
      <c r="BL122" s="145">
        <f>SUM(BM122:BR122)</f>
      </c>
      <c r="BM122" s="145"/>
      <c r="BN122" s="145"/>
      <c r="BO122" s="158"/>
      <c r="BP122" s="145"/>
      <c r="BQ122" s="145"/>
      <c r="BR122" s="145"/>
      <c r="BS122" s="145"/>
      <c r="BT122" s="145"/>
      <c r="BU122" s="158"/>
      <c r="BV122" s="146"/>
      <c r="BW122" s="145"/>
      <c r="BX122" s="145"/>
      <c r="BY122" s="158">
        <f>SUM(BZ122:CB122)</f>
      </c>
      <c r="BZ122" s="146"/>
      <c r="CA122" s="145"/>
      <c r="CB122" s="145"/>
      <c r="CC122" s="145">
        <f>SUM(CD122:CH122)</f>
      </c>
      <c r="CD122" s="145"/>
      <c r="CE122" s="158"/>
      <c r="CF122" s="145"/>
      <c r="CG122" s="145"/>
      <c r="CH122" s="145"/>
      <c r="CI122" s="158"/>
      <c r="CJ122" s="145"/>
      <c r="CK122" s="145"/>
      <c r="CL122" s="145"/>
      <c r="CM122" s="145"/>
      <c r="CN122" s="145"/>
      <c r="CO122" s="145"/>
      <c r="CP122" s="145"/>
      <c r="CQ122" s="158"/>
      <c r="CR122" s="146"/>
      <c r="CS122" s="158"/>
      <c r="CT122" s="158"/>
      <c r="CU122" s="158">
        <f>SUM(CV122:CV122)</f>
      </c>
      <c r="CV122" s="146"/>
      <c r="CW122" s="145"/>
      <c r="CX122" s="145"/>
      <c r="CY122" s="145">
        <f>SUM(CZ122:DE122)</f>
      </c>
      <c r="CZ122" s="145"/>
      <c r="DA122" s="146"/>
      <c r="DB122" s="146"/>
      <c r="DC122" s="153"/>
      <c r="DD122" s="153"/>
      <c r="DE122" s="145"/>
      <c r="DF122" s="145"/>
      <c r="DG122" s="145"/>
      <c r="DH122" s="158"/>
      <c r="DI122" s="145"/>
      <c r="DJ122" s="158"/>
      <c r="DK122" s="145"/>
      <c r="DL122" s="158"/>
      <c r="DM122" s="145"/>
      <c r="DN122" s="145"/>
      <c r="DO122" s="145"/>
      <c r="DP122" s="158"/>
      <c r="DQ122" s="145"/>
      <c r="DR122" s="145"/>
      <c r="DS122" s="145"/>
      <c r="DT122" s="145"/>
      <c r="DU122" s="145">
        <f>SUM(DV122:EE122)</f>
      </c>
      <c r="DV122" s="145"/>
      <c r="DW122" s="145"/>
      <c r="DX122" s="145"/>
      <c r="DY122" s="145"/>
      <c r="DZ122" s="146"/>
      <c r="EA122" s="158"/>
      <c r="EB122" s="146"/>
      <c r="EC122" s="145"/>
      <c r="ED122" s="145"/>
      <c r="EE122" s="155"/>
      <c r="EF122" s="145">
        <f>SUM(EG122:EH122)</f>
      </c>
      <c r="EG122" s="145"/>
      <c r="EH122" s="146"/>
      <c r="EI122" s="159" cm="1">
        <f t="array" ref="EI122">ROW()-ROW(Run[#Headers])</f>
        <v>116</v>
      </c>
    </row>
    <row r="123" spans="2:139" s="79" customFormat="1" ht="11.25" x14ac:dyDescent="0.2">
      <c r="B123" s="146"/>
      <c r="C123" s="155"/>
      <c r="D123" s="145"/>
      <c r="E123" s="152">
        <f>SUM(F123:AE123)</f>
      </c>
      <c r="F123" s="146"/>
      <c r="G123" s="146"/>
      <c r="H123" s="146"/>
      <c r="I123" s="146"/>
      <c r="J123" s="146"/>
      <c r="K123" s="156"/>
      <c r="L123" s="146"/>
      <c r="M123" s="146"/>
      <c r="N123" s="146"/>
      <c r="O123" s="146"/>
      <c r="P123" s="156"/>
      <c r="Q123" s="146"/>
      <c r="R123" s="146"/>
      <c r="S123" s="146"/>
      <c r="T123" s="156"/>
      <c r="U123" s="146"/>
      <c r="V123" s="146"/>
      <c r="W123" s="146"/>
      <c r="X123" s="146"/>
      <c r="Y123" s="146"/>
      <c r="Z123" s="146"/>
      <c r="AA123" s="146"/>
      <c r="AB123" s="146"/>
      <c r="AC123" s="157"/>
      <c r="AD123" s="157"/>
      <c r="AE123" s="157"/>
      <c r="AF123" s="158">
        <f>SUM(AG123:AJ123)</f>
      </c>
      <c r="AG123" s="146"/>
      <c r="AH123" s="145"/>
      <c r="AI123" s="145"/>
      <c r="AJ123" s="145"/>
      <c r="AK123" s="158">
        <f>SUM(AL123:AW123)</f>
      </c>
      <c r="AL123" s="146"/>
      <c r="AM123" s="145"/>
      <c r="AN123" s="145"/>
      <c r="AO123" s="145"/>
      <c r="AP123" s="145"/>
      <c r="AQ123" s="145"/>
      <c r="AR123" s="145"/>
      <c r="AS123" s="145"/>
      <c r="AT123" s="145"/>
      <c r="AU123" s="145"/>
      <c r="AV123" s="145"/>
      <c r="AW123" s="158"/>
      <c r="AX123" s="145"/>
      <c r="AY123" s="145"/>
      <c r="AZ123" s="145"/>
      <c r="BA123" s="158"/>
      <c r="BB123" s="145"/>
      <c r="BC123" s="145"/>
      <c r="BD123" s="158"/>
      <c r="BE123" s="146"/>
      <c r="BF123" s="145"/>
      <c r="BG123" s="145"/>
      <c r="BH123" s="158">
        <f>SUM(BI123:BK123)</f>
      </c>
      <c r="BI123" s="145"/>
      <c r="BJ123" s="145"/>
      <c r="BK123" s="145"/>
      <c r="BL123" s="145">
        <f>SUM(BM123:BR123)</f>
      </c>
      <c r="BM123" s="145"/>
      <c r="BN123" s="145"/>
      <c r="BO123" s="158"/>
      <c r="BP123" s="145"/>
      <c r="BQ123" s="145"/>
      <c r="BR123" s="145"/>
      <c r="BS123" s="145"/>
      <c r="BT123" s="145"/>
      <c r="BU123" s="158"/>
      <c r="BV123" s="146"/>
      <c r="BW123" s="145"/>
      <c r="BX123" s="145"/>
      <c r="BY123" s="158">
        <f>SUM(BZ123:CB123)</f>
      </c>
      <c r="BZ123" s="146"/>
      <c r="CA123" s="145"/>
      <c r="CB123" s="145"/>
      <c r="CC123" s="145">
        <f>SUM(CD123:CH123)</f>
      </c>
      <c r="CD123" s="145"/>
      <c r="CE123" s="158"/>
      <c r="CF123" s="145"/>
      <c r="CG123" s="145"/>
      <c r="CH123" s="145"/>
      <c r="CI123" s="158"/>
      <c r="CJ123" s="145"/>
      <c r="CK123" s="145"/>
      <c r="CL123" s="145"/>
      <c r="CM123" s="145"/>
      <c r="CN123" s="145"/>
      <c r="CO123" s="145"/>
      <c r="CP123" s="145"/>
      <c r="CQ123" s="158"/>
      <c r="CR123" s="146"/>
      <c r="CS123" s="158"/>
      <c r="CT123" s="158"/>
      <c r="CU123" s="158">
        <f>SUM(CV123:CV123)</f>
      </c>
      <c r="CV123" s="146"/>
      <c r="CW123" s="145"/>
      <c r="CX123" s="145"/>
      <c r="CY123" s="145">
        <f>SUM(CZ123:DE123)</f>
      </c>
      <c r="CZ123" s="145"/>
      <c r="DA123" s="146"/>
      <c r="DB123" s="146"/>
      <c r="DC123" s="153"/>
      <c r="DD123" s="153"/>
      <c r="DE123" s="145"/>
      <c r="DF123" s="145"/>
      <c r="DG123" s="145"/>
      <c r="DH123" s="158"/>
      <c r="DI123" s="145"/>
      <c r="DJ123" s="158"/>
      <c r="DK123" s="145"/>
      <c r="DL123" s="158"/>
      <c r="DM123" s="145"/>
      <c r="DN123" s="145"/>
      <c r="DO123" s="145"/>
      <c r="DP123" s="158"/>
      <c r="DQ123" s="145"/>
      <c r="DR123" s="145"/>
      <c r="DS123" s="145"/>
      <c r="DT123" s="145"/>
      <c r="DU123" s="145">
        <f>SUM(DV123:EE123)</f>
      </c>
      <c r="DV123" s="145"/>
      <c r="DW123" s="145"/>
      <c r="DX123" s="145"/>
      <c r="DY123" s="145"/>
      <c r="DZ123" s="146"/>
      <c r="EA123" s="158"/>
      <c r="EB123" s="146"/>
      <c r="EC123" s="145"/>
      <c r="ED123" s="145"/>
      <c r="EE123" s="155"/>
      <c r="EF123" s="145">
        <f>SUM(EG123:EH123)</f>
      </c>
      <c r="EG123" s="145"/>
      <c r="EH123" s="146"/>
      <c r="EI123" s="159" cm="1">
        <f t="array" ref="EI123">ROW()-ROW(Run[#Headers])</f>
        <v>117</v>
      </c>
    </row>
    <row r="124" spans="2:139" s="79" customFormat="1" ht="11.25" x14ac:dyDescent="0.2">
      <c r="B124" s="146"/>
      <c r="C124" s="155"/>
      <c r="D124" s="145"/>
      <c r="E124" s="152">
        <f>SUM(F124:AE124)</f>
      </c>
      <c r="F124" s="146"/>
      <c r="G124" s="146"/>
      <c r="H124" s="146"/>
      <c r="I124" s="146"/>
      <c r="J124" s="146"/>
      <c r="K124" s="156"/>
      <c r="L124" s="146"/>
      <c r="M124" s="146"/>
      <c r="N124" s="146"/>
      <c r="O124" s="146"/>
      <c r="P124" s="156"/>
      <c r="Q124" s="146"/>
      <c r="R124" s="146"/>
      <c r="S124" s="146"/>
      <c r="T124" s="156"/>
      <c r="U124" s="146"/>
      <c r="V124" s="146"/>
      <c r="W124" s="146"/>
      <c r="X124" s="146"/>
      <c r="Y124" s="146"/>
      <c r="Z124" s="146"/>
      <c r="AA124" s="146"/>
      <c r="AB124" s="146"/>
      <c r="AC124" s="157"/>
      <c r="AD124" s="157"/>
      <c r="AE124" s="157"/>
      <c r="AF124" s="158">
        <f>SUM(AG124:AJ124)</f>
      </c>
      <c r="AG124" s="146"/>
      <c r="AH124" s="145"/>
      <c r="AI124" s="145"/>
      <c r="AJ124" s="145"/>
      <c r="AK124" s="158">
        <f>SUM(AL124:AW124)</f>
      </c>
      <c r="AL124" s="146"/>
      <c r="AM124" s="145"/>
      <c r="AN124" s="145"/>
      <c r="AO124" s="145"/>
      <c r="AP124" s="145"/>
      <c r="AQ124" s="145"/>
      <c r="AR124" s="145"/>
      <c r="AS124" s="145"/>
      <c r="AT124" s="145"/>
      <c r="AU124" s="145"/>
      <c r="AV124" s="145"/>
      <c r="AW124" s="158"/>
      <c r="AX124" s="145"/>
      <c r="AY124" s="145"/>
      <c r="AZ124" s="145"/>
      <c r="BA124" s="158"/>
      <c r="BB124" s="145"/>
      <c r="BC124" s="145"/>
      <c r="BD124" s="158"/>
      <c r="BE124" s="146"/>
      <c r="BF124" s="145"/>
      <c r="BG124" s="145"/>
      <c r="BH124" s="158">
        <f>SUM(BI124:BK124)</f>
      </c>
      <c r="BI124" s="145"/>
      <c r="BJ124" s="145"/>
      <c r="BK124" s="145"/>
      <c r="BL124" s="145">
        <f>SUM(BM124:BR124)</f>
      </c>
      <c r="BM124" s="145"/>
      <c r="BN124" s="145"/>
      <c r="BO124" s="158"/>
      <c r="BP124" s="145"/>
      <c r="BQ124" s="145"/>
      <c r="BR124" s="145"/>
      <c r="BS124" s="145"/>
      <c r="BT124" s="145"/>
      <c r="BU124" s="158"/>
      <c r="BV124" s="146"/>
      <c r="BW124" s="145"/>
      <c r="BX124" s="145"/>
      <c r="BY124" s="158">
        <f>SUM(BZ124:CB124)</f>
      </c>
      <c r="BZ124" s="146"/>
      <c r="CA124" s="145"/>
      <c r="CB124" s="145"/>
      <c r="CC124" s="145">
        <f>SUM(CD124:CH124)</f>
      </c>
      <c r="CD124" s="145"/>
      <c r="CE124" s="158"/>
      <c r="CF124" s="145"/>
      <c r="CG124" s="145"/>
      <c r="CH124" s="145"/>
      <c r="CI124" s="158"/>
      <c r="CJ124" s="145"/>
      <c r="CK124" s="145"/>
      <c r="CL124" s="145"/>
      <c r="CM124" s="145"/>
      <c r="CN124" s="145"/>
      <c r="CO124" s="145"/>
      <c r="CP124" s="145"/>
      <c r="CQ124" s="158"/>
      <c r="CR124" s="146"/>
      <c r="CS124" s="158"/>
      <c r="CT124" s="158"/>
      <c r="CU124" s="158">
        <f>SUM(CV124:CV124)</f>
      </c>
      <c r="CV124" s="146"/>
      <c r="CW124" s="145"/>
      <c r="CX124" s="145"/>
      <c r="CY124" s="145">
        <f>SUM(CZ124:DE124)</f>
      </c>
      <c r="CZ124" s="145"/>
      <c r="DA124" s="146"/>
      <c r="DB124" s="146"/>
      <c r="DC124" s="153"/>
      <c r="DD124" s="153"/>
      <c r="DE124" s="145"/>
      <c r="DF124" s="145"/>
      <c r="DG124" s="145"/>
      <c r="DH124" s="158"/>
      <c r="DI124" s="145"/>
      <c r="DJ124" s="158"/>
      <c r="DK124" s="145"/>
      <c r="DL124" s="158"/>
      <c r="DM124" s="145"/>
      <c r="DN124" s="145"/>
      <c r="DO124" s="145"/>
      <c r="DP124" s="158"/>
      <c r="DQ124" s="145"/>
      <c r="DR124" s="145"/>
      <c r="DS124" s="145"/>
      <c r="DT124" s="145"/>
      <c r="DU124" s="145">
        <f>SUM(DV124:EE124)</f>
      </c>
      <c r="DV124" s="145"/>
      <c r="DW124" s="145"/>
      <c r="DX124" s="145"/>
      <c r="DY124" s="145"/>
      <c r="DZ124" s="146"/>
      <c r="EA124" s="158"/>
      <c r="EB124" s="146"/>
      <c r="EC124" s="145"/>
      <c r="ED124" s="145"/>
      <c r="EE124" s="155"/>
      <c r="EF124" s="145">
        <f>SUM(EG124:EH124)</f>
      </c>
      <c r="EG124" s="145"/>
      <c r="EH124" s="146"/>
      <c r="EI124" s="159" cm="1">
        <f t="array" ref="EI124">ROW()-ROW(Run[#Headers])</f>
        <v>118</v>
      </c>
    </row>
    <row r="125" spans="2:139" s="79" customFormat="1" ht="11.25" x14ac:dyDescent="0.2">
      <c r="B125" s="146"/>
      <c r="C125" s="155"/>
      <c r="D125" s="145"/>
      <c r="E125" s="152">
        <f>SUM(F125:AE125)</f>
      </c>
      <c r="F125" s="146"/>
      <c r="G125" s="146"/>
      <c r="H125" s="146"/>
      <c r="I125" s="146"/>
      <c r="J125" s="146"/>
      <c r="K125" s="156"/>
      <c r="L125" s="146"/>
      <c r="M125" s="146"/>
      <c r="N125" s="146"/>
      <c r="O125" s="146"/>
      <c r="P125" s="156"/>
      <c r="Q125" s="146"/>
      <c r="R125" s="146"/>
      <c r="S125" s="146"/>
      <c r="T125" s="156"/>
      <c r="U125" s="146"/>
      <c r="V125" s="146"/>
      <c r="W125" s="146"/>
      <c r="X125" s="146"/>
      <c r="Y125" s="146"/>
      <c r="Z125" s="146"/>
      <c r="AA125" s="146"/>
      <c r="AB125" s="146"/>
      <c r="AC125" s="157"/>
      <c r="AD125" s="157"/>
      <c r="AE125" s="157"/>
      <c r="AF125" s="158">
        <f>SUM(AG125:AJ125)</f>
      </c>
      <c r="AG125" s="146"/>
      <c r="AH125" s="145"/>
      <c r="AI125" s="145"/>
      <c r="AJ125" s="145"/>
      <c r="AK125" s="158">
        <f>SUM(AL125:AW125)</f>
      </c>
      <c r="AL125" s="146"/>
      <c r="AM125" s="145"/>
      <c r="AN125" s="145"/>
      <c r="AO125" s="145"/>
      <c r="AP125" s="145"/>
      <c r="AQ125" s="145"/>
      <c r="AR125" s="145"/>
      <c r="AS125" s="145"/>
      <c r="AT125" s="145"/>
      <c r="AU125" s="145"/>
      <c r="AV125" s="145"/>
      <c r="AW125" s="158"/>
      <c r="AX125" s="145"/>
      <c r="AY125" s="145"/>
      <c r="AZ125" s="145"/>
      <c r="BA125" s="158"/>
      <c r="BB125" s="145"/>
      <c r="BC125" s="145"/>
      <c r="BD125" s="158"/>
      <c r="BE125" s="146"/>
      <c r="BF125" s="145"/>
      <c r="BG125" s="145"/>
      <c r="BH125" s="158">
        <f>SUM(BI125:BK125)</f>
      </c>
      <c r="BI125" s="145"/>
      <c r="BJ125" s="145"/>
      <c r="BK125" s="145"/>
      <c r="BL125" s="145">
        <f>SUM(BM125:BR125)</f>
      </c>
      <c r="BM125" s="145"/>
      <c r="BN125" s="145"/>
      <c r="BO125" s="158"/>
      <c r="BP125" s="145"/>
      <c r="BQ125" s="145"/>
      <c r="BR125" s="145"/>
      <c r="BS125" s="145"/>
      <c r="BT125" s="145"/>
      <c r="BU125" s="158"/>
      <c r="BV125" s="146"/>
      <c r="BW125" s="145"/>
      <c r="BX125" s="145"/>
      <c r="BY125" s="158">
        <f>SUM(BZ125:CB125)</f>
      </c>
      <c r="BZ125" s="146"/>
      <c r="CA125" s="145"/>
      <c r="CB125" s="145"/>
      <c r="CC125" s="145">
        <f>SUM(CD125:CH125)</f>
      </c>
      <c r="CD125" s="145"/>
      <c r="CE125" s="158"/>
      <c r="CF125" s="145"/>
      <c r="CG125" s="145"/>
      <c r="CH125" s="145"/>
      <c r="CI125" s="158"/>
      <c r="CJ125" s="145"/>
      <c r="CK125" s="145"/>
      <c r="CL125" s="145"/>
      <c r="CM125" s="145"/>
      <c r="CN125" s="145"/>
      <c r="CO125" s="145"/>
      <c r="CP125" s="145"/>
      <c r="CQ125" s="158"/>
      <c r="CR125" s="146"/>
      <c r="CS125" s="158"/>
      <c r="CT125" s="158"/>
      <c r="CU125" s="158">
        <f>SUM(CV125:CV125)</f>
      </c>
      <c r="CV125" s="146"/>
      <c r="CW125" s="145"/>
      <c r="CX125" s="145"/>
      <c r="CY125" s="145">
        <f>SUM(CZ125:DE125)</f>
      </c>
      <c r="CZ125" s="145"/>
      <c r="DA125" s="146"/>
      <c r="DB125" s="146"/>
      <c r="DC125" s="153"/>
      <c r="DD125" s="153"/>
      <c r="DE125" s="145"/>
      <c r="DF125" s="145"/>
      <c r="DG125" s="145"/>
      <c r="DH125" s="158"/>
      <c r="DI125" s="145"/>
      <c r="DJ125" s="158"/>
      <c r="DK125" s="145"/>
      <c r="DL125" s="158"/>
      <c r="DM125" s="145"/>
      <c r="DN125" s="145"/>
      <c r="DO125" s="145"/>
      <c r="DP125" s="158"/>
      <c r="DQ125" s="145"/>
      <c r="DR125" s="145"/>
      <c r="DS125" s="145"/>
      <c r="DT125" s="145"/>
      <c r="DU125" s="145">
        <f>SUM(DV125:EE125)</f>
      </c>
      <c r="DV125" s="145"/>
      <c r="DW125" s="145"/>
      <c r="DX125" s="145"/>
      <c r="DY125" s="145"/>
      <c r="DZ125" s="146"/>
      <c r="EA125" s="158"/>
      <c r="EB125" s="146"/>
      <c r="EC125" s="145"/>
      <c r="ED125" s="145"/>
      <c r="EE125" s="155"/>
      <c r="EF125" s="145">
        <f>SUM(EG125:EH125)</f>
      </c>
      <c r="EG125" s="145"/>
      <c r="EH125" s="146"/>
      <c r="EI125" s="159" cm="1">
        <f t="array" ref="EI125">ROW()-ROW(Run[#Headers])</f>
        <v>119</v>
      </c>
    </row>
    <row r="126" spans="2:139" s="79" customFormat="1" ht="11.25" x14ac:dyDescent="0.2">
      <c r="B126" s="146"/>
      <c r="C126" s="155"/>
      <c r="D126" s="145"/>
      <c r="E126" s="152">
        <f>SUM(F126:AE126)</f>
      </c>
      <c r="F126" s="146"/>
      <c r="G126" s="146"/>
      <c r="H126" s="146"/>
      <c r="I126" s="146"/>
      <c r="J126" s="146"/>
      <c r="K126" s="156"/>
      <c r="L126" s="146"/>
      <c r="M126" s="146"/>
      <c r="N126" s="146"/>
      <c r="O126" s="146"/>
      <c r="P126" s="156"/>
      <c r="Q126" s="146"/>
      <c r="R126" s="146"/>
      <c r="S126" s="146"/>
      <c r="T126" s="156"/>
      <c r="U126" s="146"/>
      <c r="V126" s="146"/>
      <c r="W126" s="146"/>
      <c r="X126" s="146"/>
      <c r="Y126" s="146"/>
      <c r="Z126" s="146"/>
      <c r="AA126" s="146"/>
      <c r="AB126" s="146"/>
      <c r="AC126" s="157"/>
      <c r="AD126" s="157"/>
      <c r="AE126" s="157"/>
      <c r="AF126" s="158">
        <f>SUM(AG126:AJ126)</f>
      </c>
      <c r="AG126" s="146"/>
      <c r="AH126" s="145"/>
      <c r="AI126" s="145"/>
      <c r="AJ126" s="145"/>
      <c r="AK126" s="158">
        <f>SUM(AL126:AW126)</f>
      </c>
      <c r="AL126" s="146"/>
      <c r="AM126" s="145"/>
      <c r="AN126" s="145"/>
      <c r="AO126" s="145"/>
      <c r="AP126" s="145"/>
      <c r="AQ126" s="145"/>
      <c r="AR126" s="145"/>
      <c r="AS126" s="145"/>
      <c r="AT126" s="145"/>
      <c r="AU126" s="145"/>
      <c r="AV126" s="145"/>
      <c r="AW126" s="158"/>
      <c r="AX126" s="145"/>
      <c r="AY126" s="145"/>
      <c r="AZ126" s="145"/>
      <c r="BA126" s="158"/>
      <c r="BB126" s="145"/>
      <c r="BC126" s="145"/>
      <c r="BD126" s="158"/>
      <c r="BE126" s="146"/>
      <c r="BF126" s="145"/>
      <c r="BG126" s="145"/>
      <c r="BH126" s="158">
        <f>SUM(BI126:BK126)</f>
      </c>
      <c r="BI126" s="145"/>
      <c r="BJ126" s="145"/>
      <c r="BK126" s="145"/>
      <c r="BL126" s="145">
        <f>SUM(BM126:BR126)</f>
      </c>
      <c r="BM126" s="145"/>
      <c r="BN126" s="145"/>
      <c r="BO126" s="158"/>
      <c r="BP126" s="145"/>
      <c r="BQ126" s="145"/>
      <c r="BR126" s="145"/>
      <c r="BS126" s="145"/>
      <c r="BT126" s="145"/>
      <c r="BU126" s="158"/>
      <c r="BV126" s="146"/>
      <c r="BW126" s="145"/>
      <c r="BX126" s="145"/>
      <c r="BY126" s="158">
        <f>SUM(BZ126:CB126)</f>
      </c>
      <c r="BZ126" s="146"/>
      <c r="CA126" s="145"/>
      <c r="CB126" s="145"/>
      <c r="CC126" s="145">
        <f>SUM(CD126:CH126)</f>
      </c>
      <c r="CD126" s="145"/>
      <c r="CE126" s="158"/>
      <c r="CF126" s="145"/>
      <c r="CG126" s="145"/>
      <c r="CH126" s="145"/>
      <c r="CI126" s="158"/>
      <c r="CJ126" s="145"/>
      <c r="CK126" s="145"/>
      <c r="CL126" s="145"/>
      <c r="CM126" s="145"/>
      <c r="CN126" s="145"/>
      <c r="CO126" s="145"/>
      <c r="CP126" s="145"/>
      <c r="CQ126" s="158"/>
      <c r="CR126" s="146"/>
      <c r="CS126" s="158"/>
      <c r="CT126" s="158"/>
      <c r="CU126" s="158">
        <f>SUM(CV126:CV126)</f>
      </c>
      <c r="CV126" s="146"/>
      <c r="CW126" s="145"/>
      <c r="CX126" s="145"/>
      <c r="CY126" s="145">
        <f>SUM(CZ126:DE126)</f>
      </c>
      <c r="CZ126" s="145"/>
      <c r="DA126" s="146"/>
      <c r="DB126" s="146"/>
      <c r="DC126" s="153"/>
      <c r="DD126" s="153"/>
      <c r="DE126" s="145"/>
      <c r="DF126" s="145"/>
      <c r="DG126" s="145"/>
      <c r="DH126" s="158"/>
      <c r="DI126" s="145"/>
      <c r="DJ126" s="158"/>
      <c r="DK126" s="145"/>
      <c r="DL126" s="158"/>
      <c r="DM126" s="145"/>
      <c r="DN126" s="145"/>
      <c r="DO126" s="145"/>
      <c r="DP126" s="158"/>
      <c r="DQ126" s="145"/>
      <c r="DR126" s="145"/>
      <c r="DS126" s="145"/>
      <c r="DT126" s="145"/>
      <c r="DU126" s="145">
        <f>SUM(DV126:EE126)</f>
      </c>
      <c r="DV126" s="145"/>
      <c r="DW126" s="145"/>
      <c r="DX126" s="145"/>
      <c r="DY126" s="145"/>
      <c r="DZ126" s="146"/>
      <c r="EA126" s="158"/>
      <c r="EB126" s="146"/>
      <c r="EC126" s="145"/>
      <c r="ED126" s="145"/>
      <c r="EE126" s="155"/>
      <c r="EF126" s="145">
        <f>SUM(EG126:EH126)</f>
      </c>
      <c r="EG126" s="145"/>
      <c r="EH126" s="146"/>
      <c r="EI126" s="159" cm="1">
        <f t="array" ref="EI126">ROW()-ROW(Run[#Headers])</f>
        <v>120</v>
      </c>
    </row>
    <row r="127" spans="2:139" s="79" customFormat="1" ht="11.25" x14ac:dyDescent="0.2">
      <c r="B127" s="146"/>
      <c r="C127" s="155"/>
      <c r="D127" s="145"/>
      <c r="E127" s="152">
        <f>SUM(F127:AE127)</f>
      </c>
      <c r="F127" s="146"/>
      <c r="G127" s="146"/>
      <c r="H127" s="146"/>
      <c r="I127" s="146"/>
      <c r="J127" s="146"/>
      <c r="K127" s="156"/>
      <c r="L127" s="146"/>
      <c r="M127" s="146"/>
      <c r="N127" s="146"/>
      <c r="O127" s="146"/>
      <c r="P127" s="156"/>
      <c r="Q127" s="146"/>
      <c r="R127" s="146"/>
      <c r="S127" s="146"/>
      <c r="T127" s="156"/>
      <c r="U127" s="146"/>
      <c r="V127" s="146"/>
      <c r="W127" s="146"/>
      <c r="X127" s="146"/>
      <c r="Y127" s="146"/>
      <c r="Z127" s="146"/>
      <c r="AA127" s="146"/>
      <c r="AB127" s="146"/>
      <c r="AC127" s="157"/>
      <c r="AD127" s="157"/>
      <c r="AE127" s="157"/>
      <c r="AF127" s="158">
        <f>SUM(AG127:AJ127)</f>
      </c>
      <c r="AG127" s="146"/>
      <c r="AH127" s="145"/>
      <c r="AI127" s="145"/>
      <c r="AJ127" s="145"/>
      <c r="AK127" s="158">
        <f>SUM(AL127:AW127)</f>
      </c>
      <c r="AL127" s="146"/>
      <c r="AM127" s="145"/>
      <c r="AN127" s="145"/>
      <c r="AO127" s="145"/>
      <c r="AP127" s="145"/>
      <c r="AQ127" s="145"/>
      <c r="AR127" s="145"/>
      <c r="AS127" s="145"/>
      <c r="AT127" s="145"/>
      <c r="AU127" s="145"/>
      <c r="AV127" s="145"/>
      <c r="AW127" s="158"/>
      <c r="AX127" s="145"/>
      <c r="AY127" s="145"/>
      <c r="AZ127" s="145"/>
      <c r="BA127" s="158"/>
      <c r="BB127" s="145"/>
      <c r="BC127" s="145"/>
      <c r="BD127" s="158"/>
      <c r="BE127" s="146"/>
      <c r="BF127" s="145"/>
      <c r="BG127" s="145"/>
      <c r="BH127" s="158">
        <f>SUM(BI127:BK127)</f>
      </c>
      <c r="BI127" s="145"/>
      <c r="BJ127" s="145"/>
      <c r="BK127" s="145"/>
      <c r="BL127" s="145">
        <f>SUM(BM127:BR127)</f>
      </c>
      <c r="BM127" s="145"/>
      <c r="BN127" s="145"/>
      <c r="BO127" s="158"/>
      <c r="BP127" s="145"/>
      <c r="BQ127" s="145"/>
      <c r="BR127" s="145"/>
      <c r="BS127" s="145"/>
      <c r="BT127" s="145"/>
      <c r="BU127" s="158"/>
      <c r="BV127" s="146"/>
      <c r="BW127" s="145"/>
      <c r="BX127" s="145"/>
      <c r="BY127" s="158">
        <f>SUM(BZ127:CB127)</f>
      </c>
      <c r="BZ127" s="146"/>
      <c r="CA127" s="145"/>
      <c r="CB127" s="145"/>
      <c r="CC127" s="145">
        <f>SUM(CD127:CH127)</f>
      </c>
      <c r="CD127" s="145"/>
      <c r="CE127" s="158"/>
      <c r="CF127" s="145"/>
      <c r="CG127" s="145"/>
      <c r="CH127" s="145"/>
      <c r="CI127" s="158"/>
      <c r="CJ127" s="145"/>
      <c r="CK127" s="145"/>
      <c r="CL127" s="145"/>
      <c r="CM127" s="145"/>
      <c r="CN127" s="145"/>
      <c r="CO127" s="145"/>
      <c r="CP127" s="145"/>
      <c r="CQ127" s="158"/>
      <c r="CR127" s="146"/>
      <c r="CS127" s="158"/>
      <c r="CT127" s="158"/>
      <c r="CU127" s="158">
        <f>SUM(CV127:CV127)</f>
      </c>
      <c r="CV127" s="146"/>
      <c r="CW127" s="145"/>
      <c r="CX127" s="145"/>
      <c r="CY127" s="145">
        <f>SUM(CZ127:DE127)</f>
      </c>
      <c r="CZ127" s="145"/>
      <c r="DA127" s="146"/>
      <c r="DB127" s="146"/>
      <c r="DC127" s="153"/>
      <c r="DD127" s="153"/>
      <c r="DE127" s="145"/>
      <c r="DF127" s="145"/>
      <c r="DG127" s="145"/>
      <c r="DH127" s="158"/>
      <c r="DI127" s="145"/>
      <c r="DJ127" s="158"/>
      <c r="DK127" s="145"/>
      <c r="DL127" s="158"/>
      <c r="DM127" s="145"/>
      <c r="DN127" s="145"/>
      <c r="DO127" s="145"/>
      <c r="DP127" s="158"/>
      <c r="DQ127" s="145"/>
      <c r="DR127" s="145"/>
      <c r="DS127" s="145"/>
      <c r="DT127" s="145"/>
      <c r="DU127" s="145">
        <f>SUM(DV127:EE127)</f>
      </c>
      <c r="DV127" s="145"/>
      <c r="DW127" s="145"/>
      <c r="DX127" s="145"/>
      <c r="DY127" s="145"/>
      <c r="DZ127" s="146"/>
      <c r="EA127" s="158"/>
      <c r="EB127" s="146"/>
      <c r="EC127" s="145"/>
      <c r="ED127" s="145"/>
      <c r="EE127" s="155"/>
      <c r="EF127" s="145">
        <f>SUM(EG127:EH127)</f>
      </c>
      <c r="EG127" s="145"/>
      <c r="EH127" s="146"/>
      <c r="EI127" s="159" cm="1">
        <f t="array" ref="EI127">ROW()-ROW(Run[#Headers])</f>
        <v>121</v>
      </c>
    </row>
    <row r="128" spans="2:139" s="79" customFormat="1" ht="11.25" x14ac:dyDescent="0.2">
      <c r="B128" s="146"/>
      <c r="C128" s="155"/>
      <c r="D128" s="145"/>
      <c r="E128" s="152">
        <f>SUM(F128:AE128)</f>
      </c>
      <c r="F128" s="146"/>
      <c r="G128" s="146"/>
      <c r="H128" s="146"/>
      <c r="I128" s="146"/>
      <c r="J128" s="146"/>
      <c r="K128" s="156"/>
      <c r="L128" s="146"/>
      <c r="M128" s="146"/>
      <c r="N128" s="146"/>
      <c r="O128" s="146"/>
      <c r="P128" s="156"/>
      <c r="Q128" s="146"/>
      <c r="R128" s="146"/>
      <c r="S128" s="146"/>
      <c r="T128" s="156"/>
      <c r="U128" s="146"/>
      <c r="V128" s="146"/>
      <c r="W128" s="146"/>
      <c r="X128" s="146"/>
      <c r="Y128" s="146"/>
      <c r="Z128" s="146"/>
      <c r="AA128" s="146"/>
      <c r="AB128" s="146"/>
      <c r="AC128" s="157"/>
      <c r="AD128" s="157"/>
      <c r="AE128" s="157"/>
      <c r="AF128" s="158">
        <f>SUM(AG128:AJ128)</f>
      </c>
      <c r="AG128" s="146"/>
      <c r="AH128" s="145"/>
      <c r="AI128" s="145"/>
      <c r="AJ128" s="145"/>
      <c r="AK128" s="158">
        <f>SUM(AL128:AW128)</f>
      </c>
      <c r="AL128" s="146"/>
      <c r="AM128" s="145"/>
      <c r="AN128" s="145"/>
      <c r="AO128" s="145"/>
      <c r="AP128" s="145"/>
      <c r="AQ128" s="145"/>
      <c r="AR128" s="145"/>
      <c r="AS128" s="145"/>
      <c r="AT128" s="145"/>
      <c r="AU128" s="145"/>
      <c r="AV128" s="145"/>
      <c r="AW128" s="158"/>
      <c r="AX128" s="145"/>
      <c r="AY128" s="145"/>
      <c r="AZ128" s="145"/>
      <c r="BA128" s="158"/>
      <c r="BB128" s="145"/>
      <c r="BC128" s="145"/>
      <c r="BD128" s="158"/>
      <c r="BE128" s="146"/>
      <c r="BF128" s="145"/>
      <c r="BG128" s="145"/>
      <c r="BH128" s="158">
        <f>SUM(BI128:BK128)</f>
      </c>
      <c r="BI128" s="145"/>
      <c r="BJ128" s="145"/>
      <c r="BK128" s="145"/>
      <c r="BL128" s="145">
        <f>SUM(BM128:BR128)</f>
      </c>
      <c r="BM128" s="145"/>
      <c r="BN128" s="145"/>
      <c r="BO128" s="158"/>
      <c r="BP128" s="145"/>
      <c r="BQ128" s="145"/>
      <c r="BR128" s="145"/>
      <c r="BS128" s="145"/>
      <c r="BT128" s="145"/>
      <c r="BU128" s="158"/>
      <c r="BV128" s="146"/>
      <c r="BW128" s="145"/>
      <c r="BX128" s="145"/>
      <c r="BY128" s="158">
        <f>SUM(BZ128:CB128)</f>
      </c>
      <c r="BZ128" s="146"/>
      <c r="CA128" s="145"/>
      <c r="CB128" s="145"/>
      <c r="CC128" s="145">
        <f>SUM(CD128:CH128)</f>
      </c>
      <c r="CD128" s="145"/>
      <c r="CE128" s="158"/>
      <c r="CF128" s="145"/>
      <c r="CG128" s="145"/>
      <c r="CH128" s="145"/>
      <c r="CI128" s="158"/>
      <c r="CJ128" s="145"/>
      <c r="CK128" s="145"/>
      <c r="CL128" s="145"/>
      <c r="CM128" s="145"/>
      <c r="CN128" s="145"/>
      <c r="CO128" s="145"/>
      <c r="CP128" s="145"/>
      <c r="CQ128" s="158"/>
      <c r="CR128" s="146"/>
      <c r="CS128" s="158"/>
      <c r="CT128" s="158"/>
      <c r="CU128" s="158">
        <f>SUM(CV128:CV128)</f>
      </c>
      <c r="CV128" s="146"/>
      <c r="CW128" s="145"/>
      <c r="CX128" s="145"/>
      <c r="CY128" s="145">
        <f>SUM(CZ128:DE128)</f>
      </c>
      <c r="CZ128" s="145"/>
      <c r="DA128" s="146"/>
      <c r="DB128" s="146"/>
      <c r="DC128" s="153"/>
      <c r="DD128" s="153"/>
      <c r="DE128" s="145"/>
      <c r="DF128" s="145"/>
      <c r="DG128" s="145"/>
      <c r="DH128" s="158"/>
      <c r="DI128" s="145"/>
      <c r="DJ128" s="158"/>
      <c r="DK128" s="145"/>
      <c r="DL128" s="158"/>
      <c r="DM128" s="145"/>
      <c r="DN128" s="145"/>
      <c r="DO128" s="145"/>
      <c r="DP128" s="158"/>
      <c r="DQ128" s="145"/>
      <c r="DR128" s="145"/>
      <c r="DS128" s="145"/>
      <c r="DT128" s="145"/>
      <c r="DU128" s="145">
        <f>SUM(DV128:EE128)</f>
      </c>
      <c r="DV128" s="145"/>
      <c r="DW128" s="145"/>
      <c r="DX128" s="145"/>
      <c r="DY128" s="145"/>
      <c r="DZ128" s="146"/>
      <c r="EA128" s="158"/>
      <c r="EB128" s="146"/>
      <c r="EC128" s="145"/>
      <c r="ED128" s="145"/>
      <c r="EE128" s="155"/>
      <c r="EF128" s="145">
        <f>SUM(EG128:EH128)</f>
      </c>
      <c r="EG128" s="145"/>
      <c r="EH128" s="146"/>
      <c r="EI128" s="159" cm="1">
        <f t="array" ref="EI128">ROW()-ROW(Run[#Headers])</f>
        <v>122</v>
      </c>
    </row>
    <row r="129" spans="2:139" s="79" customFormat="1" ht="11.25" x14ac:dyDescent="0.2">
      <c r="B129" s="146"/>
      <c r="C129" s="155"/>
      <c r="D129" s="145"/>
      <c r="E129" s="152">
        <f>SUM(F129:AE129)</f>
      </c>
      <c r="F129" s="146"/>
      <c r="G129" s="146"/>
      <c r="H129" s="146"/>
      <c r="I129" s="146"/>
      <c r="J129" s="146"/>
      <c r="K129" s="156"/>
      <c r="L129" s="146"/>
      <c r="M129" s="146"/>
      <c r="N129" s="146"/>
      <c r="O129" s="146"/>
      <c r="P129" s="156"/>
      <c r="Q129" s="146"/>
      <c r="R129" s="146"/>
      <c r="S129" s="146"/>
      <c r="T129" s="156"/>
      <c r="U129" s="146"/>
      <c r="V129" s="146"/>
      <c r="W129" s="146"/>
      <c r="X129" s="146"/>
      <c r="Y129" s="146"/>
      <c r="Z129" s="146"/>
      <c r="AA129" s="146"/>
      <c r="AB129" s="146"/>
      <c r="AC129" s="157"/>
      <c r="AD129" s="157"/>
      <c r="AE129" s="157"/>
      <c r="AF129" s="158">
        <f>SUM(AG129:AJ129)</f>
      </c>
      <c r="AG129" s="146"/>
      <c r="AH129" s="145"/>
      <c r="AI129" s="145"/>
      <c r="AJ129" s="145"/>
      <c r="AK129" s="158">
        <f>SUM(AL129:AW129)</f>
      </c>
      <c r="AL129" s="146"/>
      <c r="AM129" s="145"/>
      <c r="AN129" s="145"/>
      <c r="AO129" s="145"/>
      <c r="AP129" s="145"/>
      <c r="AQ129" s="145"/>
      <c r="AR129" s="145"/>
      <c r="AS129" s="145"/>
      <c r="AT129" s="145"/>
      <c r="AU129" s="145"/>
      <c r="AV129" s="145"/>
      <c r="AW129" s="158"/>
      <c r="AX129" s="145"/>
      <c r="AY129" s="145"/>
      <c r="AZ129" s="145"/>
      <c r="BA129" s="158"/>
      <c r="BB129" s="145"/>
      <c r="BC129" s="145"/>
      <c r="BD129" s="158"/>
      <c r="BE129" s="146"/>
      <c r="BF129" s="145"/>
      <c r="BG129" s="145"/>
      <c r="BH129" s="158">
        <f>SUM(BI129:BK129)</f>
      </c>
      <c r="BI129" s="145"/>
      <c r="BJ129" s="145"/>
      <c r="BK129" s="145"/>
      <c r="BL129" s="145">
        <f>SUM(BM129:BR129)</f>
      </c>
      <c r="BM129" s="145"/>
      <c r="BN129" s="145"/>
      <c r="BO129" s="158"/>
      <c r="BP129" s="145"/>
      <c r="BQ129" s="145"/>
      <c r="BR129" s="145"/>
      <c r="BS129" s="145"/>
      <c r="BT129" s="145"/>
      <c r="BU129" s="158"/>
      <c r="BV129" s="146"/>
      <c r="BW129" s="145"/>
      <c r="BX129" s="145"/>
      <c r="BY129" s="158">
        <f>SUM(BZ129:CB129)</f>
      </c>
      <c r="BZ129" s="146"/>
      <c r="CA129" s="145"/>
      <c r="CB129" s="145"/>
      <c r="CC129" s="145">
        <f>SUM(CD129:CH129)</f>
      </c>
      <c r="CD129" s="145"/>
      <c r="CE129" s="158"/>
      <c r="CF129" s="145"/>
      <c r="CG129" s="145"/>
      <c r="CH129" s="145"/>
      <c r="CI129" s="158"/>
      <c r="CJ129" s="145"/>
      <c r="CK129" s="145"/>
      <c r="CL129" s="145"/>
      <c r="CM129" s="145"/>
      <c r="CN129" s="145"/>
      <c r="CO129" s="145"/>
      <c r="CP129" s="145"/>
      <c r="CQ129" s="158"/>
      <c r="CR129" s="146"/>
      <c r="CS129" s="158"/>
      <c r="CT129" s="158"/>
      <c r="CU129" s="158">
        <f>SUM(CV129:CV129)</f>
      </c>
      <c r="CV129" s="146"/>
      <c r="CW129" s="145"/>
      <c r="CX129" s="145"/>
      <c r="CY129" s="145">
        <f>SUM(CZ129:DE129)</f>
      </c>
      <c r="CZ129" s="145"/>
      <c r="DA129" s="146"/>
      <c r="DB129" s="146"/>
      <c r="DC129" s="153"/>
      <c r="DD129" s="153"/>
      <c r="DE129" s="145"/>
      <c r="DF129" s="145"/>
      <c r="DG129" s="145"/>
      <c r="DH129" s="158"/>
      <c r="DI129" s="145"/>
      <c r="DJ129" s="158"/>
      <c r="DK129" s="145"/>
      <c r="DL129" s="158"/>
      <c r="DM129" s="145"/>
      <c r="DN129" s="145"/>
      <c r="DO129" s="145"/>
      <c r="DP129" s="158"/>
      <c r="DQ129" s="145"/>
      <c r="DR129" s="145"/>
      <c r="DS129" s="145"/>
      <c r="DT129" s="145"/>
      <c r="DU129" s="145">
        <f>SUM(DV129:EE129)</f>
      </c>
      <c r="DV129" s="145"/>
      <c r="DW129" s="145"/>
      <c r="DX129" s="145"/>
      <c r="DY129" s="145"/>
      <c r="DZ129" s="146"/>
      <c r="EA129" s="158"/>
      <c r="EB129" s="146"/>
      <c r="EC129" s="145"/>
      <c r="ED129" s="145"/>
      <c r="EE129" s="155"/>
      <c r="EF129" s="145">
        <f>SUM(EG129:EH129)</f>
      </c>
      <c r="EG129" s="145"/>
      <c r="EH129" s="146"/>
      <c r="EI129" s="159" cm="1">
        <f t="array" ref="EI129">ROW()-ROW(Run[#Headers])</f>
        <v>123</v>
      </c>
    </row>
    <row r="130" spans="2:139" s="79" customFormat="1" ht="11.25" x14ac:dyDescent="0.2">
      <c r="B130" s="146"/>
      <c r="C130" s="155"/>
      <c r="D130" s="145"/>
      <c r="E130" s="152">
        <f>SUM(F130:AE130)</f>
      </c>
      <c r="F130" s="146"/>
      <c r="G130" s="146"/>
      <c r="H130" s="146"/>
      <c r="I130" s="146"/>
      <c r="J130" s="146"/>
      <c r="K130" s="156"/>
      <c r="L130" s="146"/>
      <c r="M130" s="146"/>
      <c r="N130" s="146"/>
      <c r="O130" s="146"/>
      <c r="P130" s="156"/>
      <c r="Q130" s="146"/>
      <c r="R130" s="146"/>
      <c r="S130" s="146"/>
      <c r="T130" s="156"/>
      <c r="U130" s="146"/>
      <c r="V130" s="146"/>
      <c r="W130" s="146"/>
      <c r="X130" s="146"/>
      <c r="Y130" s="146"/>
      <c r="Z130" s="146"/>
      <c r="AA130" s="146"/>
      <c r="AB130" s="146"/>
      <c r="AC130" s="157"/>
      <c r="AD130" s="157"/>
      <c r="AE130" s="157"/>
      <c r="AF130" s="158">
        <f>SUM(AG130:AJ130)</f>
      </c>
      <c r="AG130" s="146"/>
      <c r="AH130" s="145"/>
      <c r="AI130" s="145"/>
      <c r="AJ130" s="145"/>
      <c r="AK130" s="158">
        <f>SUM(AL130:AW130)</f>
      </c>
      <c r="AL130" s="146"/>
      <c r="AM130" s="145"/>
      <c r="AN130" s="145"/>
      <c r="AO130" s="145"/>
      <c r="AP130" s="145"/>
      <c r="AQ130" s="145"/>
      <c r="AR130" s="145"/>
      <c r="AS130" s="145"/>
      <c r="AT130" s="145"/>
      <c r="AU130" s="145"/>
      <c r="AV130" s="145"/>
      <c r="AW130" s="158"/>
      <c r="AX130" s="145"/>
      <c r="AY130" s="145"/>
      <c r="AZ130" s="145"/>
      <c r="BA130" s="158"/>
      <c r="BB130" s="145"/>
      <c r="BC130" s="145"/>
      <c r="BD130" s="158"/>
      <c r="BE130" s="146"/>
      <c r="BF130" s="145"/>
      <c r="BG130" s="145"/>
      <c r="BH130" s="158">
        <f>SUM(BI130:BK130)</f>
      </c>
      <c r="BI130" s="145"/>
      <c r="BJ130" s="145"/>
      <c r="BK130" s="145"/>
      <c r="BL130" s="145">
        <f>SUM(BM130:BR130)</f>
      </c>
      <c r="BM130" s="145"/>
      <c r="BN130" s="145"/>
      <c r="BO130" s="158"/>
      <c r="BP130" s="145"/>
      <c r="BQ130" s="145"/>
      <c r="BR130" s="145"/>
      <c r="BS130" s="145"/>
      <c r="BT130" s="145"/>
      <c r="BU130" s="158"/>
      <c r="BV130" s="146"/>
      <c r="BW130" s="145"/>
      <c r="BX130" s="145"/>
      <c r="BY130" s="158">
        <f>SUM(BZ130:CB130)</f>
      </c>
      <c r="BZ130" s="146"/>
      <c r="CA130" s="145"/>
      <c r="CB130" s="145"/>
      <c r="CC130" s="145">
        <f>SUM(CD130:CH130)</f>
      </c>
      <c r="CD130" s="145"/>
      <c r="CE130" s="158"/>
      <c r="CF130" s="145"/>
      <c r="CG130" s="145"/>
      <c r="CH130" s="145"/>
      <c r="CI130" s="158"/>
      <c r="CJ130" s="145"/>
      <c r="CK130" s="145"/>
      <c r="CL130" s="145"/>
      <c r="CM130" s="145"/>
      <c r="CN130" s="145"/>
      <c r="CO130" s="145"/>
      <c r="CP130" s="145"/>
      <c r="CQ130" s="158"/>
      <c r="CR130" s="146"/>
      <c r="CS130" s="158"/>
      <c r="CT130" s="158"/>
      <c r="CU130" s="158">
        <f>SUM(CV130:CV130)</f>
      </c>
      <c r="CV130" s="146"/>
      <c r="CW130" s="145"/>
      <c r="CX130" s="145"/>
      <c r="CY130" s="145">
        <f>SUM(CZ130:DE130)</f>
      </c>
      <c r="CZ130" s="145"/>
      <c r="DA130" s="146"/>
      <c r="DB130" s="146"/>
      <c r="DC130" s="153"/>
      <c r="DD130" s="153"/>
      <c r="DE130" s="145"/>
      <c r="DF130" s="145"/>
      <c r="DG130" s="145"/>
      <c r="DH130" s="158"/>
      <c r="DI130" s="145"/>
      <c r="DJ130" s="158"/>
      <c r="DK130" s="145"/>
      <c r="DL130" s="158"/>
      <c r="DM130" s="145"/>
      <c r="DN130" s="145"/>
      <c r="DO130" s="145"/>
      <c r="DP130" s="158"/>
      <c r="DQ130" s="145"/>
      <c r="DR130" s="145"/>
      <c r="DS130" s="145"/>
      <c r="DT130" s="145"/>
      <c r="DU130" s="145">
        <f>SUM(DV130:EE130)</f>
      </c>
      <c r="DV130" s="145"/>
      <c r="DW130" s="145"/>
      <c r="DX130" s="145"/>
      <c r="DY130" s="145"/>
      <c r="DZ130" s="146"/>
      <c r="EA130" s="158"/>
      <c r="EB130" s="146"/>
      <c r="EC130" s="145"/>
      <c r="ED130" s="145"/>
      <c r="EE130" s="155"/>
      <c r="EF130" s="145">
        <f>SUM(EG130:EH130)</f>
      </c>
      <c r="EG130" s="145"/>
      <c r="EH130" s="146"/>
      <c r="EI130" s="159" cm="1">
        <f t="array" ref="EI130">ROW()-ROW(Run[#Headers])</f>
        <v>124</v>
      </c>
    </row>
    <row r="131" spans="2:139" s="79" customFormat="1" ht="11.25" x14ac:dyDescent="0.2">
      <c r="B131" s="146"/>
      <c r="C131" s="155"/>
      <c r="D131" s="145"/>
      <c r="E131" s="152">
        <f>SUM(F131:AE131)</f>
      </c>
      <c r="F131" s="146"/>
      <c r="G131" s="146"/>
      <c r="H131" s="146"/>
      <c r="I131" s="146"/>
      <c r="J131" s="146"/>
      <c r="K131" s="156"/>
      <c r="L131" s="146"/>
      <c r="M131" s="146"/>
      <c r="N131" s="146"/>
      <c r="O131" s="146"/>
      <c r="P131" s="156"/>
      <c r="Q131" s="146"/>
      <c r="R131" s="146"/>
      <c r="S131" s="146"/>
      <c r="T131" s="156"/>
      <c r="U131" s="146"/>
      <c r="V131" s="146"/>
      <c r="W131" s="146"/>
      <c r="X131" s="146"/>
      <c r="Y131" s="146"/>
      <c r="Z131" s="146"/>
      <c r="AA131" s="146"/>
      <c r="AB131" s="146"/>
      <c r="AC131" s="157"/>
      <c r="AD131" s="157"/>
      <c r="AE131" s="157"/>
      <c r="AF131" s="158">
        <f>SUM(AG131:AJ131)</f>
      </c>
      <c r="AG131" s="146"/>
      <c r="AH131" s="145"/>
      <c r="AI131" s="145"/>
      <c r="AJ131" s="145"/>
      <c r="AK131" s="158">
        <f>SUM(AL131:AW131)</f>
      </c>
      <c r="AL131" s="146"/>
      <c r="AM131" s="145"/>
      <c r="AN131" s="145"/>
      <c r="AO131" s="145"/>
      <c r="AP131" s="145"/>
      <c r="AQ131" s="145"/>
      <c r="AR131" s="145"/>
      <c r="AS131" s="145"/>
      <c r="AT131" s="145"/>
      <c r="AU131" s="145"/>
      <c r="AV131" s="145"/>
      <c r="AW131" s="158"/>
      <c r="AX131" s="145"/>
      <c r="AY131" s="145"/>
      <c r="AZ131" s="145"/>
      <c r="BA131" s="158"/>
      <c r="BB131" s="145"/>
      <c r="BC131" s="145"/>
      <c r="BD131" s="158"/>
      <c r="BE131" s="146"/>
      <c r="BF131" s="145"/>
      <c r="BG131" s="145"/>
      <c r="BH131" s="158">
        <f>SUM(BI131:BK131)</f>
      </c>
      <c r="BI131" s="145"/>
      <c r="BJ131" s="145"/>
      <c r="BK131" s="145"/>
      <c r="BL131" s="145">
        <f>SUM(BM131:BR131)</f>
      </c>
      <c r="BM131" s="145"/>
      <c r="BN131" s="145"/>
      <c r="BO131" s="158"/>
      <c r="BP131" s="145"/>
      <c r="BQ131" s="145"/>
      <c r="BR131" s="145"/>
      <c r="BS131" s="145"/>
      <c r="BT131" s="145"/>
      <c r="BU131" s="158"/>
      <c r="BV131" s="146"/>
      <c r="BW131" s="145"/>
      <c r="BX131" s="145"/>
      <c r="BY131" s="158">
        <f>SUM(BZ131:CB131)</f>
      </c>
      <c r="BZ131" s="146"/>
      <c r="CA131" s="145"/>
      <c r="CB131" s="145"/>
      <c r="CC131" s="145">
        <f>SUM(CD131:CH131)</f>
      </c>
      <c r="CD131" s="145"/>
      <c r="CE131" s="158"/>
      <c r="CF131" s="145"/>
      <c r="CG131" s="145"/>
      <c r="CH131" s="145"/>
      <c r="CI131" s="158"/>
      <c r="CJ131" s="145"/>
      <c r="CK131" s="145"/>
      <c r="CL131" s="145"/>
      <c r="CM131" s="145"/>
      <c r="CN131" s="145"/>
      <c r="CO131" s="145"/>
      <c r="CP131" s="145"/>
      <c r="CQ131" s="158"/>
      <c r="CR131" s="146"/>
      <c r="CS131" s="158"/>
      <c r="CT131" s="158"/>
      <c r="CU131" s="158">
        <f>SUM(CV131:CV131)</f>
      </c>
      <c r="CV131" s="146"/>
      <c r="CW131" s="145"/>
      <c r="CX131" s="145"/>
      <c r="CY131" s="145">
        <f>SUM(CZ131:DE131)</f>
      </c>
      <c r="CZ131" s="145"/>
      <c r="DA131" s="146"/>
      <c r="DB131" s="146"/>
      <c r="DC131" s="153"/>
      <c r="DD131" s="153"/>
      <c r="DE131" s="145"/>
      <c r="DF131" s="145"/>
      <c r="DG131" s="145"/>
      <c r="DH131" s="158"/>
      <c r="DI131" s="145"/>
      <c r="DJ131" s="158"/>
      <c r="DK131" s="145"/>
      <c r="DL131" s="158"/>
      <c r="DM131" s="145"/>
      <c r="DN131" s="145"/>
      <c r="DO131" s="145"/>
      <c r="DP131" s="158"/>
      <c r="DQ131" s="145"/>
      <c r="DR131" s="145"/>
      <c r="DS131" s="145"/>
      <c r="DT131" s="145"/>
      <c r="DU131" s="145">
        <f>SUM(DV131:EE131)</f>
      </c>
      <c r="DV131" s="145"/>
      <c r="DW131" s="145"/>
      <c r="DX131" s="145"/>
      <c r="DY131" s="145"/>
      <c r="DZ131" s="146"/>
      <c r="EA131" s="158"/>
      <c r="EB131" s="146"/>
      <c r="EC131" s="145"/>
      <c r="ED131" s="145"/>
      <c r="EE131" s="155"/>
      <c r="EF131" s="145">
        <f>SUM(EG131:EH131)</f>
      </c>
      <c r="EG131" s="145"/>
      <c r="EH131" s="146"/>
      <c r="EI131" s="159" cm="1">
        <f t="array" ref="EI131">ROW()-ROW(Run[#Headers])</f>
        <v>125</v>
      </c>
    </row>
    <row r="132" spans="2:139" s="79" customFormat="1" ht="11.25" x14ac:dyDescent="0.2">
      <c r="B132" s="146"/>
      <c r="C132" s="155"/>
      <c r="D132" s="145"/>
      <c r="E132" s="152">
        <f>SUM(F132:AE132)</f>
      </c>
      <c r="F132" s="146"/>
      <c r="G132" s="146"/>
      <c r="H132" s="146"/>
      <c r="I132" s="146"/>
      <c r="J132" s="146"/>
      <c r="K132" s="156"/>
      <c r="L132" s="146"/>
      <c r="M132" s="146"/>
      <c r="N132" s="146"/>
      <c r="O132" s="146"/>
      <c r="P132" s="156"/>
      <c r="Q132" s="146"/>
      <c r="R132" s="146"/>
      <c r="S132" s="146"/>
      <c r="T132" s="156"/>
      <c r="U132" s="146"/>
      <c r="V132" s="146"/>
      <c r="W132" s="146"/>
      <c r="X132" s="146"/>
      <c r="Y132" s="146"/>
      <c r="Z132" s="146"/>
      <c r="AA132" s="146"/>
      <c r="AB132" s="146"/>
      <c r="AC132" s="157"/>
      <c r="AD132" s="157"/>
      <c r="AE132" s="157"/>
      <c r="AF132" s="158">
        <f>SUM(AG132:AJ132)</f>
      </c>
      <c r="AG132" s="146"/>
      <c r="AH132" s="145"/>
      <c r="AI132" s="145"/>
      <c r="AJ132" s="145"/>
      <c r="AK132" s="158">
        <f>SUM(AL132:AW132)</f>
      </c>
      <c r="AL132" s="146"/>
      <c r="AM132" s="145"/>
      <c r="AN132" s="145"/>
      <c r="AO132" s="145"/>
      <c r="AP132" s="145"/>
      <c r="AQ132" s="145"/>
      <c r="AR132" s="145"/>
      <c r="AS132" s="145"/>
      <c r="AT132" s="145"/>
      <c r="AU132" s="145"/>
      <c r="AV132" s="145"/>
      <c r="AW132" s="158"/>
      <c r="AX132" s="145"/>
      <c r="AY132" s="145"/>
      <c r="AZ132" s="145"/>
      <c r="BA132" s="158"/>
      <c r="BB132" s="145"/>
      <c r="BC132" s="145"/>
      <c r="BD132" s="158"/>
      <c r="BE132" s="146"/>
      <c r="BF132" s="145"/>
      <c r="BG132" s="145"/>
      <c r="BH132" s="158">
        <f>SUM(BI132:BK132)</f>
      </c>
      <c r="BI132" s="145"/>
      <c r="BJ132" s="145"/>
      <c r="BK132" s="145"/>
      <c r="BL132" s="145">
        <f>SUM(BM132:BR132)</f>
      </c>
      <c r="BM132" s="145"/>
      <c r="BN132" s="145"/>
      <c r="BO132" s="158"/>
      <c r="BP132" s="145"/>
      <c r="BQ132" s="145"/>
      <c r="BR132" s="145"/>
      <c r="BS132" s="145"/>
      <c r="BT132" s="145"/>
      <c r="BU132" s="158"/>
      <c r="BV132" s="146"/>
      <c r="BW132" s="145"/>
      <c r="BX132" s="145"/>
      <c r="BY132" s="158">
        <f>SUM(BZ132:CB132)</f>
      </c>
      <c r="BZ132" s="146"/>
      <c r="CA132" s="145"/>
      <c r="CB132" s="145"/>
      <c r="CC132" s="145">
        <f>SUM(CD132:CH132)</f>
      </c>
      <c r="CD132" s="145"/>
      <c r="CE132" s="158"/>
      <c r="CF132" s="145"/>
      <c r="CG132" s="145"/>
      <c r="CH132" s="145"/>
      <c r="CI132" s="158"/>
      <c r="CJ132" s="145"/>
      <c r="CK132" s="145"/>
      <c r="CL132" s="145"/>
      <c r="CM132" s="145"/>
      <c r="CN132" s="145"/>
      <c r="CO132" s="145"/>
      <c r="CP132" s="145"/>
      <c r="CQ132" s="158"/>
      <c r="CR132" s="146"/>
      <c r="CS132" s="158"/>
      <c r="CT132" s="158"/>
      <c r="CU132" s="158">
        <f>SUM(CV132:CV132)</f>
      </c>
      <c r="CV132" s="146"/>
      <c r="CW132" s="145"/>
      <c r="CX132" s="145"/>
      <c r="CY132" s="145">
        <f>SUM(CZ132:DE132)</f>
      </c>
      <c r="CZ132" s="145"/>
      <c r="DA132" s="146"/>
      <c r="DB132" s="146"/>
      <c r="DC132" s="153"/>
      <c r="DD132" s="153"/>
      <c r="DE132" s="145"/>
      <c r="DF132" s="145"/>
      <c r="DG132" s="145"/>
      <c r="DH132" s="158"/>
      <c r="DI132" s="145"/>
      <c r="DJ132" s="158"/>
      <c r="DK132" s="145"/>
      <c r="DL132" s="158"/>
      <c r="DM132" s="145"/>
      <c r="DN132" s="145"/>
      <c r="DO132" s="145"/>
      <c r="DP132" s="158"/>
      <c r="DQ132" s="145"/>
      <c r="DR132" s="145"/>
      <c r="DS132" s="145"/>
      <c r="DT132" s="145"/>
      <c r="DU132" s="145">
        <f>SUM(DV132:EE132)</f>
      </c>
      <c r="DV132" s="145"/>
      <c r="DW132" s="145"/>
      <c r="DX132" s="145"/>
      <c r="DY132" s="145"/>
      <c r="DZ132" s="146"/>
      <c r="EA132" s="158"/>
      <c r="EB132" s="146"/>
      <c r="EC132" s="145"/>
      <c r="ED132" s="145"/>
      <c r="EE132" s="155"/>
      <c r="EF132" s="145">
        <f>SUM(EG132:EH132)</f>
      </c>
      <c r="EG132" s="145"/>
      <c r="EH132" s="146"/>
      <c r="EI132" s="159" cm="1">
        <f t="array" ref="EI132">ROW()-ROW(Run[#Headers])</f>
        <v>126</v>
      </c>
    </row>
    <row r="133" spans="2:139" s="79" customFormat="1" ht="11.25" x14ac:dyDescent="0.2">
      <c r="B133" s="146"/>
      <c r="C133" s="155"/>
      <c r="D133" s="145"/>
      <c r="E133" s="152">
        <f>SUM(F133:AE133)</f>
      </c>
      <c r="F133" s="146"/>
      <c r="G133" s="146"/>
      <c r="H133" s="146"/>
      <c r="I133" s="146"/>
      <c r="J133" s="146"/>
      <c r="K133" s="156"/>
      <c r="L133" s="146"/>
      <c r="M133" s="146"/>
      <c r="N133" s="146"/>
      <c r="O133" s="146"/>
      <c r="P133" s="156"/>
      <c r="Q133" s="146"/>
      <c r="R133" s="146"/>
      <c r="S133" s="146"/>
      <c r="T133" s="156"/>
      <c r="U133" s="146"/>
      <c r="V133" s="146"/>
      <c r="W133" s="146"/>
      <c r="X133" s="146"/>
      <c r="Y133" s="146"/>
      <c r="Z133" s="146"/>
      <c r="AA133" s="146"/>
      <c r="AB133" s="146"/>
      <c r="AC133" s="157"/>
      <c r="AD133" s="157"/>
      <c r="AE133" s="157"/>
      <c r="AF133" s="158">
        <f>SUM(AG133:AJ133)</f>
      </c>
      <c r="AG133" s="146"/>
      <c r="AH133" s="145"/>
      <c r="AI133" s="145"/>
      <c r="AJ133" s="145"/>
      <c r="AK133" s="158">
        <f>SUM(AL133:AW133)</f>
      </c>
      <c r="AL133" s="146"/>
      <c r="AM133" s="145"/>
      <c r="AN133" s="145"/>
      <c r="AO133" s="145"/>
      <c r="AP133" s="145"/>
      <c r="AQ133" s="145"/>
      <c r="AR133" s="145"/>
      <c r="AS133" s="145"/>
      <c r="AT133" s="145"/>
      <c r="AU133" s="145"/>
      <c r="AV133" s="145"/>
      <c r="AW133" s="158"/>
      <c r="AX133" s="145"/>
      <c r="AY133" s="145"/>
      <c r="AZ133" s="145"/>
      <c r="BA133" s="158"/>
      <c r="BB133" s="145"/>
      <c r="BC133" s="145"/>
      <c r="BD133" s="158"/>
      <c r="BE133" s="146"/>
      <c r="BF133" s="145"/>
      <c r="BG133" s="145"/>
      <c r="BH133" s="158">
        <f>SUM(BI133:BK133)</f>
      </c>
      <c r="BI133" s="145"/>
      <c r="BJ133" s="145"/>
      <c r="BK133" s="145"/>
      <c r="BL133" s="145">
        <f>SUM(BM133:BR133)</f>
      </c>
      <c r="BM133" s="145"/>
      <c r="BN133" s="145"/>
      <c r="BO133" s="158"/>
      <c r="BP133" s="145"/>
      <c r="BQ133" s="145"/>
      <c r="BR133" s="145"/>
      <c r="BS133" s="145"/>
      <c r="BT133" s="145"/>
      <c r="BU133" s="158"/>
      <c r="BV133" s="146"/>
      <c r="BW133" s="145"/>
      <c r="BX133" s="145"/>
      <c r="BY133" s="158">
        <f>SUM(BZ133:CB133)</f>
      </c>
      <c r="BZ133" s="146"/>
      <c r="CA133" s="145"/>
      <c r="CB133" s="145"/>
      <c r="CC133" s="145">
        <f>SUM(CD133:CH133)</f>
      </c>
      <c r="CD133" s="145"/>
      <c r="CE133" s="158"/>
      <c r="CF133" s="145"/>
      <c r="CG133" s="145"/>
      <c r="CH133" s="145"/>
      <c r="CI133" s="158"/>
      <c r="CJ133" s="145"/>
      <c r="CK133" s="145"/>
      <c r="CL133" s="145"/>
      <c r="CM133" s="145"/>
      <c r="CN133" s="145"/>
      <c r="CO133" s="145"/>
      <c r="CP133" s="145"/>
      <c r="CQ133" s="158"/>
      <c r="CR133" s="146"/>
      <c r="CS133" s="158"/>
      <c r="CT133" s="158"/>
      <c r="CU133" s="158">
        <f>SUM(CV133:CV133)</f>
      </c>
      <c r="CV133" s="146"/>
      <c r="CW133" s="145"/>
      <c r="CX133" s="145"/>
      <c r="CY133" s="145">
        <f>SUM(CZ133:DE133)</f>
      </c>
      <c r="CZ133" s="145"/>
      <c r="DA133" s="146"/>
      <c r="DB133" s="146"/>
      <c r="DC133" s="153"/>
      <c r="DD133" s="153"/>
      <c r="DE133" s="145"/>
      <c r="DF133" s="145"/>
      <c r="DG133" s="145"/>
      <c r="DH133" s="158"/>
      <c r="DI133" s="145"/>
      <c r="DJ133" s="158"/>
      <c r="DK133" s="145"/>
      <c r="DL133" s="158"/>
      <c r="DM133" s="145"/>
      <c r="DN133" s="145"/>
      <c r="DO133" s="145"/>
      <c r="DP133" s="158"/>
      <c r="DQ133" s="145"/>
      <c r="DR133" s="145"/>
      <c r="DS133" s="145"/>
      <c r="DT133" s="145"/>
      <c r="DU133" s="145">
        <f>SUM(DV133:EE133)</f>
      </c>
      <c r="DV133" s="145"/>
      <c r="DW133" s="145"/>
      <c r="DX133" s="145"/>
      <c r="DY133" s="145"/>
      <c r="DZ133" s="146"/>
      <c r="EA133" s="158"/>
      <c r="EB133" s="146"/>
      <c r="EC133" s="145"/>
      <c r="ED133" s="145"/>
      <c r="EE133" s="155"/>
      <c r="EF133" s="145">
        <f>SUM(EG133:EH133)</f>
      </c>
      <c r="EG133" s="145"/>
      <c r="EH133" s="146"/>
      <c r="EI133" s="159" cm="1">
        <f t="array" ref="EI133">ROW()-ROW(Run[#Headers])</f>
        <v>127</v>
      </c>
    </row>
    <row r="134" spans="2:139" s="79" customFormat="1" ht="11.25" x14ac:dyDescent="0.2">
      <c r="B134" s="146"/>
      <c r="C134" s="155"/>
      <c r="D134" s="145"/>
      <c r="E134" s="152">
        <f>SUM(F134:AE134)</f>
      </c>
      <c r="F134" s="146"/>
      <c r="G134" s="146"/>
      <c r="H134" s="146"/>
      <c r="I134" s="146"/>
      <c r="J134" s="146"/>
      <c r="K134" s="156"/>
      <c r="L134" s="146"/>
      <c r="M134" s="146"/>
      <c r="N134" s="146"/>
      <c r="O134" s="146"/>
      <c r="P134" s="156"/>
      <c r="Q134" s="146"/>
      <c r="R134" s="146"/>
      <c r="S134" s="146"/>
      <c r="T134" s="156"/>
      <c r="U134" s="146"/>
      <c r="V134" s="146"/>
      <c r="W134" s="146"/>
      <c r="X134" s="146"/>
      <c r="Y134" s="146"/>
      <c r="Z134" s="146"/>
      <c r="AA134" s="146"/>
      <c r="AB134" s="146"/>
      <c r="AC134" s="157"/>
      <c r="AD134" s="157"/>
      <c r="AE134" s="157"/>
      <c r="AF134" s="158">
        <f>SUM(AG134:AJ134)</f>
      </c>
      <c r="AG134" s="146"/>
      <c r="AH134" s="145"/>
      <c r="AI134" s="145"/>
      <c r="AJ134" s="145"/>
      <c r="AK134" s="158">
        <f>SUM(AL134:AW134)</f>
      </c>
      <c r="AL134" s="146"/>
      <c r="AM134" s="145"/>
      <c r="AN134" s="145"/>
      <c r="AO134" s="145"/>
      <c r="AP134" s="145"/>
      <c r="AQ134" s="145"/>
      <c r="AR134" s="145"/>
      <c r="AS134" s="145"/>
      <c r="AT134" s="145"/>
      <c r="AU134" s="145"/>
      <c r="AV134" s="145"/>
      <c r="AW134" s="158"/>
      <c r="AX134" s="145"/>
      <c r="AY134" s="145"/>
      <c r="AZ134" s="145"/>
      <c r="BA134" s="158"/>
      <c r="BB134" s="145"/>
      <c r="BC134" s="145"/>
      <c r="BD134" s="158"/>
      <c r="BE134" s="146"/>
      <c r="BF134" s="145"/>
      <c r="BG134" s="145"/>
      <c r="BH134" s="158">
        <f>SUM(BI134:BK134)</f>
      </c>
      <c r="BI134" s="145"/>
      <c r="BJ134" s="145"/>
      <c r="BK134" s="145"/>
      <c r="BL134" s="145">
        <f>SUM(BM134:BR134)</f>
      </c>
      <c r="BM134" s="145"/>
      <c r="BN134" s="145"/>
      <c r="BO134" s="158"/>
      <c r="BP134" s="145"/>
      <c r="BQ134" s="145"/>
      <c r="BR134" s="145"/>
      <c r="BS134" s="145"/>
      <c r="BT134" s="145"/>
      <c r="BU134" s="158"/>
      <c r="BV134" s="146"/>
      <c r="BW134" s="145"/>
      <c r="BX134" s="145"/>
      <c r="BY134" s="158">
        <f>SUM(BZ134:CB134)</f>
      </c>
      <c r="BZ134" s="146"/>
      <c r="CA134" s="145"/>
      <c r="CB134" s="145"/>
      <c r="CC134" s="145">
        <f>SUM(CD134:CH134)</f>
      </c>
      <c r="CD134" s="145"/>
      <c r="CE134" s="158"/>
      <c r="CF134" s="145"/>
      <c r="CG134" s="145"/>
      <c r="CH134" s="145"/>
      <c r="CI134" s="158"/>
      <c r="CJ134" s="145"/>
      <c r="CK134" s="145"/>
      <c r="CL134" s="145"/>
      <c r="CM134" s="145"/>
      <c r="CN134" s="145"/>
      <c r="CO134" s="145"/>
      <c r="CP134" s="145"/>
      <c r="CQ134" s="158"/>
      <c r="CR134" s="146"/>
      <c r="CS134" s="158"/>
      <c r="CT134" s="158"/>
      <c r="CU134" s="158">
        <f>SUM(CV134:CV134)</f>
      </c>
      <c r="CV134" s="146"/>
      <c r="CW134" s="145"/>
      <c r="CX134" s="145"/>
      <c r="CY134" s="145">
        <f>SUM(CZ134:DE134)</f>
      </c>
      <c r="CZ134" s="145"/>
      <c r="DA134" s="146"/>
      <c r="DB134" s="146"/>
      <c r="DC134" s="153"/>
      <c r="DD134" s="153"/>
      <c r="DE134" s="145"/>
      <c r="DF134" s="145"/>
      <c r="DG134" s="145"/>
      <c r="DH134" s="158"/>
      <c r="DI134" s="145"/>
      <c r="DJ134" s="158"/>
      <c r="DK134" s="145"/>
      <c r="DL134" s="158"/>
      <c r="DM134" s="145"/>
      <c r="DN134" s="145"/>
      <c r="DO134" s="145"/>
      <c r="DP134" s="158"/>
      <c r="DQ134" s="145"/>
      <c r="DR134" s="145"/>
      <c r="DS134" s="145"/>
      <c r="DT134" s="145"/>
      <c r="DU134" s="145">
        <f>SUM(DV134:EE134)</f>
      </c>
      <c r="DV134" s="145"/>
      <c r="DW134" s="145"/>
      <c r="DX134" s="145"/>
      <c r="DY134" s="145"/>
      <c r="DZ134" s="146"/>
      <c r="EA134" s="158"/>
      <c r="EB134" s="146"/>
      <c r="EC134" s="145"/>
      <c r="ED134" s="145"/>
      <c r="EE134" s="155"/>
      <c r="EF134" s="145">
        <f>SUM(EG134:EH134)</f>
      </c>
      <c r="EG134" s="145"/>
      <c r="EH134" s="146"/>
      <c r="EI134" s="159" cm="1">
        <f t="array" ref="EI134">ROW()-ROW(Run[#Headers])</f>
        <v>128</v>
      </c>
    </row>
    <row r="135" spans="2:139" s="79" customFormat="1" ht="11.25" x14ac:dyDescent="0.2">
      <c r="B135" s="146"/>
      <c r="C135" s="155"/>
      <c r="D135" s="145"/>
      <c r="E135" s="152">
        <f>SUM(F135:AE135)</f>
      </c>
      <c r="F135" s="146"/>
      <c r="G135" s="146"/>
      <c r="H135" s="146"/>
      <c r="I135" s="146"/>
      <c r="J135" s="146"/>
      <c r="K135" s="156"/>
      <c r="L135" s="146"/>
      <c r="M135" s="146"/>
      <c r="N135" s="146"/>
      <c r="O135" s="146"/>
      <c r="P135" s="156"/>
      <c r="Q135" s="146"/>
      <c r="R135" s="146"/>
      <c r="S135" s="146"/>
      <c r="T135" s="156"/>
      <c r="U135" s="146"/>
      <c r="V135" s="146"/>
      <c r="W135" s="146"/>
      <c r="X135" s="146"/>
      <c r="Y135" s="146"/>
      <c r="Z135" s="146"/>
      <c r="AA135" s="146"/>
      <c r="AB135" s="146"/>
      <c r="AC135" s="157"/>
      <c r="AD135" s="157"/>
      <c r="AE135" s="157"/>
      <c r="AF135" s="158">
        <f>SUM(AG135:AJ135)</f>
      </c>
      <c r="AG135" s="146"/>
      <c r="AH135" s="145"/>
      <c r="AI135" s="145"/>
      <c r="AJ135" s="145"/>
      <c r="AK135" s="158">
        <f>SUM(AL135:AW135)</f>
      </c>
      <c r="AL135" s="146"/>
      <c r="AM135" s="145"/>
      <c r="AN135" s="145"/>
      <c r="AO135" s="145"/>
      <c r="AP135" s="145"/>
      <c r="AQ135" s="145"/>
      <c r="AR135" s="145"/>
      <c r="AS135" s="145"/>
      <c r="AT135" s="145"/>
      <c r="AU135" s="145"/>
      <c r="AV135" s="145"/>
      <c r="AW135" s="158"/>
      <c r="AX135" s="145"/>
      <c r="AY135" s="145"/>
      <c r="AZ135" s="145"/>
      <c r="BA135" s="158"/>
      <c r="BB135" s="145"/>
      <c r="BC135" s="145"/>
      <c r="BD135" s="158"/>
      <c r="BE135" s="146"/>
      <c r="BF135" s="145"/>
      <c r="BG135" s="145"/>
      <c r="BH135" s="158">
        <f>SUM(BI135:BK135)</f>
      </c>
      <c r="BI135" s="145"/>
      <c r="BJ135" s="145"/>
      <c r="BK135" s="145"/>
      <c r="BL135" s="145">
        <f>SUM(BM135:BR135)</f>
      </c>
      <c r="BM135" s="145"/>
      <c r="BN135" s="145"/>
      <c r="BO135" s="158"/>
      <c r="BP135" s="145"/>
      <c r="BQ135" s="145"/>
      <c r="BR135" s="145"/>
      <c r="BS135" s="145"/>
      <c r="BT135" s="145"/>
      <c r="BU135" s="158"/>
      <c r="BV135" s="146"/>
      <c r="BW135" s="145"/>
      <c r="BX135" s="145"/>
      <c r="BY135" s="158">
        <f>SUM(BZ135:CB135)</f>
      </c>
      <c r="BZ135" s="146"/>
      <c r="CA135" s="145"/>
      <c r="CB135" s="145"/>
      <c r="CC135" s="145">
        <f>SUM(CD135:CH135)</f>
      </c>
      <c r="CD135" s="145"/>
      <c r="CE135" s="158"/>
      <c r="CF135" s="145"/>
      <c r="CG135" s="145"/>
      <c r="CH135" s="145"/>
      <c r="CI135" s="158"/>
      <c r="CJ135" s="145"/>
      <c r="CK135" s="145"/>
      <c r="CL135" s="145"/>
      <c r="CM135" s="145"/>
      <c r="CN135" s="145"/>
      <c r="CO135" s="145"/>
      <c r="CP135" s="145"/>
      <c r="CQ135" s="158"/>
      <c r="CR135" s="146"/>
      <c r="CS135" s="158"/>
      <c r="CT135" s="158"/>
      <c r="CU135" s="158">
        <f>SUM(CV135:CV135)</f>
      </c>
      <c r="CV135" s="146"/>
      <c r="CW135" s="145"/>
      <c r="CX135" s="145"/>
      <c r="CY135" s="145">
        <f>SUM(CZ135:DE135)</f>
      </c>
      <c r="CZ135" s="145"/>
      <c r="DA135" s="146"/>
      <c r="DB135" s="146"/>
      <c r="DC135" s="153"/>
      <c r="DD135" s="153"/>
      <c r="DE135" s="145"/>
      <c r="DF135" s="145"/>
      <c r="DG135" s="145"/>
      <c r="DH135" s="158"/>
      <c r="DI135" s="145"/>
      <c r="DJ135" s="158"/>
      <c r="DK135" s="145"/>
      <c r="DL135" s="158"/>
      <c r="DM135" s="145"/>
      <c r="DN135" s="145"/>
      <c r="DO135" s="145"/>
      <c r="DP135" s="158"/>
      <c r="DQ135" s="145"/>
      <c r="DR135" s="145"/>
      <c r="DS135" s="145"/>
      <c r="DT135" s="145"/>
      <c r="DU135" s="145">
        <f>SUM(DV135:EE135)</f>
      </c>
      <c r="DV135" s="145"/>
      <c r="DW135" s="145"/>
      <c r="DX135" s="145"/>
      <c r="DY135" s="145"/>
      <c r="DZ135" s="146"/>
      <c r="EA135" s="158"/>
      <c r="EB135" s="146"/>
      <c r="EC135" s="145"/>
      <c r="ED135" s="145"/>
      <c r="EE135" s="155"/>
      <c r="EF135" s="145">
        <f>SUM(EG135:EH135)</f>
      </c>
      <c r="EG135" s="145"/>
      <c r="EH135" s="146"/>
      <c r="EI135" s="159" cm="1">
        <f t="array" ref="EI135">ROW()-ROW(Run[#Headers])</f>
        <v>129</v>
      </c>
    </row>
    <row r="136" spans="2:139" s="79" customFormat="1" ht="11.25" x14ac:dyDescent="0.2">
      <c r="B136" s="146"/>
      <c r="C136" s="155"/>
      <c r="D136" s="145"/>
      <c r="E136" s="152">
        <f>SUM(F136:AE136)</f>
      </c>
      <c r="F136" s="146"/>
      <c r="G136" s="146"/>
      <c r="H136" s="146"/>
      <c r="I136" s="146"/>
      <c r="J136" s="146"/>
      <c r="K136" s="156"/>
      <c r="L136" s="146"/>
      <c r="M136" s="146"/>
      <c r="N136" s="146"/>
      <c r="O136" s="146"/>
      <c r="P136" s="156"/>
      <c r="Q136" s="146"/>
      <c r="R136" s="146"/>
      <c r="S136" s="146"/>
      <c r="T136" s="156"/>
      <c r="U136" s="146"/>
      <c r="V136" s="146"/>
      <c r="W136" s="146"/>
      <c r="X136" s="146"/>
      <c r="Y136" s="146"/>
      <c r="Z136" s="146"/>
      <c r="AA136" s="146"/>
      <c r="AB136" s="146"/>
      <c r="AC136" s="157"/>
      <c r="AD136" s="157"/>
      <c r="AE136" s="157"/>
      <c r="AF136" s="158">
        <f>SUM(AG136:AJ136)</f>
      </c>
      <c r="AG136" s="146"/>
      <c r="AH136" s="145"/>
      <c r="AI136" s="145"/>
      <c r="AJ136" s="145"/>
      <c r="AK136" s="158">
        <f>SUM(AL136:AW136)</f>
      </c>
      <c r="AL136" s="146"/>
      <c r="AM136" s="145"/>
      <c r="AN136" s="145"/>
      <c r="AO136" s="145"/>
      <c r="AP136" s="145"/>
      <c r="AQ136" s="145"/>
      <c r="AR136" s="145"/>
      <c r="AS136" s="145"/>
      <c r="AT136" s="145"/>
      <c r="AU136" s="145"/>
      <c r="AV136" s="145"/>
      <c r="AW136" s="158"/>
      <c r="AX136" s="145"/>
      <c r="AY136" s="145"/>
      <c r="AZ136" s="145"/>
      <c r="BA136" s="158"/>
      <c r="BB136" s="145"/>
      <c r="BC136" s="145"/>
      <c r="BD136" s="158"/>
      <c r="BE136" s="146"/>
      <c r="BF136" s="145"/>
      <c r="BG136" s="145"/>
      <c r="BH136" s="158">
        <f>SUM(BI136:BK136)</f>
      </c>
      <c r="BI136" s="145"/>
      <c r="BJ136" s="145"/>
      <c r="BK136" s="145"/>
      <c r="BL136" s="145">
        <f>SUM(BM136:BR136)</f>
      </c>
      <c r="BM136" s="145"/>
      <c r="BN136" s="145"/>
      <c r="BO136" s="158"/>
      <c r="BP136" s="145"/>
      <c r="BQ136" s="145"/>
      <c r="BR136" s="145"/>
      <c r="BS136" s="145"/>
      <c r="BT136" s="145"/>
      <c r="BU136" s="158"/>
      <c r="BV136" s="146"/>
      <c r="BW136" s="145"/>
      <c r="BX136" s="145"/>
      <c r="BY136" s="158">
        <f>SUM(BZ136:CB136)</f>
      </c>
      <c r="BZ136" s="146"/>
      <c r="CA136" s="145"/>
      <c r="CB136" s="145"/>
      <c r="CC136" s="145">
        <f>SUM(CD136:CH136)</f>
      </c>
      <c r="CD136" s="145"/>
      <c r="CE136" s="158"/>
      <c r="CF136" s="145"/>
      <c r="CG136" s="145"/>
      <c r="CH136" s="145"/>
      <c r="CI136" s="158"/>
      <c r="CJ136" s="145"/>
      <c r="CK136" s="145"/>
      <c r="CL136" s="145"/>
      <c r="CM136" s="145"/>
      <c r="CN136" s="145"/>
      <c r="CO136" s="145"/>
      <c r="CP136" s="145"/>
      <c r="CQ136" s="158"/>
      <c r="CR136" s="146"/>
      <c r="CS136" s="158"/>
      <c r="CT136" s="158"/>
      <c r="CU136" s="158">
        <f>SUM(CV136:CV136)</f>
      </c>
      <c r="CV136" s="146"/>
      <c r="CW136" s="145"/>
      <c r="CX136" s="145"/>
      <c r="CY136" s="145">
        <f>SUM(CZ136:DE136)</f>
      </c>
      <c r="CZ136" s="145"/>
      <c r="DA136" s="146"/>
      <c r="DB136" s="146"/>
      <c r="DC136" s="153"/>
      <c r="DD136" s="153"/>
      <c r="DE136" s="145"/>
      <c r="DF136" s="145"/>
      <c r="DG136" s="145"/>
      <c r="DH136" s="158"/>
      <c r="DI136" s="145"/>
      <c r="DJ136" s="158"/>
      <c r="DK136" s="145"/>
      <c r="DL136" s="158"/>
      <c r="DM136" s="145"/>
      <c r="DN136" s="145"/>
      <c r="DO136" s="145"/>
      <c r="DP136" s="158"/>
      <c r="DQ136" s="145"/>
      <c r="DR136" s="145"/>
      <c r="DS136" s="145"/>
      <c r="DT136" s="145"/>
      <c r="DU136" s="145">
        <f>SUM(DV136:EE136)</f>
      </c>
      <c r="DV136" s="145"/>
      <c r="DW136" s="145"/>
      <c r="DX136" s="145"/>
      <c r="DY136" s="145"/>
      <c r="DZ136" s="146"/>
      <c r="EA136" s="158"/>
      <c r="EB136" s="146"/>
      <c r="EC136" s="145"/>
      <c r="ED136" s="145"/>
      <c r="EE136" s="155"/>
      <c r="EF136" s="145">
        <f>SUM(EG136:EH136)</f>
      </c>
      <c r="EG136" s="145"/>
      <c r="EH136" s="146"/>
      <c r="EI136" s="159" cm="1">
        <f t="array" ref="EI136">ROW()-ROW(Run[#Headers])</f>
        <v>130</v>
      </c>
    </row>
    <row r="137" spans="2:139" s="79" customFormat="1" ht="11.25" x14ac:dyDescent="0.2">
      <c r="B137" s="146"/>
      <c r="C137" s="155"/>
      <c r="D137" s="145"/>
      <c r="E137" s="152">
        <f>SUM(F137:AE137)</f>
      </c>
      <c r="F137" s="146"/>
      <c r="G137" s="146"/>
      <c r="H137" s="146"/>
      <c r="I137" s="146"/>
      <c r="J137" s="146"/>
      <c r="K137" s="156"/>
      <c r="L137" s="146"/>
      <c r="M137" s="146"/>
      <c r="N137" s="146"/>
      <c r="O137" s="146"/>
      <c r="P137" s="156"/>
      <c r="Q137" s="146"/>
      <c r="R137" s="146"/>
      <c r="S137" s="146"/>
      <c r="T137" s="156"/>
      <c r="U137" s="146"/>
      <c r="V137" s="146"/>
      <c r="W137" s="146"/>
      <c r="X137" s="146"/>
      <c r="Y137" s="146"/>
      <c r="Z137" s="146"/>
      <c r="AA137" s="146"/>
      <c r="AB137" s="146"/>
      <c r="AC137" s="157"/>
      <c r="AD137" s="157"/>
      <c r="AE137" s="157"/>
      <c r="AF137" s="158">
        <f>SUM(AG137:AJ137)</f>
      </c>
      <c r="AG137" s="146"/>
      <c r="AH137" s="145"/>
      <c r="AI137" s="145"/>
      <c r="AJ137" s="145"/>
      <c r="AK137" s="158">
        <f>SUM(AL137:AW137)</f>
      </c>
      <c r="AL137" s="146"/>
      <c r="AM137" s="145"/>
      <c r="AN137" s="145"/>
      <c r="AO137" s="145"/>
      <c r="AP137" s="145"/>
      <c r="AQ137" s="145"/>
      <c r="AR137" s="145"/>
      <c r="AS137" s="145"/>
      <c r="AT137" s="145"/>
      <c r="AU137" s="145"/>
      <c r="AV137" s="145"/>
      <c r="AW137" s="158"/>
      <c r="AX137" s="145"/>
      <c r="AY137" s="145"/>
      <c r="AZ137" s="145"/>
      <c r="BA137" s="158"/>
      <c r="BB137" s="145"/>
      <c r="BC137" s="145"/>
      <c r="BD137" s="158"/>
      <c r="BE137" s="146"/>
      <c r="BF137" s="145"/>
      <c r="BG137" s="145"/>
      <c r="BH137" s="158">
        <f>SUM(BI137:BK137)</f>
      </c>
      <c r="BI137" s="145"/>
      <c r="BJ137" s="145"/>
      <c r="BK137" s="145"/>
      <c r="BL137" s="145">
        <f>SUM(BM137:BR137)</f>
      </c>
      <c r="BM137" s="145"/>
      <c r="BN137" s="145"/>
      <c r="BO137" s="158"/>
      <c r="BP137" s="145"/>
      <c r="BQ137" s="145"/>
      <c r="BR137" s="145"/>
      <c r="BS137" s="145"/>
      <c r="BT137" s="145"/>
      <c r="BU137" s="158"/>
      <c r="BV137" s="146"/>
      <c r="BW137" s="145"/>
      <c r="BX137" s="145"/>
      <c r="BY137" s="158">
        <f>SUM(BZ137:CB137)</f>
      </c>
      <c r="BZ137" s="146"/>
      <c r="CA137" s="145"/>
      <c r="CB137" s="145"/>
      <c r="CC137" s="145">
        <f>SUM(CD137:CH137)</f>
      </c>
      <c r="CD137" s="145"/>
      <c r="CE137" s="158"/>
      <c r="CF137" s="145"/>
      <c r="CG137" s="145"/>
      <c r="CH137" s="145"/>
      <c r="CI137" s="158"/>
      <c r="CJ137" s="145"/>
      <c r="CK137" s="145"/>
      <c r="CL137" s="145"/>
      <c r="CM137" s="145"/>
      <c r="CN137" s="145"/>
      <c r="CO137" s="145"/>
      <c r="CP137" s="145"/>
      <c r="CQ137" s="158"/>
      <c r="CR137" s="146"/>
      <c r="CS137" s="158"/>
      <c r="CT137" s="158"/>
      <c r="CU137" s="158">
        <f>SUM(CV137:CV137)</f>
      </c>
      <c r="CV137" s="146"/>
      <c r="CW137" s="145"/>
      <c r="CX137" s="145"/>
      <c r="CY137" s="145">
        <f>SUM(CZ137:DE137)</f>
      </c>
      <c r="CZ137" s="145"/>
      <c r="DA137" s="146"/>
      <c r="DB137" s="146"/>
      <c r="DC137" s="153"/>
      <c r="DD137" s="153"/>
      <c r="DE137" s="145"/>
      <c r="DF137" s="145"/>
      <c r="DG137" s="145"/>
      <c r="DH137" s="158"/>
      <c r="DI137" s="145"/>
      <c r="DJ137" s="158"/>
      <c r="DK137" s="145"/>
      <c r="DL137" s="158"/>
      <c r="DM137" s="145"/>
      <c r="DN137" s="145"/>
      <c r="DO137" s="145"/>
      <c r="DP137" s="158"/>
      <c r="DQ137" s="145"/>
      <c r="DR137" s="145"/>
      <c r="DS137" s="145"/>
      <c r="DT137" s="145"/>
      <c r="DU137" s="145">
        <f>SUM(DV137:EE137)</f>
      </c>
      <c r="DV137" s="145"/>
      <c r="DW137" s="145"/>
      <c r="DX137" s="145"/>
      <c r="DY137" s="145"/>
      <c r="DZ137" s="146"/>
      <c r="EA137" s="158"/>
      <c r="EB137" s="146"/>
      <c r="EC137" s="145"/>
      <c r="ED137" s="145"/>
      <c r="EE137" s="155"/>
      <c r="EF137" s="145">
        <f>SUM(EG137:EH137)</f>
      </c>
      <c r="EG137" s="145"/>
      <c r="EH137" s="146"/>
      <c r="EI137" s="159" cm="1">
        <f t="array" ref="EI137">ROW()-ROW(Run[#Headers])</f>
        <v>131</v>
      </c>
    </row>
    <row r="138" spans="2:139" s="79" customFormat="1" ht="11.25" x14ac:dyDescent="0.2">
      <c r="B138" s="146"/>
      <c r="C138" s="155"/>
      <c r="D138" s="145"/>
      <c r="E138" s="152">
        <f>SUM(F138:AE138)</f>
      </c>
      <c r="F138" s="146"/>
      <c r="G138" s="146"/>
      <c r="H138" s="146"/>
      <c r="I138" s="146"/>
      <c r="J138" s="146"/>
      <c r="K138" s="156"/>
      <c r="L138" s="146"/>
      <c r="M138" s="146"/>
      <c r="N138" s="146"/>
      <c r="O138" s="146"/>
      <c r="P138" s="156"/>
      <c r="Q138" s="146"/>
      <c r="R138" s="146"/>
      <c r="S138" s="146"/>
      <c r="T138" s="156"/>
      <c r="U138" s="146"/>
      <c r="V138" s="146"/>
      <c r="W138" s="146"/>
      <c r="X138" s="146"/>
      <c r="Y138" s="146"/>
      <c r="Z138" s="146"/>
      <c r="AA138" s="146"/>
      <c r="AB138" s="146"/>
      <c r="AC138" s="157"/>
      <c r="AD138" s="157"/>
      <c r="AE138" s="157"/>
      <c r="AF138" s="158">
        <f>SUM(AG138:AJ138)</f>
      </c>
      <c r="AG138" s="146"/>
      <c r="AH138" s="145"/>
      <c r="AI138" s="145"/>
      <c r="AJ138" s="145"/>
      <c r="AK138" s="158">
        <f>SUM(AL138:AW138)</f>
      </c>
      <c r="AL138" s="146"/>
      <c r="AM138" s="145"/>
      <c r="AN138" s="145"/>
      <c r="AO138" s="145"/>
      <c r="AP138" s="145"/>
      <c r="AQ138" s="145"/>
      <c r="AR138" s="145"/>
      <c r="AS138" s="145"/>
      <c r="AT138" s="145"/>
      <c r="AU138" s="145"/>
      <c r="AV138" s="145"/>
      <c r="AW138" s="158"/>
      <c r="AX138" s="145"/>
      <c r="AY138" s="145"/>
      <c r="AZ138" s="145"/>
      <c r="BA138" s="158"/>
      <c r="BB138" s="145"/>
      <c r="BC138" s="145"/>
      <c r="BD138" s="158"/>
      <c r="BE138" s="146"/>
      <c r="BF138" s="145"/>
      <c r="BG138" s="145"/>
      <c r="BH138" s="158">
        <f>SUM(BI138:BK138)</f>
      </c>
      <c r="BI138" s="145"/>
      <c r="BJ138" s="145"/>
      <c r="BK138" s="145"/>
      <c r="BL138" s="145">
        <f>SUM(BM138:BR138)</f>
      </c>
      <c r="BM138" s="145"/>
      <c r="BN138" s="145"/>
      <c r="BO138" s="158"/>
      <c r="BP138" s="145"/>
      <c r="BQ138" s="145"/>
      <c r="BR138" s="145"/>
      <c r="BS138" s="145"/>
      <c r="BT138" s="145"/>
      <c r="BU138" s="158"/>
      <c r="BV138" s="146"/>
      <c r="BW138" s="145"/>
      <c r="BX138" s="145"/>
      <c r="BY138" s="158">
        <f>SUM(BZ138:CB138)</f>
      </c>
      <c r="BZ138" s="146"/>
      <c r="CA138" s="145"/>
      <c r="CB138" s="145"/>
      <c r="CC138" s="145">
        <f>SUM(CD138:CH138)</f>
      </c>
      <c r="CD138" s="145"/>
      <c r="CE138" s="158"/>
      <c r="CF138" s="145"/>
      <c r="CG138" s="145"/>
      <c r="CH138" s="145"/>
      <c r="CI138" s="158"/>
      <c r="CJ138" s="145"/>
      <c r="CK138" s="145"/>
      <c r="CL138" s="145"/>
      <c r="CM138" s="145"/>
      <c r="CN138" s="145"/>
      <c r="CO138" s="145"/>
      <c r="CP138" s="145"/>
      <c r="CQ138" s="158"/>
      <c r="CR138" s="146"/>
      <c r="CS138" s="158"/>
      <c r="CT138" s="158"/>
      <c r="CU138" s="158">
        <f>SUM(CV138:CV138)</f>
      </c>
      <c r="CV138" s="146"/>
      <c r="CW138" s="145"/>
      <c r="CX138" s="145"/>
      <c r="CY138" s="145">
        <f>SUM(CZ138:DE138)</f>
      </c>
      <c r="CZ138" s="145"/>
      <c r="DA138" s="146"/>
      <c r="DB138" s="146"/>
      <c r="DC138" s="153"/>
      <c r="DD138" s="153"/>
      <c r="DE138" s="145"/>
      <c r="DF138" s="145"/>
      <c r="DG138" s="145"/>
      <c r="DH138" s="158"/>
      <c r="DI138" s="145"/>
      <c r="DJ138" s="158"/>
      <c r="DK138" s="145"/>
      <c r="DL138" s="158"/>
      <c r="DM138" s="145"/>
      <c r="DN138" s="145"/>
      <c r="DO138" s="145"/>
      <c r="DP138" s="158"/>
      <c r="DQ138" s="145"/>
      <c r="DR138" s="145"/>
      <c r="DS138" s="145"/>
      <c r="DT138" s="145"/>
      <c r="DU138" s="145">
        <f>SUM(DV138:EE138)</f>
      </c>
      <c r="DV138" s="145"/>
      <c r="DW138" s="145"/>
      <c r="DX138" s="145"/>
      <c r="DY138" s="145"/>
      <c r="DZ138" s="146"/>
      <c r="EA138" s="158"/>
      <c r="EB138" s="146"/>
      <c r="EC138" s="145"/>
      <c r="ED138" s="145"/>
      <c r="EE138" s="155"/>
      <c r="EF138" s="145">
        <f>SUM(EG138:EH138)</f>
      </c>
      <c r="EG138" s="145"/>
      <c r="EH138" s="146"/>
      <c r="EI138" s="159" cm="1">
        <f t="array" ref="EI138">ROW()-ROW(Run[#Headers])</f>
        <v>132</v>
      </c>
    </row>
    <row r="139" spans="2:139" s="79" customFormat="1" ht="11.25" x14ac:dyDescent="0.2">
      <c r="B139" s="146"/>
      <c r="C139" s="155"/>
      <c r="D139" s="145"/>
      <c r="E139" s="152">
        <f>SUM(F139:AE139)</f>
      </c>
      <c r="F139" s="146"/>
      <c r="G139" s="146"/>
      <c r="H139" s="146"/>
      <c r="I139" s="146"/>
      <c r="J139" s="146"/>
      <c r="K139" s="156"/>
      <c r="L139" s="146"/>
      <c r="M139" s="146"/>
      <c r="N139" s="146"/>
      <c r="O139" s="146"/>
      <c r="P139" s="156"/>
      <c r="Q139" s="146"/>
      <c r="R139" s="146"/>
      <c r="S139" s="146"/>
      <c r="T139" s="156"/>
      <c r="U139" s="146"/>
      <c r="V139" s="146"/>
      <c r="W139" s="146"/>
      <c r="X139" s="146"/>
      <c r="Y139" s="146"/>
      <c r="Z139" s="146"/>
      <c r="AA139" s="146"/>
      <c r="AB139" s="146"/>
      <c r="AC139" s="157"/>
      <c r="AD139" s="157"/>
      <c r="AE139" s="157"/>
      <c r="AF139" s="158">
        <f>SUM(AG139:AJ139)</f>
      </c>
      <c r="AG139" s="146"/>
      <c r="AH139" s="145"/>
      <c r="AI139" s="145"/>
      <c r="AJ139" s="145"/>
      <c r="AK139" s="158">
        <f>SUM(AL139:AW139)</f>
      </c>
      <c r="AL139" s="146"/>
      <c r="AM139" s="145"/>
      <c r="AN139" s="145"/>
      <c r="AO139" s="145"/>
      <c r="AP139" s="145"/>
      <c r="AQ139" s="145"/>
      <c r="AR139" s="145"/>
      <c r="AS139" s="145"/>
      <c r="AT139" s="145"/>
      <c r="AU139" s="145"/>
      <c r="AV139" s="145"/>
      <c r="AW139" s="158"/>
      <c r="AX139" s="145"/>
      <c r="AY139" s="145"/>
      <c r="AZ139" s="145"/>
      <c r="BA139" s="158"/>
      <c r="BB139" s="145"/>
      <c r="BC139" s="145"/>
      <c r="BD139" s="158"/>
      <c r="BE139" s="146"/>
      <c r="BF139" s="145"/>
      <c r="BG139" s="145"/>
      <c r="BH139" s="158">
        <f>SUM(BI139:BK139)</f>
      </c>
      <c r="BI139" s="145"/>
      <c r="BJ139" s="145"/>
      <c r="BK139" s="145"/>
      <c r="BL139" s="145">
        <f>SUM(BM139:BR139)</f>
      </c>
      <c r="BM139" s="145"/>
      <c r="BN139" s="145"/>
      <c r="BO139" s="158"/>
      <c r="BP139" s="145"/>
      <c r="BQ139" s="145"/>
      <c r="BR139" s="145"/>
      <c r="BS139" s="145"/>
      <c r="BT139" s="145"/>
      <c r="BU139" s="158"/>
      <c r="BV139" s="146"/>
      <c r="BW139" s="145"/>
      <c r="BX139" s="145"/>
      <c r="BY139" s="158">
        <f>SUM(BZ139:CB139)</f>
      </c>
      <c r="BZ139" s="146"/>
      <c r="CA139" s="145"/>
      <c r="CB139" s="145"/>
      <c r="CC139" s="145">
        <f>SUM(CD139:CH139)</f>
      </c>
      <c r="CD139" s="145"/>
      <c r="CE139" s="158"/>
      <c r="CF139" s="145"/>
      <c r="CG139" s="145"/>
      <c r="CH139" s="145"/>
      <c r="CI139" s="158"/>
      <c r="CJ139" s="145"/>
      <c r="CK139" s="145"/>
      <c r="CL139" s="145"/>
      <c r="CM139" s="145"/>
      <c r="CN139" s="145"/>
      <c r="CO139" s="145"/>
      <c r="CP139" s="145"/>
      <c r="CQ139" s="158"/>
      <c r="CR139" s="146"/>
      <c r="CS139" s="158"/>
      <c r="CT139" s="158"/>
      <c r="CU139" s="158">
        <f>SUM(CV139:CV139)</f>
      </c>
      <c r="CV139" s="146"/>
      <c r="CW139" s="145"/>
      <c r="CX139" s="145"/>
      <c r="CY139" s="145">
        <f>SUM(CZ139:DE139)</f>
      </c>
      <c r="CZ139" s="145"/>
      <c r="DA139" s="146"/>
      <c r="DB139" s="146"/>
      <c r="DC139" s="153"/>
      <c r="DD139" s="153"/>
      <c r="DE139" s="145"/>
      <c r="DF139" s="145"/>
      <c r="DG139" s="145"/>
      <c r="DH139" s="158"/>
      <c r="DI139" s="145"/>
      <c r="DJ139" s="158"/>
      <c r="DK139" s="145"/>
      <c r="DL139" s="158"/>
      <c r="DM139" s="145"/>
      <c r="DN139" s="145"/>
      <c r="DO139" s="145"/>
      <c r="DP139" s="158"/>
      <c r="DQ139" s="145"/>
      <c r="DR139" s="145"/>
      <c r="DS139" s="145"/>
      <c r="DT139" s="145"/>
      <c r="DU139" s="145">
        <f>SUM(DV139:EE139)</f>
      </c>
      <c r="DV139" s="145"/>
      <c r="DW139" s="145"/>
      <c r="DX139" s="145"/>
      <c r="DY139" s="145"/>
      <c r="DZ139" s="146"/>
      <c r="EA139" s="158"/>
      <c r="EB139" s="146"/>
      <c r="EC139" s="145"/>
      <c r="ED139" s="145"/>
      <c r="EE139" s="155"/>
      <c r="EF139" s="145">
        <f>SUM(EG139:EH139)</f>
      </c>
      <c r="EG139" s="145"/>
      <c r="EH139" s="146"/>
      <c r="EI139" s="159" cm="1">
        <f t="array" ref="EI139">ROW()-ROW(Run[#Headers])</f>
        <v>133</v>
      </c>
    </row>
    <row r="140" spans="2:139" s="79" customFormat="1" ht="11.25" x14ac:dyDescent="0.2">
      <c r="B140" s="146"/>
      <c r="C140" s="155"/>
      <c r="D140" s="145"/>
      <c r="E140" s="152">
        <f>SUM(F140:AE140)</f>
      </c>
      <c r="F140" s="146"/>
      <c r="G140" s="146"/>
      <c r="H140" s="146"/>
      <c r="I140" s="146"/>
      <c r="J140" s="146"/>
      <c r="K140" s="156"/>
      <c r="L140" s="146"/>
      <c r="M140" s="146"/>
      <c r="N140" s="146"/>
      <c r="O140" s="146"/>
      <c r="P140" s="156"/>
      <c r="Q140" s="146"/>
      <c r="R140" s="146"/>
      <c r="S140" s="146"/>
      <c r="T140" s="156"/>
      <c r="U140" s="146"/>
      <c r="V140" s="146"/>
      <c r="W140" s="146"/>
      <c r="X140" s="146"/>
      <c r="Y140" s="146"/>
      <c r="Z140" s="146"/>
      <c r="AA140" s="146"/>
      <c r="AB140" s="146"/>
      <c r="AC140" s="157"/>
      <c r="AD140" s="157"/>
      <c r="AE140" s="157"/>
      <c r="AF140" s="158">
        <f>SUM(AG140:AJ140)</f>
      </c>
      <c r="AG140" s="146"/>
      <c r="AH140" s="145"/>
      <c r="AI140" s="145"/>
      <c r="AJ140" s="145"/>
      <c r="AK140" s="158">
        <f>SUM(AL140:AW140)</f>
      </c>
      <c r="AL140" s="146"/>
      <c r="AM140" s="145"/>
      <c r="AN140" s="145"/>
      <c r="AO140" s="145"/>
      <c r="AP140" s="145"/>
      <c r="AQ140" s="145"/>
      <c r="AR140" s="145"/>
      <c r="AS140" s="145"/>
      <c r="AT140" s="145"/>
      <c r="AU140" s="145"/>
      <c r="AV140" s="145"/>
      <c r="AW140" s="158"/>
      <c r="AX140" s="145"/>
      <c r="AY140" s="145"/>
      <c r="AZ140" s="145"/>
      <c r="BA140" s="158"/>
      <c r="BB140" s="145"/>
      <c r="BC140" s="145"/>
      <c r="BD140" s="158"/>
      <c r="BE140" s="146"/>
      <c r="BF140" s="145"/>
      <c r="BG140" s="145"/>
      <c r="BH140" s="158">
        <f>SUM(BI140:BK140)</f>
      </c>
      <c r="BI140" s="145"/>
      <c r="BJ140" s="145"/>
      <c r="BK140" s="145"/>
      <c r="BL140" s="145">
        <f>SUM(BM140:BR140)</f>
      </c>
      <c r="BM140" s="145"/>
      <c r="BN140" s="145"/>
      <c r="BO140" s="158"/>
      <c r="BP140" s="145"/>
      <c r="BQ140" s="145"/>
      <c r="BR140" s="145"/>
      <c r="BS140" s="145"/>
      <c r="BT140" s="145"/>
      <c r="BU140" s="158"/>
      <c r="BV140" s="146"/>
      <c r="BW140" s="145"/>
      <c r="BX140" s="145"/>
      <c r="BY140" s="158">
        <f>SUM(BZ140:CB140)</f>
      </c>
      <c r="BZ140" s="146"/>
      <c r="CA140" s="145"/>
      <c r="CB140" s="145"/>
      <c r="CC140" s="145">
        <f>SUM(CD140:CH140)</f>
      </c>
      <c r="CD140" s="145"/>
      <c r="CE140" s="158"/>
      <c r="CF140" s="145"/>
      <c r="CG140" s="145"/>
      <c r="CH140" s="145"/>
      <c r="CI140" s="158"/>
      <c r="CJ140" s="145"/>
      <c r="CK140" s="145"/>
      <c r="CL140" s="145"/>
      <c r="CM140" s="145"/>
      <c r="CN140" s="145"/>
      <c r="CO140" s="145"/>
      <c r="CP140" s="145"/>
      <c r="CQ140" s="158"/>
      <c r="CR140" s="146"/>
      <c r="CS140" s="158"/>
      <c r="CT140" s="158"/>
      <c r="CU140" s="158">
        <f>SUM(CV140:CV140)</f>
      </c>
      <c r="CV140" s="146"/>
      <c r="CW140" s="145"/>
      <c r="CX140" s="145"/>
      <c r="CY140" s="145">
        <f>SUM(CZ140:DE140)</f>
      </c>
      <c r="CZ140" s="145"/>
      <c r="DA140" s="146"/>
      <c r="DB140" s="146"/>
      <c r="DC140" s="153"/>
      <c r="DD140" s="153"/>
      <c r="DE140" s="145"/>
      <c r="DF140" s="145"/>
      <c r="DG140" s="145"/>
      <c r="DH140" s="158"/>
      <c r="DI140" s="145"/>
      <c r="DJ140" s="158"/>
      <c r="DK140" s="145"/>
      <c r="DL140" s="158"/>
      <c r="DM140" s="145"/>
      <c r="DN140" s="145"/>
      <c r="DO140" s="145"/>
      <c r="DP140" s="158"/>
      <c r="DQ140" s="145"/>
      <c r="DR140" s="145"/>
      <c r="DS140" s="145"/>
      <c r="DT140" s="145"/>
      <c r="DU140" s="145">
        <f>SUM(DV140:EE140)</f>
      </c>
      <c r="DV140" s="145"/>
      <c r="DW140" s="145"/>
      <c r="DX140" s="145"/>
      <c r="DY140" s="145"/>
      <c r="DZ140" s="146"/>
      <c r="EA140" s="158"/>
      <c r="EB140" s="146"/>
      <c r="EC140" s="145"/>
      <c r="ED140" s="145"/>
      <c r="EE140" s="155"/>
      <c r="EF140" s="145">
        <f>SUM(EG140:EH140)</f>
      </c>
      <c r="EG140" s="145"/>
      <c r="EH140" s="146"/>
      <c r="EI140" s="159" cm="1">
        <f t="array" ref="EI140">ROW()-ROW(Run[#Headers])</f>
        <v>134</v>
      </c>
    </row>
    <row r="141" spans="2:139" s="79" customFormat="1" ht="11.25" x14ac:dyDescent="0.2">
      <c r="B141" s="146"/>
      <c r="C141" s="155"/>
      <c r="D141" s="145"/>
      <c r="E141" s="152">
        <f>SUM(F141:AE141)</f>
      </c>
      <c r="F141" s="146"/>
      <c r="G141" s="146"/>
      <c r="H141" s="146"/>
      <c r="I141" s="146"/>
      <c r="J141" s="146"/>
      <c r="K141" s="156"/>
      <c r="L141" s="146"/>
      <c r="M141" s="146"/>
      <c r="N141" s="146"/>
      <c r="O141" s="146"/>
      <c r="P141" s="156"/>
      <c r="Q141" s="146"/>
      <c r="R141" s="146"/>
      <c r="S141" s="146"/>
      <c r="T141" s="156"/>
      <c r="U141" s="146"/>
      <c r="V141" s="146"/>
      <c r="W141" s="146"/>
      <c r="X141" s="146"/>
      <c r="Y141" s="146"/>
      <c r="Z141" s="146"/>
      <c r="AA141" s="146"/>
      <c r="AB141" s="146"/>
      <c r="AC141" s="157"/>
      <c r="AD141" s="157"/>
      <c r="AE141" s="157"/>
      <c r="AF141" s="158">
        <f>SUM(AG141:AJ141)</f>
      </c>
      <c r="AG141" s="146"/>
      <c r="AH141" s="145"/>
      <c r="AI141" s="145"/>
      <c r="AJ141" s="145"/>
      <c r="AK141" s="158">
        <f>SUM(AL141:AW141)</f>
      </c>
      <c r="AL141" s="146"/>
      <c r="AM141" s="145"/>
      <c r="AN141" s="145"/>
      <c r="AO141" s="145"/>
      <c r="AP141" s="145"/>
      <c r="AQ141" s="145"/>
      <c r="AR141" s="145"/>
      <c r="AS141" s="145"/>
      <c r="AT141" s="145"/>
      <c r="AU141" s="145"/>
      <c r="AV141" s="145"/>
      <c r="AW141" s="158"/>
      <c r="AX141" s="145"/>
      <c r="AY141" s="145"/>
      <c r="AZ141" s="145"/>
      <c r="BA141" s="158"/>
      <c r="BB141" s="145"/>
      <c r="BC141" s="145"/>
      <c r="BD141" s="158"/>
      <c r="BE141" s="146"/>
      <c r="BF141" s="145"/>
      <c r="BG141" s="145"/>
      <c r="BH141" s="158">
        <f>SUM(BI141:BK141)</f>
      </c>
      <c r="BI141" s="145"/>
      <c r="BJ141" s="145"/>
      <c r="BK141" s="145"/>
      <c r="BL141" s="145">
        <f>SUM(BM141:BR141)</f>
      </c>
      <c r="BM141" s="145"/>
      <c r="BN141" s="145"/>
      <c r="BO141" s="158"/>
      <c r="BP141" s="145"/>
      <c r="BQ141" s="145"/>
      <c r="BR141" s="145"/>
      <c r="BS141" s="145"/>
      <c r="BT141" s="145"/>
      <c r="BU141" s="158"/>
      <c r="BV141" s="146"/>
      <c r="BW141" s="145"/>
      <c r="BX141" s="145"/>
      <c r="BY141" s="158">
        <f>SUM(BZ141:CB141)</f>
      </c>
      <c r="BZ141" s="146"/>
      <c r="CA141" s="145"/>
      <c r="CB141" s="145"/>
      <c r="CC141" s="145">
        <f>SUM(CD141:CH141)</f>
      </c>
      <c r="CD141" s="145"/>
      <c r="CE141" s="158"/>
      <c r="CF141" s="145"/>
      <c r="CG141" s="145"/>
      <c r="CH141" s="145"/>
      <c r="CI141" s="158"/>
      <c r="CJ141" s="145"/>
      <c r="CK141" s="145"/>
      <c r="CL141" s="145"/>
      <c r="CM141" s="145"/>
      <c r="CN141" s="145"/>
      <c r="CO141" s="145"/>
      <c r="CP141" s="145"/>
      <c r="CQ141" s="158"/>
      <c r="CR141" s="146"/>
      <c r="CS141" s="158"/>
      <c r="CT141" s="158"/>
      <c r="CU141" s="158">
        <f>SUM(CV141:CV141)</f>
      </c>
      <c r="CV141" s="146"/>
      <c r="CW141" s="145"/>
      <c r="CX141" s="145"/>
      <c r="CY141" s="145">
        <f>SUM(CZ141:DE141)</f>
      </c>
      <c r="CZ141" s="145"/>
      <c r="DA141" s="146"/>
      <c r="DB141" s="146"/>
      <c r="DC141" s="153"/>
      <c r="DD141" s="153"/>
      <c r="DE141" s="145"/>
      <c r="DF141" s="145"/>
      <c r="DG141" s="145"/>
      <c r="DH141" s="158"/>
      <c r="DI141" s="145"/>
      <c r="DJ141" s="158"/>
      <c r="DK141" s="145"/>
      <c r="DL141" s="158"/>
      <c r="DM141" s="145"/>
      <c r="DN141" s="145"/>
      <c r="DO141" s="145"/>
      <c r="DP141" s="158"/>
      <c r="DQ141" s="145"/>
      <c r="DR141" s="145"/>
      <c r="DS141" s="145"/>
      <c r="DT141" s="145"/>
      <c r="DU141" s="145">
        <f>SUM(DV141:EE141)</f>
      </c>
      <c r="DV141" s="145"/>
      <c r="DW141" s="145"/>
      <c r="DX141" s="145"/>
      <c r="DY141" s="145"/>
      <c r="DZ141" s="146"/>
      <c r="EA141" s="158"/>
      <c r="EB141" s="146"/>
      <c r="EC141" s="145"/>
      <c r="ED141" s="145"/>
      <c r="EE141" s="155"/>
      <c r="EF141" s="145">
        <f>SUM(EG141:EH141)</f>
      </c>
      <c r="EG141" s="145"/>
      <c r="EH141" s="146"/>
      <c r="EI141" s="159" cm="1">
        <f t="array" ref="EI141">ROW()-ROW(Run[#Headers])</f>
        <v>135</v>
      </c>
    </row>
    <row r="142" spans="2:139" s="79" customFormat="1" ht="11.25" x14ac:dyDescent="0.2">
      <c r="B142" s="146"/>
      <c r="C142" s="155"/>
      <c r="D142" s="145"/>
      <c r="E142" s="152">
        <f>SUM(F142:AE142)</f>
      </c>
      <c r="F142" s="146"/>
      <c r="G142" s="146"/>
      <c r="H142" s="146"/>
      <c r="I142" s="146"/>
      <c r="J142" s="146"/>
      <c r="K142" s="156"/>
      <c r="L142" s="146"/>
      <c r="M142" s="146"/>
      <c r="N142" s="146"/>
      <c r="O142" s="146"/>
      <c r="P142" s="156"/>
      <c r="Q142" s="146"/>
      <c r="R142" s="146"/>
      <c r="S142" s="146"/>
      <c r="T142" s="156"/>
      <c r="U142" s="146"/>
      <c r="V142" s="146"/>
      <c r="W142" s="146"/>
      <c r="X142" s="146"/>
      <c r="Y142" s="146"/>
      <c r="Z142" s="146"/>
      <c r="AA142" s="146"/>
      <c r="AB142" s="146"/>
      <c r="AC142" s="157"/>
      <c r="AD142" s="157"/>
      <c r="AE142" s="157"/>
      <c r="AF142" s="158">
        <f>SUM(AG142:AJ142)</f>
      </c>
      <c r="AG142" s="146"/>
      <c r="AH142" s="145"/>
      <c r="AI142" s="145"/>
      <c r="AJ142" s="145"/>
      <c r="AK142" s="158">
        <f>SUM(AL142:AW142)</f>
      </c>
      <c r="AL142" s="146"/>
      <c r="AM142" s="145"/>
      <c r="AN142" s="145"/>
      <c r="AO142" s="145"/>
      <c r="AP142" s="145"/>
      <c r="AQ142" s="145"/>
      <c r="AR142" s="145"/>
      <c r="AS142" s="145"/>
      <c r="AT142" s="145"/>
      <c r="AU142" s="145"/>
      <c r="AV142" s="145"/>
      <c r="AW142" s="158"/>
      <c r="AX142" s="145"/>
      <c r="AY142" s="145"/>
      <c r="AZ142" s="145"/>
      <c r="BA142" s="158"/>
      <c r="BB142" s="145"/>
      <c r="BC142" s="145"/>
      <c r="BD142" s="158"/>
      <c r="BE142" s="146"/>
      <c r="BF142" s="145"/>
      <c r="BG142" s="145"/>
      <c r="BH142" s="158">
        <f>SUM(BI142:BK142)</f>
      </c>
      <c r="BI142" s="145"/>
      <c r="BJ142" s="145"/>
      <c r="BK142" s="145"/>
      <c r="BL142" s="145">
        <f>SUM(BM142:BR142)</f>
      </c>
      <c r="BM142" s="145"/>
      <c r="BN142" s="145"/>
      <c r="BO142" s="158"/>
      <c r="BP142" s="145"/>
      <c r="BQ142" s="145"/>
      <c r="BR142" s="145"/>
      <c r="BS142" s="145"/>
      <c r="BT142" s="145"/>
      <c r="BU142" s="158"/>
      <c r="BV142" s="146"/>
      <c r="BW142" s="145"/>
      <c r="BX142" s="145"/>
      <c r="BY142" s="158">
        <f>SUM(BZ142:CB142)</f>
      </c>
      <c r="BZ142" s="146"/>
      <c r="CA142" s="145"/>
      <c r="CB142" s="145"/>
      <c r="CC142" s="145">
        <f>SUM(CD142:CH142)</f>
      </c>
      <c r="CD142" s="145"/>
      <c r="CE142" s="158"/>
      <c r="CF142" s="145"/>
      <c r="CG142" s="145"/>
      <c r="CH142" s="145"/>
      <c r="CI142" s="158"/>
      <c r="CJ142" s="145"/>
      <c r="CK142" s="145"/>
      <c r="CL142" s="145"/>
      <c r="CM142" s="145"/>
      <c r="CN142" s="145"/>
      <c r="CO142" s="145"/>
      <c r="CP142" s="145"/>
      <c r="CQ142" s="158"/>
      <c r="CR142" s="146"/>
      <c r="CS142" s="158"/>
      <c r="CT142" s="158"/>
      <c r="CU142" s="158">
        <f>SUM(CV142:CV142)</f>
      </c>
      <c r="CV142" s="146"/>
      <c r="CW142" s="145"/>
      <c r="CX142" s="145"/>
      <c r="CY142" s="145">
        <f>SUM(CZ142:DE142)</f>
      </c>
      <c r="CZ142" s="145"/>
      <c r="DA142" s="146"/>
      <c r="DB142" s="146"/>
      <c r="DC142" s="153"/>
      <c r="DD142" s="153"/>
      <c r="DE142" s="145"/>
      <c r="DF142" s="145"/>
      <c r="DG142" s="145"/>
      <c r="DH142" s="158"/>
      <c r="DI142" s="145"/>
      <c r="DJ142" s="158"/>
      <c r="DK142" s="145"/>
      <c r="DL142" s="158"/>
      <c r="DM142" s="145"/>
      <c r="DN142" s="145"/>
      <c r="DO142" s="145"/>
      <c r="DP142" s="158"/>
      <c r="DQ142" s="145"/>
      <c r="DR142" s="145"/>
      <c r="DS142" s="145"/>
      <c r="DT142" s="145"/>
      <c r="DU142" s="145">
        <f>SUM(DV142:EE142)</f>
      </c>
      <c r="DV142" s="145"/>
      <c r="DW142" s="145"/>
      <c r="DX142" s="145"/>
      <c r="DY142" s="145"/>
      <c r="DZ142" s="146"/>
      <c r="EA142" s="158"/>
      <c r="EB142" s="146"/>
      <c r="EC142" s="145"/>
      <c r="ED142" s="145"/>
      <c r="EE142" s="155"/>
      <c r="EF142" s="145">
        <f>SUM(EG142:EH142)</f>
      </c>
      <c r="EG142" s="145"/>
      <c r="EH142" s="146"/>
      <c r="EI142" s="159" cm="1">
        <f t="array" ref="EI142">ROW()-ROW(Run[#Headers])</f>
        <v>136</v>
      </c>
    </row>
    <row r="143" spans="2:139" s="79" customFormat="1" ht="11.25" x14ac:dyDescent="0.2">
      <c r="B143" s="146"/>
      <c r="C143" s="155"/>
      <c r="D143" s="145"/>
      <c r="E143" s="152">
        <f>SUM(F143:AE143)</f>
      </c>
      <c r="F143" s="146"/>
      <c r="G143" s="146"/>
      <c r="H143" s="146"/>
      <c r="I143" s="146"/>
      <c r="J143" s="146"/>
      <c r="K143" s="156"/>
      <c r="L143" s="146"/>
      <c r="M143" s="146"/>
      <c r="N143" s="146"/>
      <c r="O143" s="146"/>
      <c r="P143" s="156"/>
      <c r="Q143" s="146"/>
      <c r="R143" s="146"/>
      <c r="S143" s="146"/>
      <c r="T143" s="156"/>
      <c r="U143" s="146"/>
      <c r="V143" s="146"/>
      <c r="W143" s="146"/>
      <c r="X143" s="146"/>
      <c r="Y143" s="146"/>
      <c r="Z143" s="146"/>
      <c r="AA143" s="146"/>
      <c r="AB143" s="146"/>
      <c r="AC143" s="157"/>
      <c r="AD143" s="157"/>
      <c r="AE143" s="157"/>
      <c r="AF143" s="158">
        <f>SUM(AG143:AJ143)</f>
      </c>
      <c r="AG143" s="146"/>
      <c r="AH143" s="145"/>
      <c r="AI143" s="145"/>
      <c r="AJ143" s="145"/>
      <c r="AK143" s="158">
        <f>SUM(AL143:AW143)</f>
      </c>
      <c r="AL143" s="146"/>
      <c r="AM143" s="145"/>
      <c r="AN143" s="145"/>
      <c r="AO143" s="145"/>
      <c r="AP143" s="145"/>
      <c r="AQ143" s="145"/>
      <c r="AR143" s="145"/>
      <c r="AS143" s="145"/>
      <c r="AT143" s="145"/>
      <c r="AU143" s="145"/>
      <c r="AV143" s="145"/>
      <c r="AW143" s="158"/>
      <c r="AX143" s="145"/>
      <c r="AY143" s="145"/>
      <c r="AZ143" s="145"/>
      <c r="BA143" s="158"/>
      <c r="BB143" s="145"/>
      <c r="BC143" s="145"/>
      <c r="BD143" s="158"/>
      <c r="BE143" s="146"/>
      <c r="BF143" s="145"/>
      <c r="BG143" s="145"/>
      <c r="BH143" s="158">
        <f>SUM(BI143:BK143)</f>
      </c>
      <c r="BI143" s="145"/>
      <c r="BJ143" s="145"/>
      <c r="BK143" s="145"/>
      <c r="BL143" s="145">
        <f>SUM(BM143:BR143)</f>
      </c>
      <c r="BM143" s="145"/>
      <c r="BN143" s="145"/>
      <c r="BO143" s="158"/>
      <c r="BP143" s="145"/>
      <c r="BQ143" s="145"/>
      <c r="BR143" s="145"/>
      <c r="BS143" s="145"/>
      <c r="BT143" s="145"/>
      <c r="BU143" s="158"/>
      <c r="BV143" s="146"/>
      <c r="BW143" s="145"/>
      <c r="BX143" s="145"/>
      <c r="BY143" s="158">
        <f>SUM(BZ143:CB143)</f>
      </c>
      <c r="BZ143" s="146"/>
      <c r="CA143" s="145"/>
      <c r="CB143" s="145"/>
      <c r="CC143" s="145">
        <f>SUM(CD143:CH143)</f>
      </c>
      <c r="CD143" s="145"/>
      <c r="CE143" s="158"/>
      <c r="CF143" s="145"/>
      <c r="CG143" s="145"/>
      <c r="CH143" s="145"/>
      <c r="CI143" s="158"/>
      <c r="CJ143" s="145"/>
      <c r="CK143" s="145"/>
      <c r="CL143" s="145"/>
      <c r="CM143" s="145"/>
      <c r="CN143" s="145"/>
      <c r="CO143" s="145"/>
      <c r="CP143" s="145"/>
      <c r="CQ143" s="158"/>
      <c r="CR143" s="146"/>
      <c r="CS143" s="158"/>
      <c r="CT143" s="158"/>
      <c r="CU143" s="158">
        <f>SUM(CV143:CV143)</f>
      </c>
      <c r="CV143" s="146"/>
      <c r="CW143" s="145"/>
      <c r="CX143" s="145"/>
      <c r="CY143" s="145">
        <f>SUM(CZ143:DE143)</f>
      </c>
      <c r="CZ143" s="145"/>
      <c r="DA143" s="146"/>
      <c r="DB143" s="146"/>
      <c r="DC143" s="153"/>
      <c r="DD143" s="153"/>
      <c r="DE143" s="145"/>
      <c r="DF143" s="145"/>
      <c r="DG143" s="145"/>
      <c r="DH143" s="158"/>
      <c r="DI143" s="145"/>
      <c r="DJ143" s="158"/>
      <c r="DK143" s="145"/>
      <c r="DL143" s="158"/>
      <c r="DM143" s="145"/>
      <c r="DN143" s="145"/>
      <c r="DO143" s="145"/>
      <c r="DP143" s="158"/>
      <c r="DQ143" s="145"/>
      <c r="DR143" s="145"/>
      <c r="DS143" s="145"/>
      <c r="DT143" s="145"/>
      <c r="DU143" s="145">
        <f>SUM(DV143:EE143)</f>
      </c>
      <c r="DV143" s="145"/>
      <c r="DW143" s="145"/>
      <c r="DX143" s="145"/>
      <c r="DY143" s="145"/>
      <c r="DZ143" s="146"/>
      <c r="EA143" s="158"/>
      <c r="EB143" s="146"/>
      <c r="EC143" s="145"/>
      <c r="ED143" s="145"/>
      <c r="EE143" s="155"/>
      <c r="EF143" s="145">
        <f>SUM(EG143:EH143)</f>
      </c>
      <c r="EG143" s="145"/>
      <c r="EH143" s="146"/>
      <c r="EI143" s="159" cm="1">
        <f t="array" ref="EI143">ROW()-ROW(Run[#Headers])</f>
        <v>137</v>
      </c>
    </row>
    <row r="144" spans="2:139" s="79" customFormat="1" ht="11.25" x14ac:dyDescent="0.2">
      <c r="B144" s="146"/>
      <c r="C144" s="155"/>
      <c r="D144" s="145"/>
      <c r="E144" s="152">
        <f>SUM(F144:AE144)</f>
      </c>
      <c r="F144" s="146"/>
      <c r="G144" s="146"/>
      <c r="H144" s="146"/>
      <c r="I144" s="146"/>
      <c r="J144" s="146"/>
      <c r="K144" s="156"/>
      <c r="L144" s="146"/>
      <c r="M144" s="146"/>
      <c r="N144" s="146"/>
      <c r="O144" s="146"/>
      <c r="P144" s="156"/>
      <c r="Q144" s="146"/>
      <c r="R144" s="146"/>
      <c r="S144" s="146"/>
      <c r="T144" s="156"/>
      <c r="U144" s="146"/>
      <c r="V144" s="146"/>
      <c r="W144" s="146"/>
      <c r="X144" s="146"/>
      <c r="Y144" s="146"/>
      <c r="Z144" s="146"/>
      <c r="AA144" s="146"/>
      <c r="AB144" s="146"/>
      <c r="AC144" s="157"/>
      <c r="AD144" s="157"/>
      <c r="AE144" s="157"/>
      <c r="AF144" s="158">
        <f>SUM(AG144:AJ144)</f>
      </c>
      <c r="AG144" s="146"/>
      <c r="AH144" s="145"/>
      <c r="AI144" s="145"/>
      <c r="AJ144" s="145"/>
      <c r="AK144" s="158">
        <f>SUM(AL144:AW144)</f>
      </c>
      <c r="AL144" s="146"/>
      <c r="AM144" s="145"/>
      <c r="AN144" s="145"/>
      <c r="AO144" s="145"/>
      <c r="AP144" s="145"/>
      <c r="AQ144" s="145"/>
      <c r="AR144" s="145"/>
      <c r="AS144" s="145"/>
      <c r="AT144" s="145"/>
      <c r="AU144" s="145"/>
      <c r="AV144" s="145"/>
      <c r="AW144" s="158"/>
      <c r="AX144" s="145"/>
      <c r="AY144" s="145"/>
      <c r="AZ144" s="145"/>
      <c r="BA144" s="158"/>
      <c r="BB144" s="145"/>
      <c r="BC144" s="145"/>
      <c r="BD144" s="158"/>
      <c r="BE144" s="146"/>
      <c r="BF144" s="145"/>
      <c r="BG144" s="145"/>
      <c r="BH144" s="158">
        <f>SUM(BI144:BK144)</f>
      </c>
      <c r="BI144" s="145"/>
      <c r="BJ144" s="145"/>
      <c r="BK144" s="145"/>
      <c r="BL144" s="145">
        <f>SUM(BM144:BR144)</f>
      </c>
      <c r="BM144" s="145"/>
      <c r="BN144" s="145"/>
      <c r="BO144" s="158"/>
      <c r="BP144" s="145"/>
      <c r="BQ144" s="145"/>
      <c r="BR144" s="145"/>
      <c r="BS144" s="145"/>
      <c r="BT144" s="145"/>
      <c r="BU144" s="158"/>
      <c r="BV144" s="146"/>
      <c r="BW144" s="145"/>
      <c r="BX144" s="145"/>
      <c r="BY144" s="158">
        <f>SUM(BZ144:CB144)</f>
      </c>
      <c r="BZ144" s="146"/>
      <c r="CA144" s="145"/>
      <c r="CB144" s="145"/>
      <c r="CC144" s="145">
        <f>SUM(CD144:CH144)</f>
      </c>
      <c r="CD144" s="145"/>
      <c r="CE144" s="158"/>
      <c r="CF144" s="145"/>
      <c r="CG144" s="145"/>
      <c r="CH144" s="145"/>
      <c r="CI144" s="158"/>
      <c r="CJ144" s="145"/>
      <c r="CK144" s="145"/>
      <c r="CL144" s="145"/>
      <c r="CM144" s="145"/>
      <c r="CN144" s="145"/>
      <c r="CO144" s="145"/>
      <c r="CP144" s="145"/>
      <c r="CQ144" s="158"/>
      <c r="CR144" s="146"/>
      <c r="CS144" s="158"/>
      <c r="CT144" s="158"/>
      <c r="CU144" s="158">
        <f>SUM(CV144:CV144)</f>
      </c>
      <c r="CV144" s="146"/>
      <c r="CW144" s="145"/>
      <c r="CX144" s="145"/>
      <c r="CY144" s="145">
        <f>SUM(CZ144:DE144)</f>
      </c>
      <c r="CZ144" s="145"/>
      <c r="DA144" s="146"/>
      <c r="DB144" s="146"/>
      <c r="DC144" s="153"/>
      <c r="DD144" s="153"/>
      <c r="DE144" s="145"/>
      <c r="DF144" s="145"/>
      <c r="DG144" s="145"/>
      <c r="DH144" s="158"/>
      <c r="DI144" s="145"/>
      <c r="DJ144" s="158"/>
      <c r="DK144" s="145"/>
      <c r="DL144" s="158"/>
      <c r="DM144" s="145"/>
      <c r="DN144" s="145"/>
      <c r="DO144" s="145"/>
      <c r="DP144" s="158"/>
      <c r="DQ144" s="145"/>
      <c r="DR144" s="145"/>
      <c r="DS144" s="145"/>
      <c r="DT144" s="145"/>
      <c r="DU144" s="145">
        <f>SUM(DV144:EE144)</f>
      </c>
      <c r="DV144" s="145"/>
      <c r="DW144" s="145"/>
      <c r="DX144" s="145"/>
      <c r="DY144" s="145"/>
      <c r="DZ144" s="146"/>
      <c r="EA144" s="158"/>
      <c r="EB144" s="146"/>
      <c r="EC144" s="145"/>
      <c r="ED144" s="145"/>
      <c r="EE144" s="155"/>
      <c r="EF144" s="145">
        <f>SUM(EG144:EH144)</f>
      </c>
      <c r="EG144" s="145"/>
      <c r="EH144" s="146"/>
      <c r="EI144" s="159" cm="1">
        <f t="array" ref="EI144">ROW()-ROW(Run[#Headers])</f>
        <v>138</v>
      </c>
    </row>
    <row r="145" spans="2:139" s="79" customFormat="1" ht="11.25" x14ac:dyDescent="0.2">
      <c r="B145" s="146"/>
      <c r="C145" s="155"/>
      <c r="D145" s="145"/>
      <c r="E145" s="152">
        <f>SUM(F145:AE145)</f>
      </c>
      <c r="F145" s="146"/>
      <c r="G145" s="146"/>
      <c r="H145" s="146"/>
      <c r="I145" s="146"/>
      <c r="J145" s="146"/>
      <c r="K145" s="156"/>
      <c r="L145" s="146"/>
      <c r="M145" s="146"/>
      <c r="N145" s="146"/>
      <c r="O145" s="146"/>
      <c r="P145" s="156"/>
      <c r="Q145" s="146"/>
      <c r="R145" s="146"/>
      <c r="S145" s="146"/>
      <c r="T145" s="156"/>
      <c r="U145" s="146"/>
      <c r="V145" s="146"/>
      <c r="W145" s="146"/>
      <c r="X145" s="146"/>
      <c r="Y145" s="146"/>
      <c r="Z145" s="146"/>
      <c r="AA145" s="146"/>
      <c r="AB145" s="146"/>
      <c r="AC145" s="157"/>
      <c r="AD145" s="157"/>
      <c r="AE145" s="157"/>
      <c r="AF145" s="158">
        <f>SUM(AG145:AJ145)</f>
      </c>
      <c r="AG145" s="146"/>
      <c r="AH145" s="145"/>
      <c r="AI145" s="145"/>
      <c r="AJ145" s="145"/>
      <c r="AK145" s="158">
        <f>SUM(AL145:AW145)</f>
      </c>
      <c r="AL145" s="146"/>
      <c r="AM145" s="145"/>
      <c r="AN145" s="145"/>
      <c r="AO145" s="145"/>
      <c r="AP145" s="145"/>
      <c r="AQ145" s="145"/>
      <c r="AR145" s="145"/>
      <c r="AS145" s="145"/>
      <c r="AT145" s="145"/>
      <c r="AU145" s="145"/>
      <c r="AV145" s="145"/>
      <c r="AW145" s="158"/>
      <c r="AX145" s="145"/>
      <c r="AY145" s="145"/>
      <c r="AZ145" s="145"/>
      <c r="BA145" s="158"/>
      <c r="BB145" s="145"/>
      <c r="BC145" s="145"/>
      <c r="BD145" s="158"/>
      <c r="BE145" s="146"/>
      <c r="BF145" s="145"/>
      <c r="BG145" s="145"/>
      <c r="BH145" s="158">
        <f>SUM(BI145:BK145)</f>
      </c>
      <c r="BI145" s="145"/>
      <c r="BJ145" s="145"/>
      <c r="BK145" s="145"/>
      <c r="BL145" s="145">
        <f>SUM(BM145:BR145)</f>
      </c>
      <c r="BM145" s="145"/>
      <c r="BN145" s="145"/>
      <c r="BO145" s="158"/>
      <c r="BP145" s="145"/>
      <c r="BQ145" s="145"/>
      <c r="BR145" s="145"/>
      <c r="BS145" s="145"/>
      <c r="BT145" s="145"/>
      <c r="BU145" s="158"/>
      <c r="BV145" s="146"/>
      <c r="BW145" s="145"/>
      <c r="BX145" s="145"/>
      <c r="BY145" s="158">
        <f>SUM(BZ145:CB145)</f>
      </c>
      <c r="BZ145" s="146"/>
      <c r="CA145" s="145"/>
      <c r="CB145" s="145"/>
      <c r="CC145" s="145">
        <f>SUM(CD145:CH145)</f>
      </c>
      <c r="CD145" s="145"/>
      <c r="CE145" s="158"/>
      <c r="CF145" s="145"/>
      <c r="CG145" s="145"/>
      <c r="CH145" s="145"/>
      <c r="CI145" s="158"/>
      <c r="CJ145" s="145"/>
      <c r="CK145" s="145"/>
      <c r="CL145" s="145"/>
      <c r="CM145" s="145"/>
      <c r="CN145" s="145"/>
      <c r="CO145" s="145"/>
      <c r="CP145" s="145"/>
      <c r="CQ145" s="158"/>
      <c r="CR145" s="146"/>
      <c r="CS145" s="158"/>
      <c r="CT145" s="158"/>
      <c r="CU145" s="158">
        <f>SUM(CV145:CV145)</f>
      </c>
      <c r="CV145" s="146"/>
      <c r="CW145" s="145"/>
      <c r="CX145" s="145"/>
      <c r="CY145" s="145">
        <f>SUM(CZ145:DE145)</f>
      </c>
      <c r="CZ145" s="145"/>
      <c r="DA145" s="146"/>
      <c r="DB145" s="146"/>
      <c r="DC145" s="153"/>
      <c r="DD145" s="153"/>
      <c r="DE145" s="145"/>
      <c r="DF145" s="145"/>
      <c r="DG145" s="145"/>
      <c r="DH145" s="158"/>
      <c r="DI145" s="145"/>
      <c r="DJ145" s="158"/>
      <c r="DK145" s="145"/>
      <c r="DL145" s="158"/>
      <c r="DM145" s="145"/>
      <c r="DN145" s="145"/>
      <c r="DO145" s="145"/>
      <c r="DP145" s="158"/>
      <c r="DQ145" s="145"/>
      <c r="DR145" s="145"/>
      <c r="DS145" s="145"/>
      <c r="DT145" s="145"/>
      <c r="DU145" s="145">
        <f>SUM(DV145:EE145)</f>
      </c>
      <c r="DV145" s="145"/>
      <c r="DW145" s="145"/>
      <c r="DX145" s="145"/>
      <c r="DY145" s="145"/>
      <c r="DZ145" s="146"/>
      <c r="EA145" s="158"/>
      <c r="EB145" s="146"/>
      <c r="EC145" s="145"/>
      <c r="ED145" s="145"/>
      <c r="EE145" s="155"/>
      <c r="EF145" s="145">
        <f>SUM(EG145:EH145)</f>
      </c>
      <c r="EG145" s="145"/>
      <c r="EH145" s="146"/>
      <c r="EI145" s="159" cm="1">
        <f t="array" ref="EI145">ROW()-ROW(Run[#Headers])</f>
        <v>139</v>
      </c>
    </row>
    <row r="146" spans="2:139" s="79" customFormat="1" ht="11.25" x14ac:dyDescent="0.2">
      <c r="B146" s="146"/>
      <c r="C146" s="155"/>
      <c r="D146" s="145"/>
      <c r="E146" s="152">
        <f>SUM(F146:AE146)</f>
      </c>
      <c r="F146" s="146"/>
      <c r="G146" s="146"/>
      <c r="H146" s="146"/>
      <c r="I146" s="146"/>
      <c r="J146" s="146"/>
      <c r="K146" s="156"/>
      <c r="L146" s="146"/>
      <c r="M146" s="146"/>
      <c r="N146" s="146"/>
      <c r="O146" s="146"/>
      <c r="P146" s="156"/>
      <c r="Q146" s="146"/>
      <c r="R146" s="146"/>
      <c r="S146" s="146"/>
      <c r="T146" s="156"/>
      <c r="U146" s="146"/>
      <c r="V146" s="146"/>
      <c r="W146" s="146"/>
      <c r="X146" s="146"/>
      <c r="Y146" s="146"/>
      <c r="Z146" s="146"/>
      <c r="AA146" s="146"/>
      <c r="AB146" s="146"/>
      <c r="AC146" s="157"/>
      <c r="AD146" s="157"/>
      <c r="AE146" s="157"/>
      <c r="AF146" s="158">
        <f>SUM(AG146:AJ146)</f>
      </c>
      <c r="AG146" s="146"/>
      <c r="AH146" s="145"/>
      <c r="AI146" s="145"/>
      <c r="AJ146" s="145"/>
      <c r="AK146" s="158">
        <f>SUM(AL146:AW146)</f>
      </c>
      <c r="AL146" s="146"/>
      <c r="AM146" s="145"/>
      <c r="AN146" s="145"/>
      <c r="AO146" s="145"/>
      <c r="AP146" s="145"/>
      <c r="AQ146" s="145"/>
      <c r="AR146" s="145"/>
      <c r="AS146" s="145"/>
      <c r="AT146" s="145"/>
      <c r="AU146" s="145"/>
      <c r="AV146" s="145"/>
      <c r="AW146" s="158"/>
      <c r="AX146" s="145"/>
      <c r="AY146" s="145"/>
      <c r="AZ146" s="145"/>
      <c r="BA146" s="158"/>
      <c r="BB146" s="145"/>
      <c r="BC146" s="145"/>
      <c r="BD146" s="158"/>
      <c r="BE146" s="146"/>
      <c r="BF146" s="145"/>
      <c r="BG146" s="145"/>
      <c r="BH146" s="158">
        <f>SUM(BI146:BK146)</f>
      </c>
      <c r="BI146" s="145"/>
      <c r="BJ146" s="145"/>
      <c r="BK146" s="145"/>
      <c r="BL146" s="145">
        <f>SUM(BM146:BR146)</f>
      </c>
      <c r="BM146" s="145"/>
      <c r="BN146" s="145"/>
      <c r="BO146" s="158"/>
      <c r="BP146" s="145"/>
      <c r="BQ146" s="145"/>
      <c r="BR146" s="145"/>
      <c r="BS146" s="145"/>
      <c r="BT146" s="145"/>
      <c r="BU146" s="158"/>
      <c r="BV146" s="146"/>
      <c r="BW146" s="145"/>
      <c r="BX146" s="145"/>
      <c r="BY146" s="158">
        <f>SUM(BZ146:CB146)</f>
      </c>
      <c r="BZ146" s="146"/>
      <c r="CA146" s="145"/>
      <c r="CB146" s="145"/>
      <c r="CC146" s="145">
        <f>SUM(CD146:CH146)</f>
      </c>
      <c r="CD146" s="145"/>
      <c r="CE146" s="158"/>
      <c r="CF146" s="145"/>
      <c r="CG146" s="145"/>
      <c r="CH146" s="145"/>
      <c r="CI146" s="158"/>
      <c r="CJ146" s="145"/>
      <c r="CK146" s="145"/>
      <c r="CL146" s="145"/>
      <c r="CM146" s="145"/>
      <c r="CN146" s="145"/>
      <c r="CO146" s="145"/>
      <c r="CP146" s="145"/>
      <c r="CQ146" s="158"/>
      <c r="CR146" s="146"/>
      <c r="CS146" s="158"/>
      <c r="CT146" s="158"/>
      <c r="CU146" s="158">
        <f>SUM(CV146:CV146)</f>
      </c>
      <c r="CV146" s="146"/>
      <c r="CW146" s="145"/>
      <c r="CX146" s="145"/>
      <c r="CY146" s="145">
        <f>SUM(CZ146:DE146)</f>
      </c>
      <c r="CZ146" s="145"/>
      <c r="DA146" s="146"/>
      <c r="DB146" s="146"/>
      <c r="DC146" s="153"/>
      <c r="DD146" s="153"/>
      <c r="DE146" s="145"/>
      <c r="DF146" s="145"/>
      <c r="DG146" s="145"/>
      <c r="DH146" s="158"/>
      <c r="DI146" s="145"/>
      <c r="DJ146" s="158"/>
      <c r="DK146" s="145"/>
      <c r="DL146" s="158"/>
      <c r="DM146" s="145"/>
      <c r="DN146" s="145"/>
      <c r="DO146" s="145"/>
      <c r="DP146" s="158"/>
      <c r="DQ146" s="145"/>
      <c r="DR146" s="145"/>
      <c r="DS146" s="145"/>
      <c r="DT146" s="145"/>
      <c r="DU146" s="145">
        <f>SUM(DV146:EE146)</f>
      </c>
      <c r="DV146" s="145"/>
      <c r="DW146" s="145"/>
      <c r="DX146" s="145"/>
      <c r="DY146" s="145"/>
      <c r="DZ146" s="146"/>
      <c r="EA146" s="158"/>
      <c r="EB146" s="146"/>
      <c r="EC146" s="145"/>
      <c r="ED146" s="145"/>
      <c r="EE146" s="155"/>
      <c r="EF146" s="145">
        <f>SUM(EG146:EH146)</f>
      </c>
      <c r="EG146" s="145"/>
      <c r="EH146" s="146"/>
      <c r="EI146" s="159" cm="1">
        <f t="array" ref="EI146">ROW()-ROW(Run[#Headers])</f>
        <v>140</v>
      </c>
    </row>
    <row r="147" spans="2:139" s="79" customFormat="1" ht="11.25" x14ac:dyDescent="0.2">
      <c r="B147" s="146"/>
      <c r="C147" s="155"/>
      <c r="D147" s="145"/>
      <c r="E147" s="152">
        <f>SUM(F147:AE147)</f>
      </c>
      <c r="F147" s="146"/>
      <c r="G147" s="146"/>
      <c r="H147" s="146"/>
      <c r="I147" s="146"/>
      <c r="J147" s="146"/>
      <c r="K147" s="156"/>
      <c r="L147" s="146"/>
      <c r="M147" s="146"/>
      <c r="N147" s="146"/>
      <c r="O147" s="146"/>
      <c r="P147" s="156"/>
      <c r="Q147" s="146"/>
      <c r="R147" s="146"/>
      <c r="S147" s="146"/>
      <c r="T147" s="156"/>
      <c r="U147" s="146"/>
      <c r="V147" s="146"/>
      <c r="W147" s="146"/>
      <c r="X147" s="146"/>
      <c r="Y147" s="146"/>
      <c r="Z147" s="146"/>
      <c r="AA147" s="146"/>
      <c r="AB147" s="146"/>
      <c r="AC147" s="157"/>
      <c r="AD147" s="157"/>
      <c r="AE147" s="157"/>
      <c r="AF147" s="158">
        <f>SUM(AG147:AJ147)</f>
      </c>
      <c r="AG147" s="146"/>
      <c r="AH147" s="145"/>
      <c r="AI147" s="145"/>
      <c r="AJ147" s="145"/>
      <c r="AK147" s="158">
        <f>SUM(AL147:AW147)</f>
      </c>
      <c r="AL147" s="146"/>
      <c r="AM147" s="145"/>
      <c r="AN147" s="145"/>
      <c r="AO147" s="145"/>
      <c r="AP147" s="145"/>
      <c r="AQ147" s="145"/>
      <c r="AR147" s="145"/>
      <c r="AS147" s="145"/>
      <c r="AT147" s="145"/>
      <c r="AU147" s="145"/>
      <c r="AV147" s="145"/>
      <c r="AW147" s="158"/>
      <c r="AX147" s="145"/>
      <c r="AY147" s="145"/>
      <c r="AZ147" s="145"/>
      <c r="BA147" s="158"/>
      <c r="BB147" s="145"/>
      <c r="BC147" s="145"/>
      <c r="BD147" s="158"/>
      <c r="BE147" s="146"/>
      <c r="BF147" s="145"/>
      <c r="BG147" s="145"/>
      <c r="BH147" s="158">
        <f>SUM(BI147:BK147)</f>
      </c>
      <c r="BI147" s="145"/>
      <c r="BJ147" s="145"/>
      <c r="BK147" s="145"/>
      <c r="BL147" s="145">
        <f>SUM(BM147:BR147)</f>
      </c>
      <c r="BM147" s="145"/>
      <c r="BN147" s="145"/>
      <c r="BO147" s="158"/>
      <c r="BP147" s="145"/>
      <c r="BQ147" s="145"/>
      <c r="BR147" s="145"/>
      <c r="BS147" s="145"/>
      <c r="BT147" s="145"/>
      <c r="BU147" s="158"/>
      <c r="BV147" s="146"/>
      <c r="BW147" s="145"/>
      <c r="BX147" s="145"/>
      <c r="BY147" s="158">
        <f>SUM(BZ147:CB147)</f>
      </c>
      <c r="BZ147" s="146"/>
      <c r="CA147" s="145"/>
      <c r="CB147" s="145"/>
      <c r="CC147" s="145">
        <f>SUM(CD147:CH147)</f>
      </c>
      <c r="CD147" s="145"/>
      <c r="CE147" s="158"/>
      <c r="CF147" s="145"/>
      <c r="CG147" s="145"/>
      <c r="CH147" s="145"/>
      <c r="CI147" s="158"/>
      <c r="CJ147" s="145"/>
      <c r="CK147" s="145"/>
      <c r="CL147" s="145"/>
      <c r="CM147" s="145"/>
      <c r="CN147" s="145"/>
      <c r="CO147" s="145"/>
      <c r="CP147" s="145"/>
      <c r="CQ147" s="158"/>
      <c r="CR147" s="146"/>
      <c r="CS147" s="158"/>
      <c r="CT147" s="158"/>
      <c r="CU147" s="158">
        <f>SUM(CV147:CV147)</f>
      </c>
      <c r="CV147" s="146"/>
      <c r="CW147" s="145"/>
      <c r="CX147" s="145"/>
      <c r="CY147" s="145">
        <f>SUM(CZ147:DE147)</f>
      </c>
      <c r="CZ147" s="145"/>
      <c r="DA147" s="146"/>
      <c r="DB147" s="146"/>
      <c r="DC147" s="153"/>
      <c r="DD147" s="153"/>
      <c r="DE147" s="145"/>
      <c r="DF147" s="145"/>
      <c r="DG147" s="145"/>
      <c r="DH147" s="158"/>
      <c r="DI147" s="145"/>
      <c r="DJ147" s="158"/>
      <c r="DK147" s="145"/>
      <c r="DL147" s="158"/>
      <c r="DM147" s="145"/>
      <c r="DN147" s="145"/>
      <c r="DO147" s="145"/>
      <c r="DP147" s="158"/>
      <c r="DQ147" s="145"/>
      <c r="DR147" s="145"/>
      <c r="DS147" s="145"/>
      <c r="DT147" s="145"/>
      <c r="DU147" s="145">
        <f>SUM(DV147:EE147)</f>
      </c>
      <c r="DV147" s="145"/>
      <c r="DW147" s="145"/>
      <c r="DX147" s="145"/>
      <c r="DY147" s="145"/>
      <c r="DZ147" s="146"/>
      <c r="EA147" s="158"/>
      <c r="EB147" s="146"/>
      <c r="EC147" s="145"/>
      <c r="ED147" s="145"/>
      <c r="EE147" s="155"/>
      <c r="EF147" s="145">
        <f>SUM(EG147:EH147)</f>
      </c>
      <c r="EG147" s="145"/>
      <c r="EH147" s="146"/>
      <c r="EI147" s="159" cm="1">
        <f t="array" ref="EI147">ROW()-ROW(Run[#Headers])</f>
        <v>141</v>
      </c>
    </row>
    <row r="148" spans="2:139" s="79" customFormat="1" ht="11.25" x14ac:dyDescent="0.2">
      <c r="B148" s="146"/>
      <c r="C148" s="155"/>
      <c r="D148" s="145"/>
      <c r="E148" s="152">
        <f>SUM(F148:AE148)</f>
      </c>
      <c r="F148" s="146"/>
      <c r="G148" s="146"/>
      <c r="H148" s="146"/>
      <c r="I148" s="146"/>
      <c r="J148" s="146"/>
      <c r="K148" s="156"/>
      <c r="L148" s="146"/>
      <c r="M148" s="146"/>
      <c r="N148" s="146"/>
      <c r="O148" s="146"/>
      <c r="P148" s="156"/>
      <c r="Q148" s="146"/>
      <c r="R148" s="146"/>
      <c r="S148" s="146"/>
      <c r="T148" s="156"/>
      <c r="U148" s="146"/>
      <c r="V148" s="146"/>
      <c r="W148" s="146"/>
      <c r="X148" s="146"/>
      <c r="Y148" s="146"/>
      <c r="Z148" s="146"/>
      <c r="AA148" s="146"/>
      <c r="AB148" s="146"/>
      <c r="AC148" s="157"/>
      <c r="AD148" s="157"/>
      <c r="AE148" s="157"/>
      <c r="AF148" s="158">
        <f>SUM(AG148:AJ148)</f>
      </c>
      <c r="AG148" s="146"/>
      <c r="AH148" s="145"/>
      <c r="AI148" s="145"/>
      <c r="AJ148" s="145"/>
      <c r="AK148" s="158">
        <f>SUM(AL148:AW148)</f>
      </c>
      <c r="AL148" s="146"/>
      <c r="AM148" s="145"/>
      <c r="AN148" s="145"/>
      <c r="AO148" s="145"/>
      <c r="AP148" s="145"/>
      <c r="AQ148" s="145"/>
      <c r="AR148" s="145"/>
      <c r="AS148" s="145"/>
      <c r="AT148" s="145"/>
      <c r="AU148" s="145"/>
      <c r="AV148" s="145"/>
      <c r="AW148" s="158"/>
      <c r="AX148" s="145"/>
      <c r="AY148" s="145"/>
      <c r="AZ148" s="145"/>
      <c r="BA148" s="158"/>
      <c r="BB148" s="145"/>
      <c r="BC148" s="145"/>
      <c r="BD148" s="158"/>
      <c r="BE148" s="146"/>
      <c r="BF148" s="145"/>
      <c r="BG148" s="145"/>
      <c r="BH148" s="158">
        <f>SUM(BI148:BK148)</f>
      </c>
      <c r="BI148" s="145"/>
      <c r="BJ148" s="145"/>
      <c r="BK148" s="145"/>
      <c r="BL148" s="145">
        <f>SUM(BM148:BR148)</f>
      </c>
      <c r="BM148" s="145"/>
      <c r="BN148" s="145"/>
      <c r="BO148" s="158"/>
      <c r="BP148" s="145"/>
      <c r="BQ148" s="145"/>
      <c r="BR148" s="145"/>
      <c r="BS148" s="145"/>
      <c r="BT148" s="145"/>
      <c r="BU148" s="158"/>
      <c r="BV148" s="146"/>
      <c r="BW148" s="145"/>
      <c r="BX148" s="145"/>
      <c r="BY148" s="158">
        <f>SUM(BZ148:CB148)</f>
      </c>
      <c r="BZ148" s="146"/>
      <c r="CA148" s="145"/>
      <c r="CB148" s="145"/>
      <c r="CC148" s="145">
        <f>SUM(CD148:CH148)</f>
      </c>
      <c r="CD148" s="145"/>
      <c r="CE148" s="158"/>
      <c r="CF148" s="145"/>
      <c r="CG148" s="145"/>
      <c r="CH148" s="145"/>
      <c r="CI148" s="158"/>
      <c r="CJ148" s="145"/>
      <c r="CK148" s="145"/>
      <c r="CL148" s="145"/>
      <c r="CM148" s="145"/>
      <c r="CN148" s="145"/>
      <c r="CO148" s="145"/>
      <c r="CP148" s="145"/>
      <c r="CQ148" s="158"/>
      <c r="CR148" s="146"/>
      <c r="CS148" s="158"/>
      <c r="CT148" s="158"/>
      <c r="CU148" s="158">
        <f>SUM(CV148:CV148)</f>
      </c>
      <c r="CV148" s="146"/>
      <c r="CW148" s="145"/>
      <c r="CX148" s="145"/>
      <c r="CY148" s="145">
        <f>SUM(CZ148:DE148)</f>
      </c>
      <c r="CZ148" s="145"/>
      <c r="DA148" s="146"/>
      <c r="DB148" s="146"/>
      <c r="DC148" s="153"/>
      <c r="DD148" s="153"/>
      <c r="DE148" s="145"/>
      <c r="DF148" s="145"/>
      <c r="DG148" s="145"/>
      <c r="DH148" s="158"/>
      <c r="DI148" s="145"/>
      <c r="DJ148" s="158"/>
      <c r="DK148" s="145"/>
      <c r="DL148" s="158"/>
      <c r="DM148" s="145"/>
      <c r="DN148" s="145"/>
      <c r="DO148" s="145"/>
      <c r="DP148" s="158"/>
      <c r="DQ148" s="145"/>
      <c r="DR148" s="145"/>
      <c r="DS148" s="145"/>
      <c r="DT148" s="145"/>
      <c r="DU148" s="145">
        <f>SUM(DV148:EE148)</f>
      </c>
      <c r="DV148" s="145"/>
      <c r="DW148" s="145"/>
      <c r="DX148" s="145"/>
      <c r="DY148" s="145"/>
      <c r="DZ148" s="146"/>
      <c r="EA148" s="158"/>
      <c r="EB148" s="146"/>
      <c r="EC148" s="145"/>
      <c r="ED148" s="145"/>
      <c r="EE148" s="155"/>
      <c r="EF148" s="145">
        <f>SUM(EG148:EH148)</f>
      </c>
      <c r="EG148" s="145"/>
      <c r="EH148" s="146"/>
      <c r="EI148" s="159" cm="1">
        <f t="array" ref="EI148">ROW()-ROW(Run[#Headers])</f>
        <v>142</v>
      </c>
    </row>
    <row r="149" spans="2:139" s="79" customFormat="1" ht="11.25" x14ac:dyDescent="0.2">
      <c r="B149" s="146"/>
      <c r="C149" s="155"/>
      <c r="D149" s="145"/>
      <c r="E149" s="152">
        <f>SUM(F149:AE149)</f>
      </c>
      <c r="F149" s="146"/>
      <c r="G149" s="146"/>
      <c r="H149" s="146"/>
      <c r="I149" s="146"/>
      <c r="J149" s="146"/>
      <c r="K149" s="156"/>
      <c r="L149" s="146"/>
      <c r="M149" s="146"/>
      <c r="N149" s="146"/>
      <c r="O149" s="146"/>
      <c r="P149" s="156"/>
      <c r="Q149" s="146"/>
      <c r="R149" s="146"/>
      <c r="S149" s="146"/>
      <c r="T149" s="156"/>
      <c r="U149" s="146"/>
      <c r="V149" s="146"/>
      <c r="W149" s="146"/>
      <c r="X149" s="146"/>
      <c r="Y149" s="146"/>
      <c r="Z149" s="146"/>
      <c r="AA149" s="146"/>
      <c r="AB149" s="146"/>
      <c r="AC149" s="157"/>
      <c r="AD149" s="157"/>
      <c r="AE149" s="157"/>
      <c r="AF149" s="158">
        <f>SUM(AG149:AJ149)</f>
      </c>
      <c r="AG149" s="146"/>
      <c r="AH149" s="145"/>
      <c r="AI149" s="145"/>
      <c r="AJ149" s="145"/>
      <c r="AK149" s="158">
        <f>SUM(AL149:AW149)</f>
      </c>
      <c r="AL149" s="146"/>
      <c r="AM149" s="145"/>
      <c r="AN149" s="145"/>
      <c r="AO149" s="145"/>
      <c r="AP149" s="145"/>
      <c r="AQ149" s="145"/>
      <c r="AR149" s="145"/>
      <c r="AS149" s="145"/>
      <c r="AT149" s="145"/>
      <c r="AU149" s="145"/>
      <c r="AV149" s="145"/>
      <c r="AW149" s="158"/>
      <c r="AX149" s="145"/>
      <c r="AY149" s="145"/>
      <c r="AZ149" s="145"/>
      <c r="BA149" s="158"/>
      <c r="BB149" s="145"/>
      <c r="BC149" s="145"/>
      <c r="BD149" s="158"/>
      <c r="BE149" s="146"/>
      <c r="BF149" s="145"/>
      <c r="BG149" s="145"/>
      <c r="BH149" s="158">
        <f>SUM(BI149:BK149)</f>
      </c>
      <c r="BI149" s="145"/>
      <c r="BJ149" s="145"/>
      <c r="BK149" s="145"/>
      <c r="BL149" s="145">
        <f>SUM(BM149:BR149)</f>
      </c>
      <c r="BM149" s="145"/>
      <c r="BN149" s="145"/>
      <c r="BO149" s="158"/>
      <c r="BP149" s="145"/>
      <c r="BQ149" s="145"/>
      <c r="BR149" s="145"/>
      <c r="BS149" s="145"/>
      <c r="BT149" s="145"/>
      <c r="BU149" s="158"/>
      <c r="BV149" s="146"/>
      <c r="BW149" s="145"/>
      <c r="BX149" s="145"/>
      <c r="BY149" s="158">
        <f>SUM(BZ149:CB149)</f>
      </c>
      <c r="BZ149" s="146"/>
      <c r="CA149" s="145"/>
      <c r="CB149" s="145"/>
      <c r="CC149" s="145">
        <f>SUM(CD149:CH149)</f>
      </c>
      <c r="CD149" s="145"/>
      <c r="CE149" s="158"/>
      <c r="CF149" s="145"/>
      <c r="CG149" s="145"/>
      <c r="CH149" s="145"/>
      <c r="CI149" s="158"/>
      <c r="CJ149" s="145"/>
      <c r="CK149" s="145"/>
      <c r="CL149" s="145"/>
      <c r="CM149" s="145"/>
      <c r="CN149" s="145"/>
      <c r="CO149" s="145"/>
      <c r="CP149" s="145"/>
      <c r="CQ149" s="158"/>
      <c r="CR149" s="146"/>
      <c r="CS149" s="158"/>
      <c r="CT149" s="158"/>
      <c r="CU149" s="158">
        <f>SUM(CV149:CV149)</f>
      </c>
      <c r="CV149" s="146"/>
      <c r="CW149" s="145"/>
      <c r="CX149" s="145"/>
      <c r="CY149" s="145">
        <f>SUM(CZ149:DE149)</f>
      </c>
      <c r="CZ149" s="145"/>
      <c r="DA149" s="146"/>
      <c r="DB149" s="146"/>
      <c r="DC149" s="153"/>
      <c r="DD149" s="153"/>
      <c r="DE149" s="145"/>
      <c r="DF149" s="145"/>
      <c r="DG149" s="145"/>
      <c r="DH149" s="158"/>
      <c r="DI149" s="145"/>
      <c r="DJ149" s="158"/>
      <c r="DK149" s="145"/>
      <c r="DL149" s="158"/>
      <c r="DM149" s="145"/>
      <c r="DN149" s="145"/>
      <c r="DO149" s="145"/>
      <c r="DP149" s="158"/>
      <c r="DQ149" s="145"/>
      <c r="DR149" s="145"/>
      <c r="DS149" s="145"/>
      <c r="DT149" s="145"/>
      <c r="DU149" s="145">
        <f>SUM(DV149:EE149)</f>
      </c>
      <c r="DV149" s="145"/>
      <c r="DW149" s="145"/>
      <c r="DX149" s="145"/>
      <c r="DY149" s="145"/>
      <c r="DZ149" s="146"/>
      <c r="EA149" s="158"/>
      <c r="EB149" s="146"/>
      <c r="EC149" s="145"/>
      <c r="ED149" s="145"/>
      <c r="EE149" s="155"/>
      <c r="EF149" s="145">
        <f>SUM(EG149:EH149)</f>
      </c>
      <c r="EG149" s="145"/>
      <c r="EH149" s="146"/>
      <c r="EI149" s="159" cm="1">
        <f t="array" ref="EI149">ROW()-ROW(Run[#Headers])</f>
        <v>143</v>
      </c>
    </row>
    <row r="150" spans="2:139" s="79" customFormat="1" ht="11.25" x14ac:dyDescent="0.2">
      <c r="B150" s="146"/>
      <c r="C150" s="155"/>
      <c r="D150" s="145"/>
      <c r="E150" s="152">
        <f>SUM(F150:AE150)</f>
      </c>
      <c r="F150" s="146"/>
      <c r="G150" s="146"/>
      <c r="H150" s="146"/>
      <c r="I150" s="146"/>
      <c r="J150" s="146"/>
      <c r="K150" s="156"/>
      <c r="L150" s="146"/>
      <c r="M150" s="146"/>
      <c r="N150" s="146"/>
      <c r="O150" s="146"/>
      <c r="P150" s="156"/>
      <c r="Q150" s="146"/>
      <c r="R150" s="146"/>
      <c r="S150" s="146"/>
      <c r="T150" s="156"/>
      <c r="U150" s="146"/>
      <c r="V150" s="146"/>
      <c r="W150" s="146"/>
      <c r="X150" s="146"/>
      <c r="Y150" s="146"/>
      <c r="Z150" s="146"/>
      <c r="AA150" s="146"/>
      <c r="AB150" s="146"/>
      <c r="AC150" s="157"/>
      <c r="AD150" s="157"/>
      <c r="AE150" s="157"/>
      <c r="AF150" s="158">
        <f>SUM(AG150:AJ150)</f>
      </c>
      <c r="AG150" s="146"/>
      <c r="AH150" s="145"/>
      <c r="AI150" s="145"/>
      <c r="AJ150" s="145"/>
      <c r="AK150" s="158">
        <f>SUM(AL150:AW150)</f>
      </c>
      <c r="AL150" s="146"/>
      <c r="AM150" s="145"/>
      <c r="AN150" s="145"/>
      <c r="AO150" s="145"/>
      <c r="AP150" s="145"/>
      <c r="AQ150" s="145"/>
      <c r="AR150" s="145"/>
      <c r="AS150" s="145"/>
      <c r="AT150" s="145"/>
      <c r="AU150" s="145"/>
      <c r="AV150" s="145"/>
      <c r="AW150" s="158"/>
      <c r="AX150" s="145"/>
      <c r="AY150" s="145"/>
      <c r="AZ150" s="145"/>
      <c r="BA150" s="158"/>
      <c r="BB150" s="145"/>
      <c r="BC150" s="145"/>
      <c r="BD150" s="158"/>
      <c r="BE150" s="146"/>
      <c r="BF150" s="145"/>
      <c r="BG150" s="145"/>
      <c r="BH150" s="158">
        <f>SUM(BI150:BK150)</f>
      </c>
      <c r="BI150" s="145"/>
      <c r="BJ150" s="145"/>
      <c r="BK150" s="145"/>
      <c r="BL150" s="145">
        <f>SUM(BM150:BR150)</f>
      </c>
      <c r="BM150" s="145"/>
      <c r="BN150" s="145"/>
      <c r="BO150" s="158"/>
      <c r="BP150" s="145"/>
      <c r="BQ150" s="145"/>
      <c r="BR150" s="145"/>
      <c r="BS150" s="145"/>
      <c r="BT150" s="145"/>
      <c r="BU150" s="158"/>
      <c r="BV150" s="146"/>
      <c r="BW150" s="145"/>
      <c r="BX150" s="145"/>
      <c r="BY150" s="158">
        <f>SUM(BZ150:CB150)</f>
      </c>
      <c r="BZ150" s="146"/>
      <c r="CA150" s="145"/>
      <c r="CB150" s="145"/>
      <c r="CC150" s="145">
        <f>SUM(CD150:CH150)</f>
      </c>
      <c r="CD150" s="145"/>
      <c r="CE150" s="158"/>
      <c r="CF150" s="145"/>
      <c r="CG150" s="145"/>
      <c r="CH150" s="145"/>
      <c r="CI150" s="158"/>
      <c r="CJ150" s="145"/>
      <c r="CK150" s="145"/>
      <c r="CL150" s="145"/>
      <c r="CM150" s="145"/>
      <c r="CN150" s="145"/>
      <c r="CO150" s="145"/>
      <c r="CP150" s="145"/>
      <c r="CQ150" s="158"/>
      <c r="CR150" s="146"/>
      <c r="CS150" s="158"/>
      <c r="CT150" s="158"/>
      <c r="CU150" s="158">
        <f>SUM(CV150:CV150)</f>
      </c>
      <c r="CV150" s="146"/>
      <c r="CW150" s="145"/>
      <c r="CX150" s="145"/>
      <c r="CY150" s="145">
        <f>SUM(CZ150:DE150)</f>
      </c>
      <c r="CZ150" s="145"/>
      <c r="DA150" s="146"/>
      <c r="DB150" s="146"/>
      <c r="DC150" s="153"/>
      <c r="DD150" s="153"/>
      <c r="DE150" s="145"/>
      <c r="DF150" s="145"/>
      <c r="DG150" s="145"/>
      <c r="DH150" s="158"/>
      <c r="DI150" s="145"/>
      <c r="DJ150" s="158"/>
      <c r="DK150" s="145"/>
      <c r="DL150" s="158"/>
      <c r="DM150" s="145"/>
      <c r="DN150" s="145"/>
      <c r="DO150" s="145"/>
      <c r="DP150" s="158"/>
      <c r="DQ150" s="145"/>
      <c r="DR150" s="145"/>
      <c r="DS150" s="145"/>
      <c r="DT150" s="145"/>
      <c r="DU150" s="145">
        <f>SUM(DV150:EE150)</f>
      </c>
      <c r="DV150" s="145"/>
      <c r="DW150" s="145"/>
      <c r="DX150" s="145"/>
      <c r="DY150" s="145"/>
      <c r="DZ150" s="146"/>
      <c r="EA150" s="158"/>
      <c r="EB150" s="146"/>
      <c r="EC150" s="145"/>
      <c r="ED150" s="145"/>
      <c r="EE150" s="155"/>
      <c r="EF150" s="145">
        <f>SUM(EG150:EH150)</f>
      </c>
      <c r="EG150" s="145"/>
      <c r="EH150" s="146"/>
      <c r="EI150" s="159" cm="1">
        <f t="array" ref="EI150">ROW()-ROW(Run[#Headers])</f>
        <v>144</v>
      </c>
    </row>
    <row r="151" spans="2:139" s="79" customFormat="1" ht="11.25" x14ac:dyDescent="0.2">
      <c r="B151" s="146"/>
      <c r="C151" s="155"/>
      <c r="D151" s="145"/>
      <c r="E151" s="152">
        <f>SUM(F151:AE151)</f>
      </c>
      <c r="F151" s="146"/>
      <c r="G151" s="146"/>
      <c r="H151" s="146"/>
      <c r="I151" s="146"/>
      <c r="J151" s="146"/>
      <c r="K151" s="156"/>
      <c r="L151" s="146"/>
      <c r="M151" s="146"/>
      <c r="N151" s="146"/>
      <c r="O151" s="146"/>
      <c r="P151" s="156"/>
      <c r="Q151" s="146"/>
      <c r="R151" s="146"/>
      <c r="S151" s="146"/>
      <c r="T151" s="156"/>
      <c r="U151" s="146"/>
      <c r="V151" s="146"/>
      <c r="W151" s="146"/>
      <c r="X151" s="146"/>
      <c r="Y151" s="146"/>
      <c r="Z151" s="146"/>
      <c r="AA151" s="146"/>
      <c r="AB151" s="146"/>
      <c r="AC151" s="157"/>
      <c r="AD151" s="157"/>
      <c r="AE151" s="157"/>
      <c r="AF151" s="158">
        <f>SUM(AG151:AJ151)</f>
      </c>
      <c r="AG151" s="146"/>
      <c r="AH151" s="145"/>
      <c r="AI151" s="145"/>
      <c r="AJ151" s="145"/>
      <c r="AK151" s="158">
        <f>SUM(AL151:AW151)</f>
      </c>
      <c r="AL151" s="146"/>
      <c r="AM151" s="145"/>
      <c r="AN151" s="145"/>
      <c r="AO151" s="145"/>
      <c r="AP151" s="145"/>
      <c r="AQ151" s="145"/>
      <c r="AR151" s="145"/>
      <c r="AS151" s="145"/>
      <c r="AT151" s="145"/>
      <c r="AU151" s="145"/>
      <c r="AV151" s="145"/>
      <c r="AW151" s="158"/>
      <c r="AX151" s="145"/>
      <c r="AY151" s="145"/>
      <c r="AZ151" s="145"/>
      <c r="BA151" s="158"/>
      <c r="BB151" s="145"/>
      <c r="BC151" s="145"/>
      <c r="BD151" s="158"/>
      <c r="BE151" s="146"/>
      <c r="BF151" s="145"/>
      <c r="BG151" s="145"/>
      <c r="BH151" s="158">
        <f>SUM(BI151:BK151)</f>
      </c>
      <c r="BI151" s="145"/>
      <c r="BJ151" s="145"/>
      <c r="BK151" s="145"/>
      <c r="BL151" s="145">
        <f>SUM(BM151:BR151)</f>
      </c>
      <c r="BM151" s="145"/>
      <c r="BN151" s="145"/>
      <c r="BO151" s="158"/>
      <c r="BP151" s="145"/>
      <c r="BQ151" s="145"/>
      <c r="BR151" s="145"/>
      <c r="BS151" s="145"/>
      <c r="BT151" s="145"/>
      <c r="BU151" s="158"/>
      <c r="BV151" s="146"/>
      <c r="BW151" s="145"/>
      <c r="BX151" s="145"/>
      <c r="BY151" s="158">
        <f>SUM(BZ151:CB151)</f>
      </c>
      <c r="BZ151" s="146"/>
      <c r="CA151" s="145"/>
      <c r="CB151" s="145"/>
      <c r="CC151" s="145">
        <f>SUM(CD151:CH151)</f>
      </c>
      <c r="CD151" s="145"/>
      <c r="CE151" s="158"/>
      <c r="CF151" s="145"/>
      <c r="CG151" s="145"/>
      <c r="CH151" s="145"/>
      <c r="CI151" s="158"/>
      <c r="CJ151" s="145"/>
      <c r="CK151" s="145"/>
      <c r="CL151" s="145"/>
      <c r="CM151" s="145"/>
      <c r="CN151" s="145"/>
      <c r="CO151" s="145"/>
      <c r="CP151" s="145"/>
      <c r="CQ151" s="158"/>
      <c r="CR151" s="146"/>
      <c r="CS151" s="158"/>
      <c r="CT151" s="158"/>
      <c r="CU151" s="158">
        <f>SUM(CV151:CV151)</f>
      </c>
      <c r="CV151" s="146"/>
      <c r="CW151" s="145"/>
      <c r="CX151" s="145"/>
      <c r="CY151" s="145">
        <f>SUM(CZ151:DE151)</f>
      </c>
      <c r="CZ151" s="145"/>
      <c r="DA151" s="146"/>
      <c r="DB151" s="146"/>
      <c r="DC151" s="153"/>
      <c r="DD151" s="153"/>
      <c r="DE151" s="145"/>
      <c r="DF151" s="145"/>
      <c r="DG151" s="145"/>
      <c r="DH151" s="158"/>
      <c r="DI151" s="145"/>
      <c r="DJ151" s="158"/>
      <c r="DK151" s="145"/>
      <c r="DL151" s="158"/>
      <c r="DM151" s="145"/>
      <c r="DN151" s="145"/>
      <c r="DO151" s="145"/>
      <c r="DP151" s="158"/>
      <c r="DQ151" s="145"/>
      <c r="DR151" s="145"/>
      <c r="DS151" s="145"/>
      <c r="DT151" s="145"/>
      <c r="DU151" s="145">
        <f>SUM(DV151:EE151)</f>
      </c>
      <c r="DV151" s="145"/>
      <c r="DW151" s="145"/>
      <c r="DX151" s="145"/>
      <c r="DY151" s="145"/>
      <c r="DZ151" s="146"/>
      <c r="EA151" s="158"/>
      <c r="EB151" s="146"/>
      <c r="EC151" s="145"/>
      <c r="ED151" s="145"/>
      <c r="EE151" s="155"/>
      <c r="EF151" s="145">
        <f>SUM(EG151:EH151)</f>
      </c>
      <c r="EG151" s="145"/>
      <c r="EH151" s="146"/>
      <c r="EI151" s="159" cm="1">
        <f t="array" ref="EI151">ROW()-ROW(Run[#Headers])</f>
        <v>145</v>
      </c>
    </row>
    <row r="152" spans="2:139" s="79" customFormat="1" ht="11.25" x14ac:dyDescent="0.2">
      <c r="B152" s="146"/>
      <c r="C152" s="155"/>
      <c r="D152" s="145"/>
      <c r="E152" s="152">
        <f>SUM(F152:AE152)</f>
      </c>
      <c r="F152" s="146"/>
      <c r="G152" s="146"/>
      <c r="H152" s="146"/>
      <c r="I152" s="146"/>
      <c r="J152" s="146"/>
      <c r="K152" s="156"/>
      <c r="L152" s="146"/>
      <c r="M152" s="146"/>
      <c r="N152" s="146"/>
      <c r="O152" s="146"/>
      <c r="P152" s="156"/>
      <c r="Q152" s="146"/>
      <c r="R152" s="146"/>
      <c r="S152" s="146"/>
      <c r="T152" s="156"/>
      <c r="U152" s="146"/>
      <c r="V152" s="146"/>
      <c r="W152" s="146"/>
      <c r="X152" s="146"/>
      <c r="Y152" s="146"/>
      <c r="Z152" s="146"/>
      <c r="AA152" s="146"/>
      <c r="AB152" s="146"/>
      <c r="AC152" s="157"/>
      <c r="AD152" s="157"/>
      <c r="AE152" s="157"/>
      <c r="AF152" s="158">
        <f>SUM(AG152:AJ152)</f>
      </c>
      <c r="AG152" s="146"/>
      <c r="AH152" s="145"/>
      <c r="AI152" s="145"/>
      <c r="AJ152" s="145"/>
      <c r="AK152" s="158">
        <f>SUM(AL152:AW152)</f>
      </c>
      <c r="AL152" s="146"/>
      <c r="AM152" s="145"/>
      <c r="AN152" s="145"/>
      <c r="AO152" s="145"/>
      <c r="AP152" s="145"/>
      <c r="AQ152" s="145"/>
      <c r="AR152" s="145"/>
      <c r="AS152" s="145"/>
      <c r="AT152" s="145"/>
      <c r="AU152" s="145"/>
      <c r="AV152" s="145"/>
      <c r="AW152" s="158"/>
      <c r="AX152" s="145"/>
      <c r="AY152" s="145"/>
      <c r="AZ152" s="145"/>
      <c r="BA152" s="158"/>
      <c r="BB152" s="145"/>
      <c r="BC152" s="145"/>
      <c r="BD152" s="158"/>
      <c r="BE152" s="146"/>
      <c r="BF152" s="145"/>
      <c r="BG152" s="145"/>
      <c r="BH152" s="158">
        <f>SUM(BI152:BK152)</f>
      </c>
      <c r="BI152" s="145"/>
      <c r="BJ152" s="145"/>
      <c r="BK152" s="145"/>
      <c r="BL152" s="145">
        <f>SUM(BM152:BR152)</f>
      </c>
      <c r="BM152" s="145"/>
      <c r="BN152" s="145"/>
      <c r="BO152" s="158"/>
      <c r="BP152" s="145"/>
      <c r="BQ152" s="145"/>
      <c r="BR152" s="145"/>
      <c r="BS152" s="145"/>
      <c r="BT152" s="145"/>
      <c r="BU152" s="158"/>
      <c r="BV152" s="146"/>
      <c r="BW152" s="145"/>
      <c r="BX152" s="145"/>
      <c r="BY152" s="158">
        <f>SUM(BZ152:CB152)</f>
      </c>
      <c r="BZ152" s="146"/>
      <c r="CA152" s="145"/>
      <c r="CB152" s="145"/>
      <c r="CC152" s="145">
        <f>SUM(CD152:CH152)</f>
      </c>
      <c r="CD152" s="145"/>
      <c r="CE152" s="158"/>
      <c r="CF152" s="145"/>
      <c r="CG152" s="145"/>
      <c r="CH152" s="145"/>
      <c r="CI152" s="158"/>
      <c r="CJ152" s="145"/>
      <c r="CK152" s="145"/>
      <c r="CL152" s="145"/>
      <c r="CM152" s="145"/>
      <c r="CN152" s="145"/>
      <c r="CO152" s="145"/>
      <c r="CP152" s="145"/>
      <c r="CQ152" s="158"/>
      <c r="CR152" s="146"/>
      <c r="CS152" s="158"/>
      <c r="CT152" s="158"/>
      <c r="CU152" s="158">
        <f>SUM(CV152:CV152)</f>
      </c>
      <c r="CV152" s="146"/>
      <c r="CW152" s="145"/>
      <c r="CX152" s="145"/>
      <c r="CY152" s="145">
        <f>SUM(CZ152:DE152)</f>
      </c>
      <c r="CZ152" s="145"/>
      <c r="DA152" s="146"/>
      <c r="DB152" s="146"/>
      <c r="DC152" s="153"/>
      <c r="DD152" s="153"/>
      <c r="DE152" s="145"/>
      <c r="DF152" s="145"/>
      <c r="DG152" s="145"/>
      <c r="DH152" s="158"/>
      <c r="DI152" s="145"/>
      <c r="DJ152" s="158"/>
      <c r="DK152" s="145"/>
      <c r="DL152" s="158"/>
      <c r="DM152" s="145"/>
      <c r="DN152" s="145"/>
      <c r="DO152" s="145"/>
      <c r="DP152" s="158"/>
      <c r="DQ152" s="145"/>
      <c r="DR152" s="145"/>
      <c r="DS152" s="145"/>
      <c r="DT152" s="145"/>
      <c r="DU152" s="145">
        <f>SUM(DV152:EE152)</f>
      </c>
      <c r="DV152" s="145"/>
      <c r="DW152" s="145"/>
      <c r="DX152" s="145"/>
      <c r="DY152" s="145"/>
      <c r="DZ152" s="146"/>
      <c r="EA152" s="158"/>
      <c r="EB152" s="146"/>
      <c r="EC152" s="145"/>
      <c r="ED152" s="145"/>
      <c r="EE152" s="155"/>
      <c r="EF152" s="145">
        <f>SUM(EG152:EH152)</f>
      </c>
      <c r="EG152" s="145"/>
      <c r="EH152" s="146"/>
      <c r="EI152" s="159" cm="1">
        <f t="array" ref="EI152">ROW()-ROW(Run[#Headers])</f>
        <v>146</v>
      </c>
    </row>
    <row r="153" spans="2:139" s="79" customFormat="1" ht="11.25" x14ac:dyDescent="0.2">
      <c r="B153" s="146"/>
      <c r="C153" s="155"/>
      <c r="D153" s="145"/>
      <c r="E153" s="152">
        <f>SUM(F153:AE153)</f>
      </c>
      <c r="F153" s="146"/>
      <c r="G153" s="146"/>
      <c r="H153" s="146"/>
      <c r="I153" s="146"/>
      <c r="J153" s="146"/>
      <c r="K153" s="156"/>
      <c r="L153" s="146"/>
      <c r="M153" s="146"/>
      <c r="N153" s="146"/>
      <c r="O153" s="146"/>
      <c r="P153" s="156"/>
      <c r="Q153" s="146"/>
      <c r="R153" s="146"/>
      <c r="S153" s="146"/>
      <c r="T153" s="156"/>
      <c r="U153" s="146"/>
      <c r="V153" s="146"/>
      <c r="W153" s="146"/>
      <c r="X153" s="146"/>
      <c r="Y153" s="146"/>
      <c r="Z153" s="146"/>
      <c r="AA153" s="146"/>
      <c r="AB153" s="146"/>
      <c r="AC153" s="157"/>
      <c r="AD153" s="157"/>
      <c r="AE153" s="157"/>
      <c r="AF153" s="158">
        <f>SUM(AG153:AJ153)</f>
      </c>
      <c r="AG153" s="146"/>
      <c r="AH153" s="145"/>
      <c r="AI153" s="145"/>
      <c r="AJ153" s="145"/>
      <c r="AK153" s="158">
        <f>SUM(AL153:AW153)</f>
      </c>
      <c r="AL153" s="146"/>
      <c r="AM153" s="145"/>
      <c r="AN153" s="145"/>
      <c r="AO153" s="145"/>
      <c r="AP153" s="145"/>
      <c r="AQ153" s="145"/>
      <c r="AR153" s="145"/>
      <c r="AS153" s="145"/>
      <c r="AT153" s="145"/>
      <c r="AU153" s="145"/>
      <c r="AV153" s="145"/>
      <c r="AW153" s="158"/>
      <c r="AX153" s="145"/>
      <c r="AY153" s="145"/>
      <c r="AZ153" s="145"/>
      <c r="BA153" s="158"/>
      <c r="BB153" s="145"/>
      <c r="BC153" s="145"/>
      <c r="BD153" s="158"/>
      <c r="BE153" s="146"/>
      <c r="BF153" s="145"/>
      <c r="BG153" s="145"/>
      <c r="BH153" s="158">
        <f>SUM(BI153:BK153)</f>
      </c>
      <c r="BI153" s="145"/>
      <c r="BJ153" s="145"/>
      <c r="BK153" s="145"/>
      <c r="BL153" s="145">
        <f>SUM(BM153:BR153)</f>
      </c>
      <c r="BM153" s="145"/>
      <c r="BN153" s="145"/>
      <c r="BO153" s="158"/>
      <c r="BP153" s="145"/>
      <c r="BQ153" s="145"/>
      <c r="BR153" s="145"/>
      <c r="BS153" s="145"/>
      <c r="BT153" s="145"/>
      <c r="BU153" s="158"/>
      <c r="BV153" s="146"/>
      <c r="BW153" s="145"/>
      <c r="BX153" s="145"/>
      <c r="BY153" s="158">
        <f>SUM(BZ153:CB153)</f>
      </c>
      <c r="BZ153" s="146"/>
      <c r="CA153" s="145"/>
      <c r="CB153" s="145"/>
      <c r="CC153" s="145">
        <f>SUM(CD153:CH153)</f>
      </c>
      <c r="CD153" s="145"/>
      <c r="CE153" s="158"/>
      <c r="CF153" s="145"/>
      <c r="CG153" s="145"/>
      <c r="CH153" s="145"/>
      <c r="CI153" s="158"/>
      <c r="CJ153" s="145"/>
      <c r="CK153" s="145"/>
      <c r="CL153" s="145"/>
      <c r="CM153" s="145"/>
      <c r="CN153" s="145"/>
      <c r="CO153" s="145"/>
      <c r="CP153" s="145"/>
      <c r="CQ153" s="158"/>
      <c r="CR153" s="146"/>
      <c r="CS153" s="158"/>
      <c r="CT153" s="158"/>
      <c r="CU153" s="158">
        <f>SUM(CV153:CV153)</f>
      </c>
      <c r="CV153" s="146"/>
      <c r="CW153" s="145"/>
      <c r="CX153" s="145"/>
      <c r="CY153" s="145">
        <f>SUM(CZ153:DE153)</f>
      </c>
      <c r="CZ153" s="145"/>
      <c r="DA153" s="146"/>
      <c r="DB153" s="146"/>
      <c r="DC153" s="153"/>
      <c r="DD153" s="153"/>
      <c r="DE153" s="145"/>
      <c r="DF153" s="145"/>
      <c r="DG153" s="145"/>
      <c r="DH153" s="158"/>
      <c r="DI153" s="145"/>
      <c r="DJ153" s="158"/>
      <c r="DK153" s="145"/>
      <c r="DL153" s="158"/>
      <c r="DM153" s="145"/>
      <c r="DN153" s="145"/>
      <c r="DO153" s="145"/>
      <c r="DP153" s="158"/>
      <c r="DQ153" s="145"/>
      <c r="DR153" s="145"/>
      <c r="DS153" s="145"/>
      <c r="DT153" s="145"/>
      <c r="DU153" s="145">
        <f>SUM(DV153:EE153)</f>
      </c>
      <c r="DV153" s="145"/>
      <c r="DW153" s="145"/>
      <c r="DX153" s="145"/>
      <c r="DY153" s="145"/>
      <c r="DZ153" s="146"/>
      <c r="EA153" s="158"/>
      <c r="EB153" s="146"/>
      <c r="EC153" s="145"/>
      <c r="ED153" s="145"/>
      <c r="EE153" s="155"/>
      <c r="EF153" s="145">
        <f>SUM(EG153:EH153)</f>
      </c>
      <c r="EG153" s="145"/>
      <c r="EH153" s="146"/>
      <c r="EI153" s="159" cm="1">
        <f t="array" ref="EI153">ROW()-ROW(Run[#Headers])</f>
        <v>147</v>
      </c>
    </row>
    <row r="154" spans="2:139" s="79" customFormat="1" ht="11.25" x14ac:dyDescent="0.2">
      <c r="B154" s="146"/>
      <c r="C154" s="155"/>
      <c r="D154" s="145"/>
      <c r="E154" s="152">
        <f>SUM(F154:AE154)</f>
      </c>
      <c r="F154" s="146"/>
      <c r="G154" s="146"/>
      <c r="H154" s="146"/>
      <c r="I154" s="146"/>
      <c r="J154" s="146"/>
      <c r="K154" s="156"/>
      <c r="L154" s="146"/>
      <c r="M154" s="146"/>
      <c r="N154" s="146"/>
      <c r="O154" s="146"/>
      <c r="P154" s="156"/>
      <c r="Q154" s="146"/>
      <c r="R154" s="146"/>
      <c r="S154" s="146"/>
      <c r="T154" s="156"/>
      <c r="U154" s="146"/>
      <c r="V154" s="146"/>
      <c r="W154" s="146"/>
      <c r="X154" s="146"/>
      <c r="Y154" s="146"/>
      <c r="Z154" s="146"/>
      <c r="AA154" s="146"/>
      <c r="AB154" s="146"/>
      <c r="AC154" s="157"/>
      <c r="AD154" s="157"/>
      <c r="AE154" s="157"/>
      <c r="AF154" s="158">
        <f>SUM(AG154:AJ154)</f>
      </c>
      <c r="AG154" s="146"/>
      <c r="AH154" s="145"/>
      <c r="AI154" s="145"/>
      <c r="AJ154" s="145"/>
      <c r="AK154" s="158">
        <f>SUM(AL154:AW154)</f>
      </c>
      <c r="AL154" s="146"/>
      <c r="AM154" s="145"/>
      <c r="AN154" s="145"/>
      <c r="AO154" s="145"/>
      <c r="AP154" s="145"/>
      <c r="AQ154" s="145"/>
      <c r="AR154" s="145"/>
      <c r="AS154" s="145"/>
      <c r="AT154" s="145"/>
      <c r="AU154" s="145"/>
      <c r="AV154" s="145"/>
      <c r="AW154" s="158"/>
      <c r="AX154" s="145"/>
      <c r="AY154" s="145"/>
      <c r="AZ154" s="145"/>
      <c r="BA154" s="158"/>
      <c r="BB154" s="145"/>
      <c r="BC154" s="145"/>
      <c r="BD154" s="158"/>
      <c r="BE154" s="146"/>
      <c r="BF154" s="145"/>
      <c r="BG154" s="145"/>
      <c r="BH154" s="158">
        <f>SUM(BI154:BK154)</f>
      </c>
      <c r="BI154" s="145"/>
      <c r="BJ154" s="145"/>
      <c r="BK154" s="145"/>
      <c r="BL154" s="145">
        <f>SUM(BM154:BR154)</f>
      </c>
      <c r="BM154" s="145"/>
      <c r="BN154" s="145"/>
      <c r="BO154" s="158"/>
      <c r="BP154" s="145"/>
      <c r="BQ154" s="145"/>
      <c r="BR154" s="145"/>
      <c r="BS154" s="145"/>
      <c r="BT154" s="145"/>
      <c r="BU154" s="158"/>
      <c r="BV154" s="146"/>
      <c r="BW154" s="145"/>
      <c r="BX154" s="145"/>
      <c r="BY154" s="158">
        <f>SUM(BZ154:CB154)</f>
      </c>
      <c r="BZ154" s="146"/>
      <c r="CA154" s="145"/>
      <c r="CB154" s="145"/>
      <c r="CC154" s="145">
        <f>SUM(CD154:CH154)</f>
      </c>
      <c r="CD154" s="145"/>
      <c r="CE154" s="158"/>
      <c r="CF154" s="145"/>
      <c r="CG154" s="145"/>
      <c r="CH154" s="145"/>
      <c r="CI154" s="158"/>
      <c r="CJ154" s="145"/>
      <c r="CK154" s="145"/>
      <c r="CL154" s="145"/>
      <c r="CM154" s="145"/>
      <c r="CN154" s="145"/>
      <c r="CO154" s="145"/>
      <c r="CP154" s="145"/>
      <c r="CQ154" s="158"/>
      <c r="CR154" s="146"/>
      <c r="CS154" s="158"/>
      <c r="CT154" s="158"/>
      <c r="CU154" s="158">
        <f>SUM(CV154:CV154)</f>
      </c>
      <c r="CV154" s="146"/>
      <c r="CW154" s="145"/>
      <c r="CX154" s="145"/>
      <c r="CY154" s="145">
        <f>SUM(CZ154:DE154)</f>
      </c>
      <c r="CZ154" s="145"/>
      <c r="DA154" s="146"/>
      <c r="DB154" s="146"/>
      <c r="DC154" s="153"/>
      <c r="DD154" s="153"/>
      <c r="DE154" s="145"/>
      <c r="DF154" s="145"/>
      <c r="DG154" s="145"/>
      <c r="DH154" s="158"/>
      <c r="DI154" s="145"/>
      <c r="DJ154" s="158"/>
      <c r="DK154" s="145"/>
      <c r="DL154" s="158"/>
      <c r="DM154" s="145"/>
      <c r="DN154" s="145"/>
      <c r="DO154" s="145"/>
      <c r="DP154" s="158"/>
      <c r="DQ154" s="145"/>
      <c r="DR154" s="145"/>
      <c r="DS154" s="145"/>
      <c r="DT154" s="145"/>
      <c r="DU154" s="145">
        <f>SUM(DV154:EE154)</f>
      </c>
      <c r="DV154" s="145"/>
      <c r="DW154" s="145"/>
      <c r="DX154" s="145"/>
      <c r="DY154" s="145"/>
      <c r="DZ154" s="146"/>
      <c r="EA154" s="158"/>
      <c r="EB154" s="146"/>
      <c r="EC154" s="145"/>
      <c r="ED154" s="145"/>
      <c r="EE154" s="155"/>
      <c r="EF154" s="145">
        <f>SUM(EG154:EH154)</f>
      </c>
      <c r="EG154" s="145"/>
      <c r="EH154" s="146"/>
      <c r="EI154" s="159" cm="1">
        <f t="array" ref="EI154">ROW()-ROW(Run[#Headers])</f>
        <v>148</v>
      </c>
    </row>
    <row r="155" spans="2:139" s="79" customFormat="1" ht="11.25" x14ac:dyDescent="0.2">
      <c r="B155" s="146"/>
      <c r="C155" s="155"/>
      <c r="D155" s="145"/>
      <c r="E155" s="152">
        <f>SUM(F155:AE155)</f>
      </c>
      <c r="F155" s="146"/>
      <c r="G155" s="146"/>
      <c r="H155" s="146"/>
      <c r="I155" s="146"/>
      <c r="J155" s="146"/>
      <c r="K155" s="156"/>
      <c r="L155" s="146"/>
      <c r="M155" s="146"/>
      <c r="N155" s="146"/>
      <c r="O155" s="146"/>
      <c r="P155" s="156"/>
      <c r="Q155" s="146"/>
      <c r="R155" s="146"/>
      <c r="S155" s="146"/>
      <c r="T155" s="156"/>
      <c r="U155" s="146"/>
      <c r="V155" s="146"/>
      <c r="W155" s="146"/>
      <c r="X155" s="146"/>
      <c r="Y155" s="146"/>
      <c r="Z155" s="146"/>
      <c r="AA155" s="146"/>
      <c r="AB155" s="146"/>
      <c r="AC155" s="157"/>
      <c r="AD155" s="157"/>
      <c r="AE155" s="157"/>
      <c r="AF155" s="158">
        <f>SUM(AG155:AJ155)</f>
      </c>
      <c r="AG155" s="146"/>
      <c r="AH155" s="145"/>
      <c r="AI155" s="145"/>
      <c r="AJ155" s="145"/>
      <c r="AK155" s="158">
        <f>SUM(AL155:AW155)</f>
      </c>
      <c r="AL155" s="146"/>
      <c r="AM155" s="145"/>
      <c r="AN155" s="145"/>
      <c r="AO155" s="145"/>
      <c r="AP155" s="145"/>
      <c r="AQ155" s="145"/>
      <c r="AR155" s="145"/>
      <c r="AS155" s="145"/>
      <c r="AT155" s="145"/>
      <c r="AU155" s="145"/>
      <c r="AV155" s="145"/>
      <c r="AW155" s="158"/>
      <c r="AX155" s="145"/>
      <c r="AY155" s="145"/>
      <c r="AZ155" s="145"/>
      <c r="BA155" s="158"/>
      <c r="BB155" s="145"/>
      <c r="BC155" s="145"/>
      <c r="BD155" s="158"/>
      <c r="BE155" s="146"/>
      <c r="BF155" s="145"/>
      <c r="BG155" s="145"/>
      <c r="BH155" s="158">
        <f>SUM(BI155:BK155)</f>
      </c>
      <c r="BI155" s="145"/>
      <c r="BJ155" s="145"/>
      <c r="BK155" s="145"/>
      <c r="BL155" s="145">
        <f>SUM(BM155:BR155)</f>
      </c>
      <c r="BM155" s="145"/>
      <c r="BN155" s="145"/>
      <c r="BO155" s="158"/>
      <c r="BP155" s="145"/>
      <c r="BQ155" s="145"/>
      <c r="BR155" s="145"/>
      <c r="BS155" s="145"/>
      <c r="BT155" s="145"/>
      <c r="BU155" s="158"/>
      <c r="BV155" s="146"/>
      <c r="BW155" s="145"/>
      <c r="BX155" s="145"/>
      <c r="BY155" s="158">
        <f>SUM(BZ155:CB155)</f>
      </c>
      <c r="BZ155" s="146"/>
      <c r="CA155" s="145"/>
      <c r="CB155" s="145"/>
      <c r="CC155" s="145">
        <f>SUM(CD155:CH155)</f>
      </c>
      <c r="CD155" s="145"/>
      <c r="CE155" s="158"/>
      <c r="CF155" s="145"/>
      <c r="CG155" s="145"/>
      <c r="CH155" s="145"/>
      <c r="CI155" s="158"/>
      <c r="CJ155" s="145"/>
      <c r="CK155" s="145"/>
      <c r="CL155" s="145"/>
      <c r="CM155" s="145"/>
      <c r="CN155" s="145"/>
      <c r="CO155" s="145"/>
      <c r="CP155" s="145"/>
      <c r="CQ155" s="158"/>
      <c r="CR155" s="146"/>
      <c r="CS155" s="158"/>
      <c r="CT155" s="158"/>
      <c r="CU155" s="158">
        <f>SUM(CV155:CV155)</f>
      </c>
      <c r="CV155" s="146"/>
      <c r="CW155" s="145"/>
      <c r="CX155" s="145"/>
      <c r="CY155" s="145">
        <f>SUM(CZ155:DE155)</f>
      </c>
      <c r="CZ155" s="145"/>
      <c r="DA155" s="146"/>
      <c r="DB155" s="146"/>
      <c r="DC155" s="153"/>
      <c r="DD155" s="153"/>
      <c r="DE155" s="145"/>
      <c r="DF155" s="145"/>
      <c r="DG155" s="145"/>
      <c r="DH155" s="158"/>
      <c r="DI155" s="145"/>
      <c r="DJ155" s="158"/>
      <c r="DK155" s="145"/>
      <c r="DL155" s="158"/>
      <c r="DM155" s="145"/>
      <c r="DN155" s="145"/>
      <c r="DO155" s="145"/>
      <c r="DP155" s="158"/>
      <c r="DQ155" s="145"/>
      <c r="DR155" s="145"/>
      <c r="DS155" s="145"/>
      <c r="DT155" s="145"/>
      <c r="DU155" s="145">
        <f>SUM(DV155:EE155)</f>
      </c>
      <c r="DV155" s="145"/>
      <c r="DW155" s="145"/>
      <c r="DX155" s="145"/>
      <c r="DY155" s="145"/>
      <c r="DZ155" s="146"/>
      <c r="EA155" s="158"/>
      <c r="EB155" s="146"/>
      <c r="EC155" s="145"/>
      <c r="ED155" s="145"/>
      <c r="EE155" s="155"/>
      <c r="EF155" s="145">
        <f>SUM(EG155:EH155)</f>
      </c>
      <c r="EG155" s="145"/>
      <c r="EH155" s="146"/>
      <c r="EI155" s="159" cm="1">
        <f t="array" ref="EI155">ROW()-ROW(Run[#Headers])</f>
        <v>149</v>
      </c>
    </row>
    <row r="156" spans="2:139" s="79" customFormat="1" ht="11.25" x14ac:dyDescent="0.2">
      <c r="B156" s="146"/>
      <c r="C156" s="155"/>
      <c r="D156" s="145"/>
      <c r="E156" s="152">
        <f>SUM(F156:AE156)</f>
      </c>
      <c r="F156" s="146"/>
      <c r="G156" s="146"/>
      <c r="H156" s="146"/>
      <c r="I156" s="146"/>
      <c r="J156" s="146"/>
      <c r="K156" s="156"/>
      <c r="L156" s="146"/>
      <c r="M156" s="146"/>
      <c r="N156" s="146"/>
      <c r="O156" s="146"/>
      <c r="P156" s="156"/>
      <c r="Q156" s="146"/>
      <c r="R156" s="146"/>
      <c r="S156" s="146"/>
      <c r="T156" s="156"/>
      <c r="U156" s="146"/>
      <c r="V156" s="146"/>
      <c r="W156" s="146"/>
      <c r="X156" s="146"/>
      <c r="Y156" s="146"/>
      <c r="Z156" s="146"/>
      <c r="AA156" s="146"/>
      <c r="AB156" s="146"/>
      <c r="AC156" s="157"/>
      <c r="AD156" s="157"/>
      <c r="AE156" s="157"/>
      <c r="AF156" s="158">
        <f>SUM(AG156:AJ156)</f>
      </c>
      <c r="AG156" s="146"/>
      <c r="AH156" s="145"/>
      <c r="AI156" s="145"/>
      <c r="AJ156" s="145"/>
      <c r="AK156" s="158">
        <f>SUM(AL156:AW156)</f>
      </c>
      <c r="AL156" s="146"/>
      <c r="AM156" s="145"/>
      <c r="AN156" s="145"/>
      <c r="AO156" s="145"/>
      <c r="AP156" s="145"/>
      <c r="AQ156" s="145"/>
      <c r="AR156" s="145"/>
      <c r="AS156" s="145"/>
      <c r="AT156" s="145"/>
      <c r="AU156" s="145"/>
      <c r="AV156" s="145"/>
      <c r="AW156" s="158"/>
      <c r="AX156" s="145"/>
      <c r="AY156" s="145"/>
      <c r="AZ156" s="145"/>
      <c r="BA156" s="158"/>
      <c r="BB156" s="145"/>
      <c r="BC156" s="145"/>
      <c r="BD156" s="158"/>
      <c r="BE156" s="146"/>
      <c r="BF156" s="145"/>
      <c r="BG156" s="145"/>
      <c r="BH156" s="158">
        <f>SUM(BI156:BK156)</f>
      </c>
      <c r="BI156" s="145"/>
      <c r="BJ156" s="145"/>
      <c r="BK156" s="145"/>
      <c r="BL156" s="145">
        <f>SUM(BM156:BR156)</f>
      </c>
      <c r="BM156" s="145"/>
      <c r="BN156" s="145"/>
      <c r="BO156" s="158"/>
      <c r="BP156" s="145"/>
      <c r="BQ156" s="145"/>
      <c r="BR156" s="145"/>
      <c r="BS156" s="145"/>
      <c r="BT156" s="145"/>
      <c r="BU156" s="158"/>
      <c r="BV156" s="146"/>
      <c r="BW156" s="145"/>
      <c r="BX156" s="145"/>
      <c r="BY156" s="158">
        <f>SUM(BZ156:CB156)</f>
      </c>
      <c r="BZ156" s="146"/>
      <c r="CA156" s="145"/>
      <c r="CB156" s="145"/>
      <c r="CC156" s="145">
        <f>SUM(CD156:CH156)</f>
      </c>
      <c r="CD156" s="145"/>
      <c r="CE156" s="158"/>
      <c r="CF156" s="145"/>
      <c r="CG156" s="145"/>
      <c r="CH156" s="145"/>
      <c r="CI156" s="158"/>
      <c r="CJ156" s="145"/>
      <c r="CK156" s="145"/>
      <c r="CL156" s="145"/>
      <c r="CM156" s="145"/>
      <c r="CN156" s="145"/>
      <c r="CO156" s="145"/>
      <c r="CP156" s="145"/>
      <c r="CQ156" s="158"/>
      <c r="CR156" s="146"/>
      <c r="CS156" s="158"/>
      <c r="CT156" s="158"/>
      <c r="CU156" s="158">
        <f>SUM(CV156:CV156)</f>
      </c>
      <c r="CV156" s="146"/>
      <c r="CW156" s="145"/>
      <c r="CX156" s="145"/>
      <c r="CY156" s="145">
        <f>SUM(CZ156:DE156)</f>
      </c>
      <c r="CZ156" s="145"/>
      <c r="DA156" s="146"/>
      <c r="DB156" s="146"/>
      <c r="DC156" s="153"/>
      <c r="DD156" s="153"/>
      <c r="DE156" s="145"/>
      <c r="DF156" s="145"/>
      <c r="DG156" s="145"/>
      <c r="DH156" s="158"/>
      <c r="DI156" s="145"/>
      <c r="DJ156" s="158"/>
      <c r="DK156" s="145"/>
      <c r="DL156" s="158"/>
      <c r="DM156" s="145"/>
      <c r="DN156" s="145"/>
      <c r="DO156" s="145"/>
      <c r="DP156" s="158"/>
      <c r="DQ156" s="145"/>
      <c r="DR156" s="145"/>
      <c r="DS156" s="145"/>
      <c r="DT156" s="145"/>
      <c r="DU156" s="145">
        <f>SUM(DV156:EE156)</f>
      </c>
      <c r="DV156" s="145"/>
      <c r="DW156" s="145"/>
      <c r="DX156" s="145"/>
      <c r="DY156" s="145"/>
      <c r="DZ156" s="146"/>
      <c r="EA156" s="158"/>
      <c r="EB156" s="146"/>
      <c r="EC156" s="145"/>
      <c r="ED156" s="145"/>
      <c r="EE156" s="155"/>
      <c r="EF156" s="145">
        <f>SUM(EG156:EH156)</f>
      </c>
      <c r="EG156" s="145"/>
      <c r="EH156" s="146"/>
      <c r="EI156" s="159" cm="1">
        <f t="array" ref="EI156">ROW()-ROW(Run[#Headers])</f>
        <v>150</v>
      </c>
    </row>
    <row r="157" spans="2:139" s="79" customFormat="1" ht="11.25" x14ac:dyDescent="0.2">
      <c r="B157" s="146"/>
      <c r="C157" s="155"/>
      <c r="D157" s="145"/>
      <c r="E157" s="152">
        <f>SUM(F157:AE157)</f>
      </c>
      <c r="F157" s="146"/>
      <c r="G157" s="146"/>
      <c r="H157" s="146"/>
      <c r="I157" s="146"/>
      <c r="J157" s="146"/>
      <c r="K157" s="156"/>
      <c r="L157" s="146"/>
      <c r="M157" s="146"/>
      <c r="N157" s="146"/>
      <c r="O157" s="146"/>
      <c r="P157" s="156"/>
      <c r="Q157" s="146"/>
      <c r="R157" s="146"/>
      <c r="S157" s="146"/>
      <c r="T157" s="156"/>
      <c r="U157" s="146"/>
      <c r="V157" s="146"/>
      <c r="W157" s="146"/>
      <c r="X157" s="146"/>
      <c r="Y157" s="146"/>
      <c r="Z157" s="146"/>
      <c r="AA157" s="146"/>
      <c r="AB157" s="146"/>
      <c r="AC157" s="157"/>
      <c r="AD157" s="157"/>
      <c r="AE157" s="157"/>
      <c r="AF157" s="158">
        <f>SUM(AG157:AJ157)</f>
      </c>
      <c r="AG157" s="146"/>
      <c r="AH157" s="145"/>
      <c r="AI157" s="145"/>
      <c r="AJ157" s="145"/>
      <c r="AK157" s="158">
        <f>SUM(AL157:AW157)</f>
      </c>
      <c r="AL157" s="146"/>
      <c r="AM157" s="145"/>
      <c r="AN157" s="145"/>
      <c r="AO157" s="145"/>
      <c r="AP157" s="145"/>
      <c r="AQ157" s="145"/>
      <c r="AR157" s="145"/>
      <c r="AS157" s="145"/>
      <c r="AT157" s="145"/>
      <c r="AU157" s="145"/>
      <c r="AV157" s="145"/>
      <c r="AW157" s="158"/>
      <c r="AX157" s="145"/>
      <c r="AY157" s="145"/>
      <c r="AZ157" s="145"/>
      <c r="BA157" s="158"/>
      <c r="BB157" s="145"/>
      <c r="BC157" s="145"/>
      <c r="BD157" s="158"/>
      <c r="BE157" s="146"/>
      <c r="BF157" s="145"/>
      <c r="BG157" s="145"/>
      <c r="BH157" s="158">
        <f>SUM(BI157:BK157)</f>
      </c>
      <c r="BI157" s="145"/>
      <c r="BJ157" s="145"/>
      <c r="BK157" s="145"/>
      <c r="BL157" s="145">
        <f>SUM(BM157:BR157)</f>
      </c>
      <c r="BM157" s="145"/>
      <c r="BN157" s="145"/>
      <c r="BO157" s="158"/>
      <c r="BP157" s="145"/>
      <c r="BQ157" s="145"/>
      <c r="BR157" s="145"/>
      <c r="BS157" s="145"/>
      <c r="BT157" s="145"/>
      <c r="BU157" s="158"/>
      <c r="BV157" s="146"/>
      <c r="BW157" s="145"/>
      <c r="BX157" s="145"/>
      <c r="BY157" s="158">
        <f>SUM(BZ157:CB157)</f>
      </c>
      <c r="BZ157" s="146"/>
      <c r="CA157" s="145"/>
      <c r="CB157" s="145"/>
      <c r="CC157" s="145">
        <f>SUM(CD157:CH157)</f>
      </c>
      <c r="CD157" s="145"/>
      <c r="CE157" s="158"/>
      <c r="CF157" s="145"/>
      <c r="CG157" s="145"/>
      <c r="CH157" s="145"/>
      <c r="CI157" s="158"/>
      <c r="CJ157" s="145"/>
      <c r="CK157" s="145"/>
      <c r="CL157" s="145"/>
      <c r="CM157" s="145"/>
      <c r="CN157" s="145"/>
      <c r="CO157" s="145"/>
      <c r="CP157" s="145"/>
      <c r="CQ157" s="158"/>
      <c r="CR157" s="146"/>
      <c r="CS157" s="158"/>
      <c r="CT157" s="158"/>
      <c r="CU157" s="158">
        <f>SUM(CV157:CV157)</f>
      </c>
      <c r="CV157" s="146"/>
      <c r="CW157" s="145"/>
      <c r="CX157" s="145"/>
      <c r="CY157" s="145">
        <f>SUM(CZ157:DE157)</f>
      </c>
      <c r="CZ157" s="145"/>
      <c r="DA157" s="146"/>
      <c r="DB157" s="146"/>
      <c r="DC157" s="153"/>
      <c r="DD157" s="153"/>
      <c r="DE157" s="145"/>
      <c r="DF157" s="145"/>
      <c r="DG157" s="145"/>
      <c r="DH157" s="158"/>
      <c r="DI157" s="145"/>
      <c r="DJ157" s="158"/>
      <c r="DK157" s="145"/>
      <c r="DL157" s="158"/>
      <c r="DM157" s="145"/>
      <c r="DN157" s="145"/>
      <c r="DO157" s="145"/>
      <c r="DP157" s="158"/>
      <c r="DQ157" s="145"/>
      <c r="DR157" s="145"/>
      <c r="DS157" s="145"/>
      <c r="DT157" s="145"/>
      <c r="DU157" s="145">
        <f>SUM(DV157:EE157)</f>
      </c>
      <c r="DV157" s="145"/>
      <c r="DW157" s="145"/>
      <c r="DX157" s="145"/>
      <c r="DY157" s="145"/>
      <c r="DZ157" s="146"/>
      <c r="EA157" s="158"/>
      <c r="EB157" s="146"/>
      <c r="EC157" s="145"/>
      <c r="ED157" s="145"/>
      <c r="EE157" s="155"/>
      <c r="EF157" s="145">
        <f>SUM(EG157:EH157)</f>
      </c>
      <c r="EG157" s="145"/>
      <c r="EH157" s="146"/>
      <c r="EI157" s="159" cm="1">
        <f t="array" ref="EI157">ROW()-ROW(Run[#Headers])</f>
        <v>151</v>
      </c>
    </row>
    <row r="158" spans="2:139" s="79" customFormat="1" ht="11.25" x14ac:dyDescent="0.2">
      <c r="B158" s="146"/>
      <c r="C158" s="155"/>
      <c r="D158" s="145"/>
      <c r="E158" s="152">
        <f>SUM(F158:AE158)</f>
      </c>
      <c r="F158" s="146"/>
      <c r="G158" s="146"/>
      <c r="H158" s="146"/>
      <c r="I158" s="146"/>
      <c r="J158" s="146"/>
      <c r="K158" s="156"/>
      <c r="L158" s="146"/>
      <c r="M158" s="146"/>
      <c r="N158" s="146"/>
      <c r="O158" s="146"/>
      <c r="P158" s="156"/>
      <c r="Q158" s="146"/>
      <c r="R158" s="146"/>
      <c r="S158" s="146"/>
      <c r="T158" s="156"/>
      <c r="U158" s="146"/>
      <c r="V158" s="146"/>
      <c r="W158" s="146"/>
      <c r="X158" s="146"/>
      <c r="Y158" s="146"/>
      <c r="Z158" s="146"/>
      <c r="AA158" s="146"/>
      <c r="AB158" s="146"/>
      <c r="AC158" s="157"/>
      <c r="AD158" s="157"/>
      <c r="AE158" s="157"/>
      <c r="AF158" s="158">
        <f>SUM(AG158:AJ158)</f>
      </c>
      <c r="AG158" s="146"/>
      <c r="AH158" s="145"/>
      <c r="AI158" s="145"/>
      <c r="AJ158" s="145"/>
      <c r="AK158" s="158">
        <f>SUM(AL158:AW158)</f>
      </c>
      <c r="AL158" s="146"/>
      <c r="AM158" s="145"/>
      <c r="AN158" s="145"/>
      <c r="AO158" s="145"/>
      <c r="AP158" s="145"/>
      <c r="AQ158" s="145"/>
      <c r="AR158" s="145"/>
      <c r="AS158" s="145"/>
      <c r="AT158" s="145"/>
      <c r="AU158" s="145"/>
      <c r="AV158" s="145"/>
      <c r="AW158" s="158"/>
      <c r="AX158" s="145"/>
      <c r="AY158" s="145"/>
      <c r="AZ158" s="145"/>
      <c r="BA158" s="158"/>
      <c r="BB158" s="145"/>
      <c r="BC158" s="145"/>
      <c r="BD158" s="158"/>
      <c r="BE158" s="146"/>
      <c r="BF158" s="145"/>
      <c r="BG158" s="145"/>
      <c r="BH158" s="158">
        <f>SUM(BI158:BK158)</f>
      </c>
      <c r="BI158" s="145"/>
      <c r="BJ158" s="145"/>
      <c r="BK158" s="145"/>
      <c r="BL158" s="145">
        <f>SUM(BM158:BR158)</f>
      </c>
      <c r="BM158" s="145"/>
      <c r="BN158" s="145"/>
      <c r="BO158" s="158"/>
      <c r="BP158" s="145"/>
      <c r="BQ158" s="145"/>
      <c r="BR158" s="145"/>
      <c r="BS158" s="145"/>
      <c r="BT158" s="145"/>
      <c r="BU158" s="158"/>
      <c r="BV158" s="146"/>
      <c r="BW158" s="145"/>
      <c r="BX158" s="145"/>
      <c r="BY158" s="158">
        <f>SUM(BZ158:CB158)</f>
      </c>
      <c r="BZ158" s="146"/>
      <c r="CA158" s="145"/>
      <c r="CB158" s="145"/>
      <c r="CC158" s="145">
        <f>SUM(CD158:CH158)</f>
      </c>
      <c r="CD158" s="145"/>
      <c r="CE158" s="158"/>
      <c r="CF158" s="145"/>
      <c r="CG158" s="145"/>
      <c r="CH158" s="145"/>
      <c r="CI158" s="158"/>
      <c r="CJ158" s="145"/>
      <c r="CK158" s="145"/>
      <c r="CL158" s="145"/>
      <c r="CM158" s="145"/>
      <c r="CN158" s="145"/>
      <c r="CO158" s="145"/>
      <c r="CP158" s="145"/>
      <c r="CQ158" s="158"/>
      <c r="CR158" s="146"/>
      <c r="CS158" s="158"/>
      <c r="CT158" s="158"/>
      <c r="CU158" s="158">
        <f>SUM(CV158:CV158)</f>
      </c>
      <c r="CV158" s="146"/>
      <c r="CW158" s="145"/>
      <c r="CX158" s="145"/>
      <c r="CY158" s="145">
        <f>SUM(CZ158:DE158)</f>
      </c>
      <c r="CZ158" s="145"/>
      <c r="DA158" s="146"/>
      <c r="DB158" s="146"/>
      <c r="DC158" s="153"/>
      <c r="DD158" s="153"/>
      <c r="DE158" s="145"/>
      <c r="DF158" s="145"/>
      <c r="DG158" s="145"/>
      <c r="DH158" s="158"/>
      <c r="DI158" s="145"/>
      <c r="DJ158" s="158"/>
      <c r="DK158" s="145"/>
      <c r="DL158" s="158"/>
      <c r="DM158" s="145"/>
      <c r="DN158" s="145"/>
      <c r="DO158" s="145"/>
      <c r="DP158" s="158"/>
      <c r="DQ158" s="145"/>
      <c r="DR158" s="145"/>
      <c r="DS158" s="145"/>
      <c r="DT158" s="145"/>
      <c r="DU158" s="145">
        <f>SUM(DV158:EE158)</f>
      </c>
      <c r="DV158" s="145"/>
      <c r="DW158" s="145"/>
      <c r="DX158" s="145"/>
      <c r="DY158" s="145"/>
      <c r="DZ158" s="146"/>
      <c r="EA158" s="158"/>
      <c r="EB158" s="146"/>
      <c r="EC158" s="145"/>
      <c r="ED158" s="145"/>
      <c r="EE158" s="155"/>
      <c r="EF158" s="145">
        <f>SUM(EG158:EH158)</f>
      </c>
      <c r="EG158" s="145"/>
      <c r="EH158" s="146"/>
      <c r="EI158" s="159" cm="1">
        <f t="array" ref="EI158">ROW()-ROW(Run[#Headers])</f>
        <v>152</v>
      </c>
    </row>
    <row r="159" spans="2:139" s="79" customFormat="1" ht="11.25" x14ac:dyDescent="0.2">
      <c r="B159" s="146"/>
      <c r="C159" s="155"/>
      <c r="D159" s="145"/>
      <c r="E159" s="152">
        <f>SUM(F159:AE159)</f>
      </c>
      <c r="F159" s="146"/>
      <c r="G159" s="146"/>
      <c r="H159" s="146"/>
      <c r="I159" s="146"/>
      <c r="J159" s="146"/>
      <c r="K159" s="156"/>
      <c r="L159" s="146"/>
      <c r="M159" s="146"/>
      <c r="N159" s="146"/>
      <c r="O159" s="146"/>
      <c r="P159" s="156"/>
      <c r="Q159" s="146"/>
      <c r="R159" s="146"/>
      <c r="S159" s="146"/>
      <c r="T159" s="156"/>
      <c r="U159" s="146"/>
      <c r="V159" s="146"/>
      <c r="W159" s="146"/>
      <c r="X159" s="146"/>
      <c r="Y159" s="146"/>
      <c r="Z159" s="146"/>
      <c r="AA159" s="146"/>
      <c r="AB159" s="146"/>
      <c r="AC159" s="157"/>
      <c r="AD159" s="157"/>
      <c r="AE159" s="157"/>
      <c r="AF159" s="158">
        <f>SUM(AG159:AJ159)</f>
      </c>
      <c r="AG159" s="146"/>
      <c r="AH159" s="145"/>
      <c r="AI159" s="145"/>
      <c r="AJ159" s="145"/>
      <c r="AK159" s="158">
        <f>SUM(AL159:AW159)</f>
      </c>
      <c r="AL159" s="146"/>
      <c r="AM159" s="145"/>
      <c r="AN159" s="145"/>
      <c r="AO159" s="145"/>
      <c r="AP159" s="145"/>
      <c r="AQ159" s="145"/>
      <c r="AR159" s="145"/>
      <c r="AS159" s="145"/>
      <c r="AT159" s="145"/>
      <c r="AU159" s="145"/>
      <c r="AV159" s="145"/>
      <c r="AW159" s="158"/>
      <c r="AX159" s="145"/>
      <c r="AY159" s="145"/>
      <c r="AZ159" s="145"/>
      <c r="BA159" s="158"/>
      <c r="BB159" s="145"/>
      <c r="BC159" s="145"/>
      <c r="BD159" s="158"/>
      <c r="BE159" s="146"/>
      <c r="BF159" s="145"/>
      <c r="BG159" s="145"/>
      <c r="BH159" s="158">
        <f>SUM(BI159:BK159)</f>
      </c>
      <c r="BI159" s="145"/>
      <c r="BJ159" s="145"/>
      <c r="BK159" s="145"/>
      <c r="BL159" s="145">
        <f>SUM(BM159:BR159)</f>
      </c>
      <c r="BM159" s="145"/>
      <c r="BN159" s="145"/>
      <c r="BO159" s="158"/>
      <c r="BP159" s="145"/>
      <c r="BQ159" s="145"/>
      <c r="BR159" s="145"/>
      <c r="BS159" s="145"/>
      <c r="BT159" s="145"/>
      <c r="BU159" s="158"/>
      <c r="BV159" s="146"/>
      <c r="BW159" s="145"/>
      <c r="BX159" s="145"/>
      <c r="BY159" s="158">
        <f>SUM(BZ159:CB159)</f>
      </c>
      <c r="BZ159" s="146"/>
      <c r="CA159" s="145"/>
      <c r="CB159" s="145"/>
      <c r="CC159" s="145">
        <f>SUM(CD159:CH159)</f>
      </c>
      <c r="CD159" s="145"/>
      <c r="CE159" s="158"/>
      <c r="CF159" s="145"/>
      <c r="CG159" s="145"/>
      <c r="CH159" s="145"/>
      <c r="CI159" s="158"/>
      <c r="CJ159" s="145"/>
      <c r="CK159" s="145"/>
      <c r="CL159" s="145"/>
      <c r="CM159" s="145"/>
      <c r="CN159" s="145"/>
      <c r="CO159" s="145"/>
      <c r="CP159" s="145"/>
      <c r="CQ159" s="158"/>
      <c r="CR159" s="146"/>
      <c r="CS159" s="158"/>
      <c r="CT159" s="158"/>
      <c r="CU159" s="158">
        <f>SUM(CV159:CV159)</f>
      </c>
      <c r="CV159" s="146"/>
      <c r="CW159" s="145"/>
      <c r="CX159" s="145"/>
      <c r="CY159" s="145">
        <f>SUM(CZ159:DE159)</f>
      </c>
      <c r="CZ159" s="145"/>
      <c r="DA159" s="146"/>
      <c r="DB159" s="146"/>
      <c r="DC159" s="153"/>
      <c r="DD159" s="153"/>
      <c r="DE159" s="145"/>
      <c r="DF159" s="145"/>
      <c r="DG159" s="145"/>
      <c r="DH159" s="158"/>
      <c r="DI159" s="145"/>
      <c r="DJ159" s="158"/>
      <c r="DK159" s="145"/>
      <c r="DL159" s="158"/>
      <c r="DM159" s="145"/>
      <c r="DN159" s="145"/>
      <c r="DO159" s="145"/>
      <c r="DP159" s="158"/>
      <c r="DQ159" s="145"/>
      <c r="DR159" s="145"/>
      <c r="DS159" s="145"/>
      <c r="DT159" s="145"/>
      <c r="DU159" s="145">
        <f>SUM(DV159:EE159)</f>
      </c>
      <c r="DV159" s="145"/>
      <c r="DW159" s="145"/>
      <c r="DX159" s="145"/>
      <c r="DY159" s="145"/>
      <c r="DZ159" s="146"/>
      <c r="EA159" s="158"/>
      <c r="EB159" s="146"/>
      <c r="EC159" s="145"/>
      <c r="ED159" s="145"/>
      <c r="EE159" s="155"/>
      <c r="EF159" s="145">
        <f>SUM(EG159:EH159)</f>
      </c>
      <c r="EG159" s="145"/>
      <c r="EH159" s="146"/>
      <c r="EI159" s="159" cm="1">
        <f t="array" ref="EI159">ROW()-ROW(Run[#Headers])</f>
        <v>153</v>
      </c>
    </row>
    <row r="160" spans="2:139" s="79" customFormat="1" ht="11.25" x14ac:dyDescent="0.2">
      <c r="B160" s="146"/>
      <c r="C160" s="155"/>
      <c r="D160" s="145"/>
      <c r="E160" s="152">
        <f>SUM(F160:AE160)</f>
      </c>
      <c r="F160" s="146"/>
      <c r="G160" s="146"/>
      <c r="H160" s="146"/>
      <c r="I160" s="146"/>
      <c r="J160" s="146"/>
      <c r="K160" s="156"/>
      <c r="L160" s="146"/>
      <c r="M160" s="146"/>
      <c r="N160" s="146"/>
      <c r="O160" s="146"/>
      <c r="P160" s="156"/>
      <c r="Q160" s="146"/>
      <c r="R160" s="146"/>
      <c r="S160" s="146"/>
      <c r="T160" s="156"/>
      <c r="U160" s="146"/>
      <c r="V160" s="146"/>
      <c r="W160" s="146"/>
      <c r="X160" s="146"/>
      <c r="Y160" s="146"/>
      <c r="Z160" s="146"/>
      <c r="AA160" s="146"/>
      <c r="AB160" s="146"/>
      <c r="AC160" s="157"/>
      <c r="AD160" s="157"/>
      <c r="AE160" s="157"/>
      <c r="AF160" s="158">
        <f>SUM(AG160:AJ160)</f>
      </c>
      <c r="AG160" s="146"/>
      <c r="AH160" s="145"/>
      <c r="AI160" s="145"/>
      <c r="AJ160" s="145"/>
      <c r="AK160" s="158">
        <f>SUM(AL160:AW160)</f>
      </c>
      <c r="AL160" s="146"/>
      <c r="AM160" s="145"/>
      <c r="AN160" s="145"/>
      <c r="AO160" s="145"/>
      <c r="AP160" s="145"/>
      <c r="AQ160" s="145"/>
      <c r="AR160" s="145"/>
      <c r="AS160" s="145"/>
      <c r="AT160" s="145"/>
      <c r="AU160" s="145"/>
      <c r="AV160" s="145"/>
      <c r="AW160" s="158"/>
      <c r="AX160" s="145"/>
      <c r="AY160" s="145"/>
      <c r="AZ160" s="145"/>
      <c r="BA160" s="158"/>
      <c r="BB160" s="145"/>
      <c r="BC160" s="145"/>
      <c r="BD160" s="158"/>
      <c r="BE160" s="146"/>
      <c r="BF160" s="145"/>
      <c r="BG160" s="145"/>
      <c r="BH160" s="158">
        <f>SUM(BI160:BK160)</f>
      </c>
      <c r="BI160" s="145"/>
      <c r="BJ160" s="145"/>
      <c r="BK160" s="145"/>
      <c r="BL160" s="145">
        <f>SUM(BM160:BR160)</f>
      </c>
      <c r="BM160" s="145"/>
      <c r="BN160" s="145"/>
      <c r="BO160" s="158"/>
      <c r="BP160" s="145"/>
      <c r="BQ160" s="145"/>
      <c r="BR160" s="145"/>
      <c r="BS160" s="145"/>
      <c r="BT160" s="145"/>
      <c r="BU160" s="158"/>
      <c r="BV160" s="146"/>
      <c r="BW160" s="145"/>
      <c r="BX160" s="145"/>
      <c r="BY160" s="158">
        <f>SUM(BZ160:CB160)</f>
      </c>
      <c r="BZ160" s="146"/>
      <c r="CA160" s="145"/>
      <c r="CB160" s="145"/>
      <c r="CC160" s="145">
        <f>SUM(CD160:CH160)</f>
      </c>
      <c r="CD160" s="145"/>
      <c r="CE160" s="158"/>
      <c r="CF160" s="145"/>
      <c r="CG160" s="145"/>
      <c r="CH160" s="145"/>
      <c r="CI160" s="158"/>
      <c r="CJ160" s="145"/>
      <c r="CK160" s="145"/>
      <c r="CL160" s="145"/>
      <c r="CM160" s="145"/>
      <c r="CN160" s="145"/>
      <c r="CO160" s="145"/>
      <c r="CP160" s="145"/>
      <c r="CQ160" s="158"/>
      <c r="CR160" s="146"/>
      <c r="CS160" s="158"/>
      <c r="CT160" s="158"/>
      <c r="CU160" s="158">
        <f>SUM(CV160:CV160)</f>
      </c>
      <c r="CV160" s="146"/>
      <c r="CW160" s="145"/>
      <c r="CX160" s="145"/>
      <c r="CY160" s="145">
        <f>SUM(CZ160:DE160)</f>
      </c>
      <c r="CZ160" s="145"/>
      <c r="DA160" s="146"/>
      <c r="DB160" s="146"/>
      <c r="DC160" s="153"/>
      <c r="DD160" s="153"/>
      <c r="DE160" s="145"/>
      <c r="DF160" s="145"/>
      <c r="DG160" s="145"/>
      <c r="DH160" s="158"/>
      <c r="DI160" s="145"/>
      <c r="DJ160" s="158"/>
      <c r="DK160" s="145"/>
      <c r="DL160" s="158"/>
      <c r="DM160" s="145"/>
      <c r="DN160" s="145"/>
      <c r="DO160" s="145"/>
      <c r="DP160" s="158"/>
      <c r="DQ160" s="145"/>
      <c r="DR160" s="145"/>
      <c r="DS160" s="145"/>
      <c r="DT160" s="145"/>
      <c r="DU160" s="145">
        <f>SUM(DV160:EE160)</f>
      </c>
      <c r="DV160" s="145"/>
      <c r="DW160" s="145"/>
      <c r="DX160" s="145"/>
      <c r="DY160" s="145"/>
      <c r="DZ160" s="146"/>
      <c r="EA160" s="158"/>
      <c r="EB160" s="146"/>
      <c r="EC160" s="145"/>
      <c r="ED160" s="145"/>
      <c r="EE160" s="155"/>
      <c r="EF160" s="145">
        <f>SUM(EG160:EH160)</f>
      </c>
      <c r="EG160" s="145"/>
      <c r="EH160" s="146"/>
      <c r="EI160" s="159" cm="1">
        <f t="array" ref="EI160">ROW()-ROW(Run[#Headers])</f>
        <v>154</v>
      </c>
    </row>
    <row r="161" spans="2:139" s="79" customFormat="1" ht="11.25" x14ac:dyDescent="0.2">
      <c r="B161" s="146"/>
      <c r="C161" s="155"/>
      <c r="D161" s="145"/>
      <c r="E161" s="152">
        <f>SUM(F161:AE161)</f>
      </c>
      <c r="F161" s="146"/>
      <c r="G161" s="146"/>
      <c r="H161" s="146"/>
      <c r="I161" s="146"/>
      <c r="J161" s="146"/>
      <c r="K161" s="156"/>
      <c r="L161" s="146"/>
      <c r="M161" s="146"/>
      <c r="N161" s="146"/>
      <c r="O161" s="146"/>
      <c r="P161" s="156"/>
      <c r="Q161" s="146"/>
      <c r="R161" s="146"/>
      <c r="S161" s="146"/>
      <c r="T161" s="156"/>
      <c r="U161" s="146"/>
      <c r="V161" s="146"/>
      <c r="W161" s="146"/>
      <c r="X161" s="146"/>
      <c r="Y161" s="146"/>
      <c r="Z161" s="146"/>
      <c r="AA161" s="146"/>
      <c r="AB161" s="146"/>
      <c r="AC161" s="157"/>
      <c r="AD161" s="157"/>
      <c r="AE161" s="157"/>
      <c r="AF161" s="158">
        <f>SUM(AG161:AJ161)</f>
      </c>
      <c r="AG161" s="146"/>
      <c r="AH161" s="145"/>
      <c r="AI161" s="145"/>
      <c r="AJ161" s="145"/>
      <c r="AK161" s="158">
        <f>SUM(AL161:AW161)</f>
      </c>
      <c r="AL161" s="146"/>
      <c r="AM161" s="145"/>
      <c r="AN161" s="145"/>
      <c r="AO161" s="145"/>
      <c r="AP161" s="145"/>
      <c r="AQ161" s="145"/>
      <c r="AR161" s="145"/>
      <c r="AS161" s="145"/>
      <c r="AT161" s="145"/>
      <c r="AU161" s="145"/>
      <c r="AV161" s="145"/>
      <c r="AW161" s="158"/>
      <c r="AX161" s="145"/>
      <c r="AY161" s="145"/>
      <c r="AZ161" s="145"/>
      <c r="BA161" s="158"/>
      <c r="BB161" s="145"/>
      <c r="BC161" s="145"/>
      <c r="BD161" s="158"/>
      <c r="BE161" s="146"/>
      <c r="BF161" s="145"/>
      <c r="BG161" s="145"/>
      <c r="BH161" s="158">
        <f>SUM(BI161:BK161)</f>
      </c>
      <c r="BI161" s="145"/>
      <c r="BJ161" s="145"/>
      <c r="BK161" s="145"/>
      <c r="BL161" s="145">
        <f>SUM(BM161:BR161)</f>
      </c>
      <c r="BM161" s="145"/>
      <c r="BN161" s="145"/>
      <c r="BO161" s="158"/>
      <c r="BP161" s="145"/>
      <c r="BQ161" s="145"/>
      <c r="BR161" s="145"/>
      <c r="BS161" s="145"/>
      <c r="BT161" s="145"/>
      <c r="BU161" s="158"/>
      <c r="BV161" s="146"/>
      <c r="BW161" s="145"/>
      <c r="BX161" s="145"/>
      <c r="BY161" s="158">
        <f>SUM(BZ161:CB161)</f>
      </c>
      <c r="BZ161" s="146"/>
      <c r="CA161" s="145"/>
      <c r="CB161" s="145"/>
      <c r="CC161" s="145">
        <f>SUM(CD161:CH161)</f>
      </c>
      <c r="CD161" s="145"/>
      <c r="CE161" s="158"/>
      <c r="CF161" s="145"/>
      <c r="CG161" s="145"/>
      <c r="CH161" s="145"/>
      <c r="CI161" s="158"/>
      <c r="CJ161" s="145"/>
      <c r="CK161" s="145"/>
      <c r="CL161" s="145"/>
      <c r="CM161" s="145"/>
      <c r="CN161" s="145"/>
      <c r="CO161" s="145"/>
      <c r="CP161" s="145"/>
      <c r="CQ161" s="158"/>
      <c r="CR161" s="146"/>
      <c r="CS161" s="158"/>
      <c r="CT161" s="158"/>
      <c r="CU161" s="158">
        <f>SUM(CV161:CV161)</f>
      </c>
      <c r="CV161" s="146"/>
      <c r="CW161" s="145"/>
      <c r="CX161" s="145"/>
      <c r="CY161" s="145">
        <f>SUM(CZ161:DE161)</f>
      </c>
      <c r="CZ161" s="145"/>
      <c r="DA161" s="146"/>
      <c r="DB161" s="146"/>
      <c r="DC161" s="153"/>
      <c r="DD161" s="153"/>
      <c r="DE161" s="145"/>
      <c r="DF161" s="145"/>
      <c r="DG161" s="145"/>
      <c r="DH161" s="158"/>
      <c r="DI161" s="145"/>
      <c r="DJ161" s="158"/>
      <c r="DK161" s="145"/>
      <c r="DL161" s="158"/>
      <c r="DM161" s="145"/>
      <c r="DN161" s="145"/>
      <c r="DO161" s="145"/>
      <c r="DP161" s="158"/>
      <c r="DQ161" s="145"/>
      <c r="DR161" s="145"/>
      <c r="DS161" s="145"/>
      <c r="DT161" s="145"/>
      <c r="DU161" s="145">
        <f>SUM(DV161:EE161)</f>
      </c>
      <c r="DV161" s="145"/>
      <c r="DW161" s="145"/>
      <c r="DX161" s="145"/>
      <c r="DY161" s="145"/>
      <c r="DZ161" s="146"/>
      <c r="EA161" s="158"/>
      <c r="EB161" s="146"/>
      <c r="EC161" s="145"/>
      <c r="ED161" s="145"/>
      <c r="EE161" s="155"/>
      <c r="EF161" s="145">
        <f>SUM(EG161:EH161)</f>
      </c>
      <c r="EG161" s="145"/>
      <c r="EH161" s="146"/>
      <c r="EI161" s="159" cm="1">
        <f t="array" ref="EI161">ROW()-ROW(Run[#Headers])</f>
        <v>155</v>
      </c>
    </row>
    <row r="162" spans="2:139" s="79" customFormat="1" ht="11.25" x14ac:dyDescent="0.2">
      <c r="B162" s="146"/>
      <c r="C162" s="155"/>
      <c r="D162" s="145"/>
      <c r="E162" s="152">
        <f>SUM(F162:AE162)</f>
      </c>
      <c r="F162" s="146"/>
      <c r="G162" s="146"/>
      <c r="H162" s="146"/>
      <c r="I162" s="146"/>
      <c r="J162" s="146"/>
      <c r="K162" s="156"/>
      <c r="L162" s="146"/>
      <c r="M162" s="146"/>
      <c r="N162" s="146"/>
      <c r="O162" s="146"/>
      <c r="P162" s="156"/>
      <c r="Q162" s="146"/>
      <c r="R162" s="146"/>
      <c r="S162" s="146"/>
      <c r="T162" s="156"/>
      <c r="U162" s="146"/>
      <c r="V162" s="146"/>
      <c r="W162" s="146"/>
      <c r="X162" s="146"/>
      <c r="Y162" s="146"/>
      <c r="Z162" s="146"/>
      <c r="AA162" s="146"/>
      <c r="AB162" s="146"/>
      <c r="AC162" s="157"/>
      <c r="AD162" s="157"/>
      <c r="AE162" s="157"/>
      <c r="AF162" s="158">
        <f>SUM(AG162:AJ162)</f>
      </c>
      <c r="AG162" s="146"/>
      <c r="AH162" s="145"/>
      <c r="AI162" s="145"/>
      <c r="AJ162" s="145"/>
      <c r="AK162" s="158">
        <f>SUM(AL162:AW162)</f>
      </c>
      <c r="AL162" s="146"/>
      <c r="AM162" s="145"/>
      <c r="AN162" s="145"/>
      <c r="AO162" s="145"/>
      <c r="AP162" s="145"/>
      <c r="AQ162" s="145"/>
      <c r="AR162" s="145"/>
      <c r="AS162" s="145"/>
      <c r="AT162" s="145"/>
      <c r="AU162" s="145"/>
      <c r="AV162" s="145"/>
      <c r="AW162" s="158"/>
      <c r="AX162" s="145"/>
      <c r="AY162" s="145"/>
      <c r="AZ162" s="145"/>
      <c r="BA162" s="158"/>
      <c r="BB162" s="145"/>
      <c r="BC162" s="145"/>
      <c r="BD162" s="158"/>
      <c r="BE162" s="146"/>
      <c r="BF162" s="145"/>
      <c r="BG162" s="145"/>
      <c r="BH162" s="158">
        <f>SUM(BI162:BK162)</f>
      </c>
      <c r="BI162" s="145"/>
      <c r="BJ162" s="145"/>
      <c r="BK162" s="145"/>
      <c r="BL162" s="145">
        <f>SUM(BM162:BR162)</f>
      </c>
      <c r="BM162" s="145"/>
      <c r="BN162" s="145"/>
      <c r="BO162" s="158"/>
      <c r="BP162" s="145"/>
      <c r="BQ162" s="145"/>
      <c r="BR162" s="145"/>
      <c r="BS162" s="145"/>
      <c r="BT162" s="145"/>
      <c r="BU162" s="158"/>
      <c r="BV162" s="146"/>
      <c r="BW162" s="145"/>
      <c r="BX162" s="145"/>
      <c r="BY162" s="158">
        <f>SUM(BZ162:CB162)</f>
      </c>
      <c r="BZ162" s="146"/>
      <c r="CA162" s="145"/>
      <c r="CB162" s="145"/>
      <c r="CC162" s="145">
        <f>SUM(CD162:CH162)</f>
      </c>
      <c r="CD162" s="145"/>
      <c r="CE162" s="158"/>
      <c r="CF162" s="145"/>
      <c r="CG162" s="145"/>
      <c r="CH162" s="145"/>
      <c r="CI162" s="158"/>
      <c r="CJ162" s="145"/>
      <c r="CK162" s="145"/>
      <c r="CL162" s="145"/>
      <c r="CM162" s="145"/>
      <c r="CN162" s="145"/>
      <c r="CO162" s="145"/>
      <c r="CP162" s="145"/>
      <c r="CQ162" s="158"/>
      <c r="CR162" s="146"/>
      <c r="CS162" s="158"/>
      <c r="CT162" s="158"/>
      <c r="CU162" s="158">
        <f>SUM(CV162:CV162)</f>
      </c>
      <c r="CV162" s="146"/>
      <c r="CW162" s="145"/>
      <c r="CX162" s="145"/>
      <c r="CY162" s="145">
        <f>SUM(CZ162:DE162)</f>
      </c>
      <c r="CZ162" s="145"/>
      <c r="DA162" s="146"/>
      <c r="DB162" s="146"/>
      <c r="DC162" s="153"/>
      <c r="DD162" s="153"/>
      <c r="DE162" s="145"/>
      <c r="DF162" s="145"/>
      <c r="DG162" s="145"/>
      <c r="DH162" s="158"/>
      <c r="DI162" s="145"/>
      <c r="DJ162" s="158"/>
      <c r="DK162" s="145"/>
      <c r="DL162" s="158"/>
      <c r="DM162" s="145"/>
      <c r="DN162" s="145"/>
      <c r="DO162" s="145"/>
      <c r="DP162" s="158"/>
      <c r="DQ162" s="145"/>
      <c r="DR162" s="145"/>
      <c r="DS162" s="145"/>
      <c r="DT162" s="145"/>
      <c r="DU162" s="145">
        <f>SUM(DV162:EE162)</f>
      </c>
      <c r="DV162" s="145"/>
      <c r="DW162" s="145"/>
      <c r="DX162" s="145"/>
      <c r="DY162" s="145"/>
      <c r="DZ162" s="146"/>
      <c r="EA162" s="158"/>
      <c r="EB162" s="146"/>
      <c r="EC162" s="145"/>
      <c r="ED162" s="145"/>
      <c r="EE162" s="155"/>
      <c r="EF162" s="145">
        <f>SUM(EG162:EH162)</f>
      </c>
      <c r="EG162" s="145"/>
      <c r="EH162" s="146"/>
      <c r="EI162" s="159" cm="1">
        <f t="array" ref="EI162">ROW()-ROW(Run[#Headers])</f>
        <v>156</v>
      </c>
    </row>
    <row r="163" spans="2:139" s="79" customFormat="1" ht="11.25" x14ac:dyDescent="0.2">
      <c r="B163" s="146"/>
      <c r="C163" s="155"/>
      <c r="D163" s="145"/>
      <c r="E163" s="152">
        <f>SUM(F163:AE163)</f>
      </c>
      <c r="F163" s="146"/>
      <c r="G163" s="146"/>
      <c r="H163" s="146"/>
      <c r="I163" s="146"/>
      <c r="J163" s="146"/>
      <c r="K163" s="156"/>
      <c r="L163" s="146"/>
      <c r="M163" s="146"/>
      <c r="N163" s="146"/>
      <c r="O163" s="146"/>
      <c r="P163" s="156"/>
      <c r="Q163" s="146"/>
      <c r="R163" s="146"/>
      <c r="S163" s="146"/>
      <c r="T163" s="156"/>
      <c r="U163" s="146"/>
      <c r="V163" s="146"/>
      <c r="W163" s="146"/>
      <c r="X163" s="146"/>
      <c r="Y163" s="146"/>
      <c r="Z163" s="146"/>
      <c r="AA163" s="146"/>
      <c r="AB163" s="146"/>
      <c r="AC163" s="157"/>
      <c r="AD163" s="157"/>
      <c r="AE163" s="157"/>
      <c r="AF163" s="158">
        <f>SUM(AG163:AJ163)</f>
      </c>
      <c r="AG163" s="146"/>
      <c r="AH163" s="145"/>
      <c r="AI163" s="145"/>
      <c r="AJ163" s="145"/>
      <c r="AK163" s="158">
        <f>SUM(AL163:AW163)</f>
      </c>
      <c r="AL163" s="146"/>
      <c r="AM163" s="145"/>
      <c r="AN163" s="145"/>
      <c r="AO163" s="145"/>
      <c r="AP163" s="145"/>
      <c r="AQ163" s="145"/>
      <c r="AR163" s="145"/>
      <c r="AS163" s="145"/>
      <c r="AT163" s="145"/>
      <c r="AU163" s="145"/>
      <c r="AV163" s="145"/>
      <c r="AW163" s="158"/>
      <c r="AX163" s="145"/>
      <c r="AY163" s="145"/>
      <c r="AZ163" s="145"/>
      <c r="BA163" s="158"/>
      <c r="BB163" s="145"/>
      <c r="BC163" s="145"/>
      <c r="BD163" s="158"/>
      <c r="BE163" s="146"/>
      <c r="BF163" s="145"/>
      <c r="BG163" s="145"/>
      <c r="BH163" s="158">
        <f>SUM(BI163:BK163)</f>
      </c>
      <c r="BI163" s="145"/>
      <c r="BJ163" s="145"/>
      <c r="BK163" s="145"/>
      <c r="BL163" s="145">
        <f>SUM(BM163:BR163)</f>
      </c>
      <c r="BM163" s="145"/>
      <c r="BN163" s="145"/>
      <c r="BO163" s="158"/>
      <c r="BP163" s="145"/>
      <c r="BQ163" s="145"/>
      <c r="BR163" s="145"/>
      <c r="BS163" s="145"/>
      <c r="BT163" s="145"/>
      <c r="BU163" s="158"/>
      <c r="BV163" s="146"/>
      <c r="BW163" s="145"/>
      <c r="BX163" s="145"/>
      <c r="BY163" s="158">
        <f>SUM(BZ163:CB163)</f>
      </c>
      <c r="BZ163" s="146"/>
      <c r="CA163" s="145"/>
      <c r="CB163" s="145"/>
      <c r="CC163" s="145">
        <f>SUM(CD163:CH163)</f>
      </c>
      <c r="CD163" s="145"/>
      <c r="CE163" s="158"/>
      <c r="CF163" s="145"/>
      <c r="CG163" s="145"/>
      <c r="CH163" s="145"/>
      <c r="CI163" s="158"/>
      <c r="CJ163" s="145"/>
      <c r="CK163" s="145"/>
      <c r="CL163" s="145"/>
      <c r="CM163" s="145"/>
      <c r="CN163" s="145"/>
      <c r="CO163" s="145"/>
      <c r="CP163" s="145"/>
      <c r="CQ163" s="158"/>
      <c r="CR163" s="146"/>
      <c r="CS163" s="158"/>
      <c r="CT163" s="158"/>
      <c r="CU163" s="158">
        <f>SUM(CV163:CV163)</f>
      </c>
      <c r="CV163" s="146"/>
      <c r="CW163" s="145"/>
      <c r="CX163" s="145"/>
      <c r="CY163" s="145">
        <f>SUM(CZ163:DE163)</f>
      </c>
      <c r="CZ163" s="145"/>
      <c r="DA163" s="146"/>
      <c r="DB163" s="146"/>
      <c r="DC163" s="153"/>
      <c r="DD163" s="153"/>
      <c r="DE163" s="145"/>
      <c r="DF163" s="145"/>
      <c r="DG163" s="145"/>
      <c r="DH163" s="158"/>
      <c r="DI163" s="145"/>
      <c r="DJ163" s="158"/>
      <c r="DK163" s="145"/>
      <c r="DL163" s="158"/>
      <c r="DM163" s="145"/>
      <c r="DN163" s="145"/>
      <c r="DO163" s="145"/>
      <c r="DP163" s="158"/>
      <c r="DQ163" s="145"/>
      <c r="DR163" s="145"/>
      <c r="DS163" s="145"/>
      <c r="DT163" s="145"/>
      <c r="DU163" s="145">
        <f>SUM(DV163:EE163)</f>
      </c>
      <c r="DV163" s="145"/>
      <c r="DW163" s="145"/>
      <c r="DX163" s="145"/>
      <c r="DY163" s="145"/>
      <c r="DZ163" s="146"/>
      <c r="EA163" s="158"/>
      <c r="EB163" s="146"/>
      <c r="EC163" s="145"/>
      <c r="ED163" s="145"/>
      <c r="EE163" s="155"/>
      <c r="EF163" s="145">
        <f>SUM(EG163:EH163)</f>
      </c>
      <c r="EG163" s="145"/>
      <c r="EH163" s="146"/>
      <c r="EI163" s="159" cm="1">
        <f t="array" ref="EI163">ROW()-ROW(Run[#Headers])</f>
        <v>157</v>
      </c>
    </row>
    <row r="164" spans="2:139" s="79" customFormat="1" ht="11.25" x14ac:dyDescent="0.2">
      <c r="B164" s="146"/>
      <c r="C164" s="155"/>
      <c r="D164" s="145"/>
      <c r="E164" s="152">
        <f>SUM(F164:AE164)</f>
      </c>
      <c r="F164" s="146"/>
      <c r="G164" s="146"/>
      <c r="H164" s="146"/>
      <c r="I164" s="146"/>
      <c r="J164" s="146"/>
      <c r="K164" s="156"/>
      <c r="L164" s="146"/>
      <c r="M164" s="146"/>
      <c r="N164" s="146"/>
      <c r="O164" s="146"/>
      <c r="P164" s="156"/>
      <c r="Q164" s="146"/>
      <c r="R164" s="146"/>
      <c r="S164" s="146"/>
      <c r="T164" s="156"/>
      <c r="U164" s="146"/>
      <c r="V164" s="146"/>
      <c r="W164" s="146"/>
      <c r="X164" s="146"/>
      <c r="Y164" s="146"/>
      <c r="Z164" s="146"/>
      <c r="AA164" s="146"/>
      <c r="AB164" s="146"/>
      <c r="AC164" s="157"/>
      <c r="AD164" s="157"/>
      <c r="AE164" s="157"/>
      <c r="AF164" s="158">
        <f>SUM(AG164:AJ164)</f>
      </c>
      <c r="AG164" s="146"/>
      <c r="AH164" s="145"/>
      <c r="AI164" s="145"/>
      <c r="AJ164" s="145"/>
      <c r="AK164" s="158">
        <f>SUM(AL164:AW164)</f>
      </c>
      <c r="AL164" s="146"/>
      <c r="AM164" s="145"/>
      <c r="AN164" s="145"/>
      <c r="AO164" s="145"/>
      <c r="AP164" s="145"/>
      <c r="AQ164" s="145"/>
      <c r="AR164" s="145"/>
      <c r="AS164" s="145"/>
      <c r="AT164" s="145"/>
      <c r="AU164" s="145"/>
      <c r="AV164" s="145"/>
      <c r="AW164" s="158"/>
      <c r="AX164" s="145"/>
      <c r="AY164" s="145"/>
      <c r="AZ164" s="145"/>
      <c r="BA164" s="158"/>
      <c r="BB164" s="145"/>
      <c r="BC164" s="145"/>
      <c r="BD164" s="158"/>
      <c r="BE164" s="146"/>
      <c r="BF164" s="145"/>
      <c r="BG164" s="145"/>
      <c r="BH164" s="158">
        <f>SUM(BI164:BK164)</f>
      </c>
      <c r="BI164" s="145"/>
      <c r="BJ164" s="145"/>
      <c r="BK164" s="145"/>
      <c r="BL164" s="145">
        <f>SUM(BM164:BR164)</f>
      </c>
      <c r="BM164" s="145"/>
      <c r="BN164" s="145"/>
      <c r="BO164" s="158"/>
      <c r="BP164" s="145"/>
      <c r="BQ164" s="145"/>
      <c r="BR164" s="145"/>
      <c r="BS164" s="145"/>
      <c r="BT164" s="145"/>
      <c r="BU164" s="158"/>
      <c r="BV164" s="146"/>
      <c r="BW164" s="145"/>
      <c r="BX164" s="145"/>
      <c r="BY164" s="158">
        <f>SUM(BZ164:CB164)</f>
      </c>
      <c r="BZ164" s="146"/>
      <c r="CA164" s="145"/>
      <c r="CB164" s="145"/>
      <c r="CC164" s="145">
        <f>SUM(CD164:CH164)</f>
      </c>
      <c r="CD164" s="145"/>
      <c r="CE164" s="158"/>
      <c r="CF164" s="145"/>
      <c r="CG164" s="145"/>
      <c r="CH164" s="145"/>
      <c r="CI164" s="158"/>
      <c r="CJ164" s="145"/>
      <c r="CK164" s="145"/>
      <c r="CL164" s="145"/>
      <c r="CM164" s="145"/>
      <c r="CN164" s="145"/>
      <c r="CO164" s="145"/>
      <c r="CP164" s="145"/>
      <c r="CQ164" s="158"/>
      <c r="CR164" s="146"/>
      <c r="CS164" s="158"/>
      <c r="CT164" s="158"/>
      <c r="CU164" s="158">
        <f>SUM(CV164:CV164)</f>
      </c>
      <c r="CV164" s="146"/>
      <c r="CW164" s="145"/>
      <c r="CX164" s="145"/>
      <c r="CY164" s="145">
        <f>SUM(CZ164:DE164)</f>
      </c>
      <c r="CZ164" s="145"/>
      <c r="DA164" s="146"/>
      <c r="DB164" s="146"/>
      <c r="DC164" s="153"/>
      <c r="DD164" s="153"/>
      <c r="DE164" s="145"/>
      <c r="DF164" s="145"/>
      <c r="DG164" s="145"/>
      <c r="DH164" s="158"/>
      <c r="DI164" s="145"/>
      <c r="DJ164" s="158"/>
      <c r="DK164" s="145"/>
      <c r="DL164" s="158"/>
      <c r="DM164" s="145"/>
      <c r="DN164" s="145"/>
      <c r="DO164" s="145"/>
      <c r="DP164" s="158"/>
      <c r="DQ164" s="145"/>
      <c r="DR164" s="145"/>
      <c r="DS164" s="145"/>
      <c r="DT164" s="145"/>
      <c r="DU164" s="145">
        <f>SUM(DV164:EE164)</f>
      </c>
      <c r="DV164" s="145"/>
      <c r="DW164" s="145"/>
      <c r="DX164" s="145"/>
      <c r="DY164" s="145"/>
      <c r="DZ164" s="146"/>
      <c r="EA164" s="158"/>
      <c r="EB164" s="146"/>
      <c r="EC164" s="145"/>
      <c r="ED164" s="145"/>
      <c r="EE164" s="155"/>
      <c r="EF164" s="145">
        <f>SUM(EG164:EH164)</f>
      </c>
      <c r="EG164" s="145"/>
      <c r="EH164" s="146"/>
      <c r="EI164" s="159" cm="1">
        <f t="array" ref="EI164">ROW()-ROW(Run[#Headers])</f>
        <v>158</v>
      </c>
    </row>
    <row r="165" spans="2:139" s="79" customFormat="1" ht="11.25" x14ac:dyDescent="0.2">
      <c r="B165" s="146"/>
      <c r="C165" s="155"/>
      <c r="D165" s="145"/>
      <c r="E165" s="152">
        <f>SUM(F165:AE165)</f>
      </c>
      <c r="F165" s="146"/>
      <c r="G165" s="146"/>
      <c r="H165" s="146"/>
      <c r="I165" s="146"/>
      <c r="J165" s="146"/>
      <c r="K165" s="156"/>
      <c r="L165" s="146"/>
      <c r="M165" s="146"/>
      <c r="N165" s="146"/>
      <c r="O165" s="146"/>
      <c r="P165" s="156"/>
      <c r="Q165" s="146"/>
      <c r="R165" s="146"/>
      <c r="S165" s="146"/>
      <c r="T165" s="156"/>
      <c r="U165" s="146"/>
      <c r="V165" s="146"/>
      <c r="W165" s="146"/>
      <c r="X165" s="146"/>
      <c r="Y165" s="146"/>
      <c r="Z165" s="146"/>
      <c r="AA165" s="146"/>
      <c r="AB165" s="146"/>
      <c r="AC165" s="157"/>
      <c r="AD165" s="157"/>
      <c r="AE165" s="157"/>
      <c r="AF165" s="158">
        <f>SUM(AG165:AJ165)</f>
      </c>
      <c r="AG165" s="146"/>
      <c r="AH165" s="145"/>
      <c r="AI165" s="145"/>
      <c r="AJ165" s="145"/>
      <c r="AK165" s="158">
        <f>SUM(AL165:AW165)</f>
      </c>
      <c r="AL165" s="146"/>
      <c r="AM165" s="145"/>
      <c r="AN165" s="145"/>
      <c r="AO165" s="145"/>
      <c r="AP165" s="145"/>
      <c r="AQ165" s="145"/>
      <c r="AR165" s="145"/>
      <c r="AS165" s="145"/>
      <c r="AT165" s="145"/>
      <c r="AU165" s="145"/>
      <c r="AV165" s="145"/>
      <c r="AW165" s="158"/>
      <c r="AX165" s="145"/>
      <c r="AY165" s="145"/>
      <c r="AZ165" s="145"/>
      <c r="BA165" s="158"/>
      <c r="BB165" s="145"/>
      <c r="BC165" s="145"/>
      <c r="BD165" s="158"/>
      <c r="BE165" s="146"/>
      <c r="BF165" s="145"/>
      <c r="BG165" s="145"/>
      <c r="BH165" s="158">
        <f>SUM(BI165:BK165)</f>
      </c>
      <c r="BI165" s="145"/>
      <c r="BJ165" s="145"/>
      <c r="BK165" s="145"/>
      <c r="BL165" s="145">
        <f>SUM(BM165:BR165)</f>
      </c>
      <c r="BM165" s="145"/>
      <c r="BN165" s="145"/>
      <c r="BO165" s="158"/>
      <c r="BP165" s="145"/>
      <c r="BQ165" s="145"/>
      <c r="BR165" s="145"/>
      <c r="BS165" s="145"/>
      <c r="BT165" s="145"/>
      <c r="BU165" s="158"/>
      <c r="BV165" s="146"/>
      <c r="BW165" s="145"/>
      <c r="BX165" s="145"/>
      <c r="BY165" s="158">
        <f>SUM(BZ165:CB165)</f>
      </c>
      <c r="BZ165" s="146"/>
      <c r="CA165" s="145"/>
      <c r="CB165" s="145"/>
      <c r="CC165" s="145">
        <f>SUM(CD165:CH165)</f>
      </c>
      <c r="CD165" s="145"/>
      <c r="CE165" s="158"/>
      <c r="CF165" s="145"/>
      <c r="CG165" s="145"/>
      <c r="CH165" s="145"/>
      <c r="CI165" s="158"/>
      <c r="CJ165" s="145"/>
      <c r="CK165" s="145"/>
      <c r="CL165" s="145"/>
      <c r="CM165" s="145"/>
      <c r="CN165" s="145"/>
      <c r="CO165" s="145"/>
      <c r="CP165" s="145"/>
      <c r="CQ165" s="158"/>
      <c r="CR165" s="146"/>
      <c r="CS165" s="158"/>
      <c r="CT165" s="158"/>
      <c r="CU165" s="158">
        <f>SUM(CV165:CV165)</f>
      </c>
      <c r="CV165" s="146"/>
      <c r="CW165" s="145"/>
      <c r="CX165" s="145"/>
      <c r="CY165" s="145">
        <f>SUM(CZ165:DE165)</f>
      </c>
      <c r="CZ165" s="145"/>
      <c r="DA165" s="146"/>
      <c r="DB165" s="146"/>
      <c r="DC165" s="153"/>
      <c r="DD165" s="153"/>
      <c r="DE165" s="145"/>
      <c r="DF165" s="145"/>
      <c r="DG165" s="145"/>
      <c r="DH165" s="158"/>
      <c r="DI165" s="145"/>
      <c r="DJ165" s="158"/>
      <c r="DK165" s="145"/>
      <c r="DL165" s="158"/>
      <c r="DM165" s="145"/>
      <c r="DN165" s="145"/>
      <c r="DO165" s="145"/>
      <c r="DP165" s="158"/>
      <c r="DQ165" s="145"/>
      <c r="DR165" s="145"/>
      <c r="DS165" s="145"/>
      <c r="DT165" s="145"/>
      <c r="DU165" s="145">
        <f>SUM(DV165:EE165)</f>
      </c>
      <c r="DV165" s="145"/>
      <c r="DW165" s="145"/>
      <c r="DX165" s="145"/>
      <c r="DY165" s="145"/>
      <c r="DZ165" s="146"/>
      <c r="EA165" s="158"/>
      <c r="EB165" s="146"/>
      <c r="EC165" s="145"/>
      <c r="ED165" s="145"/>
      <c r="EE165" s="155"/>
      <c r="EF165" s="145">
        <f>SUM(EG165:EH165)</f>
      </c>
      <c r="EG165" s="145"/>
      <c r="EH165" s="146"/>
      <c r="EI165" s="159" cm="1">
        <f t="array" ref="EI165">ROW()-ROW(Run[#Headers])</f>
        <v>159</v>
      </c>
    </row>
    <row r="166" spans="2:139" s="79" customFormat="1" ht="11.25" x14ac:dyDescent="0.2">
      <c r="B166" s="146"/>
      <c r="C166" s="155"/>
      <c r="D166" s="145"/>
      <c r="E166" s="152">
        <f>SUM(F166:AE166)</f>
      </c>
      <c r="F166" s="146"/>
      <c r="G166" s="146"/>
      <c r="H166" s="146"/>
      <c r="I166" s="146"/>
      <c r="J166" s="146"/>
      <c r="K166" s="156"/>
      <c r="L166" s="146"/>
      <c r="M166" s="146"/>
      <c r="N166" s="146"/>
      <c r="O166" s="146"/>
      <c r="P166" s="156"/>
      <c r="Q166" s="146"/>
      <c r="R166" s="146"/>
      <c r="S166" s="146"/>
      <c r="T166" s="156"/>
      <c r="U166" s="146"/>
      <c r="V166" s="146"/>
      <c r="W166" s="146"/>
      <c r="X166" s="146"/>
      <c r="Y166" s="146"/>
      <c r="Z166" s="146"/>
      <c r="AA166" s="146"/>
      <c r="AB166" s="146"/>
      <c r="AC166" s="157"/>
      <c r="AD166" s="157"/>
      <c r="AE166" s="157"/>
      <c r="AF166" s="158">
        <f>SUM(AG166:AJ166)</f>
      </c>
      <c r="AG166" s="146"/>
      <c r="AH166" s="145"/>
      <c r="AI166" s="145"/>
      <c r="AJ166" s="145"/>
      <c r="AK166" s="158">
        <f>SUM(AL166:AW166)</f>
      </c>
      <c r="AL166" s="146"/>
      <c r="AM166" s="145"/>
      <c r="AN166" s="145"/>
      <c r="AO166" s="145"/>
      <c r="AP166" s="145"/>
      <c r="AQ166" s="145"/>
      <c r="AR166" s="145"/>
      <c r="AS166" s="145"/>
      <c r="AT166" s="145"/>
      <c r="AU166" s="145"/>
      <c r="AV166" s="145"/>
      <c r="AW166" s="158"/>
      <c r="AX166" s="145"/>
      <c r="AY166" s="145"/>
      <c r="AZ166" s="145"/>
      <c r="BA166" s="158"/>
      <c r="BB166" s="145"/>
      <c r="BC166" s="145"/>
      <c r="BD166" s="158"/>
      <c r="BE166" s="146"/>
      <c r="BF166" s="145"/>
      <c r="BG166" s="145"/>
      <c r="BH166" s="158">
        <f>SUM(BI166:BK166)</f>
      </c>
      <c r="BI166" s="145"/>
      <c r="BJ166" s="145"/>
      <c r="BK166" s="145"/>
      <c r="BL166" s="145">
        <f>SUM(BM166:BR166)</f>
      </c>
      <c r="BM166" s="145"/>
      <c r="BN166" s="145"/>
      <c r="BO166" s="158"/>
      <c r="BP166" s="145"/>
      <c r="BQ166" s="145"/>
      <c r="BR166" s="145"/>
      <c r="BS166" s="145"/>
      <c r="BT166" s="145"/>
      <c r="BU166" s="158"/>
      <c r="BV166" s="146"/>
      <c r="BW166" s="145"/>
      <c r="BX166" s="145"/>
      <c r="BY166" s="158">
        <f>SUM(BZ166:CB166)</f>
      </c>
      <c r="BZ166" s="146"/>
      <c r="CA166" s="145"/>
      <c r="CB166" s="145"/>
      <c r="CC166" s="145">
        <f>SUM(CD166:CH166)</f>
      </c>
      <c r="CD166" s="145"/>
      <c r="CE166" s="158"/>
      <c r="CF166" s="145"/>
      <c r="CG166" s="145"/>
      <c r="CH166" s="145"/>
      <c r="CI166" s="158"/>
      <c r="CJ166" s="145"/>
      <c r="CK166" s="145"/>
      <c r="CL166" s="145"/>
      <c r="CM166" s="145"/>
      <c r="CN166" s="145"/>
      <c r="CO166" s="145"/>
      <c r="CP166" s="145"/>
      <c r="CQ166" s="158"/>
      <c r="CR166" s="146"/>
      <c r="CS166" s="158"/>
      <c r="CT166" s="158"/>
      <c r="CU166" s="158">
        <f>SUM(CV166:CV166)</f>
      </c>
      <c r="CV166" s="146"/>
      <c r="CW166" s="145"/>
      <c r="CX166" s="145"/>
      <c r="CY166" s="145">
        <f>SUM(CZ166:DE166)</f>
      </c>
      <c r="CZ166" s="145"/>
      <c r="DA166" s="146"/>
      <c r="DB166" s="146"/>
      <c r="DC166" s="153"/>
      <c r="DD166" s="153"/>
      <c r="DE166" s="145"/>
      <c r="DF166" s="145"/>
      <c r="DG166" s="145"/>
      <c r="DH166" s="158"/>
      <c r="DI166" s="145"/>
      <c r="DJ166" s="158"/>
      <c r="DK166" s="145"/>
      <c r="DL166" s="158"/>
      <c r="DM166" s="145"/>
      <c r="DN166" s="145"/>
      <c r="DO166" s="145"/>
      <c r="DP166" s="158"/>
      <c r="DQ166" s="145"/>
      <c r="DR166" s="145"/>
      <c r="DS166" s="145"/>
      <c r="DT166" s="145"/>
      <c r="DU166" s="145">
        <f>SUM(DV166:EE166)</f>
      </c>
      <c r="DV166" s="145"/>
      <c r="DW166" s="145"/>
      <c r="DX166" s="145"/>
      <c r="DY166" s="145"/>
      <c r="DZ166" s="146"/>
      <c r="EA166" s="158"/>
      <c r="EB166" s="146"/>
      <c r="EC166" s="145"/>
      <c r="ED166" s="145"/>
      <c r="EE166" s="155"/>
      <c r="EF166" s="145">
        <f>SUM(EG166:EH166)</f>
      </c>
      <c r="EG166" s="145"/>
      <c r="EH166" s="146"/>
      <c r="EI166" s="159" cm="1">
        <f t="array" ref="EI166">ROW()-ROW(Run[#Headers])</f>
        <v>160</v>
      </c>
    </row>
    <row r="167" spans="2:139" s="79" customFormat="1" ht="11.25" x14ac:dyDescent="0.2">
      <c r="B167" s="146"/>
      <c r="C167" s="155"/>
      <c r="D167" s="145"/>
      <c r="E167" s="152">
        <f>SUM(F167:AE167)</f>
      </c>
      <c r="F167" s="146"/>
      <c r="G167" s="146"/>
      <c r="H167" s="146"/>
      <c r="I167" s="146"/>
      <c r="J167" s="146"/>
      <c r="K167" s="156"/>
      <c r="L167" s="146"/>
      <c r="M167" s="146"/>
      <c r="N167" s="146"/>
      <c r="O167" s="146"/>
      <c r="P167" s="156"/>
      <c r="Q167" s="146"/>
      <c r="R167" s="146"/>
      <c r="S167" s="146"/>
      <c r="T167" s="156"/>
      <c r="U167" s="146"/>
      <c r="V167" s="146"/>
      <c r="W167" s="146"/>
      <c r="X167" s="146"/>
      <c r="Y167" s="146"/>
      <c r="Z167" s="146"/>
      <c r="AA167" s="146"/>
      <c r="AB167" s="146"/>
      <c r="AC167" s="157"/>
      <c r="AD167" s="157"/>
      <c r="AE167" s="157"/>
      <c r="AF167" s="158">
        <f>SUM(AG167:AJ167)</f>
      </c>
      <c r="AG167" s="146"/>
      <c r="AH167" s="145"/>
      <c r="AI167" s="145"/>
      <c r="AJ167" s="145"/>
      <c r="AK167" s="158">
        <f>SUM(AL167:AW167)</f>
      </c>
      <c r="AL167" s="146"/>
      <c r="AM167" s="145"/>
      <c r="AN167" s="145"/>
      <c r="AO167" s="145"/>
      <c r="AP167" s="145"/>
      <c r="AQ167" s="145"/>
      <c r="AR167" s="145"/>
      <c r="AS167" s="145"/>
      <c r="AT167" s="145"/>
      <c r="AU167" s="145"/>
      <c r="AV167" s="145"/>
      <c r="AW167" s="158"/>
      <c r="AX167" s="145"/>
      <c r="AY167" s="145"/>
      <c r="AZ167" s="145"/>
      <c r="BA167" s="158"/>
      <c r="BB167" s="145"/>
      <c r="BC167" s="145"/>
      <c r="BD167" s="158"/>
      <c r="BE167" s="146"/>
      <c r="BF167" s="145"/>
      <c r="BG167" s="145"/>
      <c r="BH167" s="158">
        <f>SUM(BI167:BK167)</f>
      </c>
      <c r="BI167" s="145"/>
      <c r="BJ167" s="145"/>
      <c r="BK167" s="145"/>
      <c r="BL167" s="145">
        <f>SUM(BM167:BR167)</f>
      </c>
      <c r="BM167" s="145"/>
      <c r="BN167" s="145"/>
      <c r="BO167" s="158"/>
      <c r="BP167" s="145"/>
      <c r="BQ167" s="145"/>
      <c r="BR167" s="145"/>
      <c r="BS167" s="145"/>
      <c r="BT167" s="145"/>
      <c r="BU167" s="158"/>
      <c r="BV167" s="146"/>
      <c r="BW167" s="145"/>
      <c r="BX167" s="145"/>
      <c r="BY167" s="158">
        <f>SUM(BZ167:CB167)</f>
      </c>
      <c r="BZ167" s="146"/>
      <c r="CA167" s="145"/>
      <c r="CB167" s="145"/>
      <c r="CC167" s="145">
        <f>SUM(CD167:CH167)</f>
      </c>
      <c r="CD167" s="145"/>
      <c r="CE167" s="158"/>
      <c r="CF167" s="145"/>
      <c r="CG167" s="145"/>
      <c r="CH167" s="145"/>
      <c r="CI167" s="158"/>
      <c r="CJ167" s="145"/>
      <c r="CK167" s="145"/>
      <c r="CL167" s="145"/>
      <c r="CM167" s="145"/>
      <c r="CN167" s="145"/>
      <c r="CO167" s="145"/>
      <c r="CP167" s="145"/>
      <c r="CQ167" s="158"/>
      <c r="CR167" s="146"/>
      <c r="CS167" s="158"/>
      <c r="CT167" s="158"/>
      <c r="CU167" s="158">
        <f>SUM(CV167:CV167)</f>
      </c>
      <c r="CV167" s="146"/>
      <c r="CW167" s="145"/>
      <c r="CX167" s="145"/>
      <c r="CY167" s="145">
        <f>SUM(CZ167:DE167)</f>
      </c>
      <c r="CZ167" s="145"/>
      <c r="DA167" s="146"/>
      <c r="DB167" s="146"/>
      <c r="DC167" s="153"/>
      <c r="DD167" s="153"/>
      <c r="DE167" s="145"/>
      <c r="DF167" s="145"/>
      <c r="DG167" s="145"/>
      <c r="DH167" s="158"/>
      <c r="DI167" s="145"/>
      <c r="DJ167" s="158"/>
      <c r="DK167" s="145"/>
      <c r="DL167" s="158"/>
      <c r="DM167" s="145"/>
      <c r="DN167" s="145"/>
      <c r="DO167" s="145"/>
      <c r="DP167" s="158"/>
      <c r="DQ167" s="145"/>
      <c r="DR167" s="145"/>
      <c r="DS167" s="145"/>
      <c r="DT167" s="145"/>
      <c r="DU167" s="145">
        <f>SUM(DV167:EE167)</f>
      </c>
      <c r="DV167" s="145"/>
      <c r="DW167" s="145"/>
      <c r="DX167" s="145"/>
      <c r="DY167" s="145"/>
      <c r="DZ167" s="146"/>
      <c r="EA167" s="158"/>
      <c r="EB167" s="146"/>
      <c r="EC167" s="145"/>
      <c r="ED167" s="145"/>
      <c r="EE167" s="155"/>
      <c r="EF167" s="145">
        <f>SUM(EG167:EH167)</f>
      </c>
      <c r="EG167" s="145"/>
      <c r="EH167" s="146"/>
      <c r="EI167" s="159" cm="1">
        <f t="array" ref="EI167">ROW()-ROW(Run[#Headers])</f>
        <v>161</v>
      </c>
    </row>
    <row r="168" spans="2:139" s="79" customFormat="1" ht="11.25" x14ac:dyDescent="0.2">
      <c r="B168" s="146"/>
      <c r="C168" s="155"/>
      <c r="D168" s="145"/>
      <c r="E168" s="152">
        <f>SUM(F168:AE168)</f>
      </c>
      <c r="F168" s="146"/>
      <c r="G168" s="146"/>
      <c r="H168" s="146"/>
      <c r="I168" s="146"/>
      <c r="J168" s="146"/>
      <c r="K168" s="156"/>
      <c r="L168" s="146"/>
      <c r="M168" s="146"/>
      <c r="N168" s="146"/>
      <c r="O168" s="146"/>
      <c r="P168" s="156"/>
      <c r="Q168" s="146"/>
      <c r="R168" s="146"/>
      <c r="S168" s="146"/>
      <c r="T168" s="156"/>
      <c r="U168" s="146"/>
      <c r="V168" s="146"/>
      <c r="W168" s="146"/>
      <c r="X168" s="146"/>
      <c r="Y168" s="146"/>
      <c r="Z168" s="146"/>
      <c r="AA168" s="146"/>
      <c r="AB168" s="146"/>
      <c r="AC168" s="157"/>
      <c r="AD168" s="157"/>
      <c r="AE168" s="157"/>
      <c r="AF168" s="158">
        <f>SUM(AG168:AJ168)</f>
      </c>
      <c r="AG168" s="146"/>
      <c r="AH168" s="145"/>
      <c r="AI168" s="145"/>
      <c r="AJ168" s="145"/>
      <c r="AK168" s="158">
        <f>SUM(AL168:AW168)</f>
      </c>
      <c r="AL168" s="146"/>
      <c r="AM168" s="145"/>
      <c r="AN168" s="145"/>
      <c r="AO168" s="145"/>
      <c r="AP168" s="145"/>
      <c r="AQ168" s="145"/>
      <c r="AR168" s="145"/>
      <c r="AS168" s="145"/>
      <c r="AT168" s="145"/>
      <c r="AU168" s="145"/>
      <c r="AV168" s="145"/>
      <c r="AW168" s="158"/>
      <c r="AX168" s="145"/>
      <c r="AY168" s="145"/>
      <c r="AZ168" s="145"/>
      <c r="BA168" s="158"/>
      <c r="BB168" s="145"/>
      <c r="BC168" s="145"/>
      <c r="BD168" s="158"/>
      <c r="BE168" s="146"/>
      <c r="BF168" s="145"/>
      <c r="BG168" s="145"/>
      <c r="BH168" s="158">
        <f>SUM(BI168:BK168)</f>
      </c>
      <c r="BI168" s="145"/>
      <c r="BJ168" s="145"/>
      <c r="BK168" s="145"/>
      <c r="BL168" s="145">
        <f>SUM(BM168:BR168)</f>
      </c>
      <c r="BM168" s="145"/>
      <c r="BN168" s="145"/>
      <c r="BO168" s="158"/>
      <c r="BP168" s="145"/>
      <c r="BQ168" s="145"/>
      <c r="BR168" s="145"/>
      <c r="BS168" s="145"/>
      <c r="BT168" s="145"/>
      <c r="BU168" s="158"/>
      <c r="BV168" s="146"/>
      <c r="BW168" s="145"/>
      <c r="BX168" s="145"/>
      <c r="BY168" s="158">
        <f>SUM(BZ168:CB168)</f>
      </c>
      <c r="BZ168" s="146"/>
      <c r="CA168" s="145"/>
      <c r="CB168" s="145"/>
      <c r="CC168" s="145">
        <f>SUM(CD168:CH168)</f>
      </c>
      <c r="CD168" s="145"/>
      <c r="CE168" s="158"/>
      <c r="CF168" s="145"/>
      <c r="CG168" s="145"/>
      <c r="CH168" s="145"/>
      <c r="CI168" s="158"/>
      <c r="CJ168" s="145"/>
      <c r="CK168" s="145"/>
      <c r="CL168" s="145"/>
      <c r="CM168" s="145"/>
      <c r="CN168" s="145"/>
      <c r="CO168" s="145"/>
      <c r="CP168" s="145"/>
      <c r="CQ168" s="158"/>
      <c r="CR168" s="146"/>
      <c r="CS168" s="158"/>
      <c r="CT168" s="158"/>
      <c r="CU168" s="158">
        <f>SUM(CV168:CV168)</f>
      </c>
      <c r="CV168" s="146"/>
      <c r="CW168" s="145"/>
      <c r="CX168" s="145"/>
      <c r="CY168" s="145">
        <f>SUM(CZ168:DE168)</f>
      </c>
      <c r="CZ168" s="145"/>
      <c r="DA168" s="146"/>
      <c r="DB168" s="146"/>
      <c r="DC168" s="153"/>
      <c r="DD168" s="153"/>
      <c r="DE168" s="145"/>
      <c r="DF168" s="145"/>
      <c r="DG168" s="145"/>
      <c r="DH168" s="158"/>
      <c r="DI168" s="145"/>
      <c r="DJ168" s="158"/>
      <c r="DK168" s="145"/>
      <c r="DL168" s="158"/>
      <c r="DM168" s="145"/>
      <c r="DN168" s="145"/>
      <c r="DO168" s="145"/>
      <c r="DP168" s="158"/>
      <c r="DQ168" s="145"/>
      <c r="DR168" s="145"/>
      <c r="DS168" s="145"/>
      <c r="DT168" s="145"/>
      <c r="DU168" s="145">
        <f>SUM(DV168:EE168)</f>
      </c>
      <c r="DV168" s="145"/>
      <c r="DW168" s="145"/>
      <c r="DX168" s="145"/>
      <c r="DY168" s="145"/>
      <c r="DZ168" s="146"/>
      <c r="EA168" s="158"/>
      <c r="EB168" s="146"/>
      <c r="EC168" s="145"/>
      <c r="ED168" s="145"/>
      <c r="EE168" s="155"/>
      <c r="EF168" s="145">
        <f>SUM(EG168:EH168)</f>
      </c>
      <c r="EG168" s="145"/>
      <c r="EH168" s="146"/>
      <c r="EI168" s="159" cm="1">
        <f t="array" ref="EI168">ROW()-ROW(Run[#Headers])</f>
        <v>162</v>
      </c>
    </row>
    <row r="169" spans="2:139" s="79" customFormat="1" ht="11.25" x14ac:dyDescent="0.2">
      <c r="B169" s="146"/>
      <c r="C169" s="155"/>
      <c r="D169" s="145"/>
      <c r="E169" s="152">
        <f>SUM(F169:AE169)</f>
      </c>
      <c r="F169" s="146"/>
      <c r="G169" s="146"/>
      <c r="H169" s="146"/>
      <c r="I169" s="146"/>
      <c r="J169" s="146"/>
      <c r="K169" s="156"/>
      <c r="L169" s="146"/>
      <c r="M169" s="146"/>
      <c r="N169" s="146"/>
      <c r="O169" s="146"/>
      <c r="P169" s="156"/>
      <c r="Q169" s="146"/>
      <c r="R169" s="146"/>
      <c r="S169" s="146"/>
      <c r="T169" s="156"/>
      <c r="U169" s="146"/>
      <c r="V169" s="146"/>
      <c r="W169" s="146"/>
      <c r="X169" s="146"/>
      <c r="Y169" s="146"/>
      <c r="Z169" s="146"/>
      <c r="AA169" s="146"/>
      <c r="AB169" s="146"/>
      <c r="AC169" s="157"/>
      <c r="AD169" s="157"/>
      <c r="AE169" s="157"/>
      <c r="AF169" s="158">
        <f>SUM(AG169:AJ169)</f>
      </c>
      <c r="AG169" s="146"/>
      <c r="AH169" s="145"/>
      <c r="AI169" s="145"/>
      <c r="AJ169" s="145"/>
      <c r="AK169" s="158">
        <f>SUM(AL169:AW169)</f>
      </c>
      <c r="AL169" s="146"/>
      <c r="AM169" s="145"/>
      <c r="AN169" s="145"/>
      <c r="AO169" s="145"/>
      <c r="AP169" s="145"/>
      <c r="AQ169" s="145"/>
      <c r="AR169" s="145"/>
      <c r="AS169" s="145"/>
      <c r="AT169" s="145"/>
      <c r="AU169" s="145"/>
      <c r="AV169" s="145"/>
      <c r="AW169" s="158"/>
      <c r="AX169" s="145"/>
      <c r="AY169" s="145"/>
      <c r="AZ169" s="145"/>
      <c r="BA169" s="158"/>
      <c r="BB169" s="145"/>
      <c r="BC169" s="145"/>
      <c r="BD169" s="158"/>
      <c r="BE169" s="146"/>
      <c r="BF169" s="145"/>
      <c r="BG169" s="145"/>
      <c r="BH169" s="158">
        <f>SUM(BI169:BK169)</f>
      </c>
      <c r="BI169" s="145"/>
      <c r="BJ169" s="145"/>
      <c r="BK169" s="145"/>
      <c r="BL169" s="145">
        <f>SUM(BM169:BR169)</f>
      </c>
      <c r="BM169" s="145"/>
      <c r="BN169" s="145"/>
      <c r="BO169" s="158"/>
      <c r="BP169" s="145"/>
      <c r="BQ169" s="145"/>
      <c r="BR169" s="145"/>
      <c r="BS169" s="145"/>
      <c r="BT169" s="145"/>
      <c r="BU169" s="158"/>
      <c r="BV169" s="146"/>
      <c r="BW169" s="145"/>
      <c r="BX169" s="145"/>
      <c r="BY169" s="158">
        <f>SUM(BZ169:CB169)</f>
      </c>
      <c r="BZ169" s="146"/>
      <c r="CA169" s="145"/>
      <c r="CB169" s="145"/>
      <c r="CC169" s="145">
        <f>SUM(CD169:CH169)</f>
      </c>
      <c r="CD169" s="145"/>
      <c r="CE169" s="158"/>
      <c r="CF169" s="145"/>
      <c r="CG169" s="145"/>
      <c r="CH169" s="145"/>
      <c r="CI169" s="158"/>
      <c r="CJ169" s="145"/>
      <c r="CK169" s="145"/>
      <c r="CL169" s="145"/>
      <c r="CM169" s="145"/>
      <c r="CN169" s="145"/>
      <c r="CO169" s="145"/>
      <c r="CP169" s="145"/>
      <c r="CQ169" s="158"/>
      <c r="CR169" s="146"/>
      <c r="CS169" s="158"/>
      <c r="CT169" s="158"/>
      <c r="CU169" s="158">
        <f>SUM(CV169:CV169)</f>
      </c>
      <c r="CV169" s="146"/>
      <c r="CW169" s="145"/>
      <c r="CX169" s="145"/>
      <c r="CY169" s="145">
        <f>SUM(CZ169:DE169)</f>
      </c>
      <c r="CZ169" s="145"/>
      <c r="DA169" s="146"/>
      <c r="DB169" s="146"/>
      <c r="DC169" s="153"/>
      <c r="DD169" s="153"/>
      <c r="DE169" s="145"/>
      <c r="DF169" s="145"/>
      <c r="DG169" s="145"/>
      <c r="DH169" s="158"/>
      <c r="DI169" s="145"/>
      <c r="DJ169" s="158"/>
      <c r="DK169" s="145"/>
      <c r="DL169" s="158"/>
      <c r="DM169" s="145"/>
      <c r="DN169" s="145"/>
      <c r="DO169" s="145"/>
      <c r="DP169" s="158"/>
      <c r="DQ169" s="145"/>
      <c r="DR169" s="145"/>
      <c r="DS169" s="145"/>
      <c r="DT169" s="145"/>
      <c r="DU169" s="145">
        <f>SUM(DV169:EE169)</f>
      </c>
      <c r="DV169" s="145"/>
      <c r="DW169" s="145"/>
      <c r="DX169" s="145"/>
      <c r="DY169" s="145"/>
      <c r="DZ169" s="146"/>
      <c r="EA169" s="158"/>
      <c r="EB169" s="146"/>
      <c r="EC169" s="145"/>
      <c r="ED169" s="145"/>
      <c r="EE169" s="155"/>
      <c r="EF169" s="145">
        <f>SUM(EG169:EH169)</f>
      </c>
      <c r="EG169" s="145"/>
      <c r="EH169" s="146"/>
      <c r="EI169" s="159" cm="1">
        <f t="array" ref="EI169">ROW()-ROW(Run[#Headers])</f>
        <v>163</v>
      </c>
    </row>
    <row r="170" spans="2:139" s="79" customFormat="1" ht="11.25" x14ac:dyDescent="0.2">
      <c r="B170" s="146"/>
      <c r="C170" s="155"/>
      <c r="D170" s="145"/>
      <c r="E170" s="152">
        <f>SUM(F170:AE170)</f>
      </c>
      <c r="F170" s="146"/>
      <c r="G170" s="146"/>
      <c r="H170" s="146"/>
      <c r="I170" s="146"/>
      <c r="J170" s="146"/>
      <c r="K170" s="156"/>
      <c r="L170" s="146"/>
      <c r="M170" s="146"/>
      <c r="N170" s="146"/>
      <c r="O170" s="146"/>
      <c r="P170" s="156"/>
      <c r="Q170" s="146"/>
      <c r="R170" s="146"/>
      <c r="S170" s="146"/>
      <c r="T170" s="156"/>
      <c r="U170" s="146"/>
      <c r="V170" s="146"/>
      <c r="W170" s="146"/>
      <c r="X170" s="146"/>
      <c r="Y170" s="146"/>
      <c r="Z170" s="146"/>
      <c r="AA170" s="146"/>
      <c r="AB170" s="146"/>
      <c r="AC170" s="157"/>
      <c r="AD170" s="157"/>
      <c r="AE170" s="157"/>
      <c r="AF170" s="158">
        <f>SUM(AG170:AJ170)</f>
      </c>
      <c r="AG170" s="146"/>
      <c r="AH170" s="145"/>
      <c r="AI170" s="145"/>
      <c r="AJ170" s="145"/>
      <c r="AK170" s="158">
        <f>SUM(AL170:AW170)</f>
      </c>
      <c r="AL170" s="146"/>
      <c r="AM170" s="145"/>
      <c r="AN170" s="145"/>
      <c r="AO170" s="145"/>
      <c r="AP170" s="145"/>
      <c r="AQ170" s="145"/>
      <c r="AR170" s="145"/>
      <c r="AS170" s="145"/>
      <c r="AT170" s="145"/>
      <c r="AU170" s="145"/>
      <c r="AV170" s="145"/>
      <c r="AW170" s="158"/>
      <c r="AX170" s="145"/>
      <c r="AY170" s="145"/>
      <c r="AZ170" s="145"/>
      <c r="BA170" s="158"/>
      <c r="BB170" s="145"/>
      <c r="BC170" s="145"/>
      <c r="BD170" s="158"/>
      <c r="BE170" s="146"/>
      <c r="BF170" s="145"/>
      <c r="BG170" s="145"/>
      <c r="BH170" s="158">
        <f>SUM(BI170:BK170)</f>
      </c>
      <c r="BI170" s="145"/>
      <c r="BJ170" s="145"/>
      <c r="BK170" s="145"/>
      <c r="BL170" s="145">
        <f>SUM(BM170:BR170)</f>
      </c>
      <c r="BM170" s="145"/>
      <c r="BN170" s="145"/>
      <c r="BO170" s="158"/>
      <c r="BP170" s="145"/>
      <c r="BQ170" s="145"/>
      <c r="BR170" s="145"/>
      <c r="BS170" s="145"/>
      <c r="BT170" s="145"/>
      <c r="BU170" s="158"/>
      <c r="BV170" s="146"/>
      <c r="BW170" s="145"/>
      <c r="BX170" s="145"/>
      <c r="BY170" s="158">
        <f>SUM(BZ170:CB170)</f>
      </c>
      <c r="BZ170" s="146"/>
      <c r="CA170" s="145"/>
      <c r="CB170" s="145"/>
      <c r="CC170" s="145">
        <f>SUM(CD170:CH170)</f>
      </c>
      <c r="CD170" s="145"/>
      <c r="CE170" s="158"/>
      <c r="CF170" s="145"/>
      <c r="CG170" s="145"/>
      <c r="CH170" s="145"/>
      <c r="CI170" s="158"/>
      <c r="CJ170" s="145"/>
      <c r="CK170" s="145"/>
      <c r="CL170" s="145"/>
      <c r="CM170" s="145"/>
      <c r="CN170" s="145"/>
      <c r="CO170" s="145"/>
      <c r="CP170" s="145"/>
      <c r="CQ170" s="158"/>
      <c r="CR170" s="146"/>
      <c r="CS170" s="158"/>
      <c r="CT170" s="158"/>
      <c r="CU170" s="158">
        <f>SUM(CV170:CV170)</f>
      </c>
      <c r="CV170" s="146"/>
      <c r="CW170" s="145"/>
      <c r="CX170" s="145"/>
      <c r="CY170" s="145">
        <f>SUM(CZ170:DE170)</f>
      </c>
      <c r="CZ170" s="145"/>
      <c r="DA170" s="146"/>
      <c r="DB170" s="146"/>
      <c r="DC170" s="153"/>
      <c r="DD170" s="153"/>
      <c r="DE170" s="145"/>
      <c r="DF170" s="145"/>
      <c r="DG170" s="145"/>
      <c r="DH170" s="158"/>
      <c r="DI170" s="145"/>
      <c r="DJ170" s="158"/>
      <c r="DK170" s="145"/>
      <c r="DL170" s="158"/>
      <c r="DM170" s="145"/>
      <c r="DN170" s="145"/>
      <c r="DO170" s="145"/>
      <c r="DP170" s="158"/>
      <c r="DQ170" s="145"/>
      <c r="DR170" s="145"/>
      <c r="DS170" s="145"/>
      <c r="DT170" s="145"/>
      <c r="DU170" s="145">
        <f>SUM(DV170:EE170)</f>
      </c>
      <c r="DV170" s="145"/>
      <c r="DW170" s="145"/>
      <c r="DX170" s="145"/>
      <c r="DY170" s="145"/>
      <c r="DZ170" s="146"/>
      <c r="EA170" s="158"/>
      <c r="EB170" s="146"/>
      <c r="EC170" s="145"/>
      <c r="ED170" s="145"/>
      <c r="EE170" s="155"/>
      <c r="EF170" s="145">
        <f>SUM(EG170:EH170)</f>
      </c>
      <c r="EG170" s="145"/>
      <c r="EH170" s="146"/>
      <c r="EI170" s="159" cm="1">
        <f t="array" ref="EI170">ROW()-ROW(Run[#Headers])</f>
        <v>164</v>
      </c>
    </row>
    <row r="171" spans="2:139" s="79" customFormat="1" ht="11.25" x14ac:dyDescent="0.2">
      <c r="B171" s="146"/>
      <c r="C171" s="155"/>
      <c r="D171" s="145"/>
      <c r="E171" s="152">
        <f>SUM(F171:AE171)</f>
      </c>
      <c r="F171" s="146"/>
      <c r="G171" s="146"/>
      <c r="H171" s="146"/>
      <c r="I171" s="146"/>
      <c r="J171" s="146"/>
      <c r="K171" s="156"/>
      <c r="L171" s="146"/>
      <c r="M171" s="146"/>
      <c r="N171" s="146"/>
      <c r="O171" s="146"/>
      <c r="P171" s="156"/>
      <c r="Q171" s="146"/>
      <c r="R171" s="146"/>
      <c r="S171" s="146"/>
      <c r="T171" s="156"/>
      <c r="U171" s="146"/>
      <c r="V171" s="146"/>
      <c r="W171" s="146"/>
      <c r="X171" s="146"/>
      <c r="Y171" s="146"/>
      <c r="Z171" s="146"/>
      <c r="AA171" s="146"/>
      <c r="AB171" s="146"/>
      <c r="AC171" s="157"/>
      <c r="AD171" s="157"/>
      <c r="AE171" s="157"/>
      <c r="AF171" s="158">
        <f>SUM(AG171:AJ171)</f>
      </c>
      <c r="AG171" s="146"/>
      <c r="AH171" s="145"/>
      <c r="AI171" s="145"/>
      <c r="AJ171" s="145"/>
      <c r="AK171" s="158">
        <f>SUM(AL171:AW171)</f>
      </c>
      <c r="AL171" s="146"/>
      <c r="AM171" s="145"/>
      <c r="AN171" s="145"/>
      <c r="AO171" s="145"/>
      <c r="AP171" s="145"/>
      <c r="AQ171" s="145"/>
      <c r="AR171" s="145"/>
      <c r="AS171" s="145"/>
      <c r="AT171" s="145"/>
      <c r="AU171" s="145"/>
      <c r="AV171" s="145"/>
      <c r="AW171" s="158"/>
      <c r="AX171" s="145"/>
      <c r="AY171" s="145"/>
      <c r="AZ171" s="145"/>
      <c r="BA171" s="158"/>
      <c r="BB171" s="145"/>
      <c r="BC171" s="145"/>
      <c r="BD171" s="158"/>
      <c r="BE171" s="146"/>
      <c r="BF171" s="145"/>
      <c r="BG171" s="145"/>
      <c r="BH171" s="158">
        <f>SUM(BI171:BK171)</f>
      </c>
      <c r="BI171" s="145"/>
      <c r="BJ171" s="145"/>
      <c r="BK171" s="145"/>
      <c r="BL171" s="145">
        <f>SUM(BM171:BR171)</f>
      </c>
      <c r="BM171" s="145"/>
      <c r="BN171" s="145"/>
      <c r="BO171" s="158"/>
      <c r="BP171" s="145"/>
      <c r="BQ171" s="145"/>
      <c r="BR171" s="145"/>
      <c r="BS171" s="145"/>
      <c r="BT171" s="145"/>
      <c r="BU171" s="158"/>
      <c r="BV171" s="146"/>
      <c r="BW171" s="145"/>
      <c r="BX171" s="145"/>
      <c r="BY171" s="158">
        <f>SUM(BZ171:CB171)</f>
      </c>
      <c r="BZ171" s="146"/>
      <c r="CA171" s="145"/>
      <c r="CB171" s="145"/>
      <c r="CC171" s="145">
        <f>SUM(CD171:CH171)</f>
      </c>
      <c r="CD171" s="145"/>
      <c r="CE171" s="158"/>
      <c r="CF171" s="145"/>
      <c r="CG171" s="145"/>
      <c r="CH171" s="145"/>
      <c r="CI171" s="158"/>
      <c r="CJ171" s="145"/>
      <c r="CK171" s="145"/>
      <c r="CL171" s="145"/>
      <c r="CM171" s="145"/>
      <c r="CN171" s="145"/>
      <c r="CO171" s="145"/>
      <c r="CP171" s="145"/>
      <c r="CQ171" s="158"/>
      <c r="CR171" s="146"/>
      <c r="CS171" s="158"/>
      <c r="CT171" s="158"/>
      <c r="CU171" s="158">
        <f>SUM(CV171:CV171)</f>
      </c>
      <c r="CV171" s="146"/>
      <c r="CW171" s="145"/>
      <c r="CX171" s="145"/>
      <c r="CY171" s="145">
        <f>SUM(CZ171:DE171)</f>
      </c>
      <c r="CZ171" s="145"/>
      <c r="DA171" s="146"/>
      <c r="DB171" s="146"/>
      <c r="DC171" s="153"/>
      <c r="DD171" s="153"/>
      <c r="DE171" s="145"/>
      <c r="DF171" s="145"/>
      <c r="DG171" s="145"/>
      <c r="DH171" s="158"/>
      <c r="DI171" s="145"/>
      <c r="DJ171" s="158"/>
      <c r="DK171" s="145"/>
      <c r="DL171" s="158"/>
      <c r="DM171" s="145"/>
      <c r="DN171" s="145"/>
      <c r="DO171" s="145"/>
      <c r="DP171" s="158"/>
      <c r="DQ171" s="145"/>
      <c r="DR171" s="145"/>
      <c r="DS171" s="145"/>
      <c r="DT171" s="145"/>
      <c r="DU171" s="145">
        <f>SUM(DV171:EE171)</f>
      </c>
      <c r="DV171" s="145"/>
      <c r="DW171" s="145"/>
      <c r="DX171" s="145"/>
      <c r="DY171" s="145"/>
      <c r="DZ171" s="146"/>
      <c r="EA171" s="158"/>
      <c r="EB171" s="146"/>
      <c r="EC171" s="145"/>
      <c r="ED171" s="145"/>
      <c r="EE171" s="155"/>
      <c r="EF171" s="145">
        <f>SUM(EG171:EH171)</f>
      </c>
      <c r="EG171" s="145"/>
      <c r="EH171" s="146"/>
      <c r="EI171" s="159" cm="1">
        <f t="array" ref="EI171">ROW()-ROW(Run[#Headers])</f>
        <v>165</v>
      </c>
    </row>
    <row r="172" spans="2:139" s="79" customFormat="1" ht="11.25" x14ac:dyDescent="0.2">
      <c r="B172" s="146"/>
      <c r="C172" s="155"/>
      <c r="D172" s="145"/>
      <c r="E172" s="152">
        <f>SUM(F172:AE172)</f>
      </c>
      <c r="F172" s="146"/>
      <c r="G172" s="146"/>
      <c r="H172" s="146"/>
      <c r="I172" s="146"/>
      <c r="J172" s="146"/>
      <c r="K172" s="156"/>
      <c r="L172" s="146"/>
      <c r="M172" s="146"/>
      <c r="N172" s="146"/>
      <c r="O172" s="146"/>
      <c r="P172" s="156"/>
      <c r="Q172" s="146"/>
      <c r="R172" s="146"/>
      <c r="S172" s="146"/>
      <c r="T172" s="156"/>
      <c r="U172" s="146"/>
      <c r="V172" s="146"/>
      <c r="W172" s="146"/>
      <c r="X172" s="146"/>
      <c r="Y172" s="146"/>
      <c r="Z172" s="146"/>
      <c r="AA172" s="146"/>
      <c r="AB172" s="146"/>
      <c r="AC172" s="157"/>
      <c r="AD172" s="157"/>
      <c r="AE172" s="157"/>
      <c r="AF172" s="158">
        <f>SUM(AG172:AJ172)</f>
      </c>
      <c r="AG172" s="146"/>
      <c r="AH172" s="145"/>
      <c r="AI172" s="145"/>
      <c r="AJ172" s="145"/>
      <c r="AK172" s="158">
        <f>SUM(AL172:AW172)</f>
      </c>
      <c r="AL172" s="146"/>
      <c r="AM172" s="145"/>
      <c r="AN172" s="145"/>
      <c r="AO172" s="145"/>
      <c r="AP172" s="145"/>
      <c r="AQ172" s="145"/>
      <c r="AR172" s="145"/>
      <c r="AS172" s="145"/>
      <c r="AT172" s="145"/>
      <c r="AU172" s="145"/>
      <c r="AV172" s="145"/>
      <c r="AW172" s="158"/>
      <c r="AX172" s="145"/>
      <c r="AY172" s="145"/>
      <c r="AZ172" s="145"/>
      <c r="BA172" s="158"/>
      <c r="BB172" s="145"/>
      <c r="BC172" s="145"/>
      <c r="BD172" s="158"/>
      <c r="BE172" s="146"/>
      <c r="BF172" s="145"/>
      <c r="BG172" s="145"/>
      <c r="BH172" s="158">
        <f>SUM(BI172:BK172)</f>
      </c>
      <c r="BI172" s="145"/>
      <c r="BJ172" s="145"/>
      <c r="BK172" s="145"/>
      <c r="BL172" s="145">
        <f>SUM(BM172:BR172)</f>
      </c>
      <c r="BM172" s="145"/>
      <c r="BN172" s="145"/>
      <c r="BO172" s="158"/>
      <c r="BP172" s="145"/>
      <c r="BQ172" s="145"/>
      <c r="BR172" s="145"/>
      <c r="BS172" s="145"/>
      <c r="BT172" s="145"/>
      <c r="BU172" s="158"/>
      <c r="BV172" s="146"/>
      <c r="BW172" s="145"/>
      <c r="BX172" s="145"/>
      <c r="BY172" s="158">
        <f>SUM(BZ172:CB172)</f>
      </c>
      <c r="BZ172" s="146"/>
      <c r="CA172" s="145"/>
      <c r="CB172" s="145"/>
      <c r="CC172" s="145">
        <f>SUM(CD172:CH172)</f>
      </c>
      <c r="CD172" s="145"/>
      <c r="CE172" s="158"/>
      <c r="CF172" s="145"/>
      <c r="CG172" s="145"/>
      <c r="CH172" s="145"/>
      <c r="CI172" s="158"/>
      <c r="CJ172" s="145"/>
      <c r="CK172" s="145"/>
      <c r="CL172" s="145"/>
      <c r="CM172" s="145"/>
      <c r="CN172" s="145"/>
      <c r="CO172" s="145"/>
      <c r="CP172" s="145"/>
      <c r="CQ172" s="158"/>
      <c r="CR172" s="146"/>
      <c r="CS172" s="158"/>
      <c r="CT172" s="158"/>
      <c r="CU172" s="158">
        <f>SUM(CV172:CV172)</f>
      </c>
      <c r="CV172" s="146"/>
      <c r="CW172" s="145"/>
      <c r="CX172" s="145"/>
      <c r="CY172" s="145">
        <f>SUM(CZ172:DE172)</f>
      </c>
      <c r="CZ172" s="145"/>
      <c r="DA172" s="146"/>
      <c r="DB172" s="146"/>
      <c r="DC172" s="153"/>
      <c r="DD172" s="153"/>
      <c r="DE172" s="145"/>
      <c r="DF172" s="145"/>
      <c r="DG172" s="145"/>
      <c r="DH172" s="158"/>
      <c r="DI172" s="145"/>
      <c r="DJ172" s="158"/>
      <c r="DK172" s="145"/>
      <c r="DL172" s="158"/>
      <c r="DM172" s="145"/>
      <c r="DN172" s="145"/>
      <c r="DO172" s="145"/>
      <c r="DP172" s="158"/>
      <c r="DQ172" s="145"/>
      <c r="DR172" s="145"/>
      <c r="DS172" s="145"/>
      <c r="DT172" s="145"/>
      <c r="DU172" s="145">
        <f>SUM(DV172:EE172)</f>
      </c>
      <c r="DV172" s="145"/>
      <c r="DW172" s="145"/>
      <c r="DX172" s="145"/>
      <c r="DY172" s="145"/>
      <c r="DZ172" s="146"/>
      <c r="EA172" s="158"/>
      <c r="EB172" s="146"/>
      <c r="EC172" s="145"/>
      <c r="ED172" s="145"/>
      <c r="EE172" s="155"/>
      <c r="EF172" s="145">
        <f>SUM(EG172:EH172)</f>
      </c>
      <c r="EG172" s="145"/>
      <c r="EH172" s="146"/>
      <c r="EI172" s="159" cm="1">
        <f t="array" ref="EI172">ROW()-ROW(Run[#Headers])</f>
        <v>166</v>
      </c>
    </row>
    <row r="173" spans="2:139" s="79" customFormat="1" ht="11.25" x14ac:dyDescent="0.2">
      <c r="B173" s="146"/>
      <c r="C173" s="155"/>
      <c r="D173" s="145"/>
      <c r="E173" s="152">
        <f>SUM(F173:AE173)</f>
      </c>
      <c r="F173" s="146"/>
      <c r="G173" s="146"/>
      <c r="H173" s="146"/>
      <c r="I173" s="146"/>
      <c r="J173" s="146"/>
      <c r="K173" s="156"/>
      <c r="L173" s="146"/>
      <c r="M173" s="146"/>
      <c r="N173" s="146"/>
      <c r="O173" s="146"/>
      <c r="P173" s="156"/>
      <c r="Q173" s="146"/>
      <c r="R173" s="146"/>
      <c r="S173" s="146"/>
      <c r="T173" s="156"/>
      <c r="U173" s="146"/>
      <c r="V173" s="146"/>
      <c r="W173" s="146"/>
      <c r="X173" s="146"/>
      <c r="Y173" s="146"/>
      <c r="Z173" s="146"/>
      <c r="AA173" s="146"/>
      <c r="AB173" s="146"/>
      <c r="AC173" s="157"/>
      <c r="AD173" s="157"/>
      <c r="AE173" s="157"/>
      <c r="AF173" s="158">
        <f>SUM(AG173:AJ173)</f>
      </c>
      <c r="AG173" s="146"/>
      <c r="AH173" s="145"/>
      <c r="AI173" s="145"/>
      <c r="AJ173" s="145"/>
      <c r="AK173" s="158">
        <f>SUM(AL173:AW173)</f>
      </c>
      <c r="AL173" s="146"/>
      <c r="AM173" s="145"/>
      <c r="AN173" s="145"/>
      <c r="AO173" s="145"/>
      <c r="AP173" s="145"/>
      <c r="AQ173" s="145"/>
      <c r="AR173" s="145"/>
      <c r="AS173" s="145"/>
      <c r="AT173" s="145"/>
      <c r="AU173" s="145"/>
      <c r="AV173" s="145"/>
      <c r="AW173" s="158"/>
      <c r="AX173" s="145"/>
      <c r="AY173" s="145"/>
      <c r="AZ173" s="145"/>
      <c r="BA173" s="158"/>
      <c r="BB173" s="145"/>
      <c r="BC173" s="145"/>
      <c r="BD173" s="158"/>
      <c r="BE173" s="146"/>
      <c r="BF173" s="145"/>
      <c r="BG173" s="145"/>
      <c r="BH173" s="158">
        <f>SUM(BI173:BK173)</f>
      </c>
      <c r="BI173" s="145"/>
      <c r="BJ173" s="145"/>
      <c r="BK173" s="145"/>
      <c r="BL173" s="145">
        <f>SUM(BM173:BR173)</f>
      </c>
      <c r="BM173" s="145"/>
      <c r="BN173" s="145"/>
      <c r="BO173" s="158"/>
      <c r="BP173" s="145"/>
      <c r="BQ173" s="145"/>
      <c r="BR173" s="145"/>
      <c r="BS173" s="145"/>
      <c r="BT173" s="145"/>
      <c r="BU173" s="158"/>
      <c r="BV173" s="146"/>
      <c r="BW173" s="145"/>
      <c r="BX173" s="145"/>
      <c r="BY173" s="158">
        <f>SUM(BZ173:CB173)</f>
      </c>
      <c r="BZ173" s="146"/>
      <c r="CA173" s="145"/>
      <c r="CB173" s="145"/>
      <c r="CC173" s="145">
        <f>SUM(CD173:CH173)</f>
      </c>
      <c r="CD173" s="145"/>
      <c r="CE173" s="158"/>
      <c r="CF173" s="145"/>
      <c r="CG173" s="145"/>
      <c r="CH173" s="145"/>
      <c r="CI173" s="158"/>
      <c r="CJ173" s="145"/>
      <c r="CK173" s="145"/>
      <c r="CL173" s="145"/>
      <c r="CM173" s="145"/>
      <c r="CN173" s="145"/>
      <c r="CO173" s="145"/>
      <c r="CP173" s="145"/>
      <c r="CQ173" s="158"/>
      <c r="CR173" s="146"/>
      <c r="CS173" s="158"/>
      <c r="CT173" s="158"/>
      <c r="CU173" s="158">
        <f>SUM(CV173:CV173)</f>
      </c>
      <c r="CV173" s="146"/>
      <c r="CW173" s="145"/>
      <c r="CX173" s="145"/>
      <c r="CY173" s="145">
        <f>SUM(CZ173:DE173)</f>
      </c>
      <c r="CZ173" s="145"/>
      <c r="DA173" s="146"/>
      <c r="DB173" s="146"/>
      <c r="DC173" s="153"/>
      <c r="DD173" s="153"/>
      <c r="DE173" s="145"/>
      <c r="DF173" s="145"/>
      <c r="DG173" s="145"/>
      <c r="DH173" s="158"/>
      <c r="DI173" s="145"/>
      <c r="DJ173" s="158"/>
      <c r="DK173" s="145"/>
      <c r="DL173" s="158"/>
      <c r="DM173" s="145"/>
      <c r="DN173" s="145"/>
      <c r="DO173" s="145"/>
      <c r="DP173" s="158"/>
      <c r="DQ173" s="145"/>
      <c r="DR173" s="145"/>
      <c r="DS173" s="145"/>
      <c r="DT173" s="145"/>
      <c r="DU173" s="145">
        <f>SUM(DV173:EE173)</f>
      </c>
      <c r="DV173" s="145"/>
      <c r="DW173" s="145"/>
      <c r="DX173" s="145"/>
      <c r="DY173" s="145"/>
      <c r="DZ173" s="146"/>
      <c r="EA173" s="158"/>
      <c r="EB173" s="146"/>
      <c r="EC173" s="145"/>
      <c r="ED173" s="145"/>
      <c r="EE173" s="155"/>
      <c r="EF173" s="145">
        <f>SUM(EG173:EH173)</f>
      </c>
      <c r="EG173" s="145"/>
      <c r="EH173" s="146"/>
      <c r="EI173" s="159" cm="1">
        <f t="array" ref="EI173">ROW()-ROW(Run[#Headers])</f>
        <v>167</v>
      </c>
    </row>
    <row r="174" spans="2:139" s="79" customFormat="1" ht="11.25" x14ac:dyDescent="0.2">
      <c r="B174" s="146"/>
      <c r="C174" s="155"/>
      <c r="D174" s="145"/>
      <c r="E174" s="152">
        <f>SUM(F174:AE174)</f>
      </c>
      <c r="F174" s="146"/>
      <c r="G174" s="146"/>
      <c r="H174" s="146"/>
      <c r="I174" s="146"/>
      <c r="J174" s="146"/>
      <c r="K174" s="156"/>
      <c r="L174" s="146"/>
      <c r="M174" s="146"/>
      <c r="N174" s="146"/>
      <c r="O174" s="146"/>
      <c r="P174" s="156"/>
      <c r="Q174" s="146"/>
      <c r="R174" s="146"/>
      <c r="S174" s="146"/>
      <c r="T174" s="156"/>
      <c r="U174" s="146"/>
      <c r="V174" s="146"/>
      <c r="W174" s="146"/>
      <c r="X174" s="146"/>
      <c r="Y174" s="146"/>
      <c r="Z174" s="146"/>
      <c r="AA174" s="146"/>
      <c r="AB174" s="146"/>
      <c r="AC174" s="157"/>
      <c r="AD174" s="157"/>
      <c r="AE174" s="157"/>
      <c r="AF174" s="158">
        <f>SUM(AG174:AJ174)</f>
      </c>
      <c r="AG174" s="146"/>
      <c r="AH174" s="145"/>
      <c r="AI174" s="145"/>
      <c r="AJ174" s="145"/>
      <c r="AK174" s="158">
        <f>SUM(AL174:AW174)</f>
      </c>
      <c r="AL174" s="146"/>
      <c r="AM174" s="145"/>
      <c r="AN174" s="145"/>
      <c r="AO174" s="145"/>
      <c r="AP174" s="145"/>
      <c r="AQ174" s="145"/>
      <c r="AR174" s="145"/>
      <c r="AS174" s="145"/>
      <c r="AT174" s="145"/>
      <c r="AU174" s="145"/>
      <c r="AV174" s="145"/>
      <c r="AW174" s="158"/>
      <c r="AX174" s="145"/>
      <c r="AY174" s="145"/>
      <c r="AZ174" s="145"/>
      <c r="BA174" s="158"/>
      <c r="BB174" s="145"/>
      <c r="BC174" s="145"/>
      <c r="BD174" s="158"/>
      <c r="BE174" s="146"/>
      <c r="BF174" s="145"/>
      <c r="BG174" s="145"/>
      <c r="BH174" s="158">
        <f>SUM(BI174:BK174)</f>
      </c>
      <c r="BI174" s="145"/>
      <c r="BJ174" s="145"/>
      <c r="BK174" s="145"/>
      <c r="BL174" s="145">
        <f>SUM(BM174:BR174)</f>
      </c>
      <c r="BM174" s="145"/>
      <c r="BN174" s="145"/>
      <c r="BO174" s="158"/>
      <c r="BP174" s="145"/>
      <c r="BQ174" s="145"/>
      <c r="BR174" s="145"/>
      <c r="BS174" s="145"/>
      <c r="BT174" s="145"/>
      <c r="BU174" s="158"/>
      <c r="BV174" s="146"/>
      <c r="BW174" s="145"/>
      <c r="BX174" s="145"/>
      <c r="BY174" s="158">
        <f>SUM(BZ174:CB174)</f>
      </c>
      <c r="BZ174" s="146"/>
      <c r="CA174" s="145"/>
      <c r="CB174" s="145"/>
      <c r="CC174" s="145">
        <f>SUM(CD174:CH174)</f>
      </c>
      <c r="CD174" s="145"/>
      <c r="CE174" s="158"/>
      <c r="CF174" s="145"/>
      <c r="CG174" s="145"/>
      <c r="CH174" s="145"/>
      <c r="CI174" s="158"/>
      <c r="CJ174" s="145"/>
      <c r="CK174" s="145"/>
      <c r="CL174" s="145"/>
      <c r="CM174" s="145"/>
      <c r="CN174" s="145"/>
      <c r="CO174" s="145"/>
      <c r="CP174" s="145"/>
      <c r="CQ174" s="158"/>
      <c r="CR174" s="146"/>
      <c r="CS174" s="158"/>
      <c r="CT174" s="158"/>
      <c r="CU174" s="158">
        <f>SUM(CV174:CV174)</f>
      </c>
      <c r="CV174" s="146"/>
      <c r="CW174" s="145"/>
      <c r="CX174" s="145"/>
      <c r="CY174" s="145">
        <f>SUM(CZ174:DE174)</f>
      </c>
      <c r="CZ174" s="145"/>
      <c r="DA174" s="146"/>
      <c r="DB174" s="146"/>
      <c r="DC174" s="153"/>
      <c r="DD174" s="153"/>
      <c r="DE174" s="145"/>
      <c r="DF174" s="145"/>
      <c r="DG174" s="145"/>
      <c r="DH174" s="158"/>
      <c r="DI174" s="145"/>
      <c r="DJ174" s="158"/>
      <c r="DK174" s="145"/>
      <c r="DL174" s="158"/>
      <c r="DM174" s="145"/>
      <c r="DN174" s="145"/>
      <c r="DO174" s="145"/>
      <c r="DP174" s="158"/>
      <c r="DQ174" s="145"/>
      <c r="DR174" s="145"/>
      <c r="DS174" s="145"/>
      <c r="DT174" s="145"/>
      <c r="DU174" s="145">
        <f>SUM(DV174:EE174)</f>
      </c>
      <c r="DV174" s="145"/>
      <c r="DW174" s="145"/>
      <c r="DX174" s="145"/>
      <c r="DY174" s="145"/>
      <c r="DZ174" s="146"/>
      <c r="EA174" s="158"/>
      <c r="EB174" s="146"/>
      <c r="EC174" s="145"/>
      <c r="ED174" s="145"/>
      <c r="EE174" s="155"/>
      <c r="EF174" s="145">
        <f>SUM(EG174:EH174)</f>
      </c>
      <c r="EG174" s="145"/>
      <c r="EH174" s="146"/>
      <c r="EI174" s="159" cm="1">
        <f t="array" ref="EI174">ROW()-ROW(Run[#Headers])</f>
        <v>168</v>
      </c>
    </row>
    <row r="175" spans="2:139" s="79" customFormat="1" ht="11.25" x14ac:dyDescent="0.2">
      <c r="B175" s="146"/>
      <c r="C175" s="155"/>
      <c r="D175" s="145"/>
      <c r="E175" s="152">
        <f>SUM(F175:AE175)</f>
      </c>
      <c r="F175" s="146"/>
      <c r="G175" s="146"/>
      <c r="H175" s="146"/>
      <c r="I175" s="146"/>
      <c r="J175" s="146"/>
      <c r="K175" s="156"/>
      <c r="L175" s="146"/>
      <c r="M175" s="146"/>
      <c r="N175" s="146"/>
      <c r="O175" s="146"/>
      <c r="P175" s="156"/>
      <c r="Q175" s="146"/>
      <c r="R175" s="146"/>
      <c r="S175" s="146"/>
      <c r="T175" s="156"/>
      <c r="U175" s="146"/>
      <c r="V175" s="146"/>
      <c r="W175" s="146"/>
      <c r="X175" s="146"/>
      <c r="Y175" s="146"/>
      <c r="Z175" s="146"/>
      <c r="AA175" s="146"/>
      <c r="AB175" s="146"/>
      <c r="AC175" s="157"/>
      <c r="AD175" s="157"/>
      <c r="AE175" s="157"/>
      <c r="AF175" s="158">
        <f>SUM(AG175:AJ175)</f>
      </c>
      <c r="AG175" s="146"/>
      <c r="AH175" s="145"/>
      <c r="AI175" s="145"/>
      <c r="AJ175" s="145"/>
      <c r="AK175" s="158">
        <f>SUM(AL175:AW175)</f>
      </c>
      <c r="AL175" s="146"/>
      <c r="AM175" s="145"/>
      <c r="AN175" s="145"/>
      <c r="AO175" s="145"/>
      <c r="AP175" s="145"/>
      <c r="AQ175" s="145"/>
      <c r="AR175" s="145"/>
      <c r="AS175" s="145"/>
      <c r="AT175" s="145"/>
      <c r="AU175" s="145"/>
      <c r="AV175" s="145"/>
      <c r="AW175" s="158"/>
      <c r="AX175" s="145"/>
      <c r="AY175" s="145"/>
      <c r="AZ175" s="145"/>
      <c r="BA175" s="158"/>
      <c r="BB175" s="145"/>
      <c r="BC175" s="145"/>
      <c r="BD175" s="158"/>
      <c r="BE175" s="146"/>
      <c r="BF175" s="145"/>
      <c r="BG175" s="145"/>
      <c r="BH175" s="158">
        <f>SUM(BI175:BK175)</f>
      </c>
      <c r="BI175" s="145"/>
      <c r="BJ175" s="145"/>
      <c r="BK175" s="145"/>
      <c r="BL175" s="145">
        <f>SUM(BM175:BR175)</f>
      </c>
      <c r="BM175" s="145"/>
      <c r="BN175" s="145"/>
      <c r="BO175" s="158"/>
      <c r="BP175" s="145"/>
      <c r="BQ175" s="145"/>
      <c r="BR175" s="145"/>
      <c r="BS175" s="145"/>
      <c r="BT175" s="145"/>
      <c r="BU175" s="158"/>
      <c r="BV175" s="146"/>
      <c r="BW175" s="145"/>
      <c r="BX175" s="145"/>
      <c r="BY175" s="158">
        <f>SUM(BZ175:CB175)</f>
      </c>
      <c r="BZ175" s="146"/>
      <c r="CA175" s="145"/>
      <c r="CB175" s="145"/>
      <c r="CC175" s="145">
        <f>SUM(CD175:CH175)</f>
      </c>
      <c r="CD175" s="145"/>
      <c r="CE175" s="158"/>
      <c r="CF175" s="145"/>
      <c r="CG175" s="145"/>
      <c r="CH175" s="145"/>
      <c r="CI175" s="158"/>
      <c r="CJ175" s="145"/>
      <c r="CK175" s="145"/>
      <c r="CL175" s="145"/>
      <c r="CM175" s="145"/>
      <c r="CN175" s="145"/>
      <c r="CO175" s="145"/>
      <c r="CP175" s="145"/>
      <c r="CQ175" s="158"/>
      <c r="CR175" s="146"/>
      <c r="CS175" s="158"/>
      <c r="CT175" s="158"/>
      <c r="CU175" s="158">
        <f>SUM(CV175:CV175)</f>
      </c>
      <c r="CV175" s="146"/>
      <c r="CW175" s="145"/>
      <c r="CX175" s="145"/>
      <c r="CY175" s="145">
        <f>SUM(CZ175:DE175)</f>
      </c>
      <c r="CZ175" s="145"/>
      <c r="DA175" s="146"/>
      <c r="DB175" s="146"/>
      <c r="DC175" s="153"/>
      <c r="DD175" s="153"/>
      <c r="DE175" s="145"/>
      <c r="DF175" s="145"/>
      <c r="DG175" s="145"/>
      <c r="DH175" s="158"/>
      <c r="DI175" s="145"/>
      <c r="DJ175" s="158"/>
      <c r="DK175" s="145"/>
      <c r="DL175" s="158"/>
      <c r="DM175" s="145"/>
      <c r="DN175" s="145"/>
      <c r="DO175" s="145"/>
      <c r="DP175" s="158"/>
      <c r="DQ175" s="145"/>
      <c r="DR175" s="145"/>
      <c r="DS175" s="145"/>
      <c r="DT175" s="145"/>
      <c r="DU175" s="145">
        <f>SUM(DV175:EE175)</f>
      </c>
      <c r="DV175" s="145"/>
      <c r="DW175" s="145"/>
      <c r="DX175" s="145"/>
      <c r="DY175" s="145"/>
      <c r="DZ175" s="146"/>
      <c r="EA175" s="158"/>
      <c r="EB175" s="146"/>
      <c r="EC175" s="145"/>
      <c r="ED175" s="145"/>
      <c r="EE175" s="155"/>
      <c r="EF175" s="145">
        <f>SUM(EG175:EH175)</f>
      </c>
      <c r="EG175" s="145"/>
      <c r="EH175" s="146"/>
      <c r="EI175" s="159" cm="1">
        <f t="array" ref="EI175">ROW()-ROW(Run[#Headers])</f>
        <v>169</v>
      </c>
    </row>
    <row r="176" spans="2:139" s="79" customFormat="1" ht="11.25" x14ac:dyDescent="0.2">
      <c r="B176" s="146"/>
      <c r="C176" s="155"/>
      <c r="D176" s="145"/>
      <c r="E176" s="152">
        <f>SUM(F176:AE176)</f>
      </c>
      <c r="F176" s="146"/>
      <c r="G176" s="146"/>
      <c r="H176" s="146"/>
      <c r="I176" s="146"/>
      <c r="J176" s="146"/>
      <c r="K176" s="156"/>
      <c r="L176" s="146"/>
      <c r="M176" s="146"/>
      <c r="N176" s="146"/>
      <c r="O176" s="146"/>
      <c r="P176" s="156"/>
      <c r="Q176" s="146"/>
      <c r="R176" s="146"/>
      <c r="S176" s="146"/>
      <c r="T176" s="156"/>
      <c r="U176" s="146"/>
      <c r="V176" s="146"/>
      <c r="W176" s="146"/>
      <c r="X176" s="146"/>
      <c r="Y176" s="146"/>
      <c r="Z176" s="146"/>
      <c r="AA176" s="146"/>
      <c r="AB176" s="146"/>
      <c r="AC176" s="157"/>
      <c r="AD176" s="157"/>
      <c r="AE176" s="157"/>
      <c r="AF176" s="158">
        <f>SUM(AG176:AJ176)</f>
      </c>
      <c r="AG176" s="146"/>
      <c r="AH176" s="145"/>
      <c r="AI176" s="145"/>
      <c r="AJ176" s="145"/>
      <c r="AK176" s="158">
        <f>SUM(AL176:AW176)</f>
      </c>
      <c r="AL176" s="146"/>
      <c r="AM176" s="145"/>
      <c r="AN176" s="145"/>
      <c r="AO176" s="145"/>
      <c r="AP176" s="145"/>
      <c r="AQ176" s="145"/>
      <c r="AR176" s="145"/>
      <c r="AS176" s="145"/>
      <c r="AT176" s="145"/>
      <c r="AU176" s="145"/>
      <c r="AV176" s="145"/>
      <c r="AW176" s="158"/>
      <c r="AX176" s="145"/>
      <c r="AY176" s="145"/>
      <c r="AZ176" s="145"/>
      <c r="BA176" s="158"/>
      <c r="BB176" s="145"/>
      <c r="BC176" s="145"/>
      <c r="BD176" s="158"/>
      <c r="BE176" s="146"/>
      <c r="BF176" s="145"/>
      <c r="BG176" s="145"/>
      <c r="BH176" s="158">
        <f>SUM(BI176:BK176)</f>
      </c>
      <c r="BI176" s="145"/>
      <c r="BJ176" s="145"/>
      <c r="BK176" s="145"/>
      <c r="BL176" s="145">
        <f>SUM(BM176:BR176)</f>
      </c>
      <c r="BM176" s="145"/>
      <c r="BN176" s="145"/>
      <c r="BO176" s="158"/>
      <c r="BP176" s="145"/>
      <c r="BQ176" s="145"/>
      <c r="BR176" s="145"/>
      <c r="BS176" s="145"/>
      <c r="BT176" s="145"/>
      <c r="BU176" s="158"/>
      <c r="BV176" s="146"/>
      <c r="BW176" s="145"/>
      <c r="BX176" s="145"/>
      <c r="BY176" s="158">
        <f>SUM(BZ176:CB176)</f>
      </c>
      <c r="BZ176" s="146"/>
      <c r="CA176" s="145"/>
      <c r="CB176" s="145"/>
      <c r="CC176" s="145">
        <f>SUM(CD176:CH176)</f>
      </c>
      <c r="CD176" s="145"/>
      <c r="CE176" s="158"/>
      <c r="CF176" s="145"/>
      <c r="CG176" s="145"/>
      <c r="CH176" s="145"/>
      <c r="CI176" s="158"/>
      <c r="CJ176" s="145"/>
      <c r="CK176" s="145"/>
      <c r="CL176" s="145"/>
      <c r="CM176" s="145"/>
      <c r="CN176" s="145"/>
      <c r="CO176" s="145"/>
      <c r="CP176" s="145"/>
      <c r="CQ176" s="158"/>
      <c r="CR176" s="146"/>
      <c r="CS176" s="158"/>
      <c r="CT176" s="158"/>
      <c r="CU176" s="158">
        <f>SUM(CV176:CV176)</f>
      </c>
      <c r="CV176" s="146"/>
      <c r="CW176" s="145"/>
      <c r="CX176" s="145"/>
      <c r="CY176" s="145">
        <f>SUM(CZ176:DE176)</f>
      </c>
      <c r="CZ176" s="145"/>
      <c r="DA176" s="146"/>
      <c r="DB176" s="146"/>
      <c r="DC176" s="153"/>
      <c r="DD176" s="153"/>
      <c r="DE176" s="145"/>
      <c r="DF176" s="145"/>
      <c r="DG176" s="145"/>
      <c r="DH176" s="158"/>
      <c r="DI176" s="145"/>
      <c r="DJ176" s="158"/>
      <c r="DK176" s="145"/>
      <c r="DL176" s="158"/>
      <c r="DM176" s="145"/>
      <c r="DN176" s="145"/>
      <c r="DO176" s="145"/>
      <c r="DP176" s="158"/>
      <c r="DQ176" s="145"/>
      <c r="DR176" s="145"/>
      <c r="DS176" s="145"/>
      <c r="DT176" s="145"/>
      <c r="DU176" s="145">
        <f>SUM(DV176:EE176)</f>
      </c>
      <c r="DV176" s="145"/>
      <c r="DW176" s="145"/>
      <c r="DX176" s="145"/>
      <c r="DY176" s="145"/>
      <c r="DZ176" s="146"/>
      <c r="EA176" s="158"/>
      <c r="EB176" s="146"/>
      <c r="EC176" s="145"/>
      <c r="ED176" s="145"/>
      <c r="EE176" s="155"/>
      <c r="EF176" s="145">
        <f>SUM(EG176:EH176)</f>
      </c>
      <c r="EG176" s="145"/>
      <c r="EH176" s="146"/>
      <c r="EI176" s="159" cm="1">
        <f t="array" ref="EI176">ROW()-ROW(Run[#Headers])</f>
        <v>170</v>
      </c>
    </row>
    <row r="177" spans="2:139" s="79" customFormat="1" ht="11.25" x14ac:dyDescent="0.2">
      <c r="B177" s="146"/>
      <c r="C177" s="155"/>
      <c r="D177" s="145"/>
      <c r="E177" s="152">
        <f>SUM(F177:AE177)</f>
      </c>
      <c r="F177" s="146"/>
      <c r="G177" s="146"/>
      <c r="H177" s="146"/>
      <c r="I177" s="146"/>
      <c r="J177" s="146"/>
      <c r="K177" s="156"/>
      <c r="L177" s="146"/>
      <c r="M177" s="146"/>
      <c r="N177" s="146"/>
      <c r="O177" s="146"/>
      <c r="P177" s="156"/>
      <c r="Q177" s="146"/>
      <c r="R177" s="146"/>
      <c r="S177" s="146"/>
      <c r="T177" s="156"/>
      <c r="U177" s="146"/>
      <c r="V177" s="146"/>
      <c r="W177" s="146"/>
      <c r="X177" s="146"/>
      <c r="Y177" s="146"/>
      <c r="Z177" s="146"/>
      <c r="AA177" s="146"/>
      <c r="AB177" s="146"/>
      <c r="AC177" s="157"/>
      <c r="AD177" s="157"/>
      <c r="AE177" s="157"/>
      <c r="AF177" s="158">
        <f>SUM(AG177:AJ177)</f>
      </c>
      <c r="AG177" s="146"/>
      <c r="AH177" s="145"/>
      <c r="AI177" s="145"/>
      <c r="AJ177" s="145"/>
      <c r="AK177" s="158">
        <f>SUM(AL177:AW177)</f>
      </c>
      <c r="AL177" s="146"/>
      <c r="AM177" s="145"/>
      <c r="AN177" s="145"/>
      <c r="AO177" s="145"/>
      <c r="AP177" s="145"/>
      <c r="AQ177" s="145"/>
      <c r="AR177" s="145"/>
      <c r="AS177" s="145"/>
      <c r="AT177" s="145"/>
      <c r="AU177" s="145"/>
      <c r="AV177" s="145"/>
      <c r="AW177" s="158"/>
      <c r="AX177" s="145"/>
      <c r="AY177" s="145"/>
      <c r="AZ177" s="145"/>
      <c r="BA177" s="158"/>
      <c r="BB177" s="145"/>
      <c r="BC177" s="145"/>
      <c r="BD177" s="158"/>
      <c r="BE177" s="146"/>
      <c r="BF177" s="145"/>
      <c r="BG177" s="145"/>
      <c r="BH177" s="158">
        <f>SUM(BI177:BK177)</f>
      </c>
      <c r="BI177" s="145"/>
      <c r="BJ177" s="145"/>
      <c r="BK177" s="145"/>
      <c r="BL177" s="145">
        <f>SUM(BM177:BR177)</f>
      </c>
      <c r="BM177" s="145"/>
      <c r="BN177" s="145"/>
      <c r="BO177" s="158"/>
      <c r="BP177" s="145"/>
      <c r="BQ177" s="145"/>
      <c r="BR177" s="145"/>
      <c r="BS177" s="145"/>
      <c r="BT177" s="145"/>
      <c r="BU177" s="158"/>
      <c r="BV177" s="146"/>
      <c r="BW177" s="145"/>
      <c r="BX177" s="145"/>
      <c r="BY177" s="158">
        <f>SUM(BZ177:CB177)</f>
      </c>
      <c r="BZ177" s="146"/>
      <c r="CA177" s="145"/>
      <c r="CB177" s="145"/>
      <c r="CC177" s="145">
        <f>SUM(CD177:CH177)</f>
      </c>
      <c r="CD177" s="145"/>
      <c r="CE177" s="158"/>
      <c r="CF177" s="145"/>
      <c r="CG177" s="145"/>
      <c r="CH177" s="145"/>
      <c r="CI177" s="158"/>
      <c r="CJ177" s="145"/>
      <c r="CK177" s="145"/>
      <c r="CL177" s="145"/>
      <c r="CM177" s="145"/>
      <c r="CN177" s="145"/>
      <c r="CO177" s="145"/>
      <c r="CP177" s="145"/>
      <c r="CQ177" s="158"/>
      <c r="CR177" s="146"/>
      <c r="CS177" s="158"/>
      <c r="CT177" s="158"/>
      <c r="CU177" s="158">
        <f>SUM(CV177:CV177)</f>
      </c>
      <c r="CV177" s="146"/>
      <c r="CW177" s="145"/>
      <c r="CX177" s="145"/>
      <c r="CY177" s="145">
        <f>SUM(CZ177:DE177)</f>
      </c>
      <c r="CZ177" s="145"/>
      <c r="DA177" s="146"/>
      <c r="DB177" s="146"/>
      <c r="DC177" s="153"/>
      <c r="DD177" s="153"/>
      <c r="DE177" s="145"/>
      <c r="DF177" s="145"/>
      <c r="DG177" s="145"/>
      <c r="DH177" s="158"/>
      <c r="DI177" s="145"/>
      <c r="DJ177" s="158"/>
      <c r="DK177" s="145"/>
      <c r="DL177" s="158"/>
      <c r="DM177" s="145"/>
      <c r="DN177" s="145"/>
      <c r="DO177" s="145"/>
      <c r="DP177" s="158"/>
      <c r="DQ177" s="145"/>
      <c r="DR177" s="145"/>
      <c r="DS177" s="145"/>
      <c r="DT177" s="145"/>
      <c r="DU177" s="145">
        <f>SUM(DV177:EE177)</f>
      </c>
      <c r="DV177" s="145"/>
      <c r="DW177" s="145"/>
      <c r="DX177" s="145"/>
      <c r="DY177" s="145"/>
      <c r="DZ177" s="146"/>
      <c r="EA177" s="158"/>
      <c r="EB177" s="146"/>
      <c r="EC177" s="145"/>
      <c r="ED177" s="145"/>
      <c r="EE177" s="155"/>
      <c r="EF177" s="145">
        <f>SUM(EG177:EH177)</f>
      </c>
      <c r="EG177" s="145"/>
      <c r="EH177" s="146"/>
      <c r="EI177" s="159" cm="1">
        <f t="array" ref="EI177">ROW()-ROW(Run[#Headers])</f>
        <v>171</v>
      </c>
    </row>
    <row r="178" spans="2:139" s="79" customFormat="1" ht="11.25" x14ac:dyDescent="0.2">
      <c r="B178" s="146"/>
      <c r="C178" s="155"/>
      <c r="D178" s="145"/>
      <c r="E178" s="152">
        <f>SUM(F178:AE178)</f>
      </c>
      <c r="F178" s="146"/>
      <c r="G178" s="146"/>
      <c r="H178" s="146"/>
      <c r="I178" s="146"/>
      <c r="J178" s="146"/>
      <c r="K178" s="156"/>
      <c r="L178" s="146"/>
      <c r="M178" s="146"/>
      <c r="N178" s="146"/>
      <c r="O178" s="146"/>
      <c r="P178" s="156"/>
      <c r="Q178" s="146"/>
      <c r="R178" s="146"/>
      <c r="S178" s="146"/>
      <c r="T178" s="156"/>
      <c r="U178" s="146"/>
      <c r="V178" s="146"/>
      <c r="W178" s="146"/>
      <c r="X178" s="146"/>
      <c r="Y178" s="146"/>
      <c r="Z178" s="146"/>
      <c r="AA178" s="146"/>
      <c r="AB178" s="146"/>
      <c r="AC178" s="157"/>
      <c r="AD178" s="157"/>
      <c r="AE178" s="157"/>
      <c r="AF178" s="158">
        <f>SUM(AG178:AJ178)</f>
      </c>
      <c r="AG178" s="146"/>
      <c r="AH178" s="145"/>
      <c r="AI178" s="145"/>
      <c r="AJ178" s="145"/>
      <c r="AK178" s="158">
        <f>SUM(AL178:AW178)</f>
      </c>
      <c r="AL178" s="146"/>
      <c r="AM178" s="145"/>
      <c r="AN178" s="145"/>
      <c r="AO178" s="145"/>
      <c r="AP178" s="145"/>
      <c r="AQ178" s="145"/>
      <c r="AR178" s="145"/>
      <c r="AS178" s="145"/>
      <c r="AT178" s="145"/>
      <c r="AU178" s="145"/>
      <c r="AV178" s="145"/>
      <c r="AW178" s="158"/>
      <c r="AX178" s="145"/>
      <c r="AY178" s="145"/>
      <c r="AZ178" s="145"/>
      <c r="BA178" s="158"/>
      <c r="BB178" s="145"/>
      <c r="BC178" s="145"/>
      <c r="BD178" s="158"/>
      <c r="BE178" s="146"/>
      <c r="BF178" s="145"/>
      <c r="BG178" s="145"/>
      <c r="BH178" s="158">
        <f>SUM(BI178:BK178)</f>
      </c>
      <c r="BI178" s="145"/>
      <c r="BJ178" s="145"/>
      <c r="BK178" s="145"/>
      <c r="BL178" s="145">
        <f>SUM(BM178:BR178)</f>
      </c>
      <c r="BM178" s="145"/>
      <c r="BN178" s="145"/>
      <c r="BO178" s="158"/>
      <c r="BP178" s="145"/>
      <c r="BQ178" s="145"/>
      <c r="BR178" s="145"/>
      <c r="BS178" s="145"/>
      <c r="BT178" s="145"/>
      <c r="BU178" s="158"/>
      <c r="BV178" s="146"/>
      <c r="BW178" s="145"/>
      <c r="BX178" s="145"/>
      <c r="BY178" s="158">
        <f>SUM(BZ178:CB178)</f>
      </c>
      <c r="BZ178" s="146"/>
      <c r="CA178" s="145"/>
      <c r="CB178" s="145"/>
      <c r="CC178" s="145">
        <f>SUM(CD178:CH178)</f>
      </c>
      <c r="CD178" s="145"/>
      <c r="CE178" s="158"/>
      <c r="CF178" s="145"/>
      <c r="CG178" s="145"/>
      <c r="CH178" s="145"/>
      <c r="CI178" s="158"/>
      <c r="CJ178" s="145"/>
      <c r="CK178" s="145"/>
      <c r="CL178" s="145"/>
      <c r="CM178" s="145"/>
      <c r="CN178" s="145"/>
      <c r="CO178" s="145"/>
      <c r="CP178" s="145"/>
      <c r="CQ178" s="158"/>
      <c r="CR178" s="146"/>
      <c r="CS178" s="158"/>
      <c r="CT178" s="158"/>
      <c r="CU178" s="158">
        <f>SUM(CV178:CV178)</f>
      </c>
      <c r="CV178" s="146"/>
      <c r="CW178" s="145"/>
      <c r="CX178" s="145"/>
      <c r="CY178" s="145">
        <f>SUM(CZ178:DE178)</f>
      </c>
      <c r="CZ178" s="145"/>
      <c r="DA178" s="146"/>
      <c r="DB178" s="146"/>
      <c r="DC178" s="153"/>
      <c r="DD178" s="153"/>
      <c r="DE178" s="145"/>
      <c r="DF178" s="145"/>
      <c r="DG178" s="145"/>
      <c r="DH178" s="158"/>
      <c r="DI178" s="145"/>
      <c r="DJ178" s="158"/>
      <c r="DK178" s="145"/>
      <c r="DL178" s="158"/>
      <c r="DM178" s="145"/>
      <c r="DN178" s="145"/>
      <c r="DO178" s="145"/>
      <c r="DP178" s="158"/>
      <c r="DQ178" s="145"/>
      <c r="DR178" s="145"/>
      <c r="DS178" s="145"/>
      <c r="DT178" s="145"/>
      <c r="DU178" s="145">
        <f>SUM(DV178:EE178)</f>
      </c>
      <c r="DV178" s="145"/>
      <c r="DW178" s="145"/>
      <c r="DX178" s="145"/>
      <c r="DY178" s="145"/>
      <c r="DZ178" s="146"/>
      <c r="EA178" s="158"/>
      <c r="EB178" s="146"/>
      <c r="EC178" s="145"/>
      <c r="ED178" s="145"/>
      <c r="EE178" s="155"/>
      <c r="EF178" s="145">
        <f>SUM(EG178:EH178)</f>
      </c>
      <c r="EG178" s="145"/>
      <c r="EH178" s="146"/>
      <c r="EI178" s="159" cm="1">
        <f t="array" ref="EI178">ROW()-ROW(Run[#Headers])</f>
        <v>172</v>
      </c>
    </row>
    <row r="179" spans="2:139" s="79" customFormat="1" ht="11.25" x14ac:dyDescent="0.2">
      <c r="B179" s="146"/>
      <c r="C179" s="155"/>
      <c r="D179" s="145"/>
      <c r="E179" s="152">
        <f>SUM(F179:AE179)</f>
      </c>
      <c r="F179" s="146"/>
      <c r="G179" s="146"/>
      <c r="H179" s="146"/>
      <c r="I179" s="146"/>
      <c r="J179" s="146"/>
      <c r="K179" s="156"/>
      <c r="L179" s="146"/>
      <c r="M179" s="146"/>
      <c r="N179" s="146"/>
      <c r="O179" s="146"/>
      <c r="P179" s="156"/>
      <c r="Q179" s="146"/>
      <c r="R179" s="146"/>
      <c r="S179" s="146"/>
      <c r="T179" s="156"/>
      <c r="U179" s="146"/>
      <c r="V179" s="146"/>
      <c r="W179" s="146"/>
      <c r="X179" s="146"/>
      <c r="Y179" s="146"/>
      <c r="Z179" s="146"/>
      <c r="AA179" s="146"/>
      <c r="AB179" s="146"/>
      <c r="AC179" s="157"/>
      <c r="AD179" s="157"/>
      <c r="AE179" s="157"/>
      <c r="AF179" s="158">
        <f>SUM(AG179:AJ179)</f>
      </c>
      <c r="AG179" s="146"/>
      <c r="AH179" s="145"/>
      <c r="AI179" s="145"/>
      <c r="AJ179" s="145"/>
      <c r="AK179" s="158">
        <f>SUM(AL179:AW179)</f>
      </c>
      <c r="AL179" s="146"/>
      <c r="AM179" s="145"/>
      <c r="AN179" s="145"/>
      <c r="AO179" s="145"/>
      <c r="AP179" s="145"/>
      <c r="AQ179" s="145"/>
      <c r="AR179" s="145"/>
      <c r="AS179" s="145"/>
      <c r="AT179" s="145"/>
      <c r="AU179" s="145"/>
      <c r="AV179" s="145"/>
      <c r="AW179" s="158"/>
      <c r="AX179" s="145"/>
      <c r="AY179" s="145"/>
      <c r="AZ179" s="145"/>
      <c r="BA179" s="158"/>
      <c r="BB179" s="145"/>
      <c r="BC179" s="145"/>
      <c r="BD179" s="158"/>
      <c r="BE179" s="146"/>
      <c r="BF179" s="145"/>
      <c r="BG179" s="145"/>
      <c r="BH179" s="158">
        <f>SUM(BI179:BK179)</f>
      </c>
      <c r="BI179" s="145"/>
      <c r="BJ179" s="145"/>
      <c r="BK179" s="145"/>
      <c r="BL179" s="145">
        <f>SUM(BM179:BR179)</f>
      </c>
      <c r="BM179" s="145"/>
      <c r="BN179" s="145"/>
      <c r="BO179" s="158"/>
      <c r="BP179" s="145"/>
      <c r="BQ179" s="145"/>
      <c r="BR179" s="145"/>
      <c r="BS179" s="145"/>
      <c r="BT179" s="145"/>
      <c r="BU179" s="158"/>
      <c r="BV179" s="146"/>
      <c r="BW179" s="145"/>
      <c r="BX179" s="145"/>
      <c r="BY179" s="158">
        <f>SUM(BZ179:CB179)</f>
      </c>
      <c r="BZ179" s="146"/>
      <c r="CA179" s="145"/>
      <c r="CB179" s="145"/>
      <c r="CC179" s="145">
        <f>SUM(CD179:CH179)</f>
      </c>
      <c r="CD179" s="145"/>
      <c r="CE179" s="158"/>
      <c r="CF179" s="145"/>
      <c r="CG179" s="145"/>
      <c r="CH179" s="145"/>
      <c r="CI179" s="158"/>
      <c r="CJ179" s="145"/>
      <c r="CK179" s="145"/>
      <c r="CL179" s="145"/>
      <c r="CM179" s="145"/>
      <c r="CN179" s="145"/>
      <c r="CO179" s="145"/>
      <c r="CP179" s="145"/>
      <c r="CQ179" s="158"/>
      <c r="CR179" s="146"/>
      <c r="CS179" s="158"/>
      <c r="CT179" s="158"/>
      <c r="CU179" s="158">
        <f>SUM(CV179:CV179)</f>
      </c>
      <c r="CV179" s="146"/>
      <c r="CW179" s="145"/>
      <c r="CX179" s="145"/>
      <c r="CY179" s="145">
        <f>SUM(CZ179:DE179)</f>
      </c>
      <c r="CZ179" s="145"/>
      <c r="DA179" s="146"/>
      <c r="DB179" s="146"/>
      <c r="DC179" s="153"/>
      <c r="DD179" s="153"/>
      <c r="DE179" s="145"/>
      <c r="DF179" s="145"/>
      <c r="DG179" s="145"/>
      <c r="DH179" s="158"/>
      <c r="DI179" s="145"/>
      <c r="DJ179" s="158"/>
      <c r="DK179" s="145"/>
      <c r="DL179" s="158"/>
      <c r="DM179" s="145"/>
      <c r="DN179" s="145"/>
      <c r="DO179" s="145"/>
      <c r="DP179" s="158"/>
      <c r="DQ179" s="145"/>
      <c r="DR179" s="145"/>
      <c r="DS179" s="145"/>
      <c r="DT179" s="145"/>
      <c r="DU179" s="145">
        <f>SUM(DV179:EE179)</f>
      </c>
      <c r="DV179" s="145"/>
      <c r="DW179" s="145"/>
      <c r="DX179" s="145"/>
      <c r="DY179" s="145"/>
      <c r="DZ179" s="146"/>
      <c r="EA179" s="158"/>
      <c r="EB179" s="146"/>
      <c r="EC179" s="145"/>
      <c r="ED179" s="145"/>
      <c r="EE179" s="155"/>
      <c r="EF179" s="145">
        <f>SUM(EG179:EH179)</f>
      </c>
      <c r="EG179" s="145"/>
      <c r="EH179" s="146"/>
      <c r="EI179" s="159" cm="1">
        <f t="array" ref="EI179">ROW()-ROW(Run[#Headers])</f>
        <v>173</v>
      </c>
    </row>
    <row r="180" spans="2:139" s="79" customFormat="1" ht="11.25" x14ac:dyDescent="0.2">
      <c r="B180" s="146"/>
      <c r="C180" s="155"/>
      <c r="D180" s="145"/>
      <c r="E180" s="152">
        <f>SUM(F180:AE180)</f>
      </c>
      <c r="F180" s="146"/>
      <c r="G180" s="146"/>
      <c r="H180" s="146"/>
      <c r="I180" s="146"/>
      <c r="J180" s="146"/>
      <c r="K180" s="156"/>
      <c r="L180" s="146"/>
      <c r="M180" s="146"/>
      <c r="N180" s="146"/>
      <c r="O180" s="146"/>
      <c r="P180" s="156"/>
      <c r="Q180" s="146"/>
      <c r="R180" s="146"/>
      <c r="S180" s="146"/>
      <c r="T180" s="156"/>
      <c r="U180" s="146"/>
      <c r="V180" s="146"/>
      <c r="W180" s="146"/>
      <c r="X180" s="146"/>
      <c r="Y180" s="146"/>
      <c r="Z180" s="146"/>
      <c r="AA180" s="146"/>
      <c r="AB180" s="146"/>
      <c r="AC180" s="157"/>
      <c r="AD180" s="157"/>
      <c r="AE180" s="157"/>
      <c r="AF180" s="158">
        <f>SUM(AG180:AJ180)</f>
      </c>
      <c r="AG180" s="146"/>
      <c r="AH180" s="145"/>
      <c r="AI180" s="145"/>
      <c r="AJ180" s="145"/>
      <c r="AK180" s="158">
        <f>SUM(AL180:AW180)</f>
      </c>
      <c r="AL180" s="146"/>
      <c r="AM180" s="145"/>
      <c r="AN180" s="145"/>
      <c r="AO180" s="145"/>
      <c r="AP180" s="145"/>
      <c r="AQ180" s="145"/>
      <c r="AR180" s="145"/>
      <c r="AS180" s="145"/>
      <c r="AT180" s="145"/>
      <c r="AU180" s="145"/>
      <c r="AV180" s="145"/>
      <c r="AW180" s="158"/>
      <c r="AX180" s="145"/>
      <c r="AY180" s="145"/>
      <c r="AZ180" s="145"/>
      <c r="BA180" s="158"/>
      <c r="BB180" s="145"/>
      <c r="BC180" s="145"/>
      <c r="BD180" s="158"/>
      <c r="BE180" s="146"/>
      <c r="BF180" s="145"/>
      <c r="BG180" s="145"/>
      <c r="BH180" s="158">
        <f>SUM(BI180:BK180)</f>
      </c>
      <c r="BI180" s="145"/>
      <c r="BJ180" s="145"/>
      <c r="BK180" s="145"/>
      <c r="BL180" s="145">
        <f>SUM(BM180:BR180)</f>
      </c>
      <c r="BM180" s="145"/>
      <c r="BN180" s="145"/>
      <c r="BO180" s="158"/>
      <c r="BP180" s="145"/>
      <c r="BQ180" s="145"/>
      <c r="BR180" s="145"/>
      <c r="BS180" s="145"/>
      <c r="BT180" s="145"/>
      <c r="BU180" s="158"/>
      <c r="BV180" s="146"/>
      <c r="BW180" s="145"/>
      <c r="BX180" s="145"/>
      <c r="BY180" s="158">
        <f>SUM(BZ180:CB180)</f>
      </c>
      <c r="BZ180" s="146"/>
      <c r="CA180" s="145"/>
      <c r="CB180" s="145"/>
      <c r="CC180" s="145">
        <f>SUM(CD180:CH180)</f>
      </c>
      <c r="CD180" s="145"/>
      <c r="CE180" s="158"/>
      <c r="CF180" s="145"/>
      <c r="CG180" s="145"/>
      <c r="CH180" s="145"/>
      <c r="CI180" s="158"/>
      <c r="CJ180" s="145"/>
      <c r="CK180" s="145"/>
      <c r="CL180" s="145"/>
      <c r="CM180" s="145"/>
      <c r="CN180" s="145"/>
      <c r="CO180" s="145"/>
      <c r="CP180" s="145"/>
      <c r="CQ180" s="158"/>
      <c r="CR180" s="146"/>
      <c r="CS180" s="158"/>
      <c r="CT180" s="158"/>
      <c r="CU180" s="158">
        <f>SUM(CV180:CV180)</f>
      </c>
      <c r="CV180" s="146"/>
      <c r="CW180" s="145"/>
      <c r="CX180" s="145"/>
      <c r="CY180" s="145">
        <f>SUM(CZ180:DE180)</f>
      </c>
      <c r="CZ180" s="145"/>
      <c r="DA180" s="146"/>
      <c r="DB180" s="146"/>
      <c r="DC180" s="153"/>
      <c r="DD180" s="153"/>
      <c r="DE180" s="145"/>
      <c r="DF180" s="145"/>
      <c r="DG180" s="145"/>
      <c r="DH180" s="158"/>
      <c r="DI180" s="145"/>
      <c r="DJ180" s="158"/>
      <c r="DK180" s="145"/>
      <c r="DL180" s="158"/>
      <c r="DM180" s="145"/>
      <c r="DN180" s="145"/>
      <c r="DO180" s="145"/>
      <c r="DP180" s="158"/>
      <c r="DQ180" s="145"/>
      <c r="DR180" s="145"/>
      <c r="DS180" s="145"/>
      <c r="DT180" s="145"/>
      <c r="DU180" s="145">
        <f>SUM(DV180:EE180)</f>
      </c>
      <c r="DV180" s="145"/>
      <c r="DW180" s="145"/>
      <c r="DX180" s="145"/>
      <c r="DY180" s="145"/>
      <c r="DZ180" s="146"/>
      <c r="EA180" s="158"/>
      <c r="EB180" s="146"/>
      <c r="EC180" s="145"/>
      <c r="ED180" s="145"/>
      <c r="EE180" s="155"/>
      <c r="EF180" s="145">
        <f>SUM(EG180:EH180)</f>
      </c>
      <c r="EG180" s="145"/>
      <c r="EH180" s="146"/>
      <c r="EI180" s="159" cm="1">
        <f t="array" ref="EI180">ROW()-ROW(Run[#Headers])</f>
        <v>174</v>
      </c>
    </row>
    <row r="181" spans="2:139" s="79" customFormat="1" ht="11.25" x14ac:dyDescent="0.2">
      <c r="B181" s="146"/>
      <c r="C181" s="155"/>
      <c r="D181" s="145"/>
      <c r="E181" s="152">
        <f>SUM(F181:AE181)</f>
      </c>
      <c r="F181" s="146"/>
      <c r="G181" s="146"/>
      <c r="H181" s="146"/>
      <c r="I181" s="146"/>
      <c r="J181" s="146"/>
      <c r="K181" s="156"/>
      <c r="L181" s="146"/>
      <c r="M181" s="146"/>
      <c r="N181" s="146"/>
      <c r="O181" s="146"/>
      <c r="P181" s="156"/>
      <c r="Q181" s="146"/>
      <c r="R181" s="146"/>
      <c r="S181" s="146"/>
      <c r="T181" s="156"/>
      <c r="U181" s="146"/>
      <c r="V181" s="146"/>
      <c r="W181" s="146"/>
      <c r="X181" s="146"/>
      <c r="Y181" s="146"/>
      <c r="Z181" s="146"/>
      <c r="AA181" s="146"/>
      <c r="AB181" s="146"/>
      <c r="AC181" s="157"/>
      <c r="AD181" s="157"/>
      <c r="AE181" s="157"/>
      <c r="AF181" s="158">
        <f>SUM(AG181:AJ181)</f>
      </c>
      <c r="AG181" s="146"/>
      <c r="AH181" s="145"/>
      <c r="AI181" s="145"/>
      <c r="AJ181" s="145"/>
      <c r="AK181" s="158">
        <f>SUM(AL181:AW181)</f>
      </c>
      <c r="AL181" s="146"/>
      <c r="AM181" s="145"/>
      <c r="AN181" s="145"/>
      <c r="AO181" s="145"/>
      <c r="AP181" s="145"/>
      <c r="AQ181" s="145"/>
      <c r="AR181" s="145"/>
      <c r="AS181" s="145"/>
      <c r="AT181" s="145"/>
      <c r="AU181" s="145"/>
      <c r="AV181" s="145"/>
      <c r="AW181" s="158"/>
      <c r="AX181" s="145"/>
      <c r="AY181" s="145"/>
      <c r="AZ181" s="145"/>
      <c r="BA181" s="158"/>
      <c r="BB181" s="145"/>
      <c r="BC181" s="145"/>
      <c r="BD181" s="158"/>
      <c r="BE181" s="146"/>
      <c r="BF181" s="145"/>
      <c r="BG181" s="145"/>
      <c r="BH181" s="158">
        <f>SUM(BI181:BK181)</f>
      </c>
      <c r="BI181" s="145"/>
      <c r="BJ181" s="145"/>
      <c r="BK181" s="145"/>
      <c r="BL181" s="145">
        <f>SUM(BM181:BR181)</f>
      </c>
      <c r="BM181" s="145"/>
      <c r="BN181" s="145"/>
      <c r="BO181" s="158"/>
      <c r="BP181" s="145"/>
      <c r="BQ181" s="145"/>
      <c r="BR181" s="145"/>
      <c r="BS181" s="145"/>
      <c r="BT181" s="145"/>
      <c r="BU181" s="158"/>
      <c r="BV181" s="146"/>
      <c r="BW181" s="145"/>
      <c r="BX181" s="145"/>
      <c r="BY181" s="158">
        <f>SUM(BZ181:CB181)</f>
      </c>
      <c r="BZ181" s="146"/>
      <c r="CA181" s="145"/>
      <c r="CB181" s="145"/>
      <c r="CC181" s="145">
        <f>SUM(CD181:CH181)</f>
      </c>
      <c r="CD181" s="145"/>
      <c r="CE181" s="158"/>
      <c r="CF181" s="145"/>
      <c r="CG181" s="145"/>
      <c r="CH181" s="145"/>
      <c r="CI181" s="158"/>
      <c r="CJ181" s="145"/>
      <c r="CK181" s="145"/>
      <c r="CL181" s="145"/>
      <c r="CM181" s="145"/>
      <c r="CN181" s="145"/>
      <c r="CO181" s="145"/>
      <c r="CP181" s="145"/>
      <c r="CQ181" s="158"/>
      <c r="CR181" s="146"/>
      <c r="CS181" s="158"/>
      <c r="CT181" s="158"/>
      <c r="CU181" s="158">
        <f>SUM(CV181:CV181)</f>
      </c>
      <c r="CV181" s="146"/>
      <c r="CW181" s="145"/>
      <c r="CX181" s="145"/>
      <c r="CY181" s="145">
        <f>SUM(CZ181:DE181)</f>
      </c>
      <c r="CZ181" s="145"/>
      <c r="DA181" s="146"/>
      <c r="DB181" s="146"/>
      <c r="DC181" s="153"/>
      <c r="DD181" s="153"/>
      <c r="DE181" s="145"/>
      <c r="DF181" s="145"/>
      <c r="DG181" s="145"/>
      <c r="DH181" s="158"/>
      <c r="DI181" s="145"/>
      <c r="DJ181" s="158"/>
      <c r="DK181" s="145"/>
      <c r="DL181" s="158"/>
      <c r="DM181" s="145"/>
      <c r="DN181" s="145"/>
      <c r="DO181" s="145"/>
      <c r="DP181" s="158"/>
      <c r="DQ181" s="145"/>
      <c r="DR181" s="145"/>
      <c r="DS181" s="145"/>
      <c r="DT181" s="145"/>
      <c r="DU181" s="145">
        <f>SUM(DV181:EE181)</f>
      </c>
      <c r="DV181" s="145"/>
      <c r="DW181" s="145"/>
      <c r="DX181" s="145"/>
      <c r="DY181" s="145"/>
      <c r="DZ181" s="146"/>
      <c r="EA181" s="158"/>
      <c r="EB181" s="146"/>
      <c r="EC181" s="145"/>
      <c r="ED181" s="145"/>
      <c r="EE181" s="155"/>
      <c r="EF181" s="145">
        <f>SUM(EG181:EH181)</f>
      </c>
      <c r="EG181" s="145"/>
      <c r="EH181" s="146"/>
      <c r="EI181" s="159" cm="1">
        <f t="array" ref="EI181">ROW()-ROW(Run[#Headers])</f>
        <v>175</v>
      </c>
    </row>
    <row r="182" spans="2:139" s="79" customFormat="1" ht="11.25" x14ac:dyDescent="0.2">
      <c r="B182" s="146"/>
      <c r="C182" s="155"/>
      <c r="D182" s="145"/>
      <c r="E182" s="152">
        <f>SUM(F182:AE182)</f>
      </c>
      <c r="F182" s="146"/>
      <c r="G182" s="146"/>
      <c r="H182" s="146"/>
      <c r="I182" s="146"/>
      <c r="J182" s="146"/>
      <c r="K182" s="156"/>
      <c r="L182" s="146"/>
      <c r="M182" s="146"/>
      <c r="N182" s="146"/>
      <c r="O182" s="146"/>
      <c r="P182" s="156"/>
      <c r="Q182" s="146"/>
      <c r="R182" s="146"/>
      <c r="S182" s="146"/>
      <c r="T182" s="156"/>
      <c r="U182" s="146"/>
      <c r="V182" s="146"/>
      <c r="W182" s="146"/>
      <c r="X182" s="146"/>
      <c r="Y182" s="146"/>
      <c r="Z182" s="146"/>
      <c r="AA182" s="146"/>
      <c r="AB182" s="146"/>
      <c r="AC182" s="157"/>
      <c r="AD182" s="157"/>
      <c r="AE182" s="157"/>
      <c r="AF182" s="158">
        <f>SUM(AG182:AJ182)</f>
      </c>
      <c r="AG182" s="146"/>
      <c r="AH182" s="145"/>
      <c r="AI182" s="145"/>
      <c r="AJ182" s="145"/>
      <c r="AK182" s="158">
        <f>SUM(AL182:AW182)</f>
      </c>
      <c r="AL182" s="146"/>
      <c r="AM182" s="145"/>
      <c r="AN182" s="145"/>
      <c r="AO182" s="145"/>
      <c r="AP182" s="145"/>
      <c r="AQ182" s="145"/>
      <c r="AR182" s="145"/>
      <c r="AS182" s="145"/>
      <c r="AT182" s="145"/>
      <c r="AU182" s="145"/>
      <c r="AV182" s="145"/>
      <c r="AW182" s="158"/>
      <c r="AX182" s="145"/>
      <c r="AY182" s="145"/>
      <c r="AZ182" s="145"/>
      <c r="BA182" s="158"/>
      <c r="BB182" s="145"/>
      <c r="BC182" s="145"/>
      <c r="BD182" s="158"/>
      <c r="BE182" s="146"/>
      <c r="BF182" s="145"/>
      <c r="BG182" s="145"/>
      <c r="BH182" s="158">
        <f>SUM(BI182:BK182)</f>
      </c>
      <c r="BI182" s="145"/>
      <c r="BJ182" s="145"/>
      <c r="BK182" s="145"/>
      <c r="BL182" s="145">
        <f>SUM(BM182:BR182)</f>
      </c>
      <c r="BM182" s="145"/>
      <c r="BN182" s="145"/>
      <c r="BO182" s="158"/>
      <c r="BP182" s="145"/>
      <c r="BQ182" s="145"/>
      <c r="BR182" s="145"/>
      <c r="BS182" s="145"/>
      <c r="BT182" s="145"/>
      <c r="BU182" s="158"/>
      <c r="BV182" s="146"/>
      <c r="BW182" s="145"/>
      <c r="BX182" s="145"/>
      <c r="BY182" s="158">
        <f>SUM(BZ182:CB182)</f>
      </c>
      <c r="BZ182" s="146"/>
      <c r="CA182" s="145"/>
      <c r="CB182" s="145"/>
      <c r="CC182" s="145">
        <f>SUM(CD182:CH182)</f>
      </c>
      <c r="CD182" s="145"/>
      <c r="CE182" s="158"/>
      <c r="CF182" s="145"/>
      <c r="CG182" s="145"/>
      <c r="CH182" s="145"/>
      <c r="CI182" s="158"/>
      <c r="CJ182" s="145"/>
      <c r="CK182" s="145"/>
      <c r="CL182" s="145"/>
      <c r="CM182" s="145"/>
      <c r="CN182" s="145"/>
      <c r="CO182" s="145"/>
      <c r="CP182" s="145"/>
      <c r="CQ182" s="158"/>
      <c r="CR182" s="146"/>
      <c r="CS182" s="158"/>
      <c r="CT182" s="158"/>
      <c r="CU182" s="158">
        <f>SUM(CV182:CV182)</f>
      </c>
      <c r="CV182" s="146"/>
      <c r="CW182" s="145"/>
      <c r="CX182" s="145"/>
      <c r="CY182" s="145">
        <f>SUM(CZ182:DE182)</f>
      </c>
      <c r="CZ182" s="145"/>
      <c r="DA182" s="146"/>
      <c r="DB182" s="146"/>
      <c r="DC182" s="153"/>
      <c r="DD182" s="153"/>
      <c r="DE182" s="145"/>
      <c r="DF182" s="145"/>
      <c r="DG182" s="145"/>
      <c r="DH182" s="158"/>
      <c r="DI182" s="145"/>
      <c r="DJ182" s="158"/>
      <c r="DK182" s="145"/>
      <c r="DL182" s="158"/>
      <c r="DM182" s="145"/>
      <c r="DN182" s="145"/>
      <c r="DO182" s="145"/>
      <c r="DP182" s="158"/>
      <c r="DQ182" s="145"/>
      <c r="DR182" s="145"/>
      <c r="DS182" s="145"/>
      <c r="DT182" s="145"/>
      <c r="DU182" s="145">
        <f>SUM(DV182:EE182)</f>
      </c>
      <c r="DV182" s="145"/>
      <c r="DW182" s="145"/>
      <c r="DX182" s="145"/>
      <c r="DY182" s="145"/>
      <c r="DZ182" s="146"/>
      <c r="EA182" s="158"/>
      <c r="EB182" s="146"/>
      <c r="EC182" s="145"/>
      <c r="ED182" s="145"/>
      <c r="EE182" s="155"/>
      <c r="EF182" s="145">
        <f>SUM(EG182:EH182)</f>
      </c>
      <c r="EG182" s="145"/>
      <c r="EH182" s="146"/>
      <c r="EI182" s="159" cm="1">
        <f t="array" ref="EI182">ROW()-ROW(Run[#Headers])</f>
        <v>176</v>
      </c>
    </row>
    <row r="183" spans="2:139" s="79" customFormat="1" ht="11.25" x14ac:dyDescent="0.2">
      <c r="B183" s="146"/>
      <c r="C183" s="155"/>
      <c r="D183" s="145"/>
      <c r="E183" s="152">
        <f>SUM(F183:AE183)</f>
      </c>
      <c r="F183" s="146"/>
      <c r="G183" s="146"/>
      <c r="H183" s="146"/>
      <c r="I183" s="146"/>
      <c r="J183" s="146"/>
      <c r="K183" s="156"/>
      <c r="L183" s="146"/>
      <c r="M183" s="146"/>
      <c r="N183" s="146"/>
      <c r="O183" s="146"/>
      <c r="P183" s="156"/>
      <c r="Q183" s="146"/>
      <c r="R183" s="146"/>
      <c r="S183" s="146"/>
      <c r="T183" s="156"/>
      <c r="U183" s="146"/>
      <c r="V183" s="146"/>
      <c r="W183" s="146"/>
      <c r="X183" s="146"/>
      <c r="Y183" s="146"/>
      <c r="Z183" s="146"/>
      <c r="AA183" s="146"/>
      <c r="AB183" s="146"/>
      <c r="AC183" s="157"/>
      <c r="AD183" s="157"/>
      <c r="AE183" s="157"/>
      <c r="AF183" s="158">
        <f>SUM(AG183:AJ183)</f>
      </c>
      <c r="AG183" s="146"/>
      <c r="AH183" s="145"/>
      <c r="AI183" s="145"/>
      <c r="AJ183" s="145"/>
      <c r="AK183" s="158">
        <f>SUM(AL183:AW183)</f>
      </c>
      <c r="AL183" s="146"/>
      <c r="AM183" s="145"/>
      <c r="AN183" s="145"/>
      <c r="AO183" s="145"/>
      <c r="AP183" s="145"/>
      <c r="AQ183" s="145"/>
      <c r="AR183" s="145"/>
      <c r="AS183" s="145"/>
      <c r="AT183" s="145"/>
      <c r="AU183" s="145"/>
      <c r="AV183" s="145"/>
      <c r="AW183" s="158"/>
      <c r="AX183" s="145"/>
      <c r="AY183" s="145"/>
      <c r="AZ183" s="145"/>
      <c r="BA183" s="158"/>
      <c r="BB183" s="145"/>
      <c r="BC183" s="145"/>
      <c r="BD183" s="158"/>
      <c r="BE183" s="146"/>
      <c r="BF183" s="145"/>
      <c r="BG183" s="145"/>
      <c r="BH183" s="158">
        <f>SUM(BI183:BK183)</f>
      </c>
      <c r="BI183" s="145"/>
      <c r="BJ183" s="145"/>
      <c r="BK183" s="145"/>
      <c r="BL183" s="145">
        <f>SUM(BM183:BR183)</f>
      </c>
      <c r="BM183" s="145"/>
      <c r="BN183" s="145"/>
      <c r="BO183" s="158"/>
      <c r="BP183" s="145"/>
      <c r="BQ183" s="145"/>
      <c r="BR183" s="145"/>
      <c r="BS183" s="145"/>
      <c r="BT183" s="145"/>
      <c r="BU183" s="158"/>
      <c r="BV183" s="146"/>
      <c r="BW183" s="145"/>
      <c r="BX183" s="145"/>
      <c r="BY183" s="158">
        <f>SUM(BZ183:CB183)</f>
      </c>
      <c r="BZ183" s="146"/>
      <c r="CA183" s="145"/>
      <c r="CB183" s="145"/>
      <c r="CC183" s="145">
        <f>SUM(CD183:CH183)</f>
      </c>
      <c r="CD183" s="145"/>
      <c r="CE183" s="158"/>
      <c r="CF183" s="145"/>
      <c r="CG183" s="145"/>
      <c r="CH183" s="145"/>
      <c r="CI183" s="158"/>
      <c r="CJ183" s="145"/>
      <c r="CK183" s="145"/>
      <c r="CL183" s="145"/>
      <c r="CM183" s="145"/>
      <c r="CN183" s="145"/>
      <c r="CO183" s="145"/>
      <c r="CP183" s="145"/>
      <c r="CQ183" s="158"/>
      <c r="CR183" s="146"/>
      <c r="CS183" s="158"/>
      <c r="CT183" s="158"/>
      <c r="CU183" s="158">
        <f>SUM(CV183:CV183)</f>
      </c>
      <c r="CV183" s="146"/>
      <c r="CW183" s="145"/>
      <c r="CX183" s="145"/>
      <c r="CY183" s="145">
        <f>SUM(CZ183:DE183)</f>
      </c>
      <c r="CZ183" s="145"/>
      <c r="DA183" s="146"/>
      <c r="DB183" s="146"/>
      <c r="DC183" s="153"/>
      <c r="DD183" s="153"/>
      <c r="DE183" s="145"/>
      <c r="DF183" s="145"/>
      <c r="DG183" s="145"/>
      <c r="DH183" s="158"/>
      <c r="DI183" s="145"/>
      <c r="DJ183" s="158"/>
      <c r="DK183" s="145"/>
      <c r="DL183" s="158"/>
      <c r="DM183" s="145"/>
      <c r="DN183" s="145"/>
      <c r="DO183" s="145"/>
      <c r="DP183" s="158"/>
      <c r="DQ183" s="145"/>
      <c r="DR183" s="145"/>
      <c r="DS183" s="145"/>
      <c r="DT183" s="145"/>
      <c r="DU183" s="145">
        <f>SUM(DV183:EE183)</f>
      </c>
      <c r="DV183" s="145"/>
      <c r="DW183" s="145"/>
      <c r="DX183" s="145"/>
      <c r="DY183" s="145"/>
      <c r="DZ183" s="146"/>
      <c r="EA183" s="158"/>
      <c r="EB183" s="146"/>
      <c r="EC183" s="145"/>
      <c r="ED183" s="145"/>
      <c r="EE183" s="155"/>
      <c r="EF183" s="145">
        <f>SUM(EG183:EH183)</f>
      </c>
      <c r="EG183" s="145"/>
      <c r="EH183" s="146"/>
      <c r="EI183" s="159" cm="1">
        <f t="array" ref="EI183">ROW()-ROW(Run[#Headers])</f>
        <v>177</v>
      </c>
    </row>
    <row r="184" spans="2:139" s="79" customFormat="1" ht="11.25" x14ac:dyDescent="0.2">
      <c r="B184" s="146"/>
      <c r="C184" s="155"/>
      <c r="D184" s="145"/>
      <c r="E184" s="152">
        <f>SUM(F184:AE184)</f>
      </c>
      <c r="F184" s="146"/>
      <c r="G184" s="146"/>
      <c r="H184" s="146"/>
      <c r="I184" s="146"/>
      <c r="J184" s="146"/>
      <c r="K184" s="156"/>
      <c r="L184" s="146"/>
      <c r="M184" s="146"/>
      <c r="N184" s="146"/>
      <c r="O184" s="146"/>
      <c r="P184" s="156"/>
      <c r="Q184" s="146"/>
      <c r="R184" s="146"/>
      <c r="S184" s="146"/>
      <c r="T184" s="156"/>
      <c r="U184" s="146"/>
      <c r="V184" s="146"/>
      <c r="W184" s="146"/>
      <c r="X184" s="146"/>
      <c r="Y184" s="146"/>
      <c r="Z184" s="146"/>
      <c r="AA184" s="146"/>
      <c r="AB184" s="146"/>
      <c r="AC184" s="157"/>
      <c r="AD184" s="157"/>
      <c r="AE184" s="157"/>
      <c r="AF184" s="158">
        <f>SUM(AG184:AJ184)</f>
      </c>
      <c r="AG184" s="146"/>
      <c r="AH184" s="145"/>
      <c r="AI184" s="145"/>
      <c r="AJ184" s="145"/>
      <c r="AK184" s="158">
        <f>SUM(AL184:AW184)</f>
      </c>
      <c r="AL184" s="146"/>
      <c r="AM184" s="145"/>
      <c r="AN184" s="145"/>
      <c r="AO184" s="145"/>
      <c r="AP184" s="145"/>
      <c r="AQ184" s="145"/>
      <c r="AR184" s="145"/>
      <c r="AS184" s="145"/>
      <c r="AT184" s="145"/>
      <c r="AU184" s="145"/>
      <c r="AV184" s="145"/>
      <c r="AW184" s="158"/>
      <c r="AX184" s="145"/>
      <c r="AY184" s="145"/>
      <c r="AZ184" s="145"/>
      <c r="BA184" s="158"/>
      <c r="BB184" s="145"/>
      <c r="BC184" s="145"/>
      <c r="BD184" s="158"/>
      <c r="BE184" s="146"/>
      <c r="BF184" s="145"/>
      <c r="BG184" s="145"/>
      <c r="BH184" s="158">
        <f>SUM(BI184:BK184)</f>
      </c>
      <c r="BI184" s="145"/>
      <c r="BJ184" s="145"/>
      <c r="BK184" s="145"/>
      <c r="BL184" s="145">
        <f>SUM(BM184:BR184)</f>
      </c>
      <c r="BM184" s="145"/>
      <c r="BN184" s="145"/>
      <c r="BO184" s="158"/>
      <c r="BP184" s="145"/>
      <c r="BQ184" s="145"/>
      <c r="BR184" s="145"/>
      <c r="BS184" s="145"/>
      <c r="BT184" s="145"/>
      <c r="BU184" s="158"/>
      <c r="BV184" s="146"/>
      <c r="BW184" s="145"/>
      <c r="BX184" s="145"/>
      <c r="BY184" s="158">
        <f>SUM(BZ184:CB184)</f>
      </c>
      <c r="BZ184" s="146"/>
      <c r="CA184" s="145"/>
      <c r="CB184" s="145"/>
      <c r="CC184" s="145">
        <f>SUM(CD184:CH184)</f>
      </c>
      <c r="CD184" s="145"/>
      <c r="CE184" s="158"/>
      <c r="CF184" s="145"/>
      <c r="CG184" s="145"/>
      <c r="CH184" s="145"/>
      <c r="CI184" s="158"/>
      <c r="CJ184" s="145"/>
      <c r="CK184" s="145"/>
      <c r="CL184" s="145"/>
      <c r="CM184" s="145"/>
      <c r="CN184" s="145"/>
      <c r="CO184" s="145"/>
      <c r="CP184" s="145"/>
      <c r="CQ184" s="158"/>
      <c r="CR184" s="146"/>
      <c r="CS184" s="158"/>
      <c r="CT184" s="158"/>
      <c r="CU184" s="158">
        <f>SUM(CV184:CV184)</f>
      </c>
      <c r="CV184" s="146"/>
      <c r="CW184" s="145"/>
      <c r="CX184" s="145"/>
      <c r="CY184" s="145">
        <f>SUM(CZ184:DE184)</f>
      </c>
      <c r="CZ184" s="145"/>
      <c r="DA184" s="146"/>
      <c r="DB184" s="146"/>
      <c r="DC184" s="153"/>
      <c r="DD184" s="153"/>
      <c r="DE184" s="145"/>
      <c r="DF184" s="145"/>
      <c r="DG184" s="145"/>
      <c r="DH184" s="158"/>
      <c r="DI184" s="145"/>
      <c r="DJ184" s="158"/>
      <c r="DK184" s="145"/>
      <c r="DL184" s="158"/>
      <c r="DM184" s="145"/>
      <c r="DN184" s="145"/>
      <c r="DO184" s="145"/>
      <c r="DP184" s="158"/>
      <c r="DQ184" s="145"/>
      <c r="DR184" s="145"/>
      <c r="DS184" s="145"/>
      <c r="DT184" s="145"/>
      <c r="DU184" s="145">
        <f>SUM(DV184:EE184)</f>
      </c>
      <c r="DV184" s="145"/>
      <c r="DW184" s="145"/>
      <c r="DX184" s="145"/>
      <c r="DY184" s="145"/>
      <c r="DZ184" s="146"/>
      <c r="EA184" s="158"/>
      <c r="EB184" s="146"/>
      <c r="EC184" s="145"/>
      <c r="ED184" s="145"/>
      <c r="EE184" s="155"/>
      <c r="EF184" s="145">
        <f>SUM(EG184:EH184)</f>
      </c>
      <c r="EG184" s="145"/>
      <c r="EH184" s="146"/>
      <c r="EI184" s="159" cm="1">
        <f t="array" ref="EI184">ROW()-ROW(Run[#Headers])</f>
        <v>178</v>
      </c>
    </row>
    <row r="185" spans="2:139" s="79" customFormat="1" ht="11.25" x14ac:dyDescent="0.2">
      <c r="B185" s="146"/>
      <c r="C185" s="155"/>
      <c r="D185" s="145"/>
      <c r="E185" s="152">
        <f>SUM(F185:AE185)</f>
      </c>
      <c r="F185" s="146"/>
      <c r="G185" s="146"/>
      <c r="H185" s="146"/>
      <c r="I185" s="146"/>
      <c r="J185" s="146"/>
      <c r="K185" s="156"/>
      <c r="L185" s="146"/>
      <c r="M185" s="146"/>
      <c r="N185" s="146"/>
      <c r="O185" s="146"/>
      <c r="P185" s="156"/>
      <c r="Q185" s="146"/>
      <c r="R185" s="146"/>
      <c r="S185" s="146"/>
      <c r="T185" s="156"/>
      <c r="U185" s="146"/>
      <c r="V185" s="146"/>
      <c r="W185" s="146"/>
      <c r="X185" s="146"/>
      <c r="Y185" s="146"/>
      <c r="Z185" s="146"/>
      <c r="AA185" s="146"/>
      <c r="AB185" s="146"/>
      <c r="AC185" s="157"/>
      <c r="AD185" s="157"/>
      <c r="AE185" s="157"/>
      <c r="AF185" s="158">
        <f>SUM(AG185:AJ185)</f>
      </c>
      <c r="AG185" s="146"/>
      <c r="AH185" s="145"/>
      <c r="AI185" s="145"/>
      <c r="AJ185" s="145"/>
      <c r="AK185" s="158">
        <f>SUM(AL185:AW185)</f>
      </c>
      <c r="AL185" s="146"/>
      <c r="AM185" s="145"/>
      <c r="AN185" s="145"/>
      <c r="AO185" s="145"/>
      <c r="AP185" s="145"/>
      <c r="AQ185" s="145"/>
      <c r="AR185" s="145"/>
      <c r="AS185" s="145"/>
      <c r="AT185" s="145"/>
      <c r="AU185" s="145"/>
      <c r="AV185" s="145"/>
      <c r="AW185" s="158"/>
      <c r="AX185" s="145"/>
      <c r="AY185" s="145"/>
      <c r="AZ185" s="145"/>
      <c r="BA185" s="158"/>
      <c r="BB185" s="145"/>
      <c r="BC185" s="145"/>
      <c r="BD185" s="158"/>
      <c r="BE185" s="146"/>
      <c r="BF185" s="145"/>
      <c r="BG185" s="145"/>
      <c r="BH185" s="158">
        <f>SUM(BI185:BK185)</f>
      </c>
      <c r="BI185" s="145"/>
      <c r="BJ185" s="145"/>
      <c r="BK185" s="145"/>
      <c r="BL185" s="145">
        <f>SUM(BM185:BR185)</f>
      </c>
      <c r="BM185" s="145"/>
      <c r="BN185" s="145"/>
      <c r="BO185" s="158"/>
      <c r="BP185" s="145"/>
      <c r="BQ185" s="145"/>
      <c r="BR185" s="145"/>
      <c r="BS185" s="145"/>
      <c r="BT185" s="145"/>
      <c r="BU185" s="158"/>
      <c r="BV185" s="146"/>
      <c r="BW185" s="145"/>
      <c r="BX185" s="145"/>
      <c r="BY185" s="158">
        <f>SUM(BZ185:CB185)</f>
      </c>
      <c r="BZ185" s="146"/>
      <c r="CA185" s="145"/>
      <c r="CB185" s="145"/>
      <c r="CC185" s="145">
        <f>SUM(CD185:CH185)</f>
      </c>
      <c r="CD185" s="145"/>
      <c r="CE185" s="158"/>
      <c r="CF185" s="145"/>
      <c r="CG185" s="145"/>
      <c r="CH185" s="145"/>
      <c r="CI185" s="158"/>
      <c r="CJ185" s="145"/>
      <c r="CK185" s="145"/>
      <c r="CL185" s="145"/>
      <c r="CM185" s="145"/>
      <c r="CN185" s="145"/>
      <c r="CO185" s="145"/>
      <c r="CP185" s="145"/>
      <c r="CQ185" s="158"/>
      <c r="CR185" s="146"/>
      <c r="CS185" s="158"/>
      <c r="CT185" s="158"/>
      <c r="CU185" s="158">
        <f>SUM(CV185:CV185)</f>
      </c>
      <c r="CV185" s="146"/>
      <c r="CW185" s="145"/>
      <c r="CX185" s="145"/>
      <c r="CY185" s="145">
        <f>SUM(CZ185:DE185)</f>
      </c>
      <c r="CZ185" s="145"/>
      <c r="DA185" s="146"/>
      <c r="DB185" s="146"/>
      <c r="DC185" s="153"/>
      <c r="DD185" s="153"/>
      <c r="DE185" s="145"/>
      <c r="DF185" s="145"/>
      <c r="DG185" s="145"/>
      <c r="DH185" s="158"/>
      <c r="DI185" s="145"/>
      <c r="DJ185" s="158"/>
      <c r="DK185" s="145"/>
      <c r="DL185" s="158"/>
      <c r="DM185" s="145"/>
      <c r="DN185" s="145"/>
      <c r="DO185" s="145"/>
      <c r="DP185" s="158"/>
      <c r="DQ185" s="145"/>
      <c r="DR185" s="145"/>
      <c r="DS185" s="145"/>
      <c r="DT185" s="145"/>
      <c r="DU185" s="145">
        <f>SUM(DV185:EE185)</f>
      </c>
      <c r="DV185" s="145"/>
      <c r="DW185" s="145"/>
      <c r="DX185" s="145"/>
      <c r="DY185" s="145"/>
      <c r="DZ185" s="146"/>
      <c r="EA185" s="158"/>
      <c r="EB185" s="146"/>
      <c r="EC185" s="145"/>
      <c r="ED185" s="145"/>
      <c r="EE185" s="155"/>
      <c r="EF185" s="145">
        <f>SUM(EG185:EH185)</f>
      </c>
      <c r="EG185" s="145"/>
      <c r="EH185" s="146"/>
      <c r="EI185" s="159" cm="1">
        <f t="array" ref="EI185">ROW()-ROW(Run[#Headers])</f>
        <v>179</v>
      </c>
    </row>
    <row r="186" spans="2:139" s="79" customFormat="1" ht="11.25" x14ac:dyDescent="0.2">
      <c r="B186" s="146"/>
      <c r="C186" s="155"/>
      <c r="D186" s="145"/>
      <c r="E186" s="152">
        <f>SUM(F186:AE186)</f>
      </c>
      <c r="F186" s="146"/>
      <c r="G186" s="146"/>
      <c r="H186" s="146"/>
      <c r="I186" s="146"/>
      <c r="J186" s="146"/>
      <c r="K186" s="156"/>
      <c r="L186" s="146"/>
      <c r="M186" s="146"/>
      <c r="N186" s="146"/>
      <c r="O186" s="146"/>
      <c r="P186" s="156"/>
      <c r="Q186" s="146"/>
      <c r="R186" s="146"/>
      <c r="S186" s="146"/>
      <c r="T186" s="156"/>
      <c r="U186" s="146"/>
      <c r="V186" s="146"/>
      <c r="W186" s="146"/>
      <c r="X186" s="146"/>
      <c r="Y186" s="146"/>
      <c r="Z186" s="146"/>
      <c r="AA186" s="146"/>
      <c r="AB186" s="146"/>
      <c r="AC186" s="157"/>
      <c r="AD186" s="157"/>
      <c r="AE186" s="157"/>
      <c r="AF186" s="158">
        <f>SUM(AG186:AJ186)</f>
      </c>
      <c r="AG186" s="146"/>
      <c r="AH186" s="145"/>
      <c r="AI186" s="145"/>
      <c r="AJ186" s="145"/>
      <c r="AK186" s="158">
        <f>SUM(AL186:AW186)</f>
      </c>
      <c r="AL186" s="146"/>
      <c r="AM186" s="145"/>
      <c r="AN186" s="145"/>
      <c r="AO186" s="145"/>
      <c r="AP186" s="145"/>
      <c r="AQ186" s="145"/>
      <c r="AR186" s="145"/>
      <c r="AS186" s="145"/>
      <c r="AT186" s="145"/>
      <c r="AU186" s="145"/>
      <c r="AV186" s="145"/>
      <c r="AW186" s="158"/>
      <c r="AX186" s="145"/>
      <c r="AY186" s="145"/>
      <c r="AZ186" s="145"/>
      <c r="BA186" s="158"/>
      <c r="BB186" s="145"/>
      <c r="BC186" s="145"/>
      <c r="BD186" s="158"/>
      <c r="BE186" s="146"/>
      <c r="BF186" s="145"/>
      <c r="BG186" s="145"/>
      <c r="BH186" s="158">
        <f>SUM(BI186:BK186)</f>
      </c>
      <c r="BI186" s="145"/>
      <c r="BJ186" s="145"/>
      <c r="BK186" s="145"/>
      <c r="BL186" s="145">
        <f>SUM(BM186:BR186)</f>
      </c>
      <c r="BM186" s="145"/>
      <c r="BN186" s="145"/>
      <c r="BO186" s="158"/>
      <c r="BP186" s="145"/>
      <c r="BQ186" s="145"/>
      <c r="BR186" s="145"/>
      <c r="BS186" s="145"/>
      <c r="BT186" s="145"/>
      <c r="BU186" s="158"/>
      <c r="BV186" s="146"/>
      <c r="BW186" s="145"/>
      <c r="BX186" s="145"/>
      <c r="BY186" s="158">
        <f>SUM(BZ186:CB186)</f>
      </c>
      <c r="BZ186" s="146"/>
      <c r="CA186" s="145"/>
      <c r="CB186" s="145"/>
      <c r="CC186" s="145">
        <f>SUM(CD186:CH186)</f>
      </c>
      <c r="CD186" s="145"/>
      <c r="CE186" s="158"/>
      <c r="CF186" s="145"/>
      <c r="CG186" s="145"/>
      <c r="CH186" s="145"/>
      <c r="CI186" s="158"/>
      <c r="CJ186" s="145"/>
      <c r="CK186" s="145"/>
      <c r="CL186" s="145"/>
      <c r="CM186" s="145"/>
      <c r="CN186" s="145"/>
      <c r="CO186" s="145"/>
      <c r="CP186" s="145"/>
      <c r="CQ186" s="158"/>
      <c r="CR186" s="146"/>
      <c r="CS186" s="158"/>
      <c r="CT186" s="158"/>
      <c r="CU186" s="158">
        <f>SUM(CV186:CV186)</f>
      </c>
      <c r="CV186" s="146"/>
      <c r="CW186" s="145"/>
      <c r="CX186" s="145"/>
      <c r="CY186" s="145">
        <f>SUM(CZ186:DE186)</f>
      </c>
      <c r="CZ186" s="145"/>
      <c r="DA186" s="146"/>
      <c r="DB186" s="146"/>
      <c r="DC186" s="153"/>
      <c r="DD186" s="153"/>
      <c r="DE186" s="145"/>
      <c r="DF186" s="145"/>
      <c r="DG186" s="145"/>
      <c r="DH186" s="158"/>
      <c r="DI186" s="145"/>
      <c r="DJ186" s="158"/>
      <c r="DK186" s="145"/>
      <c r="DL186" s="158"/>
      <c r="DM186" s="145"/>
      <c r="DN186" s="145"/>
      <c r="DO186" s="145"/>
      <c r="DP186" s="158"/>
      <c r="DQ186" s="145"/>
      <c r="DR186" s="145"/>
      <c r="DS186" s="145"/>
      <c r="DT186" s="145"/>
      <c r="DU186" s="145">
        <f>SUM(DV186:EE186)</f>
      </c>
      <c r="DV186" s="145"/>
      <c r="DW186" s="145"/>
      <c r="DX186" s="145"/>
      <c r="DY186" s="145"/>
      <c r="DZ186" s="146"/>
      <c r="EA186" s="158"/>
      <c r="EB186" s="146"/>
      <c r="EC186" s="145"/>
      <c r="ED186" s="145"/>
      <c r="EE186" s="155"/>
      <c r="EF186" s="145">
        <f>SUM(EG186:EH186)</f>
      </c>
      <c r="EG186" s="145"/>
      <c r="EH186" s="146"/>
      <c r="EI186" s="159" cm="1">
        <f t="array" ref="EI186">ROW()-ROW(Run[#Headers])</f>
        <v>180</v>
      </c>
    </row>
    <row r="187" spans="2:139" s="79" customFormat="1" ht="11.25" x14ac:dyDescent="0.2">
      <c r="B187" s="146"/>
      <c r="C187" s="155"/>
      <c r="D187" s="145"/>
      <c r="E187" s="152">
        <f>SUM(F187:AE187)</f>
      </c>
      <c r="F187" s="146"/>
      <c r="G187" s="146"/>
      <c r="H187" s="146"/>
      <c r="I187" s="146"/>
      <c r="J187" s="146"/>
      <c r="K187" s="156"/>
      <c r="L187" s="146"/>
      <c r="M187" s="146"/>
      <c r="N187" s="146"/>
      <c r="O187" s="146"/>
      <c r="P187" s="156"/>
      <c r="Q187" s="146"/>
      <c r="R187" s="146"/>
      <c r="S187" s="146"/>
      <c r="T187" s="156"/>
      <c r="U187" s="146"/>
      <c r="V187" s="146"/>
      <c r="W187" s="146"/>
      <c r="X187" s="146"/>
      <c r="Y187" s="146"/>
      <c r="Z187" s="146"/>
      <c r="AA187" s="146"/>
      <c r="AB187" s="146"/>
      <c r="AC187" s="157"/>
      <c r="AD187" s="157"/>
      <c r="AE187" s="157"/>
      <c r="AF187" s="158">
        <f>SUM(AG187:AJ187)</f>
      </c>
      <c r="AG187" s="146"/>
      <c r="AH187" s="145"/>
      <c r="AI187" s="145"/>
      <c r="AJ187" s="145"/>
      <c r="AK187" s="158">
        <f>SUM(AL187:AW187)</f>
      </c>
      <c r="AL187" s="146"/>
      <c r="AM187" s="145"/>
      <c r="AN187" s="145"/>
      <c r="AO187" s="145"/>
      <c r="AP187" s="145"/>
      <c r="AQ187" s="145"/>
      <c r="AR187" s="145"/>
      <c r="AS187" s="145"/>
      <c r="AT187" s="145"/>
      <c r="AU187" s="145"/>
      <c r="AV187" s="145"/>
      <c r="AW187" s="158"/>
      <c r="AX187" s="145"/>
      <c r="AY187" s="145"/>
      <c r="AZ187" s="145"/>
      <c r="BA187" s="158"/>
      <c r="BB187" s="145"/>
      <c r="BC187" s="145"/>
      <c r="BD187" s="158"/>
      <c r="BE187" s="146"/>
      <c r="BF187" s="145"/>
      <c r="BG187" s="145"/>
      <c r="BH187" s="158">
        <f>SUM(BI187:BK187)</f>
      </c>
      <c r="BI187" s="145"/>
      <c r="BJ187" s="145"/>
      <c r="BK187" s="145"/>
      <c r="BL187" s="145">
        <f>SUM(BM187:BR187)</f>
      </c>
      <c r="BM187" s="145"/>
      <c r="BN187" s="145"/>
      <c r="BO187" s="158"/>
      <c r="BP187" s="145"/>
      <c r="BQ187" s="145"/>
      <c r="BR187" s="145"/>
      <c r="BS187" s="145"/>
      <c r="BT187" s="145"/>
      <c r="BU187" s="158"/>
      <c r="BV187" s="146"/>
      <c r="BW187" s="145"/>
      <c r="BX187" s="145"/>
      <c r="BY187" s="158">
        <f>SUM(BZ187:CB187)</f>
      </c>
      <c r="BZ187" s="146"/>
      <c r="CA187" s="145"/>
      <c r="CB187" s="145"/>
      <c r="CC187" s="145">
        <f>SUM(CD187:CH187)</f>
      </c>
      <c r="CD187" s="145"/>
      <c r="CE187" s="158"/>
      <c r="CF187" s="145"/>
      <c r="CG187" s="145"/>
      <c r="CH187" s="145"/>
      <c r="CI187" s="158"/>
      <c r="CJ187" s="145"/>
      <c r="CK187" s="145"/>
      <c r="CL187" s="145"/>
      <c r="CM187" s="145"/>
      <c r="CN187" s="145"/>
      <c r="CO187" s="145"/>
      <c r="CP187" s="145"/>
      <c r="CQ187" s="158"/>
      <c r="CR187" s="146"/>
      <c r="CS187" s="158"/>
      <c r="CT187" s="158"/>
      <c r="CU187" s="158">
        <f>SUM(CV187:CV187)</f>
      </c>
      <c r="CV187" s="146"/>
      <c r="CW187" s="145"/>
      <c r="CX187" s="145"/>
      <c r="CY187" s="145">
        <f>SUM(CZ187:DE187)</f>
      </c>
      <c r="CZ187" s="145"/>
      <c r="DA187" s="146"/>
      <c r="DB187" s="146"/>
      <c r="DC187" s="153"/>
      <c r="DD187" s="153"/>
      <c r="DE187" s="145"/>
      <c r="DF187" s="145"/>
      <c r="DG187" s="145"/>
      <c r="DH187" s="158"/>
      <c r="DI187" s="145"/>
      <c r="DJ187" s="158"/>
      <c r="DK187" s="145"/>
      <c r="DL187" s="158"/>
      <c r="DM187" s="145"/>
      <c r="DN187" s="145"/>
      <c r="DO187" s="145"/>
      <c r="DP187" s="158"/>
      <c r="DQ187" s="145"/>
      <c r="DR187" s="145"/>
      <c r="DS187" s="145"/>
      <c r="DT187" s="145"/>
      <c r="DU187" s="145">
        <f>SUM(DV187:EE187)</f>
      </c>
      <c r="DV187" s="145"/>
      <c r="DW187" s="145"/>
      <c r="DX187" s="145"/>
      <c r="DY187" s="145"/>
      <c r="DZ187" s="146"/>
      <c r="EA187" s="158"/>
      <c r="EB187" s="146"/>
      <c r="EC187" s="145"/>
      <c r="ED187" s="145"/>
      <c r="EE187" s="155"/>
      <c r="EF187" s="145">
        <f>SUM(EG187:EH187)</f>
      </c>
      <c r="EG187" s="145"/>
      <c r="EH187" s="146"/>
      <c r="EI187" s="159" cm="1">
        <f t="array" ref="EI187">ROW()-ROW(Run[#Headers])</f>
        <v>181</v>
      </c>
    </row>
    <row r="188" spans="2:139" s="79" customFormat="1" ht="11.25" x14ac:dyDescent="0.2">
      <c r="B188" s="146"/>
      <c r="C188" s="155"/>
      <c r="D188" s="145"/>
      <c r="E188" s="152">
        <f>SUM(F188:AE188)</f>
      </c>
      <c r="F188" s="146"/>
      <c r="G188" s="146"/>
      <c r="H188" s="146"/>
      <c r="I188" s="146"/>
      <c r="J188" s="146"/>
      <c r="K188" s="156"/>
      <c r="L188" s="146"/>
      <c r="M188" s="146"/>
      <c r="N188" s="146"/>
      <c r="O188" s="146"/>
      <c r="P188" s="156"/>
      <c r="Q188" s="146"/>
      <c r="R188" s="146"/>
      <c r="S188" s="146"/>
      <c r="T188" s="156"/>
      <c r="U188" s="146"/>
      <c r="V188" s="146"/>
      <c r="W188" s="146"/>
      <c r="X188" s="146"/>
      <c r="Y188" s="146"/>
      <c r="Z188" s="146"/>
      <c r="AA188" s="146"/>
      <c r="AB188" s="146"/>
      <c r="AC188" s="157"/>
      <c r="AD188" s="157"/>
      <c r="AE188" s="157"/>
      <c r="AF188" s="158">
        <f>SUM(AG188:AJ188)</f>
      </c>
      <c r="AG188" s="146"/>
      <c r="AH188" s="145"/>
      <c r="AI188" s="145"/>
      <c r="AJ188" s="145"/>
      <c r="AK188" s="158">
        <f>SUM(AL188:AW188)</f>
      </c>
      <c r="AL188" s="146"/>
      <c r="AM188" s="145"/>
      <c r="AN188" s="145"/>
      <c r="AO188" s="145"/>
      <c r="AP188" s="145"/>
      <c r="AQ188" s="145"/>
      <c r="AR188" s="145"/>
      <c r="AS188" s="145"/>
      <c r="AT188" s="145"/>
      <c r="AU188" s="145"/>
      <c r="AV188" s="145"/>
      <c r="AW188" s="158"/>
      <c r="AX188" s="145"/>
      <c r="AY188" s="145"/>
      <c r="AZ188" s="145"/>
      <c r="BA188" s="158"/>
      <c r="BB188" s="145"/>
      <c r="BC188" s="145"/>
      <c r="BD188" s="158"/>
      <c r="BE188" s="146"/>
      <c r="BF188" s="145"/>
      <c r="BG188" s="145"/>
      <c r="BH188" s="158">
        <f>SUM(BI188:BK188)</f>
      </c>
      <c r="BI188" s="145"/>
      <c r="BJ188" s="145"/>
      <c r="BK188" s="145"/>
      <c r="BL188" s="145">
        <f>SUM(BM188:BR188)</f>
      </c>
      <c r="BM188" s="145"/>
      <c r="BN188" s="145"/>
      <c r="BO188" s="158"/>
      <c r="BP188" s="145"/>
      <c r="BQ188" s="145"/>
      <c r="BR188" s="145"/>
      <c r="BS188" s="145"/>
      <c r="BT188" s="145"/>
      <c r="BU188" s="158"/>
      <c r="BV188" s="146"/>
      <c r="BW188" s="145"/>
      <c r="BX188" s="145"/>
      <c r="BY188" s="158">
        <f>SUM(BZ188:CB188)</f>
      </c>
      <c r="BZ188" s="146"/>
      <c r="CA188" s="145"/>
      <c r="CB188" s="145"/>
      <c r="CC188" s="145">
        <f>SUM(CD188:CH188)</f>
      </c>
      <c r="CD188" s="145"/>
      <c r="CE188" s="158"/>
      <c r="CF188" s="145"/>
      <c r="CG188" s="145"/>
      <c r="CH188" s="145"/>
      <c r="CI188" s="158"/>
      <c r="CJ188" s="145"/>
      <c r="CK188" s="145"/>
      <c r="CL188" s="145"/>
      <c r="CM188" s="145"/>
      <c r="CN188" s="145"/>
      <c r="CO188" s="145"/>
      <c r="CP188" s="145"/>
      <c r="CQ188" s="158"/>
      <c r="CR188" s="146"/>
      <c r="CS188" s="158"/>
      <c r="CT188" s="158"/>
      <c r="CU188" s="158">
        <f>SUM(CV188:CV188)</f>
      </c>
      <c r="CV188" s="146"/>
      <c r="CW188" s="145"/>
      <c r="CX188" s="145"/>
      <c r="CY188" s="145">
        <f>SUM(CZ188:DE188)</f>
      </c>
      <c r="CZ188" s="145"/>
      <c r="DA188" s="146"/>
      <c r="DB188" s="146"/>
      <c r="DC188" s="153"/>
      <c r="DD188" s="153"/>
      <c r="DE188" s="145"/>
      <c r="DF188" s="145"/>
      <c r="DG188" s="145"/>
      <c r="DH188" s="158"/>
      <c r="DI188" s="145"/>
      <c r="DJ188" s="158"/>
      <c r="DK188" s="145"/>
      <c r="DL188" s="158"/>
      <c r="DM188" s="145"/>
      <c r="DN188" s="145"/>
      <c r="DO188" s="145"/>
      <c r="DP188" s="158"/>
      <c r="DQ188" s="145"/>
      <c r="DR188" s="145"/>
      <c r="DS188" s="145"/>
      <c r="DT188" s="145"/>
      <c r="DU188" s="145">
        <f>SUM(DV188:EE188)</f>
      </c>
      <c r="DV188" s="145"/>
      <c r="DW188" s="145"/>
      <c r="DX188" s="145"/>
      <c r="DY188" s="145"/>
      <c r="DZ188" s="146"/>
      <c r="EA188" s="158"/>
      <c r="EB188" s="146"/>
      <c r="EC188" s="145"/>
      <c r="ED188" s="145"/>
      <c r="EE188" s="155"/>
      <c r="EF188" s="145">
        <f>SUM(EG188:EH188)</f>
      </c>
      <c r="EG188" s="145"/>
      <c r="EH188" s="146"/>
      <c r="EI188" s="159" cm="1">
        <f t="array" ref="EI188">ROW()-ROW(Run[#Headers])</f>
        <v>182</v>
      </c>
    </row>
    <row r="189" spans="2:139" s="79" customFormat="1" ht="11.25" x14ac:dyDescent="0.2">
      <c r="B189" s="146"/>
      <c r="C189" s="155"/>
      <c r="D189" s="145"/>
      <c r="E189" s="152">
        <f>SUM(F189:AE189)</f>
      </c>
      <c r="F189" s="146"/>
      <c r="G189" s="146"/>
      <c r="H189" s="146"/>
      <c r="I189" s="146"/>
      <c r="J189" s="146"/>
      <c r="K189" s="156"/>
      <c r="L189" s="146"/>
      <c r="M189" s="146"/>
      <c r="N189" s="146"/>
      <c r="O189" s="146"/>
      <c r="P189" s="156"/>
      <c r="Q189" s="146"/>
      <c r="R189" s="146"/>
      <c r="S189" s="146"/>
      <c r="T189" s="156"/>
      <c r="U189" s="146"/>
      <c r="V189" s="146"/>
      <c r="W189" s="146"/>
      <c r="X189" s="146"/>
      <c r="Y189" s="146"/>
      <c r="Z189" s="146"/>
      <c r="AA189" s="146"/>
      <c r="AB189" s="146"/>
      <c r="AC189" s="157"/>
      <c r="AD189" s="157"/>
      <c r="AE189" s="157"/>
      <c r="AF189" s="158">
        <f>SUM(AG189:AJ189)</f>
      </c>
      <c r="AG189" s="146"/>
      <c r="AH189" s="145"/>
      <c r="AI189" s="145"/>
      <c r="AJ189" s="145"/>
      <c r="AK189" s="158">
        <f>SUM(AL189:AW189)</f>
      </c>
      <c r="AL189" s="146"/>
      <c r="AM189" s="145"/>
      <c r="AN189" s="145"/>
      <c r="AO189" s="145"/>
      <c r="AP189" s="145"/>
      <c r="AQ189" s="145"/>
      <c r="AR189" s="145"/>
      <c r="AS189" s="145"/>
      <c r="AT189" s="145"/>
      <c r="AU189" s="145"/>
      <c r="AV189" s="145"/>
      <c r="AW189" s="158"/>
      <c r="AX189" s="145"/>
      <c r="AY189" s="145"/>
      <c r="AZ189" s="145"/>
      <c r="BA189" s="158"/>
      <c r="BB189" s="145"/>
      <c r="BC189" s="145"/>
      <c r="BD189" s="158"/>
      <c r="BE189" s="146"/>
      <c r="BF189" s="145"/>
      <c r="BG189" s="145"/>
      <c r="BH189" s="158">
        <f>SUM(BI189:BK189)</f>
      </c>
      <c r="BI189" s="145"/>
      <c r="BJ189" s="145"/>
      <c r="BK189" s="145"/>
      <c r="BL189" s="145">
        <f>SUM(BM189:BR189)</f>
      </c>
      <c r="BM189" s="145"/>
      <c r="BN189" s="145"/>
      <c r="BO189" s="158"/>
      <c r="BP189" s="145"/>
      <c r="BQ189" s="145"/>
      <c r="BR189" s="145"/>
      <c r="BS189" s="145"/>
      <c r="BT189" s="145"/>
      <c r="BU189" s="158"/>
      <c r="BV189" s="146"/>
      <c r="BW189" s="145"/>
      <c r="BX189" s="145"/>
      <c r="BY189" s="158">
        <f>SUM(BZ189:CB189)</f>
      </c>
      <c r="BZ189" s="146"/>
      <c r="CA189" s="145"/>
      <c r="CB189" s="145"/>
      <c r="CC189" s="145">
        <f>SUM(CD189:CH189)</f>
      </c>
      <c r="CD189" s="145"/>
      <c r="CE189" s="158"/>
      <c r="CF189" s="145"/>
      <c r="CG189" s="145"/>
      <c r="CH189" s="145"/>
      <c r="CI189" s="158"/>
      <c r="CJ189" s="145"/>
      <c r="CK189" s="145"/>
      <c r="CL189" s="145"/>
      <c r="CM189" s="145"/>
      <c r="CN189" s="145"/>
      <c r="CO189" s="145"/>
      <c r="CP189" s="145"/>
      <c r="CQ189" s="158"/>
      <c r="CR189" s="146"/>
      <c r="CS189" s="158"/>
      <c r="CT189" s="158"/>
      <c r="CU189" s="158">
        <f>SUM(CV189:CV189)</f>
      </c>
      <c r="CV189" s="146"/>
      <c r="CW189" s="145"/>
      <c r="CX189" s="145"/>
      <c r="CY189" s="145">
        <f>SUM(CZ189:DE189)</f>
      </c>
      <c r="CZ189" s="145"/>
      <c r="DA189" s="146"/>
      <c r="DB189" s="146"/>
      <c r="DC189" s="153"/>
      <c r="DD189" s="153"/>
      <c r="DE189" s="145"/>
      <c r="DF189" s="145"/>
      <c r="DG189" s="145"/>
      <c r="DH189" s="158"/>
      <c r="DI189" s="145"/>
      <c r="DJ189" s="158"/>
      <c r="DK189" s="145"/>
      <c r="DL189" s="158"/>
      <c r="DM189" s="145"/>
      <c r="DN189" s="145"/>
      <c r="DO189" s="145"/>
      <c r="DP189" s="158"/>
      <c r="DQ189" s="145"/>
      <c r="DR189" s="145"/>
      <c r="DS189" s="145"/>
      <c r="DT189" s="145"/>
      <c r="DU189" s="145">
        <f>SUM(DV189:EE189)</f>
      </c>
      <c r="DV189" s="145"/>
      <c r="DW189" s="145"/>
      <c r="DX189" s="145"/>
      <c r="DY189" s="145"/>
      <c r="DZ189" s="146"/>
      <c r="EA189" s="158"/>
      <c r="EB189" s="146"/>
      <c r="EC189" s="145"/>
      <c r="ED189" s="145"/>
      <c r="EE189" s="155"/>
      <c r="EF189" s="145">
        <f>SUM(EG189:EH189)</f>
      </c>
      <c r="EG189" s="145"/>
      <c r="EH189" s="146"/>
      <c r="EI189" s="159" cm="1">
        <f t="array" ref="EI189">ROW()-ROW(Run[#Headers])</f>
        <v>183</v>
      </c>
    </row>
    <row r="190" spans="2:139" s="79" customFormat="1" ht="11.25" x14ac:dyDescent="0.2">
      <c r="B190" s="146"/>
      <c r="C190" s="155"/>
      <c r="D190" s="145"/>
      <c r="E190" s="152">
        <f>SUM(F190:AE190)</f>
      </c>
      <c r="F190" s="146"/>
      <c r="G190" s="146"/>
      <c r="H190" s="146"/>
      <c r="I190" s="146"/>
      <c r="J190" s="146"/>
      <c r="K190" s="156"/>
      <c r="L190" s="146"/>
      <c r="M190" s="146"/>
      <c r="N190" s="146"/>
      <c r="O190" s="146"/>
      <c r="P190" s="156"/>
      <c r="Q190" s="146"/>
      <c r="R190" s="146"/>
      <c r="S190" s="146"/>
      <c r="T190" s="156"/>
      <c r="U190" s="146"/>
      <c r="V190" s="146"/>
      <c r="W190" s="146"/>
      <c r="X190" s="146"/>
      <c r="Y190" s="146"/>
      <c r="Z190" s="146"/>
      <c r="AA190" s="146"/>
      <c r="AB190" s="146"/>
      <c r="AC190" s="157"/>
      <c r="AD190" s="157"/>
      <c r="AE190" s="157"/>
      <c r="AF190" s="158">
        <f>SUM(AG190:AJ190)</f>
      </c>
      <c r="AG190" s="146"/>
      <c r="AH190" s="145"/>
      <c r="AI190" s="145"/>
      <c r="AJ190" s="145"/>
      <c r="AK190" s="158">
        <f>SUM(AL190:AW190)</f>
      </c>
      <c r="AL190" s="146"/>
      <c r="AM190" s="145"/>
      <c r="AN190" s="145"/>
      <c r="AO190" s="145"/>
      <c r="AP190" s="145"/>
      <c r="AQ190" s="145"/>
      <c r="AR190" s="145"/>
      <c r="AS190" s="145"/>
      <c r="AT190" s="145"/>
      <c r="AU190" s="145"/>
      <c r="AV190" s="145"/>
      <c r="AW190" s="158"/>
      <c r="AX190" s="145"/>
      <c r="AY190" s="145"/>
      <c r="AZ190" s="145"/>
      <c r="BA190" s="158"/>
      <c r="BB190" s="145"/>
      <c r="BC190" s="145"/>
      <c r="BD190" s="158"/>
      <c r="BE190" s="146"/>
      <c r="BF190" s="145"/>
      <c r="BG190" s="145"/>
      <c r="BH190" s="158">
        <f>SUM(BI190:BK190)</f>
      </c>
      <c r="BI190" s="145"/>
      <c r="BJ190" s="145"/>
      <c r="BK190" s="145"/>
      <c r="BL190" s="145">
        <f>SUM(BM190:BR190)</f>
      </c>
      <c r="BM190" s="145"/>
      <c r="BN190" s="145"/>
      <c r="BO190" s="158"/>
      <c r="BP190" s="145"/>
      <c r="BQ190" s="145"/>
      <c r="BR190" s="145"/>
      <c r="BS190" s="145"/>
      <c r="BT190" s="145"/>
      <c r="BU190" s="158"/>
      <c r="BV190" s="146"/>
      <c r="BW190" s="145"/>
      <c r="BX190" s="145"/>
      <c r="BY190" s="158">
        <f>SUM(BZ190:CB190)</f>
      </c>
      <c r="BZ190" s="146"/>
      <c r="CA190" s="145"/>
      <c r="CB190" s="145"/>
      <c r="CC190" s="145">
        <f>SUM(CD190:CH190)</f>
      </c>
      <c r="CD190" s="145"/>
      <c r="CE190" s="158"/>
      <c r="CF190" s="145"/>
      <c r="CG190" s="145"/>
      <c r="CH190" s="145"/>
      <c r="CI190" s="158"/>
      <c r="CJ190" s="145"/>
      <c r="CK190" s="145"/>
      <c r="CL190" s="145"/>
      <c r="CM190" s="145"/>
      <c r="CN190" s="145"/>
      <c r="CO190" s="145"/>
      <c r="CP190" s="145"/>
      <c r="CQ190" s="158"/>
      <c r="CR190" s="146"/>
      <c r="CS190" s="158"/>
      <c r="CT190" s="158"/>
      <c r="CU190" s="158">
        <f>SUM(CV190:CV190)</f>
      </c>
      <c r="CV190" s="146"/>
      <c r="CW190" s="145"/>
      <c r="CX190" s="145"/>
      <c r="CY190" s="145">
        <f>SUM(CZ190:DE190)</f>
      </c>
      <c r="CZ190" s="145"/>
      <c r="DA190" s="146"/>
      <c r="DB190" s="146"/>
      <c r="DC190" s="153"/>
      <c r="DD190" s="153"/>
      <c r="DE190" s="145"/>
      <c r="DF190" s="145"/>
      <c r="DG190" s="145"/>
      <c r="DH190" s="158"/>
      <c r="DI190" s="145"/>
      <c r="DJ190" s="158"/>
      <c r="DK190" s="145"/>
      <c r="DL190" s="158"/>
      <c r="DM190" s="145"/>
      <c r="DN190" s="145"/>
      <c r="DO190" s="145"/>
      <c r="DP190" s="158"/>
      <c r="DQ190" s="145"/>
      <c r="DR190" s="145"/>
      <c r="DS190" s="145"/>
      <c r="DT190" s="145"/>
      <c r="DU190" s="145">
        <f>SUM(DV190:EE190)</f>
      </c>
      <c r="DV190" s="145"/>
      <c r="DW190" s="145"/>
      <c r="DX190" s="145"/>
      <c r="DY190" s="145"/>
      <c r="DZ190" s="146"/>
      <c r="EA190" s="158"/>
      <c r="EB190" s="146"/>
      <c r="EC190" s="145"/>
      <c r="ED190" s="145"/>
      <c r="EE190" s="155"/>
      <c r="EF190" s="145">
        <f>SUM(EG190:EH190)</f>
      </c>
      <c r="EG190" s="145"/>
      <c r="EH190" s="146"/>
      <c r="EI190" s="159" cm="1">
        <f t="array" ref="EI190">ROW()-ROW(Run[#Headers])</f>
        <v>184</v>
      </c>
    </row>
    <row r="191" spans="2:139" s="79" customFormat="1" ht="11.25" x14ac:dyDescent="0.2">
      <c r="B191" s="146"/>
      <c r="C191" s="155"/>
      <c r="D191" s="145"/>
      <c r="E191" s="152">
        <f>SUM(F191:AE191)</f>
      </c>
      <c r="F191" s="146"/>
      <c r="G191" s="146"/>
      <c r="H191" s="146"/>
      <c r="I191" s="146"/>
      <c r="J191" s="146"/>
      <c r="K191" s="156"/>
      <c r="L191" s="146"/>
      <c r="M191" s="146"/>
      <c r="N191" s="146"/>
      <c r="O191" s="146"/>
      <c r="P191" s="156"/>
      <c r="Q191" s="146"/>
      <c r="R191" s="146"/>
      <c r="S191" s="146"/>
      <c r="T191" s="156"/>
      <c r="U191" s="146"/>
      <c r="V191" s="146"/>
      <c r="W191" s="146"/>
      <c r="X191" s="146"/>
      <c r="Y191" s="146"/>
      <c r="Z191" s="146"/>
      <c r="AA191" s="146"/>
      <c r="AB191" s="146"/>
      <c r="AC191" s="157"/>
      <c r="AD191" s="157"/>
      <c r="AE191" s="157"/>
      <c r="AF191" s="158">
        <f>SUM(AG191:AJ191)</f>
      </c>
      <c r="AG191" s="146"/>
      <c r="AH191" s="145"/>
      <c r="AI191" s="145"/>
      <c r="AJ191" s="145"/>
      <c r="AK191" s="158">
        <f>SUM(AL191:AW191)</f>
      </c>
      <c r="AL191" s="146"/>
      <c r="AM191" s="145"/>
      <c r="AN191" s="145"/>
      <c r="AO191" s="145"/>
      <c r="AP191" s="145"/>
      <c r="AQ191" s="145"/>
      <c r="AR191" s="145"/>
      <c r="AS191" s="145"/>
      <c r="AT191" s="145"/>
      <c r="AU191" s="145"/>
      <c r="AV191" s="145"/>
      <c r="AW191" s="158"/>
      <c r="AX191" s="145"/>
      <c r="AY191" s="145"/>
      <c r="AZ191" s="145"/>
      <c r="BA191" s="158"/>
      <c r="BB191" s="145"/>
      <c r="BC191" s="145"/>
      <c r="BD191" s="158"/>
      <c r="BE191" s="146"/>
      <c r="BF191" s="145"/>
      <c r="BG191" s="145"/>
      <c r="BH191" s="158">
        <f>SUM(BI191:BK191)</f>
      </c>
      <c r="BI191" s="145"/>
      <c r="BJ191" s="145"/>
      <c r="BK191" s="145"/>
      <c r="BL191" s="145">
        <f>SUM(BM191:BR191)</f>
      </c>
      <c r="BM191" s="145"/>
      <c r="BN191" s="145"/>
      <c r="BO191" s="158"/>
      <c r="BP191" s="145"/>
      <c r="BQ191" s="145"/>
      <c r="BR191" s="145"/>
      <c r="BS191" s="145"/>
      <c r="BT191" s="145"/>
      <c r="BU191" s="158"/>
      <c r="BV191" s="146"/>
      <c r="BW191" s="145"/>
      <c r="BX191" s="145"/>
      <c r="BY191" s="158">
        <f>SUM(BZ191:CB191)</f>
      </c>
      <c r="BZ191" s="146"/>
      <c r="CA191" s="145"/>
      <c r="CB191" s="145"/>
      <c r="CC191" s="145">
        <f>SUM(CD191:CH191)</f>
      </c>
      <c r="CD191" s="145"/>
      <c r="CE191" s="158"/>
      <c r="CF191" s="145"/>
      <c r="CG191" s="145"/>
      <c r="CH191" s="145"/>
      <c r="CI191" s="158"/>
      <c r="CJ191" s="145"/>
      <c r="CK191" s="145"/>
      <c r="CL191" s="145"/>
      <c r="CM191" s="145"/>
      <c r="CN191" s="145"/>
      <c r="CO191" s="145"/>
      <c r="CP191" s="145"/>
      <c r="CQ191" s="158"/>
      <c r="CR191" s="146"/>
      <c r="CS191" s="158"/>
      <c r="CT191" s="158"/>
      <c r="CU191" s="158">
        <f>SUM(CV191:CV191)</f>
      </c>
      <c r="CV191" s="146"/>
      <c r="CW191" s="145"/>
      <c r="CX191" s="145"/>
      <c r="CY191" s="145">
        <f>SUM(CZ191:DE191)</f>
      </c>
      <c r="CZ191" s="145"/>
      <c r="DA191" s="146"/>
      <c r="DB191" s="146"/>
      <c r="DC191" s="153"/>
      <c r="DD191" s="153"/>
      <c r="DE191" s="145"/>
      <c r="DF191" s="145"/>
      <c r="DG191" s="145"/>
      <c r="DH191" s="158"/>
      <c r="DI191" s="145"/>
      <c r="DJ191" s="158"/>
      <c r="DK191" s="145"/>
      <c r="DL191" s="158"/>
      <c r="DM191" s="145"/>
      <c r="DN191" s="145"/>
      <c r="DO191" s="145"/>
      <c r="DP191" s="158"/>
      <c r="DQ191" s="145"/>
      <c r="DR191" s="145"/>
      <c r="DS191" s="145"/>
      <c r="DT191" s="145"/>
      <c r="DU191" s="145">
        <f>SUM(DV191:EE191)</f>
      </c>
      <c r="DV191" s="145"/>
      <c r="DW191" s="145"/>
      <c r="DX191" s="145"/>
      <c r="DY191" s="145"/>
      <c r="DZ191" s="146"/>
      <c r="EA191" s="158"/>
      <c r="EB191" s="146"/>
      <c r="EC191" s="145"/>
      <c r="ED191" s="145"/>
      <c r="EE191" s="155"/>
      <c r="EF191" s="145">
        <f>SUM(EG191:EH191)</f>
      </c>
      <c r="EG191" s="145"/>
      <c r="EH191" s="146"/>
      <c r="EI191" s="159" cm="1">
        <f t="array" ref="EI191">ROW()-ROW(Run[#Headers])</f>
        <v>185</v>
      </c>
    </row>
    <row r="192" spans="2:139" s="79" customFormat="1" ht="11.25" x14ac:dyDescent="0.2">
      <c r="B192" s="146"/>
      <c r="C192" s="155"/>
      <c r="D192" s="145"/>
      <c r="E192" s="152">
        <f>SUM(F192:AE192)</f>
      </c>
      <c r="F192" s="146"/>
      <c r="G192" s="146"/>
      <c r="H192" s="146"/>
      <c r="I192" s="146"/>
      <c r="J192" s="146"/>
      <c r="K192" s="156"/>
      <c r="L192" s="146"/>
      <c r="M192" s="146"/>
      <c r="N192" s="146"/>
      <c r="O192" s="146"/>
      <c r="P192" s="156"/>
      <c r="Q192" s="146"/>
      <c r="R192" s="146"/>
      <c r="S192" s="146"/>
      <c r="T192" s="156"/>
      <c r="U192" s="146"/>
      <c r="V192" s="146"/>
      <c r="W192" s="146"/>
      <c r="X192" s="146"/>
      <c r="Y192" s="146"/>
      <c r="Z192" s="146"/>
      <c r="AA192" s="146"/>
      <c r="AB192" s="146"/>
      <c r="AC192" s="157"/>
      <c r="AD192" s="157"/>
      <c r="AE192" s="157"/>
      <c r="AF192" s="158">
        <f>SUM(AG192:AJ192)</f>
      </c>
      <c r="AG192" s="146"/>
      <c r="AH192" s="145"/>
      <c r="AI192" s="145"/>
      <c r="AJ192" s="145"/>
      <c r="AK192" s="158">
        <f>SUM(AL192:AW192)</f>
      </c>
      <c r="AL192" s="146"/>
      <c r="AM192" s="145"/>
      <c r="AN192" s="145"/>
      <c r="AO192" s="145"/>
      <c r="AP192" s="145"/>
      <c r="AQ192" s="145"/>
      <c r="AR192" s="145"/>
      <c r="AS192" s="145"/>
      <c r="AT192" s="145"/>
      <c r="AU192" s="145"/>
      <c r="AV192" s="145"/>
      <c r="AW192" s="158"/>
      <c r="AX192" s="145"/>
      <c r="AY192" s="145"/>
      <c r="AZ192" s="145"/>
      <c r="BA192" s="158"/>
      <c r="BB192" s="145"/>
      <c r="BC192" s="145"/>
      <c r="BD192" s="158"/>
      <c r="BE192" s="146"/>
      <c r="BF192" s="145"/>
      <c r="BG192" s="145"/>
      <c r="BH192" s="158">
        <f>SUM(BI192:BK192)</f>
      </c>
      <c r="BI192" s="145"/>
      <c r="BJ192" s="145"/>
      <c r="BK192" s="145"/>
      <c r="BL192" s="145">
        <f>SUM(BM192:BR192)</f>
      </c>
      <c r="BM192" s="145"/>
      <c r="BN192" s="145"/>
      <c r="BO192" s="158"/>
      <c r="BP192" s="145"/>
      <c r="BQ192" s="145"/>
      <c r="BR192" s="145"/>
      <c r="BS192" s="145"/>
      <c r="BT192" s="145"/>
      <c r="BU192" s="158"/>
      <c r="BV192" s="146"/>
      <c r="BW192" s="145"/>
      <c r="BX192" s="145"/>
      <c r="BY192" s="158">
        <f>SUM(BZ192:CB192)</f>
      </c>
      <c r="BZ192" s="146"/>
      <c r="CA192" s="145"/>
      <c r="CB192" s="145"/>
      <c r="CC192" s="145">
        <f>SUM(CD192:CH192)</f>
      </c>
      <c r="CD192" s="145"/>
      <c r="CE192" s="158"/>
      <c r="CF192" s="145"/>
      <c r="CG192" s="145"/>
      <c r="CH192" s="145"/>
      <c r="CI192" s="158"/>
      <c r="CJ192" s="145"/>
      <c r="CK192" s="145"/>
      <c r="CL192" s="145"/>
      <c r="CM192" s="145"/>
      <c r="CN192" s="145"/>
      <c r="CO192" s="145"/>
      <c r="CP192" s="145"/>
      <c r="CQ192" s="158"/>
      <c r="CR192" s="146"/>
      <c r="CS192" s="158"/>
      <c r="CT192" s="158"/>
      <c r="CU192" s="158">
        <f>SUM(CV192:CV192)</f>
      </c>
      <c r="CV192" s="146"/>
      <c r="CW192" s="145"/>
      <c r="CX192" s="145"/>
      <c r="CY192" s="145">
        <f>SUM(CZ192:DE192)</f>
      </c>
      <c r="CZ192" s="145"/>
      <c r="DA192" s="146"/>
      <c r="DB192" s="146"/>
      <c r="DC192" s="153"/>
      <c r="DD192" s="153"/>
      <c r="DE192" s="145"/>
      <c r="DF192" s="145"/>
      <c r="DG192" s="145"/>
      <c r="DH192" s="158"/>
      <c r="DI192" s="145"/>
      <c r="DJ192" s="158"/>
      <c r="DK192" s="145"/>
      <c r="DL192" s="158"/>
      <c r="DM192" s="145"/>
      <c r="DN192" s="145"/>
      <c r="DO192" s="145"/>
      <c r="DP192" s="158"/>
      <c r="DQ192" s="145"/>
      <c r="DR192" s="145"/>
      <c r="DS192" s="145"/>
      <c r="DT192" s="145"/>
      <c r="DU192" s="145">
        <f>SUM(DV192:EE192)</f>
      </c>
      <c r="DV192" s="145"/>
      <c r="DW192" s="145"/>
      <c r="DX192" s="145"/>
      <c r="DY192" s="145"/>
      <c r="DZ192" s="146"/>
      <c r="EA192" s="158"/>
      <c r="EB192" s="146"/>
      <c r="EC192" s="145"/>
      <c r="ED192" s="145"/>
      <c r="EE192" s="155"/>
      <c r="EF192" s="145">
        <f>SUM(EG192:EH192)</f>
      </c>
      <c r="EG192" s="145"/>
      <c r="EH192" s="146"/>
      <c r="EI192" s="159" cm="1">
        <f t="array" ref="EI192">ROW()-ROW(Run[#Headers])</f>
        <v>186</v>
      </c>
    </row>
    <row r="193" spans="2:139" s="79" customFormat="1" ht="11.25" x14ac:dyDescent="0.2">
      <c r="B193" s="146"/>
      <c r="C193" s="155"/>
      <c r="D193" s="145"/>
      <c r="E193" s="152">
        <f>SUM(F193:AE193)</f>
      </c>
      <c r="F193" s="146"/>
      <c r="G193" s="146"/>
      <c r="H193" s="146"/>
      <c r="I193" s="146"/>
      <c r="J193" s="146"/>
      <c r="K193" s="156"/>
      <c r="L193" s="146"/>
      <c r="M193" s="146"/>
      <c r="N193" s="146"/>
      <c r="O193" s="146"/>
      <c r="P193" s="156"/>
      <c r="Q193" s="146"/>
      <c r="R193" s="146"/>
      <c r="S193" s="146"/>
      <c r="T193" s="156"/>
      <c r="U193" s="146"/>
      <c r="V193" s="146"/>
      <c r="W193" s="146"/>
      <c r="X193" s="146"/>
      <c r="Y193" s="146"/>
      <c r="Z193" s="146"/>
      <c r="AA193" s="146"/>
      <c r="AB193" s="146"/>
      <c r="AC193" s="157"/>
      <c r="AD193" s="157"/>
      <c r="AE193" s="157"/>
      <c r="AF193" s="158">
        <f>SUM(AG193:AJ193)</f>
      </c>
      <c r="AG193" s="146"/>
      <c r="AH193" s="145"/>
      <c r="AI193" s="145"/>
      <c r="AJ193" s="145"/>
      <c r="AK193" s="158">
        <f>SUM(AL193:AW193)</f>
      </c>
      <c r="AL193" s="146"/>
      <c r="AM193" s="145"/>
      <c r="AN193" s="145"/>
      <c r="AO193" s="145"/>
      <c r="AP193" s="145"/>
      <c r="AQ193" s="145"/>
      <c r="AR193" s="145"/>
      <c r="AS193" s="145"/>
      <c r="AT193" s="145"/>
      <c r="AU193" s="145"/>
      <c r="AV193" s="145"/>
      <c r="AW193" s="158"/>
      <c r="AX193" s="145"/>
      <c r="AY193" s="145"/>
      <c r="AZ193" s="145"/>
      <c r="BA193" s="158"/>
      <c r="BB193" s="145"/>
      <c r="BC193" s="145"/>
      <c r="BD193" s="158"/>
      <c r="BE193" s="146"/>
      <c r="BF193" s="145"/>
      <c r="BG193" s="145"/>
      <c r="BH193" s="158">
        <f>SUM(BI193:BK193)</f>
      </c>
      <c r="BI193" s="145"/>
      <c r="BJ193" s="145"/>
      <c r="BK193" s="145"/>
      <c r="BL193" s="145">
        <f>SUM(BM193:BR193)</f>
      </c>
      <c r="BM193" s="145"/>
      <c r="BN193" s="145"/>
      <c r="BO193" s="158"/>
      <c r="BP193" s="145"/>
      <c r="BQ193" s="145"/>
      <c r="BR193" s="145"/>
      <c r="BS193" s="145"/>
      <c r="BT193" s="145"/>
      <c r="BU193" s="158"/>
      <c r="BV193" s="146"/>
      <c r="BW193" s="145"/>
      <c r="BX193" s="145"/>
      <c r="BY193" s="158">
        <f>SUM(BZ193:CB193)</f>
      </c>
      <c r="BZ193" s="146"/>
      <c r="CA193" s="145"/>
      <c r="CB193" s="145"/>
      <c r="CC193" s="145">
        <f>SUM(CD193:CH193)</f>
      </c>
      <c r="CD193" s="145"/>
      <c r="CE193" s="158"/>
      <c r="CF193" s="145"/>
      <c r="CG193" s="145"/>
      <c r="CH193" s="145"/>
      <c r="CI193" s="158"/>
      <c r="CJ193" s="145"/>
      <c r="CK193" s="145"/>
      <c r="CL193" s="145"/>
      <c r="CM193" s="145"/>
      <c r="CN193" s="145"/>
      <c r="CO193" s="145"/>
      <c r="CP193" s="145"/>
      <c r="CQ193" s="158"/>
      <c r="CR193" s="146"/>
      <c r="CS193" s="158"/>
      <c r="CT193" s="158"/>
      <c r="CU193" s="158">
        <f>SUM(CV193:CV193)</f>
      </c>
      <c r="CV193" s="146"/>
      <c r="CW193" s="145"/>
      <c r="CX193" s="145"/>
      <c r="CY193" s="145">
        <f>SUM(CZ193:DE193)</f>
      </c>
      <c r="CZ193" s="145"/>
      <c r="DA193" s="146"/>
      <c r="DB193" s="146"/>
      <c r="DC193" s="153"/>
      <c r="DD193" s="153"/>
      <c r="DE193" s="145"/>
      <c r="DF193" s="145"/>
      <c r="DG193" s="145"/>
      <c r="DH193" s="158"/>
      <c r="DI193" s="145"/>
      <c r="DJ193" s="158"/>
      <c r="DK193" s="145"/>
      <c r="DL193" s="158"/>
      <c r="DM193" s="145"/>
      <c r="DN193" s="145"/>
      <c r="DO193" s="145"/>
      <c r="DP193" s="158"/>
      <c r="DQ193" s="145"/>
      <c r="DR193" s="145"/>
      <c r="DS193" s="145"/>
      <c r="DT193" s="145"/>
      <c r="DU193" s="145">
        <f>SUM(DV193:EE193)</f>
      </c>
      <c r="DV193" s="145"/>
      <c r="DW193" s="145"/>
      <c r="DX193" s="145"/>
      <c r="DY193" s="145"/>
      <c r="DZ193" s="146"/>
      <c r="EA193" s="158"/>
      <c r="EB193" s="146"/>
      <c r="EC193" s="145"/>
      <c r="ED193" s="145"/>
      <c r="EE193" s="155"/>
      <c r="EF193" s="145">
        <f>SUM(EG193:EH193)</f>
      </c>
      <c r="EG193" s="145"/>
      <c r="EH193" s="146"/>
      <c r="EI193" s="159" cm="1">
        <f t="array" ref="EI193">ROW()-ROW(Run[#Headers])</f>
        <v>187</v>
      </c>
    </row>
    <row r="194" spans="2:139" s="79" customFormat="1" ht="11.25" x14ac:dyDescent="0.2">
      <c r="B194" s="146"/>
      <c r="C194" s="155"/>
      <c r="D194" s="145"/>
      <c r="E194" s="152">
        <f>SUM(F194:AE194)</f>
      </c>
      <c r="F194" s="146"/>
      <c r="G194" s="146"/>
      <c r="H194" s="146"/>
      <c r="I194" s="146"/>
      <c r="J194" s="146"/>
      <c r="K194" s="156"/>
      <c r="L194" s="146"/>
      <c r="M194" s="146"/>
      <c r="N194" s="146"/>
      <c r="O194" s="146"/>
      <c r="P194" s="156"/>
      <c r="Q194" s="146"/>
      <c r="R194" s="146"/>
      <c r="S194" s="146"/>
      <c r="T194" s="156"/>
      <c r="U194" s="146"/>
      <c r="V194" s="146"/>
      <c r="W194" s="146"/>
      <c r="X194" s="146"/>
      <c r="Y194" s="146"/>
      <c r="Z194" s="146"/>
      <c r="AA194" s="146"/>
      <c r="AB194" s="146"/>
      <c r="AC194" s="157"/>
      <c r="AD194" s="157"/>
      <c r="AE194" s="157"/>
      <c r="AF194" s="158">
        <f>SUM(AG194:AJ194)</f>
      </c>
      <c r="AG194" s="146"/>
      <c r="AH194" s="145"/>
      <c r="AI194" s="145"/>
      <c r="AJ194" s="145"/>
      <c r="AK194" s="158">
        <f>SUM(AL194:AW194)</f>
      </c>
      <c r="AL194" s="146"/>
      <c r="AM194" s="145"/>
      <c r="AN194" s="145"/>
      <c r="AO194" s="145"/>
      <c r="AP194" s="145"/>
      <c r="AQ194" s="145"/>
      <c r="AR194" s="145"/>
      <c r="AS194" s="145"/>
      <c r="AT194" s="145"/>
      <c r="AU194" s="145"/>
      <c r="AV194" s="145"/>
      <c r="AW194" s="158"/>
      <c r="AX194" s="145"/>
      <c r="AY194" s="145"/>
      <c r="AZ194" s="145"/>
      <c r="BA194" s="158"/>
      <c r="BB194" s="145"/>
      <c r="BC194" s="145"/>
      <c r="BD194" s="158"/>
      <c r="BE194" s="146"/>
      <c r="BF194" s="145"/>
      <c r="BG194" s="145"/>
      <c r="BH194" s="158">
        <f>SUM(BI194:BK194)</f>
      </c>
      <c r="BI194" s="145"/>
      <c r="BJ194" s="145"/>
      <c r="BK194" s="145"/>
      <c r="BL194" s="145">
        <f>SUM(BM194:BR194)</f>
      </c>
      <c r="BM194" s="145"/>
      <c r="BN194" s="145"/>
      <c r="BO194" s="158"/>
      <c r="BP194" s="145"/>
      <c r="BQ194" s="145"/>
      <c r="BR194" s="145"/>
      <c r="BS194" s="145"/>
      <c r="BT194" s="145"/>
      <c r="BU194" s="158"/>
      <c r="BV194" s="146"/>
      <c r="BW194" s="145"/>
      <c r="BX194" s="145"/>
      <c r="BY194" s="158">
        <f>SUM(BZ194:CB194)</f>
      </c>
      <c r="BZ194" s="146"/>
      <c r="CA194" s="145"/>
      <c r="CB194" s="145"/>
      <c r="CC194" s="145">
        <f>SUM(CD194:CH194)</f>
      </c>
      <c r="CD194" s="145"/>
      <c r="CE194" s="158"/>
      <c r="CF194" s="145"/>
      <c r="CG194" s="145"/>
      <c r="CH194" s="145"/>
      <c r="CI194" s="158"/>
      <c r="CJ194" s="145"/>
      <c r="CK194" s="145"/>
      <c r="CL194" s="145"/>
      <c r="CM194" s="145"/>
      <c r="CN194" s="145"/>
      <c r="CO194" s="145"/>
      <c r="CP194" s="145"/>
      <c r="CQ194" s="158"/>
      <c r="CR194" s="146"/>
      <c r="CS194" s="158"/>
      <c r="CT194" s="158"/>
      <c r="CU194" s="158">
        <f>SUM(CV194:CV194)</f>
      </c>
      <c r="CV194" s="146"/>
      <c r="CW194" s="145"/>
      <c r="CX194" s="145"/>
      <c r="CY194" s="145">
        <f>SUM(CZ194:DE194)</f>
      </c>
      <c r="CZ194" s="145"/>
      <c r="DA194" s="146"/>
      <c r="DB194" s="146"/>
      <c r="DC194" s="153"/>
      <c r="DD194" s="153"/>
      <c r="DE194" s="145"/>
      <c r="DF194" s="145"/>
      <c r="DG194" s="145"/>
      <c r="DH194" s="158"/>
      <c r="DI194" s="145"/>
      <c r="DJ194" s="158"/>
      <c r="DK194" s="145"/>
      <c r="DL194" s="158"/>
      <c r="DM194" s="145"/>
      <c r="DN194" s="145"/>
      <c r="DO194" s="145"/>
      <c r="DP194" s="158"/>
      <c r="DQ194" s="145"/>
      <c r="DR194" s="145"/>
      <c r="DS194" s="145"/>
      <c r="DT194" s="145"/>
      <c r="DU194" s="145">
        <f>SUM(DV194:EE194)</f>
      </c>
      <c r="DV194" s="145"/>
      <c r="DW194" s="145"/>
      <c r="DX194" s="145"/>
      <c r="DY194" s="145"/>
      <c r="DZ194" s="146"/>
      <c r="EA194" s="158"/>
      <c r="EB194" s="146"/>
      <c r="EC194" s="145"/>
      <c r="ED194" s="145"/>
      <c r="EE194" s="155"/>
      <c r="EF194" s="145">
        <f>SUM(EG194:EH194)</f>
      </c>
      <c r="EG194" s="145"/>
      <c r="EH194" s="146"/>
      <c r="EI194" s="159" cm="1">
        <f t="array" ref="EI194">ROW()-ROW(Run[#Headers])</f>
        <v>188</v>
      </c>
    </row>
    <row r="195" spans="2:139" s="79" customFormat="1" ht="11.25" x14ac:dyDescent="0.2">
      <c r="B195" s="146"/>
      <c r="C195" s="155"/>
      <c r="D195" s="145"/>
      <c r="E195" s="152">
        <f>SUM(F195:AE195)</f>
      </c>
      <c r="F195" s="146"/>
      <c r="G195" s="146"/>
      <c r="H195" s="146"/>
      <c r="I195" s="146"/>
      <c r="J195" s="146"/>
      <c r="K195" s="156"/>
      <c r="L195" s="146"/>
      <c r="M195" s="146"/>
      <c r="N195" s="146"/>
      <c r="O195" s="146"/>
      <c r="P195" s="156"/>
      <c r="Q195" s="146"/>
      <c r="R195" s="146"/>
      <c r="S195" s="146"/>
      <c r="T195" s="156"/>
      <c r="U195" s="146"/>
      <c r="V195" s="146"/>
      <c r="W195" s="146"/>
      <c r="X195" s="146"/>
      <c r="Y195" s="146"/>
      <c r="Z195" s="146"/>
      <c r="AA195" s="146"/>
      <c r="AB195" s="146"/>
      <c r="AC195" s="157"/>
      <c r="AD195" s="157"/>
      <c r="AE195" s="157"/>
      <c r="AF195" s="158">
        <f>SUM(AG195:AJ195)</f>
      </c>
      <c r="AG195" s="146"/>
      <c r="AH195" s="145"/>
      <c r="AI195" s="145"/>
      <c r="AJ195" s="145"/>
      <c r="AK195" s="158">
        <f>SUM(AL195:AW195)</f>
      </c>
      <c r="AL195" s="146"/>
      <c r="AM195" s="145"/>
      <c r="AN195" s="145"/>
      <c r="AO195" s="145"/>
      <c r="AP195" s="145"/>
      <c r="AQ195" s="145"/>
      <c r="AR195" s="145"/>
      <c r="AS195" s="145"/>
      <c r="AT195" s="145"/>
      <c r="AU195" s="145"/>
      <c r="AV195" s="145"/>
      <c r="AW195" s="158"/>
      <c r="AX195" s="145"/>
      <c r="AY195" s="145"/>
      <c r="AZ195" s="145"/>
      <c r="BA195" s="158"/>
      <c r="BB195" s="145"/>
      <c r="BC195" s="145"/>
      <c r="BD195" s="158"/>
      <c r="BE195" s="146"/>
      <c r="BF195" s="145"/>
      <c r="BG195" s="145"/>
      <c r="BH195" s="158">
        <f>SUM(BI195:BK195)</f>
      </c>
      <c r="BI195" s="145"/>
      <c r="BJ195" s="145"/>
      <c r="BK195" s="145"/>
      <c r="BL195" s="145">
        <f>SUM(BM195:BR195)</f>
      </c>
      <c r="BM195" s="145"/>
      <c r="BN195" s="145"/>
      <c r="BO195" s="158"/>
      <c r="BP195" s="145"/>
      <c r="BQ195" s="145"/>
      <c r="BR195" s="145"/>
      <c r="BS195" s="145"/>
      <c r="BT195" s="145"/>
      <c r="BU195" s="158"/>
      <c r="BV195" s="146"/>
      <c r="BW195" s="145"/>
      <c r="BX195" s="145"/>
      <c r="BY195" s="158">
        <f>SUM(BZ195:CB195)</f>
      </c>
      <c r="BZ195" s="146"/>
      <c r="CA195" s="145"/>
      <c r="CB195" s="145"/>
      <c r="CC195" s="145">
        <f>SUM(CD195:CH195)</f>
      </c>
      <c r="CD195" s="145"/>
      <c r="CE195" s="158"/>
      <c r="CF195" s="145"/>
      <c r="CG195" s="145"/>
      <c r="CH195" s="145"/>
      <c r="CI195" s="158"/>
      <c r="CJ195" s="145"/>
      <c r="CK195" s="145"/>
      <c r="CL195" s="145"/>
      <c r="CM195" s="145"/>
      <c r="CN195" s="145"/>
      <c r="CO195" s="145"/>
      <c r="CP195" s="145"/>
      <c r="CQ195" s="158"/>
      <c r="CR195" s="146"/>
      <c r="CS195" s="158"/>
      <c r="CT195" s="158"/>
      <c r="CU195" s="158">
        <f>SUM(CV195:CV195)</f>
      </c>
      <c r="CV195" s="146"/>
      <c r="CW195" s="145"/>
      <c r="CX195" s="145"/>
      <c r="CY195" s="145">
        <f>SUM(CZ195:DE195)</f>
      </c>
      <c r="CZ195" s="145"/>
      <c r="DA195" s="146"/>
      <c r="DB195" s="146"/>
      <c r="DC195" s="153"/>
      <c r="DD195" s="153"/>
      <c r="DE195" s="145"/>
      <c r="DF195" s="145"/>
      <c r="DG195" s="145"/>
      <c r="DH195" s="158"/>
      <c r="DI195" s="145"/>
      <c r="DJ195" s="158"/>
      <c r="DK195" s="145"/>
      <c r="DL195" s="158"/>
      <c r="DM195" s="145"/>
      <c r="DN195" s="145"/>
      <c r="DO195" s="145"/>
      <c r="DP195" s="158"/>
      <c r="DQ195" s="145"/>
      <c r="DR195" s="145"/>
      <c r="DS195" s="145"/>
      <c r="DT195" s="145"/>
      <c r="DU195" s="145">
        <f>SUM(DV195:EE195)</f>
      </c>
      <c r="DV195" s="145"/>
      <c r="DW195" s="145"/>
      <c r="DX195" s="145"/>
      <c r="DY195" s="145"/>
      <c r="DZ195" s="146"/>
      <c r="EA195" s="158"/>
      <c r="EB195" s="146"/>
      <c r="EC195" s="145"/>
      <c r="ED195" s="145"/>
      <c r="EE195" s="155"/>
      <c r="EF195" s="145">
        <f>SUM(EG195:EH195)</f>
      </c>
      <c r="EG195" s="145"/>
      <c r="EH195" s="146"/>
      <c r="EI195" s="159" cm="1">
        <f t="array" ref="EI195">ROW()-ROW(Run[#Headers])</f>
        <v>189</v>
      </c>
    </row>
    <row r="196" spans="2:139" s="79" customFormat="1" ht="11.25" x14ac:dyDescent="0.2">
      <c r="B196" s="146"/>
      <c r="C196" s="155"/>
      <c r="D196" s="145"/>
      <c r="E196" s="152">
        <f>SUM(F196:AE196)</f>
      </c>
      <c r="F196" s="146"/>
      <c r="G196" s="146"/>
      <c r="H196" s="146"/>
      <c r="I196" s="146"/>
      <c r="J196" s="146"/>
      <c r="K196" s="156"/>
      <c r="L196" s="146"/>
      <c r="M196" s="146"/>
      <c r="N196" s="146"/>
      <c r="O196" s="146"/>
      <c r="P196" s="156"/>
      <c r="Q196" s="146"/>
      <c r="R196" s="146"/>
      <c r="S196" s="146"/>
      <c r="T196" s="156"/>
      <c r="U196" s="146"/>
      <c r="V196" s="146"/>
      <c r="W196" s="146"/>
      <c r="X196" s="146"/>
      <c r="Y196" s="146"/>
      <c r="Z196" s="146"/>
      <c r="AA196" s="146"/>
      <c r="AB196" s="146"/>
      <c r="AC196" s="157"/>
      <c r="AD196" s="157"/>
      <c r="AE196" s="157"/>
      <c r="AF196" s="158">
        <f>SUM(AG196:AJ196)</f>
      </c>
      <c r="AG196" s="146"/>
      <c r="AH196" s="145"/>
      <c r="AI196" s="145"/>
      <c r="AJ196" s="145"/>
      <c r="AK196" s="158">
        <f>SUM(AL196:AW196)</f>
      </c>
      <c r="AL196" s="146"/>
      <c r="AM196" s="145"/>
      <c r="AN196" s="145"/>
      <c r="AO196" s="145"/>
      <c r="AP196" s="145"/>
      <c r="AQ196" s="145"/>
      <c r="AR196" s="145"/>
      <c r="AS196" s="145"/>
      <c r="AT196" s="145"/>
      <c r="AU196" s="145"/>
      <c r="AV196" s="145"/>
      <c r="AW196" s="158"/>
      <c r="AX196" s="145"/>
      <c r="AY196" s="145"/>
      <c r="AZ196" s="145"/>
      <c r="BA196" s="158"/>
      <c r="BB196" s="145"/>
      <c r="BC196" s="145"/>
      <c r="BD196" s="158"/>
      <c r="BE196" s="146"/>
      <c r="BF196" s="145"/>
      <c r="BG196" s="145"/>
      <c r="BH196" s="158">
        <f>SUM(BI196:BK196)</f>
      </c>
      <c r="BI196" s="145"/>
      <c r="BJ196" s="145"/>
      <c r="BK196" s="145"/>
      <c r="BL196" s="145">
        <f>SUM(BM196:BR196)</f>
      </c>
      <c r="BM196" s="145"/>
      <c r="BN196" s="145"/>
      <c r="BO196" s="158"/>
      <c r="BP196" s="145"/>
      <c r="BQ196" s="145"/>
      <c r="BR196" s="145"/>
      <c r="BS196" s="145"/>
      <c r="BT196" s="145"/>
      <c r="BU196" s="158"/>
      <c r="BV196" s="146"/>
      <c r="BW196" s="145"/>
      <c r="BX196" s="145"/>
      <c r="BY196" s="158">
        <f>SUM(BZ196:CB196)</f>
      </c>
      <c r="BZ196" s="146"/>
      <c r="CA196" s="145"/>
      <c r="CB196" s="145"/>
      <c r="CC196" s="145">
        <f>SUM(CD196:CH196)</f>
      </c>
      <c r="CD196" s="145"/>
      <c r="CE196" s="158"/>
      <c r="CF196" s="145"/>
      <c r="CG196" s="145"/>
      <c r="CH196" s="145"/>
      <c r="CI196" s="158"/>
      <c r="CJ196" s="145"/>
      <c r="CK196" s="145"/>
      <c r="CL196" s="145"/>
      <c r="CM196" s="145"/>
      <c r="CN196" s="145"/>
      <c r="CO196" s="145"/>
      <c r="CP196" s="145"/>
      <c r="CQ196" s="158"/>
      <c r="CR196" s="146"/>
      <c r="CS196" s="158"/>
      <c r="CT196" s="158"/>
      <c r="CU196" s="158">
        <f>SUM(CV196:CV196)</f>
      </c>
      <c r="CV196" s="146"/>
      <c r="CW196" s="145"/>
      <c r="CX196" s="145"/>
      <c r="CY196" s="145">
        <f>SUM(CZ196:DE196)</f>
      </c>
      <c r="CZ196" s="145"/>
      <c r="DA196" s="146"/>
      <c r="DB196" s="146"/>
      <c r="DC196" s="153"/>
      <c r="DD196" s="153"/>
      <c r="DE196" s="145"/>
      <c r="DF196" s="145"/>
      <c r="DG196" s="145"/>
      <c r="DH196" s="158"/>
      <c r="DI196" s="145"/>
      <c r="DJ196" s="158"/>
      <c r="DK196" s="145"/>
      <c r="DL196" s="158"/>
      <c r="DM196" s="145"/>
      <c r="DN196" s="145"/>
      <c r="DO196" s="145"/>
      <c r="DP196" s="158"/>
      <c r="DQ196" s="145"/>
      <c r="DR196" s="145"/>
      <c r="DS196" s="145"/>
      <c r="DT196" s="145"/>
      <c r="DU196" s="145">
        <f>SUM(DV196:EE196)</f>
      </c>
      <c r="DV196" s="145"/>
      <c r="DW196" s="145"/>
      <c r="DX196" s="145"/>
      <c r="DY196" s="145"/>
      <c r="DZ196" s="146"/>
      <c r="EA196" s="158"/>
      <c r="EB196" s="146"/>
      <c r="EC196" s="145"/>
      <c r="ED196" s="145"/>
      <c r="EE196" s="155"/>
      <c r="EF196" s="145">
        <f>SUM(EG196:EH196)</f>
      </c>
      <c r="EG196" s="145"/>
      <c r="EH196" s="146"/>
      <c r="EI196" s="159" cm="1">
        <f t="array" ref="EI196">ROW()-ROW(Run[#Headers])</f>
        <v>190</v>
      </c>
    </row>
    <row r="197" spans="2:139" s="79" customFormat="1" ht="11.25" x14ac:dyDescent="0.2">
      <c r="B197" s="146"/>
      <c r="C197" s="155"/>
      <c r="D197" s="145"/>
      <c r="E197" s="152">
        <f>SUM(F197:AE197)</f>
      </c>
      <c r="F197" s="146"/>
      <c r="G197" s="146"/>
      <c r="H197" s="146"/>
      <c r="I197" s="146"/>
      <c r="J197" s="146"/>
      <c r="K197" s="156"/>
      <c r="L197" s="146"/>
      <c r="M197" s="146"/>
      <c r="N197" s="146"/>
      <c r="O197" s="146"/>
      <c r="P197" s="156"/>
      <c r="Q197" s="146"/>
      <c r="R197" s="146"/>
      <c r="S197" s="146"/>
      <c r="T197" s="156"/>
      <c r="U197" s="146"/>
      <c r="V197" s="146"/>
      <c r="W197" s="146"/>
      <c r="X197" s="146"/>
      <c r="Y197" s="146"/>
      <c r="Z197" s="146"/>
      <c r="AA197" s="146"/>
      <c r="AB197" s="146"/>
      <c r="AC197" s="157"/>
      <c r="AD197" s="157"/>
      <c r="AE197" s="157"/>
      <c r="AF197" s="158">
        <f>SUM(AG197:AJ197)</f>
      </c>
      <c r="AG197" s="146"/>
      <c r="AH197" s="145"/>
      <c r="AI197" s="145"/>
      <c r="AJ197" s="145"/>
      <c r="AK197" s="158">
        <f>SUM(AL197:AW197)</f>
      </c>
      <c r="AL197" s="146"/>
      <c r="AM197" s="145"/>
      <c r="AN197" s="145"/>
      <c r="AO197" s="145"/>
      <c r="AP197" s="145"/>
      <c r="AQ197" s="145"/>
      <c r="AR197" s="145"/>
      <c r="AS197" s="145"/>
      <c r="AT197" s="145"/>
      <c r="AU197" s="145"/>
      <c r="AV197" s="145"/>
      <c r="AW197" s="158"/>
      <c r="AX197" s="145"/>
      <c r="AY197" s="145"/>
      <c r="AZ197" s="145"/>
      <c r="BA197" s="158"/>
      <c r="BB197" s="145"/>
      <c r="BC197" s="145"/>
      <c r="BD197" s="158"/>
      <c r="BE197" s="146"/>
      <c r="BF197" s="145"/>
      <c r="BG197" s="145"/>
      <c r="BH197" s="158">
        <f>SUM(BI197:BK197)</f>
      </c>
      <c r="BI197" s="145"/>
      <c r="BJ197" s="145"/>
      <c r="BK197" s="145"/>
      <c r="BL197" s="145">
        <f>SUM(BM197:BR197)</f>
      </c>
      <c r="BM197" s="145"/>
      <c r="BN197" s="145"/>
      <c r="BO197" s="158"/>
      <c r="BP197" s="145"/>
      <c r="BQ197" s="145"/>
      <c r="BR197" s="145"/>
      <c r="BS197" s="145"/>
      <c r="BT197" s="145"/>
      <c r="BU197" s="158"/>
      <c r="BV197" s="146"/>
      <c r="BW197" s="145"/>
      <c r="BX197" s="145"/>
      <c r="BY197" s="158">
        <f>SUM(BZ197:CB197)</f>
      </c>
      <c r="BZ197" s="146"/>
      <c r="CA197" s="145"/>
      <c r="CB197" s="145"/>
      <c r="CC197" s="145">
        <f>SUM(CD197:CH197)</f>
      </c>
      <c r="CD197" s="145"/>
      <c r="CE197" s="158"/>
      <c r="CF197" s="145"/>
      <c r="CG197" s="145"/>
      <c r="CH197" s="145"/>
      <c r="CI197" s="158"/>
      <c r="CJ197" s="145"/>
      <c r="CK197" s="145"/>
      <c r="CL197" s="145"/>
      <c r="CM197" s="145"/>
      <c r="CN197" s="145"/>
      <c r="CO197" s="145"/>
      <c r="CP197" s="145"/>
      <c r="CQ197" s="158"/>
      <c r="CR197" s="146"/>
      <c r="CS197" s="158"/>
      <c r="CT197" s="158"/>
      <c r="CU197" s="158">
        <f>SUM(CV197:CV197)</f>
      </c>
      <c r="CV197" s="146"/>
      <c r="CW197" s="145"/>
      <c r="CX197" s="145"/>
      <c r="CY197" s="145">
        <f>SUM(CZ197:DE197)</f>
      </c>
      <c r="CZ197" s="145"/>
      <c r="DA197" s="146"/>
      <c r="DB197" s="146"/>
      <c r="DC197" s="153"/>
      <c r="DD197" s="153"/>
      <c r="DE197" s="145"/>
      <c r="DF197" s="145"/>
      <c r="DG197" s="145"/>
      <c r="DH197" s="158"/>
      <c r="DI197" s="145"/>
      <c r="DJ197" s="158"/>
      <c r="DK197" s="145"/>
      <c r="DL197" s="158"/>
      <c r="DM197" s="145"/>
      <c r="DN197" s="145"/>
      <c r="DO197" s="145"/>
      <c r="DP197" s="158"/>
      <c r="DQ197" s="145"/>
      <c r="DR197" s="145"/>
      <c r="DS197" s="145"/>
      <c r="DT197" s="145"/>
      <c r="DU197" s="145">
        <f>SUM(DV197:EE197)</f>
      </c>
      <c r="DV197" s="145"/>
      <c r="DW197" s="145"/>
      <c r="DX197" s="145"/>
      <c r="DY197" s="145"/>
      <c r="DZ197" s="146"/>
      <c r="EA197" s="158"/>
      <c r="EB197" s="146"/>
      <c r="EC197" s="145"/>
      <c r="ED197" s="145"/>
      <c r="EE197" s="155"/>
      <c r="EF197" s="145">
        <f>SUM(EG197:EH197)</f>
      </c>
      <c r="EG197" s="145"/>
      <c r="EH197" s="146"/>
      <c r="EI197" s="159" cm="1">
        <f t="array" ref="EI197">ROW()-ROW(Run[#Headers])</f>
        <v>191</v>
      </c>
    </row>
    <row r="198" spans="2:139" s="79" customFormat="1" ht="11.25" x14ac:dyDescent="0.2">
      <c r="B198" s="146"/>
      <c r="C198" s="155"/>
      <c r="D198" s="145"/>
      <c r="E198" s="152">
        <f>SUM(F198:AE198)</f>
      </c>
      <c r="F198" s="146"/>
      <c r="G198" s="146"/>
      <c r="H198" s="146"/>
      <c r="I198" s="146"/>
      <c r="J198" s="146"/>
      <c r="K198" s="156"/>
      <c r="L198" s="146"/>
      <c r="M198" s="146"/>
      <c r="N198" s="146"/>
      <c r="O198" s="146"/>
      <c r="P198" s="156"/>
      <c r="Q198" s="146"/>
      <c r="R198" s="146"/>
      <c r="S198" s="146"/>
      <c r="T198" s="156"/>
      <c r="U198" s="146"/>
      <c r="V198" s="146"/>
      <c r="W198" s="146"/>
      <c r="X198" s="146"/>
      <c r="Y198" s="146"/>
      <c r="Z198" s="146"/>
      <c r="AA198" s="146"/>
      <c r="AB198" s="146"/>
      <c r="AC198" s="157"/>
      <c r="AD198" s="157"/>
      <c r="AE198" s="157"/>
      <c r="AF198" s="158">
        <f>SUM(AG198:AJ198)</f>
      </c>
      <c r="AG198" s="146"/>
      <c r="AH198" s="145"/>
      <c r="AI198" s="145"/>
      <c r="AJ198" s="145"/>
      <c r="AK198" s="158">
        <f>SUM(AL198:AW198)</f>
      </c>
      <c r="AL198" s="146"/>
      <c r="AM198" s="145"/>
      <c r="AN198" s="145"/>
      <c r="AO198" s="145"/>
      <c r="AP198" s="145"/>
      <c r="AQ198" s="145"/>
      <c r="AR198" s="145"/>
      <c r="AS198" s="145"/>
      <c r="AT198" s="145"/>
      <c r="AU198" s="145"/>
      <c r="AV198" s="145"/>
      <c r="AW198" s="158"/>
      <c r="AX198" s="145"/>
      <c r="AY198" s="145"/>
      <c r="AZ198" s="145"/>
      <c r="BA198" s="158"/>
      <c r="BB198" s="145"/>
      <c r="BC198" s="145"/>
      <c r="BD198" s="158"/>
      <c r="BE198" s="146"/>
      <c r="BF198" s="145"/>
      <c r="BG198" s="145"/>
      <c r="BH198" s="158">
        <f>SUM(BI198:BK198)</f>
      </c>
      <c r="BI198" s="145"/>
      <c r="BJ198" s="145"/>
      <c r="BK198" s="145"/>
      <c r="BL198" s="145">
        <f>SUM(BM198:BR198)</f>
      </c>
      <c r="BM198" s="145"/>
      <c r="BN198" s="145"/>
      <c r="BO198" s="158"/>
      <c r="BP198" s="145"/>
      <c r="BQ198" s="145"/>
      <c r="BR198" s="145"/>
      <c r="BS198" s="145"/>
      <c r="BT198" s="145"/>
      <c r="BU198" s="158"/>
      <c r="BV198" s="146"/>
      <c r="BW198" s="145"/>
      <c r="BX198" s="145"/>
      <c r="BY198" s="158">
        <f>SUM(BZ198:CB198)</f>
      </c>
      <c r="BZ198" s="146"/>
      <c r="CA198" s="145"/>
      <c r="CB198" s="145"/>
      <c r="CC198" s="145">
        <f>SUM(CD198:CH198)</f>
      </c>
      <c r="CD198" s="145"/>
      <c r="CE198" s="158"/>
      <c r="CF198" s="145"/>
      <c r="CG198" s="145"/>
      <c r="CH198" s="145"/>
      <c r="CI198" s="158"/>
      <c r="CJ198" s="145"/>
      <c r="CK198" s="145"/>
      <c r="CL198" s="145"/>
      <c r="CM198" s="145"/>
      <c r="CN198" s="145"/>
      <c r="CO198" s="145"/>
      <c r="CP198" s="145"/>
      <c r="CQ198" s="158"/>
      <c r="CR198" s="146"/>
      <c r="CS198" s="158"/>
      <c r="CT198" s="158"/>
      <c r="CU198" s="158">
        <f>SUM(CV198:CV198)</f>
      </c>
      <c r="CV198" s="146"/>
      <c r="CW198" s="145"/>
      <c r="CX198" s="145"/>
      <c r="CY198" s="145">
        <f>SUM(CZ198:DE198)</f>
      </c>
      <c r="CZ198" s="145"/>
      <c r="DA198" s="146"/>
      <c r="DB198" s="146"/>
      <c r="DC198" s="153"/>
      <c r="DD198" s="153"/>
      <c r="DE198" s="145"/>
      <c r="DF198" s="145"/>
      <c r="DG198" s="145"/>
      <c r="DH198" s="158"/>
      <c r="DI198" s="145"/>
      <c r="DJ198" s="158"/>
      <c r="DK198" s="145"/>
      <c r="DL198" s="158"/>
      <c r="DM198" s="145"/>
      <c r="DN198" s="145"/>
      <c r="DO198" s="145"/>
      <c r="DP198" s="158"/>
      <c r="DQ198" s="145"/>
      <c r="DR198" s="145"/>
      <c r="DS198" s="145"/>
      <c r="DT198" s="145"/>
      <c r="DU198" s="145">
        <f>SUM(DV198:EE198)</f>
      </c>
      <c r="DV198" s="145"/>
      <c r="DW198" s="145"/>
      <c r="DX198" s="145"/>
      <c r="DY198" s="145"/>
      <c r="DZ198" s="146"/>
      <c r="EA198" s="158"/>
      <c r="EB198" s="146"/>
      <c r="EC198" s="145"/>
      <c r="ED198" s="145"/>
      <c r="EE198" s="155"/>
      <c r="EF198" s="145">
        <f>SUM(EG198:EH198)</f>
      </c>
      <c r="EG198" s="145"/>
      <c r="EH198" s="146"/>
      <c r="EI198" s="159" cm="1">
        <f t="array" ref="EI198">ROW()-ROW(Run[#Headers])</f>
        <v>192</v>
      </c>
    </row>
    <row r="199" spans="2:139" s="79" customFormat="1" ht="11.25" x14ac:dyDescent="0.2">
      <c r="B199" s="146"/>
      <c r="C199" s="155"/>
      <c r="D199" s="145"/>
      <c r="E199" s="152">
        <f>SUM(F199:AE199)</f>
      </c>
      <c r="F199" s="146"/>
      <c r="G199" s="146"/>
      <c r="H199" s="146"/>
      <c r="I199" s="146"/>
      <c r="J199" s="146"/>
      <c r="K199" s="156"/>
      <c r="L199" s="146"/>
      <c r="M199" s="146"/>
      <c r="N199" s="146"/>
      <c r="O199" s="146"/>
      <c r="P199" s="156"/>
      <c r="Q199" s="146"/>
      <c r="R199" s="146"/>
      <c r="S199" s="146"/>
      <c r="T199" s="156"/>
      <c r="U199" s="146"/>
      <c r="V199" s="146"/>
      <c r="W199" s="146"/>
      <c r="X199" s="146"/>
      <c r="Y199" s="146"/>
      <c r="Z199" s="146"/>
      <c r="AA199" s="146"/>
      <c r="AB199" s="146"/>
      <c r="AC199" s="157"/>
      <c r="AD199" s="157"/>
      <c r="AE199" s="157"/>
      <c r="AF199" s="158">
        <f>SUM(AG199:AJ199)</f>
      </c>
      <c r="AG199" s="146"/>
      <c r="AH199" s="145"/>
      <c r="AI199" s="145"/>
      <c r="AJ199" s="145"/>
      <c r="AK199" s="158">
        <f>SUM(AL199:AW199)</f>
      </c>
      <c r="AL199" s="146"/>
      <c r="AM199" s="145"/>
      <c r="AN199" s="145"/>
      <c r="AO199" s="145"/>
      <c r="AP199" s="145"/>
      <c r="AQ199" s="145"/>
      <c r="AR199" s="145"/>
      <c r="AS199" s="145"/>
      <c r="AT199" s="145"/>
      <c r="AU199" s="145"/>
      <c r="AV199" s="145"/>
      <c r="AW199" s="158"/>
      <c r="AX199" s="145"/>
      <c r="AY199" s="145"/>
      <c r="AZ199" s="145"/>
      <c r="BA199" s="158"/>
      <c r="BB199" s="145"/>
      <c r="BC199" s="145"/>
      <c r="BD199" s="158"/>
      <c r="BE199" s="146"/>
      <c r="BF199" s="145"/>
      <c r="BG199" s="145"/>
      <c r="BH199" s="158">
        <f>SUM(BI199:BK199)</f>
      </c>
      <c r="BI199" s="145"/>
      <c r="BJ199" s="145"/>
      <c r="BK199" s="145"/>
      <c r="BL199" s="145">
        <f>SUM(BM199:BR199)</f>
      </c>
      <c r="BM199" s="145"/>
      <c r="BN199" s="145"/>
      <c r="BO199" s="158"/>
      <c r="BP199" s="145"/>
      <c r="BQ199" s="145"/>
      <c r="BR199" s="145"/>
      <c r="BS199" s="145"/>
      <c r="BT199" s="145"/>
      <c r="BU199" s="158"/>
      <c r="BV199" s="146"/>
      <c r="BW199" s="145"/>
      <c r="BX199" s="145"/>
      <c r="BY199" s="158">
        <f>SUM(BZ199:CB199)</f>
      </c>
      <c r="BZ199" s="146"/>
      <c r="CA199" s="145"/>
      <c r="CB199" s="145"/>
      <c r="CC199" s="145">
        <f>SUM(CD199:CH199)</f>
      </c>
      <c r="CD199" s="145"/>
      <c r="CE199" s="158"/>
      <c r="CF199" s="145"/>
      <c r="CG199" s="145"/>
      <c r="CH199" s="145"/>
      <c r="CI199" s="158"/>
      <c r="CJ199" s="145"/>
      <c r="CK199" s="145"/>
      <c r="CL199" s="145"/>
      <c r="CM199" s="145"/>
      <c r="CN199" s="145"/>
      <c r="CO199" s="145"/>
      <c r="CP199" s="145"/>
      <c r="CQ199" s="158"/>
      <c r="CR199" s="146"/>
      <c r="CS199" s="158"/>
      <c r="CT199" s="158"/>
      <c r="CU199" s="158">
        <f>SUM(CV199:CV199)</f>
      </c>
      <c r="CV199" s="146"/>
      <c r="CW199" s="145"/>
      <c r="CX199" s="145"/>
      <c r="CY199" s="145">
        <f>SUM(CZ199:DE199)</f>
      </c>
      <c r="CZ199" s="145"/>
      <c r="DA199" s="146"/>
      <c r="DB199" s="146"/>
      <c r="DC199" s="153"/>
      <c r="DD199" s="153"/>
      <c r="DE199" s="145"/>
      <c r="DF199" s="145"/>
      <c r="DG199" s="145"/>
      <c r="DH199" s="158"/>
      <c r="DI199" s="145"/>
      <c r="DJ199" s="158"/>
      <c r="DK199" s="145"/>
      <c r="DL199" s="158"/>
      <c r="DM199" s="145"/>
      <c r="DN199" s="145"/>
      <c r="DO199" s="145"/>
      <c r="DP199" s="158"/>
      <c r="DQ199" s="145"/>
      <c r="DR199" s="145"/>
      <c r="DS199" s="145"/>
      <c r="DT199" s="145"/>
      <c r="DU199" s="145">
        <f>SUM(DV199:EE199)</f>
      </c>
      <c r="DV199" s="145"/>
      <c r="DW199" s="145"/>
      <c r="DX199" s="145"/>
      <c r="DY199" s="145"/>
      <c r="DZ199" s="146"/>
      <c r="EA199" s="158"/>
      <c r="EB199" s="146"/>
      <c r="EC199" s="145"/>
      <c r="ED199" s="145"/>
      <c r="EE199" s="155"/>
      <c r="EF199" s="145">
        <f>SUM(EG199:EH199)</f>
      </c>
      <c r="EG199" s="145"/>
      <c r="EH199" s="146"/>
      <c r="EI199" s="159" cm="1">
        <f t="array" ref="EI199">ROW()-ROW(Run[#Headers])</f>
        <v>193</v>
      </c>
    </row>
    <row r="200" spans="2:139" s="79" customFormat="1" ht="11.25" x14ac:dyDescent="0.2">
      <c r="B200" s="146"/>
      <c r="C200" s="155"/>
      <c r="D200" s="145"/>
      <c r="E200" s="152">
        <f>SUM(F200:AE200)</f>
      </c>
      <c r="F200" s="146"/>
      <c r="G200" s="146"/>
      <c r="H200" s="146"/>
      <c r="I200" s="146"/>
      <c r="J200" s="146"/>
      <c r="K200" s="156"/>
      <c r="L200" s="146"/>
      <c r="M200" s="146"/>
      <c r="N200" s="146"/>
      <c r="O200" s="146"/>
      <c r="P200" s="156"/>
      <c r="Q200" s="146"/>
      <c r="R200" s="146"/>
      <c r="S200" s="146"/>
      <c r="T200" s="156"/>
      <c r="U200" s="146"/>
      <c r="V200" s="146"/>
      <c r="W200" s="146"/>
      <c r="X200" s="146"/>
      <c r="Y200" s="146"/>
      <c r="Z200" s="146"/>
      <c r="AA200" s="146"/>
      <c r="AB200" s="146"/>
      <c r="AC200" s="157"/>
      <c r="AD200" s="157"/>
      <c r="AE200" s="157"/>
      <c r="AF200" s="158">
        <f>SUM(AG200:AJ200)</f>
      </c>
      <c r="AG200" s="146"/>
      <c r="AH200" s="145"/>
      <c r="AI200" s="145"/>
      <c r="AJ200" s="145"/>
      <c r="AK200" s="158">
        <f>SUM(AL200:AW200)</f>
      </c>
      <c r="AL200" s="146"/>
      <c r="AM200" s="145"/>
      <c r="AN200" s="145"/>
      <c r="AO200" s="145"/>
      <c r="AP200" s="145"/>
      <c r="AQ200" s="145"/>
      <c r="AR200" s="145"/>
      <c r="AS200" s="145"/>
      <c r="AT200" s="145"/>
      <c r="AU200" s="145"/>
      <c r="AV200" s="145"/>
      <c r="AW200" s="158"/>
      <c r="AX200" s="145"/>
      <c r="AY200" s="145"/>
      <c r="AZ200" s="145"/>
      <c r="BA200" s="158"/>
      <c r="BB200" s="145"/>
      <c r="BC200" s="145"/>
      <c r="BD200" s="158"/>
      <c r="BE200" s="146"/>
      <c r="BF200" s="145"/>
      <c r="BG200" s="145"/>
      <c r="BH200" s="158">
        <f>SUM(BI200:BK200)</f>
      </c>
      <c r="BI200" s="145"/>
      <c r="BJ200" s="145"/>
      <c r="BK200" s="145"/>
      <c r="BL200" s="145">
        <f>SUM(BM200:BR200)</f>
      </c>
      <c r="BM200" s="145"/>
      <c r="BN200" s="145"/>
      <c r="BO200" s="158"/>
      <c r="BP200" s="145"/>
      <c r="BQ200" s="145"/>
      <c r="BR200" s="145"/>
      <c r="BS200" s="145"/>
      <c r="BT200" s="145"/>
      <c r="BU200" s="158"/>
      <c r="BV200" s="146"/>
      <c r="BW200" s="145"/>
      <c r="BX200" s="145"/>
      <c r="BY200" s="158">
        <f>SUM(BZ200:CB200)</f>
      </c>
      <c r="BZ200" s="146"/>
      <c r="CA200" s="145"/>
      <c r="CB200" s="145"/>
      <c r="CC200" s="145">
        <f>SUM(CD200:CH200)</f>
      </c>
      <c r="CD200" s="145"/>
      <c r="CE200" s="158"/>
      <c r="CF200" s="145"/>
      <c r="CG200" s="145"/>
      <c r="CH200" s="145"/>
      <c r="CI200" s="158"/>
      <c r="CJ200" s="145"/>
      <c r="CK200" s="145"/>
      <c r="CL200" s="145"/>
      <c r="CM200" s="145"/>
      <c r="CN200" s="145"/>
      <c r="CO200" s="145"/>
      <c r="CP200" s="145"/>
      <c r="CQ200" s="158"/>
      <c r="CR200" s="146"/>
      <c r="CS200" s="158"/>
      <c r="CT200" s="158"/>
      <c r="CU200" s="158">
        <f>SUM(CV200:CV200)</f>
      </c>
      <c r="CV200" s="146"/>
      <c r="CW200" s="145"/>
      <c r="CX200" s="145"/>
      <c r="CY200" s="145">
        <f>SUM(CZ200:DE200)</f>
      </c>
      <c r="CZ200" s="145"/>
      <c r="DA200" s="146"/>
      <c r="DB200" s="146"/>
      <c r="DC200" s="153"/>
      <c r="DD200" s="153"/>
      <c r="DE200" s="145"/>
      <c r="DF200" s="145"/>
      <c r="DG200" s="145"/>
      <c r="DH200" s="158"/>
      <c r="DI200" s="145"/>
      <c r="DJ200" s="158"/>
      <c r="DK200" s="145"/>
      <c r="DL200" s="158"/>
      <c r="DM200" s="145"/>
      <c r="DN200" s="145"/>
      <c r="DO200" s="145"/>
      <c r="DP200" s="158"/>
      <c r="DQ200" s="145"/>
      <c r="DR200" s="145"/>
      <c r="DS200" s="145"/>
      <c r="DT200" s="145"/>
      <c r="DU200" s="145">
        <f>SUM(DV200:EE200)</f>
      </c>
      <c r="DV200" s="145"/>
      <c r="DW200" s="145"/>
      <c r="DX200" s="145"/>
      <c r="DY200" s="145"/>
      <c r="DZ200" s="146"/>
      <c r="EA200" s="158"/>
      <c r="EB200" s="146"/>
      <c r="EC200" s="145"/>
      <c r="ED200" s="145"/>
      <c r="EE200" s="155"/>
      <c r="EF200" s="145">
        <f>SUM(EG200:EH200)</f>
      </c>
      <c r="EG200" s="145"/>
      <c r="EH200" s="146"/>
      <c r="EI200" s="159" cm="1">
        <f t="array" ref="EI200">ROW()-ROW(Run[#Headers])</f>
        <v>194</v>
      </c>
    </row>
    <row r="201" spans="2:139" s="79" customFormat="1" ht="11.25" x14ac:dyDescent="0.2">
      <c r="B201" s="146"/>
      <c r="C201" s="155"/>
      <c r="D201" s="145"/>
      <c r="E201" s="152">
        <f>SUM(F201:AE201)</f>
      </c>
      <c r="F201" s="146"/>
      <c r="G201" s="146"/>
      <c r="H201" s="146"/>
      <c r="I201" s="146"/>
      <c r="J201" s="146"/>
      <c r="K201" s="156"/>
      <c r="L201" s="146"/>
      <c r="M201" s="146"/>
      <c r="N201" s="146"/>
      <c r="O201" s="146"/>
      <c r="P201" s="156"/>
      <c r="Q201" s="146"/>
      <c r="R201" s="146"/>
      <c r="S201" s="146"/>
      <c r="T201" s="156"/>
      <c r="U201" s="146"/>
      <c r="V201" s="146"/>
      <c r="W201" s="146"/>
      <c r="X201" s="146"/>
      <c r="Y201" s="146"/>
      <c r="Z201" s="146"/>
      <c r="AA201" s="146"/>
      <c r="AB201" s="146"/>
      <c r="AC201" s="157"/>
      <c r="AD201" s="157"/>
      <c r="AE201" s="157"/>
      <c r="AF201" s="158">
        <f>SUM(AG201:AJ201)</f>
      </c>
      <c r="AG201" s="146"/>
      <c r="AH201" s="145"/>
      <c r="AI201" s="145"/>
      <c r="AJ201" s="145"/>
      <c r="AK201" s="158">
        <f>SUM(AL201:AW201)</f>
      </c>
      <c r="AL201" s="146"/>
      <c r="AM201" s="145"/>
      <c r="AN201" s="145"/>
      <c r="AO201" s="145"/>
      <c r="AP201" s="145"/>
      <c r="AQ201" s="145"/>
      <c r="AR201" s="145"/>
      <c r="AS201" s="145"/>
      <c r="AT201" s="145"/>
      <c r="AU201" s="145"/>
      <c r="AV201" s="145"/>
      <c r="AW201" s="158"/>
      <c r="AX201" s="145"/>
      <c r="AY201" s="145"/>
      <c r="AZ201" s="145"/>
      <c r="BA201" s="158"/>
      <c r="BB201" s="145"/>
      <c r="BC201" s="145"/>
      <c r="BD201" s="158"/>
      <c r="BE201" s="146"/>
      <c r="BF201" s="145"/>
      <c r="BG201" s="145"/>
      <c r="BH201" s="158">
        <f>SUM(BI201:BK201)</f>
      </c>
      <c r="BI201" s="145"/>
      <c r="BJ201" s="145"/>
      <c r="BK201" s="145"/>
      <c r="BL201" s="145">
        <f>SUM(BM201:BR201)</f>
      </c>
      <c r="BM201" s="145"/>
      <c r="BN201" s="145"/>
      <c r="BO201" s="158"/>
      <c r="BP201" s="145"/>
      <c r="BQ201" s="145"/>
      <c r="BR201" s="145"/>
      <c r="BS201" s="145"/>
      <c r="BT201" s="145"/>
      <c r="BU201" s="158"/>
      <c r="BV201" s="146"/>
      <c r="BW201" s="145"/>
      <c r="BX201" s="145"/>
      <c r="BY201" s="158">
        <f>SUM(BZ201:CB201)</f>
      </c>
      <c r="BZ201" s="146"/>
      <c r="CA201" s="145"/>
      <c r="CB201" s="145"/>
      <c r="CC201" s="145">
        <f>SUM(CD201:CH201)</f>
      </c>
      <c r="CD201" s="145"/>
      <c r="CE201" s="158"/>
      <c r="CF201" s="145"/>
      <c r="CG201" s="145"/>
      <c r="CH201" s="145"/>
      <c r="CI201" s="158"/>
      <c r="CJ201" s="145"/>
      <c r="CK201" s="145"/>
      <c r="CL201" s="145"/>
      <c r="CM201" s="145"/>
      <c r="CN201" s="145"/>
      <c r="CO201" s="145"/>
      <c r="CP201" s="145"/>
      <c r="CQ201" s="158"/>
      <c r="CR201" s="146"/>
      <c r="CS201" s="158"/>
      <c r="CT201" s="158"/>
      <c r="CU201" s="158">
        <f>SUM(CV201:CV201)</f>
      </c>
      <c r="CV201" s="146"/>
      <c r="CW201" s="145"/>
      <c r="CX201" s="145"/>
      <c r="CY201" s="145">
        <f>SUM(CZ201:DE201)</f>
      </c>
      <c r="CZ201" s="145"/>
      <c r="DA201" s="146"/>
      <c r="DB201" s="146"/>
      <c r="DC201" s="153"/>
      <c r="DD201" s="153"/>
      <c r="DE201" s="145"/>
      <c r="DF201" s="145"/>
      <c r="DG201" s="145"/>
      <c r="DH201" s="158"/>
      <c r="DI201" s="145"/>
      <c r="DJ201" s="158"/>
      <c r="DK201" s="145"/>
      <c r="DL201" s="158"/>
      <c r="DM201" s="145"/>
      <c r="DN201" s="145"/>
      <c r="DO201" s="145"/>
      <c r="DP201" s="158"/>
      <c r="DQ201" s="145"/>
      <c r="DR201" s="145"/>
      <c r="DS201" s="145"/>
      <c r="DT201" s="145"/>
      <c r="DU201" s="145">
        <f>SUM(DV201:EE201)</f>
      </c>
      <c r="DV201" s="145"/>
      <c r="DW201" s="145"/>
      <c r="DX201" s="145"/>
      <c r="DY201" s="145"/>
      <c r="DZ201" s="146"/>
      <c r="EA201" s="158"/>
      <c r="EB201" s="146"/>
      <c r="EC201" s="145"/>
      <c r="ED201" s="145"/>
      <c r="EE201" s="155"/>
      <c r="EF201" s="145">
        <f>SUM(EG201:EH201)</f>
      </c>
      <c r="EG201" s="145"/>
      <c r="EH201" s="146"/>
      <c r="EI201" s="159" cm="1">
        <f t="array" ref="EI201">ROW()-ROW(Run[#Headers])</f>
        <v>195</v>
      </c>
    </row>
    <row r="202" spans="2:139" s="79" customFormat="1" ht="11.25" x14ac:dyDescent="0.2">
      <c r="B202" s="146"/>
      <c r="C202" s="155"/>
      <c r="D202" s="145"/>
      <c r="E202" s="152">
        <f>SUM(F202:AE202)</f>
      </c>
      <c r="F202" s="146"/>
      <c r="G202" s="146"/>
      <c r="H202" s="146"/>
      <c r="I202" s="146"/>
      <c r="J202" s="146"/>
      <c r="K202" s="156"/>
      <c r="L202" s="146"/>
      <c r="M202" s="146"/>
      <c r="N202" s="146"/>
      <c r="O202" s="146"/>
      <c r="P202" s="156"/>
      <c r="Q202" s="146"/>
      <c r="R202" s="146"/>
      <c r="S202" s="146"/>
      <c r="T202" s="156"/>
      <c r="U202" s="146"/>
      <c r="V202" s="146"/>
      <c r="W202" s="146"/>
      <c r="X202" s="146"/>
      <c r="Y202" s="146"/>
      <c r="Z202" s="146"/>
      <c r="AA202" s="146"/>
      <c r="AB202" s="146"/>
      <c r="AC202" s="157"/>
      <c r="AD202" s="157"/>
      <c r="AE202" s="157"/>
      <c r="AF202" s="158">
        <f>SUM(AG202:AJ202)</f>
      </c>
      <c r="AG202" s="146"/>
      <c r="AH202" s="145"/>
      <c r="AI202" s="145"/>
      <c r="AJ202" s="145"/>
      <c r="AK202" s="158">
        <f>SUM(AL202:AW202)</f>
      </c>
      <c r="AL202" s="146"/>
      <c r="AM202" s="145"/>
      <c r="AN202" s="145"/>
      <c r="AO202" s="145"/>
      <c r="AP202" s="145"/>
      <c r="AQ202" s="145"/>
      <c r="AR202" s="145"/>
      <c r="AS202" s="145"/>
      <c r="AT202" s="145"/>
      <c r="AU202" s="145"/>
      <c r="AV202" s="145"/>
      <c r="AW202" s="158"/>
      <c r="AX202" s="145"/>
      <c r="AY202" s="145"/>
      <c r="AZ202" s="145"/>
      <c r="BA202" s="158"/>
      <c r="BB202" s="145"/>
      <c r="BC202" s="145"/>
      <c r="BD202" s="158"/>
      <c r="BE202" s="146"/>
      <c r="BF202" s="145"/>
      <c r="BG202" s="145"/>
      <c r="BH202" s="158">
        <f>SUM(BI202:BK202)</f>
      </c>
      <c r="BI202" s="145"/>
      <c r="BJ202" s="145"/>
      <c r="BK202" s="145"/>
      <c r="BL202" s="145">
        <f>SUM(BM202:BR202)</f>
      </c>
      <c r="BM202" s="145"/>
      <c r="BN202" s="145"/>
      <c r="BO202" s="158"/>
      <c r="BP202" s="145"/>
      <c r="BQ202" s="145"/>
      <c r="BR202" s="145"/>
      <c r="BS202" s="145"/>
      <c r="BT202" s="145"/>
      <c r="BU202" s="158"/>
      <c r="BV202" s="146"/>
      <c r="BW202" s="145"/>
      <c r="BX202" s="145"/>
      <c r="BY202" s="158">
        <f>SUM(BZ202:CB202)</f>
      </c>
      <c r="BZ202" s="146"/>
      <c r="CA202" s="145"/>
      <c r="CB202" s="145"/>
      <c r="CC202" s="145">
        <f>SUM(CD202:CH202)</f>
      </c>
      <c r="CD202" s="145"/>
      <c r="CE202" s="158"/>
      <c r="CF202" s="145"/>
      <c r="CG202" s="145"/>
      <c r="CH202" s="145"/>
      <c r="CI202" s="158"/>
      <c r="CJ202" s="145"/>
      <c r="CK202" s="145"/>
      <c r="CL202" s="145"/>
      <c r="CM202" s="145"/>
      <c r="CN202" s="145"/>
      <c r="CO202" s="145"/>
      <c r="CP202" s="145"/>
      <c r="CQ202" s="158"/>
      <c r="CR202" s="146"/>
      <c r="CS202" s="158"/>
      <c r="CT202" s="158"/>
      <c r="CU202" s="158">
        <f>SUM(CV202:CV202)</f>
      </c>
      <c r="CV202" s="146"/>
      <c r="CW202" s="145"/>
      <c r="CX202" s="145"/>
      <c r="CY202" s="145">
        <f>SUM(CZ202:DE202)</f>
      </c>
      <c r="CZ202" s="145"/>
      <c r="DA202" s="146"/>
      <c r="DB202" s="146"/>
      <c r="DC202" s="153"/>
      <c r="DD202" s="153"/>
      <c r="DE202" s="145"/>
      <c r="DF202" s="145"/>
      <c r="DG202" s="145"/>
      <c r="DH202" s="158"/>
      <c r="DI202" s="145"/>
      <c r="DJ202" s="158"/>
      <c r="DK202" s="145"/>
      <c r="DL202" s="158"/>
      <c r="DM202" s="145"/>
      <c r="DN202" s="145"/>
      <c r="DO202" s="145"/>
      <c r="DP202" s="158"/>
      <c r="DQ202" s="145"/>
      <c r="DR202" s="145"/>
      <c r="DS202" s="145"/>
      <c r="DT202" s="145"/>
      <c r="DU202" s="145">
        <f>SUM(DV202:EE202)</f>
      </c>
      <c r="DV202" s="145"/>
      <c r="DW202" s="145"/>
      <c r="DX202" s="145"/>
      <c r="DY202" s="145"/>
      <c r="DZ202" s="146"/>
      <c r="EA202" s="158"/>
      <c r="EB202" s="146"/>
      <c r="EC202" s="145"/>
      <c r="ED202" s="145"/>
      <c r="EE202" s="155"/>
      <c r="EF202" s="145">
        <f>SUM(EG202:EH202)</f>
      </c>
      <c r="EG202" s="145"/>
      <c r="EH202" s="146"/>
      <c r="EI202" s="159" cm="1">
        <f t="array" ref="EI202">ROW()-ROW(Run[#Headers])</f>
        <v>196</v>
      </c>
    </row>
    <row r="203" spans="2:139" s="79" customFormat="1" ht="11.25" x14ac:dyDescent="0.2">
      <c r="B203" s="146"/>
      <c r="C203" s="155"/>
      <c r="D203" s="145"/>
      <c r="E203" s="152">
        <f>SUM(F203:AE203)</f>
      </c>
      <c r="F203" s="146"/>
      <c r="G203" s="146"/>
      <c r="H203" s="146"/>
      <c r="I203" s="146"/>
      <c r="J203" s="146"/>
      <c r="K203" s="156"/>
      <c r="L203" s="146"/>
      <c r="M203" s="146"/>
      <c r="N203" s="146"/>
      <c r="O203" s="146"/>
      <c r="P203" s="156"/>
      <c r="Q203" s="146"/>
      <c r="R203" s="146"/>
      <c r="S203" s="146"/>
      <c r="T203" s="156"/>
      <c r="U203" s="146"/>
      <c r="V203" s="146"/>
      <c r="W203" s="146"/>
      <c r="X203" s="146"/>
      <c r="Y203" s="146"/>
      <c r="Z203" s="146"/>
      <c r="AA203" s="146"/>
      <c r="AB203" s="146"/>
      <c r="AC203" s="157"/>
      <c r="AD203" s="157"/>
      <c r="AE203" s="157"/>
      <c r="AF203" s="158">
        <f>SUM(AG203:AJ203)</f>
      </c>
      <c r="AG203" s="146"/>
      <c r="AH203" s="145"/>
      <c r="AI203" s="145"/>
      <c r="AJ203" s="145"/>
      <c r="AK203" s="158">
        <f>SUM(AL203:AW203)</f>
      </c>
      <c r="AL203" s="146"/>
      <c r="AM203" s="145"/>
      <c r="AN203" s="145"/>
      <c r="AO203" s="145"/>
      <c r="AP203" s="145"/>
      <c r="AQ203" s="145"/>
      <c r="AR203" s="145"/>
      <c r="AS203" s="145"/>
      <c r="AT203" s="145"/>
      <c r="AU203" s="145"/>
      <c r="AV203" s="145"/>
      <c r="AW203" s="158"/>
      <c r="AX203" s="145"/>
      <c r="AY203" s="145"/>
      <c r="AZ203" s="145"/>
      <c r="BA203" s="158"/>
      <c r="BB203" s="145"/>
      <c r="BC203" s="145"/>
      <c r="BD203" s="158"/>
      <c r="BE203" s="146"/>
      <c r="BF203" s="145"/>
      <c r="BG203" s="145"/>
      <c r="BH203" s="158">
        <f>SUM(BI203:BK203)</f>
      </c>
      <c r="BI203" s="145"/>
      <c r="BJ203" s="145"/>
      <c r="BK203" s="145"/>
      <c r="BL203" s="145">
        <f>SUM(BM203:BR203)</f>
      </c>
      <c r="BM203" s="145"/>
      <c r="BN203" s="145"/>
      <c r="BO203" s="158"/>
      <c r="BP203" s="145"/>
      <c r="BQ203" s="145"/>
      <c r="BR203" s="145"/>
      <c r="BS203" s="145"/>
      <c r="BT203" s="145"/>
      <c r="BU203" s="158"/>
      <c r="BV203" s="146"/>
      <c r="BW203" s="145"/>
      <c r="BX203" s="145"/>
      <c r="BY203" s="158">
        <f>SUM(BZ203:CB203)</f>
      </c>
      <c r="BZ203" s="146"/>
      <c r="CA203" s="145"/>
      <c r="CB203" s="145"/>
      <c r="CC203" s="145">
        <f>SUM(CD203:CH203)</f>
      </c>
      <c r="CD203" s="145"/>
      <c r="CE203" s="158"/>
      <c r="CF203" s="145"/>
      <c r="CG203" s="145"/>
      <c r="CH203" s="145"/>
      <c r="CI203" s="158"/>
      <c r="CJ203" s="145"/>
      <c r="CK203" s="145"/>
      <c r="CL203" s="145"/>
      <c r="CM203" s="145"/>
      <c r="CN203" s="145"/>
      <c r="CO203" s="145"/>
      <c r="CP203" s="145"/>
      <c r="CQ203" s="158"/>
      <c r="CR203" s="146"/>
      <c r="CS203" s="158"/>
      <c r="CT203" s="158"/>
      <c r="CU203" s="158">
        <f>SUM(CV203:CV203)</f>
      </c>
      <c r="CV203" s="146"/>
      <c r="CW203" s="145"/>
      <c r="CX203" s="145"/>
      <c r="CY203" s="145">
        <f>SUM(CZ203:DE203)</f>
      </c>
      <c r="CZ203" s="145"/>
      <c r="DA203" s="146"/>
      <c r="DB203" s="146"/>
      <c r="DC203" s="153"/>
      <c r="DD203" s="153"/>
      <c r="DE203" s="145"/>
      <c r="DF203" s="145"/>
      <c r="DG203" s="145"/>
      <c r="DH203" s="158"/>
      <c r="DI203" s="145"/>
      <c r="DJ203" s="158"/>
      <c r="DK203" s="145"/>
      <c r="DL203" s="158"/>
      <c r="DM203" s="145"/>
      <c r="DN203" s="145"/>
      <c r="DO203" s="145"/>
      <c r="DP203" s="158"/>
      <c r="DQ203" s="145"/>
      <c r="DR203" s="145"/>
      <c r="DS203" s="145"/>
      <c r="DT203" s="145"/>
      <c r="DU203" s="145">
        <f>SUM(DV203:EE203)</f>
      </c>
      <c r="DV203" s="145"/>
      <c r="DW203" s="145"/>
      <c r="DX203" s="145"/>
      <c r="DY203" s="145"/>
      <c r="DZ203" s="146"/>
      <c r="EA203" s="158"/>
      <c r="EB203" s="146"/>
      <c r="EC203" s="145"/>
      <c r="ED203" s="145"/>
      <c r="EE203" s="155"/>
      <c r="EF203" s="145">
        <f>SUM(EG203:EH203)</f>
      </c>
      <c r="EG203" s="145"/>
      <c r="EH203" s="146"/>
      <c r="EI203" s="159" cm="1">
        <f t="array" ref="EI203">ROW()-ROW(Run[#Headers])</f>
        <v>197</v>
      </c>
    </row>
    <row r="204" spans="2:139" s="79" customFormat="1" ht="11.25" x14ac:dyDescent="0.2">
      <c r="B204" s="146"/>
      <c r="C204" s="155"/>
      <c r="D204" s="145"/>
      <c r="E204" s="152">
        <f>SUM(F204:AE204)</f>
      </c>
      <c r="F204" s="146"/>
      <c r="G204" s="146"/>
      <c r="H204" s="146"/>
      <c r="I204" s="146"/>
      <c r="J204" s="146"/>
      <c r="K204" s="156"/>
      <c r="L204" s="146"/>
      <c r="M204" s="146"/>
      <c r="N204" s="146"/>
      <c r="O204" s="146"/>
      <c r="P204" s="156"/>
      <c r="Q204" s="146"/>
      <c r="R204" s="146"/>
      <c r="S204" s="146"/>
      <c r="T204" s="156"/>
      <c r="U204" s="146"/>
      <c r="V204" s="146"/>
      <c r="W204" s="146"/>
      <c r="X204" s="146"/>
      <c r="Y204" s="146"/>
      <c r="Z204" s="146"/>
      <c r="AA204" s="146"/>
      <c r="AB204" s="146"/>
      <c r="AC204" s="157"/>
      <c r="AD204" s="157"/>
      <c r="AE204" s="157"/>
      <c r="AF204" s="158">
        <f>SUM(AG204:AJ204)</f>
      </c>
      <c r="AG204" s="146"/>
      <c r="AH204" s="145"/>
      <c r="AI204" s="145"/>
      <c r="AJ204" s="145"/>
      <c r="AK204" s="158">
        <f>SUM(AL204:AW204)</f>
      </c>
      <c r="AL204" s="146"/>
      <c r="AM204" s="145"/>
      <c r="AN204" s="145"/>
      <c r="AO204" s="145"/>
      <c r="AP204" s="145"/>
      <c r="AQ204" s="145"/>
      <c r="AR204" s="145"/>
      <c r="AS204" s="145"/>
      <c r="AT204" s="145"/>
      <c r="AU204" s="145"/>
      <c r="AV204" s="145"/>
      <c r="AW204" s="158"/>
      <c r="AX204" s="145"/>
      <c r="AY204" s="145"/>
      <c r="AZ204" s="145"/>
      <c r="BA204" s="158"/>
      <c r="BB204" s="145"/>
      <c r="BC204" s="145"/>
      <c r="BD204" s="158"/>
      <c r="BE204" s="146"/>
      <c r="BF204" s="145"/>
      <c r="BG204" s="145"/>
      <c r="BH204" s="158">
        <f>SUM(BI204:BK204)</f>
      </c>
      <c r="BI204" s="145"/>
      <c r="BJ204" s="145"/>
      <c r="BK204" s="145"/>
      <c r="BL204" s="145">
        <f>SUM(BM204:BR204)</f>
      </c>
      <c r="BM204" s="145"/>
      <c r="BN204" s="145"/>
      <c r="BO204" s="158"/>
      <c r="BP204" s="145"/>
      <c r="BQ204" s="145"/>
      <c r="BR204" s="145"/>
      <c r="BS204" s="145"/>
      <c r="BT204" s="145"/>
      <c r="BU204" s="158"/>
      <c r="BV204" s="146"/>
      <c r="BW204" s="145"/>
      <c r="BX204" s="145"/>
      <c r="BY204" s="158">
        <f>SUM(BZ204:CB204)</f>
      </c>
      <c r="BZ204" s="146"/>
      <c r="CA204" s="145"/>
      <c r="CB204" s="145"/>
      <c r="CC204" s="145">
        <f>SUM(CD204:CH204)</f>
      </c>
      <c r="CD204" s="145"/>
      <c r="CE204" s="158"/>
      <c r="CF204" s="145"/>
      <c r="CG204" s="145"/>
      <c r="CH204" s="145"/>
      <c r="CI204" s="158"/>
      <c r="CJ204" s="145"/>
      <c r="CK204" s="145"/>
      <c r="CL204" s="145"/>
      <c r="CM204" s="145"/>
      <c r="CN204" s="145"/>
      <c r="CO204" s="145"/>
      <c r="CP204" s="145"/>
      <c r="CQ204" s="158"/>
      <c r="CR204" s="146"/>
      <c r="CS204" s="158"/>
      <c r="CT204" s="158"/>
      <c r="CU204" s="158">
        <f>SUM(CV204:CV204)</f>
      </c>
      <c r="CV204" s="146"/>
      <c r="CW204" s="145"/>
      <c r="CX204" s="145"/>
      <c r="CY204" s="145">
        <f>SUM(CZ204:DE204)</f>
      </c>
      <c r="CZ204" s="145"/>
      <c r="DA204" s="146"/>
      <c r="DB204" s="146"/>
      <c r="DC204" s="153"/>
      <c r="DD204" s="153"/>
      <c r="DE204" s="145"/>
      <c r="DF204" s="145"/>
      <c r="DG204" s="145"/>
      <c r="DH204" s="158"/>
      <c r="DI204" s="145"/>
      <c r="DJ204" s="158"/>
      <c r="DK204" s="145"/>
      <c r="DL204" s="158"/>
      <c r="DM204" s="145"/>
      <c r="DN204" s="145"/>
      <c r="DO204" s="145"/>
      <c r="DP204" s="158"/>
      <c r="DQ204" s="145"/>
      <c r="DR204" s="145"/>
      <c r="DS204" s="145"/>
      <c r="DT204" s="145"/>
      <c r="DU204" s="145">
        <f>SUM(DV204:EE204)</f>
      </c>
      <c r="DV204" s="145"/>
      <c r="DW204" s="145"/>
      <c r="DX204" s="145"/>
      <c r="DY204" s="145"/>
      <c r="DZ204" s="146"/>
      <c r="EA204" s="158"/>
      <c r="EB204" s="146"/>
      <c r="EC204" s="145"/>
      <c r="ED204" s="145"/>
      <c r="EE204" s="155"/>
      <c r="EF204" s="145">
        <f>SUM(EG204:EH204)</f>
      </c>
      <c r="EG204" s="145"/>
      <c r="EH204" s="146"/>
      <c r="EI204" s="159" cm="1">
        <f t="array" ref="EI204">ROW()-ROW(Run[#Headers])</f>
        <v>198</v>
      </c>
    </row>
    <row r="205" spans="2:139" s="79" customFormat="1" ht="11.25" x14ac:dyDescent="0.2">
      <c r="B205" s="146"/>
      <c r="C205" s="155"/>
      <c r="D205" s="145"/>
      <c r="E205" s="152">
        <f>SUM(F205:AE205)</f>
      </c>
      <c r="F205" s="146"/>
      <c r="G205" s="146"/>
      <c r="H205" s="146"/>
      <c r="I205" s="146"/>
      <c r="J205" s="146"/>
      <c r="K205" s="156"/>
      <c r="L205" s="146"/>
      <c r="M205" s="146"/>
      <c r="N205" s="146"/>
      <c r="O205" s="146"/>
      <c r="P205" s="156"/>
      <c r="Q205" s="146"/>
      <c r="R205" s="146"/>
      <c r="S205" s="146"/>
      <c r="T205" s="156"/>
      <c r="U205" s="146"/>
      <c r="V205" s="146"/>
      <c r="W205" s="146"/>
      <c r="X205" s="146"/>
      <c r="Y205" s="146"/>
      <c r="Z205" s="146"/>
      <c r="AA205" s="146"/>
      <c r="AB205" s="146"/>
      <c r="AC205" s="157"/>
      <c r="AD205" s="157"/>
      <c r="AE205" s="157"/>
      <c r="AF205" s="158">
        <f>SUM(AG205:AJ205)</f>
      </c>
      <c r="AG205" s="146"/>
      <c r="AH205" s="145"/>
      <c r="AI205" s="145"/>
      <c r="AJ205" s="145"/>
      <c r="AK205" s="158">
        <f>SUM(AL205:AW205)</f>
      </c>
      <c r="AL205" s="146"/>
      <c r="AM205" s="145"/>
      <c r="AN205" s="145"/>
      <c r="AO205" s="145"/>
      <c r="AP205" s="145"/>
      <c r="AQ205" s="145"/>
      <c r="AR205" s="145"/>
      <c r="AS205" s="145"/>
      <c r="AT205" s="145"/>
      <c r="AU205" s="145"/>
      <c r="AV205" s="145"/>
      <c r="AW205" s="158"/>
      <c r="AX205" s="145"/>
      <c r="AY205" s="145"/>
      <c r="AZ205" s="145"/>
      <c r="BA205" s="158"/>
      <c r="BB205" s="145"/>
      <c r="BC205" s="145"/>
      <c r="BD205" s="158"/>
      <c r="BE205" s="146"/>
      <c r="BF205" s="145"/>
      <c r="BG205" s="145"/>
      <c r="BH205" s="158">
        <f>SUM(BI205:BK205)</f>
      </c>
      <c r="BI205" s="145"/>
      <c r="BJ205" s="145"/>
      <c r="BK205" s="145"/>
      <c r="BL205" s="145">
        <f>SUM(BM205:BR205)</f>
      </c>
      <c r="BM205" s="145"/>
      <c r="BN205" s="145"/>
      <c r="BO205" s="158"/>
      <c r="BP205" s="145"/>
      <c r="BQ205" s="145"/>
      <c r="BR205" s="145"/>
      <c r="BS205" s="145"/>
      <c r="BT205" s="145"/>
      <c r="BU205" s="158"/>
      <c r="BV205" s="146"/>
      <c r="BW205" s="145"/>
      <c r="BX205" s="145"/>
      <c r="BY205" s="158">
        <f>SUM(BZ205:CB205)</f>
      </c>
      <c r="BZ205" s="146"/>
      <c r="CA205" s="145"/>
      <c r="CB205" s="145"/>
      <c r="CC205" s="145">
        <f>SUM(CD205:CH205)</f>
      </c>
      <c r="CD205" s="145"/>
      <c r="CE205" s="158"/>
      <c r="CF205" s="145"/>
      <c r="CG205" s="145"/>
      <c r="CH205" s="145"/>
      <c r="CI205" s="158"/>
      <c r="CJ205" s="145"/>
      <c r="CK205" s="145"/>
      <c r="CL205" s="145"/>
      <c r="CM205" s="145"/>
      <c r="CN205" s="145"/>
      <c r="CO205" s="145"/>
      <c r="CP205" s="145"/>
      <c r="CQ205" s="158"/>
      <c r="CR205" s="146"/>
      <c r="CS205" s="158"/>
      <c r="CT205" s="158"/>
      <c r="CU205" s="158">
        <f>SUM(CV205:CV205)</f>
      </c>
      <c r="CV205" s="146"/>
      <c r="CW205" s="145"/>
      <c r="CX205" s="145"/>
      <c r="CY205" s="145">
        <f>SUM(CZ205:DE205)</f>
      </c>
      <c r="CZ205" s="145"/>
      <c r="DA205" s="146"/>
      <c r="DB205" s="146"/>
      <c r="DC205" s="153"/>
      <c r="DD205" s="153"/>
      <c r="DE205" s="145"/>
      <c r="DF205" s="145"/>
      <c r="DG205" s="145"/>
      <c r="DH205" s="158"/>
      <c r="DI205" s="145"/>
      <c r="DJ205" s="158"/>
      <c r="DK205" s="145"/>
      <c r="DL205" s="158"/>
      <c r="DM205" s="145"/>
      <c r="DN205" s="145"/>
      <c r="DO205" s="145"/>
      <c r="DP205" s="158"/>
      <c r="DQ205" s="145"/>
      <c r="DR205" s="145"/>
      <c r="DS205" s="145"/>
      <c r="DT205" s="145"/>
      <c r="DU205" s="145">
        <f>SUM(DV205:EE205)</f>
      </c>
      <c r="DV205" s="145"/>
      <c r="DW205" s="145"/>
      <c r="DX205" s="145"/>
      <c r="DY205" s="145"/>
      <c r="DZ205" s="146"/>
      <c r="EA205" s="158"/>
      <c r="EB205" s="146"/>
      <c r="EC205" s="145"/>
      <c r="ED205" s="145"/>
      <c r="EE205" s="155"/>
      <c r="EF205" s="145">
        <f>SUM(EG205:EH205)</f>
      </c>
      <c r="EG205" s="145"/>
      <c r="EH205" s="146"/>
      <c r="EI205" s="159" cm="1">
        <f t="array" ref="EI205">ROW()-ROW(Run[#Headers])</f>
        <v>199</v>
      </c>
    </row>
    <row r="206" spans="2:139" s="79" customFormat="1" ht="11.25" x14ac:dyDescent="0.2">
      <c r="B206" s="146"/>
      <c r="C206" s="155"/>
      <c r="D206" s="145"/>
      <c r="E206" s="152">
        <f>SUM(F206:AE206)</f>
      </c>
      <c r="F206" s="146"/>
      <c r="G206" s="146"/>
      <c r="H206" s="146"/>
      <c r="I206" s="146"/>
      <c r="J206" s="146"/>
      <c r="K206" s="156"/>
      <c r="L206" s="146"/>
      <c r="M206" s="146"/>
      <c r="N206" s="146"/>
      <c r="O206" s="146"/>
      <c r="P206" s="156"/>
      <c r="Q206" s="146"/>
      <c r="R206" s="146"/>
      <c r="S206" s="146"/>
      <c r="T206" s="156"/>
      <c r="U206" s="146"/>
      <c r="V206" s="146"/>
      <c r="W206" s="146"/>
      <c r="X206" s="146"/>
      <c r="Y206" s="146"/>
      <c r="Z206" s="146"/>
      <c r="AA206" s="146"/>
      <c r="AB206" s="146"/>
      <c r="AC206" s="157"/>
      <c r="AD206" s="157"/>
      <c r="AE206" s="157"/>
      <c r="AF206" s="158">
        <f>SUM(AG206:AJ206)</f>
      </c>
      <c r="AG206" s="146"/>
      <c r="AH206" s="145"/>
      <c r="AI206" s="145"/>
      <c r="AJ206" s="145"/>
      <c r="AK206" s="158">
        <f>SUM(AL206:AW206)</f>
      </c>
      <c r="AL206" s="146"/>
      <c r="AM206" s="145"/>
      <c r="AN206" s="145"/>
      <c r="AO206" s="145"/>
      <c r="AP206" s="145"/>
      <c r="AQ206" s="145"/>
      <c r="AR206" s="145"/>
      <c r="AS206" s="145"/>
      <c r="AT206" s="145"/>
      <c r="AU206" s="145"/>
      <c r="AV206" s="145"/>
      <c r="AW206" s="158"/>
      <c r="AX206" s="145"/>
      <c r="AY206" s="145"/>
      <c r="AZ206" s="145"/>
      <c r="BA206" s="158"/>
      <c r="BB206" s="145"/>
      <c r="BC206" s="145"/>
      <c r="BD206" s="158"/>
      <c r="BE206" s="146"/>
      <c r="BF206" s="145"/>
      <c r="BG206" s="145"/>
      <c r="BH206" s="158">
        <f>SUM(BI206:BK206)</f>
      </c>
      <c r="BI206" s="145"/>
      <c r="BJ206" s="145"/>
      <c r="BK206" s="145"/>
      <c r="BL206" s="145">
        <f>SUM(BM206:BR206)</f>
      </c>
      <c r="BM206" s="145"/>
      <c r="BN206" s="145"/>
      <c r="BO206" s="158"/>
      <c r="BP206" s="145"/>
      <c r="BQ206" s="145"/>
      <c r="BR206" s="145"/>
      <c r="BS206" s="145"/>
      <c r="BT206" s="145"/>
      <c r="BU206" s="158"/>
      <c r="BV206" s="146"/>
      <c r="BW206" s="145"/>
      <c r="BX206" s="145"/>
      <c r="BY206" s="158">
        <f>SUM(BZ206:CB206)</f>
      </c>
      <c r="BZ206" s="146"/>
      <c r="CA206" s="145"/>
      <c r="CB206" s="145"/>
      <c r="CC206" s="145">
        <f>SUM(CD206:CH206)</f>
      </c>
      <c r="CD206" s="145"/>
      <c r="CE206" s="158"/>
      <c r="CF206" s="145"/>
      <c r="CG206" s="145"/>
      <c r="CH206" s="145"/>
      <c r="CI206" s="158"/>
      <c r="CJ206" s="145"/>
      <c r="CK206" s="145"/>
      <c r="CL206" s="145"/>
      <c r="CM206" s="145"/>
      <c r="CN206" s="145"/>
      <c r="CO206" s="145"/>
      <c r="CP206" s="145"/>
      <c r="CQ206" s="158"/>
      <c r="CR206" s="146"/>
      <c r="CS206" s="158"/>
      <c r="CT206" s="158"/>
      <c r="CU206" s="158">
        <f>SUM(CV206:CV206)</f>
      </c>
      <c r="CV206" s="146"/>
      <c r="CW206" s="145"/>
      <c r="CX206" s="145"/>
      <c r="CY206" s="145">
        <f>SUM(CZ206:DE206)</f>
      </c>
      <c r="CZ206" s="145"/>
      <c r="DA206" s="146"/>
      <c r="DB206" s="146"/>
      <c r="DC206" s="153"/>
      <c r="DD206" s="153"/>
      <c r="DE206" s="145"/>
      <c r="DF206" s="145"/>
      <c r="DG206" s="145"/>
      <c r="DH206" s="158"/>
      <c r="DI206" s="145"/>
      <c r="DJ206" s="158"/>
      <c r="DK206" s="145"/>
      <c r="DL206" s="158"/>
      <c r="DM206" s="145"/>
      <c r="DN206" s="145"/>
      <c r="DO206" s="145"/>
      <c r="DP206" s="158"/>
      <c r="DQ206" s="145"/>
      <c r="DR206" s="145"/>
      <c r="DS206" s="145"/>
      <c r="DT206" s="145"/>
      <c r="DU206" s="145">
        <f>SUM(DV206:EE206)</f>
      </c>
      <c r="DV206" s="145"/>
      <c r="DW206" s="145"/>
      <c r="DX206" s="145"/>
      <c r="DY206" s="145"/>
      <c r="DZ206" s="146"/>
      <c r="EA206" s="158"/>
      <c r="EB206" s="146"/>
      <c r="EC206" s="145"/>
      <c r="ED206" s="145"/>
      <c r="EE206" s="155"/>
      <c r="EF206" s="145">
        <f>SUM(EG206:EH206)</f>
      </c>
      <c r="EG206" s="145"/>
      <c r="EH206" s="146"/>
      <c r="EI206" s="159" cm="1">
        <f t="array" ref="EI206">ROW()-ROW(Run[#Headers])</f>
        <v>200</v>
      </c>
    </row>
    <row r="207" spans="2:139" s="79" customFormat="1" ht="11.25" x14ac:dyDescent="0.2">
      <c r="B207" s="146"/>
      <c r="C207" s="155"/>
      <c r="D207" s="145"/>
      <c r="E207" s="152">
        <f>SUM(F207:AE207)</f>
      </c>
      <c r="F207" s="146"/>
      <c r="G207" s="146"/>
      <c r="H207" s="146"/>
      <c r="I207" s="146"/>
      <c r="J207" s="146"/>
      <c r="K207" s="156"/>
      <c r="L207" s="146"/>
      <c r="M207" s="146"/>
      <c r="N207" s="146"/>
      <c r="O207" s="146"/>
      <c r="P207" s="156"/>
      <c r="Q207" s="146"/>
      <c r="R207" s="146"/>
      <c r="S207" s="146"/>
      <c r="T207" s="156"/>
      <c r="U207" s="146"/>
      <c r="V207" s="146"/>
      <c r="W207" s="146"/>
      <c r="X207" s="146"/>
      <c r="Y207" s="146"/>
      <c r="Z207" s="146"/>
      <c r="AA207" s="146"/>
      <c r="AB207" s="146"/>
      <c r="AC207" s="157"/>
      <c r="AD207" s="157"/>
      <c r="AE207" s="157"/>
      <c r="AF207" s="158">
        <f>SUM(AG207:AJ207)</f>
      </c>
      <c r="AG207" s="146"/>
      <c r="AH207" s="145"/>
      <c r="AI207" s="145"/>
      <c r="AJ207" s="145"/>
      <c r="AK207" s="158">
        <f>SUM(AL207:AW207)</f>
      </c>
      <c r="AL207" s="146"/>
      <c r="AM207" s="145"/>
      <c r="AN207" s="145"/>
      <c r="AO207" s="145"/>
      <c r="AP207" s="145"/>
      <c r="AQ207" s="145"/>
      <c r="AR207" s="145"/>
      <c r="AS207" s="145"/>
      <c r="AT207" s="145"/>
      <c r="AU207" s="145"/>
      <c r="AV207" s="145"/>
      <c r="AW207" s="158"/>
      <c r="AX207" s="145"/>
      <c r="AY207" s="145"/>
      <c r="AZ207" s="145"/>
      <c r="BA207" s="158"/>
      <c r="BB207" s="145"/>
      <c r="BC207" s="145"/>
      <c r="BD207" s="158"/>
      <c r="BE207" s="146"/>
      <c r="BF207" s="145"/>
      <c r="BG207" s="145"/>
      <c r="BH207" s="158">
        <f>SUM(BI207:BK207)</f>
      </c>
      <c r="BI207" s="145"/>
      <c r="BJ207" s="145"/>
      <c r="BK207" s="145"/>
      <c r="BL207" s="145">
        <f>SUM(BM207:BR207)</f>
      </c>
      <c r="BM207" s="145"/>
      <c r="BN207" s="145"/>
      <c r="BO207" s="158"/>
      <c r="BP207" s="145"/>
      <c r="BQ207" s="145"/>
      <c r="BR207" s="145"/>
      <c r="BS207" s="145"/>
      <c r="BT207" s="145"/>
      <c r="BU207" s="158"/>
      <c r="BV207" s="146"/>
      <c r="BW207" s="145"/>
      <c r="BX207" s="145"/>
      <c r="BY207" s="158">
        <f>SUM(BZ207:CB207)</f>
      </c>
      <c r="BZ207" s="146"/>
      <c r="CA207" s="145"/>
      <c r="CB207" s="145"/>
      <c r="CC207" s="145">
        <f>SUM(CD207:CH207)</f>
      </c>
      <c r="CD207" s="145"/>
      <c r="CE207" s="158"/>
      <c r="CF207" s="145"/>
      <c r="CG207" s="145"/>
      <c r="CH207" s="145"/>
      <c r="CI207" s="158"/>
      <c r="CJ207" s="145"/>
      <c r="CK207" s="145"/>
      <c r="CL207" s="145"/>
      <c r="CM207" s="145"/>
      <c r="CN207" s="145"/>
      <c r="CO207" s="145"/>
      <c r="CP207" s="145"/>
      <c r="CQ207" s="158"/>
      <c r="CR207" s="146"/>
      <c r="CS207" s="158"/>
      <c r="CT207" s="158"/>
      <c r="CU207" s="158">
        <f>SUM(CV207:CV207)</f>
      </c>
      <c r="CV207" s="146"/>
      <c r="CW207" s="145"/>
      <c r="CX207" s="145"/>
      <c r="CY207" s="145">
        <f>SUM(CZ207:DE207)</f>
      </c>
      <c r="CZ207" s="145"/>
      <c r="DA207" s="146"/>
      <c r="DB207" s="146"/>
      <c r="DC207" s="153"/>
      <c r="DD207" s="153"/>
      <c r="DE207" s="145"/>
      <c r="DF207" s="145"/>
      <c r="DG207" s="145"/>
      <c r="DH207" s="158"/>
      <c r="DI207" s="145"/>
      <c r="DJ207" s="158"/>
      <c r="DK207" s="145"/>
      <c r="DL207" s="158"/>
      <c r="DM207" s="145"/>
      <c r="DN207" s="145"/>
      <c r="DO207" s="145"/>
      <c r="DP207" s="158"/>
      <c r="DQ207" s="145"/>
      <c r="DR207" s="145"/>
      <c r="DS207" s="145"/>
      <c r="DT207" s="145"/>
      <c r="DU207" s="145">
        <f>SUM(DV207:EE207)</f>
      </c>
      <c r="DV207" s="145"/>
      <c r="DW207" s="145"/>
      <c r="DX207" s="145"/>
      <c r="DY207" s="145"/>
      <c r="DZ207" s="146"/>
      <c r="EA207" s="158"/>
      <c r="EB207" s="146"/>
      <c r="EC207" s="145"/>
      <c r="ED207" s="145"/>
      <c r="EE207" s="155"/>
      <c r="EF207" s="145">
        <f>SUM(EG207:EH207)</f>
      </c>
      <c r="EG207" s="145"/>
      <c r="EH207" s="146"/>
      <c r="EI207" s="159" cm="1">
        <f t="array" ref="EI207">ROW()-ROW(Run[#Headers])</f>
        <v>201</v>
      </c>
    </row>
    <row r="208" spans="2:139" s="79" customFormat="1" ht="11.25" x14ac:dyDescent="0.2">
      <c r="B208" s="146"/>
      <c r="C208" s="155"/>
      <c r="D208" s="145"/>
      <c r="E208" s="152">
        <f>SUM(F208:AE208)</f>
      </c>
      <c r="F208" s="146"/>
      <c r="G208" s="146"/>
      <c r="H208" s="146"/>
      <c r="I208" s="146"/>
      <c r="J208" s="146"/>
      <c r="K208" s="156"/>
      <c r="L208" s="146"/>
      <c r="M208" s="146"/>
      <c r="N208" s="146"/>
      <c r="O208" s="146"/>
      <c r="P208" s="156"/>
      <c r="Q208" s="146"/>
      <c r="R208" s="146"/>
      <c r="S208" s="146"/>
      <c r="T208" s="156"/>
      <c r="U208" s="146"/>
      <c r="V208" s="146"/>
      <c r="W208" s="146"/>
      <c r="X208" s="146"/>
      <c r="Y208" s="146"/>
      <c r="Z208" s="146"/>
      <c r="AA208" s="146"/>
      <c r="AB208" s="146"/>
      <c r="AC208" s="157"/>
      <c r="AD208" s="157"/>
      <c r="AE208" s="157"/>
      <c r="AF208" s="158">
        <f>SUM(AG208:AJ208)</f>
      </c>
      <c r="AG208" s="146"/>
      <c r="AH208" s="145"/>
      <c r="AI208" s="145"/>
      <c r="AJ208" s="145"/>
      <c r="AK208" s="158">
        <f>SUM(AL208:AW208)</f>
      </c>
      <c r="AL208" s="146"/>
      <c r="AM208" s="145"/>
      <c r="AN208" s="145"/>
      <c r="AO208" s="145"/>
      <c r="AP208" s="145"/>
      <c r="AQ208" s="145"/>
      <c r="AR208" s="145"/>
      <c r="AS208" s="145"/>
      <c r="AT208" s="145"/>
      <c r="AU208" s="145"/>
      <c r="AV208" s="145"/>
      <c r="AW208" s="158"/>
      <c r="AX208" s="145"/>
      <c r="AY208" s="145"/>
      <c r="AZ208" s="145"/>
      <c r="BA208" s="158"/>
      <c r="BB208" s="145"/>
      <c r="BC208" s="145"/>
      <c r="BD208" s="158"/>
      <c r="BE208" s="146"/>
      <c r="BF208" s="145"/>
      <c r="BG208" s="145"/>
      <c r="BH208" s="158">
        <f>SUM(BI208:BK208)</f>
      </c>
      <c r="BI208" s="145"/>
      <c r="BJ208" s="145"/>
      <c r="BK208" s="145"/>
      <c r="BL208" s="145">
        <f>SUM(BM208:BR208)</f>
      </c>
      <c r="BM208" s="145"/>
      <c r="BN208" s="145"/>
      <c r="BO208" s="158"/>
      <c r="BP208" s="145"/>
      <c r="BQ208" s="145"/>
      <c r="BR208" s="145"/>
      <c r="BS208" s="145"/>
      <c r="BT208" s="145"/>
      <c r="BU208" s="158"/>
      <c r="BV208" s="146"/>
      <c r="BW208" s="145"/>
      <c r="BX208" s="145"/>
      <c r="BY208" s="158">
        <f>SUM(BZ208:CB208)</f>
      </c>
      <c r="BZ208" s="146"/>
      <c r="CA208" s="145"/>
      <c r="CB208" s="145"/>
      <c r="CC208" s="145">
        <f>SUM(CD208:CH208)</f>
      </c>
      <c r="CD208" s="145"/>
      <c r="CE208" s="158"/>
      <c r="CF208" s="145"/>
      <c r="CG208" s="145"/>
      <c r="CH208" s="145"/>
      <c r="CI208" s="158"/>
      <c r="CJ208" s="145"/>
      <c r="CK208" s="145"/>
      <c r="CL208" s="145"/>
      <c r="CM208" s="145"/>
      <c r="CN208" s="145"/>
      <c r="CO208" s="145"/>
      <c r="CP208" s="145"/>
      <c r="CQ208" s="158"/>
      <c r="CR208" s="146"/>
      <c r="CS208" s="158"/>
      <c r="CT208" s="158"/>
      <c r="CU208" s="158">
        <f>SUM(CV208:CV208)</f>
      </c>
      <c r="CV208" s="146"/>
      <c r="CW208" s="145"/>
      <c r="CX208" s="145"/>
      <c r="CY208" s="145">
        <f>SUM(CZ208:DE208)</f>
      </c>
      <c r="CZ208" s="145"/>
      <c r="DA208" s="146"/>
      <c r="DB208" s="146"/>
      <c r="DC208" s="153"/>
      <c r="DD208" s="153"/>
      <c r="DE208" s="145"/>
      <c r="DF208" s="145"/>
      <c r="DG208" s="145"/>
      <c r="DH208" s="158"/>
      <c r="DI208" s="145"/>
      <c r="DJ208" s="158"/>
      <c r="DK208" s="145"/>
      <c r="DL208" s="158"/>
      <c r="DM208" s="145"/>
      <c r="DN208" s="145"/>
      <c r="DO208" s="145"/>
      <c r="DP208" s="158"/>
      <c r="DQ208" s="145"/>
      <c r="DR208" s="145"/>
      <c r="DS208" s="145"/>
      <c r="DT208" s="145"/>
      <c r="DU208" s="145">
        <f>SUM(DV208:EE208)</f>
      </c>
      <c r="DV208" s="145"/>
      <c r="DW208" s="145"/>
      <c r="DX208" s="145"/>
      <c r="DY208" s="145"/>
      <c r="DZ208" s="146"/>
      <c r="EA208" s="158"/>
      <c r="EB208" s="146"/>
      <c r="EC208" s="145"/>
      <c r="ED208" s="145"/>
      <c r="EE208" s="155"/>
      <c r="EF208" s="145">
        <f>SUM(EG208:EH208)</f>
      </c>
      <c r="EG208" s="145"/>
      <c r="EH208" s="146"/>
      <c r="EI208" s="159" cm="1">
        <f t="array" ref="EI208">ROW()-ROW(Run[#Headers])</f>
        <v>202</v>
      </c>
    </row>
    <row r="209" spans="2:139" s="79" customFormat="1" ht="11.25" x14ac:dyDescent="0.2">
      <c r="B209" s="146"/>
      <c r="C209" s="155"/>
      <c r="D209" s="145"/>
      <c r="E209" s="152">
        <f>SUM(F209:AE209)</f>
      </c>
      <c r="F209" s="146"/>
      <c r="G209" s="146"/>
      <c r="H209" s="146"/>
      <c r="I209" s="146"/>
      <c r="J209" s="146"/>
      <c r="K209" s="156"/>
      <c r="L209" s="146"/>
      <c r="M209" s="146"/>
      <c r="N209" s="146"/>
      <c r="O209" s="146"/>
      <c r="P209" s="156"/>
      <c r="Q209" s="146"/>
      <c r="R209" s="146"/>
      <c r="S209" s="146"/>
      <c r="T209" s="156"/>
      <c r="U209" s="146"/>
      <c r="V209" s="146"/>
      <c r="W209" s="146"/>
      <c r="X209" s="146"/>
      <c r="Y209" s="146"/>
      <c r="Z209" s="146"/>
      <c r="AA209" s="146"/>
      <c r="AB209" s="146"/>
      <c r="AC209" s="157"/>
      <c r="AD209" s="157"/>
      <c r="AE209" s="157"/>
      <c r="AF209" s="158">
        <f>SUM(AG209:AJ209)</f>
      </c>
      <c r="AG209" s="146"/>
      <c r="AH209" s="145"/>
      <c r="AI209" s="145"/>
      <c r="AJ209" s="145"/>
      <c r="AK209" s="158">
        <f>SUM(AL209:AW209)</f>
      </c>
      <c r="AL209" s="146"/>
      <c r="AM209" s="145"/>
      <c r="AN209" s="145"/>
      <c r="AO209" s="145"/>
      <c r="AP209" s="145"/>
      <c r="AQ209" s="145"/>
      <c r="AR209" s="145"/>
      <c r="AS209" s="145"/>
      <c r="AT209" s="145"/>
      <c r="AU209" s="145"/>
      <c r="AV209" s="145"/>
      <c r="AW209" s="158"/>
      <c r="AX209" s="145"/>
      <c r="AY209" s="145"/>
      <c r="AZ209" s="145"/>
      <c r="BA209" s="158"/>
      <c r="BB209" s="145"/>
      <c r="BC209" s="145"/>
      <c r="BD209" s="158"/>
      <c r="BE209" s="146"/>
      <c r="BF209" s="145"/>
      <c r="BG209" s="145"/>
      <c r="BH209" s="158">
        <f>SUM(BI209:BK209)</f>
      </c>
      <c r="BI209" s="145"/>
      <c r="BJ209" s="145"/>
      <c r="BK209" s="145"/>
      <c r="BL209" s="145">
        <f>SUM(BM209:BR209)</f>
      </c>
      <c r="BM209" s="145"/>
      <c r="BN209" s="145"/>
      <c r="BO209" s="158"/>
      <c r="BP209" s="145"/>
      <c r="BQ209" s="145"/>
      <c r="BR209" s="145"/>
      <c r="BS209" s="145"/>
      <c r="BT209" s="145"/>
      <c r="BU209" s="158"/>
      <c r="BV209" s="146"/>
      <c r="BW209" s="145"/>
      <c r="BX209" s="145"/>
      <c r="BY209" s="158">
        <f>SUM(BZ209:CB209)</f>
      </c>
      <c r="BZ209" s="146"/>
      <c r="CA209" s="145"/>
      <c r="CB209" s="145"/>
      <c r="CC209" s="145">
        <f>SUM(CD209:CH209)</f>
      </c>
      <c r="CD209" s="145"/>
      <c r="CE209" s="158"/>
      <c r="CF209" s="145"/>
      <c r="CG209" s="145"/>
      <c r="CH209" s="145"/>
      <c r="CI209" s="158"/>
      <c r="CJ209" s="145"/>
      <c r="CK209" s="145"/>
      <c r="CL209" s="145"/>
      <c r="CM209" s="145"/>
      <c r="CN209" s="145"/>
      <c r="CO209" s="145"/>
      <c r="CP209" s="145"/>
      <c r="CQ209" s="158"/>
      <c r="CR209" s="146"/>
      <c r="CS209" s="158"/>
      <c r="CT209" s="158"/>
      <c r="CU209" s="158">
        <f>SUM(CV209:CV209)</f>
      </c>
      <c r="CV209" s="146"/>
      <c r="CW209" s="145"/>
      <c r="CX209" s="145"/>
      <c r="CY209" s="145">
        <f>SUM(CZ209:DE209)</f>
      </c>
      <c r="CZ209" s="145"/>
      <c r="DA209" s="146"/>
      <c r="DB209" s="146"/>
      <c r="DC209" s="153"/>
      <c r="DD209" s="153"/>
      <c r="DE209" s="145"/>
      <c r="DF209" s="145"/>
      <c r="DG209" s="145"/>
      <c r="DH209" s="158"/>
      <c r="DI209" s="145"/>
      <c r="DJ209" s="158"/>
      <c r="DK209" s="145"/>
      <c r="DL209" s="158"/>
      <c r="DM209" s="145"/>
      <c r="DN209" s="145"/>
      <c r="DO209" s="145"/>
      <c r="DP209" s="158"/>
      <c r="DQ209" s="145"/>
      <c r="DR209" s="145"/>
      <c r="DS209" s="145"/>
      <c r="DT209" s="145"/>
      <c r="DU209" s="145">
        <f>SUM(DV209:EE209)</f>
      </c>
      <c r="DV209" s="145"/>
      <c r="DW209" s="145"/>
      <c r="DX209" s="145"/>
      <c r="DY209" s="145"/>
      <c r="DZ209" s="146"/>
      <c r="EA209" s="158"/>
      <c r="EB209" s="146"/>
      <c r="EC209" s="145"/>
      <c r="ED209" s="145"/>
      <c r="EE209" s="155"/>
      <c r="EF209" s="145">
        <f>SUM(EG209:EH209)</f>
      </c>
      <c r="EG209" s="145"/>
      <c r="EH209" s="146"/>
      <c r="EI209" s="159" cm="1">
        <f t="array" ref="EI209">ROW()-ROW(Run[#Headers])</f>
        <v>203</v>
      </c>
    </row>
    <row r="210" spans="2:139" s="79" customFormat="1" ht="11.25" x14ac:dyDescent="0.2">
      <c r="B210" s="146"/>
      <c r="C210" s="155"/>
      <c r="D210" s="145"/>
      <c r="E210" s="152">
        <f>SUM(F210:AE210)</f>
      </c>
      <c r="F210" s="146"/>
      <c r="G210" s="146"/>
      <c r="H210" s="146"/>
      <c r="I210" s="146"/>
      <c r="J210" s="146"/>
      <c r="K210" s="156"/>
      <c r="L210" s="146"/>
      <c r="M210" s="146"/>
      <c r="N210" s="146"/>
      <c r="O210" s="146"/>
      <c r="P210" s="156"/>
      <c r="Q210" s="146"/>
      <c r="R210" s="146"/>
      <c r="S210" s="146"/>
      <c r="T210" s="156"/>
      <c r="U210" s="146"/>
      <c r="V210" s="146"/>
      <c r="W210" s="146"/>
      <c r="X210" s="146"/>
      <c r="Y210" s="146"/>
      <c r="Z210" s="146"/>
      <c r="AA210" s="146"/>
      <c r="AB210" s="146"/>
      <c r="AC210" s="157"/>
      <c r="AD210" s="157"/>
      <c r="AE210" s="157"/>
      <c r="AF210" s="158">
        <f>SUM(AG210:AJ210)</f>
      </c>
      <c r="AG210" s="146"/>
      <c r="AH210" s="145"/>
      <c r="AI210" s="145"/>
      <c r="AJ210" s="145"/>
      <c r="AK210" s="158">
        <f>SUM(AL210:AW210)</f>
      </c>
      <c r="AL210" s="146"/>
      <c r="AM210" s="145"/>
      <c r="AN210" s="145"/>
      <c r="AO210" s="145"/>
      <c r="AP210" s="145"/>
      <c r="AQ210" s="145"/>
      <c r="AR210" s="145"/>
      <c r="AS210" s="145"/>
      <c r="AT210" s="145"/>
      <c r="AU210" s="145"/>
      <c r="AV210" s="145"/>
      <c r="AW210" s="158"/>
      <c r="AX210" s="145"/>
      <c r="AY210" s="145"/>
      <c r="AZ210" s="145"/>
      <c r="BA210" s="158"/>
      <c r="BB210" s="145"/>
      <c r="BC210" s="145"/>
      <c r="BD210" s="158"/>
      <c r="BE210" s="146"/>
      <c r="BF210" s="145"/>
      <c r="BG210" s="145"/>
      <c r="BH210" s="158">
        <f>SUM(BI210:BK210)</f>
      </c>
      <c r="BI210" s="145"/>
      <c r="BJ210" s="145"/>
      <c r="BK210" s="145"/>
      <c r="BL210" s="145">
        <f>SUM(BM210:BR210)</f>
      </c>
      <c r="BM210" s="145"/>
      <c r="BN210" s="145"/>
      <c r="BO210" s="158"/>
      <c r="BP210" s="145"/>
      <c r="BQ210" s="145"/>
      <c r="BR210" s="145"/>
      <c r="BS210" s="145"/>
      <c r="BT210" s="145"/>
      <c r="BU210" s="158"/>
      <c r="BV210" s="146"/>
      <c r="BW210" s="145"/>
      <c r="BX210" s="145"/>
      <c r="BY210" s="158">
        <f>SUM(BZ210:CB210)</f>
      </c>
      <c r="BZ210" s="146"/>
      <c r="CA210" s="145"/>
      <c r="CB210" s="145"/>
      <c r="CC210" s="145">
        <f>SUM(CD210:CH210)</f>
      </c>
      <c r="CD210" s="145"/>
      <c r="CE210" s="158"/>
      <c r="CF210" s="145"/>
      <c r="CG210" s="145"/>
      <c r="CH210" s="145"/>
      <c r="CI210" s="158"/>
      <c r="CJ210" s="145"/>
      <c r="CK210" s="145"/>
      <c r="CL210" s="145"/>
      <c r="CM210" s="145"/>
      <c r="CN210" s="145"/>
      <c r="CO210" s="145"/>
      <c r="CP210" s="145"/>
      <c r="CQ210" s="158"/>
      <c r="CR210" s="146"/>
      <c r="CS210" s="158"/>
      <c r="CT210" s="158"/>
      <c r="CU210" s="158">
        <f>SUM(CV210:CV210)</f>
      </c>
      <c r="CV210" s="146"/>
      <c r="CW210" s="145"/>
      <c r="CX210" s="145"/>
      <c r="CY210" s="145">
        <f>SUM(CZ210:DE210)</f>
      </c>
      <c r="CZ210" s="145"/>
      <c r="DA210" s="146"/>
      <c r="DB210" s="146"/>
      <c r="DC210" s="153"/>
      <c r="DD210" s="153"/>
      <c r="DE210" s="145"/>
      <c r="DF210" s="145"/>
      <c r="DG210" s="145"/>
      <c r="DH210" s="158"/>
      <c r="DI210" s="145"/>
      <c r="DJ210" s="158"/>
      <c r="DK210" s="145"/>
      <c r="DL210" s="158"/>
      <c r="DM210" s="145"/>
      <c r="DN210" s="145"/>
      <c r="DO210" s="145"/>
      <c r="DP210" s="158"/>
      <c r="DQ210" s="145"/>
      <c r="DR210" s="145"/>
      <c r="DS210" s="145"/>
      <c r="DT210" s="145"/>
      <c r="DU210" s="145">
        <f>SUM(DV210:EE210)</f>
      </c>
      <c r="DV210" s="145"/>
      <c r="DW210" s="145"/>
      <c r="DX210" s="145"/>
      <c r="DY210" s="145"/>
      <c r="DZ210" s="146"/>
      <c r="EA210" s="158"/>
      <c r="EB210" s="146"/>
      <c r="EC210" s="145"/>
      <c r="ED210" s="145"/>
      <c r="EE210" s="155"/>
      <c r="EF210" s="145">
        <f>SUM(EG210:EH210)</f>
      </c>
      <c r="EG210" s="145"/>
      <c r="EH210" s="146"/>
      <c r="EI210" s="159" cm="1">
        <f t="array" ref="EI210">ROW()-ROW(Run[#Headers])</f>
        <v>204</v>
      </c>
    </row>
    <row r="211" spans="2:139" s="79" customFormat="1" ht="11.25" x14ac:dyDescent="0.2">
      <c r="B211" s="146"/>
      <c r="C211" s="155"/>
      <c r="D211" s="145"/>
      <c r="E211" s="152">
        <f>SUM(F211:AE211)</f>
      </c>
      <c r="F211" s="146"/>
      <c r="G211" s="146"/>
      <c r="H211" s="146"/>
      <c r="I211" s="146"/>
      <c r="J211" s="146"/>
      <c r="K211" s="156"/>
      <c r="L211" s="146"/>
      <c r="M211" s="146"/>
      <c r="N211" s="146"/>
      <c r="O211" s="146"/>
      <c r="P211" s="156"/>
      <c r="Q211" s="146"/>
      <c r="R211" s="146"/>
      <c r="S211" s="146"/>
      <c r="T211" s="156"/>
      <c r="U211" s="146"/>
      <c r="V211" s="146"/>
      <c r="W211" s="146"/>
      <c r="X211" s="146"/>
      <c r="Y211" s="146"/>
      <c r="Z211" s="146"/>
      <c r="AA211" s="146"/>
      <c r="AB211" s="146"/>
      <c r="AC211" s="157"/>
      <c r="AD211" s="157"/>
      <c r="AE211" s="157"/>
      <c r="AF211" s="158">
        <f>SUM(AG211:AJ211)</f>
      </c>
      <c r="AG211" s="146"/>
      <c r="AH211" s="145"/>
      <c r="AI211" s="145"/>
      <c r="AJ211" s="145"/>
      <c r="AK211" s="158">
        <f>SUM(AL211:AW211)</f>
      </c>
      <c r="AL211" s="146"/>
      <c r="AM211" s="145"/>
      <c r="AN211" s="145"/>
      <c r="AO211" s="145"/>
      <c r="AP211" s="145"/>
      <c r="AQ211" s="145"/>
      <c r="AR211" s="145"/>
      <c r="AS211" s="145"/>
      <c r="AT211" s="145"/>
      <c r="AU211" s="145"/>
      <c r="AV211" s="145"/>
      <c r="AW211" s="158"/>
      <c r="AX211" s="145"/>
      <c r="AY211" s="145"/>
      <c r="AZ211" s="145"/>
      <c r="BA211" s="158"/>
      <c r="BB211" s="145"/>
      <c r="BC211" s="145"/>
      <c r="BD211" s="158"/>
      <c r="BE211" s="146"/>
      <c r="BF211" s="145"/>
      <c r="BG211" s="145"/>
      <c r="BH211" s="158">
        <f>SUM(BI211:BK211)</f>
      </c>
      <c r="BI211" s="145"/>
      <c r="BJ211" s="145"/>
      <c r="BK211" s="145"/>
      <c r="BL211" s="145">
        <f>SUM(BM211:BR211)</f>
      </c>
      <c r="BM211" s="145"/>
      <c r="BN211" s="145"/>
      <c r="BO211" s="158"/>
      <c r="BP211" s="145"/>
      <c r="BQ211" s="145"/>
      <c r="BR211" s="145"/>
      <c r="BS211" s="145"/>
      <c r="BT211" s="145"/>
      <c r="BU211" s="158"/>
      <c r="BV211" s="146"/>
      <c r="BW211" s="145"/>
      <c r="BX211" s="145"/>
      <c r="BY211" s="158">
        <f>SUM(BZ211:CB211)</f>
      </c>
      <c r="BZ211" s="146"/>
      <c r="CA211" s="145"/>
      <c r="CB211" s="145"/>
      <c r="CC211" s="145">
        <f>SUM(CD211:CH211)</f>
      </c>
      <c r="CD211" s="145"/>
      <c r="CE211" s="158"/>
      <c r="CF211" s="145"/>
      <c r="CG211" s="145"/>
      <c r="CH211" s="145"/>
      <c r="CI211" s="158"/>
      <c r="CJ211" s="145"/>
      <c r="CK211" s="145"/>
      <c r="CL211" s="145"/>
      <c r="CM211" s="145"/>
      <c r="CN211" s="145"/>
      <c r="CO211" s="145"/>
      <c r="CP211" s="145"/>
      <c r="CQ211" s="158"/>
      <c r="CR211" s="146"/>
      <c r="CS211" s="158"/>
      <c r="CT211" s="158"/>
      <c r="CU211" s="158">
        <f>SUM(CV211:CV211)</f>
      </c>
      <c r="CV211" s="146"/>
      <c r="CW211" s="145"/>
      <c r="CX211" s="145"/>
      <c r="CY211" s="145">
        <f>SUM(CZ211:DE211)</f>
      </c>
      <c r="CZ211" s="145"/>
      <c r="DA211" s="146"/>
      <c r="DB211" s="146"/>
      <c r="DC211" s="153"/>
      <c r="DD211" s="153"/>
      <c r="DE211" s="145"/>
      <c r="DF211" s="145"/>
      <c r="DG211" s="145"/>
      <c r="DH211" s="158"/>
      <c r="DI211" s="145"/>
      <c r="DJ211" s="158"/>
      <c r="DK211" s="145"/>
      <c r="DL211" s="158"/>
      <c r="DM211" s="145"/>
      <c r="DN211" s="145"/>
      <c r="DO211" s="145"/>
      <c r="DP211" s="158"/>
      <c r="DQ211" s="145"/>
      <c r="DR211" s="145"/>
      <c r="DS211" s="145"/>
      <c r="DT211" s="145"/>
      <c r="DU211" s="145">
        <f>SUM(DV211:EE211)</f>
      </c>
      <c r="DV211" s="145"/>
      <c r="DW211" s="145"/>
      <c r="DX211" s="145"/>
      <c r="DY211" s="145"/>
      <c r="DZ211" s="146"/>
      <c r="EA211" s="158"/>
      <c r="EB211" s="146"/>
      <c r="EC211" s="145"/>
      <c r="ED211" s="145"/>
      <c r="EE211" s="155"/>
      <c r="EF211" s="145">
        <f>SUM(EG211:EH211)</f>
      </c>
      <c r="EG211" s="145"/>
      <c r="EH211" s="146"/>
      <c r="EI211" s="159" cm="1">
        <f t="array" ref="EI211">ROW()-ROW(Run[#Headers])</f>
        <v>205</v>
      </c>
    </row>
    <row r="212" spans="2:139" s="79" customFormat="1" ht="11.25" x14ac:dyDescent="0.2">
      <c r="B212" s="146"/>
      <c r="C212" s="155"/>
      <c r="D212" s="145"/>
      <c r="E212" s="152">
        <f>SUM(F212:AE212)</f>
      </c>
      <c r="F212" s="146"/>
      <c r="G212" s="146"/>
      <c r="H212" s="146"/>
      <c r="I212" s="146"/>
      <c r="J212" s="146"/>
      <c r="K212" s="156"/>
      <c r="L212" s="146"/>
      <c r="M212" s="146"/>
      <c r="N212" s="146"/>
      <c r="O212" s="146"/>
      <c r="P212" s="156"/>
      <c r="Q212" s="146"/>
      <c r="R212" s="146"/>
      <c r="S212" s="146"/>
      <c r="T212" s="156"/>
      <c r="U212" s="146"/>
      <c r="V212" s="146"/>
      <c r="W212" s="146"/>
      <c r="X212" s="146"/>
      <c r="Y212" s="146"/>
      <c r="Z212" s="146"/>
      <c r="AA212" s="146"/>
      <c r="AB212" s="146"/>
      <c r="AC212" s="157"/>
      <c r="AD212" s="157"/>
      <c r="AE212" s="157"/>
      <c r="AF212" s="158">
        <f>SUM(AG212:AJ212)</f>
      </c>
      <c r="AG212" s="146"/>
      <c r="AH212" s="145"/>
      <c r="AI212" s="145"/>
      <c r="AJ212" s="145"/>
      <c r="AK212" s="158">
        <f>SUM(AL212:AW212)</f>
      </c>
      <c r="AL212" s="146"/>
      <c r="AM212" s="145"/>
      <c r="AN212" s="145"/>
      <c r="AO212" s="145"/>
      <c r="AP212" s="145"/>
      <c r="AQ212" s="145"/>
      <c r="AR212" s="145"/>
      <c r="AS212" s="145"/>
      <c r="AT212" s="145"/>
      <c r="AU212" s="145"/>
      <c r="AV212" s="145"/>
      <c r="AW212" s="158"/>
      <c r="AX212" s="145"/>
      <c r="AY212" s="145"/>
      <c r="AZ212" s="145"/>
      <c r="BA212" s="158"/>
      <c r="BB212" s="145"/>
      <c r="BC212" s="145"/>
      <c r="BD212" s="158"/>
      <c r="BE212" s="146"/>
      <c r="BF212" s="145"/>
      <c r="BG212" s="145"/>
      <c r="BH212" s="158">
        <f>SUM(BI212:BK212)</f>
      </c>
      <c r="BI212" s="145"/>
      <c r="BJ212" s="145"/>
      <c r="BK212" s="145"/>
      <c r="BL212" s="145">
        <f>SUM(BM212:BR212)</f>
      </c>
      <c r="BM212" s="145"/>
      <c r="BN212" s="145"/>
      <c r="BO212" s="158"/>
      <c r="BP212" s="145"/>
      <c r="BQ212" s="145"/>
      <c r="BR212" s="145"/>
      <c r="BS212" s="145"/>
      <c r="BT212" s="145"/>
      <c r="BU212" s="158"/>
      <c r="BV212" s="146"/>
      <c r="BW212" s="145"/>
      <c r="BX212" s="145"/>
      <c r="BY212" s="158">
        <f>SUM(BZ212:CB212)</f>
      </c>
      <c r="BZ212" s="146"/>
      <c r="CA212" s="145"/>
      <c r="CB212" s="145"/>
      <c r="CC212" s="145">
        <f>SUM(CD212:CH212)</f>
      </c>
      <c r="CD212" s="145"/>
      <c r="CE212" s="158"/>
      <c r="CF212" s="145"/>
      <c r="CG212" s="145"/>
      <c r="CH212" s="145"/>
      <c r="CI212" s="158"/>
      <c r="CJ212" s="145"/>
      <c r="CK212" s="145"/>
      <c r="CL212" s="145"/>
      <c r="CM212" s="145"/>
      <c r="CN212" s="145"/>
      <c r="CO212" s="145"/>
      <c r="CP212" s="145"/>
      <c r="CQ212" s="158"/>
      <c r="CR212" s="146"/>
      <c r="CS212" s="158"/>
      <c r="CT212" s="158"/>
      <c r="CU212" s="158">
        <f>SUM(CV212:CV212)</f>
      </c>
      <c r="CV212" s="146"/>
      <c r="CW212" s="145"/>
      <c r="CX212" s="145"/>
      <c r="CY212" s="145">
        <f>SUM(CZ212:DE212)</f>
      </c>
      <c r="CZ212" s="145"/>
      <c r="DA212" s="146"/>
      <c r="DB212" s="146"/>
      <c r="DC212" s="153"/>
      <c r="DD212" s="153"/>
      <c r="DE212" s="145"/>
      <c r="DF212" s="145"/>
      <c r="DG212" s="145"/>
      <c r="DH212" s="158"/>
      <c r="DI212" s="145"/>
      <c r="DJ212" s="158"/>
      <c r="DK212" s="145"/>
      <c r="DL212" s="158"/>
      <c r="DM212" s="145"/>
      <c r="DN212" s="145"/>
      <c r="DO212" s="145"/>
      <c r="DP212" s="158"/>
      <c r="DQ212" s="145"/>
      <c r="DR212" s="145"/>
      <c r="DS212" s="145"/>
      <c r="DT212" s="145"/>
      <c r="DU212" s="145">
        <f>SUM(DV212:EE212)</f>
      </c>
      <c r="DV212" s="145"/>
      <c r="DW212" s="145"/>
      <c r="DX212" s="145"/>
      <c r="DY212" s="145"/>
      <c r="DZ212" s="146"/>
      <c r="EA212" s="158"/>
      <c r="EB212" s="146"/>
      <c r="EC212" s="145"/>
      <c r="ED212" s="145"/>
      <c r="EE212" s="155"/>
      <c r="EF212" s="145">
        <f>SUM(EG212:EH212)</f>
      </c>
      <c r="EG212" s="145"/>
      <c r="EH212" s="146"/>
      <c r="EI212" s="159" cm="1">
        <f t="array" ref="EI212">ROW()-ROW(Run[#Headers])</f>
        <v>206</v>
      </c>
    </row>
    <row r="213" spans="2:139" s="79" customFormat="1" ht="11.25" x14ac:dyDescent="0.2">
      <c r="B213" s="146"/>
      <c r="C213" s="155"/>
      <c r="D213" s="145"/>
      <c r="E213" s="152">
        <f>SUM(F213:AE213)</f>
      </c>
      <c r="F213" s="146"/>
      <c r="G213" s="146"/>
      <c r="H213" s="146"/>
      <c r="I213" s="146"/>
      <c r="J213" s="146"/>
      <c r="K213" s="156"/>
      <c r="L213" s="146"/>
      <c r="M213" s="146"/>
      <c r="N213" s="146"/>
      <c r="O213" s="146"/>
      <c r="P213" s="156"/>
      <c r="Q213" s="146"/>
      <c r="R213" s="146"/>
      <c r="S213" s="146"/>
      <c r="T213" s="156"/>
      <c r="U213" s="146"/>
      <c r="V213" s="146"/>
      <c r="W213" s="146"/>
      <c r="X213" s="146"/>
      <c r="Y213" s="146"/>
      <c r="Z213" s="146"/>
      <c r="AA213" s="146"/>
      <c r="AB213" s="146"/>
      <c r="AC213" s="157"/>
      <c r="AD213" s="157"/>
      <c r="AE213" s="157"/>
      <c r="AF213" s="158">
        <f>SUM(AG213:AJ213)</f>
      </c>
      <c r="AG213" s="146"/>
      <c r="AH213" s="145"/>
      <c r="AI213" s="145"/>
      <c r="AJ213" s="145"/>
      <c r="AK213" s="158">
        <f>SUM(AL213:AW213)</f>
      </c>
      <c r="AL213" s="146"/>
      <c r="AM213" s="145"/>
      <c r="AN213" s="145"/>
      <c r="AO213" s="145"/>
      <c r="AP213" s="145"/>
      <c r="AQ213" s="145"/>
      <c r="AR213" s="145"/>
      <c r="AS213" s="145"/>
      <c r="AT213" s="145"/>
      <c r="AU213" s="145"/>
      <c r="AV213" s="145"/>
      <c r="AW213" s="158"/>
      <c r="AX213" s="145"/>
      <c r="AY213" s="145"/>
      <c r="AZ213" s="145"/>
      <c r="BA213" s="158"/>
      <c r="BB213" s="145"/>
      <c r="BC213" s="145"/>
      <c r="BD213" s="158"/>
      <c r="BE213" s="146"/>
      <c r="BF213" s="145"/>
      <c r="BG213" s="145"/>
      <c r="BH213" s="158">
        <f>SUM(BI213:BK213)</f>
      </c>
      <c r="BI213" s="145"/>
      <c r="BJ213" s="145"/>
      <c r="BK213" s="145"/>
      <c r="BL213" s="145">
        <f>SUM(BM213:BR213)</f>
      </c>
      <c r="BM213" s="145"/>
      <c r="BN213" s="145"/>
      <c r="BO213" s="158"/>
      <c r="BP213" s="145"/>
      <c r="BQ213" s="145"/>
      <c r="BR213" s="145"/>
      <c r="BS213" s="145"/>
      <c r="BT213" s="145"/>
      <c r="BU213" s="158"/>
      <c r="BV213" s="146"/>
      <c r="BW213" s="145"/>
      <c r="BX213" s="145"/>
      <c r="BY213" s="158">
        <f>SUM(BZ213:CB213)</f>
      </c>
      <c r="BZ213" s="146"/>
      <c r="CA213" s="145"/>
      <c r="CB213" s="145"/>
      <c r="CC213" s="145">
        <f>SUM(CD213:CH213)</f>
      </c>
      <c r="CD213" s="145"/>
      <c r="CE213" s="158"/>
      <c r="CF213" s="145"/>
      <c r="CG213" s="145"/>
      <c r="CH213" s="145"/>
      <c r="CI213" s="158"/>
      <c r="CJ213" s="145"/>
      <c r="CK213" s="145"/>
      <c r="CL213" s="145"/>
      <c r="CM213" s="145"/>
      <c r="CN213" s="145"/>
      <c r="CO213" s="145"/>
      <c r="CP213" s="145"/>
      <c r="CQ213" s="158"/>
      <c r="CR213" s="146"/>
      <c r="CS213" s="158"/>
      <c r="CT213" s="158"/>
      <c r="CU213" s="158">
        <f>SUM(CV213:CV213)</f>
      </c>
      <c r="CV213" s="146"/>
      <c r="CW213" s="145"/>
      <c r="CX213" s="145"/>
      <c r="CY213" s="145">
        <f>SUM(CZ213:DE213)</f>
      </c>
      <c r="CZ213" s="145"/>
      <c r="DA213" s="146"/>
      <c r="DB213" s="146"/>
      <c r="DC213" s="153"/>
      <c r="DD213" s="153"/>
      <c r="DE213" s="145"/>
      <c r="DF213" s="145"/>
      <c r="DG213" s="145"/>
      <c r="DH213" s="158"/>
      <c r="DI213" s="145"/>
      <c r="DJ213" s="158"/>
      <c r="DK213" s="145"/>
      <c r="DL213" s="158"/>
      <c r="DM213" s="145"/>
      <c r="DN213" s="145"/>
      <c r="DO213" s="145"/>
      <c r="DP213" s="158"/>
      <c r="DQ213" s="145"/>
      <c r="DR213" s="145"/>
      <c r="DS213" s="145"/>
      <c r="DT213" s="145"/>
      <c r="DU213" s="145">
        <f>SUM(DV213:EE213)</f>
      </c>
      <c r="DV213" s="145"/>
      <c r="DW213" s="145"/>
      <c r="DX213" s="145"/>
      <c r="DY213" s="145"/>
      <c r="DZ213" s="146"/>
      <c r="EA213" s="158"/>
      <c r="EB213" s="146"/>
      <c r="EC213" s="145"/>
      <c r="ED213" s="145"/>
      <c r="EE213" s="155"/>
      <c r="EF213" s="145">
        <f>SUM(EG213:EH213)</f>
      </c>
      <c r="EG213" s="145"/>
      <c r="EH213" s="146"/>
      <c r="EI213" s="159" cm="1">
        <f t="array" ref="EI213">ROW()-ROW(Run[#Headers])</f>
        <v>207</v>
      </c>
    </row>
    <row r="214" spans="2:139" s="79" customFormat="1" ht="11.25" x14ac:dyDescent="0.2">
      <c r="B214" s="146"/>
      <c r="C214" s="155"/>
      <c r="D214" s="145"/>
      <c r="E214" s="152">
        <f>SUM(F214:AE214)</f>
      </c>
      <c r="F214" s="146"/>
      <c r="G214" s="146"/>
      <c r="H214" s="146"/>
      <c r="I214" s="146"/>
      <c r="J214" s="146"/>
      <c r="K214" s="156"/>
      <c r="L214" s="146"/>
      <c r="M214" s="146"/>
      <c r="N214" s="146"/>
      <c r="O214" s="146"/>
      <c r="P214" s="156"/>
      <c r="Q214" s="146"/>
      <c r="R214" s="146"/>
      <c r="S214" s="146"/>
      <c r="T214" s="156"/>
      <c r="U214" s="146"/>
      <c r="V214" s="146"/>
      <c r="W214" s="146"/>
      <c r="X214" s="146"/>
      <c r="Y214" s="146"/>
      <c r="Z214" s="146"/>
      <c r="AA214" s="146"/>
      <c r="AB214" s="146"/>
      <c r="AC214" s="157"/>
      <c r="AD214" s="157"/>
      <c r="AE214" s="157"/>
      <c r="AF214" s="158">
        <f>SUM(AG214:AJ214)</f>
      </c>
      <c r="AG214" s="146"/>
      <c r="AH214" s="145"/>
      <c r="AI214" s="145"/>
      <c r="AJ214" s="145"/>
      <c r="AK214" s="158">
        <f>SUM(AL214:AW214)</f>
      </c>
      <c r="AL214" s="146"/>
      <c r="AM214" s="145"/>
      <c r="AN214" s="145"/>
      <c r="AO214" s="145"/>
      <c r="AP214" s="145"/>
      <c r="AQ214" s="145"/>
      <c r="AR214" s="145"/>
      <c r="AS214" s="145"/>
      <c r="AT214" s="145"/>
      <c r="AU214" s="145"/>
      <c r="AV214" s="145"/>
      <c r="AW214" s="158"/>
      <c r="AX214" s="145"/>
      <c r="AY214" s="145"/>
      <c r="AZ214" s="145"/>
      <c r="BA214" s="158"/>
      <c r="BB214" s="145"/>
      <c r="BC214" s="145"/>
      <c r="BD214" s="158"/>
      <c r="BE214" s="146"/>
      <c r="BF214" s="145"/>
      <c r="BG214" s="145"/>
      <c r="BH214" s="158">
        <f>SUM(BI214:BK214)</f>
      </c>
      <c r="BI214" s="145"/>
      <c r="BJ214" s="145"/>
      <c r="BK214" s="145"/>
      <c r="BL214" s="145">
        <f>SUM(BM214:BR214)</f>
      </c>
      <c r="BM214" s="145"/>
      <c r="BN214" s="145"/>
      <c r="BO214" s="158"/>
      <c r="BP214" s="145"/>
      <c r="BQ214" s="145"/>
      <c r="BR214" s="145"/>
      <c r="BS214" s="145"/>
      <c r="BT214" s="145"/>
      <c r="BU214" s="158"/>
      <c r="BV214" s="146"/>
      <c r="BW214" s="145"/>
      <c r="BX214" s="145"/>
      <c r="BY214" s="158">
        <f>SUM(BZ214:CB214)</f>
      </c>
      <c r="BZ214" s="146"/>
      <c r="CA214" s="145"/>
      <c r="CB214" s="145"/>
      <c r="CC214" s="145">
        <f>SUM(CD214:CH214)</f>
      </c>
      <c r="CD214" s="145"/>
      <c r="CE214" s="158"/>
      <c r="CF214" s="145"/>
      <c r="CG214" s="145"/>
      <c r="CH214" s="145"/>
      <c r="CI214" s="158"/>
      <c r="CJ214" s="145"/>
      <c r="CK214" s="145"/>
      <c r="CL214" s="145"/>
      <c r="CM214" s="145"/>
      <c r="CN214" s="145"/>
      <c r="CO214" s="145"/>
      <c r="CP214" s="145"/>
      <c r="CQ214" s="158"/>
      <c r="CR214" s="146"/>
      <c r="CS214" s="158"/>
      <c r="CT214" s="158"/>
      <c r="CU214" s="158">
        <f>SUM(CV214:CV214)</f>
      </c>
      <c r="CV214" s="146"/>
      <c r="CW214" s="145"/>
      <c r="CX214" s="145"/>
      <c r="CY214" s="145">
        <f>SUM(CZ214:DE214)</f>
      </c>
      <c r="CZ214" s="145"/>
      <c r="DA214" s="146"/>
      <c r="DB214" s="146"/>
      <c r="DC214" s="153"/>
      <c r="DD214" s="153"/>
      <c r="DE214" s="145"/>
      <c r="DF214" s="145"/>
      <c r="DG214" s="145"/>
      <c r="DH214" s="158"/>
      <c r="DI214" s="145"/>
      <c r="DJ214" s="158"/>
      <c r="DK214" s="145"/>
      <c r="DL214" s="158"/>
      <c r="DM214" s="145"/>
      <c r="DN214" s="145"/>
      <c r="DO214" s="145"/>
      <c r="DP214" s="158"/>
      <c r="DQ214" s="145"/>
      <c r="DR214" s="145"/>
      <c r="DS214" s="145"/>
      <c r="DT214" s="145"/>
      <c r="DU214" s="145">
        <f>SUM(DV214:EE214)</f>
      </c>
      <c r="DV214" s="145"/>
      <c r="DW214" s="145"/>
      <c r="DX214" s="145"/>
      <c r="DY214" s="145"/>
      <c r="DZ214" s="146"/>
      <c r="EA214" s="158"/>
      <c r="EB214" s="146"/>
      <c r="EC214" s="145"/>
      <c r="ED214" s="145"/>
      <c r="EE214" s="155"/>
      <c r="EF214" s="145">
        <f>SUM(EG214:EH214)</f>
      </c>
      <c r="EG214" s="145"/>
      <c r="EH214" s="146"/>
      <c r="EI214" s="159" cm="1">
        <f t="array" ref="EI214">ROW()-ROW(Run[#Headers])</f>
        <v>208</v>
      </c>
    </row>
    <row r="215" spans="2:139" s="79" customFormat="1" ht="11.25" x14ac:dyDescent="0.2">
      <c r="B215" s="146"/>
      <c r="C215" s="155"/>
      <c r="D215" s="145"/>
      <c r="E215" s="152">
        <f>SUM(F215:AE215)</f>
      </c>
      <c r="F215" s="146"/>
      <c r="G215" s="146"/>
      <c r="H215" s="146"/>
      <c r="I215" s="146"/>
      <c r="J215" s="146"/>
      <c r="K215" s="156"/>
      <c r="L215" s="146"/>
      <c r="M215" s="146"/>
      <c r="N215" s="146"/>
      <c r="O215" s="146"/>
      <c r="P215" s="156"/>
      <c r="Q215" s="146"/>
      <c r="R215" s="146"/>
      <c r="S215" s="146"/>
      <c r="T215" s="156"/>
      <c r="U215" s="146"/>
      <c r="V215" s="146"/>
      <c r="W215" s="146"/>
      <c r="X215" s="146"/>
      <c r="Y215" s="146"/>
      <c r="Z215" s="146"/>
      <c r="AA215" s="146"/>
      <c r="AB215" s="146"/>
      <c r="AC215" s="157"/>
      <c r="AD215" s="157"/>
      <c r="AE215" s="157"/>
      <c r="AF215" s="158">
        <f>SUM(AG215:AJ215)</f>
      </c>
      <c r="AG215" s="146"/>
      <c r="AH215" s="145"/>
      <c r="AI215" s="145"/>
      <c r="AJ215" s="145"/>
      <c r="AK215" s="158">
        <f>SUM(AL215:AW215)</f>
      </c>
      <c r="AL215" s="146"/>
      <c r="AM215" s="145"/>
      <c r="AN215" s="145"/>
      <c r="AO215" s="145"/>
      <c r="AP215" s="145"/>
      <c r="AQ215" s="145"/>
      <c r="AR215" s="145"/>
      <c r="AS215" s="145"/>
      <c r="AT215" s="145"/>
      <c r="AU215" s="145"/>
      <c r="AV215" s="145"/>
      <c r="AW215" s="158"/>
      <c r="AX215" s="145"/>
      <c r="AY215" s="145"/>
      <c r="AZ215" s="145"/>
      <c r="BA215" s="158"/>
      <c r="BB215" s="145"/>
      <c r="BC215" s="145"/>
      <c r="BD215" s="158"/>
      <c r="BE215" s="146"/>
      <c r="BF215" s="145"/>
      <c r="BG215" s="145"/>
      <c r="BH215" s="158">
        <f>SUM(BI215:BK215)</f>
      </c>
      <c r="BI215" s="145"/>
      <c r="BJ215" s="145"/>
      <c r="BK215" s="145"/>
      <c r="BL215" s="145">
        <f>SUM(BM215:BR215)</f>
      </c>
      <c r="BM215" s="145"/>
      <c r="BN215" s="145"/>
      <c r="BO215" s="158"/>
      <c r="BP215" s="145"/>
      <c r="BQ215" s="145"/>
      <c r="BR215" s="145"/>
      <c r="BS215" s="145"/>
      <c r="BT215" s="145"/>
      <c r="BU215" s="158"/>
      <c r="BV215" s="146"/>
      <c r="BW215" s="145"/>
      <c r="BX215" s="145"/>
      <c r="BY215" s="158">
        <f>SUM(BZ215:CB215)</f>
      </c>
      <c r="BZ215" s="146"/>
      <c r="CA215" s="145"/>
      <c r="CB215" s="145"/>
      <c r="CC215" s="145">
        <f>SUM(CD215:CH215)</f>
      </c>
      <c r="CD215" s="145"/>
      <c r="CE215" s="158"/>
      <c r="CF215" s="145"/>
      <c r="CG215" s="145"/>
      <c r="CH215" s="145"/>
      <c r="CI215" s="158"/>
      <c r="CJ215" s="145"/>
      <c r="CK215" s="145"/>
      <c r="CL215" s="145"/>
      <c r="CM215" s="145"/>
      <c r="CN215" s="145"/>
      <c r="CO215" s="145"/>
      <c r="CP215" s="145"/>
      <c r="CQ215" s="158"/>
      <c r="CR215" s="146"/>
      <c r="CS215" s="158"/>
      <c r="CT215" s="158"/>
      <c r="CU215" s="158">
        <f>SUM(CV215:CV215)</f>
      </c>
      <c r="CV215" s="146"/>
      <c r="CW215" s="145"/>
      <c r="CX215" s="145"/>
      <c r="CY215" s="145">
        <f>SUM(CZ215:DE215)</f>
      </c>
      <c r="CZ215" s="145"/>
      <c r="DA215" s="146"/>
      <c r="DB215" s="146"/>
      <c r="DC215" s="153"/>
      <c r="DD215" s="153"/>
      <c r="DE215" s="145"/>
      <c r="DF215" s="145"/>
      <c r="DG215" s="145"/>
      <c r="DH215" s="158"/>
      <c r="DI215" s="145"/>
      <c r="DJ215" s="158"/>
      <c r="DK215" s="145"/>
      <c r="DL215" s="158"/>
      <c r="DM215" s="145"/>
      <c r="DN215" s="145"/>
      <c r="DO215" s="145"/>
      <c r="DP215" s="158"/>
      <c r="DQ215" s="145"/>
      <c r="DR215" s="145"/>
      <c r="DS215" s="145"/>
      <c r="DT215" s="145"/>
      <c r="DU215" s="145">
        <f>SUM(DV215:EE215)</f>
      </c>
      <c r="DV215" s="145"/>
      <c r="DW215" s="145"/>
      <c r="DX215" s="145"/>
      <c r="DY215" s="145"/>
      <c r="DZ215" s="146"/>
      <c r="EA215" s="158"/>
      <c r="EB215" s="146"/>
      <c r="EC215" s="145"/>
      <c r="ED215" s="145"/>
      <c r="EE215" s="155"/>
      <c r="EF215" s="145">
        <f>SUM(EG215:EH215)</f>
      </c>
      <c r="EG215" s="145"/>
      <c r="EH215" s="146"/>
      <c r="EI215" s="159" cm="1">
        <f t="array" ref="EI215">ROW()-ROW(Run[#Headers])</f>
        <v>209</v>
      </c>
    </row>
    <row r="216" spans="2:139" s="79" customFormat="1" ht="11.25" x14ac:dyDescent="0.2">
      <c r="B216" s="146"/>
      <c r="C216" s="155"/>
      <c r="D216" s="145"/>
      <c r="E216" s="152">
        <f>SUM(F216:AE216)</f>
      </c>
      <c r="F216" s="146"/>
      <c r="G216" s="146"/>
      <c r="H216" s="146"/>
      <c r="I216" s="146"/>
      <c r="J216" s="146"/>
      <c r="K216" s="156"/>
      <c r="L216" s="146"/>
      <c r="M216" s="146"/>
      <c r="N216" s="146"/>
      <c r="O216" s="146"/>
      <c r="P216" s="156"/>
      <c r="Q216" s="146"/>
      <c r="R216" s="146"/>
      <c r="S216" s="146"/>
      <c r="T216" s="156"/>
      <c r="U216" s="146"/>
      <c r="V216" s="146"/>
      <c r="W216" s="146"/>
      <c r="X216" s="146"/>
      <c r="Y216" s="146"/>
      <c r="Z216" s="146"/>
      <c r="AA216" s="146"/>
      <c r="AB216" s="146"/>
      <c r="AC216" s="157"/>
      <c r="AD216" s="157"/>
      <c r="AE216" s="157"/>
      <c r="AF216" s="158">
        <f>SUM(AG216:AJ216)</f>
      </c>
      <c r="AG216" s="146"/>
      <c r="AH216" s="145"/>
      <c r="AI216" s="145"/>
      <c r="AJ216" s="145"/>
      <c r="AK216" s="158">
        <f>SUM(AL216:AW216)</f>
      </c>
      <c r="AL216" s="146"/>
      <c r="AM216" s="145"/>
      <c r="AN216" s="145"/>
      <c r="AO216" s="145"/>
      <c r="AP216" s="145"/>
      <c r="AQ216" s="145"/>
      <c r="AR216" s="145"/>
      <c r="AS216" s="145"/>
      <c r="AT216" s="145"/>
      <c r="AU216" s="145"/>
      <c r="AV216" s="145"/>
      <c r="AW216" s="158"/>
      <c r="AX216" s="145"/>
      <c r="AY216" s="145"/>
      <c r="AZ216" s="145"/>
      <c r="BA216" s="158"/>
      <c r="BB216" s="145"/>
      <c r="BC216" s="145"/>
      <c r="BD216" s="158"/>
      <c r="BE216" s="146"/>
      <c r="BF216" s="145"/>
      <c r="BG216" s="145"/>
      <c r="BH216" s="158">
        <f>SUM(BI216:BK216)</f>
      </c>
      <c r="BI216" s="145"/>
      <c r="BJ216" s="145"/>
      <c r="BK216" s="145"/>
      <c r="BL216" s="145">
        <f>SUM(BM216:BR216)</f>
      </c>
      <c r="BM216" s="145"/>
      <c r="BN216" s="145"/>
      <c r="BO216" s="158"/>
      <c r="BP216" s="145"/>
      <c r="BQ216" s="145"/>
      <c r="BR216" s="145"/>
      <c r="BS216" s="145"/>
      <c r="BT216" s="145"/>
      <c r="BU216" s="158"/>
      <c r="BV216" s="146"/>
      <c r="BW216" s="145"/>
      <c r="BX216" s="145"/>
      <c r="BY216" s="158">
        <f>SUM(BZ216:CB216)</f>
      </c>
      <c r="BZ216" s="146"/>
      <c r="CA216" s="145"/>
      <c r="CB216" s="145"/>
      <c r="CC216" s="145">
        <f>SUM(CD216:CH216)</f>
      </c>
      <c r="CD216" s="145"/>
      <c r="CE216" s="158"/>
      <c r="CF216" s="145"/>
      <c r="CG216" s="145"/>
      <c r="CH216" s="145"/>
      <c r="CI216" s="158"/>
      <c r="CJ216" s="145"/>
      <c r="CK216" s="145"/>
      <c r="CL216" s="145"/>
      <c r="CM216" s="145"/>
      <c r="CN216" s="145"/>
      <c r="CO216" s="145"/>
      <c r="CP216" s="145"/>
      <c r="CQ216" s="158"/>
      <c r="CR216" s="146"/>
      <c r="CS216" s="158"/>
      <c r="CT216" s="158"/>
      <c r="CU216" s="158">
        <f>SUM(CV216:CV216)</f>
      </c>
      <c r="CV216" s="146"/>
      <c r="CW216" s="145"/>
      <c r="CX216" s="145"/>
      <c r="CY216" s="145">
        <f>SUM(CZ216:DE216)</f>
      </c>
      <c r="CZ216" s="145"/>
      <c r="DA216" s="146"/>
      <c r="DB216" s="146"/>
      <c r="DC216" s="153"/>
      <c r="DD216" s="153"/>
      <c r="DE216" s="145"/>
      <c r="DF216" s="145"/>
      <c r="DG216" s="145"/>
      <c r="DH216" s="158"/>
      <c r="DI216" s="145"/>
      <c r="DJ216" s="158"/>
      <c r="DK216" s="145"/>
      <c r="DL216" s="158"/>
      <c r="DM216" s="145"/>
      <c r="DN216" s="145"/>
      <c r="DO216" s="145"/>
      <c r="DP216" s="158"/>
      <c r="DQ216" s="145"/>
      <c r="DR216" s="145"/>
      <c r="DS216" s="145"/>
      <c r="DT216" s="145"/>
      <c r="DU216" s="145">
        <f>SUM(DV216:EE216)</f>
      </c>
      <c r="DV216" s="145"/>
      <c r="DW216" s="145"/>
      <c r="DX216" s="145"/>
      <c r="DY216" s="145"/>
      <c r="DZ216" s="146"/>
      <c r="EA216" s="158"/>
      <c r="EB216" s="146"/>
      <c r="EC216" s="145"/>
      <c r="ED216" s="145"/>
      <c r="EE216" s="155"/>
      <c r="EF216" s="145">
        <f>SUM(EG216:EH216)</f>
      </c>
      <c r="EG216" s="145"/>
      <c r="EH216" s="146"/>
      <c r="EI216" s="159" cm="1">
        <f t="array" ref="EI216">ROW()-ROW(Run[#Headers])</f>
        <v>210</v>
      </c>
    </row>
    <row r="217" spans="2:139" s="79" customFormat="1" ht="11.25" x14ac:dyDescent="0.2">
      <c r="B217" s="146"/>
      <c r="C217" s="155"/>
      <c r="D217" s="145"/>
      <c r="E217" s="152">
        <f>SUM(F217:AE217)</f>
      </c>
      <c r="F217" s="146"/>
      <c r="G217" s="146"/>
      <c r="H217" s="146"/>
      <c r="I217" s="146"/>
      <c r="J217" s="146"/>
      <c r="K217" s="156"/>
      <c r="L217" s="146"/>
      <c r="M217" s="146"/>
      <c r="N217" s="146"/>
      <c r="O217" s="146"/>
      <c r="P217" s="156"/>
      <c r="Q217" s="146"/>
      <c r="R217" s="146"/>
      <c r="S217" s="146"/>
      <c r="T217" s="156"/>
      <c r="U217" s="146"/>
      <c r="V217" s="146"/>
      <c r="W217" s="146"/>
      <c r="X217" s="146"/>
      <c r="Y217" s="146"/>
      <c r="Z217" s="146"/>
      <c r="AA217" s="146"/>
      <c r="AB217" s="146"/>
      <c r="AC217" s="157"/>
      <c r="AD217" s="157"/>
      <c r="AE217" s="157"/>
      <c r="AF217" s="158">
        <f>SUM(AG217:AJ217)</f>
      </c>
      <c r="AG217" s="146"/>
      <c r="AH217" s="145"/>
      <c r="AI217" s="145"/>
      <c r="AJ217" s="145"/>
      <c r="AK217" s="158">
        <f>SUM(AL217:AW217)</f>
      </c>
      <c r="AL217" s="146"/>
      <c r="AM217" s="145"/>
      <c r="AN217" s="145"/>
      <c r="AO217" s="145"/>
      <c r="AP217" s="145"/>
      <c r="AQ217" s="145"/>
      <c r="AR217" s="145"/>
      <c r="AS217" s="145"/>
      <c r="AT217" s="145"/>
      <c r="AU217" s="145"/>
      <c r="AV217" s="145"/>
      <c r="AW217" s="158"/>
      <c r="AX217" s="145"/>
      <c r="AY217" s="145"/>
      <c r="AZ217" s="145"/>
      <c r="BA217" s="158"/>
      <c r="BB217" s="145"/>
      <c r="BC217" s="145"/>
      <c r="BD217" s="158"/>
      <c r="BE217" s="146"/>
      <c r="BF217" s="145"/>
      <c r="BG217" s="145"/>
      <c r="BH217" s="158">
        <f>SUM(BI217:BK217)</f>
      </c>
      <c r="BI217" s="145"/>
      <c r="BJ217" s="145"/>
      <c r="BK217" s="145"/>
      <c r="BL217" s="145">
        <f>SUM(BM217:BR217)</f>
      </c>
      <c r="BM217" s="145"/>
      <c r="BN217" s="145"/>
      <c r="BO217" s="158"/>
      <c r="BP217" s="145"/>
      <c r="BQ217" s="145"/>
      <c r="BR217" s="145"/>
      <c r="BS217" s="145"/>
      <c r="BT217" s="145"/>
      <c r="BU217" s="158"/>
      <c r="BV217" s="146"/>
      <c r="BW217" s="145"/>
      <c r="BX217" s="145"/>
      <c r="BY217" s="158">
        <f>SUM(BZ217:CB217)</f>
      </c>
      <c r="BZ217" s="146"/>
      <c r="CA217" s="145"/>
      <c r="CB217" s="145"/>
      <c r="CC217" s="145">
        <f>SUM(CD217:CH217)</f>
      </c>
      <c r="CD217" s="145"/>
      <c r="CE217" s="158"/>
      <c r="CF217" s="145"/>
      <c r="CG217" s="145"/>
      <c r="CH217" s="145"/>
      <c r="CI217" s="158"/>
      <c r="CJ217" s="145"/>
      <c r="CK217" s="145"/>
      <c r="CL217" s="145"/>
      <c r="CM217" s="145"/>
      <c r="CN217" s="145"/>
      <c r="CO217" s="145"/>
      <c r="CP217" s="145"/>
      <c r="CQ217" s="158"/>
      <c r="CR217" s="146"/>
      <c r="CS217" s="158"/>
      <c r="CT217" s="158"/>
      <c r="CU217" s="158">
        <f>SUM(CV217:CV217)</f>
      </c>
      <c r="CV217" s="146"/>
      <c r="CW217" s="145"/>
      <c r="CX217" s="145"/>
      <c r="CY217" s="145">
        <f>SUM(CZ217:DE217)</f>
      </c>
      <c r="CZ217" s="145"/>
      <c r="DA217" s="146"/>
      <c r="DB217" s="146"/>
      <c r="DC217" s="153"/>
      <c r="DD217" s="153"/>
      <c r="DE217" s="145"/>
      <c r="DF217" s="145"/>
      <c r="DG217" s="145"/>
      <c r="DH217" s="158"/>
      <c r="DI217" s="145"/>
      <c r="DJ217" s="158"/>
      <c r="DK217" s="145"/>
      <c r="DL217" s="158"/>
      <c r="DM217" s="145"/>
      <c r="DN217" s="145"/>
      <c r="DO217" s="145"/>
      <c r="DP217" s="158"/>
      <c r="DQ217" s="145"/>
      <c r="DR217" s="145"/>
      <c r="DS217" s="145"/>
      <c r="DT217" s="145"/>
      <c r="DU217" s="145">
        <f>SUM(DV217:EE217)</f>
      </c>
      <c r="DV217" s="145"/>
      <c r="DW217" s="145"/>
      <c r="DX217" s="145"/>
      <c r="DY217" s="145"/>
      <c r="DZ217" s="146"/>
      <c r="EA217" s="158"/>
      <c r="EB217" s="146"/>
      <c r="EC217" s="145"/>
      <c r="ED217" s="145"/>
      <c r="EE217" s="155"/>
      <c r="EF217" s="145">
        <f>SUM(EG217:EH217)</f>
      </c>
      <c r="EG217" s="145"/>
      <c r="EH217" s="146"/>
      <c r="EI217" s="159" cm="1">
        <f t="array" ref="EI217">ROW()-ROW(Run[#Headers])</f>
        <v>211</v>
      </c>
    </row>
    <row r="218" spans="2:139" s="79" customFormat="1" ht="11.25" x14ac:dyDescent="0.2">
      <c r="B218" s="146"/>
      <c r="C218" s="155"/>
      <c r="D218" s="145"/>
      <c r="E218" s="152">
        <f>SUM(F218:AE218)</f>
      </c>
      <c r="F218" s="146"/>
      <c r="G218" s="146"/>
      <c r="H218" s="146"/>
      <c r="I218" s="146"/>
      <c r="J218" s="146"/>
      <c r="K218" s="156"/>
      <c r="L218" s="146"/>
      <c r="M218" s="146"/>
      <c r="N218" s="146"/>
      <c r="O218" s="146"/>
      <c r="P218" s="156"/>
      <c r="Q218" s="146"/>
      <c r="R218" s="146"/>
      <c r="S218" s="146"/>
      <c r="T218" s="156"/>
      <c r="U218" s="146"/>
      <c r="V218" s="146"/>
      <c r="W218" s="146"/>
      <c r="X218" s="146"/>
      <c r="Y218" s="146"/>
      <c r="Z218" s="146"/>
      <c r="AA218" s="146"/>
      <c r="AB218" s="146"/>
      <c r="AC218" s="157"/>
      <c r="AD218" s="157"/>
      <c r="AE218" s="157"/>
      <c r="AF218" s="158">
        <f>SUM(AG218:AJ218)</f>
      </c>
      <c r="AG218" s="146"/>
      <c r="AH218" s="145"/>
      <c r="AI218" s="145"/>
      <c r="AJ218" s="145"/>
      <c r="AK218" s="158">
        <f>SUM(AL218:AW218)</f>
      </c>
      <c r="AL218" s="146"/>
      <c r="AM218" s="145"/>
      <c r="AN218" s="145"/>
      <c r="AO218" s="145"/>
      <c r="AP218" s="145"/>
      <c r="AQ218" s="145"/>
      <c r="AR218" s="145"/>
      <c r="AS218" s="145"/>
      <c r="AT218" s="145"/>
      <c r="AU218" s="145"/>
      <c r="AV218" s="145"/>
      <c r="AW218" s="158"/>
      <c r="AX218" s="145"/>
      <c r="AY218" s="145"/>
      <c r="AZ218" s="145"/>
      <c r="BA218" s="158"/>
      <c r="BB218" s="145"/>
      <c r="BC218" s="145"/>
      <c r="BD218" s="158"/>
      <c r="BE218" s="146"/>
      <c r="BF218" s="145"/>
      <c r="BG218" s="145"/>
      <c r="BH218" s="158">
        <f>SUM(BI218:BK218)</f>
      </c>
      <c r="BI218" s="145"/>
      <c r="BJ218" s="145"/>
      <c r="BK218" s="145"/>
      <c r="BL218" s="145">
        <f>SUM(BM218:BR218)</f>
      </c>
      <c r="BM218" s="145"/>
      <c r="BN218" s="145"/>
      <c r="BO218" s="158"/>
      <c r="BP218" s="145"/>
      <c r="BQ218" s="145"/>
      <c r="BR218" s="145"/>
      <c r="BS218" s="145"/>
      <c r="BT218" s="145"/>
      <c r="BU218" s="158"/>
      <c r="BV218" s="146"/>
      <c r="BW218" s="145"/>
      <c r="BX218" s="145"/>
      <c r="BY218" s="158">
        <f>SUM(BZ218:CB218)</f>
      </c>
      <c r="BZ218" s="146"/>
      <c r="CA218" s="145"/>
      <c r="CB218" s="145"/>
      <c r="CC218" s="145">
        <f>SUM(CD218:CH218)</f>
      </c>
      <c r="CD218" s="145"/>
      <c r="CE218" s="158"/>
      <c r="CF218" s="145"/>
      <c r="CG218" s="145"/>
      <c r="CH218" s="145"/>
      <c r="CI218" s="158"/>
      <c r="CJ218" s="145"/>
      <c r="CK218" s="145"/>
      <c r="CL218" s="145"/>
      <c r="CM218" s="145"/>
      <c r="CN218" s="145"/>
      <c r="CO218" s="145"/>
      <c r="CP218" s="145"/>
      <c r="CQ218" s="158"/>
      <c r="CR218" s="146"/>
      <c r="CS218" s="158"/>
      <c r="CT218" s="158"/>
      <c r="CU218" s="158">
        <f>SUM(CV218:CV218)</f>
      </c>
      <c r="CV218" s="146"/>
      <c r="CW218" s="145"/>
      <c r="CX218" s="145"/>
      <c r="CY218" s="145">
        <f>SUM(CZ218:DE218)</f>
      </c>
      <c r="CZ218" s="145"/>
      <c r="DA218" s="146"/>
      <c r="DB218" s="146"/>
      <c r="DC218" s="153"/>
      <c r="DD218" s="153"/>
      <c r="DE218" s="145"/>
      <c r="DF218" s="145"/>
      <c r="DG218" s="145"/>
      <c r="DH218" s="158"/>
      <c r="DI218" s="145"/>
      <c r="DJ218" s="158"/>
      <c r="DK218" s="145"/>
      <c r="DL218" s="158"/>
      <c r="DM218" s="145"/>
      <c r="DN218" s="145"/>
      <c r="DO218" s="145"/>
      <c r="DP218" s="158"/>
      <c r="DQ218" s="145"/>
      <c r="DR218" s="145"/>
      <c r="DS218" s="145"/>
      <c r="DT218" s="145"/>
      <c r="DU218" s="145">
        <f>SUM(DV218:EE218)</f>
      </c>
      <c r="DV218" s="145"/>
      <c r="DW218" s="145"/>
      <c r="DX218" s="145"/>
      <c r="DY218" s="145"/>
      <c r="DZ218" s="146"/>
      <c r="EA218" s="158"/>
      <c r="EB218" s="146"/>
      <c r="EC218" s="145"/>
      <c r="ED218" s="145"/>
      <c r="EE218" s="155"/>
      <c r="EF218" s="145">
        <f>SUM(EG218:EH218)</f>
      </c>
      <c r="EG218" s="145"/>
      <c r="EH218" s="146"/>
      <c r="EI218" s="159" cm="1">
        <f t="array" ref="EI218">ROW()-ROW(Run[#Headers])</f>
        <v>212</v>
      </c>
    </row>
    <row r="219" spans="2:139" s="79" customFormat="1" ht="11.25" x14ac:dyDescent="0.2">
      <c r="B219" s="146"/>
      <c r="C219" s="155"/>
      <c r="D219" s="145"/>
      <c r="E219" s="152">
        <f>SUM(F219:AE219)</f>
      </c>
      <c r="F219" s="146"/>
      <c r="G219" s="146"/>
      <c r="H219" s="146"/>
      <c r="I219" s="146"/>
      <c r="J219" s="146"/>
      <c r="K219" s="156"/>
      <c r="L219" s="146"/>
      <c r="M219" s="146"/>
      <c r="N219" s="146"/>
      <c r="O219" s="146"/>
      <c r="P219" s="156"/>
      <c r="Q219" s="146"/>
      <c r="R219" s="146"/>
      <c r="S219" s="146"/>
      <c r="T219" s="156"/>
      <c r="U219" s="146"/>
      <c r="V219" s="146"/>
      <c r="W219" s="146"/>
      <c r="X219" s="146"/>
      <c r="Y219" s="146"/>
      <c r="Z219" s="146"/>
      <c r="AA219" s="146"/>
      <c r="AB219" s="146"/>
      <c r="AC219" s="157"/>
      <c r="AD219" s="157"/>
      <c r="AE219" s="157"/>
      <c r="AF219" s="158">
        <f>SUM(AG219:AJ219)</f>
      </c>
      <c r="AG219" s="146"/>
      <c r="AH219" s="145"/>
      <c r="AI219" s="145"/>
      <c r="AJ219" s="145"/>
      <c r="AK219" s="158">
        <f>SUM(AL219:AW219)</f>
      </c>
      <c r="AL219" s="146"/>
      <c r="AM219" s="145"/>
      <c r="AN219" s="145"/>
      <c r="AO219" s="145"/>
      <c r="AP219" s="145"/>
      <c r="AQ219" s="145"/>
      <c r="AR219" s="145"/>
      <c r="AS219" s="145"/>
      <c r="AT219" s="145"/>
      <c r="AU219" s="145"/>
      <c r="AV219" s="145"/>
      <c r="AW219" s="158"/>
      <c r="AX219" s="145"/>
      <c r="AY219" s="145"/>
      <c r="AZ219" s="145"/>
      <c r="BA219" s="158"/>
      <c r="BB219" s="145"/>
      <c r="BC219" s="145"/>
      <c r="BD219" s="158"/>
      <c r="BE219" s="146"/>
      <c r="BF219" s="145"/>
      <c r="BG219" s="145"/>
      <c r="BH219" s="158">
        <f>SUM(BI219:BK219)</f>
      </c>
      <c r="BI219" s="145"/>
      <c r="BJ219" s="145"/>
      <c r="BK219" s="145"/>
      <c r="BL219" s="145">
        <f>SUM(BM219:BR219)</f>
      </c>
      <c r="BM219" s="145"/>
      <c r="BN219" s="145"/>
      <c r="BO219" s="158"/>
      <c r="BP219" s="145"/>
      <c r="BQ219" s="145"/>
      <c r="BR219" s="145"/>
      <c r="BS219" s="145"/>
      <c r="BT219" s="145"/>
      <c r="BU219" s="158"/>
      <c r="BV219" s="146"/>
      <c r="BW219" s="145"/>
      <c r="BX219" s="145"/>
      <c r="BY219" s="158">
        <f>SUM(BZ219:CB219)</f>
      </c>
      <c r="BZ219" s="146"/>
      <c r="CA219" s="145"/>
      <c r="CB219" s="145"/>
      <c r="CC219" s="145">
        <f>SUM(CD219:CH219)</f>
      </c>
      <c r="CD219" s="145"/>
      <c r="CE219" s="158"/>
      <c r="CF219" s="145"/>
      <c r="CG219" s="145"/>
      <c r="CH219" s="145"/>
      <c r="CI219" s="158"/>
      <c r="CJ219" s="145"/>
      <c r="CK219" s="145"/>
      <c r="CL219" s="145"/>
      <c r="CM219" s="145"/>
      <c r="CN219" s="145"/>
      <c r="CO219" s="145"/>
      <c r="CP219" s="145"/>
      <c r="CQ219" s="158"/>
      <c r="CR219" s="146"/>
      <c r="CS219" s="158"/>
      <c r="CT219" s="158"/>
      <c r="CU219" s="158">
        <f>SUM(CV219:CV219)</f>
      </c>
      <c r="CV219" s="146"/>
      <c r="CW219" s="145"/>
      <c r="CX219" s="145"/>
      <c r="CY219" s="145">
        <f>SUM(CZ219:DE219)</f>
      </c>
      <c r="CZ219" s="145"/>
      <c r="DA219" s="146"/>
      <c r="DB219" s="146"/>
      <c r="DC219" s="153"/>
      <c r="DD219" s="153"/>
      <c r="DE219" s="145"/>
      <c r="DF219" s="145"/>
      <c r="DG219" s="145"/>
      <c r="DH219" s="158"/>
      <c r="DI219" s="145"/>
      <c r="DJ219" s="158"/>
      <c r="DK219" s="145"/>
      <c r="DL219" s="158"/>
      <c r="DM219" s="145"/>
      <c r="DN219" s="145"/>
      <c r="DO219" s="145"/>
      <c r="DP219" s="158"/>
      <c r="DQ219" s="145"/>
      <c r="DR219" s="145"/>
      <c r="DS219" s="145"/>
      <c r="DT219" s="145"/>
      <c r="DU219" s="145">
        <f>SUM(DV219:EE219)</f>
      </c>
      <c r="DV219" s="145"/>
      <c r="DW219" s="145"/>
      <c r="DX219" s="145"/>
      <c r="DY219" s="145"/>
      <c r="DZ219" s="146"/>
      <c r="EA219" s="158"/>
      <c r="EB219" s="146"/>
      <c r="EC219" s="145"/>
      <c r="ED219" s="145"/>
      <c r="EE219" s="155"/>
      <c r="EF219" s="145">
        <f>SUM(EG219:EH219)</f>
      </c>
      <c r="EG219" s="145"/>
      <c r="EH219" s="146"/>
      <c r="EI219" s="159" cm="1">
        <f t="array" ref="EI219">ROW()-ROW(Run[#Headers])</f>
        <v>213</v>
      </c>
    </row>
    <row r="220" spans="2:139" s="79" customFormat="1" ht="11.25" x14ac:dyDescent="0.2">
      <c r="B220" s="146"/>
      <c r="C220" s="155"/>
      <c r="D220" s="145"/>
      <c r="E220" s="152">
        <f>SUM(F220:AE220)</f>
      </c>
      <c r="F220" s="146"/>
      <c r="G220" s="146"/>
      <c r="H220" s="146"/>
      <c r="I220" s="146"/>
      <c r="J220" s="146"/>
      <c r="K220" s="156"/>
      <c r="L220" s="146"/>
      <c r="M220" s="146"/>
      <c r="N220" s="146"/>
      <c r="O220" s="146"/>
      <c r="P220" s="156"/>
      <c r="Q220" s="146"/>
      <c r="R220" s="146"/>
      <c r="S220" s="146"/>
      <c r="T220" s="156"/>
      <c r="U220" s="146"/>
      <c r="V220" s="146"/>
      <c r="W220" s="146"/>
      <c r="X220" s="146"/>
      <c r="Y220" s="146"/>
      <c r="Z220" s="146"/>
      <c r="AA220" s="146"/>
      <c r="AB220" s="146"/>
      <c r="AC220" s="157"/>
      <c r="AD220" s="157"/>
      <c r="AE220" s="157"/>
      <c r="AF220" s="158">
        <f>SUM(AG220:AJ220)</f>
      </c>
      <c r="AG220" s="146"/>
      <c r="AH220" s="145"/>
      <c r="AI220" s="145"/>
      <c r="AJ220" s="145"/>
      <c r="AK220" s="158">
        <f>SUM(AL220:AW220)</f>
      </c>
      <c r="AL220" s="146"/>
      <c r="AM220" s="145"/>
      <c r="AN220" s="145"/>
      <c r="AO220" s="145"/>
      <c r="AP220" s="145"/>
      <c r="AQ220" s="145"/>
      <c r="AR220" s="145"/>
      <c r="AS220" s="145"/>
      <c r="AT220" s="145"/>
      <c r="AU220" s="145"/>
      <c r="AV220" s="145"/>
      <c r="AW220" s="158"/>
      <c r="AX220" s="145"/>
      <c r="AY220" s="145"/>
      <c r="AZ220" s="145"/>
      <c r="BA220" s="158"/>
      <c r="BB220" s="145"/>
      <c r="BC220" s="145"/>
      <c r="BD220" s="158"/>
      <c r="BE220" s="146"/>
      <c r="BF220" s="145"/>
      <c r="BG220" s="145"/>
      <c r="BH220" s="158">
        <f>SUM(BI220:BK220)</f>
      </c>
      <c r="BI220" s="145"/>
      <c r="BJ220" s="145"/>
      <c r="BK220" s="145"/>
      <c r="BL220" s="145">
        <f>SUM(BM220:BR220)</f>
      </c>
      <c r="BM220" s="145"/>
      <c r="BN220" s="145"/>
      <c r="BO220" s="158"/>
      <c r="BP220" s="145"/>
      <c r="BQ220" s="145"/>
      <c r="BR220" s="145"/>
      <c r="BS220" s="145"/>
      <c r="BT220" s="145"/>
      <c r="BU220" s="158"/>
      <c r="BV220" s="146"/>
      <c r="BW220" s="145"/>
      <c r="BX220" s="145"/>
      <c r="BY220" s="158">
        <f>SUM(BZ220:CB220)</f>
      </c>
      <c r="BZ220" s="146"/>
      <c r="CA220" s="145"/>
      <c r="CB220" s="145"/>
      <c r="CC220" s="145">
        <f>SUM(CD220:CH220)</f>
      </c>
      <c r="CD220" s="145"/>
      <c r="CE220" s="158"/>
      <c r="CF220" s="145"/>
      <c r="CG220" s="145"/>
      <c r="CH220" s="145"/>
      <c r="CI220" s="158"/>
      <c r="CJ220" s="145"/>
      <c r="CK220" s="145"/>
      <c r="CL220" s="145"/>
      <c r="CM220" s="145"/>
      <c r="CN220" s="145"/>
      <c r="CO220" s="145"/>
      <c r="CP220" s="145"/>
      <c r="CQ220" s="158"/>
      <c r="CR220" s="146"/>
      <c r="CS220" s="158"/>
      <c r="CT220" s="158"/>
      <c r="CU220" s="158">
        <f>SUM(CV220:CV220)</f>
      </c>
      <c r="CV220" s="146"/>
      <c r="CW220" s="145"/>
      <c r="CX220" s="145"/>
      <c r="CY220" s="145">
        <f>SUM(CZ220:DE220)</f>
      </c>
      <c r="CZ220" s="145"/>
      <c r="DA220" s="146"/>
      <c r="DB220" s="146"/>
      <c r="DC220" s="153"/>
      <c r="DD220" s="153"/>
      <c r="DE220" s="145"/>
      <c r="DF220" s="145"/>
      <c r="DG220" s="145"/>
      <c r="DH220" s="158"/>
      <c r="DI220" s="145"/>
      <c r="DJ220" s="158"/>
      <c r="DK220" s="145"/>
      <c r="DL220" s="158"/>
      <c r="DM220" s="145"/>
      <c r="DN220" s="145"/>
      <c r="DO220" s="145"/>
      <c r="DP220" s="158"/>
      <c r="DQ220" s="145"/>
      <c r="DR220" s="145"/>
      <c r="DS220" s="145"/>
      <c r="DT220" s="145"/>
      <c r="DU220" s="145">
        <f>SUM(DV220:EE220)</f>
      </c>
      <c r="DV220" s="145"/>
      <c r="DW220" s="145"/>
      <c r="DX220" s="145"/>
      <c r="DY220" s="145"/>
      <c r="DZ220" s="146"/>
      <c r="EA220" s="158"/>
      <c r="EB220" s="146"/>
      <c r="EC220" s="145"/>
      <c r="ED220" s="145"/>
      <c r="EE220" s="155"/>
      <c r="EF220" s="145">
        <f>SUM(EG220:EH220)</f>
      </c>
      <c r="EG220" s="145"/>
      <c r="EH220" s="146"/>
      <c r="EI220" s="159" cm="1">
        <f t="array" ref="EI220">ROW()-ROW(Run[#Headers])</f>
        <v>214</v>
      </c>
    </row>
    <row r="221" spans="2:139" s="79" customFormat="1" ht="11.25" x14ac:dyDescent="0.2">
      <c r="B221" s="146"/>
      <c r="C221" s="155"/>
      <c r="D221" s="145"/>
      <c r="E221" s="152">
        <f>SUM(F221:AE221)</f>
      </c>
      <c r="F221" s="146"/>
      <c r="G221" s="146"/>
      <c r="H221" s="146"/>
      <c r="I221" s="146"/>
      <c r="J221" s="146"/>
      <c r="K221" s="156"/>
      <c r="L221" s="146"/>
      <c r="M221" s="146"/>
      <c r="N221" s="146"/>
      <c r="O221" s="146"/>
      <c r="P221" s="156"/>
      <c r="Q221" s="146"/>
      <c r="R221" s="146"/>
      <c r="S221" s="146"/>
      <c r="T221" s="156"/>
      <c r="U221" s="146"/>
      <c r="V221" s="146"/>
      <c r="W221" s="146"/>
      <c r="X221" s="146"/>
      <c r="Y221" s="146"/>
      <c r="Z221" s="146"/>
      <c r="AA221" s="146"/>
      <c r="AB221" s="146"/>
      <c r="AC221" s="157"/>
      <c r="AD221" s="157"/>
      <c r="AE221" s="157"/>
      <c r="AF221" s="158">
        <f>SUM(AG221:AJ221)</f>
      </c>
      <c r="AG221" s="146"/>
      <c r="AH221" s="145"/>
      <c r="AI221" s="145"/>
      <c r="AJ221" s="145"/>
      <c r="AK221" s="158">
        <f>SUM(AL221:AW221)</f>
      </c>
      <c r="AL221" s="146"/>
      <c r="AM221" s="145"/>
      <c r="AN221" s="145"/>
      <c r="AO221" s="145"/>
      <c r="AP221" s="145"/>
      <c r="AQ221" s="145"/>
      <c r="AR221" s="145"/>
      <c r="AS221" s="145"/>
      <c r="AT221" s="145"/>
      <c r="AU221" s="145"/>
      <c r="AV221" s="145"/>
      <c r="AW221" s="158"/>
      <c r="AX221" s="145"/>
      <c r="AY221" s="145"/>
      <c r="AZ221" s="145"/>
      <c r="BA221" s="158"/>
      <c r="BB221" s="145"/>
      <c r="BC221" s="145"/>
      <c r="BD221" s="158"/>
      <c r="BE221" s="146"/>
      <c r="BF221" s="145"/>
      <c r="BG221" s="145"/>
      <c r="BH221" s="158">
        <f>SUM(BI221:BK221)</f>
      </c>
      <c r="BI221" s="145"/>
      <c r="BJ221" s="145"/>
      <c r="BK221" s="145"/>
      <c r="BL221" s="145">
        <f>SUM(BM221:BR221)</f>
      </c>
      <c r="BM221" s="145"/>
      <c r="BN221" s="145"/>
      <c r="BO221" s="158"/>
      <c r="BP221" s="145"/>
      <c r="BQ221" s="145"/>
      <c r="BR221" s="145"/>
      <c r="BS221" s="145"/>
      <c r="BT221" s="145"/>
      <c r="BU221" s="158"/>
      <c r="BV221" s="146"/>
      <c r="BW221" s="145"/>
      <c r="BX221" s="145"/>
      <c r="BY221" s="158">
        <f>SUM(BZ221:CB221)</f>
      </c>
      <c r="BZ221" s="146"/>
      <c r="CA221" s="145"/>
      <c r="CB221" s="145"/>
      <c r="CC221" s="145">
        <f>SUM(CD221:CH221)</f>
      </c>
      <c r="CD221" s="145"/>
      <c r="CE221" s="158"/>
      <c r="CF221" s="145"/>
      <c r="CG221" s="145"/>
      <c r="CH221" s="145"/>
      <c r="CI221" s="158"/>
      <c r="CJ221" s="145"/>
      <c r="CK221" s="145"/>
      <c r="CL221" s="145"/>
      <c r="CM221" s="145"/>
      <c r="CN221" s="145"/>
      <c r="CO221" s="145"/>
      <c r="CP221" s="145"/>
      <c r="CQ221" s="158"/>
      <c r="CR221" s="146"/>
      <c r="CS221" s="158"/>
      <c r="CT221" s="158"/>
      <c r="CU221" s="158">
        <f>SUM(CV221:CV221)</f>
      </c>
      <c r="CV221" s="146"/>
      <c r="CW221" s="145"/>
      <c r="CX221" s="145"/>
      <c r="CY221" s="145">
        <f>SUM(CZ221:DE221)</f>
      </c>
      <c r="CZ221" s="145"/>
      <c r="DA221" s="146"/>
      <c r="DB221" s="146"/>
      <c r="DC221" s="153"/>
      <c r="DD221" s="153"/>
      <c r="DE221" s="145"/>
      <c r="DF221" s="145"/>
      <c r="DG221" s="145"/>
      <c r="DH221" s="158"/>
      <c r="DI221" s="145"/>
      <c r="DJ221" s="158"/>
      <c r="DK221" s="145"/>
      <c r="DL221" s="158"/>
      <c r="DM221" s="145"/>
      <c r="DN221" s="145"/>
      <c r="DO221" s="145"/>
      <c r="DP221" s="158"/>
      <c r="DQ221" s="145"/>
      <c r="DR221" s="145"/>
      <c r="DS221" s="145"/>
      <c r="DT221" s="145"/>
      <c r="DU221" s="145">
        <f>SUM(DV221:EE221)</f>
      </c>
      <c r="DV221" s="145"/>
      <c r="DW221" s="145"/>
      <c r="DX221" s="145"/>
      <c r="DY221" s="145"/>
      <c r="DZ221" s="146"/>
      <c r="EA221" s="158"/>
      <c r="EB221" s="146"/>
      <c r="EC221" s="145"/>
      <c r="ED221" s="145"/>
      <c r="EE221" s="155"/>
      <c r="EF221" s="145">
        <f>SUM(EG221:EH221)</f>
      </c>
      <c r="EG221" s="145"/>
      <c r="EH221" s="146"/>
      <c r="EI221" s="159" cm="1">
        <f t="array" ref="EI221">ROW()-ROW(Run[#Headers])</f>
        <v>215</v>
      </c>
    </row>
    <row r="222" spans="2:139" s="79" customFormat="1" ht="11.25" x14ac:dyDescent="0.2">
      <c r="B222" s="146"/>
      <c r="C222" s="155"/>
      <c r="D222" s="145"/>
      <c r="E222" s="152">
        <f>SUM(F222:AE222)</f>
      </c>
      <c r="F222" s="146"/>
      <c r="G222" s="146"/>
      <c r="H222" s="146"/>
      <c r="I222" s="146"/>
      <c r="J222" s="146"/>
      <c r="K222" s="156"/>
      <c r="L222" s="146"/>
      <c r="M222" s="146"/>
      <c r="N222" s="146"/>
      <c r="O222" s="146"/>
      <c r="P222" s="156"/>
      <c r="Q222" s="146"/>
      <c r="R222" s="146"/>
      <c r="S222" s="146"/>
      <c r="T222" s="156"/>
      <c r="U222" s="146"/>
      <c r="V222" s="146"/>
      <c r="W222" s="146"/>
      <c r="X222" s="146"/>
      <c r="Y222" s="146"/>
      <c r="Z222" s="146"/>
      <c r="AA222" s="146"/>
      <c r="AB222" s="146"/>
      <c r="AC222" s="157"/>
      <c r="AD222" s="157"/>
      <c r="AE222" s="157"/>
      <c r="AF222" s="158">
        <f>SUM(AG222:AJ222)</f>
      </c>
      <c r="AG222" s="146"/>
      <c r="AH222" s="145"/>
      <c r="AI222" s="145"/>
      <c r="AJ222" s="145"/>
      <c r="AK222" s="158">
        <f>SUM(AL222:AW222)</f>
      </c>
      <c r="AL222" s="146"/>
      <c r="AM222" s="145"/>
      <c r="AN222" s="145"/>
      <c r="AO222" s="145"/>
      <c r="AP222" s="145"/>
      <c r="AQ222" s="145"/>
      <c r="AR222" s="145"/>
      <c r="AS222" s="145"/>
      <c r="AT222" s="145"/>
      <c r="AU222" s="145"/>
      <c r="AV222" s="145"/>
      <c r="AW222" s="158"/>
      <c r="AX222" s="145"/>
      <c r="AY222" s="145"/>
      <c r="AZ222" s="145"/>
      <c r="BA222" s="158"/>
      <c r="BB222" s="145"/>
      <c r="BC222" s="145"/>
      <c r="BD222" s="158"/>
      <c r="BE222" s="146"/>
      <c r="BF222" s="145"/>
      <c r="BG222" s="145"/>
      <c r="BH222" s="158">
        <f>SUM(BI222:BK222)</f>
      </c>
      <c r="BI222" s="145"/>
      <c r="BJ222" s="145"/>
      <c r="BK222" s="145"/>
      <c r="BL222" s="145">
        <f>SUM(BM222:BR222)</f>
      </c>
      <c r="BM222" s="145"/>
      <c r="BN222" s="145"/>
      <c r="BO222" s="158"/>
      <c r="BP222" s="145"/>
      <c r="BQ222" s="145"/>
      <c r="BR222" s="145"/>
      <c r="BS222" s="145"/>
      <c r="BT222" s="145"/>
      <c r="BU222" s="158"/>
      <c r="BV222" s="146"/>
      <c r="BW222" s="145"/>
      <c r="BX222" s="145"/>
      <c r="BY222" s="158">
        <f>SUM(BZ222:CB222)</f>
      </c>
      <c r="BZ222" s="146"/>
      <c r="CA222" s="145"/>
      <c r="CB222" s="145"/>
      <c r="CC222" s="145">
        <f>SUM(CD222:CH222)</f>
      </c>
      <c r="CD222" s="145"/>
      <c r="CE222" s="158"/>
      <c r="CF222" s="145"/>
      <c r="CG222" s="145"/>
      <c r="CH222" s="145"/>
      <c r="CI222" s="158"/>
      <c r="CJ222" s="145"/>
      <c r="CK222" s="145"/>
      <c r="CL222" s="145"/>
      <c r="CM222" s="145"/>
      <c r="CN222" s="145"/>
      <c r="CO222" s="145"/>
      <c r="CP222" s="145"/>
      <c r="CQ222" s="158"/>
      <c r="CR222" s="146"/>
      <c r="CS222" s="158"/>
      <c r="CT222" s="158"/>
      <c r="CU222" s="158">
        <f>SUM(CV222:CV222)</f>
      </c>
      <c r="CV222" s="146"/>
      <c r="CW222" s="145"/>
      <c r="CX222" s="145"/>
      <c r="CY222" s="145">
        <f>SUM(CZ222:DE222)</f>
      </c>
      <c r="CZ222" s="145"/>
      <c r="DA222" s="146"/>
      <c r="DB222" s="146"/>
      <c r="DC222" s="153"/>
      <c r="DD222" s="153"/>
      <c r="DE222" s="145"/>
      <c r="DF222" s="145"/>
      <c r="DG222" s="145"/>
      <c r="DH222" s="158"/>
      <c r="DI222" s="145"/>
      <c r="DJ222" s="158"/>
      <c r="DK222" s="145"/>
      <c r="DL222" s="158"/>
      <c r="DM222" s="145"/>
      <c r="DN222" s="145"/>
      <c r="DO222" s="145"/>
      <c r="DP222" s="158"/>
      <c r="DQ222" s="145"/>
      <c r="DR222" s="145"/>
      <c r="DS222" s="145"/>
      <c r="DT222" s="145"/>
      <c r="DU222" s="145">
        <f>SUM(DV222:EE222)</f>
      </c>
      <c r="DV222" s="145"/>
      <c r="DW222" s="145"/>
      <c r="DX222" s="145"/>
      <c r="DY222" s="145"/>
      <c r="DZ222" s="146"/>
      <c r="EA222" s="158"/>
      <c r="EB222" s="146"/>
      <c r="EC222" s="145"/>
      <c r="ED222" s="145"/>
      <c r="EE222" s="155"/>
      <c r="EF222" s="145">
        <f>SUM(EG222:EH222)</f>
      </c>
      <c r="EG222" s="145"/>
      <c r="EH222" s="146"/>
      <c r="EI222" s="159" cm="1">
        <f t="array" ref="EI222">ROW()-ROW(Run[#Headers])</f>
        <v>216</v>
      </c>
    </row>
    <row r="223" spans="2:139" s="79" customFormat="1" ht="11.25" x14ac:dyDescent="0.2">
      <c r="B223" s="146"/>
      <c r="C223" s="155"/>
      <c r="D223" s="145"/>
      <c r="E223" s="152">
        <f>SUM(F223:AE223)</f>
      </c>
      <c r="F223" s="146"/>
      <c r="G223" s="146"/>
      <c r="H223" s="146"/>
      <c r="I223" s="146"/>
      <c r="J223" s="146"/>
      <c r="K223" s="156"/>
      <c r="L223" s="146"/>
      <c r="M223" s="146"/>
      <c r="N223" s="146"/>
      <c r="O223" s="146"/>
      <c r="P223" s="156"/>
      <c r="Q223" s="146"/>
      <c r="R223" s="146"/>
      <c r="S223" s="146"/>
      <c r="T223" s="156"/>
      <c r="U223" s="146"/>
      <c r="V223" s="146"/>
      <c r="W223" s="146"/>
      <c r="X223" s="146"/>
      <c r="Y223" s="146"/>
      <c r="Z223" s="146"/>
      <c r="AA223" s="146"/>
      <c r="AB223" s="146"/>
      <c r="AC223" s="157"/>
      <c r="AD223" s="157"/>
      <c r="AE223" s="157"/>
      <c r="AF223" s="158">
        <f>SUM(AG223:AJ223)</f>
      </c>
      <c r="AG223" s="146"/>
      <c r="AH223" s="145"/>
      <c r="AI223" s="145"/>
      <c r="AJ223" s="145"/>
      <c r="AK223" s="158">
        <f>SUM(AL223:AW223)</f>
      </c>
      <c r="AL223" s="146"/>
      <c r="AM223" s="145"/>
      <c r="AN223" s="145"/>
      <c r="AO223" s="145"/>
      <c r="AP223" s="145"/>
      <c r="AQ223" s="145"/>
      <c r="AR223" s="145"/>
      <c r="AS223" s="145"/>
      <c r="AT223" s="145"/>
      <c r="AU223" s="145"/>
      <c r="AV223" s="145"/>
      <c r="AW223" s="158"/>
      <c r="AX223" s="145"/>
      <c r="AY223" s="145"/>
      <c r="AZ223" s="145"/>
      <c r="BA223" s="158"/>
      <c r="BB223" s="145"/>
      <c r="BC223" s="145"/>
      <c r="BD223" s="158"/>
      <c r="BE223" s="146"/>
      <c r="BF223" s="145"/>
      <c r="BG223" s="145"/>
      <c r="BH223" s="158">
        <f>SUM(BI223:BK223)</f>
      </c>
      <c r="BI223" s="145"/>
      <c r="BJ223" s="145"/>
      <c r="BK223" s="145"/>
      <c r="BL223" s="145">
        <f>SUM(BM223:BR223)</f>
      </c>
      <c r="BM223" s="145"/>
      <c r="BN223" s="145"/>
      <c r="BO223" s="158"/>
      <c r="BP223" s="145"/>
      <c r="BQ223" s="145"/>
      <c r="BR223" s="145"/>
      <c r="BS223" s="145"/>
      <c r="BT223" s="145"/>
      <c r="BU223" s="158"/>
      <c r="BV223" s="146"/>
      <c r="BW223" s="145"/>
      <c r="BX223" s="145"/>
      <c r="BY223" s="158">
        <f>SUM(BZ223:CB223)</f>
      </c>
      <c r="BZ223" s="146"/>
      <c r="CA223" s="145"/>
      <c r="CB223" s="145"/>
      <c r="CC223" s="145">
        <f>SUM(CD223:CH223)</f>
      </c>
      <c r="CD223" s="145"/>
      <c r="CE223" s="158"/>
      <c r="CF223" s="145"/>
      <c r="CG223" s="145"/>
      <c r="CH223" s="145"/>
      <c r="CI223" s="158"/>
      <c r="CJ223" s="145"/>
      <c r="CK223" s="145"/>
      <c r="CL223" s="145"/>
      <c r="CM223" s="145"/>
      <c r="CN223" s="145"/>
      <c r="CO223" s="145"/>
      <c r="CP223" s="145"/>
      <c r="CQ223" s="158"/>
      <c r="CR223" s="146"/>
      <c r="CS223" s="158"/>
      <c r="CT223" s="158"/>
      <c r="CU223" s="158">
        <f>SUM(CV223:CV223)</f>
      </c>
      <c r="CV223" s="146"/>
      <c r="CW223" s="145"/>
      <c r="CX223" s="145"/>
      <c r="CY223" s="145">
        <f>SUM(CZ223:DE223)</f>
      </c>
      <c r="CZ223" s="145"/>
      <c r="DA223" s="146"/>
      <c r="DB223" s="146"/>
      <c r="DC223" s="153"/>
      <c r="DD223" s="153"/>
      <c r="DE223" s="145"/>
      <c r="DF223" s="145"/>
      <c r="DG223" s="145"/>
      <c r="DH223" s="158"/>
      <c r="DI223" s="145"/>
      <c r="DJ223" s="158"/>
      <c r="DK223" s="145"/>
      <c r="DL223" s="158"/>
      <c r="DM223" s="145"/>
      <c r="DN223" s="145"/>
      <c r="DO223" s="145"/>
      <c r="DP223" s="158"/>
      <c r="DQ223" s="145"/>
      <c r="DR223" s="145"/>
      <c r="DS223" s="145"/>
      <c r="DT223" s="145"/>
      <c r="DU223" s="145">
        <f>SUM(DV223:EE223)</f>
      </c>
      <c r="DV223" s="145"/>
      <c r="DW223" s="145"/>
      <c r="DX223" s="145"/>
      <c r="DY223" s="145"/>
      <c r="DZ223" s="146"/>
      <c r="EA223" s="158"/>
      <c r="EB223" s="146"/>
      <c r="EC223" s="145"/>
      <c r="ED223" s="145"/>
      <c r="EE223" s="155"/>
      <c r="EF223" s="145">
        <f>SUM(EG223:EH223)</f>
      </c>
      <c r="EG223" s="145"/>
      <c r="EH223" s="146"/>
      <c r="EI223" s="159" cm="1">
        <f t="array" ref="EI223">ROW()-ROW(Run[#Headers])</f>
        <v>217</v>
      </c>
    </row>
    <row r="224" spans="2:139" s="79" customFormat="1" ht="11.25" x14ac:dyDescent="0.2">
      <c r="B224" s="146"/>
      <c r="C224" s="155"/>
      <c r="D224" s="145"/>
      <c r="E224" s="152">
        <f>SUM(F224:AE224)</f>
      </c>
      <c r="F224" s="146"/>
      <c r="G224" s="146"/>
      <c r="H224" s="146"/>
      <c r="I224" s="146"/>
      <c r="J224" s="146"/>
      <c r="K224" s="156"/>
      <c r="L224" s="146"/>
      <c r="M224" s="146"/>
      <c r="N224" s="146"/>
      <c r="O224" s="146"/>
      <c r="P224" s="156"/>
      <c r="Q224" s="146"/>
      <c r="R224" s="146"/>
      <c r="S224" s="146"/>
      <c r="T224" s="156"/>
      <c r="U224" s="146"/>
      <c r="V224" s="146"/>
      <c r="W224" s="146"/>
      <c r="X224" s="146"/>
      <c r="Y224" s="146"/>
      <c r="Z224" s="146"/>
      <c r="AA224" s="146"/>
      <c r="AB224" s="146"/>
      <c r="AC224" s="157"/>
      <c r="AD224" s="157"/>
      <c r="AE224" s="157"/>
      <c r="AF224" s="158">
        <f>SUM(AG224:AJ224)</f>
      </c>
      <c r="AG224" s="146"/>
      <c r="AH224" s="145"/>
      <c r="AI224" s="145"/>
      <c r="AJ224" s="145"/>
      <c r="AK224" s="158">
        <f>SUM(AL224:AW224)</f>
      </c>
      <c r="AL224" s="146"/>
      <c r="AM224" s="145"/>
      <c r="AN224" s="145"/>
      <c r="AO224" s="145"/>
      <c r="AP224" s="145"/>
      <c r="AQ224" s="145"/>
      <c r="AR224" s="145"/>
      <c r="AS224" s="145"/>
      <c r="AT224" s="145"/>
      <c r="AU224" s="145"/>
      <c r="AV224" s="145"/>
      <c r="AW224" s="158"/>
      <c r="AX224" s="145"/>
      <c r="AY224" s="145"/>
      <c r="AZ224" s="145"/>
      <c r="BA224" s="158"/>
      <c r="BB224" s="145"/>
      <c r="BC224" s="145"/>
      <c r="BD224" s="158"/>
      <c r="BE224" s="146"/>
      <c r="BF224" s="145"/>
      <c r="BG224" s="145"/>
      <c r="BH224" s="158">
        <f>SUM(BI224:BK224)</f>
      </c>
      <c r="BI224" s="145"/>
      <c r="BJ224" s="145"/>
      <c r="BK224" s="145"/>
      <c r="BL224" s="145">
        <f>SUM(BM224:BR224)</f>
      </c>
      <c r="BM224" s="145"/>
      <c r="BN224" s="145"/>
      <c r="BO224" s="158"/>
      <c r="BP224" s="145"/>
      <c r="BQ224" s="145"/>
      <c r="BR224" s="145"/>
      <c r="BS224" s="145"/>
      <c r="BT224" s="145"/>
      <c r="BU224" s="158"/>
      <c r="BV224" s="146"/>
      <c r="BW224" s="145"/>
      <c r="BX224" s="145"/>
      <c r="BY224" s="158">
        <f>SUM(BZ224:CB224)</f>
      </c>
      <c r="BZ224" s="146"/>
      <c r="CA224" s="145"/>
      <c r="CB224" s="145"/>
      <c r="CC224" s="145">
        <f>SUM(CD224:CH224)</f>
      </c>
      <c r="CD224" s="145"/>
      <c r="CE224" s="158"/>
      <c r="CF224" s="145"/>
      <c r="CG224" s="145"/>
      <c r="CH224" s="145"/>
      <c r="CI224" s="158"/>
      <c r="CJ224" s="145"/>
      <c r="CK224" s="145"/>
      <c r="CL224" s="145"/>
      <c r="CM224" s="145"/>
      <c r="CN224" s="145"/>
      <c r="CO224" s="145"/>
      <c r="CP224" s="145"/>
      <c r="CQ224" s="158"/>
      <c r="CR224" s="146"/>
      <c r="CS224" s="158"/>
      <c r="CT224" s="158"/>
      <c r="CU224" s="158">
        <f>SUM(CV224:CV224)</f>
      </c>
      <c r="CV224" s="146"/>
      <c r="CW224" s="145"/>
      <c r="CX224" s="145"/>
      <c r="CY224" s="145">
        <f>SUM(CZ224:DE224)</f>
      </c>
      <c r="CZ224" s="145"/>
      <c r="DA224" s="146"/>
      <c r="DB224" s="146"/>
      <c r="DC224" s="153"/>
      <c r="DD224" s="153"/>
      <c r="DE224" s="145"/>
      <c r="DF224" s="145"/>
      <c r="DG224" s="145"/>
      <c r="DH224" s="158"/>
      <c r="DI224" s="145"/>
      <c r="DJ224" s="158"/>
      <c r="DK224" s="145"/>
      <c r="DL224" s="158"/>
      <c r="DM224" s="145"/>
      <c r="DN224" s="145"/>
      <c r="DO224" s="145"/>
      <c r="DP224" s="158"/>
      <c r="DQ224" s="145"/>
      <c r="DR224" s="145"/>
      <c r="DS224" s="145"/>
      <c r="DT224" s="145"/>
      <c r="DU224" s="145">
        <f>SUM(DV224:EE224)</f>
      </c>
      <c r="DV224" s="145"/>
      <c r="DW224" s="145"/>
      <c r="DX224" s="145"/>
      <c r="DY224" s="145"/>
      <c r="DZ224" s="146"/>
      <c r="EA224" s="158"/>
      <c r="EB224" s="146"/>
      <c r="EC224" s="145"/>
      <c r="ED224" s="145"/>
      <c r="EE224" s="155"/>
      <c r="EF224" s="145">
        <f>SUM(EG224:EH224)</f>
      </c>
      <c r="EG224" s="145"/>
      <c r="EH224" s="146"/>
      <c r="EI224" s="159" cm="1">
        <f t="array" ref="EI224">ROW()-ROW(Run[#Headers])</f>
        <v>218</v>
      </c>
    </row>
    <row r="225" spans="2:139" s="79" customFormat="1" ht="11.25" x14ac:dyDescent="0.2">
      <c r="B225" s="146"/>
      <c r="C225" s="155"/>
      <c r="D225" s="145"/>
      <c r="E225" s="152">
        <f>SUM(F225:AE225)</f>
      </c>
      <c r="F225" s="146"/>
      <c r="G225" s="146"/>
      <c r="H225" s="146"/>
      <c r="I225" s="146"/>
      <c r="J225" s="146"/>
      <c r="K225" s="156"/>
      <c r="L225" s="146"/>
      <c r="M225" s="146"/>
      <c r="N225" s="146"/>
      <c r="O225" s="146"/>
      <c r="P225" s="156"/>
      <c r="Q225" s="146"/>
      <c r="R225" s="146"/>
      <c r="S225" s="146"/>
      <c r="T225" s="156"/>
      <c r="U225" s="146"/>
      <c r="V225" s="146"/>
      <c r="W225" s="146"/>
      <c r="X225" s="146"/>
      <c r="Y225" s="146"/>
      <c r="Z225" s="146"/>
      <c r="AA225" s="146"/>
      <c r="AB225" s="146"/>
      <c r="AC225" s="157"/>
      <c r="AD225" s="157"/>
      <c r="AE225" s="157"/>
      <c r="AF225" s="158">
        <f>SUM(AG225:AJ225)</f>
      </c>
      <c r="AG225" s="146"/>
      <c r="AH225" s="145"/>
      <c r="AI225" s="145"/>
      <c r="AJ225" s="145"/>
      <c r="AK225" s="158">
        <f>SUM(AL225:AW225)</f>
      </c>
      <c r="AL225" s="146"/>
      <c r="AM225" s="145"/>
      <c r="AN225" s="145"/>
      <c r="AO225" s="145"/>
      <c r="AP225" s="145"/>
      <c r="AQ225" s="145"/>
      <c r="AR225" s="145"/>
      <c r="AS225" s="145"/>
      <c r="AT225" s="145"/>
      <c r="AU225" s="145"/>
      <c r="AV225" s="145"/>
      <c r="AW225" s="158"/>
      <c r="AX225" s="145"/>
      <c r="AY225" s="145"/>
      <c r="AZ225" s="145"/>
      <c r="BA225" s="158"/>
      <c r="BB225" s="145"/>
      <c r="BC225" s="145"/>
      <c r="BD225" s="158"/>
      <c r="BE225" s="146"/>
      <c r="BF225" s="145"/>
      <c r="BG225" s="145"/>
      <c r="BH225" s="158">
        <f>SUM(BI225:BK225)</f>
      </c>
      <c r="BI225" s="145"/>
      <c r="BJ225" s="145"/>
      <c r="BK225" s="145"/>
      <c r="BL225" s="145">
        <f>SUM(BM225:BR225)</f>
      </c>
      <c r="BM225" s="145"/>
      <c r="BN225" s="145"/>
      <c r="BO225" s="158"/>
      <c r="BP225" s="145"/>
      <c r="BQ225" s="145"/>
      <c r="BR225" s="145"/>
      <c r="BS225" s="145"/>
      <c r="BT225" s="145"/>
      <c r="BU225" s="158"/>
      <c r="BV225" s="146"/>
      <c r="BW225" s="145"/>
      <c r="BX225" s="145"/>
      <c r="BY225" s="158">
        <f>SUM(BZ225:CB225)</f>
      </c>
      <c r="BZ225" s="146"/>
      <c r="CA225" s="145"/>
      <c r="CB225" s="145"/>
      <c r="CC225" s="145">
        <f>SUM(CD225:CH225)</f>
      </c>
      <c r="CD225" s="145"/>
      <c r="CE225" s="158"/>
      <c r="CF225" s="145"/>
      <c r="CG225" s="145"/>
      <c r="CH225" s="145"/>
      <c r="CI225" s="158"/>
      <c r="CJ225" s="145"/>
      <c r="CK225" s="145"/>
      <c r="CL225" s="145"/>
      <c r="CM225" s="145"/>
      <c r="CN225" s="145"/>
      <c r="CO225" s="145"/>
      <c r="CP225" s="145"/>
      <c r="CQ225" s="158"/>
      <c r="CR225" s="146"/>
      <c r="CS225" s="158"/>
      <c r="CT225" s="158"/>
      <c r="CU225" s="158">
        <f>SUM(CV225:CV225)</f>
      </c>
      <c r="CV225" s="146"/>
      <c r="CW225" s="145"/>
      <c r="CX225" s="145"/>
      <c r="CY225" s="145">
        <f>SUM(CZ225:DE225)</f>
      </c>
      <c r="CZ225" s="145"/>
      <c r="DA225" s="146"/>
      <c r="DB225" s="146"/>
      <c r="DC225" s="153"/>
      <c r="DD225" s="153"/>
      <c r="DE225" s="145"/>
      <c r="DF225" s="145"/>
      <c r="DG225" s="145"/>
      <c r="DH225" s="158"/>
      <c r="DI225" s="145"/>
      <c r="DJ225" s="158"/>
      <c r="DK225" s="145"/>
      <c r="DL225" s="158"/>
      <c r="DM225" s="145"/>
      <c r="DN225" s="145"/>
      <c r="DO225" s="145"/>
      <c r="DP225" s="158"/>
      <c r="DQ225" s="145"/>
      <c r="DR225" s="145"/>
      <c r="DS225" s="145"/>
      <c r="DT225" s="145"/>
      <c r="DU225" s="145">
        <f>SUM(DV225:EE225)</f>
      </c>
      <c r="DV225" s="145"/>
      <c r="DW225" s="145"/>
      <c r="DX225" s="145"/>
      <c r="DY225" s="145"/>
      <c r="DZ225" s="146"/>
      <c r="EA225" s="158"/>
      <c r="EB225" s="146"/>
      <c r="EC225" s="145"/>
      <c r="ED225" s="145"/>
      <c r="EE225" s="155"/>
      <c r="EF225" s="145">
        <f>SUM(EG225:EH225)</f>
      </c>
      <c r="EG225" s="145"/>
      <c r="EH225" s="146"/>
      <c r="EI225" s="159" cm="1">
        <f t="array" ref="EI225">ROW()-ROW(Run[#Headers])</f>
        <v>219</v>
      </c>
    </row>
    <row r="226" spans="2:139" s="79" customFormat="1" ht="11.25" x14ac:dyDescent="0.2">
      <c r="B226" s="146"/>
      <c r="C226" s="155"/>
      <c r="D226" s="145"/>
      <c r="E226" s="152">
        <f>SUM(F226:AE226)</f>
      </c>
      <c r="F226" s="146"/>
      <c r="G226" s="146"/>
      <c r="H226" s="146"/>
      <c r="I226" s="146"/>
      <c r="J226" s="146"/>
      <c r="K226" s="156"/>
      <c r="L226" s="146"/>
      <c r="M226" s="146"/>
      <c r="N226" s="146"/>
      <c r="O226" s="146"/>
      <c r="P226" s="156"/>
      <c r="Q226" s="146"/>
      <c r="R226" s="146"/>
      <c r="S226" s="146"/>
      <c r="T226" s="156"/>
      <c r="U226" s="146"/>
      <c r="V226" s="146"/>
      <c r="W226" s="146"/>
      <c r="X226" s="146"/>
      <c r="Y226" s="146"/>
      <c r="Z226" s="146"/>
      <c r="AA226" s="146"/>
      <c r="AB226" s="146"/>
      <c r="AC226" s="157"/>
      <c r="AD226" s="157"/>
      <c r="AE226" s="157"/>
      <c r="AF226" s="158">
        <f>SUM(AG226:AJ226)</f>
      </c>
      <c r="AG226" s="146"/>
      <c r="AH226" s="145"/>
      <c r="AI226" s="145"/>
      <c r="AJ226" s="145"/>
      <c r="AK226" s="158">
        <f>SUM(AL226:AW226)</f>
      </c>
      <c r="AL226" s="146"/>
      <c r="AM226" s="145"/>
      <c r="AN226" s="145"/>
      <c r="AO226" s="145"/>
      <c r="AP226" s="145"/>
      <c r="AQ226" s="145"/>
      <c r="AR226" s="145"/>
      <c r="AS226" s="145"/>
      <c r="AT226" s="145"/>
      <c r="AU226" s="145"/>
      <c r="AV226" s="145"/>
      <c r="AW226" s="158"/>
      <c r="AX226" s="145"/>
      <c r="AY226" s="145"/>
      <c r="AZ226" s="145"/>
      <c r="BA226" s="158"/>
      <c r="BB226" s="145"/>
      <c r="BC226" s="145"/>
      <c r="BD226" s="158"/>
      <c r="BE226" s="146"/>
      <c r="BF226" s="145"/>
      <c r="BG226" s="145"/>
      <c r="BH226" s="158">
        <f>SUM(BI226:BK226)</f>
      </c>
      <c r="BI226" s="145"/>
      <c r="BJ226" s="145"/>
      <c r="BK226" s="145"/>
      <c r="BL226" s="145">
        <f>SUM(BM226:BR226)</f>
      </c>
      <c r="BM226" s="145"/>
      <c r="BN226" s="145"/>
      <c r="BO226" s="158"/>
      <c r="BP226" s="145"/>
      <c r="BQ226" s="145"/>
      <c r="BR226" s="145"/>
      <c r="BS226" s="145"/>
      <c r="BT226" s="145"/>
      <c r="BU226" s="158"/>
      <c r="BV226" s="146"/>
      <c r="BW226" s="145"/>
      <c r="BX226" s="145"/>
      <c r="BY226" s="158">
        <f>SUM(BZ226:CB226)</f>
      </c>
      <c r="BZ226" s="146"/>
      <c r="CA226" s="145"/>
      <c r="CB226" s="145"/>
      <c r="CC226" s="145">
        <f>SUM(CD226:CH226)</f>
      </c>
      <c r="CD226" s="145"/>
      <c r="CE226" s="158"/>
      <c r="CF226" s="145"/>
      <c r="CG226" s="145"/>
      <c r="CH226" s="145"/>
      <c r="CI226" s="158"/>
      <c r="CJ226" s="145"/>
      <c r="CK226" s="145"/>
      <c r="CL226" s="145"/>
      <c r="CM226" s="145"/>
      <c r="CN226" s="145"/>
      <c r="CO226" s="145"/>
      <c r="CP226" s="145"/>
      <c r="CQ226" s="158"/>
      <c r="CR226" s="146"/>
      <c r="CS226" s="158"/>
      <c r="CT226" s="158"/>
      <c r="CU226" s="158">
        <f>SUM(CV226:CV226)</f>
      </c>
      <c r="CV226" s="146"/>
      <c r="CW226" s="145"/>
      <c r="CX226" s="145"/>
      <c r="CY226" s="145">
        <f>SUM(CZ226:DE226)</f>
      </c>
      <c r="CZ226" s="145"/>
      <c r="DA226" s="146"/>
      <c r="DB226" s="146"/>
      <c r="DC226" s="153"/>
      <c r="DD226" s="153"/>
      <c r="DE226" s="145"/>
      <c r="DF226" s="145"/>
      <c r="DG226" s="145"/>
      <c r="DH226" s="158"/>
      <c r="DI226" s="145"/>
      <c r="DJ226" s="158"/>
      <c r="DK226" s="145"/>
      <c r="DL226" s="158"/>
      <c r="DM226" s="145"/>
      <c r="DN226" s="145"/>
      <c r="DO226" s="145"/>
      <c r="DP226" s="158"/>
      <c r="DQ226" s="145"/>
      <c r="DR226" s="145"/>
      <c r="DS226" s="145"/>
      <c r="DT226" s="145"/>
      <c r="DU226" s="145">
        <f>SUM(DV226:EE226)</f>
      </c>
      <c r="DV226" s="145"/>
      <c r="DW226" s="145"/>
      <c r="DX226" s="145"/>
      <c r="DY226" s="145"/>
      <c r="DZ226" s="146"/>
      <c r="EA226" s="158"/>
      <c r="EB226" s="146"/>
      <c r="EC226" s="145"/>
      <c r="ED226" s="145"/>
      <c r="EE226" s="155"/>
      <c r="EF226" s="145">
        <f>SUM(EG226:EH226)</f>
      </c>
      <c r="EG226" s="145"/>
      <c r="EH226" s="146"/>
      <c r="EI226" s="159" cm="1">
        <f t="array" ref="EI226">ROW()-ROW(Run[#Headers])</f>
        <v>220</v>
      </c>
    </row>
    <row r="227" spans="2:139" s="79" customFormat="1" ht="11.25" x14ac:dyDescent="0.2">
      <c r="B227" s="146"/>
      <c r="C227" s="155"/>
      <c r="D227" s="145"/>
      <c r="E227" s="152">
        <f>SUM(F227:AE227)</f>
      </c>
      <c r="F227" s="146"/>
      <c r="G227" s="146"/>
      <c r="H227" s="146"/>
      <c r="I227" s="146"/>
      <c r="J227" s="146"/>
      <c r="K227" s="156"/>
      <c r="L227" s="146"/>
      <c r="M227" s="146"/>
      <c r="N227" s="146"/>
      <c r="O227" s="146"/>
      <c r="P227" s="156"/>
      <c r="Q227" s="146"/>
      <c r="R227" s="146"/>
      <c r="S227" s="146"/>
      <c r="T227" s="156"/>
      <c r="U227" s="146"/>
      <c r="V227" s="146"/>
      <c r="W227" s="146"/>
      <c r="X227" s="146"/>
      <c r="Y227" s="146"/>
      <c r="Z227" s="146"/>
      <c r="AA227" s="146"/>
      <c r="AB227" s="146"/>
      <c r="AC227" s="157"/>
      <c r="AD227" s="157"/>
      <c r="AE227" s="157"/>
      <c r="AF227" s="158">
        <f>SUM(AG227:AJ227)</f>
      </c>
      <c r="AG227" s="146"/>
      <c r="AH227" s="145"/>
      <c r="AI227" s="145"/>
      <c r="AJ227" s="145"/>
      <c r="AK227" s="158">
        <f>SUM(AL227:AW227)</f>
      </c>
      <c r="AL227" s="146"/>
      <c r="AM227" s="145"/>
      <c r="AN227" s="145"/>
      <c r="AO227" s="145"/>
      <c r="AP227" s="145"/>
      <c r="AQ227" s="145"/>
      <c r="AR227" s="145"/>
      <c r="AS227" s="145"/>
      <c r="AT227" s="145"/>
      <c r="AU227" s="145"/>
      <c r="AV227" s="145"/>
      <c r="AW227" s="158"/>
      <c r="AX227" s="145"/>
      <c r="AY227" s="145"/>
      <c r="AZ227" s="145"/>
      <c r="BA227" s="158"/>
      <c r="BB227" s="145"/>
      <c r="BC227" s="145"/>
      <c r="BD227" s="158"/>
      <c r="BE227" s="146"/>
      <c r="BF227" s="145"/>
      <c r="BG227" s="145"/>
      <c r="BH227" s="158">
        <f>SUM(BI227:BK227)</f>
      </c>
      <c r="BI227" s="145"/>
      <c r="BJ227" s="145"/>
      <c r="BK227" s="145"/>
      <c r="BL227" s="145">
        <f>SUM(BM227:BR227)</f>
      </c>
      <c r="BM227" s="145"/>
      <c r="BN227" s="145"/>
      <c r="BO227" s="158"/>
      <c r="BP227" s="145"/>
      <c r="BQ227" s="145"/>
      <c r="BR227" s="145"/>
      <c r="BS227" s="145"/>
      <c r="BT227" s="145"/>
      <c r="BU227" s="158"/>
      <c r="BV227" s="146"/>
      <c r="BW227" s="145"/>
      <c r="BX227" s="145"/>
      <c r="BY227" s="158">
        <f>SUM(BZ227:CB227)</f>
      </c>
      <c r="BZ227" s="146"/>
      <c r="CA227" s="145"/>
      <c r="CB227" s="145"/>
      <c r="CC227" s="145">
        <f>SUM(CD227:CH227)</f>
      </c>
      <c r="CD227" s="145"/>
      <c r="CE227" s="158"/>
      <c r="CF227" s="145"/>
      <c r="CG227" s="145"/>
      <c r="CH227" s="145"/>
      <c r="CI227" s="158"/>
      <c r="CJ227" s="145"/>
      <c r="CK227" s="145"/>
      <c r="CL227" s="145"/>
      <c r="CM227" s="145"/>
      <c r="CN227" s="145"/>
      <c r="CO227" s="145"/>
      <c r="CP227" s="145"/>
      <c r="CQ227" s="158"/>
      <c r="CR227" s="146"/>
      <c r="CS227" s="158"/>
      <c r="CT227" s="158"/>
      <c r="CU227" s="158">
        <f>SUM(CV227:CV227)</f>
      </c>
      <c r="CV227" s="146"/>
      <c r="CW227" s="145"/>
      <c r="CX227" s="145"/>
      <c r="CY227" s="145">
        <f>SUM(CZ227:DE227)</f>
      </c>
      <c r="CZ227" s="145"/>
      <c r="DA227" s="146"/>
      <c r="DB227" s="146"/>
      <c r="DC227" s="153"/>
      <c r="DD227" s="153"/>
      <c r="DE227" s="145"/>
      <c r="DF227" s="145"/>
      <c r="DG227" s="145"/>
      <c r="DH227" s="158"/>
      <c r="DI227" s="145"/>
      <c r="DJ227" s="158"/>
      <c r="DK227" s="145"/>
      <c r="DL227" s="158"/>
      <c r="DM227" s="145"/>
      <c r="DN227" s="145"/>
      <c r="DO227" s="145"/>
      <c r="DP227" s="158"/>
      <c r="DQ227" s="145"/>
      <c r="DR227" s="145"/>
      <c r="DS227" s="145"/>
      <c r="DT227" s="145"/>
      <c r="DU227" s="145">
        <f>SUM(DV227:EE227)</f>
      </c>
      <c r="DV227" s="145"/>
      <c r="DW227" s="145"/>
      <c r="DX227" s="145"/>
      <c r="DY227" s="145"/>
      <c r="DZ227" s="146"/>
      <c r="EA227" s="158"/>
      <c r="EB227" s="146"/>
      <c r="EC227" s="145"/>
      <c r="ED227" s="145"/>
      <c r="EE227" s="155"/>
      <c r="EF227" s="145">
        <f>SUM(EG227:EH227)</f>
      </c>
      <c r="EG227" s="145"/>
      <c r="EH227" s="146"/>
      <c r="EI227" s="159" cm="1">
        <f t="array" ref="EI227">ROW()-ROW(Run[#Headers])</f>
        <v>221</v>
      </c>
    </row>
    <row r="228" spans="2:139" s="79" customFormat="1" ht="11.25" x14ac:dyDescent="0.2">
      <c r="B228" s="146"/>
      <c r="C228" s="155"/>
      <c r="D228" s="145"/>
      <c r="E228" s="152">
        <f>SUM(F228:AE228)</f>
      </c>
      <c r="F228" s="146"/>
      <c r="G228" s="146"/>
      <c r="H228" s="146"/>
      <c r="I228" s="146"/>
      <c r="J228" s="146"/>
      <c r="K228" s="156"/>
      <c r="L228" s="146"/>
      <c r="M228" s="146"/>
      <c r="N228" s="146"/>
      <c r="O228" s="146"/>
      <c r="P228" s="156"/>
      <c r="Q228" s="146"/>
      <c r="R228" s="146"/>
      <c r="S228" s="146"/>
      <c r="T228" s="156"/>
      <c r="U228" s="146"/>
      <c r="V228" s="146"/>
      <c r="W228" s="146"/>
      <c r="X228" s="146"/>
      <c r="Y228" s="146"/>
      <c r="Z228" s="146"/>
      <c r="AA228" s="146"/>
      <c r="AB228" s="146"/>
      <c r="AC228" s="157"/>
      <c r="AD228" s="157"/>
      <c r="AE228" s="157"/>
      <c r="AF228" s="158">
        <f>SUM(AG228:AJ228)</f>
      </c>
      <c r="AG228" s="146"/>
      <c r="AH228" s="145"/>
      <c r="AI228" s="145"/>
      <c r="AJ228" s="145"/>
      <c r="AK228" s="158">
        <f>SUM(AL228:AW228)</f>
      </c>
      <c r="AL228" s="146"/>
      <c r="AM228" s="145"/>
      <c r="AN228" s="145"/>
      <c r="AO228" s="145"/>
      <c r="AP228" s="145"/>
      <c r="AQ228" s="145"/>
      <c r="AR228" s="145"/>
      <c r="AS228" s="145"/>
      <c r="AT228" s="145"/>
      <c r="AU228" s="145"/>
      <c r="AV228" s="145"/>
      <c r="AW228" s="158"/>
      <c r="AX228" s="145"/>
      <c r="AY228" s="145"/>
      <c r="AZ228" s="145"/>
      <c r="BA228" s="158"/>
      <c r="BB228" s="145"/>
      <c r="BC228" s="145"/>
      <c r="BD228" s="158"/>
      <c r="BE228" s="146"/>
      <c r="BF228" s="145"/>
      <c r="BG228" s="145"/>
      <c r="BH228" s="158">
        <f>SUM(BI228:BK228)</f>
      </c>
      <c r="BI228" s="145"/>
      <c r="BJ228" s="145"/>
      <c r="BK228" s="145"/>
      <c r="BL228" s="145">
        <f>SUM(BM228:BR228)</f>
      </c>
      <c r="BM228" s="145"/>
      <c r="BN228" s="145"/>
      <c r="BO228" s="158"/>
      <c r="BP228" s="145"/>
      <c r="BQ228" s="145"/>
      <c r="BR228" s="145"/>
      <c r="BS228" s="145"/>
      <c r="BT228" s="145"/>
      <c r="BU228" s="158"/>
      <c r="BV228" s="146"/>
      <c r="BW228" s="145"/>
      <c r="BX228" s="145"/>
      <c r="BY228" s="158">
        <f>SUM(BZ228:CB228)</f>
      </c>
      <c r="BZ228" s="146"/>
      <c r="CA228" s="145"/>
      <c r="CB228" s="145"/>
      <c r="CC228" s="145">
        <f>SUM(CD228:CH228)</f>
      </c>
      <c r="CD228" s="145"/>
      <c r="CE228" s="158"/>
      <c r="CF228" s="145"/>
      <c r="CG228" s="145"/>
      <c r="CH228" s="145"/>
      <c r="CI228" s="158"/>
      <c r="CJ228" s="145"/>
      <c r="CK228" s="145"/>
      <c r="CL228" s="145"/>
      <c r="CM228" s="145"/>
      <c r="CN228" s="145"/>
      <c r="CO228" s="145"/>
      <c r="CP228" s="145"/>
      <c r="CQ228" s="158"/>
      <c r="CR228" s="146"/>
      <c r="CS228" s="158"/>
      <c r="CT228" s="158"/>
      <c r="CU228" s="158">
        <f>SUM(CV228:CV228)</f>
      </c>
      <c r="CV228" s="146"/>
      <c r="CW228" s="145"/>
      <c r="CX228" s="145"/>
      <c r="CY228" s="145">
        <f>SUM(CZ228:DE228)</f>
      </c>
      <c r="CZ228" s="145"/>
      <c r="DA228" s="146"/>
      <c r="DB228" s="146"/>
      <c r="DC228" s="153"/>
      <c r="DD228" s="153"/>
      <c r="DE228" s="145"/>
      <c r="DF228" s="145"/>
      <c r="DG228" s="145"/>
      <c r="DH228" s="158"/>
      <c r="DI228" s="145"/>
      <c r="DJ228" s="158"/>
      <c r="DK228" s="145"/>
      <c r="DL228" s="158"/>
      <c r="DM228" s="145"/>
      <c r="DN228" s="145"/>
      <c r="DO228" s="145"/>
      <c r="DP228" s="158"/>
      <c r="DQ228" s="145"/>
      <c r="DR228" s="145"/>
      <c r="DS228" s="145"/>
      <c r="DT228" s="145"/>
      <c r="DU228" s="145">
        <f>SUM(DV228:EE228)</f>
      </c>
      <c r="DV228" s="145"/>
      <c r="DW228" s="145"/>
      <c r="DX228" s="145"/>
      <c r="DY228" s="145"/>
      <c r="DZ228" s="146"/>
      <c r="EA228" s="158"/>
      <c r="EB228" s="146"/>
      <c r="EC228" s="145"/>
      <c r="ED228" s="145"/>
      <c r="EE228" s="155"/>
      <c r="EF228" s="145">
        <f>SUM(EG228:EH228)</f>
      </c>
      <c r="EG228" s="145"/>
      <c r="EH228" s="146"/>
      <c r="EI228" s="159" cm="1">
        <f t="array" ref="EI228">ROW()-ROW(Run[#Headers])</f>
        <v>222</v>
      </c>
    </row>
    <row r="229" spans="2:139" s="79" customFormat="1" ht="11.25" x14ac:dyDescent="0.2">
      <c r="B229" s="146"/>
      <c r="C229" s="155"/>
      <c r="D229" s="145"/>
      <c r="E229" s="152">
        <f>SUM(F229:AE229)</f>
      </c>
      <c r="F229" s="146"/>
      <c r="G229" s="146"/>
      <c r="H229" s="146"/>
      <c r="I229" s="146"/>
      <c r="J229" s="146"/>
      <c r="K229" s="156"/>
      <c r="L229" s="146"/>
      <c r="M229" s="146"/>
      <c r="N229" s="146"/>
      <c r="O229" s="146"/>
      <c r="P229" s="156"/>
      <c r="Q229" s="146"/>
      <c r="R229" s="146"/>
      <c r="S229" s="146"/>
      <c r="T229" s="156"/>
      <c r="U229" s="146"/>
      <c r="V229" s="146"/>
      <c r="W229" s="146"/>
      <c r="X229" s="146"/>
      <c r="Y229" s="146"/>
      <c r="Z229" s="146"/>
      <c r="AA229" s="146"/>
      <c r="AB229" s="146"/>
      <c r="AC229" s="157"/>
      <c r="AD229" s="157"/>
      <c r="AE229" s="157"/>
      <c r="AF229" s="158">
        <f>SUM(AG229:AJ229)</f>
      </c>
      <c r="AG229" s="146"/>
      <c r="AH229" s="145"/>
      <c r="AI229" s="145"/>
      <c r="AJ229" s="145"/>
      <c r="AK229" s="158">
        <f>SUM(AL229:AW229)</f>
      </c>
      <c r="AL229" s="146"/>
      <c r="AM229" s="145"/>
      <c r="AN229" s="145"/>
      <c r="AO229" s="145"/>
      <c r="AP229" s="145"/>
      <c r="AQ229" s="145"/>
      <c r="AR229" s="145"/>
      <c r="AS229" s="145"/>
      <c r="AT229" s="145"/>
      <c r="AU229" s="145"/>
      <c r="AV229" s="145"/>
      <c r="AW229" s="158"/>
      <c r="AX229" s="145"/>
      <c r="AY229" s="145"/>
      <c r="AZ229" s="145"/>
      <c r="BA229" s="158"/>
      <c r="BB229" s="145"/>
      <c r="BC229" s="145"/>
      <c r="BD229" s="158"/>
      <c r="BE229" s="146"/>
      <c r="BF229" s="145"/>
      <c r="BG229" s="145"/>
      <c r="BH229" s="158">
        <f>SUM(BI229:BK229)</f>
      </c>
      <c r="BI229" s="145"/>
      <c r="BJ229" s="145"/>
      <c r="BK229" s="145"/>
      <c r="BL229" s="145">
        <f>SUM(BM229:BR229)</f>
      </c>
      <c r="BM229" s="145"/>
      <c r="BN229" s="145"/>
      <c r="BO229" s="158"/>
      <c r="BP229" s="145"/>
      <c r="BQ229" s="145"/>
      <c r="BR229" s="145"/>
      <c r="BS229" s="145"/>
      <c r="BT229" s="145"/>
      <c r="BU229" s="158"/>
      <c r="BV229" s="146"/>
      <c r="BW229" s="145"/>
      <c r="BX229" s="145"/>
      <c r="BY229" s="158">
        <f>SUM(BZ229:CB229)</f>
      </c>
      <c r="BZ229" s="146"/>
      <c r="CA229" s="145"/>
      <c r="CB229" s="145"/>
      <c r="CC229" s="145">
        <f>SUM(CD229:CH229)</f>
      </c>
      <c r="CD229" s="145"/>
      <c r="CE229" s="158"/>
      <c r="CF229" s="145"/>
      <c r="CG229" s="145"/>
      <c r="CH229" s="145"/>
      <c r="CI229" s="158"/>
      <c r="CJ229" s="145"/>
      <c r="CK229" s="145"/>
      <c r="CL229" s="145"/>
      <c r="CM229" s="145"/>
      <c r="CN229" s="145"/>
      <c r="CO229" s="145"/>
      <c r="CP229" s="145"/>
      <c r="CQ229" s="158"/>
      <c r="CR229" s="146"/>
      <c r="CS229" s="158"/>
      <c r="CT229" s="158"/>
      <c r="CU229" s="158">
        <f>SUM(CV229:CV229)</f>
      </c>
      <c r="CV229" s="146"/>
      <c r="CW229" s="145"/>
      <c r="CX229" s="145"/>
      <c r="CY229" s="145">
        <f>SUM(CZ229:DE229)</f>
      </c>
      <c r="CZ229" s="145"/>
      <c r="DA229" s="146"/>
      <c r="DB229" s="146"/>
      <c r="DC229" s="153"/>
      <c r="DD229" s="153"/>
      <c r="DE229" s="145"/>
      <c r="DF229" s="145"/>
      <c r="DG229" s="145"/>
      <c r="DH229" s="158"/>
      <c r="DI229" s="145"/>
      <c r="DJ229" s="158"/>
      <c r="DK229" s="145"/>
      <c r="DL229" s="158"/>
      <c r="DM229" s="145"/>
      <c r="DN229" s="145"/>
      <c r="DO229" s="145"/>
      <c r="DP229" s="158"/>
      <c r="DQ229" s="145"/>
      <c r="DR229" s="145"/>
      <c r="DS229" s="145"/>
      <c r="DT229" s="145"/>
      <c r="DU229" s="145">
        <f>SUM(DV229:EE229)</f>
      </c>
      <c r="DV229" s="145"/>
      <c r="DW229" s="145"/>
      <c r="DX229" s="145"/>
      <c r="DY229" s="145"/>
      <c r="DZ229" s="146"/>
      <c r="EA229" s="158"/>
      <c r="EB229" s="146"/>
      <c r="EC229" s="145"/>
      <c r="ED229" s="145"/>
      <c r="EE229" s="155"/>
      <c r="EF229" s="145">
        <f>SUM(EG229:EH229)</f>
      </c>
      <c r="EG229" s="145"/>
      <c r="EH229" s="146"/>
      <c r="EI229" s="159" cm="1">
        <f t="array" ref="EI229">ROW()-ROW(Run[#Headers])</f>
        <v>223</v>
      </c>
    </row>
    <row r="230" spans="2:139" s="79" customFormat="1" ht="11.25" x14ac:dyDescent="0.2">
      <c r="B230" s="146"/>
      <c r="C230" s="155"/>
      <c r="D230" s="145"/>
      <c r="E230" s="152">
        <f>SUM(F230:AE230)</f>
      </c>
      <c r="F230" s="146"/>
      <c r="G230" s="146"/>
      <c r="H230" s="146"/>
      <c r="I230" s="146"/>
      <c r="J230" s="146"/>
      <c r="K230" s="156"/>
      <c r="L230" s="146"/>
      <c r="M230" s="146"/>
      <c r="N230" s="146"/>
      <c r="O230" s="146"/>
      <c r="P230" s="156"/>
      <c r="Q230" s="146"/>
      <c r="R230" s="146"/>
      <c r="S230" s="146"/>
      <c r="T230" s="156"/>
      <c r="U230" s="146"/>
      <c r="V230" s="146"/>
      <c r="W230" s="146"/>
      <c r="X230" s="146"/>
      <c r="Y230" s="146"/>
      <c r="Z230" s="146"/>
      <c r="AA230" s="146"/>
      <c r="AB230" s="146"/>
      <c r="AC230" s="157"/>
      <c r="AD230" s="157"/>
      <c r="AE230" s="157"/>
      <c r="AF230" s="158">
        <f>SUM(AG230:AJ230)</f>
      </c>
      <c r="AG230" s="146"/>
      <c r="AH230" s="145"/>
      <c r="AI230" s="145"/>
      <c r="AJ230" s="145"/>
      <c r="AK230" s="158">
        <f>SUM(AL230:AW230)</f>
      </c>
      <c r="AL230" s="146"/>
      <c r="AM230" s="145"/>
      <c r="AN230" s="145"/>
      <c r="AO230" s="145"/>
      <c r="AP230" s="145"/>
      <c r="AQ230" s="145"/>
      <c r="AR230" s="145"/>
      <c r="AS230" s="145"/>
      <c r="AT230" s="145"/>
      <c r="AU230" s="145"/>
      <c r="AV230" s="145"/>
      <c r="AW230" s="158"/>
      <c r="AX230" s="145"/>
      <c r="AY230" s="145"/>
      <c r="AZ230" s="145"/>
      <c r="BA230" s="158"/>
      <c r="BB230" s="145"/>
      <c r="BC230" s="145"/>
      <c r="BD230" s="158"/>
      <c r="BE230" s="146"/>
      <c r="BF230" s="145"/>
      <c r="BG230" s="145"/>
      <c r="BH230" s="158">
        <f>SUM(BI230:BK230)</f>
      </c>
      <c r="BI230" s="145"/>
      <c r="BJ230" s="145"/>
      <c r="BK230" s="145"/>
      <c r="BL230" s="145">
        <f>SUM(BM230:BR230)</f>
      </c>
      <c r="BM230" s="145"/>
      <c r="BN230" s="145"/>
      <c r="BO230" s="158"/>
      <c r="BP230" s="145"/>
      <c r="BQ230" s="145"/>
      <c r="BR230" s="145"/>
      <c r="BS230" s="145"/>
      <c r="BT230" s="145"/>
      <c r="BU230" s="158"/>
      <c r="BV230" s="146"/>
      <c r="BW230" s="145"/>
      <c r="BX230" s="145"/>
      <c r="BY230" s="158">
        <f>SUM(BZ230:CB230)</f>
      </c>
      <c r="BZ230" s="146"/>
      <c r="CA230" s="145"/>
      <c r="CB230" s="145"/>
      <c r="CC230" s="145">
        <f>SUM(CD230:CH230)</f>
      </c>
      <c r="CD230" s="145"/>
      <c r="CE230" s="158"/>
      <c r="CF230" s="145"/>
      <c r="CG230" s="145"/>
      <c r="CH230" s="145"/>
      <c r="CI230" s="158"/>
      <c r="CJ230" s="145"/>
      <c r="CK230" s="145"/>
      <c r="CL230" s="145"/>
      <c r="CM230" s="145"/>
      <c r="CN230" s="145"/>
      <c r="CO230" s="145"/>
      <c r="CP230" s="145"/>
      <c r="CQ230" s="158"/>
      <c r="CR230" s="146"/>
      <c r="CS230" s="158"/>
      <c r="CT230" s="158"/>
      <c r="CU230" s="158">
        <f>SUM(CV230:CV230)</f>
      </c>
      <c r="CV230" s="146"/>
      <c r="CW230" s="145"/>
      <c r="CX230" s="145"/>
      <c r="CY230" s="145">
        <f>SUM(CZ230:DE230)</f>
      </c>
      <c r="CZ230" s="145"/>
      <c r="DA230" s="146"/>
      <c r="DB230" s="146"/>
      <c r="DC230" s="153"/>
      <c r="DD230" s="153"/>
      <c r="DE230" s="145"/>
      <c r="DF230" s="145"/>
      <c r="DG230" s="145"/>
      <c r="DH230" s="158"/>
      <c r="DI230" s="145"/>
      <c r="DJ230" s="158"/>
      <c r="DK230" s="145"/>
      <c r="DL230" s="158"/>
      <c r="DM230" s="145"/>
      <c r="DN230" s="145"/>
      <c r="DO230" s="145"/>
      <c r="DP230" s="158"/>
      <c r="DQ230" s="145"/>
      <c r="DR230" s="145"/>
      <c r="DS230" s="145"/>
      <c r="DT230" s="145"/>
      <c r="DU230" s="145">
        <f>SUM(DV230:EE230)</f>
      </c>
      <c r="DV230" s="145"/>
      <c r="DW230" s="145"/>
      <c r="DX230" s="145"/>
      <c r="DY230" s="145"/>
      <c r="DZ230" s="146"/>
      <c r="EA230" s="158"/>
      <c r="EB230" s="146"/>
      <c r="EC230" s="145"/>
      <c r="ED230" s="145"/>
      <c r="EE230" s="155"/>
      <c r="EF230" s="145">
        <f>SUM(EG230:EH230)</f>
      </c>
      <c r="EG230" s="145"/>
      <c r="EH230" s="146"/>
      <c r="EI230" s="159" cm="1">
        <f t="array" ref="EI230">ROW()-ROW(Run[#Headers])</f>
        <v>224</v>
      </c>
    </row>
    <row r="231" spans="2:139" s="79" customFormat="1" ht="11.25" x14ac:dyDescent="0.2">
      <c r="B231" s="146"/>
      <c r="C231" s="155"/>
      <c r="D231" s="145"/>
      <c r="E231" s="152">
        <f>SUM(F231:AE231)</f>
      </c>
      <c r="F231" s="146"/>
      <c r="G231" s="146"/>
      <c r="H231" s="146"/>
      <c r="I231" s="146"/>
      <c r="J231" s="146"/>
      <c r="K231" s="156"/>
      <c r="L231" s="146"/>
      <c r="M231" s="146"/>
      <c r="N231" s="146"/>
      <c r="O231" s="146"/>
      <c r="P231" s="156"/>
      <c r="Q231" s="146"/>
      <c r="R231" s="146"/>
      <c r="S231" s="146"/>
      <c r="T231" s="156"/>
      <c r="U231" s="146"/>
      <c r="V231" s="146"/>
      <c r="W231" s="146"/>
      <c r="X231" s="146"/>
      <c r="Y231" s="146"/>
      <c r="Z231" s="146"/>
      <c r="AA231" s="146"/>
      <c r="AB231" s="146"/>
      <c r="AC231" s="157"/>
      <c r="AD231" s="157"/>
      <c r="AE231" s="157"/>
      <c r="AF231" s="158">
        <f>SUM(AG231:AJ231)</f>
      </c>
      <c r="AG231" s="146"/>
      <c r="AH231" s="145"/>
      <c r="AI231" s="145"/>
      <c r="AJ231" s="145"/>
      <c r="AK231" s="158">
        <f>SUM(AL231:AW231)</f>
      </c>
      <c r="AL231" s="146"/>
      <c r="AM231" s="145"/>
      <c r="AN231" s="145"/>
      <c r="AO231" s="145"/>
      <c r="AP231" s="145"/>
      <c r="AQ231" s="145"/>
      <c r="AR231" s="145"/>
      <c r="AS231" s="145"/>
      <c r="AT231" s="145"/>
      <c r="AU231" s="145"/>
      <c r="AV231" s="145"/>
      <c r="AW231" s="158"/>
      <c r="AX231" s="145"/>
      <c r="AY231" s="145"/>
      <c r="AZ231" s="145"/>
      <c r="BA231" s="158"/>
      <c r="BB231" s="145"/>
      <c r="BC231" s="145"/>
      <c r="BD231" s="158"/>
      <c r="BE231" s="146"/>
      <c r="BF231" s="145"/>
      <c r="BG231" s="145"/>
      <c r="BH231" s="158">
        <f>SUM(BI231:BK231)</f>
      </c>
      <c r="BI231" s="145"/>
      <c r="BJ231" s="145"/>
      <c r="BK231" s="145"/>
      <c r="BL231" s="145">
        <f>SUM(BM231:BR231)</f>
      </c>
      <c r="BM231" s="145"/>
      <c r="BN231" s="145"/>
      <c r="BO231" s="158"/>
      <c r="BP231" s="145"/>
      <c r="BQ231" s="145"/>
      <c r="BR231" s="145"/>
      <c r="BS231" s="145"/>
      <c r="BT231" s="145"/>
      <c r="BU231" s="158"/>
      <c r="BV231" s="146"/>
      <c r="BW231" s="145"/>
      <c r="BX231" s="145"/>
      <c r="BY231" s="158">
        <f>SUM(BZ231:CB231)</f>
      </c>
      <c r="BZ231" s="146"/>
      <c r="CA231" s="145"/>
      <c r="CB231" s="145"/>
      <c r="CC231" s="145">
        <f>SUM(CD231:CH231)</f>
      </c>
      <c r="CD231" s="145"/>
      <c r="CE231" s="158"/>
      <c r="CF231" s="145"/>
      <c r="CG231" s="145"/>
      <c r="CH231" s="145"/>
      <c r="CI231" s="158"/>
      <c r="CJ231" s="145"/>
      <c r="CK231" s="145"/>
      <c r="CL231" s="145"/>
      <c r="CM231" s="145"/>
      <c r="CN231" s="145"/>
      <c r="CO231" s="145"/>
      <c r="CP231" s="145"/>
      <c r="CQ231" s="158"/>
      <c r="CR231" s="146"/>
      <c r="CS231" s="158"/>
      <c r="CT231" s="158"/>
      <c r="CU231" s="158">
        <f>SUM(CV231:CV231)</f>
      </c>
      <c r="CV231" s="146"/>
      <c r="CW231" s="145"/>
      <c r="CX231" s="145"/>
      <c r="CY231" s="145">
        <f>SUM(CZ231:DE231)</f>
      </c>
      <c r="CZ231" s="145"/>
      <c r="DA231" s="146"/>
      <c r="DB231" s="146"/>
      <c r="DC231" s="153"/>
      <c r="DD231" s="153"/>
      <c r="DE231" s="145"/>
      <c r="DF231" s="145"/>
      <c r="DG231" s="145"/>
      <c r="DH231" s="158"/>
      <c r="DI231" s="145"/>
      <c r="DJ231" s="158"/>
      <c r="DK231" s="145"/>
      <c r="DL231" s="158"/>
      <c r="DM231" s="145"/>
      <c r="DN231" s="145"/>
      <c r="DO231" s="145"/>
      <c r="DP231" s="158"/>
      <c r="DQ231" s="145"/>
      <c r="DR231" s="145"/>
      <c r="DS231" s="145"/>
      <c r="DT231" s="145"/>
      <c r="DU231" s="145">
        <f>SUM(DV231:EE231)</f>
      </c>
      <c r="DV231" s="145"/>
      <c r="DW231" s="145"/>
      <c r="DX231" s="145"/>
      <c r="DY231" s="145"/>
      <c r="DZ231" s="146"/>
      <c r="EA231" s="158"/>
      <c r="EB231" s="146"/>
      <c r="EC231" s="145"/>
      <c r="ED231" s="145"/>
      <c r="EE231" s="155"/>
      <c r="EF231" s="145">
        <f>SUM(EG231:EH231)</f>
      </c>
      <c r="EG231" s="145"/>
      <c r="EH231" s="146"/>
      <c r="EI231" s="159" cm="1">
        <f t="array" ref="EI231">ROW()-ROW(Run[#Headers])</f>
        <v>225</v>
      </c>
    </row>
    <row r="232" spans="2:139" s="79" customFormat="1" ht="11.25" x14ac:dyDescent="0.2">
      <c r="B232" s="146"/>
      <c r="C232" s="155"/>
      <c r="D232" s="145"/>
      <c r="E232" s="152">
        <f>SUM(F232:AE232)</f>
      </c>
      <c r="F232" s="146"/>
      <c r="G232" s="146"/>
      <c r="H232" s="146"/>
      <c r="I232" s="146"/>
      <c r="J232" s="146"/>
      <c r="K232" s="156"/>
      <c r="L232" s="146"/>
      <c r="M232" s="146"/>
      <c r="N232" s="146"/>
      <c r="O232" s="146"/>
      <c r="P232" s="156"/>
      <c r="Q232" s="146"/>
      <c r="R232" s="146"/>
      <c r="S232" s="146"/>
      <c r="T232" s="156"/>
      <c r="U232" s="146"/>
      <c r="V232" s="146"/>
      <c r="W232" s="146"/>
      <c r="X232" s="146"/>
      <c r="Y232" s="146"/>
      <c r="Z232" s="146"/>
      <c r="AA232" s="146"/>
      <c r="AB232" s="146"/>
      <c r="AC232" s="157"/>
      <c r="AD232" s="157"/>
      <c r="AE232" s="157"/>
      <c r="AF232" s="158">
        <f>SUM(AG232:AJ232)</f>
      </c>
      <c r="AG232" s="146"/>
      <c r="AH232" s="145"/>
      <c r="AI232" s="145"/>
      <c r="AJ232" s="145"/>
      <c r="AK232" s="158">
        <f>SUM(AL232:AW232)</f>
      </c>
      <c r="AL232" s="146"/>
      <c r="AM232" s="145"/>
      <c r="AN232" s="145"/>
      <c r="AO232" s="145"/>
      <c r="AP232" s="145"/>
      <c r="AQ232" s="145"/>
      <c r="AR232" s="145"/>
      <c r="AS232" s="145"/>
      <c r="AT232" s="145"/>
      <c r="AU232" s="145"/>
      <c r="AV232" s="145"/>
      <c r="AW232" s="158"/>
      <c r="AX232" s="145"/>
      <c r="AY232" s="145"/>
      <c r="AZ232" s="145"/>
      <c r="BA232" s="158"/>
      <c r="BB232" s="145"/>
      <c r="BC232" s="145"/>
      <c r="BD232" s="158"/>
      <c r="BE232" s="146"/>
      <c r="BF232" s="145"/>
      <c r="BG232" s="145"/>
      <c r="BH232" s="158">
        <f>SUM(BI232:BK232)</f>
      </c>
      <c r="BI232" s="145"/>
      <c r="BJ232" s="145"/>
      <c r="BK232" s="145"/>
      <c r="BL232" s="145">
        <f>SUM(BM232:BR232)</f>
      </c>
      <c r="BM232" s="145"/>
      <c r="BN232" s="145"/>
      <c r="BO232" s="158"/>
      <c r="BP232" s="145"/>
      <c r="BQ232" s="145"/>
      <c r="BR232" s="145"/>
      <c r="BS232" s="145"/>
      <c r="BT232" s="145"/>
      <c r="BU232" s="158"/>
      <c r="BV232" s="146"/>
      <c r="BW232" s="145"/>
      <c r="BX232" s="145"/>
      <c r="BY232" s="158">
        <f>SUM(BZ232:CB232)</f>
      </c>
      <c r="BZ232" s="146"/>
      <c r="CA232" s="145"/>
      <c r="CB232" s="145"/>
      <c r="CC232" s="145">
        <f>SUM(CD232:CH232)</f>
      </c>
      <c r="CD232" s="145"/>
      <c r="CE232" s="158"/>
      <c r="CF232" s="145"/>
      <c r="CG232" s="145"/>
      <c r="CH232" s="145"/>
      <c r="CI232" s="158"/>
      <c r="CJ232" s="145"/>
      <c r="CK232" s="145"/>
      <c r="CL232" s="145"/>
      <c r="CM232" s="145"/>
      <c r="CN232" s="145"/>
      <c r="CO232" s="145"/>
      <c r="CP232" s="145"/>
      <c r="CQ232" s="158"/>
      <c r="CR232" s="146"/>
      <c r="CS232" s="158"/>
      <c r="CT232" s="158"/>
      <c r="CU232" s="158">
        <f>SUM(CV232:CV232)</f>
      </c>
      <c r="CV232" s="146"/>
      <c r="CW232" s="145"/>
      <c r="CX232" s="145"/>
      <c r="CY232" s="145">
        <f>SUM(CZ232:DE232)</f>
      </c>
      <c r="CZ232" s="145"/>
      <c r="DA232" s="146"/>
      <c r="DB232" s="146"/>
      <c r="DC232" s="153"/>
      <c r="DD232" s="153"/>
      <c r="DE232" s="145"/>
      <c r="DF232" s="145"/>
      <c r="DG232" s="145"/>
      <c r="DH232" s="158"/>
      <c r="DI232" s="145"/>
      <c r="DJ232" s="158"/>
      <c r="DK232" s="145"/>
      <c r="DL232" s="158"/>
      <c r="DM232" s="145"/>
      <c r="DN232" s="145"/>
      <c r="DO232" s="145"/>
      <c r="DP232" s="158"/>
      <c r="DQ232" s="145"/>
      <c r="DR232" s="145"/>
      <c r="DS232" s="145"/>
      <c r="DT232" s="145"/>
      <c r="DU232" s="145">
        <f>SUM(DV232:EE232)</f>
      </c>
      <c r="DV232" s="145"/>
      <c r="DW232" s="145"/>
      <c r="DX232" s="145"/>
      <c r="DY232" s="145"/>
      <c r="DZ232" s="146"/>
      <c r="EA232" s="158"/>
      <c r="EB232" s="146"/>
      <c r="EC232" s="145"/>
      <c r="ED232" s="145"/>
      <c r="EE232" s="155"/>
      <c r="EF232" s="145">
        <f>SUM(EG232:EH232)</f>
      </c>
      <c r="EG232" s="145"/>
      <c r="EH232" s="146"/>
      <c r="EI232" s="159" cm="1">
        <f t="array" ref="EI232">ROW()-ROW(Run[#Headers])</f>
        <v>226</v>
      </c>
    </row>
    <row r="233" spans="2:139" s="79" customFormat="1" ht="11.25" x14ac:dyDescent="0.2">
      <c r="B233" s="146"/>
      <c r="C233" s="155"/>
      <c r="D233" s="145"/>
      <c r="E233" s="152">
        <f>SUM(F233:AE233)</f>
      </c>
      <c r="F233" s="146"/>
      <c r="G233" s="146"/>
      <c r="H233" s="146"/>
      <c r="I233" s="146"/>
      <c r="J233" s="146"/>
      <c r="K233" s="156"/>
      <c r="L233" s="146"/>
      <c r="M233" s="146"/>
      <c r="N233" s="146"/>
      <c r="O233" s="146"/>
      <c r="P233" s="156"/>
      <c r="Q233" s="146"/>
      <c r="R233" s="146"/>
      <c r="S233" s="146"/>
      <c r="T233" s="156"/>
      <c r="U233" s="146"/>
      <c r="V233" s="146"/>
      <c r="W233" s="146"/>
      <c r="X233" s="146"/>
      <c r="Y233" s="146"/>
      <c r="Z233" s="146"/>
      <c r="AA233" s="146"/>
      <c r="AB233" s="146"/>
      <c r="AC233" s="157"/>
      <c r="AD233" s="157"/>
      <c r="AE233" s="157"/>
      <c r="AF233" s="158">
        <f>SUM(AG233:AJ233)</f>
      </c>
      <c r="AG233" s="146"/>
      <c r="AH233" s="145"/>
      <c r="AI233" s="145"/>
      <c r="AJ233" s="145"/>
      <c r="AK233" s="158">
        <f>SUM(AL233:AW233)</f>
      </c>
      <c r="AL233" s="146"/>
      <c r="AM233" s="145"/>
      <c r="AN233" s="145"/>
      <c r="AO233" s="145"/>
      <c r="AP233" s="145"/>
      <c r="AQ233" s="145"/>
      <c r="AR233" s="145"/>
      <c r="AS233" s="145"/>
      <c r="AT233" s="145"/>
      <c r="AU233" s="145"/>
      <c r="AV233" s="145"/>
      <c r="AW233" s="158"/>
      <c r="AX233" s="145"/>
      <c r="AY233" s="145"/>
      <c r="AZ233" s="145"/>
      <c r="BA233" s="158"/>
      <c r="BB233" s="145"/>
      <c r="BC233" s="145"/>
      <c r="BD233" s="158"/>
      <c r="BE233" s="146"/>
      <c r="BF233" s="145"/>
      <c r="BG233" s="145"/>
      <c r="BH233" s="158">
        <f>SUM(BI233:BK233)</f>
      </c>
      <c r="BI233" s="145"/>
      <c r="BJ233" s="145"/>
      <c r="BK233" s="145"/>
      <c r="BL233" s="145">
        <f>SUM(BM233:BR233)</f>
      </c>
      <c r="BM233" s="145"/>
      <c r="BN233" s="145"/>
      <c r="BO233" s="158"/>
      <c r="BP233" s="145"/>
      <c r="BQ233" s="145"/>
      <c r="BR233" s="145"/>
      <c r="BS233" s="145"/>
      <c r="BT233" s="145"/>
      <c r="BU233" s="158"/>
      <c r="BV233" s="146"/>
      <c r="BW233" s="145"/>
      <c r="BX233" s="145"/>
      <c r="BY233" s="158">
        <f>SUM(BZ233:CB233)</f>
      </c>
      <c r="BZ233" s="146"/>
      <c r="CA233" s="145"/>
      <c r="CB233" s="145"/>
      <c r="CC233" s="145">
        <f>SUM(CD233:CH233)</f>
      </c>
      <c r="CD233" s="145"/>
      <c r="CE233" s="158"/>
      <c r="CF233" s="145"/>
      <c r="CG233" s="145"/>
      <c r="CH233" s="145"/>
      <c r="CI233" s="158"/>
      <c r="CJ233" s="145"/>
      <c r="CK233" s="145"/>
      <c r="CL233" s="145"/>
      <c r="CM233" s="145"/>
      <c r="CN233" s="145"/>
      <c r="CO233" s="145"/>
      <c r="CP233" s="145"/>
      <c r="CQ233" s="158"/>
      <c r="CR233" s="146"/>
      <c r="CS233" s="158"/>
      <c r="CT233" s="158"/>
      <c r="CU233" s="158">
        <f>SUM(CV233:CV233)</f>
      </c>
      <c r="CV233" s="146"/>
      <c r="CW233" s="145"/>
      <c r="CX233" s="145"/>
      <c r="CY233" s="145">
        <f>SUM(CZ233:DE233)</f>
      </c>
      <c r="CZ233" s="145"/>
      <c r="DA233" s="146"/>
      <c r="DB233" s="146"/>
      <c r="DC233" s="153"/>
      <c r="DD233" s="153"/>
      <c r="DE233" s="145"/>
      <c r="DF233" s="145"/>
      <c r="DG233" s="145"/>
      <c r="DH233" s="158"/>
      <c r="DI233" s="145"/>
      <c r="DJ233" s="158"/>
      <c r="DK233" s="145"/>
      <c r="DL233" s="158"/>
      <c r="DM233" s="145"/>
      <c r="DN233" s="145"/>
      <c r="DO233" s="145"/>
      <c r="DP233" s="158"/>
      <c r="DQ233" s="145"/>
      <c r="DR233" s="145"/>
      <c r="DS233" s="145"/>
      <c r="DT233" s="145"/>
      <c r="DU233" s="145">
        <f>SUM(DV233:EE233)</f>
      </c>
      <c r="DV233" s="145"/>
      <c r="DW233" s="145"/>
      <c r="DX233" s="145"/>
      <c r="DY233" s="145"/>
      <c r="DZ233" s="146"/>
      <c r="EA233" s="158"/>
      <c r="EB233" s="146"/>
      <c r="EC233" s="145"/>
      <c r="ED233" s="145"/>
      <c r="EE233" s="155"/>
      <c r="EF233" s="145">
        <f>SUM(EG233:EH233)</f>
      </c>
      <c r="EG233" s="145"/>
      <c r="EH233" s="146"/>
      <c r="EI233" s="159" cm="1">
        <f t="array" ref="EI233">ROW()-ROW(Run[#Headers])</f>
        <v>227</v>
      </c>
    </row>
    <row r="234" spans="2:139" s="79" customFormat="1" ht="11.25" x14ac:dyDescent="0.2">
      <c r="B234" s="146"/>
      <c r="C234" s="155"/>
      <c r="D234" s="145"/>
      <c r="E234" s="152">
        <f>SUM(F234:AE234)</f>
      </c>
      <c r="F234" s="146"/>
      <c r="G234" s="146"/>
      <c r="H234" s="146"/>
      <c r="I234" s="146"/>
      <c r="J234" s="146"/>
      <c r="K234" s="156"/>
      <c r="L234" s="146"/>
      <c r="M234" s="146"/>
      <c r="N234" s="146"/>
      <c r="O234" s="146"/>
      <c r="P234" s="156"/>
      <c r="Q234" s="146"/>
      <c r="R234" s="146"/>
      <c r="S234" s="146"/>
      <c r="T234" s="156"/>
      <c r="U234" s="146"/>
      <c r="V234" s="146"/>
      <c r="W234" s="146"/>
      <c r="X234" s="146"/>
      <c r="Y234" s="146"/>
      <c r="Z234" s="146"/>
      <c r="AA234" s="146"/>
      <c r="AB234" s="146"/>
      <c r="AC234" s="157"/>
      <c r="AD234" s="157"/>
      <c r="AE234" s="157"/>
      <c r="AF234" s="158">
        <f>SUM(AG234:AJ234)</f>
      </c>
      <c r="AG234" s="146"/>
      <c r="AH234" s="145"/>
      <c r="AI234" s="145"/>
      <c r="AJ234" s="145"/>
      <c r="AK234" s="158">
        <f>SUM(AL234:AW234)</f>
      </c>
      <c r="AL234" s="146"/>
      <c r="AM234" s="145"/>
      <c r="AN234" s="145"/>
      <c r="AO234" s="145"/>
      <c r="AP234" s="145"/>
      <c r="AQ234" s="145"/>
      <c r="AR234" s="145"/>
      <c r="AS234" s="145"/>
      <c r="AT234" s="145"/>
      <c r="AU234" s="145"/>
      <c r="AV234" s="145"/>
      <c r="AW234" s="158"/>
      <c r="AX234" s="145"/>
      <c r="AY234" s="145"/>
      <c r="AZ234" s="145"/>
      <c r="BA234" s="158"/>
      <c r="BB234" s="145"/>
      <c r="BC234" s="145"/>
      <c r="BD234" s="158"/>
      <c r="BE234" s="146"/>
      <c r="BF234" s="145"/>
      <c r="BG234" s="145"/>
      <c r="BH234" s="158">
        <f>SUM(BI234:BK234)</f>
      </c>
      <c r="BI234" s="145"/>
      <c r="BJ234" s="145"/>
      <c r="BK234" s="145"/>
      <c r="BL234" s="145">
        <f>SUM(BM234:BR234)</f>
      </c>
      <c r="BM234" s="145"/>
      <c r="BN234" s="145"/>
      <c r="BO234" s="158"/>
      <c r="BP234" s="145"/>
      <c r="BQ234" s="145"/>
      <c r="BR234" s="145"/>
      <c r="BS234" s="145"/>
      <c r="BT234" s="145"/>
      <c r="BU234" s="158"/>
      <c r="BV234" s="146"/>
      <c r="BW234" s="145"/>
      <c r="BX234" s="145"/>
      <c r="BY234" s="158">
        <f>SUM(BZ234:CB234)</f>
      </c>
      <c r="BZ234" s="146"/>
      <c r="CA234" s="145"/>
      <c r="CB234" s="145"/>
      <c r="CC234" s="145">
        <f>SUM(CD234:CH234)</f>
      </c>
      <c r="CD234" s="145"/>
      <c r="CE234" s="158"/>
      <c r="CF234" s="145"/>
      <c r="CG234" s="145"/>
      <c r="CH234" s="145"/>
      <c r="CI234" s="158"/>
      <c r="CJ234" s="145"/>
      <c r="CK234" s="145"/>
      <c r="CL234" s="145"/>
      <c r="CM234" s="145"/>
      <c r="CN234" s="145"/>
      <c r="CO234" s="145"/>
      <c r="CP234" s="145"/>
      <c r="CQ234" s="158"/>
      <c r="CR234" s="146"/>
      <c r="CS234" s="158"/>
      <c r="CT234" s="158"/>
      <c r="CU234" s="158">
        <f>SUM(CV234:CV234)</f>
      </c>
      <c r="CV234" s="146"/>
      <c r="CW234" s="145"/>
      <c r="CX234" s="145"/>
      <c r="CY234" s="145">
        <f>SUM(CZ234:DE234)</f>
      </c>
      <c r="CZ234" s="145"/>
      <c r="DA234" s="146"/>
      <c r="DB234" s="146"/>
      <c r="DC234" s="153"/>
      <c r="DD234" s="153"/>
      <c r="DE234" s="145"/>
      <c r="DF234" s="145"/>
      <c r="DG234" s="145"/>
      <c r="DH234" s="158"/>
      <c r="DI234" s="145"/>
      <c r="DJ234" s="158"/>
      <c r="DK234" s="145"/>
      <c r="DL234" s="158"/>
      <c r="DM234" s="145"/>
      <c r="DN234" s="145"/>
      <c r="DO234" s="145"/>
      <c r="DP234" s="158"/>
      <c r="DQ234" s="145"/>
      <c r="DR234" s="145"/>
      <c r="DS234" s="145"/>
      <c r="DT234" s="145"/>
      <c r="DU234" s="145">
        <f>SUM(DV234:EE234)</f>
      </c>
      <c r="DV234" s="145"/>
      <c r="DW234" s="145"/>
      <c r="DX234" s="145"/>
      <c r="DY234" s="145"/>
      <c r="DZ234" s="146"/>
      <c r="EA234" s="158"/>
      <c r="EB234" s="146"/>
      <c r="EC234" s="145"/>
      <c r="ED234" s="145"/>
      <c r="EE234" s="155"/>
      <c r="EF234" s="145">
        <f>SUM(EG234:EH234)</f>
      </c>
      <c r="EG234" s="145"/>
      <c r="EH234" s="146"/>
      <c r="EI234" s="159" cm="1">
        <f t="array" ref="EI234">ROW()-ROW(Run[#Headers])</f>
        <v>228</v>
      </c>
    </row>
    <row r="235" spans="2:139" s="79" customFormat="1" ht="11.25" x14ac:dyDescent="0.2">
      <c r="B235" s="146"/>
      <c r="C235" s="155"/>
      <c r="D235" s="145"/>
      <c r="E235" s="152">
        <f>SUM(F235:AE235)</f>
      </c>
      <c r="F235" s="146"/>
      <c r="G235" s="146"/>
      <c r="H235" s="146"/>
      <c r="I235" s="146"/>
      <c r="J235" s="146"/>
      <c r="K235" s="156"/>
      <c r="L235" s="146"/>
      <c r="M235" s="146"/>
      <c r="N235" s="146"/>
      <c r="O235" s="146"/>
      <c r="P235" s="156"/>
      <c r="Q235" s="146"/>
      <c r="R235" s="146"/>
      <c r="S235" s="146"/>
      <c r="T235" s="156"/>
      <c r="U235" s="146"/>
      <c r="V235" s="146"/>
      <c r="W235" s="146"/>
      <c r="X235" s="146"/>
      <c r="Y235" s="146"/>
      <c r="Z235" s="146"/>
      <c r="AA235" s="146"/>
      <c r="AB235" s="146"/>
      <c r="AC235" s="157"/>
      <c r="AD235" s="157"/>
      <c r="AE235" s="157"/>
      <c r="AF235" s="158">
        <f>SUM(AG235:AJ235)</f>
      </c>
      <c r="AG235" s="146"/>
      <c r="AH235" s="145"/>
      <c r="AI235" s="145"/>
      <c r="AJ235" s="145"/>
      <c r="AK235" s="158">
        <f>SUM(AL235:AW235)</f>
      </c>
      <c r="AL235" s="146"/>
      <c r="AM235" s="145"/>
      <c r="AN235" s="145"/>
      <c r="AO235" s="145"/>
      <c r="AP235" s="145"/>
      <c r="AQ235" s="145"/>
      <c r="AR235" s="145"/>
      <c r="AS235" s="145"/>
      <c r="AT235" s="145"/>
      <c r="AU235" s="145"/>
      <c r="AV235" s="145"/>
      <c r="AW235" s="158"/>
      <c r="AX235" s="145"/>
      <c r="AY235" s="145"/>
      <c r="AZ235" s="145"/>
      <c r="BA235" s="158"/>
      <c r="BB235" s="145"/>
      <c r="BC235" s="145"/>
      <c r="BD235" s="158"/>
      <c r="BE235" s="146"/>
      <c r="BF235" s="145"/>
      <c r="BG235" s="145"/>
      <c r="BH235" s="158">
        <f>SUM(BI235:BK235)</f>
      </c>
      <c r="BI235" s="145"/>
      <c r="BJ235" s="145"/>
      <c r="BK235" s="145"/>
      <c r="BL235" s="145">
        <f>SUM(BM235:BR235)</f>
      </c>
      <c r="BM235" s="145"/>
      <c r="BN235" s="145"/>
      <c r="BO235" s="158"/>
      <c r="BP235" s="145"/>
      <c r="BQ235" s="145"/>
      <c r="BR235" s="145"/>
      <c r="BS235" s="145"/>
      <c r="BT235" s="145"/>
      <c r="BU235" s="158"/>
      <c r="BV235" s="146"/>
      <c r="BW235" s="145"/>
      <c r="BX235" s="145"/>
      <c r="BY235" s="158">
        <f>SUM(BZ235:CB235)</f>
      </c>
      <c r="BZ235" s="146"/>
      <c r="CA235" s="145"/>
      <c r="CB235" s="145"/>
      <c r="CC235" s="145">
        <f>SUM(CD235:CH235)</f>
      </c>
      <c r="CD235" s="145"/>
      <c r="CE235" s="158"/>
      <c r="CF235" s="145"/>
      <c r="CG235" s="145"/>
      <c r="CH235" s="145"/>
      <c r="CI235" s="158"/>
      <c r="CJ235" s="145"/>
      <c r="CK235" s="145"/>
      <c r="CL235" s="145"/>
      <c r="CM235" s="145"/>
      <c r="CN235" s="145"/>
      <c r="CO235" s="145"/>
      <c r="CP235" s="145"/>
      <c r="CQ235" s="158"/>
      <c r="CR235" s="146"/>
      <c r="CS235" s="158"/>
      <c r="CT235" s="158"/>
      <c r="CU235" s="158">
        <f>SUM(CV235:CV235)</f>
      </c>
      <c r="CV235" s="146"/>
      <c r="CW235" s="145"/>
      <c r="CX235" s="145"/>
      <c r="CY235" s="145">
        <f>SUM(CZ235:DE235)</f>
      </c>
      <c r="CZ235" s="145"/>
      <c r="DA235" s="146"/>
      <c r="DB235" s="146"/>
      <c r="DC235" s="153"/>
      <c r="DD235" s="153"/>
      <c r="DE235" s="145"/>
      <c r="DF235" s="145"/>
      <c r="DG235" s="145"/>
      <c r="DH235" s="158"/>
      <c r="DI235" s="145"/>
      <c r="DJ235" s="158"/>
      <c r="DK235" s="145"/>
      <c r="DL235" s="158"/>
      <c r="DM235" s="145"/>
      <c r="DN235" s="145"/>
      <c r="DO235" s="145"/>
      <c r="DP235" s="158"/>
      <c r="DQ235" s="145"/>
      <c r="DR235" s="145"/>
      <c r="DS235" s="145"/>
      <c r="DT235" s="145"/>
      <c r="DU235" s="145">
        <f>SUM(DV235:EE235)</f>
      </c>
      <c r="DV235" s="145"/>
      <c r="DW235" s="145"/>
      <c r="DX235" s="145"/>
      <c r="DY235" s="145"/>
      <c r="DZ235" s="146"/>
      <c r="EA235" s="158"/>
      <c r="EB235" s="146"/>
      <c r="EC235" s="145"/>
      <c r="ED235" s="145"/>
      <c r="EE235" s="155"/>
      <c r="EF235" s="145">
        <f>SUM(EG235:EH235)</f>
      </c>
      <c r="EG235" s="145"/>
      <c r="EH235" s="146"/>
      <c r="EI235" s="159" cm="1">
        <f t="array" ref="EI235">ROW()-ROW(Run[#Headers])</f>
        <v>229</v>
      </c>
    </row>
    <row r="236" spans="2:139" s="79" customFormat="1" ht="11.25" x14ac:dyDescent="0.2">
      <c r="B236" s="146"/>
      <c r="C236" s="155"/>
      <c r="D236" s="145"/>
      <c r="E236" s="152">
        <f>SUM(F236:AE236)</f>
      </c>
      <c r="F236" s="146"/>
      <c r="G236" s="146"/>
      <c r="H236" s="146"/>
      <c r="I236" s="146"/>
      <c r="J236" s="146"/>
      <c r="K236" s="156"/>
      <c r="L236" s="146"/>
      <c r="M236" s="146"/>
      <c r="N236" s="146"/>
      <c r="O236" s="146"/>
      <c r="P236" s="156"/>
      <c r="Q236" s="146"/>
      <c r="R236" s="146"/>
      <c r="S236" s="146"/>
      <c r="T236" s="156"/>
      <c r="U236" s="146"/>
      <c r="V236" s="146"/>
      <c r="W236" s="146"/>
      <c r="X236" s="146"/>
      <c r="Y236" s="146"/>
      <c r="Z236" s="146"/>
      <c r="AA236" s="146"/>
      <c r="AB236" s="146"/>
      <c r="AC236" s="157"/>
      <c r="AD236" s="157"/>
      <c r="AE236" s="157"/>
      <c r="AF236" s="158">
        <f>SUM(AG236:AJ236)</f>
      </c>
      <c r="AG236" s="146"/>
      <c r="AH236" s="145"/>
      <c r="AI236" s="145"/>
      <c r="AJ236" s="145"/>
      <c r="AK236" s="158">
        <f>SUM(AL236:AW236)</f>
      </c>
      <c r="AL236" s="146"/>
      <c r="AM236" s="145"/>
      <c r="AN236" s="145"/>
      <c r="AO236" s="145"/>
      <c r="AP236" s="145"/>
      <c r="AQ236" s="145"/>
      <c r="AR236" s="145"/>
      <c r="AS236" s="145"/>
      <c r="AT236" s="145"/>
      <c r="AU236" s="145"/>
      <c r="AV236" s="145"/>
      <c r="AW236" s="158"/>
      <c r="AX236" s="145"/>
      <c r="AY236" s="145"/>
      <c r="AZ236" s="145"/>
      <c r="BA236" s="158"/>
      <c r="BB236" s="145"/>
      <c r="BC236" s="145"/>
      <c r="BD236" s="158"/>
      <c r="BE236" s="146"/>
      <c r="BF236" s="145"/>
      <c r="BG236" s="145"/>
      <c r="BH236" s="158">
        <f>SUM(BI236:BK236)</f>
      </c>
      <c r="BI236" s="145"/>
      <c r="BJ236" s="145"/>
      <c r="BK236" s="145"/>
      <c r="BL236" s="145">
        <f>SUM(BM236:BR236)</f>
      </c>
      <c r="BM236" s="145"/>
      <c r="BN236" s="145"/>
      <c r="BO236" s="158"/>
      <c r="BP236" s="145"/>
      <c r="BQ236" s="145"/>
      <c r="BR236" s="145"/>
      <c r="BS236" s="145"/>
      <c r="BT236" s="145"/>
      <c r="BU236" s="158"/>
      <c r="BV236" s="146"/>
      <c r="BW236" s="145"/>
      <c r="BX236" s="145"/>
      <c r="BY236" s="158">
        <f>SUM(BZ236:CB236)</f>
      </c>
      <c r="BZ236" s="146"/>
      <c r="CA236" s="145"/>
      <c r="CB236" s="145"/>
      <c r="CC236" s="145">
        <f>SUM(CD236:CH236)</f>
      </c>
      <c r="CD236" s="145"/>
      <c r="CE236" s="158"/>
      <c r="CF236" s="145"/>
      <c r="CG236" s="145"/>
      <c r="CH236" s="145"/>
      <c r="CI236" s="158"/>
      <c r="CJ236" s="145"/>
      <c r="CK236" s="145"/>
      <c r="CL236" s="145"/>
      <c r="CM236" s="145"/>
      <c r="CN236" s="145"/>
      <c r="CO236" s="145"/>
      <c r="CP236" s="145"/>
      <c r="CQ236" s="158"/>
      <c r="CR236" s="146"/>
      <c r="CS236" s="158"/>
      <c r="CT236" s="158"/>
      <c r="CU236" s="158">
        <f>SUM(CV236:CV236)</f>
      </c>
      <c r="CV236" s="146"/>
      <c r="CW236" s="145"/>
      <c r="CX236" s="145"/>
      <c r="CY236" s="145">
        <f>SUM(CZ236:DE236)</f>
      </c>
      <c r="CZ236" s="145"/>
      <c r="DA236" s="146"/>
      <c r="DB236" s="146"/>
      <c r="DC236" s="153"/>
      <c r="DD236" s="153"/>
      <c r="DE236" s="145"/>
      <c r="DF236" s="145"/>
      <c r="DG236" s="145"/>
      <c r="DH236" s="158"/>
      <c r="DI236" s="145"/>
      <c r="DJ236" s="158"/>
      <c r="DK236" s="145"/>
      <c r="DL236" s="158"/>
      <c r="DM236" s="145"/>
      <c r="DN236" s="145"/>
      <c r="DO236" s="145"/>
      <c r="DP236" s="158"/>
      <c r="DQ236" s="145"/>
      <c r="DR236" s="145"/>
      <c r="DS236" s="145"/>
      <c r="DT236" s="145"/>
      <c r="DU236" s="145">
        <f>SUM(DV236:EE236)</f>
      </c>
      <c r="DV236" s="145"/>
      <c r="DW236" s="145"/>
      <c r="DX236" s="145"/>
      <c r="DY236" s="145"/>
      <c r="DZ236" s="146"/>
      <c r="EA236" s="158"/>
      <c r="EB236" s="146"/>
      <c r="EC236" s="145"/>
      <c r="ED236" s="145"/>
      <c r="EE236" s="155"/>
      <c r="EF236" s="145">
        <f>SUM(EG236:EH236)</f>
      </c>
      <c r="EG236" s="145"/>
      <c r="EH236" s="146"/>
      <c r="EI236" s="159" cm="1">
        <f t="array" ref="EI236">ROW()-ROW(Run[#Headers])</f>
        <v>230</v>
      </c>
    </row>
    <row r="237" spans="2:139" s="79" customFormat="1" ht="11.25" x14ac:dyDescent="0.2">
      <c r="B237" s="146"/>
      <c r="C237" s="155"/>
      <c r="D237" s="145"/>
      <c r="E237" s="152">
        <f>SUM(F237:AE237)</f>
      </c>
      <c r="F237" s="146"/>
      <c r="G237" s="146"/>
      <c r="H237" s="146"/>
      <c r="I237" s="146"/>
      <c r="J237" s="146"/>
      <c r="K237" s="156"/>
      <c r="L237" s="146"/>
      <c r="M237" s="146"/>
      <c r="N237" s="146"/>
      <c r="O237" s="146"/>
      <c r="P237" s="156"/>
      <c r="Q237" s="146"/>
      <c r="R237" s="146"/>
      <c r="S237" s="146"/>
      <c r="T237" s="156"/>
      <c r="U237" s="146"/>
      <c r="V237" s="146"/>
      <c r="W237" s="146"/>
      <c r="X237" s="146"/>
      <c r="Y237" s="146"/>
      <c r="Z237" s="146"/>
      <c r="AA237" s="146"/>
      <c r="AB237" s="146"/>
      <c r="AC237" s="157"/>
      <c r="AD237" s="157"/>
      <c r="AE237" s="157"/>
      <c r="AF237" s="158">
        <f>SUM(AG237:AJ237)</f>
      </c>
      <c r="AG237" s="146"/>
      <c r="AH237" s="145"/>
      <c r="AI237" s="145"/>
      <c r="AJ237" s="145"/>
      <c r="AK237" s="158">
        <f>SUM(AL237:AW237)</f>
      </c>
      <c r="AL237" s="146"/>
      <c r="AM237" s="145"/>
      <c r="AN237" s="145"/>
      <c r="AO237" s="145"/>
      <c r="AP237" s="145"/>
      <c r="AQ237" s="145"/>
      <c r="AR237" s="145"/>
      <c r="AS237" s="145"/>
      <c r="AT237" s="145"/>
      <c r="AU237" s="145"/>
      <c r="AV237" s="145"/>
      <c r="AW237" s="158"/>
      <c r="AX237" s="145"/>
      <c r="AY237" s="145"/>
      <c r="AZ237" s="145"/>
      <c r="BA237" s="158"/>
      <c r="BB237" s="145"/>
      <c r="BC237" s="145"/>
      <c r="BD237" s="158"/>
      <c r="BE237" s="146"/>
      <c r="BF237" s="145"/>
      <c r="BG237" s="145"/>
      <c r="BH237" s="158">
        <f>SUM(BI237:BK237)</f>
      </c>
      <c r="BI237" s="145"/>
      <c r="BJ237" s="145"/>
      <c r="BK237" s="145"/>
      <c r="BL237" s="145">
        <f>SUM(BM237:BR237)</f>
      </c>
      <c r="BM237" s="145"/>
      <c r="BN237" s="145"/>
      <c r="BO237" s="158"/>
      <c r="BP237" s="145"/>
      <c r="BQ237" s="145"/>
      <c r="BR237" s="145"/>
      <c r="BS237" s="145"/>
      <c r="BT237" s="145"/>
      <c r="BU237" s="158"/>
      <c r="BV237" s="146"/>
      <c r="BW237" s="145"/>
      <c r="BX237" s="145"/>
      <c r="BY237" s="158">
        <f>SUM(BZ237:CB237)</f>
      </c>
      <c r="BZ237" s="146"/>
      <c r="CA237" s="145"/>
      <c r="CB237" s="145"/>
      <c r="CC237" s="145">
        <f>SUM(CD237:CH237)</f>
      </c>
      <c r="CD237" s="145"/>
      <c r="CE237" s="158"/>
      <c r="CF237" s="145"/>
      <c r="CG237" s="145"/>
      <c r="CH237" s="145"/>
      <c r="CI237" s="158"/>
      <c r="CJ237" s="145"/>
      <c r="CK237" s="145"/>
      <c r="CL237" s="145"/>
      <c r="CM237" s="145"/>
      <c r="CN237" s="145"/>
      <c r="CO237" s="145"/>
      <c r="CP237" s="145"/>
      <c r="CQ237" s="158"/>
      <c r="CR237" s="146"/>
      <c r="CS237" s="158"/>
      <c r="CT237" s="158"/>
      <c r="CU237" s="158">
        <f>SUM(CV237:CV237)</f>
      </c>
      <c r="CV237" s="146"/>
      <c r="CW237" s="145"/>
      <c r="CX237" s="145"/>
      <c r="CY237" s="145">
        <f>SUM(CZ237:DE237)</f>
      </c>
      <c r="CZ237" s="145"/>
      <c r="DA237" s="146"/>
      <c r="DB237" s="146"/>
      <c r="DC237" s="153"/>
      <c r="DD237" s="153"/>
      <c r="DE237" s="145"/>
      <c r="DF237" s="145"/>
      <c r="DG237" s="145"/>
      <c r="DH237" s="158"/>
      <c r="DI237" s="145"/>
      <c r="DJ237" s="158"/>
      <c r="DK237" s="145"/>
      <c r="DL237" s="158"/>
      <c r="DM237" s="145"/>
      <c r="DN237" s="145"/>
      <c r="DO237" s="145"/>
      <c r="DP237" s="158"/>
      <c r="DQ237" s="145"/>
      <c r="DR237" s="145"/>
      <c r="DS237" s="145"/>
      <c r="DT237" s="145"/>
      <c r="DU237" s="145">
        <f>SUM(DV237:EE237)</f>
      </c>
      <c r="DV237" s="145"/>
      <c r="DW237" s="145"/>
      <c r="DX237" s="145"/>
      <c r="DY237" s="145"/>
      <c r="DZ237" s="146"/>
      <c r="EA237" s="158"/>
      <c r="EB237" s="146"/>
      <c r="EC237" s="145"/>
      <c r="ED237" s="145"/>
      <c r="EE237" s="155"/>
      <c r="EF237" s="145">
        <f>SUM(EG237:EH237)</f>
      </c>
      <c r="EG237" s="145"/>
      <c r="EH237" s="146"/>
      <c r="EI237" s="159" cm="1">
        <f t="array" ref="EI237">ROW()-ROW(Run[#Headers])</f>
        <v>231</v>
      </c>
    </row>
    <row r="238" spans="2:139" s="79" customFormat="1" ht="11.25" x14ac:dyDescent="0.2">
      <c r="B238" s="146"/>
      <c r="C238" s="155"/>
      <c r="D238" s="145"/>
      <c r="E238" s="152">
        <f>SUM(F238:AE238)</f>
      </c>
      <c r="F238" s="146"/>
      <c r="G238" s="146"/>
      <c r="H238" s="146"/>
      <c r="I238" s="146"/>
      <c r="J238" s="146"/>
      <c r="K238" s="156"/>
      <c r="L238" s="146"/>
      <c r="M238" s="146"/>
      <c r="N238" s="146"/>
      <c r="O238" s="146"/>
      <c r="P238" s="156"/>
      <c r="Q238" s="146"/>
      <c r="R238" s="146"/>
      <c r="S238" s="146"/>
      <c r="T238" s="156"/>
      <c r="U238" s="146"/>
      <c r="V238" s="146"/>
      <c r="W238" s="146"/>
      <c r="X238" s="146"/>
      <c r="Y238" s="146"/>
      <c r="Z238" s="146"/>
      <c r="AA238" s="146"/>
      <c r="AB238" s="146"/>
      <c r="AC238" s="157"/>
      <c r="AD238" s="157"/>
      <c r="AE238" s="157"/>
      <c r="AF238" s="158">
        <f>SUM(AG238:AJ238)</f>
      </c>
      <c r="AG238" s="146"/>
      <c r="AH238" s="145"/>
      <c r="AI238" s="145"/>
      <c r="AJ238" s="145"/>
      <c r="AK238" s="158">
        <f>SUM(AL238:AW238)</f>
      </c>
      <c r="AL238" s="146"/>
      <c r="AM238" s="145"/>
      <c r="AN238" s="145"/>
      <c r="AO238" s="145"/>
      <c r="AP238" s="145"/>
      <c r="AQ238" s="145"/>
      <c r="AR238" s="145"/>
      <c r="AS238" s="145"/>
      <c r="AT238" s="145"/>
      <c r="AU238" s="145"/>
      <c r="AV238" s="145"/>
      <c r="AW238" s="158"/>
      <c r="AX238" s="145"/>
      <c r="AY238" s="145"/>
      <c r="AZ238" s="145"/>
      <c r="BA238" s="158"/>
      <c r="BB238" s="145"/>
      <c r="BC238" s="145"/>
      <c r="BD238" s="158"/>
      <c r="BE238" s="146"/>
      <c r="BF238" s="145"/>
      <c r="BG238" s="145"/>
      <c r="BH238" s="158">
        <f>SUM(BI238:BK238)</f>
      </c>
      <c r="BI238" s="145"/>
      <c r="BJ238" s="145"/>
      <c r="BK238" s="145"/>
      <c r="BL238" s="145">
        <f>SUM(BM238:BR238)</f>
      </c>
      <c r="BM238" s="145"/>
      <c r="BN238" s="145"/>
      <c r="BO238" s="158"/>
      <c r="BP238" s="145"/>
      <c r="BQ238" s="145"/>
      <c r="BR238" s="145"/>
      <c r="BS238" s="145"/>
      <c r="BT238" s="145"/>
      <c r="BU238" s="158"/>
      <c r="BV238" s="146"/>
      <c r="BW238" s="145"/>
      <c r="BX238" s="145"/>
      <c r="BY238" s="158">
        <f>SUM(BZ238:CB238)</f>
      </c>
      <c r="BZ238" s="146"/>
      <c r="CA238" s="145"/>
      <c r="CB238" s="145"/>
      <c r="CC238" s="145">
        <f>SUM(CD238:CH238)</f>
      </c>
      <c r="CD238" s="145"/>
      <c r="CE238" s="158"/>
      <c r="CF238" s="145"/>
      <c r="CG238" s="145"/>
      <c r="CH238" s="145"/>
      <c r="CI238" s="158"/>
      <c r="CJ238" s="145"/>
      <c r="CK238" s="145"/>
      <c r="CL238" s="145"/>
      <c r="CM238" s="145"/>
      <c r="CN238" s="145"/>
      <c r="CO238" s="145"/>
      <c r="CP238" s="145"/>
      <c r="CQ238" s="158"/>
      <c r="CR238" s="146"/>
      <c r="CS238" s="158"/>
      <c r="CT238" s="158"/>
      <c r="CU238" s="158">
        <f>SUM(CV238:CV238)</f>
      </c>
      <c r="CV238" s="146"/>
      <c r="CW238" s="145"/>
      <c r="CX238" s="145"/>
      <c r="CY238" s="145">
        <f>SUM(CZ238:DE238)</f>
      </c>
      <c r="CZ238" s="145"/>
      <c r="DA238" s="146"/>
      <c r="DB238" s="146"/>
      <c r="DC238" s="153"/>
      <c r="DD238" s="153"/>
      <c r="DE238" s="145"/>
      <c r="DF238" s="145"/>
      <c r="DG238" s="145"/>
      <c r="DH238" s="158"/>
      <c r="DI238" s="145"/>
      <c r="DJ238" s="158"/>
      <c r="DK238" s="145"/>
      <c r="DL238" s="158"/>
      <c r="DM238" s="145"/>
      <c r="DN238" s="145"/>
      <c r="DO238" s="145"/>
      <c r="DP238" s="158"/>
      <c r="DQ238" s="145"/>
      <c r="DR238" s="145"/>
      <c r="DS238" s="145"/>
      <c r="DT238" s="145"/>
      <c r="DU238" s="145">
        <f>SUM(DV238:EE238)</f>
      </c>
      <c r="DV238" s="145"/>
      <c r="DW238" s="145"/>
      <c r="DX238" s="145"/>
      <c r="DY238" s="145"/>
      <c r="DZ238" s="146"/>
      <c r="EA238" s="158"/>
      <c r="EB238" s="146"/>
      <c r="EC238" s="145"/>
      <c r="ED238" s="145"/>
      <c r="EE238" s="155"/>
      <c r="EF238" s="145">
        <f>SUM(EG238:EH238)</f>
      </c>
      <c r="EG238" s="145"/>
      <c r="EH238" s="146"/>
      <c r="EI238" s="159" cm="1">
        <f t="array" ref="EI238">ROW()-ROW(Run[#Headers])</f>
        <v>232</v>
      </c>
    </row>
    <row r="239" spans="2:139" s="79" customFormat="1" ht="11.25" x14ac:dyDescent="0.2">
      <c r="B239" s="146"/>
      <c r="C239" s="155"/>
      <c r="D239" s="145"/>
      <c r="E239" s="152">
        <f>SUM(F239:AE239)</f>
      </c>
      <c r="F239" s="146"/>
      <c r="G239" s="146"/>
      <c r="H239" s="146"/>
      <c r="I239" s="146"/>
      <c r="J239" s="146"/>
      <c r="K239" s="156"/>
      <c r="L239" s="146"/>
      <c r="M239" s="146"/>
      <c r="N239" s="146"/>
      <c r="O239" s="146"/>
      <c r="P239" s="156"/>
      <c r="Q239" s="146"/>
      <c r="R239" s="146"/>
      <c r="S239" s="146"/>
      <c r="T239" s="156"/>
      <c r="U239" s="146"/>
      <c r="V239" s="146"/>
      <c r="W239" s="146"/>
      <c r="X239" s="146"/>
      <c r="Y239" s="146"/>
      <c r="Z239" s="146"/>
      <c r="AA239" s="146"/>
      <c r="AB239" s="146"/>
      <c r="AC239" s="157"/>
      <c r="AD239" s="157"/>
      <c r="AE239" s="157"/>
      <c r="AF239" s="158">
        <f>SUM(AG239:AJ239)</f>
      </c>
      <c r="AG239" s="146"/>
      <c r="AH239" s="145"/>
      <c r="AI239" s="145"/>
      <c r="AJ239" s="145"/>
      <c r="AK239" s="158">
        <f>SUM(AL239:AW239)</f>
      </c>
      <c r="AL239" s="146"/>
      <c r="AM239" s="145"/>
      <c r="AN239" s="145"/>
      <c r="AO239" s="145"/>
      <c r="AP239" s="145"/>
      <c r="AQ239" s="145"/>
      <c r="AR239" s="145"/>
      <c r="AS239" s="145"/>
      <c r="AT239" s="145"/>
      <c r="AU239" s="145"/>
      <c r="AV239" s="145"/>
      <c r="AW239" s="158"/>
      <c r="AX239" s="145"/>
      <c r="AY239" s="145"/>
      <c r="AZ239" s="145"/>
      <c r="BA239" s="158"/>
      <c r="BB239" s="145"/>
      <c r="BC239" s="145"/>
      <c r="BD239" s="158"/>
      <c r="BE239" s="146"/>
      <c r="BF239" s="145"/>
      <c r="BG239" s="145"/>
      <c r="BH239" s="158">
        <f>SUM(BI239:BK239)</f>
      </c>
      <c r="BI239" s="145"/>
      <c r="BJ239" s="145"/>
      <c r="BK239" s="145"/>
      <c r="BL239" s="145">
        <f>SUM(BM239:BR239)</f>
      </c>
      <c r="BM239" s="145"/>
      <c r="BN239" s="145"/>
      <c r="BO239" s="158"/>
      <c r="BP239" s="145"/>
      <c r="BQ239" s="145"/>
      <c r="BR239" s="145"/>
      <c r="BS239" s="145"/>
      <c r="BT239" s="145"/>
      <c r="BU239" s="158"/>
      <c r="BV239" s="146"/>
      <c r="BW239" s="145"/>
      <c r="BX239" s="145"/>
      <c r="BY239" s="158">
        <f>SUM(BZ239:CB239)</f>
      </c>
      <c r="BZ239" s="146"/>
      <c r="CA239" s="145"/>
      <c r="CB239" s="145"/>
      <c r="CC239" s="145">
        <f>SUM(CD239:CH239)</f>
      </c>
      <c r="CD239" s="145"/>
      <c r="CE239" s="158"/>
      <c r="CF239" s="145"/>
      <c r="CG239" s="145"/>
      <c r="CH239" s="145"/>
      <c r="CI239" s="158"/>
      <c r="CJ239" s="145"/>
      <c r="CK239" s="145"/>
      <c r="CL239" s="145"/>
      <c r="CM239" s="145"/>
      <c r="CN239" s="145"/>
      <c r="CO239" s="145"/>
      <c r="CP239" s="145"/>
      <c r="CQ239" s="158"/>
      <c r="CR239" s="146"/>
      <c r="CS239" s="158"/>
      <c r="CT239" s="158"/>
      <c r="CU239" s="158">
        <f>SUM(CV239:CV239)</f>
      </c>
      <c r="CV239" s="146"/>
      <c r="CW239" s="145"/>
      <c r="CX239" s="145"/>
      <c r="CY239" s="145">
        <f>SUM(CZ239:DE239)</f>
      </c>
      <c r="CZ239" s="145"/>
      <c r="DA239" s="146"/>
      <c r="DB239" s="146"/>
      <c r="DC239" s="153"/>
      <c r="DD239" s="153"/>
      <c r="DE239" s="145"/>
      <c r="DF239" s="145"/>
      <c r="DG239" s="145"/>
      <c r="DH239" s="158"/>
      <c r="DI239" s="145"/>
      <c r="DJ239" s="158"/>
      <c r="DK239" s="145"/>
      <c r="DL239" s="158"/>
      <c r="DM239" s="145"/>
      <c r="DN239" s="145"/>
      <c r="DO239" s="145"/>
      <c r="DP239" s="158"/>
      <c r="DQ239" s="145"/>
      <c r="DR239" s="145"/>
      <c r="DS239" s="145"/>
      <c r="DT239" s="145"/>
      <c r="DU239" s="145">
        <f>SUM(DV239:EE239)</f>
      </c>
      <c r="DV239" s="145"/>
      <c r="DW239" s="145"/>
      <c r="DX239" s="145"/>
      <c r="DY239" s="145"/>
      <c r="DZ239" s="146"/>
      <c r="EA239" s="158"/>
      <c r="EB239" s="146"/>
      <c r="EC239" s="145"/>
      <c r="ED239" s="145"/>
      <c r="EE239" s="155"/>
      <c r="EF239" s="145">
        <f>SUM(EG239:EH239)</f>
      </c>
      <c r="EG239" s="145"/>
      <c r="EH239" s="146"/>
      <c r="EI239" s="159" cm="1">
        <f t="array" ref="EI239">ROW()-ROW(Run[#Headers])</f>
        <v>233</v>
      </c>
    </row>
    <row r="240" spans="2:139" s="79" customFormat="1" ht="11.25" x14ac:dyDescent="0.2">
      <c r="B240" s="146"/>
      <c r="C240" s="155"/>
      <c r="D240" s="145"/>
      <c r="E240" s="152">
        <f>SUM(F240:AE240)</f>
      </c>
      <c r="F240" s="146"/>
      <c r="G240" s="146"/>
      <c r="H240" s="146"/>
      <c r="I240" s="146"/>
      <c r="J240" s="146"/>
      <c r="K240" s="156"/>
      <c r="L240" s="146"/>
      <c r="M240" s="146"/>
      <c r="N240" s="146"/>
      <c r="O240" s="146"/>
      <c r="P240" s="156"/>
      <c r="Q240" s="146"/>
      <c r="R240" s="146"/>
      <c r="S240" s="146"/>
      <c r="T240" s="156"/>
      <c r="U240" s="146"/>
      <c r="V240" s="146"/>
      <c r="W240" s="146"/>
      <c r="X240" s="146"/>
      <c r="Y240" s="146"/>
      <c r="Z240" s="146"/>
      <c r="AA240" s="146"/>
      <c r="AB240" s="146"/>
      <c r="AC240" s="157"/>
      <c r="AD240" s="157"/>
      <c r="AE240" s="157"/>
      <c r="AF240" s="158">
        <f>SUM(AG240:AJ240)</f>
      </c>
      <c r="AG240" s="146"/>
      <c r="AH240" s="145"/>
      <c r="AI240" s="145"/>
      <c r="AJ240" s="145"/>
      <c r="AK240" s="158">
        <f>SUM(AL240:AW240)</f>
      </c>
      <c r="AL240" s="146"/>
      <c r="AM240" s="145"/>
      <c r="AN240" s="145"/>
      <c r="AO240" s="145"/>
      <c r="AP240" s="145"/>
      <c r="AQ240" s="145"/>
      <c r="AR240" s="145"/>
      <c r="AS240" s="145"/>
      <c r="AT240" s="145"/>
      <c r="AU240" s="145"/>
      <c r="AV240" s="145"/>
      <c r="AW240" s="158"/>
      <c r="AX240" s="145"/>
      <c r="AY240" s="145"/>
      <c r="AZ240" s="145"/>
      <c r="BA240" s="158"/>
      <c r="BB240" s="145"/>
      <c r="BC240" s="145"/>
      <c r="BD240" s="158"/>
      <c r="BE240" s="146"/>
      <c r="BF240" s="145"/>
      <c r="BG240" s="145"/>
      <c r="BH240" s="158">
        <f>SUM(BI240:BK240)</f>
      </c>
      <c r="BI240" s="145"/>
      <c r="BJ240" s="145"/>
      <c r="BK240" s="145"/>
      <c r="BL240" s="145">
        <f>SUM(BM240:BR240)</f>
      </c>
      <c r="BM240" s="145"/>
      <c r="BN240" s="145"/>
      <c r="BO240" s="158"/>
      <c r="BP240" s="145"/>
      <c r="BQ240" s="145"/>
      <c r="BR240" s="145"/>
      <c r="BS240" s="145"/>
      <c r="BT240" s="145"/>
      <c r="BU240" s="158"/>
      <c r="BV240" s="146"/>
      <c r="BW240" s="145"/>
      <c r="BX240" s="145"/>
      <c r="BY240" s="158">
        <f>SUM(BZ240:CB240)</f>
      </c>
      <c r="BZ240" s="146"/>
      <c r="CA240" s="145"/>
      <c r="CB240" s="145"/>
      <c r="CC240" s="145">
        <f>SUM(CD240:CH240)</f>
      </c>
      <c r="CD240" s="145"/>
      <c r="CE240" s="158"/>
      <c r="CF240" s="145"/>
      <c r="CG240" s="145"/>
      <c r="CH240" s="145"/>
      <c r="CI240" s="158"/>
      <c r="CJ240" s="145"/>
      <c r="CK240" s="145"/>
      <c r="CL240" s="145"/>
      <c r="CM240" s="145"/>
      <c r="CN240" s="145"/>
      <c r="CO240" s="145"/>
      <c r="CP240" s="145"/>
      <c r="CQ240" s="158"/>
      <c r="CR240" s="146"/>
      <c r="CS240" s="158"/>
      <c r="CT240" s="158"/>
      <c r="CU240" s="158">
        <f>SUM(CV240:CV240)</f>
      </c>
      <c r="CV240" s="146"/>
      <c r="CW240" s="145"/>
      <c r="CX240" s="145"/>
      <c r="CY240" s="145">
        <f>SUM(CZ240:DE240)</f>
      </c>
      <c r="CZ240" s="145"/>
      <c r="DA240" s="146"/>
      <c r="DB240" s="146"/>
      <c r="DC240" s="153"/>
      <c r="DD240" s="153"/>
      <c r="DE240" s="145"/>
      <c r="DF240" s="145"/>
      <c r="DG240" s="145"/>
      <c r="DH240" s="158"/>
      <c r="DI240" s="145"/>
      <c r="DJ240" s="158"/>
      <c r="DK240" s="145"/>
      <c r="DL240" s="158"/>
      <c r="DM240" s="145"/>
      <c r="DN240" s="145"/>
      <c r="DO240" s="145"/>
      <c r="DP240" s="158"/>
      <c r="DQ240" s="145"/>
      <c r="DR240" s="145"/>
      <c r="DS240" s="145"/>
      <c r="DT240" s="145"/>
      <c r="DU240" s="145">
        <f>SUM(DV240:EE240)</f>
      </c>
      <c r="DV240" s="145"/>
      <c r="DW240" s="145"/>
      <c r="DX240" s="145"/>
      <c r="DY240" s="145"/>
      <c r="DZ240" s="146"/>
      <c r="EA240" s="158"/>
      <c r="EB240" s="146"/>
      <c r="EC240" s="145"/>
      <c r="ED240" s="145"/>
      <c r="EE240" s="155"/>
      <c r="EF240" s="145">
        <f>SUM(EG240:EH240)</f>
      </c>
      <c r="EG240" s="145"/>
      <c r="EH240" s="146"/>
      <c r="EI240" s="159" cm="1">
        <f t="array" ref="EI240">ROW()-ROW(Run[#Headers])</f>
        <v>234</v>
      </c>
    </row>
    <row r="241" spans="2:139" s="79" customFormat="1" ht="11.25" x14ac:dyDescent="0.2">
      <c r="B241" s="146"/>
      <c r="C241" s="155"/>
      <c r="D241" s="145"/>
      <c r="E241" s="152">
        <f>SUM(F241:AE241)</f>
      </c>
      <c r="F241" s="146"/>
      <c r="G241" s="146"/>
      <c r="H241" s="146"/>
      <c r="I241" s="146"/>
      <c r="J241" s="146"/>
      <c r="K241" s="156"/>
      <c r="L241" s="146"/>
      <c r="M241" s="146"/>
      <c r="N241" s="146"/>
      <c r="O241" s="146"/>
      <c r="P241" s="156"/>
      <c r="Q241" s="146"/>
      <c r="R241" s="146"/>
      <c r="S241" s="146"/>
      <c r="T241" s="156"/>
      <c r="U241" s="146"/>
      <c r="V241" s="146"/>
      <c r="W241" s="146"/>
      <c r="X241" s="146"/>
      <c r="Y241" s="146"/>
      <c r="Z241" s="146"/>
      <c r="AA241" s="146"/>
      <c r="AB241" s="146"/>
      <c r="AC241" s="157"/>
      <c r="AD241" s="157"/>
      <c r="AE241" s="157"/>
      <c r="AF241" s="158">
        <f>SUM(AG241:AJ241)</f>
      </c>
      <c r="AG241" s="146"/>
      <c r="AH241" s="145"/>
      <c r="AI241" s="145"/>
      <c r="AJ241" s="145"/>
      <c r="AK241" s="158">
        <f>SUM(AL241:AW241)</f>
      </c>
      <c r="AL241" s="146"/>
      <c r="AM241" s="145"/>
      <c r="AN241" s="145"/>
      <c r="AO241" s="145"/>
      <c r="AP241" s="145"/>
      <c r="AQ241" s="145"/>
      <c r="AR241" s="145"/>
      <c r="AS241" s="145"/>
      <c r="AT241" s="145"/>
      <c r="AU241" s="145"/>
      <c r="AV241" s="145"/>
      <c r="AW241" s="158"/>
      <c r="AX241" s="145"/>
      <c r="AY241" s="145"/>
      <c r="AZ241" s="145"/>
      <c r="BA241" s="158"/>
      <c r="BB241" s="145"/>
      <c r="BC241" s="145"/>
      <c r="BD241" s="158"/>
      <c r="BE241" s="146"/>
      <c r="BF241" s="145"/>
      <c r="BG241" s="145"/>
      <c r="BH241" s="158">
        <f>SUM(BI241:BK241)</f>
      </c>
      <c r="BI241" s="145"/>
      <c r="BJ241" s="145"/>
      <c r="BK241" s="145"/>
      <c r="BL241" s="145">
        <f>SUM(BM241:BR241)</f>
      </c>
      <c r="BM241" s="145"/>
      <c r="BN241" s="145"/>
      <c r="BO241" s="158"/>
      <c r="BP241" s="145"/>
      <c r="BQ241" s="145"/>
      <c r="BR241" s="145"/>
      <c r="BS241" s="145"/>
      <c r="BT241" s="145"/>
      <c r="BU241" s="158"/>
      <c r="BV241" s="146"/>
      <c r="BW241" s="145"/>
      <c r="BX241" s="145"/>
      <c r="BY241" s="158">
        <f>SUM(BZ241:CB241)</f>
      </c>
      <c r="BZ241" s="146"/>
      <c r="CA241" s="145"/>
      <c r="CB241" s="145"/>
      <c r="CC241" s="145">
        <f>SUM(CD241:CH241)</f>
      </c>
      <c r="CD241" s="145"/>
      <c r="CE241" s="158"/>
      <c r="CF241" s="145"/>
      <c r="CG241" s="145"/>
      <c r="CH241" s="145"/>
      <c r="CI241" s="158"/>
      <c r="CJ241" s="145"/>
      <c r="CK241" s="145"/>
      <c r="CL241" s="145"/>
      <c r="CM241" s="145"/>
      <c r="CN241" s="145"/>
      <c r="CO241" s="145"/>
      <c r="CP241" s="145"/>
      <c r="CQ241" s="158"/>
      <c r="CR241" s="146"/>
      <c r="CS241" s="158"/>
      <c r="CT241" s="158"/>
      <c r="CU241" s="158">
        <f>SUM(CV241:CV241)</f>
      </c>
      <c r="CV241" s="146"/>
      <c r="CW241" s="145"/>
      <c r="CX241" s="145"/>
      <c r="CY241" s="145">
        <f>SUM(CZ241:DE241)</f>
      </c>
      <c r="CZ241" s="145"/>
      <c r="DA241" s="146"/>
      <c r="DB241" s="146"/>
      <c r="DC241" s="153"/>
      <c r="DD241" s="153"/>
      <c r="DE241" s="145"/>
      <c r="DF241" s="145"/>
      <c r="DG241" s="145"/>
      <c r="DH241" s="158"/>
      <c r="DI241" s="145"/>
      <c r="DJ241" s="158"/>
      <c r="DK241" s="145"/>
      <c r="DL241" s="158"/>
      <c r="DM241" s="145"/>
      <c r="DN241" s="145"/>
      <c r="DO241" s="145"/>
      <c r="DP241" s="158"/>
      <c r="DQ241" s="145"/>
      <c r="DR241" s="145"/>
      <c r="DS241" s="145"/>
      <c r="DT241" s="145"/>
      <c r="DU241" s="145">
        <f>SUM(DV241:EE241)</f>
      </c>
      <c r="DV241" s="145"/>
      <c r="DW241" s="145"/>
      <c r="DX241" s="145"/>
      <c r="DY241" s="145"/>
      <c r="DZ241" s="146"/>
      <c r="EA241" s="158"/>
      <c r="EB241" s="146"/>
      <c r="EC241" s="145"/>
      <c r="ED241" s="145"/>
      <c r="EE241" s="155"/>
      <c r="EF241" s="145">
        <f>SUM(EG241:EH241)</f>
      </c>
      <c r="EG241" s="145"/>
      <c r="EH241" s="146"/>
      <c r="EI241" s="159" cm="1">
        <f t="array" ref="EI241">ROW()-ROW(Run[#Headers])</f>
        <v>235</v>
      </c>
    </row>
    <row r="242" spans="2:139" s="79" customFormat="1" ht="11.25" x14ac:dyDescent="0.2">
      <c r="B242" s="146"/>
      <c r="C242" s="155"/>
      <c r="D242" s="145"/>
      <c r="E242" s="152">
        <f>SUM(F242:AE242)</f>
      </c>
      <c r="F242" s="146"/>
      <c r="G242" s="146"/>
      <c r="H242" s="146"/>
      <c r="I242" s="146"/>
      <c r="J242" s="146"/>
      <c r="K242" s="156"/>
      <c r="L242" s="146"/>
      <c r="M242" s="146"/>
      <c r="N242" s="146"/>
      <c r="O242" s="146"/>
      <c r="P242" s="156"/>
      <c r="Q242" s="146"/>
      <c r="R242" s="146"/>
      <c r="S242" s="146"/>
      <c r="T242" s="156"/>
      <c r="U242" s="146"/>
      <c r="V242" s="146"/>
      <c r="W242" s="146"/>
      <c r="X242" s="146"/>
      <c r="Y242" s="146"/>
      <c r="Z242" s="146"/>
      <c r="AA242" s="146"/>
      <c r="AB242" s="146"/>
      <c r="AC242" s="157"/>
      <c r="AD242" s="157"/>
      <c r="AE242" s="157"/>
      <c r="AF242" s="158">
        <f>SUM(AG242:AJ242)</f>
      </c>
      <c r="AG242" s="146"/>
      <c r="AH242" s="145"/>
      <c r="AI242" s="145"/>
      <c r="AJ242" s="145"/>
      <c r="AK242" s="158">
        <f>SUM(AL242:AW242)</f>
      </c>
      <c r="AL242" s="146"/>
      <c r="AM242" s="145"/>
      <c r="AN242" s="145"/>
      <c r="AO242" s="145"/>
      <c r="AP242" s="145"/>
      <c r="AQ242" s="145"/>
      <c r="AR242" s="145"/>
      <c r="AS242" s="145"/>
      <c r="AT242" s="145"/>
      <c r="AU242" s="145"/>
      <c r="AV242" s="145"/>
      <c r="AW242" s="158"/>
      <c r="AX242" s="145"/>
      <c r="AY242" s="145"/>
      <c r="AZ242" s="145"/>
      <c r="BA242" s="158"/>
      <c r="BB242" s="145"/>
      <c r="BC242" s="145"/>
      <c r="BD242" s="158"/>
      <c r="BE242" s="146"/>
      <c r="BF242" s="145"/>
      <c r="BG242" s="145"/>
      <c r="BH242" s="158">
        <f>SUM(BI242:BK242)</f>
      </c>
      <c r="BI242" s="145"/>
      <c r="BJ242" s="145"/>
      <c r="BK242" s="145"/>
      <c r="BL242" s="145">
        <f>SUM(BM242:BR242)</f>
      </c>
      <c r="BM242" s="145"/>
      <c r="BN242" s="145"/>
      <c r="BO242" s="158"/>
      <c r="BP242" s="145"/>
      <c r="BQ242" s="145"/>
      <c r="BR242" s="145"/>
      <c r="BS242" s="145"/>
      <c r="BT242" s="145"/>
      <c r="BU242" s="158"/>
      <c r="BV242" s="146"/>
      <c r="BW242" s="145"/>
      <c r="BX242" s="145"/>
      <c r="BY242" s="158">
        <f>SUM(BZ242:CB242)</f>
      </c>
      <c r="BZ242" s="146"/>
      <c r="CA242" s="145"/>
      <c r="CB242" s="145"/>
      <c r="CC242" s="145">
        <f>SUM(CD242:CH242)</f>
      </c>
      <c r="CD242" s="145"/>
      <c r="CE242" s="158"/>
      <c r="CF242" s="145"/>
      <c r="CG242" s="145"/>
      <c r="CH242" s="145"/>
      <c r="CI242" s="158"/>
      <c r="CJ242" s="145"/>
      <c r="CK242" s="145"/>
      <c r="CL242" s="145"/>
      <c r="CM242" s="145"/>
      <c r="CN242" s="145"/>
      <c r="CO242" s="145"/>
      <c r="CP242" s="145"/>
      <c r="CQ242" s="158"/>
      <c r="CR242" s="146"/>
      <c r="CS242" s="158"/>
      <c r="CT242" s="158"/>
      <c r="CU242" s="158">
        <f>SUM(CV242:CV242)</f>
      </c>
      <c r="CV242" s="146"/>
      <c r="CW242" s="145"/>
      <c r="CX242" s="145"/>
      <c r="CY242" s="145">
        <f>SUM(CZ242:DE242)</f>
      </c>
      <c r="CZ242" s="145"/>
      <c r="DA242" s="146"/>
      <c r="DB242" s="146"/>
      <c r="DC242" s="153"/>
      <c r="DD242" s="153"/>
      <c r="DE242" s="145"/>
      <c r="DF242" s="145"/>
      <c r="DG242" s="145"/>
      <c r="DH242" s="158"/>
      <c r="DI242" s="145"/>
      <c r="DJ242" s="158"/>
      <c r="DK242" s="145"/>
      <c r="DL242" s="158"/>
      <c r="DM242" s="145"/>
      <c r="DN242" s="145"/>
      <c r="DO242" s="145"/>
      <c r="DP242" s="158"/>
      <c r="DQ242" s="145"/>
      <c r="DR242" s="145"/>
      <c r="DS242" s="145"/>
      <c r="DT242" s="145"/>
      <c r="DU242" s="145">
        <f>SUM(DV242:EE242)</f>
      </c>
      <c r="DV242" s="145"/>
      <c r="DW242" s="145"/>
      <c r="DX242" s="145"/>
      <c r="DY242" s="145"/>
      <c r="DZ242" s="146"/>
      <c r="EA242" s="158"/>
      <c r="EB242" s="146"/>
      <c r="EC242" s="145"/>
      <c r="ED242" s="145"/>
      <c r="EE242" s="155"/>
      <c r="EF242" s="145">
        <f>SUM(EG242:EH242)</f>
      </c>
      <c r="EG242" s="145"/>
      <c r="EH242" s="146"/>
      <c r="EI242" s="159" cm="1">
        <f t="array" ref="EI242">ROW()-ROW(Run[#Headers])</f>
        <v>236</v>
      </c>
    </row>
    <row r="243" spans="2:139" s="79" customFormat="1" ht="11.25" x14ac:dyDescent="0.2">
      <c r="B243" s="146"/>
      <c r="C243" s="155"/>
      <c r="D243" s="145"/>
      <c r="E243" s="152">
        <f>SUM(F243:AE243)</f>
      </c>
      <c r="F243" s="146"/>
      <c r="G243" s="146"/>
      <c r="H243" s="146"/>
      <c r="I243" s="146"/>
      <c r="J243" s="146"/>
      <c r="K243" s="156"/>
      <c r="L243" s="146"/>
      <c r="M243" s="146"/>
      <c r="N243" s="146"/>
      <c r="O243" s="146"/>
      <c r="P243" s="156"/>
      <c r="Q243" s="146"/>
      <c r="R243" s="146"/>
      <c r="S243" s="146"/>
      <c r="T243" s="156"/>
      <c r="U243" s="146"/>
      <c r="V243" s="146"/>
      <c r="W243" s="146"/>
      <c r="X243" s="146"/>
      <c r="Y243" s="146"/>
      <c r="Z243" s="146"/>
      <c r="AA243" s="146"/>
      <c r="AB243" s="146"/>
      <c r="AC243" s="157"/>
      <c r="AD243" s="157"/>
      <c r="AE243" s="157"/>
      <c r="AF243" s="158">
        <f>SUM(AG243:AJ243)</f>
      </c>
      <c r="AG243" s="146"/>
      <c r="AH243" s="145"/>
      <c r="AI243" s="145"/>
      <c r="AJ243" s="145"/>
      <c r="AK243" s="158">
        <f>SUM(AL243:AW243)</f>
      </c>
      <c r="AL243" s="146"/>
      <c r="AM243" s="145"/>
      <c r="AN243" s="145"/>
      <c r="AO243" s="145"/>
      <c r="AP243" s="145"/>
      <c r="AQ243" s="145"/>
      <c r="AR243" s="145"/>
      <c r="AS243" s="145"/>
      <c r="AT243" s="145"/>
      <c r="AU243" s="145"/>
      <c r="AV243" s="145"/>
      <c r="AW243" s="158"/>
      <c r="AX243" s="145"/>
      <c r="AY243" s="145"/>
      <c r="AZ243" s="145"/>
      <c r="BA243" s="158"/>
      <c r="BB243" s="145"/>
      <c r="BC243" s="145"/>
      <c r="BD243" s="158"/>
      <c r="BE243" s="146"/>
      <c r="BF243" s="145"/>
      <c r="BG243" s="145"/>
      <c r="BH243" s="158">
        <f>SUM(BI243:BK243)</f>
      </c>
      <c r="BI243" s="145"/>
      <c r="BJ243" s="145"/>
      <c r="BK243" s="145"/>
      <c r="BL243" s="145">
        <f>SUM(BM243:BR243)</f>
      </c>
      <c r="BM243" s="145"/>
      <c r="BN243" s="145"/>
      <c r="BO243" s="158"/>
      <c r="BP243" s="145"/>
      <c r="BQ243" s="145"/>
      <c r="BR243" s="145"/>
      <c r="BS243" s="145"/>
      <c r="BT243" s="145"/>
      <c r="BU243" s="158"/>
      <c r="BV243" s="146"/>
      <c r="BW243" s="145"/>
      <c r="BX243" s="145"/>
      <c r="BY243" s="158">
        <f>SUM(BZ243:CB243)</f>
      </c>
      <c r="BZ243" s="146"/>
      <c r="CA243" s="145"/>
      <c r="CB243" s="145"/>
      <c r="CC243" s="145">
        <f>SUM(CD243:CH243)</f>
      </c>
      <c r="CD243" s="145"/>
      <c r="CE243" s="158"/>
      <c r="CF243" s="145"/>
      <c r="CG243" s="145"/>
      <c r="CH243" s="145"/>
      <c r="CI243" s="158"/>
      <c r="CJ243" s="145"/>
      <c r="CK243" s="145"/>
      <c r="CL243" s="145"/>
      <c r="CM243" s="145"/>
      <c r="CN243" s="145"/>
      <c r="CO243" s="145"/>
      <c r="CP243" s="145"/>
      <c r="CQ243" s="158"/>
      <c r="CR243" s="146"/>
      <c r="CS243" s="158"/>
      <c r="CT243" s="158"/>
      <c r="CU243" s="158">
        <f>SUM(CV243:CV243)</f>
      </c>
      <c r="CV243" s="146"/>
      <c r="CW243" s="145"/>
      <c r="CX243" s="145"/>
      <c r="CY243" s="145">
        <f>SUM(CZ243:DE243)</f>
      </c>
      <c r="CZ243" s="145"/>
      <c r="DA243" s="146"/>
      <c r="DB243" s="146"/>
      <c r="DC243" s="153"/>
      <c r="DD243" s="153"/>
      <c r="DE243" s="145"/>
      <c r="DF243" s="145"/>
      <c r="DG243" s="145"/>
      <c r="DH243" s="158"/>
      <c r="DI243" s="145"/>
      <c r="DJ243" s="158"/>
      <c r="DK243" s="145"/>
      <c r="DL243" s="158"/>
      <c r="DM243" s="145"/>
      <c r="DN243" s="145"/>
      <c r="DO243" s="145"/>
      <c r="DP243" s="158"/>
      <c r="DQ243" s="145"/>
      <c r="DR243" s="145"/>
      <c r="DS243" s="145"/>
      <c r="DT243" s="145"/>
      <c r="DU243" s="145">
        <f>SUM(DV243:EE243)</f>
      </c>
      <c r="DV243" s="145"/>
      <c r="DW243" s="145"/>
      <c r="DX243" s="145"/>
      <c r="DY243" s="145"/>
      <c r="DZ243" s="146"/>
      <c r="EA243" s="158"/>
      <c r="EB243" s="146"/>
      <c r="EC243" s="145"/>
      <c r="ED243" s="145"/>
      <c r="EE243" s="155"/>
      <c r="EF243" s="145">
        <f>SUM(EG243:EH243)</f>
      </c>
      <c r="EG243" s="145"/>
      <c r="EH243" s="146"/>
      <c r="EI243" s="159" cm="1">
        <f t="array" ref="EI243">ROW()-ROW(Run[#Headers])</f>
        <v>237</v>
      </c>
    </row>
    <row r="244" spans="2:139" s="79" customFormat="1" ht="11.25" x14ac:dyDescent="0.2">
      <c r="B244" s="146"/>
      <c r="C244" s="155"/>
      <c r="D244" s="145"/>
      <c r="E244" s="152">
        <f>SUM(F244:AE244)</f>
      </c>
      <c r="F244" s="146"/>
      <c r="G244" s="146"/>
      <c r="H244" s="146"/>
      <c r="I244" s="146"/>
      <c r="J244" s="146"/>
      <c r="K244" s="156"/>
      <c r="L244" s="146"/>
      <c r="M244" s="146"/>
      <c r="N244" s="146"/>
      <c r="O244" s="146"/>
      <c r="P244" s="156"/>
      <c r="Q244" s="146"/>
      <c r="R244" s="146"/>
      <c r="S244" s="146"/>
      <c r="T244" s="156"/>
      <c r="U244" s="146"/>
      <c r="V244" s="146"/>
      <c r="W244" s="146"/>
      <c r="X244" s="146"/>
      <c r="Y244" s="146"/>
      <c r="Z244" s="146"/>
      <c r="AA244" s="146"/>
      <c r="AB244" s="146"/>
      <c r="AC244" s="157"/>
      <c r="AD244" s="157"/>
      <c r="AE244" s="157"/>
      <c r="AF244" s="158">
        <f>SUM(AG244:AJ244)</f>
      </c>
      <c r="AG244" s="146"/>
      <c r="AH244" s="145"/>
      <c r="AI244" s="145"/>
      <c r="AJ244" s="145"/>
      <c r="AK244" s="158">
        <f>SUM(AL244:AW244)</f>
      </c>
      <c r="AL244" s="146"/>
      <c r="AM244" s="145"/>
      <c r="AN244" s="145"/>
      <c r="AO244" s="145"/>
      <c r="AP244" s="145"/>
      <c r="AQ244" s="145"/>
      <c r="AR244" s="145"/>
      <c r="AS244" s="145"/>
      <c r="AT244" s="145"/>
      <c r="AU244" s="145"/>
      <c r="AV244" s="145"/>
      <c r="AW244" s="158"/>
      <c r="AX244" s="145"/>
      <c r="AY244" s="145"/>
      <c r="AZ244" s="145"/>
      <c r="BA244" s="158"/>
      <c r="BB244" s="145"/>
      <c r="BC244" s="145"/>
      <c r="BD244" s="158"/>
      <c r="BE244" s="146"/>
      <c r="BF244" s="145"/>
      <c r="BG244" s="145"/>
      <c r="BH244" s="158">
        <f>SUM(BI244:BK244)</f>
      </c>
      <c r="BI244" s="145"/>
      <c r="BJ244" s="145"/>
      <c r="BK244" s="145"/>
      <c r="BL244" s="145">
        <f>SUM(BM244:BR244)</f>
      </c>
      <c r="BM244" s="145"/>
      <c r="BN244" s="145"/>
      <c r="BO244" s="158"/>
      <c r="BP244" s="145"/>
      <c r="BQ244" s="145"/>
      <c r="BR244" s="145"/>
      <c r="BS244" s="145"/>
      <c r="BT244" s="145"/>
      <c r="BU244" s="158"/>
      <c r="BV244" s="146"/>
      <c r="BW244" s="145"/>
      <c r="BX244" s="145"/>
      <c r="BY244" s="158">
        <f>SUM(BZ244:CB244)</f>
      </c>
      <c r="BZ244" s="146"/>
      <c r="CA244" s="145"/>
      <c r="CB244" s="145"/>
      <c r="CC244" s="145">
        <f>SUM(CD244:CH244)</f>
      </c>
      <c r="CD244" s="145"/>
      <c r="CE244" s="158"/>
      <c r="CF244" s="145"/>
      <c r="CG244" s="145"/>
      <c r="CH244" s="145"/>
      <c r="CI244" s="158"/>
      <c r="CJ244" s="145"/>
      <c r="CK244" s="145"/>
      <c r="CL244" s="145"/>
      <c r="CM244" s="145"/>
      <c r="CN244" s="145"/>
      <c r="CO244" s="145"/>
      <c r="CP244" s="145"/>
      <c r="CQ244" s="158"/>
      <c r="CR244" s="146"/>
      <c r="CS244" s="158"/>
      <c r="CT244" s="158"/>
      <c r="CU244" s="158">
        <f>SUM(CV244:CV244)</f>
      </c>
      <c r="CV244" s="146"/>
      <c r="CW244" s="145"/>
      <c r="CX244" s="145"/>
      <c r="CY244" s="145">
        <f>SUM(CZ244:DE244)</f>
      </c>
      <c r="CZ244" s="145"/>
      <c r="DA244" s="146"/>
      <c r="DB244" s="146"/>
      <c r="DC244" s="153"/>
      <c r="DD244" s="153"/>
      <c r="DE244" s="145"/>
      <c r="DF244" s="145"/>
      <c r="DG244" s="145"/>
      <c r="DH244" s="158"/>
      <c r="DI244" s="145"/>
      <c r="DJ244" s="158"/>
      <c r="DK244" s="145"/>
      <c r="DL244" s="158"/>
      <c r="DM244" s="145"/>
      <c r="DN244" s="145"/>
      <c r="DO244" s="145"/>
      <c r="DP244" s="158"/>
      <c r="DQ244" s="145"/>
      <c r="DR244" s="145"/>
      <c r="DS244" s="145"/>
      <c r="DT244" s="145"/>
      <c r="DU244" s="145">
        <f>SUM(DV244:EE244)</f>
      </c>
      <c r="DV244" s="145"/>
      <c r="DW244" s="145"/>
      <c r="DX244" s="145"/>
      <c r="DY244" s="145"/>
      <c r="DZ244" s="146"/>
      <c r="EA244" s="158"/>
      <c r="EB244" s="146"/>
      <c r="EC244" s="145"/>
      <c r="ED244" s="145"/>
      <c r="EE244" s="155"/>
      <c r="EF244" s="145">
        <f>SUM(EG244:EH244)</f>
      </c>
      <c r="EG244" s="145"/>
      <c r="EH244" s="146"/>
      <c r="EI244" s="159" cm="1">
        <f t="array" ref="EI244">ROW()-ROW(Run[#Headers])</f>
        <v>238</v>
      </c>
    </row>
    <row r="245" spans="2:139" s="79" customFormat="1" ht="11.25" x14ac:dyDescent="0.2">
      <c r="B245" s="146"/>
      <c r="C245" s="155"/>
      <c r="D245" s="145"/>
      <c r="E245" s="152">
        <f>SUM(F245:AE245)</f>
      </c>
      <c r="F245" s="146"/>
      <c r="G245" s="146"/>
      <c r="H245" s="146"/>
      <c r="I245" s="146"/>
      <c r="J245" s="146"/>
      <c r="K245" s="156"/>
      <c r="L245" s="146"/>
      <c r="M245" s="146"/>
      <c r="N245" s="146"/>
      <c r="O245" s="146"/>
      <c r="P245" s="156"/>
      <c r="Q245" s="146"/>
      <c r="R245" s="146"/>
      <c r="S245" s="146"/>
      <c r="T245" s="156"/>
      <c r="U245" s="146"/>
      <c r="V245" s="146"/>
      <c r="W245" s="146"/>
      <c r="X245" s="146"/>
      <c r="Y245" s="146"/>
      <c r="Z245" s="146"/>
      <c r="AA245" s="146"/>
      <c r="AB245" s="146"/>
      <c r="AC245" s="157"/>
      <c r="AD245" s="157"/>
      <c r="AE245" s="157"/>
      <c r="AF245" s="158">
        <f>SUM(AG245:AJ245)</f>
      </c>
      <c r="AG245" s="146"/>
      <c r="AH245" s="145"/>
      <c r="AI245" s="145"/>
      <c r="AJ245" s="145"/>
      <c r="AK245" s="158">
        <f>SUM(AL245:AW245)</f>
      </c>
      <c r="AL245" s="146"/>
      <c r="AM245" s="145"/>
      <c r="AN245" s="145"/>
      <c r="AO245" s="145"/>
      <c r="AP245" s="145"/>
      <c r="AQ245" s="145"/>
      <c r="AR245" s="145"/>
      <c r="AS245" s="145"/>
      <c r="AT245" s="145"/>
      <c r="AU245" s="145"/>
      <c r="AV245" s="145"/>
      <c r="AW245" s="158"/>
      <c r="AX245" s="145"/>
      <c r="AY245" s="145"/>
      <c r="AZ245" s="145"/>
      <c r="BA245" s="158"/>
      <c r="BB245" s="145"/>
      <c r="BC245" s="145"/>
      <c r="BD245" s="158"/>
      <c r="BE245" s="146"/>
      <c r="BF245" s="145"/>
      <c r="BG245" s="145"/>
      <c r="BH245" s="158">
        <f>SUM(BI245:BK245)</f>
      </c>
      <c r="BI245" s="145"/>
      <c r="BJ245" s="145"/>
      <c r="BK245" s="145"/>
      <c r="BL245" s="145">
        <f>SUM(BM245:BR245)</f>
      </c>
      <c r="BM245" s="145"/>
      <c r="BN245" s="145"/>
      <c r="BO245" s="158"/>
      <c r="BP245" s="145"/>
      <c r="BQ245" s="145"/>
      <c r="BR245" s="145"/>
      <c r="BS245" s="145"/>
      <c r="BT245" s="145"/>
      <c r="BU245" s="158"/>
      <c r="BV245" s="146"/>
      <c r="BW245" s="145"/>
      <c r="BX245" s="145"/>
      <c r="BY245" s="158">
        <f>SUM(BZ245:CB245)</f>
      </c>
      <c r="BZ245" s="146"/>
      <c r="CA245" s="145"/>
      <c r="CB245" s="145"/>
      <c r="CC245" s="145">
        <f>SUM(CD245:CH245)</f>
      </c>
      <c r="CD245" s="145"/>
      <c r="CE245" s="158"/>
      <c r="CF245" s="145"/>
      <c r="CG245" s="145"/>
      <c r="CH245" s="145"/>
      <c r="CI245" s="158"/>
      <c r="CJ245" s="145"/>
      <c r="CK245" s="145"/>
      <c r="CL245" s="145"/>
      <c r="CM245" s="145"/>
      <c r="CN245" s="145"/>
      <c r="CO245" s="145"/>
      <c r="CP245" s="145"/>
      <c r="CQ245" s="158"/>
      <c r="CR245" s="146"/>
      <c r="CS245" s="158"/>
      <c r="CT245" s="158"/>
      <c r="CU245" s="158">
        <f>SUM(CV245:CV245)</f>
      </c>
      <c r="CV245" s="146"/>
      <c r="CW245" s="145"/>
      <c r="CX245" s="145"/>
      <c r="CY245" s="145">
        <f>SUM(CZ245:DE245)</f>
      </c>
      <c r="CZ245" s="145"/>
      <c r="DA245" s="146"/>
      <c r="DB245" s="146"/>
      <c r="DC245" s="153"/>
      <c r="DD245" s="153"/>
      <c r="DE245" s="145"/>
      <c r="DF245" s="145"/>
      <c r="DG245" s="145"/>
      <c r="DH245" s="158"/>
      <c r="DI245" s="145"/>
      <c r="DJ245" s="158"/>
      <c r="DK245" s="145"/>
      <c r="DL245" s="158"/>
      <c r="DM245" s="145"/>
      <c r="DN245" s="145"/>
      <c r="DO245" s="145"/>
      <c r="DP245" s="158"/>
      <c r="DQ245" s="145"/>
      <c r="DR245" s="145"/>
      <c r="DS245" s="145"/>
      <c r="DT245" s="145"/>
      <c r="DU245" s="145">
        <f>SUM(DV245:EE245)</f>
      </c>
      <c r="DV245" s="145"/>
      <c r="DW245" s="145"/>
      <c r="DX245" s="145"/>
      <c r="DY245" s="145"/>
      <c r="DZ245" s="146"/>
      <c r="EA245" s="158"/>
      <c r="EB245" s="146"/>
      <c r="EC245" s="145"/>
      <c r="ED245" s="145"/>
      <c r="EE245" s="155"/>
      <c r="EF245" s="145">
        <f>SUM(EG245:EH245)</f>
      </c>
      <c r="EG245" s="145"/>
      <c r="EH245" s="146"/>
      <c r="EI245" s="159" cm="1">
        <f t="array" ref="EI245">ROW()-ROW(Run[#Headers])</f>
        <v>239</v>
      </c>
    </row>
    <row r="246" spans="2:139" s="79" customFormat="1" ht="11.25" x14ac:dyDescent="0.2">
      <c r="B246" s="146"/>
      <c r="C246" s="155"/>
      <c r="D246" s="145"/>
      <c r="E246" s="152">
        <f>SUM(F246:AE246)</f>
      </c>
      <c r="F246" s="146"/>
      <c r="G246" s="146"/>
      <c r="H246" s="146"/>
      <c r="I246" s="146"/>
      <c r="J246" s="146"/>
      <c r="K246" s="156"/>
      <c r="L246" s="146"/>
      <c r="M246" s="146"/>
      <c r="N246" s="146"/>
      <c r="O246" s="146"/>
      <c r="P246" s="156"/>
      <c r="Q246" s="146"/>
      <c r="R246" s="146"/>
      <c r="S246" s="146"/>
      <c r="T246" s="156"/>
      <c r="U246" s="146"/>
      <c r="V246" s="146"/>
      <c r="W246" s="146"/>
      <c r="X246" s="146"/>
      <c r="Y246" s="146"/>
      <c r="Z246" s="146"/>
      <c r="AA246" s="146"/>
      <c r="AB246" s="146"/>
      <c r="AC246" s="157"/>
      <c r="AD246" s="157"/>
      <c r="AE246" s="157"/>
      <c r="AF246" s="158">
        <f>SUM(AG246:AJ246)</f>
      </c>
      <c r="AG246" s="146"/>
      <c r="AH246" s="145"/>
      <c r="AI246" s="145"/>
      <c r="AJ246" s="145"/>
      <c r="AK246" s="158">
        <f>SUM(AL246:AW246)</f>
      </c>
      <c r="AL246" s="146"/>
      <c r="AM246" s="145"/>
      <c r="AN246" s="145"/>
      <c r="AO246" s="145"/>
      <c r="AP246" s="145"/>
      <c r="AQ246" s="145"/>
      <c r="AR246" s="145"/>
      <c r="AS246" s="145"/>
      <c r="AT246" s="145"/>
      <c r="AU246" s="145"/>
      <c r="AV246" s="145"/>
      <c r="AW246" s="158"/>
      <c r="AX246" s="145"/>
      <c r="AY246" s="145"/>
      <c r="AZ246" s="145"/>
      <c r="BA246" s="158"/>
      <c r="BB246" s="145"/>
      <c r="BC246" s="145"/>
      <c r="BD246" s="158"/>
      <c r="BE246" s="146"/>
      <c r="BF246" s="145"/>
      <c r="BG246" s="145"/>
      <c r="BH246" s="158">
        <f>SUM(BI246:BK246)</f>
      </c>
      <c r="BI246" s="145"/>
      <c r="BJ246" s="145"/>
      <c r="BK246" s="145"/>
      <c r="BL246" s="145">
        <f>SUM(BM246:BR246)</f>
      </c>
      <c r="BM246" s="145"/>
      <c r="BN246" s="145"/>
      <c r="BO246" s="158"/>
      <c r="BP246" s="145"/>
      <c r="BQ246" s="145"/>
      <c r="BR246" s="145"/>
      <c r="BS246" s="145"/>
      <c r="BT246" s="145"/>
      <c r="BU246" s="158"/>
      <c r="BV246" s="146"/>
      <c r="BW246" s="145"/>
      <c r="BX246" s="145"/>
      <c r="BY246" s="158">
        <f>SUM(BZ246:CB246)</f>
      </c>
      <c r="BZ246" s="146"/>
      <c r="CA246" s="145"/>
      <c r="CB246" s="145"/>
      <c r="CC246" s="145">
        <f>SUM(CD246:CH246)</f>
      </c>
      <c r="CD246" s="145"/>
      <c r="CE246" s="158"/>
      <c r="CF246" s="145"/>
      <c r="CG246" s="145"/>
      <c r="CH246" s="145"/>
      <c r="CI246" s="158"/>
      <c r="CJ246" s="145"/>
      <c r="CK246" s="145"/>
      <c r="CL246" s="145"/>
      <c r="CM246" s="145"/>
      <c r="CN246" s="145"/>
      <c r="CO246" s="145"/>
      <c r="CP246" s="145"/>
      <c r="CQ246" s="158"/>
      <c r="CR246" s="146"/>
      <c r="CS246" s="158"/>
      <c r="CT246" s="158"/>
      <c r="CU246" s="158">
        <f>SUM(CV246:CV246)</f>
      </c>
      <c r="CV246" s="146"/>
      <c r="CW246" s="145"/>
      <c r="CX246" s="145"/>
      <c r="CY246" s="145">
        <f>SUM(CZ246:DE246)</f>
      </c>
      <c r="CZ246" s="145"/>
      <c r="DA246" s="146"/>
      <c r="DB246" s="146"/>
      <c r="DC246" s="153"/>
      <c r="DD246" s="153"/>
      <c r="DE246" s="145"/>
      <c r="DF246" s="145"/>
      <c r="DG246" s="145"/>
      <c r="DH246" s="158"/>
      <c r="DI246" s="145"/>
      <c r="DJ246" s="158"/>
      <c r="DK246" s="145"/>
      <c r="DL246" s="158"/>
      <c r="DM246" s="145"/>
      <c r="DN246" s="145"/>
      <c r="DO246" s="145"/>
      <c r="DP246" s="158"/>
      <c r="DQ246" s="145"/>
      <c r="DR246" s="145"/>
      <c r="DS246" s="145"/>
      <c r="DT246" s="145"/>
      <c r="DU246" s="145">
        <f>SUM(DV246:EE246)</f>
      </c>
      <c r="DV246" s="145"/>
      <c r="DW246" s="145"/>
      <c r="DX246" s="145"/>
      <c r="DY246" s="145"/>
      <c r="DZ246" s="146"/>
      <c r="EA246" s="158"/>
      <c r="EB246" s="146"/>
      <c r="EC246" s="145"/>
      <c r="ED246" s="145"/>
      <c r="EE246" s="155"/>
      <c r="EF246" s="145">
        <f>SUM(EG246:EH246)</f>
      </c>
      <c r="EG246" s="145"/>
      <c r="EH246" s="146"/>
      <c r="EI246" s="159" cm="1">
        <f t="array" ref="EI246">ROW()-ROW(Run[#Headers])</f>
        <v>240</v>
      </c>
    </row>
    <row r="247" spans="2:139" s="79" customFormat="1" ht="11.25" x14ac:dyDescent="0.2">
      <c r="B247" s="146"/>
      <c r="C247" s="155"/>
      <c r="D247" s="145"/>
      <c r="E247" s="152">
        <f>SUM(F247:AE247)</f>
      </c>
      <c r="F247" s="146"/>
      <c r="G247" s="146"/>
      <c r="H247" s="146"/>
      <c r="I247" s="146"/>
      <c r="J247" s="146"/>
      <c r="K247" s="156"/>
      <c r="L247" s="146"/>
      <c r="M247" s="146"/>
      <c r="N247" s="146"/>
      <c r="O247" s="146"/>
      <c r="P247" s="156"/>
      <c r="Q247" s="146"/>
      <c r="R247" s="146"/>
      <c r="S247" s="146"/>
      <c r="T247" s="156"/>
      <c r="U247" s="146"/>
      <c r="V247" s="146"/>
      <c r="W247" s="146"/>
      <c r="X247" s="146"/>
      <c r="Y247" s="146"/>
      <c r="Z247" s="146"/>
      <c r="AA247" s="146"/>
      <c r="AB247" s="146"/>
      <c r="AC247" s="157"/>
      <c r="AD247" s="157"/>
      <c r="AE247" s="157"/>
      <c r="AF247" s="158">
        <f>SUM(AG247:AJ247)</f>
      </c>
      <c r="AG247" s="146"/>
      <c r="AH247" s="145"/>
      <c r="AI247" s="145"/>
      <c r="AJ247" s="145"/>
      <c r="AK247" s="158">
        <f>SUM(AL247:AW247)</f>
      </c>
      <c r="AL247" s="146"/>
      <c r="AM247" s="145"/>
      <c r="AN247" s="145"/>
      <c r="AO247" s="145"/>
      <c r="AP247" s="145"/>
      <c r="AQ247" s="145"/>
      <c r="AR247" s="145"/>
      <c r="AS247" s="145"/>
      <c r="AT247" s="145"/>
      <c r="AU247" s="145"/>
      <c r="AV247" s="145"/>
      <c r="AW247" s="158"/>
      <c r="AX247" s="145"/>
      <c r="AY247" s="145"/>
      <c r="AZ247" s="145"/>
      <c r="BA247" s="158"/>
      <c r="BB247" s="145"/>
      <c r="BC247" s="145"/>
      <c r="BD247" s="158"/>
      <c r="BE247" s="146"/>
      <c r="BF247" s="145"/>
      <c r="BG247" s="145"/>
      <c r="BH247" s="158">
        <f>SUM(BI247:BK247)</f>
      </c>
      <c r="BI247" s="145"/>
      <c r="BJ247" s="145"/>
      <c r="BK247" s="145"/>
      <c r="BL247" s="145">
        <f>SUM(BM247:BR247)</f>
      </c>
      <c r="BM247" s="145"/>
      <c r="BN247" s="145"/>
      <c r="BO247" s="158"/>
      <c r="BP247" s="145"/>
      <c r="BQ247" s="145"/>
      <c r="BR247" s="145"/>
      <c r="BS247" s="145"/>
      <c r="BT247" s="145"/>
      <c r="BU247" s="158"/>
      <c r="BV247" s="146"/>
      <c r="BW247" s="145"/>
      <c r="BX247" s="145"/>
      <c r="BY247" s="158">
        <f>SUM(BZ247:CB247)</f>
      </c>
      <c r="BZ247" s="146"/>
      <c r="CA247" s="145"/>
      <c r="CB247" s="145"/>
      <c r="CC247" s="145">
        <f>SUM(CD247:CH247)</f>
      </c>
      <c r="CD247" s="145"/>
      <c r="CE247" s="158"/>
      <c r="CF247" s="145"/>
      <c r="CG247" s="145"/>
      <c r="CH247" s="145"/>
      <c r="CI247" s="158"/>
      <c r="CJ247" s="145"/>
      <c r="CK247" s="145"/>
      <c r="CL247" s="145"/>
      <c r="CM247" s="145"/>
      <c r="CN247" s="145"/>
      <c r="CO247" s="145"/>
      <c r="CP247" s="145"/>
      <c r="CQ247" s="158"/>
      <c r="CR247" s="146"/>
      <c r="CS247" s="158"/>
      <c r="CT247" s="158"/>
      <c r="CU247" s="158">
        <f>SUM(CV247:CV247)</f>
      </c>
      <c r="CV247" s="146"/>
      <c r="CW247" s="145"/>
      <c r="CX247" s="145"/>
      <c r="CY247" s="145">
        <f>SUM(CZ247:DE247)</f>
      </c>
      <c r="CZ247" s="145"/>
      <c r="DA247" s="146"/>
      <c r="DB247" s="146"/>
      <c r="DC247" s="153"/>
      <c r="DD247" s="153"/>
      <c r="DE247" s="145"/>
      <c r="DF247" s="145"/>
      <c r="DG247" s="145"/>
      <c r="DH247" s="158"/>
      <c r="DI247" s="145"/>
      <c r="DJ247" s="158"/>
      <c r="DK247" s="145"/>
      <c r="DL247" s="158"/>
      <c r="DM247" s="145"/>
      <c r="DN247" s="145"/>
      <c r="DO247" s="145"/>
      <c r="DP247" s="158"/>
      <c r="DQ247" s="145"/>
      <c r="DR247" s="145"/>
      <c r="DS247" s="145"/>
      <c r="DT247" s="145"/>
      <c r="DU247" s="145">
        <f>SUM(DV247:EE247)</f>
      </c>
      <c r="DV247" s="145"/>
      <c r="DW247" s="145"/>
      <c r="DX247" s="145"/>
      <c r="DY247" s="145"/>
      <c r="DZ247" s="146"/>
      <c r="EA247" s="158"/>
      <c r="EB247" s="146"/>
      <c r="EC247" s="145"/>
      <c r="ED247" s="145"/>
      <c r="EE247" s="155"/>
      <c r="EF247" s="145">
        <f>SUM(EG247:EH247)</f>
      </c>
      <c r="EG247" s="145"/>
      <c r="EH247" s="146"/>
      <c r="EI247" s="159" cm="1">
        <f t="array" ref="EI247">ROW()-ROW(Run[#Headers])</f>
        <v>241</v>
      </c>
    </row>
    <row r="248" spans="2:139" s="79" customFormat="1" ht="11.25" x14ac:dyDescent="0.2">
      <c r="B248" s="146"/>
      <c r="C248" s="155"/>
      <c r="D248" s="145"/>
      <c r="E248" s="152">
        <f>SUM(F248:AE248)</f>
      </c>
      <c r="F248" s="146"/>
      <c r="G248" s="146"/>
      <c r="H248" s="146"/>
      <c r="I248" s="146"/>
      <c r="J248" s="146"/>
      <c r="K248" s="156"/>
      <c r="L248" s="146"/>
      <c r="M248" s="146"/>
      <c r="N248" s="146"/>
      <c r="O248" s="146"/>
      <c r="P248" s="156"/>
      <c r="Q248" s="146"/>
      <c r="R248" s="146"/>
      <c r="S248" s="146"/>
      <c r="T248" s="156"/>
      <c r="U248" s="146"/>
      <c r="V248" s="146"/>
      <c r="W248" s="146"/>
      <c r="X248" s="146"/>
      <c r="Y248" s="146"/>
      <c r="Z248" s="146"/>
      <c r="AA248" s="146"/>
      <c r="AB248" s="146"/>
      <c r="AC248" s="157"/>
      <c r="AD248" s="157"/>
      <c r="AE248" s="157"/>
      <c r="AF248" s="158">
        <f>SUM(AG248:AJ248)</f>
      </c>
      <c r="AG248" s="146"/>
      <c r="AH248" s="145"/>
      <c r="AI248" s="145"/>
      <c r="AJ248" s="145"/>
      <c r="AK248" s="158">
        <f>SUM(AL248:AW248)</f>
      </c>
      <c r="AL248" s="146"/>
      <c r="AM248" s="145"/>
      <c r="AN248" s="145"/>
      <c r="AO248" s="145"/>
      <c r="AP248" s="145"/>
      <c r="AQ248" s="145"/>
      <c r="AR248" s="145"/>
      <c r="AS248" s="145"/>
      <c r="AT248" s="145"/>
      <c r="AU248" s="145"/>
      <c r="AV248" s="145"/>
      <c r="AW248" s="158"/>
      <c r="AX248" s="145"/>
      <c r="AY248" s="145"/>
      <c r="AZ248" s="145"/>
      <c r="BA248" s="158"/>
      <c r="BB248" s="145"/>
      <c r="BC248" s="145"/>
      <c r="BD248" s="158"/>
      <c r="BE248" s="146"/>
      <c r="BF248" s="145"/>
      <c r="BG248" s="145"/>
      <c r="BH248" s="158">
        <f>SUM(BI248:BK248)</f>
      </c>
      <c r="BI248" s="145"/>
      <c r="BJ248" s="145"/>
      <c r="BK248" s="145"/>
      <c r="BL248" s="145">
        <f>SUM(BM248:BR248)</f>
      </c>
      <c r="BM248" s="145"/>
      <c r="BN248" s="145"/>
      <c r="BO248" s="158"/>
      <c r="BP248" s="145"/>
      <c r="BQ248" s="145"/>
      <c r="BR248" s="145"/>
      <c r="BS248" s="145"/>
      <c r="BT248" s="145"/>
      <c r="BU248" s="158"/>
      <c r="BV248" s="146"/>
      <c r="BW248" s="145"/>
      <c r="BX248" s="145"/>
      <c r="BY248" s="158">
        <f>SUM(BZ248:CB248)</f>
      </c>
      <c r="BZ248" s="146"/>
      <c r="CA248" s="145"/>
      <c r="CB248" s="145"/>
      <c r="CC248" s="145">
        <f>SUM(CD248:CH248)</f>
      </c>
      <c r="CD248" s="145"/>
      <c r="CE248" s="158"/>
      <c r="CF248" s="145"/>
      <c r="CG248" s="145"/>
      <c r="CH248" s="145"/>
      <c r="CI248" s="158"/>
      <c r="CJ248" s="145"/>
      <c r="CK248" s="145"/>
      <c r="CL248" s="145"/>
      <c r="CM248" s="145"/>
      <c r="CN248" s="145"/>
      <c r="CO248" s="145"/>
      <c r="CP248" s="145"/>
      <c r="CQ248" s="158"/>
      <c r="CR248" s="146"/>
      <c r="CS248" s="158"/>
      <c r="CT248" s="158"/>
      <c r="CU248" s="158">
        <f>SUM(CV248:CV248)</f>
      </c>
      <c r="CV248" s="146"/>
      <c r="CW248" s="145"/>
      <c r="CX248" s="145"/>
      <c r="CY248" s="145">
        <f>SUM(CZ248:DE248)</f>
      </c>
      <c r="CZ248" s="145"/>
      <c r="DA248" s="146"/>
      <c r="DB248" s="146"/>
      <c r="DC248" s="153"/>
      <c r="DD248" s="153"/>
      <c r="DE248" s="145"/>
      <c r="DF248" s="145"/>
      <c r="DG248" s="145"/>
      <c r="DH248" s="158"/>
      <c r="DI248" s="145"/>
      <c r="DJ248" s="158"/>
      <c r="DK248" s="145"/>
      <c r="DL248" s="158"/>
      <c r="DM248" s="145"/>
      <c r="DN248" s="145"/>
      <c r="DO248" s="145"/>
      <c r="DP248" s="158"/>
      <c r="DQ248" s="145"/>
      <c r="DR248" s="145"/>
      <c r="DS248" s="145"/>
      <c r="DT248" s="145"/>
      <c r="DU248" s="145">
        <f>SUM(DV248:EE248)</f>
      </c>
      <c r="DV248" s="145"/>
      <c r="DW248" s="145"/>
      <c r="DX248" s="145"/>
      <c r="DY248" s="145"/>
      <c r="DZ248" s="146"/>
      <c r="EA248" s="158"/>
      <c r="EB248" s="146"/>
      <c r="EC248" s="145"/>
      <c r="ED248" s="145"/>
      <c r="EE248" s="155"/>
      <c r="EF248" s="145">
        <f>SUM(EG248:EH248)</f>
      </c>
      <c r="EG248" s="145"/>
      <c r="EH248" s="146"/>
      <c r="EI248" s="159" cm="1">
        <f t="array" ref="EI248">ROW()-ROW(Run[#Headers])</f>
        <v>242</v>
      </c>
    </row>
    <row r="249" spans="2:139" s="79" customFormat="1" ht="11.25" x14ac:dyDescent="0.2">
      <c r="B249" s="146"/>
      <c r="C249" s="155"/>
      <c r="D249" s="145"/>
      <c r="E249" s="152">
        <f>SUM(F249:AE249)</f>
      </c>
      <c r="F249" s="146"/>
      <c r="G249" s="146"/>
      <c r="H249" s="146"/>
      <c r="I249" s="146"/>
      <c r="J249" s="146"/>
      <c r="K249" s="156"/>
      <c r="L249" s="146"/>
      <c r="M249" s="146"/>
      <c r="N249" s="146"/>
      <c r="O249" s="146"/>
      <c r="P249" s="156"/>
      <c r="Q249" s="146"/>
      <c r="R249" s="146"/>
      <c r="S249" s="146"/>
      <c r="T249" s="156"/>
      <c r="U249" s="146"/>
      <c r="V249" s="146"/>
      <c r="W249" s="146"/>
      <c r="X249" s="146"/>
      <c r="Y249" s="146"/>
      <c r="Z249" s="146"/>
      <c r="AA249" s="146"/>
      <c r="AB249" s="146"/>
      <c r="AC249" s="157"/>
      <c r="AD249" s="157"/>
      <c r="AE249" s="157"/>
      <c r="AF249" s="158">
        <f>SUM(AG249:AJ249)</f>
      </c>
      <c r="AG249" s="146"/>
      <c r="AH249" s="145"/>
      <c r="AI249" s="145"/>
      <c r="AJ249" s="145"/>
      <c r="AK249" s="158">
        <f>SUM(AL249:AW249)</f>
      </c>
      <c r="AL249" s="146"/>
      <c r="AM249" s="145"/>
      <c r="AN249" s="145"/>
      <c r="AO249" s="145"/>
      <c r="AP249" s="145"/>
      <c r="AQ249" s="145"/>
      <c r="AR249" s="145"/>
      <c r="AS249" s="145"/>
      <c r="AT249" s="145"/>
      <c r="AU249" s="145"/>
      <c r="AV249" s="145"/>
      <c r="AW249" s="158"/>
      <c r="AX249" s="145"/>
      <c r="AY249" s="145"/>
      <c r="AZ249" s="145"/>
      <c r="BA249" s="158"/>
      <c r="BB249" s="145"/>
      <c r="BC249" s="145"/>
      <c r="BD249" s="158"/>
      <c r="BE249" s="146"/>
      <c r="BF249" s="145"/>
      <c r="BG249" s="145"/>
      <c r="BH249" s="158">
        <f>SUM(BI249:BK249)</f>
      </c>
      <c r="BI249" s="145"/>
      <c r="BJ249" s="145"/>
      <c r="BK249" s="145"/>
      <c r="BL249" s="145">
        <f>SUM(BM249:BR249)</f>
      </c>
      <c r="BM249" s="145"/>
      <c r="BN249" s="145"/>
      <c r="BO249" s="158"/>
      <c r="BP249" s="145"/>
      <c r="BQ249" s="145"/>
      <c r="BR249" s="145"/>
      <c r="BS249" s="145"/>
      <c r="BT249" s="145"/>
      <c r="BU249" s="158"/>
      <c r="BV249" s="146"/>
      <c r="BW249" s="145"/>
      <c r="BX249" s="145"/>
      <c r="BY249" s="158">
        <f>SUM(BZ249:CB249)</f>
      </c>
      <c r="BZ249" s="146"/>
      <c r="CA249" s="145"/>
      <c r="CB249" s="145"/>
      <c r="CC249" s="145">
        <f>SUM(CD249:CH249)</f>
      </c>
      <c r="CD249" s="145"/>
      <c r="CE249" s="158"/>
      <c r="CF249" s="145"/>
      <c r="CG249" s="145"/>
      <c r="CH249" s="145"/>
      <c r="CI249" s="158"/>
      <c r="CJ249" s="145"/>
      <c r="CK249" s="145"/>
      <c r="CL249" s="145"/>
      <c r="CM249" s="145"/>
      <c r="CN249" s="145"/>
      <c r="CO249" s="145"/>
      <c r="CP249" s="145"/>
      <c r="CQ249" s="158"/>
      <c r="CR249" s="146"/>
      <c r="CS249" s="158"/>
      <c r="CT249" s="158"/>
      <c r="CU249" s="158">
        <f>SUM(CV249:CV249)</f>
      </c>
      <c r="CV249" s="146"/>
      <c r="CW249" s="145"/>
      <c r="CX249" s="145"/>
      <c r="CY249" s="145">
        <f>SUM(CZ249:DE249)</f>
      </c>
      <c r="CZ249" s="145"/>
      <c r="DA249" s="146"/>
      <c r="DB249" s="146"/>
      <c r="DC249" s="153"/>
      <c r="DD249" s="153"/>
      <c r="DE249" s="145"/>
      <c r="DF249" s="145"/>
      <c r="DG249" s="145"/>
      <c r="DH249" s="158"/>
      <c r="DI249" s="145"/>
      <c r="DJ249" s="158"/>
      <c r="DK249" s="145"/>
      <c r="DL249" s="158"/>
      <c r="DM249" s="145"/>
      <c r="DN249" s="145"/>
      <c r="DO249" s="145"/>
      <c r="DP249" s="158"/>
      <c r="DQ249" s="145"/>
      <c r="DR249" s="145"/>
      <c r="DS249" s="145"/>
      <c r="DT249" s="145"/>
      <c r="DU249" s="145">
        <f>SUM(DV249:EE249)</f>
      </c>
      <c r="DV249" s="145"/>
      <c r="DW249" s="145"/>
      <c r="DX249" s="145"/>
      <c r="DY249" s="145"/>
      <c r="DZ249" s="146"/>
      <c r="EA249" s="158"/>
      <c r="EB249" s="146"/>
      <c r="EC249" s="145"/>
      <c r="ED249" s="145"/>
      <c r="EE249" s="155"/>
      <c r="EF249" s="145">
        <f>SUM(EG249:EH249)</f>
      </c>
      <c r="EG249" s="145"/>
      <c r="EH249" s="146"/>
      <c r="EI249" s="159" cm="1">
        <f t="array" ref="EI249">ROW()-ROW(Run[#Headers])</f>
        <v>243</v>
      </c>
    </row>
    <row r="250" spans="2:139" s="79" customFormat="1" ht="11.25" x14ac:dyDescent="0.2">
      <c r="B250" s="146"/>
      <c r="C250" s="155"/>
      <c r="D250" s="145"/>
      <c r="E250" s="152">
        <f>SUM(F250:AE250)</f>
      </c>
      <c r="F250" s="146"/>
      <c r="G250" s="146"/>
      <c r="H250" s="146"/>
      <c r="I250" s="146"/>
      <c r="J250" s="146"/>
      <c r="K250" s="156"/>
      <c r="L250" s="146"/>
      <c r="M250" s="146"/>
      <c r="N250" s="146"/>
      <c r="O250" s="146"/>
      <c r="P250" s="156"/>
      <c r="Q250" s="146"/>
      <c r="R250" s="146"/>
      <c r="S250" s="146"/>
      <c r="T250" s="156"/>
      <c r="U250" s="146"/>
      <c r="V250" s="146"/>
      <c r="W250" s="146"/>
      <c r="X250" s="146"/>
      <c r="Y250" s="146"/>
      <c r="Z250" s="146"/>
      <c r="AA250" s="146"/>
      <c r="AB250" s="146"/>
      <c r="AC250" s="157"/>
      <c r="AD250" s="157"/>
      <c r="AE250" s="157"/>
      <c r="AF250" s="158">
        <f>SUM(AG250:AJ250)</f>
      </c>
      <c r="AG250" s="146"/>
      <c r="AH250" s="145"/>
      <c r="AI250" s="145"/>
      <c r="AJ250" s="145"/>
      <c r="AK250" s="158">
        <f>SUM(AL250:AW250)</f>
      </c>
      <c r="AL250" s="146"/>
      <c r="AM250" s="145"/>
      <c r="AN250" s="145"/>
      <c r="AO250" s="145"/>
      <c r="AP250" s="145"/>
      <c r="AQ250" s="145"/>
      <c r="AR250" s="145"/>
      <c r="AS250" s="145"/>
      <c r="AT250" s="145"/>
      <c r="AU250" s="145"/>
      <c r="AV250" s="145"/>
      <c r="AW250" s="158"/>
      <c r="AX250" s="145"/>
      <c r="AY250" s="145"/>
      <c r="AZ250" s="145"/>
      <c r="BA250" s="158"/>
      <c r="BB250" s="145"/>
      <c r="BC250" s="145"/>
      <c r="BD250" s="158"/>
      <c r="BE250" s="146"/>
      <c r="BF250" s="145"/>
      <c r="BG250" s="145"/>
      <c r="BH250" s="158">
        <f>SUM(BI250:BK250)</f>
      </c>
      <c r="BI250" s="145"/>
      <c r="BJ250" s="145"/>
      <c r="BK250" s="145"/>
      <c r="BL250" s="145">
        <f>SUM(BM250:BR250)</f>
      </c>
      <c r="BM250" s="145"/>
      <c r="BN250" s="145"/>
      <c r="BO250" s="158"/>
      <c r="BP250" s="145"/>
      <c r="BQ250" s="145"/>
      <c r="BR250" s="145"/>
      <c r="BS250" s="145"/>
      <c r="BT250" s="145"/>
      <c r="BU250" s="158"/>
      <c r="BV250" s="146"/>
      <c r="BW250" s="145"/>
      <c r="BX250" s="145"/>
      <c r="BY250" s="158">
        <f>SUM(BZ250:CB250)</f>
      </c>
      <c r="BZ250" s="146"/>
      <c r="CA250" s="145"/>
      <c r="CB250" s="145"/>
      <c r="CC250" s="145">
        <f>SUM(CD250:CH250)</f>
      </c>
      <c r="CD250" s="145"/>
      <c r="CE250" s="158"/>
      <c r="CF250" s="145"/>
      <c r="CG250" s="145"/>
      <c r="CH250" s="145"/>
      <c r="CI250" s="158"/>
      <c r="CJ250" s="145"/>
      <c r="CK250" s="145"/>
      <c r="CL250" s="145"/>
      <c r="CM250" s="145"/>
      <c r="CN250" s="145"/>
      <c r="CO250" s="145"/>
      <c r="CP250" s="145"/>
      <c r="CQ250" s="158"/>
      <c r="CR250" s="146"/>
      <c r="CS250" s="158"/>
      <c r="CT250" s="158"/>
      <c r="CU250" s="158">
        <f>SUM(CV250:CV250)</f>
      </c>
      <c r="CV250" s="146"/>
      <c r="CW250" s="145"/>
      <c r="CX250" s="145"/>
      <c r="CY250" s="145">
        <f>SUM(CZ250:DE250)</f>
      </c>
      <c r="CZ250" s="145"/>
      <c r="DA250" s="146"/>
      <c r="DB250" s="146"/>
      <c r="DC250" s="153"/>
      <c r="DD250" s="153"/>
      <c r="DE250" s="145"/>
      <c r="DF250" s="145"/>
      <c r="DG250" s="145"/>
      <c r="DH250" s="158"/>
      <c r="DI250" s="145"/>
      <c r="DJ250" s="158"/>
      <c r="DK250" s="145"/>
      <c r="DL250" s="158"/>
      <c r="DM250" s="145"/>
      <c r="DN250" s="145"/>
      <c r="DO250" s="145"/>
      <c r="DP250" s="158"/>
      <c r="DQ250" s="145"/>
      <c r="DR250" s="145"/>
      <c r="DS250" s="145"/>
      <c r="DT250" s="145"/>
      <c r="DU250" s="145">
        <f>SUM(DV250:EE250)</f>
      </c>
      <c r="DV250" s="145"/>
      <c r="DW250" s="145"/>
      <c r="DX250" s="145"/>
      <c r="DY250" s="145"/>
      <c r="DZ250" s="146"/>
      <c r="EA250" s="158"/>
      <c r="EB250" s="146"/>
      <c r="EC250" s="145"/>
      <c r="ED250" s="145"/>
      <c r="EE250" s="155"/>
      <c r="EF250" s="145">
        <f>SUM(EG250:EH250)</f>
      </c>
      <c r="EG250" s="145"/>
      <c r="EH250" s="146"/>
      <c r="EI250" s="159" cm="1">
        <f t="array" ref="EI250">ROW()-ROW(Run[#Headers])</f>
        <v>244</v>
      </c>
    </row>
    <row r="251" spans="2:139" s="79" customFormat="1" ht="11.25" x14ac:dyDescent="0.2">
      <c r="B251" s="146"/>
      <c r="C251" s="155"/>
      <c r="D251" s="145"/>
      <c r="E251" s="152">
        <f>SUM(F251:AE251)</f>
      </c>
      <c r="F251" s="146"/>
      <c r="G251" s="146"/>
      <c r="H251" s="146"/>
      <c r="I251" s="146"/>
      <c r="J251" s="146"/>
      <c r="K251" s="156"/>
      <c r="L251" s="146"/>
      <c r="M251" s="146"/>
      <c r="N251" s="146"/>
      <c r="O251" s="146"/>
      <c r="P251" s="156"/>
      <c r="Q251" s="146"/>
      <c r="R251" s="146"/>
      <c r="S251" s="146"/>
      <c r="T251" s="156"/>
      <c r="U251" s="146"/>
      <c r="V251" s="146"/>
      <c r="W251" s="146"/>
      <c r="X251" s="146"/>
      <c r="Y251" s="146"/>
      <c r="Z251" s="146"/>
      <c r="AA251" s="146"/>
      <c r="AB251" s="146"/>
      <c r="AC251" s="157"/>
      <c r="AD251" s="157"/>
      <c r="AE251" s="157"/>
      <c r="AF251" s="158">
        <f>SUM(AG251:AJ251)</f>
      </c>
      <c r="AG251" s="146"/>
      <c r="AH251" s="145"/>
      <c r="AI251" s="145"/>
      <c r="AJ251" s="145"/>
      <c r="AK251" s="158">
        <f>SUM(AL251:AW251)</f>
      </c>
      <c r="AL251" s="146"/>
      <c r="AM251" s="145"/>
      <c r="AN251" s="145"/>
      <c r="AO251" s="145"/>
      <c r="AP251" s="145"/>
      <c r="AQ251" s="145"/>
      <c r="AR251" s="145"/>
      <c r="AS251" s="145"/>
      <c r="AT251" s="145"/>
      <c r="AU251" s="145"/>
      <c r="AV251" s="145"/>
      <c r="AW251" s="158"/>
      <c r="AX251" s="145"/>
      <c r="AY251" s="145"/>
      <c r="AZ251" s="145"/>
      <c r="BA251" s="158"/>
      <c r="BB251" s="145"/>
      <c r="BC251" s="145"/>
      <c r="BD251" s="158"/>
      <c r="BE251" s="146"/>
      <c r="BF251" s="145"/>
      <c r="BG251" s="145"/>
      <c r="BH251" s="158">
        <f>SUM(BI251:BK251)</f>
      </c>
      <c r="BI251" s="145"/>
      <c r="BJ251" s="145"/>
      <c r="BK251" s="145"/>
      <c r="BL251" s="145">
        <f>SUM(BM251:BR251)</f>
      </c>
      <c r="BM251" s="145"/>
      <c r="BN251" s="145"/>
      <c r="BO251" s="158"/>
      <c r="BP251" s="145"/>
      <c r="BQ251" s="145"/>
      <c r="BR251" s="145"/>
      <c r="BS251" s="145"/>
      <c r="BT251" s="145"/>
      <c r="BU251" s="158"/>
      <c r="BV251" s="146"/>
      <c r="BW251" s="145"/>
      <c r="BX251" s="145"/>
      <c r="BY251" s="158">
        <f>SUM(BZ251:CB251)</f>
      </c>
      <c r="BZ251" s="146"/>
      <c r="CA251" s="145"/>
      <c r="CB251" s="145"/>
      <c r="CC251" s="145">
        <f>SUM(CD251:CH251)</f>
      </c>
      <c r="CD251" s="145"/>
      <c r="CE251" s="158"/>
      <c r="CF251" s="145"/>
      <c r="CG251" s="145"/>
      <c r="CH251" s="145"/>
      <c r="CI251" s="158"/>
      <c r="CJ251" s="145"/>
      <c r="CK251" s="145"/>
      <c r="CL251" s="145"/>
      <c r="CM251" s="145"/>
      <c r="CN251" s="145"/>
      <c r="CO251" s="145"/>
      <c r="CP251" s="145"/>
      <c r="CQ251" s="158"/>
      <c r="CR251" s="146"/>
      <c r="CS251" s="158"/>
      <c r="CT251" s="158"/>
      <c r="CU251" s="158">
        <f>SUM(CV251:CV251)</f>
      </c>
      <c r="CV251" s="146"/>
      <c r="CW251" s="145"/>
      <c r="CX251" s="145"/>
      <c r="CY251" s="145">
        <f>SUM(CZ251:DE251)</f>
      </c>
      <c r="CZ251" s="145"/>
      <c r="DA251" s="146"/>
      <c r="DB251" s="146"/>
      <c r="DC251" s="153"/>
      <c r="DD251" s="153"/>
      <c r="DE251" s="145"/>
      <c r="DF251" s="145"/>
      <c r="DG251" s="145"/>
      <c r="DH251" s="158"/>
      <c r="DI251" s="145"/>
      <c r="DJ251" s="158"/>
      <c r="DK251" s="145"/>
      <c r="DL251" s="158"/>
      <c r="DM251" s="145"/>
      <c r="DN251" s="145"/>
      <c r="DO251" s="145"/>
      <c r="DP251" s="158"/>
      <c r="DQ251" s="145"/>
      <c r="DR251" s="145"/>
      <c r="DS251" s="145"/>
      <c r="DT251" s="145"/>
      <c r="DU251" s="145">
        <f>SUM(DV251:EE251)</f>
      </c>
      <c r="DV251" s="145"/>
      <c r="DW251" s="145"/>
      <c r="DX251" s="145"/>
      <c r="DY251" s="145"/>
      <c r="DZ251" s="146"/>
      <c r="EA251" s="158"/>
      <c r="EB251" s="146"/>
      <c r="EC251" s="145"/>
      <c r="ED251" s="145"/>
      <c r="EE251" s="155"/>
      <c r="EF251" s="145">
        <f>SUM(EG251:EH251)</f>
      </c>
      <c r="EG251" s="145"/>
      <c r="EH251" s="146"/>
      <c r="EI251" s="159" cm="1">
        <f t="array" ref="EI251">ROW()-ROW(Run[#Headers])</f>
        <v>245</v>
      </c>
    </row>
    <row r="252" spans="2:139" s="79" customFormat="1" ht="11.25" x14ac:dyDescent="0.2">
      <c r="B252" s="146"/>
      <c r="C252" s="155"/>
      <c r="D252" s="145"/>
      <c r="E252" s="152">
        <f>SUM(F252:AE252)</f>
      </c>
      <c r="F252" s="146"/>
      <c r="G252" s="146"/>
      <c r="H252" s="146"/>
      <c r="I252" s="146"/>
      <c r="J252" s="146"/>
      <c r="K252" s="156"/>
      <c r="L252" s="146"/>
      <c r="M252" s="146"/>
      <c r="N252" s="146"/>
      <c r="O252" s="146"/>
      <c r="P252" s="156"/>
      <c r="Q252" s="146"/>
      <c r="R252" s="146"/>
      <c r="S252" s="146"/>
      <c r="T252" s="156"/>
      <c r="U252" s="146"/>
      <c r="V252" s="146"/>
      <c r="W252" s="146"/>
      <c r="X252" s="146"/>
      <c r="Y252" s="146"/>
      <c r="Z252" s="146"/>
      <c r="AA252" s="146"/>
      <c r="AB252" s="146"/>
      <c r="AC252" s="157"/>
      <c r="AD252" s="157"/>
      <c r="AE252" s="157"/>
      <c r="AF252" s="158">
        <f>SUM(AG252:AJ252)</f>
      </c>
      <c r="AG252" s="146"/>
      <c r="AH252" s="145"/>
      <c r="AI252" s="145"/>
      <c r="AJ252" s="145"/>
      <c r="AK252" s="158">
        <f>SUM(AL252:AW252)</f>
      </c>
      <c r="AL252" s="146"/>
      <c r="AM252" s="145"/>
      <c r="AN252" s="145"/>
      <c r="AO252" s="145"/>
      <c r="AP252" s="145"/>
      <c r="AQ252" s="145"/>
      <c r="AR252" s="145"/>
      <c r="AS252" s="145"/>
      <c r="AT252" s="145"/>
      <c r="AU252" s="145"/>
      <c r="AV252" s="145"/>
      <c r="AW252" s="158"/>
      <c r="AX252" s="145"/>
      <c r="AY252" s="145"/>
      <c r="AZ252" s="145"/>
      <c r="BA252" s="158"/>
      <c r="BB252" s="145"/>
      <c r="BC252" s="145"/>
      <c r="BD252" s="158"/>
      <c r="BE252" s="146"/>
      <c r="BF252" s="145"/>
      <c r="BG252" s="145"/>
      <c r="BH252" s="158">
        <f>SUM(BI252:BK252)</f>
      </c>
      <c r="BI252" s="145"/>
      <c r="BJ252" s="145"/>
      <c r="BK252" s="145"/>
      <c r="BL252" s="145">
        <f>SUM(BM252:BR252)</f>
      </c>
      <c r="BM252" s="145"/>
      <c r="BN252" s="145"/>
      <c r="BO252" s="158"/>
      <c r="BP252" s="145"/>
      <c r="BQ252" s="145"/>
      <c r="BR252" s="145"/>
      <c r="BS252" s="145"/>
      <c r="BT252" s="145"/>
      <c r="BU252" s="158"/>
      <c r="BV252" s="146"/>
      <c r="BW252" s="145"/>
      <c r="BX252" s="145"/>
      <c r="BY252" s="158">
        <f>SUM(BZ252:CB252)</f>
      </c>
      <c r="BZ252" s="146"/>
      <c r="CA252" s="145"/>
      <c r="CB252" s="145"/>
      <c r="CC252" s="145">
        <f>SUM(CD252:CH252)</f>
      </c>
      <c r="CD252" s="145"/>
      <c r="CE252" s="158"/>
      <c r="CF252" s="145"/>
      <c r="CG252" s="145"/>
      <c r="CH252" s="145"/>
      <c r="CI252" s="158"/>
      <c r="CJ252" s="145"/>
      <c r="CK252" s="145"/>
      <c r="CL252" s="145"/>
      <c r="CM252" s="145"/>
      <c r="CN252" s="145"/>
      <c r="CO252" s="145"/>
      <c r="CP252" s="145"/>
      <c r="CQ252" s="158"/>
      <c r="CR252" s="146"/>
      <c r="CS252" s="158"/>
      <c r="CT252" s="158"/>
      <c r="CU252" s="158">
        <f>SUM(CV252:CV252)</f>
      </c>
      <c r="CV252" s="146"/>
      <c r="CW252" s="145"/>
      <c r="CX252" s="145"/>
      <c r="CY252" s="145">
        <f>SUM(CZ252:DE252)</f>
      </c>
      <c r="CZ252" s="145"/>
      <c r="DA252" s="146"/>
      <c r="DB252" s="146"/>
      <c r="DC252" s="153"/>
      <c r="DD252" s="153"/>
      <c r="DE252" s="145"/>
      <c r="DF252" s="145"/>
      <c r="DG252" s="145"/>
      <c r="DH252" s="158"/>
      <c r="DI252" s="145"/>
      <c r="DJ252" s="158"/>
      <c r="DK252" s="145"/>
      <c r="DL252" s="158"/>
      <c r="DM252" s="145"/>
      <c r="DN252" s="145"/>
      <c r="DO252" s="145"/>
      <c r="DP252" s="158"/>
      <c r="DQ252" s="145"/>
      <c r="DR252" s="145"/>
      <c r="DS252" s="145"/>
      <c r="DT252" s="145"/>
      <c r="DU252" s="145">
        <f>SUM(DV252:EE252)</f>
      </c>
      <c r="DV252" s="145"/>
      <c r="DW252" s="145"/>
      <c r="DX252" s="145"/>
      <c r="DY252" s="145"/>
      <c r="DZ252" s="146"/>
      <c r="EA252" s="158"/>
      <c r="EB252" s="146"/>
      <c r="EC252" s="145"/>
      <c r="ED252" s="145"/>
      <c r="EE252" s="155"/>
      <c r="EF252" s="145">
        <f>SUM(EG252:EH252)</f>
      </c>
      <c r="EG252" s="145"/>
      <c r="EH252" s="146"/>
      <c r="EI252" s="159" cm="1">
        <f t="array" ref="EI252">ROW()-ROW(Run[#Headers])</f>
        <v>246</v>
      </c>
    </row>
    <row r="253" spans="2:139" s="79" customFormat="1" ht="11.25" x14ac:dyDescent="0.2">
      <c r="B253" s="146"/>
      <c r="C253" s="155"/>
      <c r="D253" s="145"/>
      <c r="E253" s="152">
        <f>SUM(F253:AE253)</f>
      </c>
      <c r="F253" s="146"/>
      <c r="G253" s="146"/>
      <c r="H253" s="146"/>
      <c r="I253" s="146"/>
      <c r="J253" s="146"/>
      <c r="K253" s="156"/>
      <c r="L253" s="146"/>
      <c r="M253" s="146"/>
      <c r="N253" s="146"/>
      <c r="O253" s="146"/>
      <c r="P253" s="156"/>
      <c r="Q253" s="146"/>
      <c r="R253" s="146"/>
      <c r="S253" s="146"/>
      <c r="T253" s="156"/>
      <c r="U253" s="146"/>
      <c r="V253" s="146"/>
      <c r="W253" s="146"/>
      <c r="X253" s="146"/>
      <c r="Y253" s="146"/>
      <c r="Z253" s="146"/>
      <c r="AA253" s="146"/>
      <c r="AB253" s="146"/>
      <c r="AC253" s="157"/>
      <c r="AD253" s="157"/>
      <c r="AE253" s="157"/>
      <c r="AF253" s="158">
        <f>SUM(AG253:AJ253)</f>
      </c>
      <c r="AG253" s="146"/>
      <c r="AH253" s="145"/>
      <c r="AI253" s="145"/>
      <c r="AJ253" s="145"/>
      <c r="AK253" s="158">
        <f>SUM(AL253:AW253)</f>
      </c>
      <c r="AL253" s="146"/>
      <c r="AM253" s="145"/>
      <c r="AN253" s="145"/>
      <c r="AO253" s="145"/>
      <c r="AP253" s="145"/>
      <c r="AQ253" s="145"/>
      <c r="AR253" s="145"/>
      <c r="AS253" s="145"/>
      <c r="AT253" s="145"/>
      <c r="AU253" s="145"/>
      <c r="AV253" s="145"/>
      <c r="AW253" s="158"/>
      <c r="AX253" s="145"/>
      <c r="AY253" s="145"/>
      <c r="AZ253" s="145"/>
      <c r="BA253" s="158"/>
      <c r="BB253" s="145"/>
      <c r="BC253" s="145"/>
      <c r="BD253" s="158"/>
      <c r="BE253" s="146"/>
      <c r="BF253" s="145"/>
      <c r="BG253" s="145"/>
      <c r="BH253" s="158">
        <f>SUM(BI253:BK253)</f>
      </c>
      <c r="BI253" s="145"/>
      <c r="BJ253" s="145"/>
      <c r="BK253" s="145"/>
      <c r="BL253" s="145">
        <f>SUM(BM253:BR253)</f>
      </c>
      <c r="BM253" s="145"/>
      <c r="BN253" s="145"/>
      <c r="BO253" s="158"/>
      <c r="BP253" s="145"/>
      <c r="BQ253" s="145"/>
      <c r="BR253" s="145"/>
      <c r="BS253" s="145"/>
      <c r="BT253" s="145"/>
      <c r="BU253" s="158"/>
      <c r="BV253" s="146"/>
      <c r="BW253" s="145"/>
      <c r="BX253" s="145"/>
      <c r="BY253" s="158">
        <f>SUM(BZ253:CB253)</f>
      </c>
      <c r="BZ253" s="146"/>
      <c r="CA253" s="145"/>
      <c r="CB253" s="145"/>
      <c r="CC253" s="145">
        <f>SUM(CD253:CH253)</f>
      </c>
      <c r="CD253" s="145"/>
      <c r="CE253" s="158"/>
      <c r="CF253" s="145"/>
      <c r="CG253" s="145"/>
      <c r="CH253" s="145"/>
      <c r="CI253" s="158"/>
      <c r="CJ253" s="145"/>
      <c r="CK253" s="145"/>
      <c r="CL253" s="145"/>
      <c r="CM253" s="145"/>
      <c r="CN253" s="145"/>
      <c r="CO253" s="145"/>
      <c r="CP253" s="145"/>
      <c r="CQ253" s="158"/>
      <c r="CR253" s="146"/>
      <c r="CS253" s="158"/>
      <c r="CT253" s="158"/>
      <c r="CU253" s="158">
        <f>SUM(CV253:CV253)</f>
      </c>
      <c r="CV253" s="146"/>
      <c r="CW253" s="145"/>
      <c r="CX253" s="145"/>
      <c r="CY253" s="145">
        <f>SUM(CZ253:DE253)</f>
      </c>
      <c r="CZ253" s="145"/>
      <c r="DA253" s="146"/>
      <c r="DB253" s="146"/>
      <c r="DC253" s="153"/>
      <c r="DD253" s="153"/>
      <c r="DE253" s="145"/>
      <c r="DF253" s="145"/>
      <c r="DG253" s="145"/>
      <c r="DH253" s="158"/>
      <c r="DI253" s="145"/>
      <c r="DJ253" s="158"/>
      <c r="DK253" s="145"/>
      <c r="DL253" s="158"/>
      <c r="DM253" s="145"/>
      <c r="DN253" s="145"/>
      <c r="DO253" s="145"/>
      <c r="DP253" s="158"/>
      <c r="DQ253" s="145"/>
      <c r="DR253" s="145"/>
      <c r="DS253" s="145"/>
      <c r="DT253" s="145"/>
      <c r="DU253" s="145">
        <f>SUM(DV253:EE253)</f>
      </c>
      <c r="DV253" s="145"/>
      <c r="DW253" s="145"/>
      <c r="DX253" s="145"/>
      <c r="DY253" s="145"/>
      <c r="DZ253" s="146"/>
      <c r="EA253" s="158"/>
      <c r="EB253" s="146"/>
      <c r="EC253" s="145"/>
      <c r="ED253" s="145"/>
      <c r="EE253" s="155"/>
      <c r="EF253" s="145">
        <f>SUM(EG253:EH253)</f>
      </c>
      <c r="EG253" s="145"/>
      <c r="EH253" s="146"/>
      <c r="EI253" s="159" cm="1">
        <f t="array" ref="EI253">ROW()-ROW(Run[#Headers])</f>
        <v>247</v>
      </c>
    </row>
    <row r="254" spans="2:139" s="79" customFormat="1" ht="11.25" x14ac:dyDescent="0.2">
      <c r="B254" s="146"/>
      <c r="C254" s="155"/>
      <c r="D254" s="145"/>
      <c r="E254" s="152">
        <f>SUM(F254:AE254)</f>
      </c>
      <c r="F254" s="146"/>
      <c r="G254" s="146"/>
      <c r="H254" s="146"/>
      <c r="I254" s="146"/>
      <c r="J254" s="146"/>
      <c r="K254" s="156"/>
      <c r="L254" s="146"/>
      <c r="M254" s="146"/>
      <c r="N254" s="146"/>
      <c r="O254" s="146"/>
      <c r="P254" s="156"/>
      <c r="Q254" s="146"/>
      <c r="R254" s="146"/>
      <c r="S254" s="146"/>
      <c r="T254" s="156"/>
      <c r="U254" s="146"/>
      <c r="V254" s="146"/>
      <c r="W254" s="146"/>
      <c r="X254" s="146"/>
      <c r="Y254" s="146"/>
      <c r="Z254" s="146"/>
      <c r="AA254" s="146"/>
      <c r="AB254" s="146"/>
      <c r="AC254" s="157"/>
      <c r="AD254" s="157"/>
      <c r="AE254" s="157"/>
      <c r="AF254" s="158">
        <f>SUM(AG254:AJ254)</f>
      </c>
      <c r="AG254" s="146"/>
      <c r="AH254" s="145"/>
      <c r="AI254" s="145"/>
      <c r="AJ254" s="145"/>
      <c r="AK254" s="158">
        <f>SUM(AL254:AW254)</f>
      </c>
      <c r="AL254" s="146"/>
      <c r="AM254" s="145"/>
      <c r="AN254" s="145"/>
      <c r="AO254" s="145"/>
      <c r="AP254" s="145"/>
      <c r="AQ254" s="145"/>
      <c r="AR254" s="145"/>
      <c r="AS254" s="145"/>
      <c r="AT254" s="145"/>
      <c r="AU254" s="145"/>
      <c r="AV254" s="145"/>
      <c r="AW254" s="158"/>
      <c r="AX254" s="145"/>
      <c r="AY254" s="145"/>
      <c r="AZ254" s="145"/>
      <c r="BA254" s="158"/>
      <c r="BB254" s="145"/>
      <c r="BC254" s="145"/>
      <c r="BD254" s="158"/>
      <c r="BE254" s="146"/>
      <c r="BF254" s="145"/>
      <c r="BG254" s="145"/>
      <c r="BH254" s="158">
        <f>SUM(BI254:BK254)</f>
      </c>
      <c r="BI254" s="145"/>
      <c r="BJ254" s="145"/>
      <c r="BK254" s="145"/>
      <c r="BL254" s="145">
        <f>SUM(BM254:BR254)</f>
      </c>
      <c r="BM254" s="145"/>
      <c r="BN254" s="145"/>
      <c r="BO254" s="158"/>
      <c r="BP254" s="145"/>
      <c r="BQ254" s="145"/>
      <c r="BR254" s="145"/>
      <c r="BS254" s="145"/>
      <c r="BT254" s="145"/>
      <c r="BU254" s="158"/>
      <c r="BV254" s="146"/>
      <c r="BW254" s="145"/>
      <c r="BX254" s="145"/>
      <c r="BY254" s="158">
        <f>SUM(BZ254:CB254)</f>
      </c>
      <c r="BZ254" s="146"/>
      <c r="CA254" s="145"/>
      <c r="CB254" s="145"/>
      <c r="CC254" s="145">
        <f>SUM(CD254:CH254)</f>
      </c>
      <c r="CD254" s="145"/>
      <c r="CE254" s="158"/>
      <c r="CF254" s="145"/>
      <c r="CG254" s="145"/>
      <c r="CH254" s="145"/>
      <c r="CI254" s="158"/>
      <c r="CJ254" s="145"/>
      <c r="CK254" s="145"/>
      <c r="CL254" s="145"/>
      <c r="CM254" s="145"/>
      <c r="CN254" s="145"/>
      <c r="CO254" s="145"/>
      <c r="CP254" s="145"/>
      <c r="CQ254" s="158"/>
      <c r="CR254" s="146"/>
      <c r="CS254" s="158"/>
      <c r="CT254" s="158"/>
      <c r="CU254" s="158">
        <f>SUM(CV254:CV254)</f>
      </c>
      <c r="CV254" s="146"/>
      <c r="CW254" s="145"/>
      <c r="CX254" s="145"/>
      <c r="CY254" s="145">
        <f>SUM(CZ254:DE254)</f>
      </c>
      <c r="CZ254" s="145"/>
      <c r="DA254" s="146"/>
      <c r="DB254" s="146"/>
      <c r="DC254" s="153"/>
      <c r="DD254" s="153"/>
      <c r="DE254" s="145"/>
      <c r="DF254" s="145"/>
      <c r="DG254" s="145"/>
      <c r="DH254" s="158"/>
      <c r="DI254" s="145"/>
      <c r="DJ254" s="158"/>
      <c r="DK254" s="145"/>
      <c r="DL254" s="158"/>
      <c r="DM254" s="145"/>
      <c r="DN254" s="145"/>
      <c r="DO254" s="145"/>
      <c r="DP254" s="158"/>
      <c r="DQ254" s="145"/>
      <c r="DR254" s="145"/>
      <c r="DS254" s="145"/>
      <c r="DT254" s="145"/>
      <c r="DU254" s="145">
        <f>SUM(DV254:EE254)</f>
      </c>
      <c r="DV254" s="145"/>
      <c r="DW254" s="145"/>
      <c r="DX254" s="145"/>
      <c r="DY254" s="145"/>
      <c r="DZ254" s="146"/>
      <c r="EA254" s="158"/>
      <c r="EB254" s="146"/>
      <c r="EC254" s="145"/>
      <c r="ED254" s="145"/>
      <c r="EE254" s="155"/>
      <c r="EF254" s="145">
        <f>SUM(EG254:EH254)</f>
      </c>
      <c r="EG254" s="145"/>
      <c r="EH254" s="146"/>
      <c r="EI254" s="159" cm="1">
        <f t="array" ref="EI254">ROW()-ROW(Run[#Headers])</f>
        <v>248</v>
      </c>
    </row>
    <row r="255" spans="2:139" s="79" customFormat="1" ht="11.25" x14ac:dyDescent="0.2">
      <c r="B255" s="146"/>
      <c r="C255" s="155"/>
      <c r="D255" s="145"/>
      <c r="E255" s="152">
        <f>SUM(F255:AE255)</f>
      </c>
      <c r="F255" s="146"/>
      <c r="G255" s="146"/>
      <c r="H255" s="146"/>
      <c r="I255" s="146"/>
      <c r="J255" s="146"/>
      <c r="K255" s="156"/>
      <c r="L255" s="146"/>
      <c r="M255" s="146"/>
      <c r="N255" s="146"/>
      <c r="O255" s="146"/>
      <c r="P255" s="156"/>
      <c r="Q255" s="146"/>
      <c r="R255" s="146"/>
      <c r="S255" s="146"/>
      <c r="T255" s="156"/>
      <c r="U255" s="146"/>
      <c r="V255" s="146"/>
      <c r="W255" s="146"/>
      <c r="X255" s="146"/>
      <c r="Y255" s="146"/>
      <c r="Z255" s="146"/>
      <c r="AA255" s="146"/>
      <c r="AB255" s="146"/>
      <c r="AC255" s="157"/>
      <c r="AD255" s="157"/>
      <c r="AE255" s="157"/>
      <c r="AF255" s="158">
        <f>SUM(AG255:AJ255)</f>
      </c>
      <c r="AG255" s="146"/>
      <c r="AH255" s="145"/>
      <c r="AI255" s="145"/>
      <c r="AJ255" s="145"/>
      <c r="AK255" s="158">
        <f>SUM(AL255:AW255)</f>
      </c>
      <c r="AL255" s="146"/>
      <c r="AM255" s="145"/>
      <c r="AN255" s="145"/>
      <c r="AO255" s="145"/>
      <c r="AP255" s="145"/>
      <c r="AQ255" s="145"/>
      <c r="AR255" s="145"/>
      <c r="AS255" s="145"/>
      <c r="AT255" s="145"/>
      <c r="AU255" s="145"/>
      <c r="AV255" s="145"/>
      <c r="AW255" s="158"/>
      <c r="AX255" s="145"/>
      <c r="AY255" s="145"/>
      <c r="AZ255" s="145"/>
      <c r="BA255" s="158"/>
      <c r="BB255" s="145"/>
      <c r="BC255" s="145"/>
      <c r="BD255" s="158"/>
      <c r="BE255" s="146"/>
      <c r="BF255" s="145"/>
      <c r="BG255" s="145"/>
      <c r="BH255" s="158">
        <f>SUM(BI255:BK255)</f>
      </c>
      <c r="BI255" s="145"/>
      <c r="BJ255" s="145"/>
      <c r="BK255" s="145"/>
      <c r="BL255" s="145">
        <f>SUM(BM255:BR255)</f>
      </c>
      <c r="BM255" s="145"/>
      <c r="BN255" s="145"/>
      <c r="BO255" s="158"/>
      <c r="BP255" s="145"/>
      <c r="BQ255" s="145"/>
      <c r="BR255" s="145"/>
      <c r="BS255" s="145"/>
      <c r="BT255" s="145"/>
      <c r="BU255" s="158"/>
      <c r="BV255" s="146"/>
      <c r="BW255" s="145"/>
      <c r="BX255" s="145"/>
      <c r="BY255" s="158">
        <f>SUM(BZ255:CB255)</f>
      </c>
      <c r="BZ255" s="146"/>
      <c r="CA255" s="145"/>
      <c r="CB255" s="145"/>
      <c r="CC255" s="145">
        <f>SUM(CD255:CH255)</f>
      </c>
      <c r="CD255" s="145"/>
      <c r="CE255" s="158"/>
      <c r="CF255" s="145"/>
      <c r="CG255" s="145"/>
      <c r="CH255" s="145"/>
      <c r="CI255" s="158"/>
      <c r="CJ255" s="145"/>
      <c r="CK255" s="145"/>
      <c r="CL255" s="145"/>
      <c r="CM255" s="145"/>
      <c r="CN255" s="145"/>
      <c r="CO255" s="145"/>
      <c r="CP255" s="145"/>
      <c r="CQ255" s="158"/>
      <c r="CR255" s="146"/>
      <c r="CS255" s="158"/>
      <c r="CT255" s="158"/>
      <c r="CU255" s="158">
        <f>SUM(CV255:CV255)</f>
      </c>
      <c r="CV255" s="146"/>
      <c r="CW255" s="145"/>
      <c r="CX255" s="145"/>
      <c r="CY255" s="145">
        <f>SUM(CZ255:DE255)</f>
      </c>
      <c r="CZ255" s="145"/>
      <c r="DA255" s="146"/>
      <c r="DB255" s="146"/>
      <c r="DC255" s="153"/>
      <c r="DD255" s="153"/>
      <c r="DE255" s="145"/>
      <c r="DF255" s="145"/>
      <c r="DG255" s="145"/>
      <c r="DH255" s="158"/>
      <c r="DI255" s="145"/>
      <c r="DJ255" s="158"/>
      <c r="DK255" s="145"/>
      <c r="DL255" s="158"/>
      <c r="DM255" s="145"/>
      <c r="DN255" s="145"/>
      <c r="DO255" s="145"/>
      <c r="DP255" s="158"/>
      <c r="DQ255" s="145"/>
      <c r="DR255" s="145"/>
      <c r="DS255" s="145"/>
      <c r="DT255" s="145"/>
      <c r="DU255" s="145">
        <f>SUM(DV255:EE255)</f>
      </c>
      <c r="DV255" s="145"/>
      <c r="DW255" s="145"/>
      <c r="DX255" s="145"/>
      <c r="DY255" s="145"/>
      <c r="DZ255" s="146"/>
      <c r="EA255" s="158"/>
      <c r="EB255" s="146"/>
      <c r="EC255" s="145"/>
      <c r="ED255" s="145"/>
      <c r="EE255" s="155"/>
      <c r="EF255" s="145">
        <f>SUM(EG255:EH255)</f>
      </c>
      <c r="EG255" s="145"/>
      <c r="EH255" s="146"/>
      <c r="EI255" s="159" cm="1">
        <f t="array" ref="EI255">ROW()-ROW(Run[#Headers])</f>
        <v>249</v>
      </c>
    </row>
    <row r="256" spans="2:139" s="79" customFormat="1" ht="11.25" x14ac:dyDescent="0.2">
      <c r="B256" s="146"/>
      <c r="C256" s="155"/>
      <c r="D256" s="145"/>
      <c r="E256" s="152">
        <f>SUM(F256:AE256)</f>
      </c>
      <c r="F256" s="146"/>
      <c r="G256" s="146"/>
      <c r="H256" s="146"/>
      <c r="I256" s="146"/>
      <c r="J256" s="146"/>
      <c r="K256" s="156"/>
      <c r="L256" s="146"/>
      <c r="M256" s="146"/>
      <c r="N256" s="146"/>
      <c r="O256" s="146"/>
      <c r="P256" s="156"/>
      <c r="Q256" s="146"/>
      <c r="R256" s="146"/>
      <c r="S256" s="146"/>
      <c r="T256" s="156"/>
      <c r="U256" s="146"/>
      <c r="V256" s="146"/>
      <c r="W256" s="146"/>
      <c r="X256" s="146"/>
      <c r="Y256" s="146"/>
      <c r="Z256" s="146"/>
      <c r="AA256" s="146"/>
      <c r="AB256" s="146"/>
      <c r="AC256" s="157"/>
      <c r="AD256" s="157"/>
      <c r="AE256" s="157"/>
      <c r="AF256" s="158">
        <f>SUM(AG256:AJ256)</f>
      </c>
      <c r="AG256" s="146"/>
      <c r="AH256" s="145"/>
      <c r="AI256" s="145"/>
      <c r="AJ256" s="145"/>
      <c r="AK256" s="158">
        <f>SUM(AL256:AW256)</f>
      </c>
      <c r="AL256" s="146"/>
      <c r="AM256" s="145"/>
      <c r="AN256" s="145"/>
      <c r="AO256" s="145"/>
      <c r="AP256" s="145"/>
      <c r="AQ256" s="145"/>
      <c r="AR256" s="145"/>
      <c r="AS256" s="145"/>
      <c r="AT256" s="145"/>
      <c r="AU256" s="145"/>
      <c r="AV256" s="145"/>
      <c r="AW256" s="158"/>
      <c r="AX256" s="145"/>
      <c r="AY256" s="145"/>
      <c r="AZ256" s="145"/>
      <c r="BA256" s="158"/>
      <c r="BB256" s="145"/>
      <c r="BC256" s="145"/>
      <c r="BD256" s="158"/>
      <c r="BE256" s="146"/>
      <c r="BF256" s="145"/>
      <c r="BG256" s="145"/>
      <c r="BH256" s="158">
        <f>SUM(BI256:BK256)</f>
      </c>
      <c r="BI256" s="145"/>
      <c r="BJ256" s="145"/>
      <c r="BK256" s="145"/>
      <c r="BL256" s="145">
        <f>SUM(BM256:BR256)</f>
      </c>
      <c r="BM256" s="145"/>
      <c r="BN256" s="145"/>
      <c r="BO256" s="158"/>
      <c r="BP256" s="145"/>
      <c r="BQ256" s="145"/>
      <c r="BR256" s="145"/>
      <c r="BS256" s="145"/>
      <c r="BT256" s="145"/>
      <c r="BU256" s="158"/>
      <c r="BV256" s="146"/>
      <c r="BW256" s="145"/>
      <c r="BX256" s="145"/>
      <c r="BY256" s="158">
        <f>SUM(BZ256:CB256)</f>
      </c>
      <c r="BZ256" s="146"/>
      <c r="CA256" s="145"/>
      <c r="CB256" s="145"/>
      <c r="CC256" s="145">
        <f>SUM(CD256:CH256)</f>
      </c>
      <c r="CD256" s="145"/>
      <c r="CE256" s="158"/>
      <c r="CF256" s="145"/>
      <c r="CG256" s="145"/>
      <c r="CH256" s="145"/>
      <c r="CI256" s="158"/>
      <c r="CJ256" s="145"/>
      <c r="CK256" s="145"/>
      <c r="CL256" s="145"/>
      <c r="CM256" s="145"/>
      <c r="CN256" s="145"/>
      <c r="CO256" s="145"/>
      <c r="CP256" s="145"/>
      <c r="CQ256" s="158"/>
      <c r="CR256" s="146"/>
      <c r="CS256" s="158"/>
      <c r="CT256" s="158"/>
      <c r="CU256" s="158">
        <f>SUM(CV256:CV256)</f>
      </c>
      <c r="CV256" s="146"/>
      <c r="CW256" s="145"/>
      <c r="CX256" s="145"/>
      <c r="CY256" s="145">
        <f>SUM(CZ256:DE256)</f>
      </c>
      <c r="CZ256" s="145"/>
      <c r="DA256" s="146"/>
      <c r="DB256" s="146"/>
      <c r="DC256" s="153"/>
      <c r="DD256" s="153"/>
      <c r="DE256" s="145"/>
      <c r="DF256" s="145"/>
      <c r="DG256" s="145"/>
      <c r="DH256" s="158"/>
      <c r="DI256" s="145"/>
      <c r="DJ256" s="158"/>
      <c r="DK256" s="145"/>
      <c r="DL256" s="158"/>
      <c r="DM256" s="145"/>
      <c r="DN256" s="145"/>
      <c r="DO256" s="145"/>
      <c r="DP256" s="158"/>
      <c r="DQ256" s="145"/>
      <c r="DR256" s="145"/>
      <c r="DS256" s="145"/>
      <c r="DT256" s="145"/>
      <c r="DU256" s="145">
        <f>SUM(DV256:EE256)</f>
      </c>
      <c r="DV256" s="145"/>
      <c r="DW256" s="145"/>
      <c r="DX256" s="145"/>
      <c r="DY256" s="145"/>
      <c r="DZ256" s="146"/>
      <c r="EA256" s="158"/>
      <c r="EB256" s="146"/>
      <c r="EC256" s="145"/>
      <c r="ED256" s="145"/>
      <c r="EE256" s="155"/>
      <c r="EF256" s="145">
        <f>SUM(EG256:EH256)</f>
      </c>
      <c r="EG256" s="145"/>
      <c r="EH256" s="146"/>
      <c r="EI256" s="159" cm="1">
        <f t="array" ref="EI256">ROW()-ROW(Run[#Headers])</f>
        <v>250</v>
      </c>
    </row>
    <row r="257" spans="2:139" s="79" customFormat="1" ht="11.25" x14ac:dyDescent="0.2">
      <c r="B257" s="146"/>
      <c r="C257" s="155"/>
      <c r="D257" s="145"/>
      <c r="E257" s="152">
        <f>SUM(F257:AE257)</f>
      </c>
      <c r="F257" s="146"/>
      <c r="G257" s="146"/>
      <c r="H257" s="146"/>
      <c r="I257" s="146"/>
      <c r="J257" s="146"/>
      <c r="K257" s="156"/>
      <c r="L257" s="146"/>
      <c r="M257" s="146"/>
      <c r="N257" s="146"/>
      <c r="O257" s="146"/>
      <c r="P257" s="156"/>
      <c r="Q257" s="146"/>
      <c r="R257" s="146"/>
      <c r="S257" s="146"/>
      <c r="T257" s="156"/>
      <c r="U257" s="146"/>
      <c r="V257" s="146"/>
      <c r="W257" s="146"/>
      <c r="X257" s="146"/>
      <c r="Y257" s="146"/>
      <c r="Z257" s="146"/>
      <c r="AA257" s="146"/>
      <c r="AB257" s="146"/>
      <c r="AC257" s="157"/>
      <c r="AD257" s="157"/>
      <c r="AE257" s="157"/>
      <c r="AF257" s="158">
        <f>SUM(AG257:AJ257)</f>
      </c>
      <c r="AG257" s="146"/>
      <c r="AH257" s="145"/>
      <c r="AI257" s="145"/>
      <c r="AJ257" s="145"/>
      <c r="AK257" s="158">
        <f>SUM(AL257:AW257)</f>
      </c>
      <c r="AL257" s="146"/>
      <c r="AM257" s="145"/>
      <c r="AN257" s="145"/>
      <c r="AO257" s="145"/>
      <c r="AP257" s="145"/>
      <c r="AQ257" s="145"/>
      <c r="AR257" s="145"/>
      <c r="AS257" s="145"/>
      <c r="AT257" s="145"/>
      <c r="AU257" s="145"/>
      <c r="AV257" s="145"/>
      <c r="AW257" s="158"/>
      <c r="AX257" s="145"/>
      <c r="AY257" s="145"/>
      <c r="AZ257" s="145"/>
      <c r="BA257" s="158"/>
      <c r="BB257" s="145"/>
      <c r="BC257" s="145"/>
      <c r="BD257" s="158"/>
      <c r="BE257" s="146"/>
      <c r="BF257" s="145"/>
      <c r="BG257" s="145"/>
      <c r="BH257" s="158">
        <f>SUM(BI257:BK257)</f>
      </c>
      <c r="BI257" s="145"/>
      <c r="BJ257" s="145"/>
      <c r="BK257" s="145"/>
      <c r="BL257" s="145">
        <f>SUM(BM257:BR257)</f>
      </c>
      <c r="BM257" s="145"/>
      <c r="BN257" s="145"/>
      <c r="BO257" s="158"/>
      <c r="BP257" s="145"/>
      <c r="BQ257" s="145"/>
      <c r="BR257" s="145"/>
      <c r="BS257" s="145"/>
      <c r="BT257" s="145"/>
      <c r="BU257" s="158"/>
      <c r="BV257" s="146"/>
      <c r="BW257" s="145"/>
      <c r="BX257" s="145"/>
      <c r="BY257" s="158">
        <f>SUM(BZ257:CB257)</f>
      </c>
      <c r="BZ257" s="146"/>
      <c r="CA257" s="145"/>
      <c r="CB257" s="145"/>
      <c r="CC257" s="145">
        <f>SUM(CD257:CH257)</f>
      </c>
      <c r="CD257" s="145"/>
      <c r="CE257" s="158"/>
      <c r="CF257" s="145"/>
      <c r="CG257" s="145"/>
      <c r="CH257" s="145"/>
      <c r="CI257" s="158"/>
      <c r="CJ257" s="145"/>
      <c r="CK257" s="145"/>
      <c r="CL257" s="145"/>
      <c r="CM257" s="145"/>
      <c r="CN257" s="145"/>
      <c r="CO257" s="145"/>
      <c r="CP257" s="145"/>
      <c r="CQ257" s="158"/>
      <c r="CR257" s="146"/>
      <c r="CS257" s="158"/>
      <c r="CT257" s="158"/>
      <c r="CU257" s="158">
        <f>SUM(CV257:CV257)</f>
      </c>
      <c r="CV257" s="146"/>
      <c r="CW257" s="145"/>
      <c r="CX257" s="145"/>
      <c r="CY257" s="145">
        <f>SUM(CZ257:DE257)</f>
      </c>
      <c r="CZ257" s="145"/>
      <c r="DA257" s="146"/>
      <c r="DB257" s="146"/>
      <c r="DC257" s="153"/>
      <c r="DD257" s="153"/>
      <c r="DE257" s="145"/>
      <c r="DF257" s="145"/>
      <c r="DG257" s="145"/>
      <c r="DH257" s="158"/>
      <c r="DI257" s="145"/>
      <c r="DJ257" s="158"/>
      <c r="DK257" s="145"/>
      <c r="DL257" s="158"/>
      <c r="DM257" s="145"/>
      <c r="DN257" s="145"/>
      <c r="DO257" s="145"/>
      <c r="DP257" s="158"/>
      <c r="DQ257" s="145"/>
      <c r="DR257" s="145"/>
      <c r="DS257" s="145"/>
      <c r="DT257" s="145"/>
      <c r="DU257" s="145">
        <f>SUM(DV257:EE257)</f>
      </c>
      <c r="DV257" s="145"/>
      <c r="DW257" s="145"/>
      <c r="DX257" s="145"/>
      <c r="DY257" s="145"/>
      <c r="DZ257" s="146"/>
      <c r="EA257" s="158"/>
      <c r="EB257" s="146"/>
      <c r="EC257" s="145"/>
      <c r="ED257" s="145"/>
      <c r="EE257" s="155"/>
      <c r="EF257" s="145">
        <f>SUM(EG257:EH257)</f>
      </c>
      <c r="EG257" s="145"/>
      <c r="EH257" s="146"/>
      <c r="EI257" s="159" cm="1">
        <f t="array" ref="EI257">ROW()-ROW(Run[#Headers])</f>
        <v>251</v>
      </c>
    </row>
    <row r="258" spans="2:139" s="79" customFormat="1" ht="11.25" x14ac:dyDescent="0.2">
      <c r="B258" s="146"/>
      <c r="C258" s="155"/>
      <c r="D258" s="145"/>
      <c r="E258" s="152">
        <f>SUM(F258:AE258)</f>
      </c>
      <c r="F258" s="146"/>
      <c r="G258" s="146"/>
      <c r="H258" s="146"/>
      <c r="I258" s="146"/>
      <c r="J258" s="146"/>
      <c r="K258" s="156"/>
      <c r="L258" s="146"/>
      <c r="M258" s="146"/>
      <c r="N258" s="146"/>
      <c r="O258" s="146"/>
      <c r="P258" s="156"/>
      <c r="Q258" s="146"/>
      <c r="R258" s="146"/>
      <c r="S258" s="146"/>
      <c r="T258" s="156"/>
      <c r="U258" s="146"/>
      <c r="V258" s="146"/>
      <c r="W258" s="146"/>
      <c r="X258" s="146"/>
      <c r="Y258" s="146"/>
      <c r="Z258" s="146"/>
      <c r="AA258" s="146"/>
      <c r="AB258" s="146"/>
      <c r="AC258" s="157"/>
      <c r="AD258" s="157"/>
      <c r="AE258" s="157"/>
      <c r="AF258" s="158">
        <f>SUM(AG258:AJ258)</f>
      </c>
      <c r="AG258" s="146"/>
      <c r="AH258" s="145"/>
      <c r="AI258" s="145"/>
      <c r="AJ258" s="145"/>
      <c r="AK258" s="158">
        <f>SUM(AL258:AW258)</f>
      </c>
      <c r="AL258" s="146"/>
      <c r="AM258" s="145"/>
      <c r="AN258" s="145"/>
      <c r="AO258" s="145"/>
      <c r="AP258" s="145"/>
      <c r="AQ258" s="145"/>
      <c r="AR258" s="145"/>
      <c r="AS258" s="145"/>
      <c r="AT258" s="145"/>
      <c r="AU258" s="145"/>
      <c r="AV258" s="145"/>
      <c r="AW258" s="158"/>
      <c r="AX258" s="145"/>
      <c r="AY258" s="145"/>
      <c r="AZ258" s="145"/>
      <c r="BA258" s="158"/>
      <c r="BB258" s="145"/>
      <c r="BC258" s="145"/>
      <c r="BD258" s="158"/>
      <c r="BE258" s="146"/>
      <c r="BF258" s="145"/>
      <c r="BG258" s="145"/>
      <c r="BH258" s="158">
        <f>SUM(BI258:BK258)</f>
      </c>
      <c r="BI258" s="145"/>
      <c r="BJ258" s="145"/>
      <c r="BK258" s="145"/>
      <c r="BL258" s="145">
        <f>SUM(BM258:BR258)</f>
      </c>
      <c r="BM258" s="145"/>
      <c r="BN258" s="145"/>
      <c r="BO258" s="158"/>
      <c r="BP258" s="145"/>
      <c r="BQ258" s="145"/>
      <c r="BR258" s="145"/>
      <c r="BS258" s="145"/>
      <c r="BT258" s="145"/>
      <c r="BU258" s="158"/>
      <c r="BV258" s="146"/>
      <c r="BW258" s="145"/>
      <c r="BX258" s="145"/>
      <c r="BY258" s="158">
        <f>SUM(BZ258:CB258)</f>
      </c>
      <c r="BZ258" s="146"/>
      <c r="CA258" s="145"/>
      <c r="CB258" s="145"/>
      <c r="CC258" s="145">
        <f>SUM(CD258:CH258)</f>
      </c>
      <c r="CD258" s="145"/>
      <c r="CE258" s="158"/>
      <c r="CF258" s="145"/>
      <c r="CG258" s="145"/>
      <c r="CH258" s="145"/>
      <c r="CI258" s="158"/>
      <c r="CJ258" s="145"/>
      <c r="CK258" s="145"/>
      <c r="CL258" s="145"/>
      <c r="CM258" s="145"/>
      <c r="CN258" s="145"/>
      <c r="CO258" s="145"/>
      <c r="CP258" s="145"/>
      <c r="CQ258" s="158"/>
      <c r="CR258" s="146"/>
      <c r="CS258" s="158"/>
      <c r="CT258" s="158"/>
      <c r="CU258" s="158">
        <f>SUM(CV258:CV258)</f>
      </c>
      <c r="CV258" s="146"/>
      <c r="CW258" s="145"/>
      <c r="CX258" s="145"/>
      <c r="CY258" s="145">
        <f>SUM(CZ258:DE258)</f>
      </c>
      <c r="CZ258" s="145"/>
      <c r="DA258" s="146"/>
      <c r="DB258" s="146"/>
      <c r="DC258" s="153"/>
      <c r="DD258" s="153"/>
      <c r="DE258" s="145"/>
      <c r="DF258" s="145"/>
      <c r="DG258" s="145"/>
      <c r="DH258" s="158"/>
      <c r="DI258" s="145"/>
      <c r="DJ258" s="158"/>
      <c r="DK258" s="145"/>
      <c r="DL258" s="158"/>
      <c r="DM258" s="145"/>
      <c r="DN258" s="145"/>
      <c r="DO258" s="145"/>
      <c r="DP258" s="158"/>
      <c r="DQ258" s="145"/>
      <c r="DR258" s="145"/>
      <c r="DS258" s="145"/>
      <c r="DT258" s="145"/>
      <c r="DU258" s="145">
        <f>SUM(DV258:EE258)</f>
      </c>
      <c r="DV258" s="145"/>
      <c r="DW258" s="145"/>
      <c r="DX258" s="145"/>
      <c r="DY258" s="145"/>
      <c r="DZ258" s="146"/>
      <c r="EA258" s="158"/>
      <c r="EB258" s="146"/>
      <c r="EC258" s="145"/>
      <c r="ED258" s="145"/>
      <c r="EE258" s="155"/>
      <c r="EF258" s="145">
        <f>SUM(EG258:EH258)</f>
      </c>
      <c r="EG258" s="145"/>
      <c r="EH258" s="146"/>
      <c r="EI258" s="159" cm="1">
        <f t="array" ref="EI258">ROW()-ROW(Run[#Headers])</f>
        <v>252</v>
      </c>
    </row>
    <row r="259" spans="2:139" s="79" customFormat="1" ht="11.25" x14ac:dyDescent="0.2">
      <c r="B259" s="146"/>
      <c r="C259" s="155"/>
      <c r="D259" s="145"/>
      <c r="E259" s="152">
        <f>SUM(F259:AE259)</f>
      </c>
      <c r="F259" s="146"/>
      <c r="G259" s="146"/>
      <c r="H259" s="146"/>
      <c r="I259" s="146"/>
      <c r="J259" s="146"/>
      <c r="K259" s="156"/>
      <c r="L259" s="146"/>
      <c r="M259" s="146"/>
      <c r="N259" s="146"/>
      <c r="O259" s="146"/>
      <c r="P259" s="156"/>
      <c r="Q259" s="146"/>
      <c r="R259" s="146"/>
      <c r="S259" s="146"/>
      <c r="T259" s="156"/>
      <c r="U259" s="146"/>
      <c r="V259" s="146"/>
      <c r="W259" s="146"/>
      <c r="X259" s="146"/>
      <c r="Y259" s="146"/>
      <c r="Z259" s="146"/>
      <c r="AA259" s="146"/>
      <c r="AB259" s="146"/>
      <c r="AC259" s="157"/>
      <c r="AD259" s="157"/>
      <c r="AE259" s="157"/>
      <c r="AF259" s="158">
        <f>SUM(AG259:AJ259)</f>
      </c>
      <c r="AG259" s="146"/>
      <c r="AH259" s="145"/>
      <c r="AI259" s="145"/>
      <c r="AJ259" s="145"/>
      <c r="AK259" s="158">
        <f>SUM(AL259:AW259)</f>
      </c>
      <c r="AL259" s="146"/>
      <c r="AM259" s="145"/>
      <c r="AN259" s="145"/>
      <c r="AO259" s="145"/>
      <c r="AP259" s="145"/>
      <c r="AQ259" s="145"/>
      <c r="AR259" s="145"/>
      <c r="AS259" s="145"/>
      <c r="AT259" s="145"/>
      <c r="AU259" s="145"/>
      <c r="AV259" s="145"/>
      <c r="AW259" s="158"/>
      <c r="AX259" s="145"/>
      <c r="AY259" s="145"/>
      <c r="AZ259" s="145"/>
      <c r="BA259" s="158"/>
      <c r="BB259" s="145"/>
      <c r="BC259" s="145"/>
      <c r="BD259" s="158"/>
      <c r="BE259" s="146"/>
      <c r="BF259" s="145"/>
      <c r="BG259" s="145"/>
      <c r="BH259" s="158">
        <f>SUM(BI259:BK259)</f>
      </c>
      <c r="BI259" s="145"/>
      <c r="BJ259" s="145"/>
      <c r="BK259" s="145"/>
      <c r="BL259" s="145">
        <f>SUM(BM259:BR259)</f>
      </c>
      <c r="BM259" s="145"/>
      <c r="BN259" s="145"/>
      <c r="BO259" s="158"/>
      <c r="BP259" s="145"/>
      <c r="BQ259" s="145"/>
      <c r="BR259" s="145"/>
      <c r="BS259" s="145"/>
      <c r="BT259" s="145"/>
      <c r="BU259" s="158"/>
      <c r="BV259" s="146"/>
      <c r="BW259" s="145"/>
      <c r="BX259" s="145"/>
      <c r="BY259" s="158">
        <f>SUM(BZ259:CB259)</f>
      </c>
      <c r="BZ259" s="146"/>
      <c r="CA259" s="145"/>
      <c r="CB259" s="145"/>
      <c r="CC259" s="145">
        <f>SUM(CD259:CH259)</f>
      </c>
      <c r="CD259" s="145"/>
      <c r="CE259" s="158"/>
      <c r="CF259" s="145"/>
      <c r="CG259" s="145"/>
      <c r="CH259" s="145"/>
      <c r="CI259" s="158"/>
      <c r="CJ259" s="145"/>
      <c r="CK259" s="145"/>
      <c r="CL259" s="145"/>
      <c r="CM259" s="145"/>
      <c r="CN259" s="145"/>
      <c r="CO259" s="145"/>
      <c r="CP259" s="145"/>
      <c r="CQ259" s="158"/>
      <c r="CR259" s="146"/>
      <c r="CS259" s="158"/>
      <c r="CT259" s="158"/>
      <c r="CU259" s="158">
        <f>SUM(CV259:CV259)</f>
      </c>
      <c r="CV259" s="146"/>
      <c r="CW259" s="145"/>
      <c r="CX259" s="145"/>
      <c r="CY259" s="145">
        <f>SUM(CZ259:DE259)</f>
      </c>
      <c r="CZ259" s="145"/>
      <c r="DA259" s="146"/>
      <c r="DB259" s="146"/>
      <c r="DC259" s="153"/>
      <c r="DD259" s="153"/>
      <c r="DE259" s="145"/>
      <c r="DF259" s="145"/>
      <c r="DG259" s="145"/>
      <c r="DH259" s="158"/>
      <c r="DI259" s="145"/>
      <c r="DJ259" s="158"/>
      <c r="DK259" s="145"/>
      <c r="DL259" s="158"/>
      <c r="DM259" s="145"/>
      <c r="DN259" s="145"/>
      <c r="DO259" s="145"/>
      <c r="DP259" s="158"/>
      <c r="DQ259" s="145"/>
      <c r="DR259" s="145"/>
      <c r="DS259" s="145"/>
      <c r="DT259" s="145"/>
      <c r="DU259" s="145">
        <f>SUM(DV259:EE259)</f>
      </c>
      <c r="DV259" s="145"/>
      <c r="DW259" s="145"/>
      <c r="DX259" s="145"/>
      <c r="DY259" s="145"/>
      <c r="DZ259" s="146"/>
      <c r="EA259" s="158"/>
      <c r="EB259" s="146"/>
      <c r="EC259" s="145"/>
      <c r="ED259" s="145"/>
      <c r="EE259" s="155"/>
      <c r="EF259" s="145">
        <f>SUM(EG259:EH259)</f>
      </c>
      <c r="EG259" s="145"/>
      <c r="EH259" s="146"/>
      <c r="EI259" s="159" cm="1">
        <f t="array" ref="EI259">ROW()-ROW(Run[#Headers])</f>
        <v>253</v>
      </c>
    </row>
    <row r="260" spans="2:139" s="79" customFormat="1" ht="11.25" x14ac:dyDescent="0.2">
      <c r="B260" s="146"/>
      <c r="C260" s="155"/>
      <c r="D260" s="145"/>
      <c r="E260" s="152">
        <f>SUM(F260:AE260)</f>
      </c>
      <c r="F260" s="146"/>
      <c r="G260" s="146"/>
      <c r="H260" s="146"/>
      <c r="I260" s="146"/>
      <c r="J260" s="146"/>
      <c r="K260" s="156"/>
      <c r="L260" s="146"/>
      <c r="M260" s="146"/>
      <c r="N260" s="146"/>
      <c r="O260" s="146"/>
      <c r="P260" s="156"/>
      <c r="Q260" s="146"/>
      <c r="R260" s="146"/>
      <c r="S260" s="146"/>
      <c r="T260" s="156"/>
      <c r="U260" s="146"/>
      <c r="V260" s="146"/>
      <c r="W260" s="146"/>
      <c r="X260" s="146"/>
      <c r="Y260" s="146"/>
      <c r="Z260" s="146"/>
      <c r="AA260" s="146"/>
      <c r="AB260" s="146"/>
      <c r="AC260" s="157"/>
      <c r="AD260" s="157"/>
      <c r="AE260" s="157"/>
      <c r="AF260" s="158">
        <f>SUM(AG260:AJ260)</f>
      </c>
      <c r="AG260" s="146"/>
      <c r="AH260" s="145"/>
      <c r="AI260" s="145"/>
      <c r="AJ260" s="145"/>
      <c r="AK260" s="158">
        <f>SUM(AL260:AW260)</f>
      </c>
      <c r="AL260" s="146"/>
      <c r="AM260" s="145"/>
      <c r="AN260" s="145"/>
      <c r="AO260" s="145"/>
      <c r="AP260" s="145"/>
      <c r="AQ260" s="145"/>
      <c r="AR260" s="145"/>
      <c r="AS260" s="145"/>
      <c r="AT260" s="145"/>
      <c r="AU260" s="145"/>
      <c r="AV260" s="145"/>
      <c r="AW260" s="158"/>
      <c r="AX260" s="145"/>
      <c r="AY260" s="145"/>
      <c r="AZ260" s="145"/>
      <c r="BA260" s="158"/>
      <c r="BB260" s="145"/>
      <c r="BC260" s="145"/>
      <c r="BD260" s="158"/>
      <c r="BE260" s="146"/>
      <c r="BF260" s="145"/>
      <c r="BG260" s="145"/>
      <c r="BH260" s="158">
        <f>SUM(BI260:BK260)</f>
      </c>
      <c r="BI260" s="145"/>
      <c r="BJ260" s="145"/>
      <c r="BK260" s="145"/>
      <c r="BL260" s="145">
        <f>SUM(BM260:BR260)</f>
      </c>
      <c r="BM260" s="145"/>
      <c r="BN260" s="145"/>
      <c r="BO260" s="158"/>
      <c r="BP260" s="145"/>
      <c r="BQ260" s="145"/>
      <c r="BR260" s="145"/>
      <c r="BS260" s="145"/>
      <c r="BT260" s="145"/>
      <c r="BU260" s="158"/>
      <c r="BV260" s="146"/>
      <c r="BW260" s="145"/>
      <c r="BX260" s="145"/>
      <c r="BY260" s="158">
        <f>SUM(BZ260:CB260)</f>
      </c>
      <c r="BZ260" s="146"/>
      <c r="CA260" s="145"/>
      <c r="CB260" s="145"/>
      <c r="CC260" s="145">
        <f>SUM(CD260:CH260)</f>
      </c>
      <c r="CD260" s="145"/>
      <c r="CE260" s="158"/>
      <c r="CF260" s="145"/>
      <c r="CG260" s="145"/>
      <c r="CH260" s="145"/>
      <c r="CI260" s="158"/>
      <c r="CJ260" s="145"/>
      <c r="CK260" s="145"/>
      <c r="CL260" s="145"/>
      <c r="CM260" s="145"/>
      <c r="CN260" s="145"/>
      <c r="CO260" s="145"/>
      <c r="CP260" s="145"/>
      <c r="CQ260" s="158"/>
      <c r="CR260" s="146"/>
      <c r="CS260" s="158"/>
      <c r="CT260" s="158"/>
      <c r="CU260" s="158">
        <f>SUM(CV260:CV260)</f>
      </c>
      <c r="CV260" s="146"/>
      <c r="CW260" s="145"/>
      <c r="CX260" s="145"/>
      <c r="CY260" s="145">
        <f>SUM(CZ260:DE260)</f>
      </c>
      <c r="CZ260" s="145"/>
      <c r="DA260" s="146"/>
      <c r="DB260" s="146"/>
      <c r="DC260" s="153"/>
      <c r="DD260" s="153"/>
      <c r="DE260" s="145"/>
      <c r="DF260" s="145"/>
      <c r="DG260" s="145"/>
      <c r="DH260" s="158"/>
      <c r="DI260" s="145"/>
      <c r="DJ260" s="158"/>
      <c r="DK260" s="145"/>
      <c r="DL260" s="158"/>
      <c r="DM260" s="145"/>
      <c r="DN260" s="145"/>
      <c r="DO260" s="145"/>
      <c r="DP260" s="158"/>
      <c r="DQ260" s="145"/>
      <c r="DR260" s="145"/>
      <c r="DS260" s="145"/>
      <c r="DT260" s="145"/>
      <c r="DU260" s="145">
        <f>SUM(DV260:EE260)</f>
      </c>
      <c r="DV260" s="145"/>
      <c r="DW260" s="145"/>
      <c r="DX260" s="145"/>
      <c r="DY260" s="145"/>
      <c r="DZ260" s="146"/>
      <c r="EA260" s="158"/>
      <c r="EB260" s="146"/>
      <c r="EC260" s="145"/>
      <c r="ED260" s="145"/>
      <c r="EE260" s="155"/>
      <c r="EF260" s="145">
        <f>SUM(EG260:EH260)</f>
      </c>
      <c r="EG260" s="145"/>
      <c r="EH260" s="146"/>
      <c r="EI260" s="159" cm="1">
        <f t="array" ref="EI260">ROW()-ROW(Run[#Headers])</f>
        <v>254</v>
      </c>
    </row>
    <row r="261" spans="2:139" s="79" customFormat="1" ht="11.25" x14ac:dyDescent="0.2">
      <c r="B261" s="146"/>
      <c r="C261" s="155"/>
      <c r="D261" s="145"/>
      <c r="E261" s="152">
        <f>SUM(F261:AE261)</f>
      </c>
      <c r="F261" s="146"/>
      <c r="G261" s="146"/>
      <c r="H261" s="146"/>
      <c r="I261" s="146"/>
      <c r="J261" s="146"/>
      <c r="K261" s="156"/>
      <c r="L261" s="146"/>
      <c r="M261" s="146"/>
      <c r="N261" s="146"/>
      <c r="O261" s="146"/>
      <c r="P261" s="156"/>
      <c r="Q261" s="146"/>
      <c r="R261" s="146"/>
      <c r="S261" s="146"/>
      <c r="T261" s="156"/>
      <c r="U261" s="146"/>
      <c r="V261" s="146"/>
      <c r="W261" s="146"/>
      <c r="X261" s="146"/>
      <c r="Y261" s="146"/>
      <c r="Z261" s="146"/>
      <c r="AA261" s="146"/>
      <c r="AB261" s="146"/>
      <c r="AC261" s="157"/>
      <c r="AD261" s="157"/>
      <c r="AE261" s="157"/>
      <c r="AF261" s="158">
        <f>SUM(AG261:AJ261)</f>
      </c>
      <c r="AG261" s="146"/>
      <c r="AH261" s="145"/>
      <c r="AI261" s="145"/>
      <c r="AJ261" s="145"/>
      <c r="AK261" s="158">
        <f>SUM(AL261:AW261)</f>
      </c>
      <c r="AL261" s="146"/>
      <c r="AM261" s="145"/>
      <c r="AN261" s="145"/>
      <c r="AO261" s="145"/>
      <c r="AP261" s="145"/>
      <c r="AQ261" s="145"/>
      <c r="AR261" s="145"/>
      <c r="AS261" s="145"/>
      <c r="AT261" s="145"/>
      <c r="AU261" s="145"/>
      <c r="AV261" s="145"/>
      <c r="AW261" s="158"/>
      <c r="AX261" s="145"/>
      <c r="AY261" s="145"/>
      <c r="AZ261" s="145"/>
      <c r="BA261" s="158"/>
      <c r="BB261" s="145"/>
      <c r="BC261" s="145"/>
      <c r="BD261" s="158"/>
      <c r="BE261" s="146"/>
      <c r="BF261" s="145"/>
      <c r="BG261" s="145"/>
      <c r="BH261" s="158">
        <f>SUM(BI261:BK261)</f>
      </c>
      <c r="BI261" s="145"/>
      <c r="BJ261" s="145"/>
      <c r="BK261" s="145"/>
      <c r="BL261" s="145">
        <f>SUM(BM261:BR261)</f>
      </c>
      <c r="BM261" s="145"/>
      <c r="BN261" s="145"/>
      <c r="BO261" s="158"/>
      <c r="BP261" s="145"/>
      <c r="BQ261" s="145"/>
      <c r="BR261" s="145"/>
      <c r="BS261" s="145"/>
      <c r="BT261" s="145"/>
      <c r="BU261" s="158"/>
      <c r="BV261" s="146"/>
      <c r="BW261" s="145"/>
      <c r="BX261" s="145"/>
      <c r="BY261" s="158">
        <f>SUM(BZ261:CB261)</f>
      </c>
      <c r="BZ261" s="146"/>
      <c r="CA261" s="145"/>
      <c r="CB261" s="145"/>
      <c r="CC261" s="145">
        <f>SUM(CD261:CH261)</f>
      </c>
      <c r="CD261" s="145"/>
      <c r="CE261" s="158"/>
      <c r="CF261" s="145"/>
      <c r="CG261" s="145"/>
      <c r="CH261" s="145"/>
      <c r="CI261" s="158"/>
      <c r="CJ261" s="145"/>
      <c r="CK261" s="145"/>
      <c r="CL261" s="145"/>
      <c r="CM261" s="145"/>
      <c r="CN261" s="145"/>
      <c r="CO261" s="145"/>
      <c r="CP261" s="145"/>
      <c r="CQ261" s="158"/>
      <c r="CR261" s="146"/>
      <c r="CS261" s="158"/>
      <c r="CT261" s="158"/>
      <c r="CU261" s="158">
        <f>SUM(CV261:CV261)</f>
      </c>
      <c r="CV261" s="146"/>
      <c r="CW261" s="145"/>
      <c r="CX261" s="145"/>
      <c r="CY261" s="145">
        <f>SUM(CZ261:DE261)</f>
      </c>
      <c r="CZ261" s="145"/>
      <c r="DA261" s="146"/>
      <c r="DB261" s="146"/>
      <c r="DC261" s="153"/>
      <c r="DD261" s="153"/>
      <c r="DE261" s="145"/>
      <c r="DF261" s="145"/>
      <c r="DG261" s="145"/>
      <c r="DH261" s="158"/>
      <c r="DI261" s="145"/>
      <c r="DJ261" s="158"/>
      <c r="DK261" s="145"/>
      <c r="DL261" s="158"/>
      <c r="DM261" s="145"/>
      <c r="DN261" s="145"/>
      <c r="DO261" s="145"/>
      <c r="DP261" s="158"/>
      <c r="DQ261" s="145"/>
      <c r="DR261" s="145"/>
      <c r="DS261" s="145"/>
      <c r="DT261" s="145"/>
      <c r="DU261" s="145">
        <f>SUM(DV261:EE261)</f>
      </c>
      <c r="DV261" s="145"/>
      <c r="DW261" s="145"/>
      <c r="DX261" s="145"/>
      <c r="DY261" s="145"/>
      <c r="DZ261" s="146"/>
      <c r="EA261" s="158"/>
      <c r="EB261" s="146"/>
      <c r="EC261" s="145"/>
      <c r="ED261" s="145"/>
      <c r="EE261" s="155"/>
      <c r="EF261" s="145">
        <f>SUM(EG261:EH261)</f>
      </c>
      <c r="EG261" s="145"/>
      <c r="EH261" s="146"/>
      <c r="EI261" s="159" cm="1">
        <f t="array" ref="EI261">ROW()-ROW(Run[#Headers])</f>
        <v>255</v>
      </c>
    </row>
    <row r="262" spans="2:139" s="79" customFormat="1" ht="11.25" x14ac:dyDescent="0.2">
      <c r="B262" s="146"/>
      <c r="C262" s="155"/>
      <c r="D262" s="145"/>
      <c r="E262" s="152">
        <f>SUM(F262:AE262)</f>
      </c>
      <c r="F262" s="146"/>
      <c r="G262" s="146"/>
      <c r="H262" s="146"/>
      <c r="I262" s="146"/>
      <c r="J262" s="146"/>
      <c r="K262" s="156"/>
      <c r="L262" s="146"/>
      <c r="M262" s="146"/>
      <c r="N262" s="146"/>
      <c r="O262" s="146"/>
      <c r="P262" s="156"/>
      <c r="Q262" s="146"/>
      <c r="R262" s="146"/>
      <c r="S262" s="146"/>
      <c r="T262" s="156"/>
      <c r="U262" s="146"/>
      <c r="V262" s="146"/>
      <c r="W262" s="146"/>
      <c r="X262" s="146"/>
      <c r="Y262" s="146"/>
      <c r="Z262" s="146"/>
      <c r="AA262" s="146"/>
      <c r="AB262" s="146"/>
      <c r="AC262" s="157"/>
      <c r="AD262" s="157"/>
      <c r="AE262" s="157"/>
      <c r="AF262" s="158">
        <f>SUM(AG262:AJ262)</f>
      </c>
      <c r="AG262" s="146"/>
      <c r="AH262" s="145"/>
      <c r="AI262" s="145"/>
      <c r="AJ262" s="145"/>
      <c r="AK262" s="158">
        <f>SUM(AL262:AW262)</f>
      </c>
      <c r="AL262" s="146"/>
      <c r="AM262" s="145"/>
      <c r="AN262" s="145"/>
      <c r="AO262" s="145"/>
      <c r="AP262" s="145"/>
      <c r="AQ262" s="145"/>
      <c r="AR262" s="145"/>
      <c r="AS262" s="145"/>
      <c r="AT262" s="145"/>
      <c r="AU262" s="145"/>
      <c r="AV262" s="145"/>
      <c r="AW262" s="158"/>
      <c r="AX262" s="145"/>
      <c r="AY262" s="145"/>
      <c r="AZ262" s="145"/>
      <c r="BA262" s="158"/>
      <c r="BB262" s="145"/>
      <c r="BC262" s="145"/>
      <c r="BD262" s="158"/>
      <c r="BE262" s="146"/>
      <c r="BF262" s="145"/>
      <c r="BG262" s="145"/>
      <c r="BH262" s="158">
        <f>SUM(BI262:BK262)</f>
      </c>
      <c r="BI262" s="145"/>
      <c r="BJ262" s="145"/>
      <c r="BK262" s="145"/>
      <c r="BL262" s="145">
        <f>SUM(BM262:BR262)</f>
      </c>
      <c r="BM262" s="145"/>
      <c r="BN262" s="145"/>
      <c r="BO262" s="158"/>
      <c r="BP262" s="145"/>
      <c r="BQ262" s="145"/>
      <c r="BR262" s="145"/>
      <c r="BS262" s="145"/>
      <c r="BT262" s="145"/>
      <c r="BU262" s="158"/>
      <c r="BV262" s="146"/>
      <c r="BW262" s="145"/>
      <c r="BX262" s="145"/>
      <c r="BY262" s="158">
        <f>SUM(BZ262:CB262)</f>
      </c>
      <c r="BZ262" s="146"/>
      <c r="CA262" s="145"/>
      <c r="CB262" s="145"/>
      <c r="CC262" s="145">
        <f>SUM(CD262:CH262)</f>
      </c>
      <c r="CD262" s="145"/>
      <c r="CE262" s="158"/>
      <c r="CF262" s="145"/>
      <c r="CG262" s="145"/>
      <c r="CH262" s="145"/>
      <c r="CI262" s="158"/>
      <c r="CJ262" s="145"/>
      <c r="CK262" s="145"/>
      <c r="CL262" s="145"/>
      <c r="CM262" s="145"/>
      <c r="CN262" s="145"/>
      <c r="CO262" s="145"/>
      <c r="CP262" s="145"/>
      <c r="CQ262" s="158"/>
      <c r="CR262" s="146"/>
      <c r="CS262" s="158"/>
      <c r="CT262" s="158"/>
      <c r="CU262" s="158">
        <f>SUM(CV262:CV262)</f>
      </c>
      <c r="CV262" s="146"/>
      <c r="CW262" s="145"/>
      <c r="CX262" s="145"/>
      <c r="CY262" s="145">
        <f>SUM(CZ262:DE262)</f>
      </c>
      <c r="CZ262" s="145"/>
      <c r="DA262" s="146"/>
      <c r="DB262" s="146"/>
      <c r="DC262" s="153"/>
      <c r="DD262" s="153"/>
      <c r="DE262" s="145"/>
      <c r="DF262" s="145"/>
      <c r="DG262" s="145"/>
      <c r="DH262" s="158"/>
      <c r="DI262" s="145"/>
      <c r="DJ262" s="158"/>
      <c r="DK262" s="145"/>
      <c r="DL262" s="158"/>
      <c r="DM262" s="145"/>
      <c r="DN262" s="145"/>
      <c r="DO262" s="145"/>
      <c r="DP262" s="158"/>
      <c r="DQ262" s="145"/>
      <c r="DR262" s="145"/>
      <c r="DS262" s="145"/>
      <c r="DT262" s="145"/>
      <c r="DU262" s="145">
        <f>SUM(DV262:EE262)</f>
      </c>
      <c r="DV262" s="145"/>
      <c r="DW262" s="145"/>
      <c r="DX262" s="145"/>
      <c r="DY262" s="145"/>
      <c r="DZ262" s="146"/>
      <c r="EA262" s="158"/>
      <c r="EB262" s="146"/>
      <c r="EC262" s="145"/>
      <c r="ED262" s="145"/>
      <c r="EE262" s="155"/>
      <c r="EF262" s="145">
        <f>SUM(EG262:EH262)</f>
      </c>
      <c r="EG262" s="145"/>
      <c r="EH262" s="146"/>
      <c r="EI262" s="159" cm="1">
        <f t="array" ref="EI262">ROW()-ROW(Run[#Headers])</f>
        <v>256</v>
      </c>
    </row>
    <row r="263" spans="2:139" s="79" customFormat="1" ht="11.25" x14ac:dyDescent="0.2">
      <c r="B263" s="146"/>
      <c r="C263" s="155"/>
      <c r="D263" s="145"/>
      <c r="E263" s="152">
        <f>SUM(F263:AE263)</f>
      </c>
      <c r="F263" s="146"/>
      <c r="G263" s="146"/>
      <c r="H263" s="146"/>
      <c r="I263" s="146"/>
      <c r="J263" s="146"/>
      <c r="K263" s="156"/>
      <c r="L263" s="146"/>
      <c r="M263" s="146"/>
      <c r="N263" s="146"/>
      <c r="O263" s="146"/>
      <c r="P263" s="156"/>
      <c r="Q263" s="146"/>
      <c r="R263" s="146"/>
      <c r="S263" s="146"/>
      <c r="T263" s="156"/>
      <c r="U263" s="146"/>
      <c r="V263" s="146"/>
      <c r="W263" s="146"/>
      <c r="X263" s="146"/>
      <c r="Y263" s="146"/>
      <c r="Z263" s="146"/>
      <c r="AA263" s="146"/>
      <c r="AB263" s="146"/>
      <c r="AC263" s="157"/>
      <c r="AD263" s="157"/>
      <c r="AE263" s="157"/>
      <c r="AF263" s="158">
        <f>SUM(AG263:AJ263)</f>
      </c>
      <c r="AG263" s="146"/>
      <c r="AH263" s="145"/>
      <c r="AI263" s="145"/>
      <c r="AJ263" s="145"/>
      <c r="AK263" s="158">
        <f>SUM(AL263:AW263)</f>
      </c>
      <c r="AL263" s="146"/>
      <c r="AM263" s="145"/>
      <c r="AN263" s="145"/>
      <c r="AO263" s="145"/>
      <c r="AP263" s="145"/>
      <c r="AQ263" s="145"/>
      <c r="AR263" s="145"/>
      <c r="AS263" s="145"/>
      <c r="AT263" s="145"/>
      <c r="AU263" s="145"/>
      <c r="AV263" s="145"/>
      <c r="AW263" s="158"/>
      <c r="AX263" s="145"/>
      <c r="AY263" s="145"/>
      <c r="AZ263" s="145"/>
      <c r="BA263" s="158"/>
      <c r="BB263" s="145"/>
      <c r="BC263" s="145"/>
      <c r="BD263" s="158"/>
      <c r="BE263" s="146"/>
      <c r="BF263" s="145"/>
      <c r="BG263" s="145"/>
      <c r="BH263" s="158">
        <f>SUM(BI263:BK263)</f>
      </c>
      <c r="BI263" s="145"/>
      <c r="BJ263" s="145"/>
      <c r="BK263" s="145"/>
      <c r="BL263" s="145">
        <f>SUM(BM263:BR263)</f>
      </c>
      <c r="BM263" s="145"/>
      <c r="BN263" s="145"/>
      <c r="BO263" s="158"/>
      <c r="BP263" s="145"/>
      <c r="BQ263" s="145"/>
      <c r="BR263" s="145"/>
      <c r="BS263" s="145"/>
      <c r="BT263" s="145"/>
      <c r="BU263" s="158"/>
      <c r="BV263" s="146"/>
      <c r="BW263" s="145"/>
      <c r="BX263" s="145"/>
      <c r="BY263" s="158">
        <f>SUM(BZ263:CB263)</f>
      </c>
      <c r="BZ263" s="146"/>
      <c r="CA263" s="145"/>
      <c r="CB263" s="145"/>
      <c r="CC263" s="145">
        <f>SUM(CD263:CH263)</f>
      </c>
      <c r="CD263" s="145"/>
      <c r="CE263" s="158"/>
      <c r="CF263" s="145"/>
      <c r="CG263" s="145"/>
      <c r="CH263" s="145"/>
      <c r="CI263" s="158"/>
      <c r="CJ263" s="145"/>
      <c r="CK263" s="145"/>
      <c r="CL263" s="145"/>
      <c r="CM263" s="145"/>
      <c r="CN263" s="145"/>
      <c r="CO263" s="145"/>
      <c r="CP263" s="145"/>
      <c r="CQ263" s="158"/>
      <c r="CR263" s="146"/>
      <c r="CS263" s="158"/>
      <c r="CT263" s="158"/>
      <c r="CU263" s="158">
        <f>SUM(CV263:CV263)</f>
      </c>
      <c r="CV263" s="146"/>
      <c r="CW263" s="145"/>
      <c r="CX263" s="145"/>
      <c r="CY263" s="145">
        <f>SUM(CZ263:DE263)</f>
      </c>
      <c r="CZ263" s="145"/>
      <c r="DA263" s="146"/>
      <c r="DB263" s="146"/>
      <c r="DC263" s="153"/>
      <c r="DD263" s="153"/>
      <c r="DE263" s="145"/>
      <c r="DF263" s="145"/>
      <c r="DG263" s="145"/>
      <c r="DH263" s="158"/>
      <c r="DI263" s="145"/>
      <c r="DJ263" s="158"/>
      <c r="DK263" s="145"/>
      <c r="DL263" s="158"/>
      <c r="DM263" s="145"/>
      <c r="DN263" s="145"/>
      <c r="DO263" s="145"/>
      <c r="DP263" s="158"/>
      <c r="DQ263" s="145"/>
      <c r="DR263" s="145"/>
      <c r="DS263" s="145"/>
      <c r="DT263" s="145"/>
      <c r="DU263" s="145">
        <f>SUM(DV263:EE263)</f>
      </c>
      <c r="DV263" s="145"/>
      <c r="DW263" s="145"/>
      <c r="DX263" s="145"/>
      <c r="DY263" s="145"/>
      <c r="DZ263" s="146"/>
      <c r="EA263" s="158"/>
      <c r="EB263" s="146"/>
      <c r="EC263" s="145"/>
      <c r="ED263" s="145"/>
      <c r="EE263" s="155"/>
      <c r="EF263" s="145">
        <f>SUM(EG263:EH263)</f>
      </c>
      <c r="EG263" s="145"/>
      <c r="EH263" s="146"/>
      <c r="EI263" s="159" cm="1">
        <f t="array" ref="EI263">ROW()-ROW(Run[#Headers])</f>
        <v>257</v>
      </c>
    </row>
    <row r="264" spans="2:139" s="79" customFormat="1" ht="11.25" x14ac:dyDescent="0.2">
      <c r="B264" s="146"/>
      <c r="C264" s="155"/>
      <c r="D264" s="145"/>
      <c r="E264" s="152">
        <f>SUM(F264:AE264)</f>
      </c>
      <c r="F264" s="146"/>
      <c r="G264" s="146"/>
      <c r="H264" s="146"/>
      <c r="I264" s="146"/>
      <c r="J264" s="146"/>
      <c r="K264" s="156"/>
      <c r="L264" s="146"/>
      <c r="M264" s="146"/>
      <c r="N264" s="146"/>
      <c r="O264" s="146"/>
      <c r="P264" s="156"/>
      <c r="Q264" s="146"/>
      <c r="R264" s="146"/>
      <c r="S264" s="146"/>
      <c r="T264" s="156"/>
      <c r="U264" s="146"/>
      <c r="V264" s="146"/>
      <c r="W264" s="146"/>
      <c r="X264" s="146"/>
      <c r="Y264" s="146"/>
      <c r="Z264" s="146"/>
      <c r="AA264" s="146"/>
      <c r="AB264" s="146"/>
      <c r="AC264" s="157"/>
      <c r="AD264" s="157"/>
      <c r="AE264" s="157"/>
      <c r="AF264" s="158">
        <f>SUM(AG264:AJ264)</f>
      </c>
      <c r="AG264" s="146"/>
      <c r="AH264" s="145"/>
      <c r="AI264" s="145"/>
      <c r="AJ264" s="145"/>
      <c r="AK264" s="158">
        <f>SUM(AL264:AW264)</f>
      </c>
      <c r="AL264" s="146"/>
      <c r="AM264" s="145"/>
      <c r="AN264" s="145"/>
      <c r="AO264" s="145"/>
      <c r="AP264" s="145"/>
      <c r="AQ264" s="145"/>
      <c r="AR264" s="145"/>
      <c r="AS264" s="145"/>
      <c r="AT264" s="145"/>
      <c r="AU264" s="145"/>
      <c r="AV264" s="145"/>
      <c r="AW264" s="158"/>
      <c r="AX264" s="145"/>
      <c r="AY264" s="145"/>
      <c r="AZ264" s="145"/>
      <c r="BA264" s="158"/>
      <c r="BB264" s="145"/>
      <c r="BC264" s="145"/>
      <c r="BD264" s="158"/>
      <c r="BE264" s="146"/>
      <c r="BF264" s="145"/>
      <c r="BG264" s="145"/>
      <c r="BH264" s="158">
        <f>SUM(BI264:BK264)</f>
      </c>
      <c r="BI264" s="145"/>
      <c r="BJ264" s="145"/>
      <c r="BK264" s="145"/>
      <c r="BL264" s="145">
        <f>SUM(BM264:BR264)</f>
      </c>
      <c r="BM264" s="145"/>
      <c r="BN264" s="145"/>
      <c r="BO264" s="158"/>
      <c r="BP264" s="145"/>
      <c r="BQ264" s="145"/>
      <c r="BR264" s="145"/>
      <c r="BS264" s="145"/>
      <c r="BT264" s="145"/>
      <c r="BU264" s="158"/>
      <c r="BV264" s="146"/>
      <c r="BW264" s="145"/>
      <c r="BX264" s="145"/>
      <c r="BY264" s="158">
        <f>SUM(BZ264:CB264)</f>
      </c>
      <c r="BZ264" s="146"/>
      <c r="CA264" s="145"/>
      <c r="CB264" s="145"/>
      <c r="CC264" s="145">
        <f>SUM(CD264:CH264)</f>
      </c>
      <c r="CD264" s="145"/>
      <c r="CE264" s="158"/>
      <c r="CF264" s="145"/>
      <c r="CG264" s="145"/>
      <c r="CH264" s="145"/>
      <c r="CI264" s="158"/>
      <c r="CJ264" s="145"/>
      <c r="CK264" s="145"/>
      <c r="CL264" s="145"/>
      <c r="CM264" s="145"/>
      <c r="CN264" s="145"/>
      <c r="CO264" s="145"/>
      <c r="CP264" s="145"/>
      <c r="CQ264" s="158"/>
      <c r="CR264" s="146"/>
      <c r="CS264" s="158"/>
      <c r="CT264" s="158"/>
      <c r="CU264" s="158">
        <f>SUM(CV264:CV264)</f>
      </c>
      <c r="CV264" s="146"/>
      <c r="CW264" s="145"/>
      <c r="CX264" s="145"/>
      <c r="CY264" s="145">
        <f>SUM(CZ264:DE264)</f>
      </c>
      <c r="CZ264" s="145"/>
      <c r="DA264" s="146"/>
      <c r="DB264" s="146"/>
      <c r="DC264" s="153"/>
      <c r="DD264" s="153"/>
      <c r="DE264" s="145"/>
      <c r="DF264" s="145"/>
      <c r="DG264" s="145"/>
      <c r="DH264" s="158"/>
      <c r="DI264" s="145"/>
      <c r="DJ264" s="158"/>
      <c r="DK264" s="145"/>
      <c r="DL264" s="158"/>
      <c r="DM264" s="145"/>
      <c r="DN264" s="145"/>
      <c r="DO264" s="145"/>
      <c r="DP264" s="158"/>
      <c r="DQ264" s="145"/>
      <c r="DR264" s="145"/>
      <c r="DS264" s="145"/>
      <c r="DT264" s="145"/>
      <c r="DU264" s="145">
        <f>SUM(DV264:EE264)</f>
      </c>
      <c r="DV264" s="145"/>
      <c r="DW264" s="145"/>
      <c r="DX264" s="145"/>
      <c r="DY264" s="145"/>
      <c r="DZ264" s="146"/>
      <c r="EA264" s="158"/>
      <c r="EB264" s="146"/>
      <c r="EC264" s="145"/>
      <c r="ED264" s="145"/>
      <c r="EE264" s="155"/>
      <c r="EF264" s="145">
        <f>SUM(EG264:EH264)</f>
      </c>
      <c r="EG264" s="145"/>
      <c r="EH264" s="146"/>
      <c r="EI264" s="159" cm="1">
        <f t="array" ref="EI264">ROW()-ROW(Run[#Headers])</f>
        <v>258</v>
      </c>
    </row>
    <row r="265" spans="2:139" s="79" customFormat="1" ht="11.25" x14ac:dyDescent="0.2">
      <c r="B265" s="146"/>
      <c r="C265" s="155"/>
      <c r="D265" s="145"/>
      <c r="E265" s="152">
        <f>SUM(F265:AE265)</f>
      </c>
      <c r="F265" s="146"/>
      <c r="G265" s="146"/>
      <c r="H265" s="146"/>
      <c r="I265" s="146"/>
      <c r="J265" s="146"/>
      <c r="K265" s="156"/>
      <c r="L265" s="146"/>
      <c r="M265" s="146"/>
      <c r="N265" s="146"/>
      <c r="O265" s="146"/>
      <c r="P265" s="156"/>
      <c r="Q265" s="146"/>
      <c r="R265" s="146"/>
      <c r="S265" s="146"/>
      <c r="T265" s="156"/>
      <c r="U265" s="146"/>
      <c r="V265" s="146"/>
      <c r="W265" s="146"/>
      <c r="X265" s="146"/>
      <c r="Y265" s="146"/>
      <c r="Z265" s="146"/>
      <c r="AA265" s="146"/>
      <c r="AB265" s="146"/>
      <c r="AC265" s="157"/>
      <c r="AD265" s="157"/>
      <c r="AE265" s="157"/>
      <c r="AF265" s="158">
        <f>SUM(AG265:AJ265)</f>
      </c>
      <c r="AG265" s="146"/>
      <c r="AH265" s="145"/>
      <c r="AI265" s="145"/>
      <c r="AJ265" s="145"/>
      <c r="AK265" s="158">
        <f>SUM(AL265:AW265)</f>
      </c>
      <c r="AL265" s="146"/>
      <c r="AM265" s="145"/>
      <c r="AN265" s="145"/>
      <c r="AO265" s="145"/>
      <c r="AP265" s="145"/>
      <c r="AQ265" s="145"/>
      <c r="AR265" s="145"/>
      <c r="AS265" s="145"/>
      <c r="AT265" s="145"/>
      <c r="AU265" s="145"/>
      <c r="AV265" s="145"/>
      <c r="AW265" s="158"/>
      <c r="AX265" s="145"/>
      <c r="AY265" s="145"/>
      <c r="AZ265" s="145"/>
      <c r="BA265" s="158"/>
      <c r="BB265" s="145"/>
      <c r="BC265" s="145"/>
      <c r="BD265" s="158"/>
      <c r="BE265" s="146"/>
      <c r="BF265" s="145"/>
      <c r="BG265" s="145"/>
      <c r="BH265" s="158">
        <f>SUM(BI265:BK265)</f>
      </c>
      <c r="BI265" s="145"/>
      <c r="BJ265" s="145"/>
      <c r="BK265" s="145"/>
      <c r="BL265" s="145">
        <f>SUM(BM265:BR265)</f>
      </c>
      <c r="BM265" s="145"/>
      <c r="BN265" s="145"/>
      <c r="BO265" s="158"/>
      <c r="BP265" s="145"/>
      <c r="BQ265" s="145"/>
      <c r="BR265" s="145"/>
      <c r="BS265" s="145"/>
      <c r="BT265" s="145"/>
      <c r="BU265" s="158"/>
      <c r="BV265" s="146"/>
      <c r="BW265" s="145"/>
      <c r="BX265" s="145"/>
      <c r="BY265" s="158">
        <f>SUM(BZ265:CB265)</f>
      </c>
      <c r="BZ265" s="146"/>
      <c r="CA265" s="145"/>
      <c r="CB265" s="145"/>
      <c r="CC265" s="145">
        <f>SUM(CD265:CH265)</f>
      </c>
      <c r="CD265" s="145"/>
      <c r="CE265" s="158"/>
      <c r="CF265" s="145"/>
      <c r="CG265" s="145"/>
      <c r="CH265" s="145"/>
      <c r="CI265" s="158"/>
      <c r="CJ265" s="145"/>
      <c r="CK265" s="145"/>
      <c r="CL265" s="145"/>
      <c r="CM265" s="145"/>
      <c r="CN265" s="145"/>
      <c r="CO265" s="145"/>
      <c r="CP265" s="145"/>
      <c r="CQ265" s="158"/>
      <c r="CR265" s="146"/>
      <c r="CS265" s="158"/>
      <c r="CT265" s="158"/>
      <c r="CU265" s="158">
        <f>SUM(CV265:CV265)</f>
      </c>
      <c r="CV265" s="146"/>
      <c r="CW265" s="145"/>
      <c r="CX265" s="145"/>
      <c r="CY265" s="145">
        <f>SUM(CZ265:DE265)</f>
      </c>
      <c r="CZ265" s="145"/>
      <c r="DA265" s="146"/>
      <c r="DB265" s="146"/>
      <c r="DC265" s="153"/>
      <c r="DD265" s="153"/>
      <c r="DE265" s="145"/>
      <c r="DF265" s="145"/>
      <c r="DG265" s="145"/>
      <c r="DH265" s="158"/>
      <c r="DI265" s="145"/>
      <c r="DJ265" s="158"/>
      <c r="DK265" s="145"/>
      <c r="DL265" s="158"/>
      <c r="DM265" s="145"/>
      <c r="DN265" s="145"/>
      <c r="DO265" s="145"/>
      <c r="DP265" s="158"/>
      <c r="DQ265" s="145"/>
      <c r="DR265" s="145"/>
      <c r="DS265" s="145"/>
      <c r="DT265" s="145"/>
      <c r="DU265" s="145">
        <f>SUM(DV265:EE265)</f>
      </c>
      <c r="DV265" s="145"/>
      <c r="DW265" s="145"/>
      <c r="DX265" s="145"/>
      <c r="DY265" s="145"/>
      <c r="DZ265" s="146"/>
      <c r="EA265" s="158"/>
      <c r="EB265" s="146"/>
      <c r="EC265" s="145"/>
      <c r="ED265" s="145"/>
      <c r="EE265" s="155"/>
      <c r="EF265" s="145">
        <f>SUM(EG265:EH265)</f>
      </c>
      <c r="EG265" s="145"/>
      <c r="EH265" s="146"/>
      <c r="EI265" s="159" cm="1">
        <f t="array" ref="EI265">ROW()-ROW(Run[#Headers])</f>
        <v>259</v>
      </c>
    </row>
    <row r="266" spans="2:139" s="79" customFormat="1" ht="11.25" x14ac:dyDescent="0.2">
      <c r="B266" s="146"/>
      <c r="C266" s="155"/>
      <c r="D266" s="145"/>
      <c r="E266" s="152">
        <f>SUM(F266:AE266)</f>
      </c>
      <c r="F266" s="146"/>
      <c r="G266" s="146"/>
      <c r="H266" s="146"/>
      <c r="I266" s="146"/>
      <c r="J266" s="146"/>
      <c r="K266" s="156"/>
      <c r="L266" s="146"/>
      <c r="M266" s="146"/>
      <c r="N266" s="146"/>
      <c r="O266" s="146"/>
      <c r="P266" s="156"/>
      <c r="Q266" s="146"/>
      <c r="R266" s="146"/>
      <c r="S266" s="146"/>
      <c r="T266" s="156"/>
      <c r="U266" s="146"/>
      <c r="V266" s="146"/>
      <c r="W266" s="146"/>
      <c r="X266" s="146"/>
      <c r="Y266" s="146"/>
      <c r="Z266" s="146"/>
      <c r="AA266" s="146"/>
      <c r="AB266" s="146"/>
      <c r="AC266" s="157"/>
      <c r="AD266" s="157"/>
      <c r="AE266" s="157"/>
      <c r="AF266" s="158">
        <f>SUM(AG266:AJ266)</f>
      </c>
      <c r="AG266" s="146"/>
      <c r="AH266" s="145"/>
      <c r="AI266" s="145"/>
      <c r="AJ266" s="145"/>
      <c r="AK266" s="158">
        <f>SUM(AL266:AW266)</f>
      </c>
      <c r="AL266" s="146"/>
      <c r="AM266" s="145"/>
      <c r="AN266" s="145"/>
      <c r="AO266" s="145"/>
      <c r="AP266" s="145"/>
      <c r="AQ266" s="145"/>
      <c r="AR266" s="145"/>
      <c r="AS266" s="145"/>
      <c r="AT266" s="145"/>
      <c r="AU266" s="145"/>
      <c r="AV266" s="145"/>
      <c r="AW266" s="158"/>
      <c r="AX266" s="145"/>
      <c r="AY266" s="145"/>
      <c r="AZ266" s="145"/>
      <c r="BA266" s="158"/>
      <c r="BB266" s="145"/>
      <c r="BC266" s="145"/>
      <c r="BD266" s="158"/>
      <c r="BE266" s="146"/>
      <c r="BF266" s="145"/>
      <c r="BG266" s="145"/>
      <c r="BH266" s="158">
        <f>SUM(BI266:BK266)</f>
      </c>
      <c r="BI266" s="145"/>
      <c r="BJ266" s="145"/>
      <c r="BK266" s="145"/>
      <c r="BL266" s="145">
        <f>SUM(BM266:BR266)</f>
      </c>
      <c r="BM266" s="145"/>
      <c r="BN266" s="145"/>
      <c r="BO266" s="158"/>
      <c r="BP266" s="145"/>
      <c r="BQ266" s="145"/>
      <c r="BR266" s="145"/>
      <c r="BS266" s="145"/>
      <c r="BT266" s="145"/>
      <c r="BU266" s="158"/>
      <c r="BV266" s="146"/>
      <c r="BW266" s="145"/>
      <c r="BX266" s="145"/>
      <c r="BY266" s="158">
        <f>SUM(BZ266:CB266)</f>
      </c>
      <c r="BZ266" s="146"/>
      <c r="CA266" s="145"/>
      <c r="CB266" s="145"/>
      <c r="CC266" s="145">
        <f>SUM(CD266:CH266)</f>
      </c>
      <c r="CD266" s="145"/>
      <c r="CE266" s="158"/>
      <c r="CF266" s="145"/>
      <c r="CG266" s="145"/>
      <c r="CH266" s="145"/>
      <c r="CI266" s="158"/>
      <c r="CJ266" s="145"/>
      <c r="CK266" s="145"/>
      <c r="CL266" s="145"/>
      <c r="CM266" s="145"/>
      <c r="CN266" s="145"/>
      <c r="CO266" s="145"/>
      <c r="CP266" s="145"/>
      <c r="CQ266" s="158"/>
      <c r="CR266" s="146"/>
      <c r="CS266" s="158"/>
      <c r="CT266" s="158"/>
      <c r="CU266" s="158">
        <f>SUM(CV266:CV266)</f>
      </c>
      <c r="CV266" s="146"/>
      <c r="CW266" s="145"/>
      <c r="CX266" s="145"/>
      <c r="CY266" s="145">
        <f>SUM(CZ266:DE266)</f>
      </c>
      <c r="CZ266" s="145"/>
      <c r="DA266" s="146"/>
      <c r="DB266" s="146"/>
      <c r="DC266" s="153"/>
      <c r="DD266" s="153"/>
      <c r="DE266" s="145"/>
      <c r="DF266" s="145"/>
      <c r="DG266" s="145"/>
      <c r="DH266" s="158"/>
      <c r="DI266" s="145"/>
      <c r="DJ266" s="158"/>
      <c r="DK266" s="145"/>
      <c r="DL266" s="158"/>
      <c r="DM266" s="145"/>
      <c r="DN266" s="145"/>
      <c r="DO266" s="145"/>
      <c r="DP266" s="158"/>
      <c r="DQ266" s="145"/>
      <c r="DR266" s="145"/>
      <c r="DS266" s="145"/>
      <c r="DT266" s="145"/>
      <c r="DU266" s="145">
        <f>SUM(DV266:EE266)</f>
      </c>
      <c r="DV266" s="145"/>
      <c r="DW266" s="145"/>
      <c r="DX266" s="145"/>
      <c r="DY266" s="145"/>
      <c r="DZ266" s="146"/>
      <c r="EA266" s="158"/>
      <c r="EB266" s="146"/>
      <c r="EC266" s="145"/>
      <c r="ED266" s="145"/>
      <c r="EE266" s="155"/>
      <c r="EF266" s="145">
        <f>SUM(EG266:EH266)</f>
      </c>
      <c r="EG266" s="145"/>
      <c r="EH266" s="146"/>
      <c r="EI266" s="159" cm="1">
        <f t="array" ref="EI266">ROW()-ROW(Run[#Headers])</f>
        <v>260</v>
      </c>
    </row>
    <row r="267" spans="2:139" s="79" customFormat="1" ht="11.25" x14ac:dyDescent="0.2">
      <c r="B267" s="146"/>
      <c r="C267" s="155"/>
      <c r="D267" s="145"/>
      <c r="E267" s="152">
        <f>SUM(F267:AE267)</f>
      </c>
      <c r="F267" s="146"/>
      <c r="G267" s="146"/>
      <c r="H267" s="146"/>
      <c r="I267" s="146"/>
      <c r="J267" s="146"/>
      <c r="K267" s="156"/>
      <c r="L267" s="146"/>
      <c r="M267" s="146"/>
      <c r="N267" s="146"/>
      <c r="O267" s="146"/>
      <c r="P267" s="156"/>
      <c r="Q267" s="146"/>
      <c r="R267" s="146"/>
      <c r="S267" s="146"/>
      <c r="T267" s="156"/>
      <c r="U267" s="146"/>
      <c r="V267" s="146"/>
      <c r="W267" s="146"/>
      <c r="X267" s="146"/>
      <c r="Y267" s="146"/>
      <c r="Z267" s="146"/>
      <c r="AA267" s="146"/>
      <c r="AB267" s="146"/>
      <c r="AC267" s="157"/>
      <c r="AD267" s="157"/>
      <c r="AE267" s="157"/>
      <c r="AF267" s="158">
        <f>SUM(AG267:AJ267)</f>
      </c>
      <c r="AG267" s="146"/>
      <c r="AH267" s="145"/>
      <c r="AI267" s="145"/>
      <c r="AJ267" s="145"/>
      <c r="AK267" s="158">
        <f>SUM(AL267:AW267)</f>
      </c>
      <c r="AL267" s="146"/>
      <c r="AM267" s="145"/>
      <c r="AN267" s="145"/>
      <c r="AO267" s="145"/>
      <c r="AP267" s="145"/>
      <c r="AQ267" s="145"/>
      <c r="AR267" s="145"/>
      <c r="AS267" s="145"/>
      <c r="AT267" s="145"/>
      <c r="AU267" s="145"/>
      <c r="AV267" s="145"/>
      <c r="AW267" s="158"/>
      <c r="AX267" s="145"/>
      <c r="AY267" s="145"/>
      <c r="AZ267" s="145"/>
      <c r="BA267" s="158"/>
      <c r="BB267" s="145"/>
      <c r="BC267" s="145"/>
      <c r="BD267" s="158"/>
      <c r="BE267" s="146"/>
      <c r="BF267" s="145"/>
      <c r="BG267" s="145"/>
      <c r="BH267" s="158">
        <f>SUM(BI267:BK267)</f>
      </c>
      <c r="BI267" s="145"/>
      <c r="BJ267" s="145"/>
      <c r="BK267" s="145"/>
      <c r="BL267" s="145">
        <f>SUM(BM267:BR267)</f>
      </c>
      <c r="BM267" s="145"/>
      <c r="BN267" s="145"/>
      <c r="BO267" s="158"/>
      <c r="BP267" s="145"/>
      <c r="BQ267" s="145"/>
      <c r="BR267" s="145"/>
      <c r="BS267" s="145"/>
      <c r="BT267" s="145"/>
      <c r="BU267" s="158"/>
      <c r="BV267" s="146"/>
      <c r="BW267" s="145"/>
      <c r="BX267" s="145"/>
      <c r="BY267" s="158">
        <f>SUM(BZ267:CB267)</f>
      </c>
      <c r="BZ267" s="146"/>
      <c r="CA267" s="145"/>
      <c r="CB267" s="145"/>
      <c r="CC267" s="145">
        <f>SUM(CD267:CH267)</f>
      </c>
      <c r="CD267" s="145"/>
      <c r="CE267" s="158"/>
      <c r="CF267" s="145"/>
      <c r="CG267" s="145"/>
      <c r="CH267" s="145"/>
      <c r="CI267" s="158"/>
      <c r="CJ267" s="145"/>
      <c r="CK267" s="145"/>
      <c r="CL267" s="145"/>
      <c r="CM267" s="145"/>
      <c r="CN267" s="145"/>
      <c r="CO267" s="145"/>
      <c r="CP267" s="145"/>
      <c r="CQ267" s="158"/>
      <c r="CR267" s="146"/>
      <c r="CS267" s="158"/>
      <c r="CT267" s="158"/>
      <c r="CU267" s="158">
        <f>SUM(CV267:CV267)</f>
      </c>
      <c r="CV267" s="146"/>
      <c r="CW267" s="145"/>
      <c r="CX267" s="145"/>
      <c r="CY267" s="145">
        <f>SUM(CZ267:DE267)</f>
      </c>
      <c r="CZ267" s="145"/>
      <c r="DA267" s="146"/>
      <c r="DB267" s="146"/>
      <c r="DC267" s="153"/>
      <c r="DD267" s="153"/>
      <c r="DE267" s="145"/>
      <c r="DF267" s="145"/>
      <c r="DG267" s="145"/>
      <c r="DH267" s="158"/>
      <c r="DI267" s="145"/>
      <c r="DJ267" s="158"/>
      <c r="DK267" s="145"/>
      <c r="DL267" s="158"/>
      <c r="DM267" s="145"/>
      <c r="DN267" s="145"/>
      <c r="DO267" s="145"/>
      <c r="DP267" s="158"/>
      <c r="DQ267" s="145"/>
      <c r="DR267" s="145"/>
      <c r="DS267" s="145"/>
      <c r="DT267" s="145"/>
      <c r="DU267" s="145">
        <f>SUM(DV267:EE267)</f>
      </c>
      <c r="DV267" s="145"/>
      <c r="DW267" s="145"/>
      <c r="DX267" s="145"/>
      <c r="DY267" s="145"/>
      <c r="DZ267" s="146"/>
      <c r="EA267" s="158"/>
      <c r="EB267" s="146"/>
      <c r="EC267" s="145"/>
      <c r="ED267" s="145"/>
      <c r="EE267" s="155"/>
      <c r="EF267" s="145">
        <f>SUM(EG267:EH267)</f>
      </c>
      <c r="EG267" s="145"/>
      <c r="EH267" s="146"/>
      <c r="EI267" s="159" cm="1">
        <f t="array" ref="EI267">ROW()-ROW(Run[#Headers])</f>
        <v>261</v>
      </c>
    </row>
    <row r="268" spans="2:139" s="79" customFormat="1" ht="11.25" x14ac:dyDescent="0.2">
      <c r="B268" s="146"/>
      <c r="C268" s="155"/>
      <c r="D268" s="145"/>
      <c r="E268" s="152">
        <f>SUM(F268:AE268)</f>
      </c>
      <c r="F268" s="146"/>
      <c r="G268" s="146"/>
      <c r="H268" s="146"/>
      <c r="I268" s="146"/>
      <c r="J268" s="146"/>
      <c r="K268" s="156"/>
      <c r="L268" s="146"/>
      <c r="M268" s="146"/>
      <c r="N268" s="146"/>
      <c r="O268" s="146"/>
      <c r="P268" s="156"/>
      <c r="Q268" s="146"/>
      <c r="R268" s="146"/>
      <c r="S268" s="146"/>
      <c r="T268" s="156"/>
      <c r="U268" s="146"/>
      <c r="V268" s="146"/>
      <c r="W268" s="146"/>
      <c r="X268" s="146"/>
      <c r="Y268" s="146"/>
      <c r="Z268" s="146"/>
      <c r="AA268" s="146"/>
      <c r="AB268" s="146"/>
      <c r="AC268" s="157"/>
      <c r="AD268" s="157"/>
      <c r="AE268" s="157"/>
      <c r="AF268" s="158">
        <f>SUM(AG268:AJ268)</f>
      </c>
      <c r="AG268" s="146"/>
      <c r="AH268" s="145"/>
      <c r="AI268" s="145"/>
      <c r="AJ268" s="145"/>
      <c r="AK268" s="158">
        <f>SUM(AL268:AW268)</f>
      </c>
      <c r="AL268" s="146"/>
      <c r="AM268" s="145"/>
      <c r="AN268" s="145"/>
      <c r="AO268" s="145"/>
      <c r="AP268" s="145"/>
      <c r="AQ268" s="145"/>
      <c r="AR268" s="145"/>
      <c r="AS268" s="145"/>
      <c r="AT268" s="145"/>
      <c r="AU268" s="145"/>
      <c r="AV268" s="145"/>
      <c r="AW268" s="158"/>
      <c r="AX268" s="145"/>
      <c r="AY268" s="145"/>
      <c r="AZ268" s="145"/>
      <c r="BA268" s="158"/>
      <c r="BB268" s="145"/>
      <c r="BC268" s="145"/>
      <c r="BD268" s="158"/>
      <c r="BE268" s="146"/>
      <c r="BF268" s="145"/>
      <c r="BG268" s="145"/>
      <c r="BH268" s="158">
        <f>SUM(BI268:BK268)</f>
      </c>
      <c r="BI268" s="145"/>
      <c r="BJ268" s="145"/>
      <c r="BK268" s="145"/>
      <c r="BL268" s="145">
        <f>SUM(BM268:BR268)</f>
      </c>
      <c r="BM268" s="145"/>
      <c r="BN268" s="145"/>
      <c r="BO268" s="158"/>
      <c r="BP268" s="145"/>
      <c r="BQ268" s="145"/>
      <c r="BR268" s="145"/>
      <c r="BS268" s="145"/>
      <c r="BT268" s="145"/>
      <c r="BU268" s="158"/>
      <c r="BV268" s="146"/>
      <c r="BW268" s="145"/>
      <c r="BX268" s="145"/>
      <c r="BY268" s="158">
        <f>SUM(BZ268:CB268)</f>
      </c>
      <c r="BZ268" s="146"/>
      <c r="CA268" s="145"/>
      <c r="CB268" s="145"/>
      <c r="CC268" s="145">
        <f>SUM(CD268:CH268)</f>
      </c>
      <c r="CD268" s="145"/>
      <c r="CE268" s="158"/>
      <c r="CF268" s="145"/>
      <c r="CG268" s="145"/>
      <c r="CH268" s="145"/>
      <c r="CI268" s="158"/>
      <c r="CJ268" s="145"/>
      <c r="CK268" s="145"/>
      <c r="CL268" s="145"/>
      <c r="CM268" s="145"/>
      <c r="CN268" s="145"/>
      <c r="CO268" s="145"/>
      <c r="CP268" s="145"/>
      <c r="CQ268" s="158"/>
      <c r="CR268" s="146"/>
      <c r="CS268" s="158"/>
      <c r="CT268" s="158"/>
      <c r="CU268" s="158">
        <f>SUM(CV268:CV268)</f>
      </c>
      <c r="CV268" s="146"/>
      <c r="CW268" s="145"/>
      <c r="CX268" s="145"/>
      <c r="CY268" s="145">
        <f>SUM(CZ268:DE268)</f>
      </c>
      <c r="CZ268" s="145"/>
      <c r="DA268" s="146"/>
      <c r="DB268" s="146"/>
      <c r="DC268" s="153"/>
      <c r="DD268" s="153"/>
      <c r="DE268" s="145"/>
      <c r="DF268" s="145"/>
      <c r="DG268" s="145"/>
      <c r="DH268" s="158"/>
      <c r="DI268" s="145"/>
      <c r="DJ268" s="158"/>
      <c r="DK268" s="145"/>
      <c r="DL268" s="158"/>
      <c r="DM268" s="145"/>
      <c r="DN268" s="145"/>
      <c r="DO268" s="145"/>
      <c r="DP268" s="158"/>
      <c r="DQ268" s="145"/>
      <c r="DR268" s="145"/>
      <c r="DS268" s="145"/>
      <c r="DT268" s="145"/>
      <c r="DU268" s="145">
        <f>SUM(DV268:EE268)</f>
      </c>
      <c r="DV268" s="145"/>
      <c r="DW268" s="145"/>
      <c r="DX268" s="145"/>
      <c r="DY268" s="145"/>
      <c r="DZ268" s="146"/>
      <c r="EA268" s="158"/>
      <c r="EB268" s="146"/>
      <c r="EC268" s="145"/>
      <c r="ED268" s="145"/>
      <c r="EE268" s="155"/>
      <c r="EF268" s="145">
        <f>SUM(EG268:EH268)</f>
      </c>
      <c r="EG268" s="145"/>
      <c r="EH268" s="146"/>
      <c r="EI268" s="159" cm="1">
        <f t="array" ref="EI268">ROW()-ROW(Run[#Headers])</f>
        <v>262</v>
      </c>
    </row>
    <row r="269" spans="2:139" s="79" customFormat="1" ht="11.25" x14ac:dyDescent="0.2">
      <c r="B269" s="146"/>
      <c r="C269" s="155"/>
      <c r="D269" s="145"/>
      <c r="E269" s="152">
        <f>SUM(F269:AE269)</f>
      </c>
      <c r="F269" s="146"/>
      <c r="G269" s="146"/>
      <c r="H269" s="146"/>
      <c r="I269" s="146"/>
      <c r="J269" s="146"/>
      <c r="K269" s="156"/>
      <c r="L269" s="146"/>
      <c r="M269" s="146"/>
      <c r="N269" s="146"/>
      <c r="O269" s="146"/>
      <c r="P269" s="156"/>
      <c r="Q269" s="146"/>
      <c r="R269" s="146"/>
      <c r="S269" s="146"/>
      <c r="T269" s="156"/>
      <c r="U269" s="146"/>
      <c r="V269" s="146"/>
      <c r="W269" s="146"/>
      <c r="X269" s="146"/>
      <c r="Y269" s="146"/>
      <c r="Z269" s="146"/>
      <c r="AA269" s="146"/>
      <c r="AB269" s="146"/>
      <c r="AC269" s="157"/>
      <c r="AD269" s="157"/>
      <c r="AE269" s="157"/>
      <c r="AF269" s="158">
        <f>SUM(AG269:AJ269)</f>
      </c>
      <c r="AG269" s="146"/>
      <c r="AH269" s="145"/>
      <c r="AI269" s="145"/>
      <c r="AJ269" s="145"/>
      <c r="AK269" s="158">
        <f>SUM(AL269:AW269)</f>
      </c>
      <c r="AL269" s="146"/>
      <c r="AM269" s="145"/>
      <c r="AN269" s="145"/>
      <c r="AO269" s="145"/>
      <c r="AP269" s="145"/>
      <c r="AQ269" s="145"/>
      <c r="AR269" s="145"/>
      <c r="AS269" s="145"/>
      <c r="AT269" s="145"/>
      <c r="AU269" s="145"/>
      <c r="AV269" s="145"/>
      <c r="AW269" s="158"/>
      <c r="AX269" s="145"/>
      <c r="AY269" s="145"/>
      <c r="AZ269" s="145"/>
      <c r="BA269" s="158"/>
      <c r="BB269" s="145"/>
      <c r="BC269" s="145"/>
      <c r="BD269" s="158"/>
      <c r="BE269" s="146"/>
      <c r="BF269" s="145"/>
      <c r="BG269" s="145"/>
      <c r="BH269" s="158">
        <f>SUM(BI269:BK269)</f>
      </c>
      <c r="BI269" s="145"/>
      <c r="BJ269" s="145"/>
      <c r="BK269" s="145"/>
      <c r="BL269" s="145">
        <f>SUM(BM269:BR269)</f>
      </c>
      <c r="BM269" s="145"/>
      <c r="BN269" s="145"/>
      <c r="BO269" s="158"/>
      <c r="BP269" s="145"/>
      <c r="BQ269" s="145"/>
      <c r="BR269" s="145"/>
      <c r="BS269" s="145"/>
      <c r="BT269" s="145"/>
      <c r="BU269" s="158"/>
      <c r="BV269" s="146"/>
      <c r="BW269" s="145"/>
      <c r="BX269" s="145"/>
      <c r="BY269" s="158">
        <f>SUM(BZ269:CB269)</f>
      </c>
      <c r="BZ269" s="146"/>
      <c r="CA269" s="145"/>
      <c r="CB269" s="145"/>
      <c r="CC269" s="145">
        <f>SUM(CD269:CH269)</f>
      </c>
      <c r="CD269" s="145"/>
      <c r="CE269" s="158"/>
      <c r="CF269" s="145"/>
      <c r="CG269" s="145"/>
      <c r="CH269" s="145"/>
      <c r="CI269" s="158"/>
      <c r="CJ269" s="145"/>
      <c r="CK269" s="145"/>
      <c r="CL269" s="145"/>
      <c r="CM269" s="145"/>
      <c r="CN269" s="145"/>
      <c r="CO269" s="145"/>
      <c r="CP269" s="145"/>
      <c r="CQ269" s="158"/>
      <c r="CR269" s="146"/>
      <c r="CS269" s="158"/>
      <c r="CT269" s="158"/>
      <c r="CU269" s="158">
        <f>SUM(CV269:CV269)</f>
      </c>
      <c r="CV269" s="146"/>
      <c r="CW269" s="145"/>
      <c r="CX269" s="145"/>
      <c r="CY269" s="145">
        <f>SUM(CZ269:DE269)</f>
      </c>
      <c r="CZ269" s="145"/>
      <c r="DA269" s="146"/>
      <c r="DB269" s="146"/>
      <c r="DC269" s="153"/>
      <c r="DD269" s="153"/>
      <c r="DE269" s="145"/>
      <c r="DF269" s="145"/>
      <c r="DG269" s="145"/>
      <c r="DH269" s="158"/>
      <c r="DI269" s="145"/>
      <c r="DJ269" s="158"/>
      <c r="DK269" s="145"/>
      <c r="DL269" s="158"/>
      <c r="DM269" s="145"/>
      <c r="DN269" s="145"/>
      <c r="DO269" s="145"/>
      <c r="DP269" s="158"/>
      <c r="DQ269" s="145"/>
      <c r="DR269" s="145"/>
      <c r="DS269" s="145"/>
      <c r="DT269" s="145"/>
      <c r="DU269" s="145">
        <f>SUM(DV269:EE269)</f>
      </c>
      <c r="DV269" s="145"/>
      <c r="DW269" s="145"/>
      <c r="DX269" s="145"/>
      <c r="DY269" s="145"/>
      <c r="DZ269" s="146"/>
      <c r="EA269" s="158"/>
      <c r="EB269" s="146"/>
      <c r="EC269" s="145"/>
      <c r="ED269" s="145"/>
      <c r="EE269" s="155"/>
      <c r="EF269" s="145">
        <f>SUM(EG269:EH269)</f>
      </c>
      <c r="EG269" s="145"/>
      <c r="EH269" s="146"/>
      <c r="EI269" s="159" cm="1">
        <f t="array" ref="EI269">ROW()-ROW(Run[#Headers])</f>
        <v>263</v>
      </c>
    </row>
    <row r="270" spans="2:139" s="79" customFormat="1" ht="11.25" x14ac:dyDescent="0.2">
      <c r="B270" s="146"/>
      <c r="C270" s="155"/>
      <c r="D270" s="145"/>
      <c r="E270" s="152">
        <f>SUM(F270:AE270)</f>
      </c>
      <c r="F270" s="146"/>
      <c r="G270" s="146"/>
      <c r="H270" s="146"/>
      <c r="I270" s="146"/>
      <c r="J270" s="146"/>
      <c r="K270" s="156"/>
      <c r="L270" s="146"/>
      <c r="M270" s="146"/>
      <c r="N270" s="146"/>
      <c r="O270" s="146"/>
      <c r="P270" s="156"/>
      <c r="Q270" s="146"/>
      <c r="R270" s="146"/>
      <c r="S270" s="146"/>
      <c r="T270" s="156"/>
      <c r="U270" s="146"/>
      <c r="V270" s="146"/>
      <c r="W270" s="146"/>
      <c r="X270" s="146"/>
      <c r="Y270" s="146"/>
      <c r="Z270" s="146"/>
      <c r="AA270" s="146"/>
      <c r="AB270" s="146"/>
      <c r="AC270" s="157"/>
      <c r="AD270" s="157"/>
      <c r="AE270" s="157"/>
      <c r="AF270" s="158">
        <f>SUM(AG270:AJ270)</f>
      </c>
      <c r="AG270" s="146"/>
      <c r="AH270" s="145"/>
      <c r="AI270" s="145"/>
      <c r="AJ270" s="145"/>
      <c r="AK270" s="158">
        <f>SUM(AL270:AW270)</f>
      </c>
      <c r="AL270" s="146"/>
      <c r="AM270" s="145"/>
      <c r="AN270" s="145"/>
      <c r="AO270" s="145"/>
      <c r="AP270" s="145"/>
      <c r="AQ270" s="145"/>
      <c r="AR270" s="145"/>
      <c r="AS270" s="145"/>
      <c r="AT270" s="145"/>
      <c r="AU270" s="145"/>
      <c r="AV270" s="145"/>
      <c r="AW270" s="158"/>
      <c r="AX270" s="145"/>
      <c r="AY270" s="145"/>
      <c r="AZ270" s="145"/>
      <c r="BA270" s="158"/>
      <c r="BB270" s="145"/>
      <c r="BC270" s="145"/>
      <c r="BD270" s="158"/>
      <c r="BE270" s="146"/>
      <c r="BF270" s="145"/>
      <c r="BG270" s="145"/>
      <c r="BH270" s="158">
        <f>SUM(BI270:BK270)</f>
      </c>
      <c r="BI270" s="145"/>
      <c r="BJ270" s="145"/>
      <c r="BK270" s="145"/>
      <c r="BL270" s="145">
        <f>SUM(BM270:BR270)</f>
      </c>
      <c r="BM270" s="145"/>
      <c r="BN270" s="145"/>
      <c r="BO270" s="158"/>
      <c r="BP270" s="145"/>
      <c r="BQ270" s="145"/>
      <c r="BR270" s="145"/>
      <c r="BS270" s="145"/>
      <c r="BT270" s="145"/>
      <c r="BU270" s="158"/>
      <c r="BV270" s="146"/>
      <c r="BW270" s="145"/>
      <c r="BX270" s="145"/>
      <c r="BY270" s="158">
        <f>SUM(BZ270:CB270)</f>
      </c>
      <c r="BZ270" s="146"/>
      <c r="CA270" s="145"/>
      <c r="CB270" s="145"/>
      <c r="CC270" s="145">
        <f>SUM(CD270:CH270)</f>
      </c>
      <c r="CD270" s="145"/>
      <c r="CE270" s="158"/>
      <c r="CF270" s="145"/>
      <c r="CG270" s="145"/>
      <c r="CH270" s="145"/>
      <c r="CI270" s="158"/>
      <c r="CJ270" s="145"/>
      <c r="CK270" s="145"/>
      <c r="CL270" s="145"/>
      <c r="CM270" s="145"/>
      <c r="CN270" s="145"/>
      <c r="CO270" s="145"/>
      <c r="CP270" s="145"/>
      <c r="CQ270" s="158"/>
      <c r="CR270" s="146"/>
      <c r="CS270" s="158"/>
      <c r="CT270" s="158"/>
      <c r="CU270" s="158">
        <f>SUM(CV270:CV270)</f>
      </c>
      <c r="CV270" s="146"/>
      <c r="CW270" s="145"/>
      <c r="CX270" s="145"/>
      <c r="CY270" s="145">
        <f>SUM(CZ270:DE270)</f>
      </c>
      <c r="CZ270" s="145"/>
      <c r="DA270" s="146"/>
      <c r="DB270" s="146"/>
      <c r="DC270" s="153"/>
      <c r="DD270" s="153"/>
      <c r="DE270" s="145"/>
      <c r="DF270" s="145"/>
      <c r="DG270" s="145"/>
      <c r="DH270" s="158"/>
      <c r="DI270" s="145"/>
      <c r="DJ270" s="158"/>
      <c r="DK270" s="145"/>
      <c r="DL270" s="158"/>
      <c r="DM270" s="145"/>
      <c r="DN270" s="145"/>
      <c r="DO270" s="145"/>
      <c r="DP270" s="158"/>
      <c r="DQ270" s="145"/>
      <c r="DR270" s="145"/>
      <c r="DS270" s="145"/>
      <c r="DT270" s="145"/>
      <c r="DU270" s="145">
        <f>SUM(DV270:EE270)</f>
      </c>
      <c r="DV270" s="145"/>
      <c r="DW270" s="145"/>
      <c r="DX270" s="145"/>
      <c r="DY270" s="145"/>
      <c r="DZ270" s="146"/>
      <c r="EA270" s="158"/>
      <c r="EB270" s="146"/>
      <c r="EC270" s="145"/>
      <c r="ED270" s="145"/>
      <c r="EE270" s="155"/>
      <c r="EF270" s="145">
        <f>SUM(EG270:EH270)</f>
      </c>
      <c r="EG270" s="145"/>
      <c r="EH270" s="146"/>
      <c r="EI270" s="159" cm="1">
        <f t="array" ref="EI270">ROW()-ROW(Run[#Headers])</f>
        <v>264</v>
      </c>
    </row>
    <row r="271" spans="2:139" s="79" customFormat="1" ht="11.25" x14ac:dyDescent="0.2">
      <c r="B271" s="146"/>
      <c r="C271" s="155"/>
      <c r="D271" s="145"/>
      <c r="E271" s="152">
        <f>SUM(F271:AE271)</f>
      </c>
      <c r="F271" s="146"/>
      <c r="G271" s="146"/>
      <c r="H271" s="146"/>
      <c r="I271" s="146"/>
      <c r="J271" s="146"/>
      <c r="K271" s="156"/>
      <c r="L271" s="146"/>
      <c r="M271" s="146"/>
      <c r="N271" s="146"/>
      <c r="O271" s="146"/>
      <c r="P271" s="156"/>
      <c r="Q271" s="146"/>
      <c r="R271" s="146"/>
      <c r="S271" s="146"/>
      <c r="T271" s="156"/>
      <c r="U271" s="146"/>
      <c r="V271" s="146"/>
      <c r="W271" s="146"/>
      <c r="X271" s="146"/>
      <c r="Y271" s="146"/>
      <c r="Z271" s="146"/>
      <c r="AA271" s="146"/>
      <c r="AB271" s="146"/>
      <c r="AC271" s="157"/>
      <c r="AD271" s="157"/>
      <c r="AE271" s="157"/>
      <c r="AF271" s="158">
        <f>SUM(AG271:AJ271)</f>
      </c>
      <c r="AG271" s="146"/>
      <c r="AH271" s="145"/>
      <c r="AI271" s="145"/>
      <c r="AJ271" s="145"/>
      <c r="AK271" s="158">
        <f>SUM(AL271:AW271)</f>
      </c>
      <c r="AL271" s="146"/>
      <c r="AM271" s="145"/>
      <c r="AN271" s="145"/>
      <c r="AO271" s="145"/>
      <c r="AP271" s="145"/>
      <c r="AQ271" s="145"/>
      <c r="AR271" s="145"/>
      <c r="AS271" s="145"/>
      <c r="AT271" s="145"/>
      <c r="AU271" s="145"/>
      <c r="AV271" s="145"/>
      <c r="AW271" s="158"/>
      <c r="AX271" s="145"/>
      <c r="AY271" s="145"/>
      <c r="AZ271" s="145"/>
      <c r="BA271" s="158"/>
      <c r="BB271" s="145"/>
      <c r="BC271" s="145"/>
      <c r="BD271" s="158"/>
      <c r="BE271" s="146"/>
      <c r="BF271" s="145"/>
      <c r="BG271" s="145"/>
      <c r="BH271" s="158">
        <f>SUM(BI271:BK271)</f>
      </c>
      <c r="BI271" s="145"/>
      <c r="BJ271" s="145"/>
      <c r="BK271" s="145"/>
      <c r="BL271" s="145">
        <f>SUM(BM271:BR271)</f>
      </c>
      <c r="BM271" s="145"/>
      <c r="BN271" s="145"/>
      <c r="BO271" s="158"/>
      <c r="BP271" s="145"/>
      <c r="BQ271" s="145"/>
      <c r="BR271" s="145"/>
      <c r="BS271" s="145"/>
      <c r="BT271" s="145"/>
      <c r="BU271" s="158"/>
      <c r="BV271" s="146"/>
      <c r="BW271" s="145"/>
      <c r="BX271" s="145"/>
      <c r="BY271" s="158">
        <f>SUM(BZ271:CB271)</f>
      </c>
      <c r="BZ271" s="146"/>
      <c r="CA271" s="145"/>
      <c r="CB271" s="145"/>
      <c r="CC271" s="145">
        <f>SUM(CD271:CH271)</f>
      </c>
      <c r="CD271" s="145"/>
      <c r="CE271" s="158"/>
      <c r="CF271" s="145"/>
      <c r="CG271" s="145"/>
      <c r="CH271" s="145"/>
      <c r="CI271" s="158"/>
      <c r="CJ271" s="145"/>
      <c r="CK271" s="145"/>
      <c r="CL271" s="145"/>
      <c r="CM271" s="145"/>
      <c r="CN271" s="145"/>
      <c r="CO271" s="145"/>
      <c r="CP271" s="145"/>
      <c r="CQ271" s="158"/>
      <c r="CR271" s="146"/>
      <c r="CS271" s="158"/>
      <c r="CT271" s="158"/>
      <c r="CU271" s="158">
        <f>SUM(CV271:CV271)</f>
      </c>
      <c r="CV271" s="146"/>
      <c r="CW271" s="145"/>
      <c r="CX271" s="145"/>
      <c r="CY271" s="145">
        <f>SUM(CZ271:DE271)</f>
      </c>
      <c r="CZ271" s="145"/>
      <c r="DA271" s="146"/>
      <c r="DB271" s="146"/>
      <c r="DC271" s="153"/>
      <c r="DD271" s="153"/>
      <c r="DE271" s="145"/>
      <c r="DF271" s="145"/>
      <c r="DG271" s="145"/>
      <c r="DH271" s="158"/>
      <c r="DI271" s="145"/>
      <c r="DJ271" s="158"/>
      <c r="DK271" s="145"/>
      <c r="DL271" s="158"/>
      <c r="DM271" s="145"/>
      <c r="DN271" s="145"/>
      <c r="DO271" s="145"/>
      <c r="DP271" s="158"/>
      <c r="DQ271" s="145"/>
      <c r="DR271" s="145"/>
      <c r="DS271" s="145"/>
      <c r="DT271" s="145"/>
      <c r="DU271" s="145">
        <f>SUM(DV271:EE271)</f>
      </c>
      <c r="DV271" s="145"/>
      <c r="DW271" s="145"/>
      <c r="DX271" s="145"/>
      <c r="DY271" s="145"/>
      <c r="DZ271" s="146"/>
      <c r="EA271" s="158"/>
      <c r="EB271" s="146"/>
      <c r="EC271" s="145"/>
      <c r="ED271" s="145"/>
      <c r="EE271" s="155"/>
      <c r="EF271" s="145">
        <f>SUM(EG271:EH271)</f>
      </c>
      <c r="EG271" s="145"/>
      <c r="EH271" s="146"/>
      <c r="EI271" s="159" cm="1">
        <f t="array" ref="EI271">ROW()-ROW(Run[#Headers])</f>
        <v>265</v>
      </c>
    </row>
    <row r="272" spans="2:139" s="79" customFormat="1" ht="11.25" x14ac:dyDescent="0.2">
      <c r="B272" s="146"/>
      <c r="C272" s="155"/>
      <c r="D272" s="145"/>
      <c r="E272" s="152">
        <f>SUM(F272:AE272)</f>
      </c>
      <c r="F272" s="146"/>
      <c r="G272" s="146"/>
      <c r="H272" s="146"/>
      <c r="I272" s="146"/>
      <c r="J272" s="146"/>
      <c r="K272" s="156"/>
      <c r="L272" s="146"/>
      <c r="M272" s="146"/>
      <c r="N272" s="146"/>
      <c r="O272" s="146"/>
      <c r="P272" s="156"/>
      <c r="Q272" s="146"/>
      <c r="R272" s="146"/>
      <c r="S272" s="146"/>
      <c r="T272" s="156"/>
      <c r="U272" s="146"/>
      <c r="V272" s="146"/>
      <c r="W272" s="146"/>
      <c r="X272" s="146"/>
      <c r="Y272" s="146"/>
      <c r="Z272" s="146"/>
      <c r="AA272" s="146"/>
      <c r="AB272" s="146"/>
      <c r="AC272" s="157"/>
      <c r="AD272" s="157"/>
      <c r="AE272" s="157"/>
      <c r="AF272" s="158">
        <f>SUM(AG272:AJ272)</f>
      </c>
      <c r="AG272" s="146"/>
      <c r="AH272" s="145"/>
      <c r="AI272" s="145"/>
      <c r="AJ272" s="145"/>
      <c r="AK272" s="158">
        <f>SUM(AL272:AW272)</f>
      </c>
      <c r="AL272" s="146"/>
      <c r="AM272" s="145"/>
      <c r="AN272" s="145"/>
      <c r="AO272" s="145"/>
      <c r="AP272" s="145"/>
      <c r="AQ272" s="145"/>
      <c r="AR272" s="145"/>
      <c r="AS272" s="145"/>
      <c r="AT272" s="145"/>
      <c r="AU272" s="145"/>
      <c r="AV272" s="145"/>
      <c r="AW272" s="158"/>
      <c r="AX272" s="145"/>
      <c r="AY272" s="145"/>
      <c r="AZ272" s="145"/>
      <c r="BA272" s="158"/>
      <c r="BB272" s="145"/>
      <c r="BC272" s="145"/>
      <c r="BD272" s="158"/>
      <c r="BE272" s="146"/>
      <c r="BF272" s="145"/>
      <c r="BG272" s="145"/>
      <c r="BH272" s="158">
        <f>SUM(BI272:BK272)</f>
      </c>
      <c r="BI272" s="145"/>
      <c r="BJ272" s="145"/>
      <c r="BK272" s="145"/>
      <c r="BL272" s="145">
        <f>SUM(BM272:BR272)</f>
      </c>
      <c r="BM272" s="145"/>
      <c r="BN272" s="145"/>
      <c r="BO272" s="158"/>
      <c r="BP272" s="145"/>
      <c r="BQ272" s="145"/>
      <c r="BR272" s="145"/>
      <c r="BS272" s="145"/>
      <c r="BT272" s="145"/>
      <c r="BU272" s="158"/>
      <c r="BV272" s="146"/>
      <c r="BW272" s="145"/>
      <c r="BX272" s="145"/>
      <c r="BY272" s="158">
        <f>SUM(BZ272:CB272)</f>
      </c>
      <c r="BZ272" s="146"/>
      <c r="CA272" s="145"/>
      <c r="CB272" s="145"/>
      <c r="CC272" s="145">
        <f>SUM(CD272:CH272)</f>
      </c>
      <c r="CD272" s="145"/>
      <c r="CE272" s="158"/>
      <c r="CF272" s="145"/>
      <c r="CG272" s="145"/>
      <c r="CH272" s="145"/>
      <c r="CI272" s="158"/>
      <c r="CJ272" s="145"/>
      <c r="CK272" s="145"/>
      <c r="CL272" s="145"/>
      <c r="CM272" s="145"/>
      <c r="CN272" s="145"/>
      <c r="CO272" s="145"/>
      <c r="CP272" s="145"/>
      <c r="CQ272" s="158"/>
      <c r="CR272" s="146"/>
      <c r="CS272" s="158"/>
      <c r="CT272" s="158"/>
      <c r="CU272" s="158">
        <f>SUM(CV272:CV272)</f>
      </c>
      <c r="CV272" s="146"/>
      <c r="CW272" s="145"/>
      <c r="CX272" s="145"/>
      <c r="CY272" s="145">
        <f>SUM(CZ272:DE272)</f>
      </c>
      <c r="CZ272" s="145"/>
      <c r="DA272" s="146"/>
      <c r="DB272" s="146"/>
      <c r="DC272" s="153"/>
      <c r="DD272" s="153"/>
      <c r="DE272" s="145"/>
      <c r="DF272" s="145"/>
      <c r="DG272" s="145"/>
      <c r="DH272" s="158"/>
      <c r="DI272" s="145"/>
      <c r="DJ272" s="158"/>
      <c r="DK272" s="145"/>
      <c r="DL272" s="158"/>
      <c r="DM272" s="145"/>
      <c r="DN272" s="145"/>
      <c r="DO272" s="145"/>
      <c r="DP272" s="158"/>
      <c r="DQ272" s="145"/>
      <c r="DR272" s="145"/>
      <c r="DS272" s="145"/>
      <c r="DT272" s="145"/>
      <c r="DU272" s="145">
        <f>SUM(DV272:EE272)</f>
      </c>
      <c r="DV272" s="145"/>
      <c r="DW272" s="145"/>
      <c r="DX272" s="145"/>
      <c r="DY272" s="145"/>
      <c r="DZ272" s="146"/>
      <c r="EA272" s="158"/>
      <c r="EB272" s="146"/>
      <c r="EC272" s="145"/>
      <c r="ED272" s="145"/>
      <c r="EE272" s="155"/>
      <c r="EF272" s="145">
        <f>SUM(EG272:EH272)</f>
      </c>
      <c r="EG272" s="145"/>
      <c r="EH272" s="146"/>
      <c r="EI272" s="159" cm="1">
        <f t="array" ref="EI272">ROW()-ROW(Run[#Headers])</f>
        <v>266</v>
      </c>
    </row>
    <row r="273" spans="2:139" s="79" customFormat="1" ht="11.25" x14ac:dyDescent="0.2">
      <c r="B273" s="146"/>
      <c r="C273" s="155"/>
      <c r="D273" s="145"/>
      <c r="E273" s="152">
        <f>SUM(F273:AE273)</f>
      </c>
      <c r="F273" s="146"/>
      <c r="G273" s="146"/>
      <c r="H273" s="146"/>
      <c r="I273" s="146"/>
      <c r="J273" s="146"/>
      <c r="K273" s="156"/>
      <c r="L273" s="146"/>
      <c r="M273" s="146"/>
      <c r="N273" s="146"/>
      <c r="O273" s="146"/>
      <c r="P273" s="156"/>
      <c r="Q273" s="146"/>
      <c r="R273" s="146"/>
      <c r="S273" s="146"/>
      <c r="T273" s="156"/>
      <c r="U273" s="146"/>
      <c r="V273" s="146"/>
      <c r="W273" s="146"/>
      <c r="X273" s="146"/>
      <c r="Y273" s="146"/>
      <c r="Z273" s="146"/>
      <c r="AA273" s="146"/>
      <c r="AB273" s="146"/>
      <c r="AC273" s="157"/>
      <c r="AD273" s="157"/>
      <c r="AE273" s="157"/>
      <c r="AF273" s="158">
        <f>SUM(AG273:AJ273)</f>
      </c>
      <c r="AG273" s="146"/>
      <c r="AH273" s="145"/>
      <c r="AI273" s="145"/>
      <c r="AJ273" s="145"/>
      <c r="AK273" s="158">
        <f>SUM(AL273:AW273)</f>
      </c>
      <c r="AL273" s="146"/>
      <c r="AM273" s="145"/>
      <c r="AN273" s="145"/>
      <c r="AO273" s="145"/>
      <c r="AP273" s="145"/>
      <c r="AQ273" s="145"/>
      <c r="AR273" s="145"/>
      <c r="AS273" s="145"/>
      <c r="AT273" s="145"/>
      <c r="AU273" s="145"/>
      <c r="AV273" s="145"/>
      <c r="AW273" s="158"/>
      <c r="AX273" s="145"/>
      <c r="AY273" s="145"/>
      <c r="AZ273" s="145"/>
      <c r="BA273" s="158"/>
      <c r="BB273" s="145"/>
      <c r="BC273" s="145"/>
      <c r="BD273" s="158"/>
      <c r="BE273" s="146"/>
      <c r="BF273" s="145"/>
      <c r="BG273" s="145"/>
      <c r="BH273" s="158">
        <f>SUM(BI273:BK273)</f>
      </c>
      <c r="BI273" s="145"/>
      <c r="BJ273" s="145"/>
      <c r="BK273" s="145"/>
      <c r="BL273" s="145">
        <f>SUM(BM273:BR273)</f>
      </c>
      <c r="BM273" s="145"/>
      <c r="BN273" s="145"/>
      <c r="BO273" s="158"/>
      <c r="BP273" s="145"/>
      <c r="BQ273" s="145"/>
      <c r="BR273" s="145"/>
      <c r="BS273" s="145"/>
      <c r="BT273" s="145"/>
      <c r="BU273" s="158"/>
      <c r="BV273" s="146"/>
      <c r="BW273" s="145"/>
      <c r="BX273" s="145"/>
      <c r="BY273" s="158">
        <f>SUM(BZ273:CB273)</f>
      </c>
      <c r="BZ273" s="146"/>
      <c r="CA273" s="145"/>
      <c r="CB273" s="145"/>
      <c r="CC273" s="145">
        <f>SUM(CD273:CH273)</f>
      </c>
      <c r="CD273" s="145"/>
      <c r="CE273" s="158"/>
      <c r="CF273" s="145"/>
      <c r="CG273" s="145"/>
      <c r="CH273" s="145"/>
      <c r="CI273" s="158"/>
      <c r="CJ273" s="145"/>
      <c r="CK273" s="145"/>
      <c r="CL273" s="145"/>
      <c r="CM273" s="145"/>
      <c r="CN273" s="145"/>
      <c r="CO273" s="145"/>
      <c r="CP273" s="145"/>
      <c r="CQ273" s="158"/>
      <c r="CR273" s="146"/>
      <c r="CS273" s="158"/>
      <c r="CT273" s="158"/>
      <c r="CU273" s="158">
        <f>SUM(CV273:CV273)</f>
      </c>
      <c r="CV273" s="146"/>
      <c r="CW273" s="145"/>
      <c r="CX273" s="145"/>
      <c r="CY273" s="145">
        <f>SUM(CZ273:DE273)</f>
      </c>
      <c r="CZ273" s="145"/>
      <c r="DA273" s="146"/>
      <c r="DB273" s="146"/>
      <c r="DC273" s="153"/>
      <c r="DD273" s="153"/>
      <c r="DE273" s="145"/>
      <c r="DF273" s="145"/>
      <c r="DG273" s="145"/>
      <c r="DH273" s="158"/>
      <c r="DI273" s="145"/>
      <c r="DJ273" s="158"/>
      <c r="DK273" s="145"/>
      <c r="DL273" s="158"/>
      <c r="DM273" s="145"/>
      <c r="DN273" s="145"/>
      <c r="DO273" s="145"/>
      <c r="DP273" s="158"/>
      <c r="DQ273" s="145"/>
      <c r="DR273" s="145"/>
      <c r="DS273" s="145"/>
      <c r="DT273" s="145"/>
      <c r="DU273" s="145">
        <f>SUM(DV273:EE273)</f>
      </c>
      <c r="DV273" s="145"/>
      <c r="DW273" s="145"/>
      <c r="DX273" s="145"/>
      <c r="DY273" s="145"/>
      <c r="DZ273" s="146"/>
      <c r="EA273" s="158"/>
      <c r="EB273" s="146"/>
      <c r="EC273" s="145"/>
      <c r="ED273" s="145"/>
      <c r="EE273" s="155"/>
      <c r="EF273" s="145">
        <f>SUM(EG273:EH273)</f>
      </c>
      <c r="EG273" s="145"/>
      <c r="EH273" s="146"/>
      <c r="EI273" s="159" cm="1">
        <f t="array" ref="EI273">ROW()-ROW(Run[#Headers])</f>
        <v>267</v>
      </c>
    </row>
    <row r="274" spans="2:139" s="79" customFormat="1" ht="11.25" x14ac:dyDescent="0.2">
      <c r="B274" s="146"/>
      <c r="C274" s="155"/>
      <c r="D274" s="145"/>
      <c r="E274" s="152">
        <f>SUM(F274:AE274)</f>
      </c>
      <c r="F274" s="146"/>
      <c r="G274" s="146"/>
      <c r="H274" s="146"/>
      <c r="I274" s="146"/>
      <c r="J274" s="146"/>
      <c r="K274" s="156"/>
      <c r="L274" s="146"/>
      <c r="M274" s="146"/>
      <c r="N274" s="146"/>
      <c r="O274" s="146"/>
      <c r="P274" s="156"/>
      <c r="Q274" s="146"/>
      <c r="R274" s="146"/>
      <c r="S274" s="146"/>
      <c r="T274" s="156"/>
      <c r="U274" s="146"/>
      <c r="V274" s="146"/>
      <c r="W274" s="146"/>
      <c r="X274" s="146"/>
      <c r="Y274" s="146"/>
      <c r="Z274" s="146"/>
      <c r="AA274" s="146"/>
      <c r="AB274" s="146"/>
      <c r="AC274" s="157"/>
      <c r="AD274" s="157"/>
      <c r="AE274" s="157"/>
      <c r="AF274" s="158">
        <f>SUM(AG274:AJ274)</f>
      </c>
      <c r="AG274" s="146"/>
      <c r="AH274" s="145"/>
      <c r="AI274" s="145"/>
      <c r="AJ274" s="145"/>
      <c r="AK274" s="158">
        <f>SUM(AL274:AW274)</f>
      </c>
      <c r="AL274" s="146"/>
      <c r="AM274" s="145"/>
      <c r="AN274" s="145"/>
      <c r="AO274" s="145"/>
      <c r="AP274" s="145"/>
      <c r="AQ274" s="145"/>
      <c r="AR274" s="145"/>
      <c r="AS274" s="145"/>
      <c r="AT274" s="145"/>
      <c r="AU274" s="145"/>
      <c r="AV274" s="145"/>
      <c r="AW274" s="158"/>
      <c r="AX274" s="145"/>
      <c r="AY274" s="145"/>
      <c r="AZ274" s="145"/>
      <c r="BA274" s="158"/>
      <c r="BB274" s="145"/>
      <c r="BC274" s="145"/>
      <c r="BD274" s="158"/>
      <c r="BE274" s="146"/>
      <c r="BF274" s="145"/>
      <c r="BG274" s="145"/>
      <c r="BH274" s="158">
        <f>SUM(BI274:BK274)</f>
      </c>
      <c r="BI274" s="145"/>
      <c r="BJ274" s="145"/>
      <c r="BK274" s="145"/>
      <c r="BL274" s="145">
        <f>SUM(BM274:BR274)</f>
      </c>
      <c r="BM274" s="145"/>
      <c r="BN274" s="145"/>
      <c r="BO274" s="158"/>
      <c r="BP274" s="145"/>
      <c r="BQ274" s="145"/>
      <c r="BR274" s="145"/>
      <c r="BS274" s="145"/>
      <c r="BT274" s="145"/>
      <c r="BU274" s="158"/>
      <c r="BV274" s="146"/>
      <c r="BW274" s="145"/>
      <c r="BX274" s="145"/>
      <c r="BY274" s="158">
        <f>SUM(BZ274:CB274)</f>
      </c>
      <c r="BZ274" s="146"/>
      <c r="CA274" s="145"/>
      <c r="CB274" s="145"/>
      <c r="CC274" s="145">
        <f>SUM(CD274:CH274)</f>
      </c>
      <c r="CD274" s="145"/>
      <c r="CE274" s="158"/>
      <c r="CF274" s="145"/>
      <c r="CG274" s="145"/>
      <c r="CH274" s="145"/>
      <c r="CI274" s="158"/>
      <c r="CJ274" s="145"/>
      <c r="CK274" s="145"/>
      <c r="CL274" s="145"/>
      <c r="CM274" s="145"/>
      <c r="CN274" s="145"/>
      <c r="CO274" s="145"/>
      <c r="CP274" s="145"/>
      <c r="CQ274" s="158"/>
      <c r="CR274" s="146"/>
      <c r="CS274" s="158"/>
      <c r="CT274" s="158"/>
      <c r="CU274" s="158">
        <f>SUM(CV274:CV274)</f>
      </c>
      <c r="CV274" s="146"/>
      <c r="CW274" s="145"/>
      <c r="CX274" s="145"/>
      <c r="CY274" s="145">
        <f>SUM(CZ274:DE274)</f>
      </c>
      <c r="CZ274" s="145"/>
      <c r="DA274" s="146"/>
      <c r="DB274" s="146"/>
      <c r="DC274" s="153"/>
      <c r="DD274" s="153"/>
      <c r="DE274" s="145"/>
      <c r="DF274" s="145"/>
      <c r="DG274" s="145"/>
      <c r="DH274" s="158"/>
      <c r="DI274" s="145"/>
      <c r="DJ274" s="158"/>
      <c r="DK274" s="145"/>
      <c r="DL274" s="158"/>
      <c r="DM274" s="145"/>
      <c r="DN274" s="145"/>
      <c r="DO274" s="145"/>
      <c r="DP274" s="158"/>
      <c r="DQ274" s="145"/>
      <c r="DR274" s="145"/>
      <c r="DS274" s="145"/>
      <c r="DT274" s="145"/>
      <c r="DU274" s="145">
        <f>SUM(DV274:EE274)</f>
      </c>
      <c r="DV274" s="145"/>
      <c r="DW274" s="145"/>
      <c r="DX274" s="145"/>
      <c r="DY274" s="145"/>
      <c r="DZ274" s="146"/>
      <c r="EA274" s="158"/>
      <c r="EB274" s="146"/>
      <c r="EC274" s="145"/>
      <c r="ED274" s="145"/>
      <c r="EE274" s="155"/>
      <c r="EF274" s="145">
        <f>SUM(EG274:EH274)</f>
      </c>
      <c r="EG274" s="145"/>
      <c r="EH274" s="146"/>
      <c r="EI274" s="159" cm="1">
        <f t="array" ref="EI274">ROW()-ROW(Run[#Headers])</f>
        <v>268</v>
      </c>
    </row>
    <row r="275" spans="2:139" s="79" customFormat="1" ht="11.25" x14ac:dyDescent="0.2">
      <c r="B275" s="146"/>
      <c r="C275" s="155"/>
      <c r="D275" s="145"/>
      <c r="E275" s="152">
        <f>SUM(F275:AE275)</f>
      </c>
      <c r="F275" s="146"/>
      <c r="G275" s="146"/>
      <c r="H275" s="146"/>
      <c r="I275" s="146"/>
      <c r="J275" s="146"/>
      <c r="K275" s="156"/>
      <c r="L275" s="146"/>
      <c r="M275" s="146"/>
      <c r="N275" s="146"/>
      <c r="O275" s="146"/>
      <c r="P275" s="156"/>
      <c r="Q275" s="146"/>
      <c r="R275" s="146"/>
      <c r="S275" s="146"/>
      <c r="T275" s="156"/>
      <c r="U275" s="146"/>
      <c r="V275" s="146"/>
      <c r="W275" s="146"/>
      <c r="X275" s="146"/>
      <c r="Y275" s="146"/>
      <c r="Z275" s="146"/>
      <c r="AA275" s="146"/>
      <c r="AB275" s="146"/>
      <c r="AC275" s="157"/>
      <c r="AD275" s="157"/>
      <c r="AE275" s="157"/>
      <c r="AF275" s="158">
        <f>SUM(AG275:AJ275)</f>
      </c>
      <c r="AG275" s="146"/>
      <c r="AH275" s="145"/>
      <c r="AI275" s="145"/>
      <c r="AJ275" s="145"/>
      <c r="AK275" s="158">
        <f>SUM(AL275:AW275)</f>
      </c>
      <c r="AL275" s="146"/>
      <c r="AM275" s="145"/>
      <c r="AN275" s="145"/>
      <c r="AO275" s="145"/>
      <c r="AP275" s="145"/>
      <c r="AQ275" s="145"/>
      <c r="AR275" s="145"/>
      <c r="AS275" s="145"/>
      <c r="AT275" s="145"/>
      <c r="AU275" s="145"/>
      <c r="AV275" s="145"/>
      <c r="AW275" s="158"/>
      <c r="AX275" s="145"/>
      <c r="AY275" s="145"/>
      <c r="AZ275" s="145"/>
      <c r="BA275" s="158"/>
      <c r="BB275" s="145"/>
      <c r="BC275" s="145"/>
      <c r="BD275" s="158"/>
      <c r="BE275" s="146"/>
      <c r="BF275" s="145"/>
      <c r="BG275" s="145"/>
      <c r="BH275" s="158">
        <f>SUM(BI275:BK275)</f>
      </c>
      <c r="BI275" s="145"/>
      <c r="BJ275" s="145"/>
      <c r="BK275" s="145"/>
      <c r="BL275" s="145">
        <f>SUM(BM275:BR275)</f>
      </c>
      <c r="BM275" s="145"/>
      <c r="BN275" s="145"/>
      <c r="BO275" s="158"/>
      <c r="BP275" s="145"/>
      <c r="BQ275" s="145"/>
      <c r="BR275" s="145"/>
      <c r="BS275" s="145"/>
      <c r="BT275" s="145"/>
      <c r="BU275" s="158"/>
      <c r="BV275" s="146"/>
      <c r="BW275" s="145"/>
      <c r="BX275" s="145"/>
      <c r="BY275" s="158">
        <f>SUM(BZ275:CB275)</f>
      </c>
      <c r="BZ275" s="146"/>
      <c r="CA275" s="145"/>
      <c r="CB275" s="145"/>
      <c r="CC275" s="145">
        <f>SUM(CD275:CH275)</f>
      </c>
      <c r="CD275" s="145"/>
      <c r="CE275" s="158"/>
      <c r="CF275" s="145"/>
      <c r="CG275" s="145"/>
      <c r="CH275" s="145"/>
      <c r="CI275" s="158"/>
      <c r="CJ275" s="145"/>
      <c r="CK275" s="145"/>
      <c r="CL275" s="145"/>
      <c r="CM275" s="145"/>
      <c r="CN275" s="145"/>
      <c r="CO275" s="145"/>
      <c r="CP275" s="145"/>
      <c r="CQ275" s="158"/>
      <c r="CR275" s="146"/>
      <c r="CS275" s="158"/>
      <c r="CT275" s="158"/>
      <c r="CU275" s="158">
        <f>SUM(CV275:CV275)</f>
      </c>
      <c r="CV275" s="146"/>
      <c r="CW275" s="145"/>
      <c r="CX275" s="145"/>
      <c r="CY275" s="145">
        <f>SUM(CZ275:DE275)</f>
      </c>
      <c r="CZ275" s="145"/>
      <c r="DA275" s="146"/>
      <c r="DB275" s="146"/>
      <c r="DC275" s="153"/>
      <c r="DD275" s="153"/>
      <c r="DE275" s="145"/>
      <c r="DF275" s="145"/>
      <c r="DG275" s="145"/>
      <c r="DH275" s="158"/>
      <c r="DI275" s="145"/>
      <c r="DJ275" s="158"/>
      <c r="DK275" s="145"/>
      <c r="DL275" s="158"/>
      <c r="DM275" s="145"/>
      <c r="DN275" s="145"/>
      <c r="DO275" s="145"/>
      <c r="DP275" s="158"/>
      <c r="DQ275" s="145"/>
      <c r="DR275" s="145"/>
      <c r="DS275" s="145"/>
      <c r="DT275" s="145"/>
      <c r="DU275" s="145">
        <f>SUM(DV275:EE275)</f>
      </c>
      <c r="DV275" s="145"/>
      <c r="DW275" s="145"/>
      <c r="DX275" s="145"/>
      <c r="DY275" s="145"/>
      <c r="DZ275" s="146"/>
      <c r="EA275" s="158"/>
      <c r="EB275" s="146"/>
      <c r="EC275" s="145"/>
      <c r="ED275" s="145"/>
      <c r="EE275" s="155"/>
      <c r="EF275" s="145">
        <f>SUM(EG275:EH275)</f>
      </c>
      <c r="EG275" s="145"/>
      <c r="EH275" s="146"/>
      <c r="EI275" s="159" cm="1">
        <f t="array" ref="EI275">ROW()-ROW(Run[#Headers])</f>
        <v>269</v>
      </c>
    </row>
    <row r="276" spans="2:139" s="79" customFormat="1" ht="11.25" x14ac:dyDescent="0.2">
      <c r="B276" s="146"/>
      <c r="C276" s="155"/>
      <c r="D276" s="145"/>
      <c r="E276" s="152">
        <f>SUM(F276:AE276)</f>
      </c>
      <c r="F276" s="146"/>
      <c r="G276" s="146"/>
      <c r="H276" s="146"/>
      <c r="I276" s="146"/>
      <c r="J276" s="146"/>
      <c r="K276" s="156"/>
      <c r="L276" s="146"/>
      <c r="M276" s="146"/>
      <c r="N276" s="146"/>
      <c r="O276" s="146"/>
      <c r="P276" s="156"/>
      <c r="Q276" s="146"/>
      <c r="R276" s="146"/>
      <c r="S276" s="146"/>
      <c r="T276" s="156"/>
      <c r="U276" s="146"/>
      <c r="V276" s="146"/>
      <c r="W276" s="146"/>
      <c r="X276" s="146"/>
      <c r="Y276" s="146"/>
      <c r="Z276" s="146"/>
      <c r="AA276" s="146"/>
      <c r="AB276" s="146"/>
      <c r="AC276" s="157"/>
      <c r="AD276" s="157"/>
      <c r="AE276" s="157"/>
      <c r="AF276" s="158">
        <f>SUM(AG276:AJ276)</f>
      </c>
      <c r="AG276" s="146"/>
      <c r="AH276" s="145"/>
      <c r="AI276" s="145"/>
      <c r="AJ276" s="145"/>
      <c r="AK276" s="158">
        <f>SUM(AL276:AW276)</f>
      </c>
      <c r="AL276" s="146"/>
      <c r="AM276" s="145"/>
      <c r="AN276" s="145"/>
      <c r="AO276" s="145"/>
      <c r="AP276" s="145"/>
      <c r="AQ276" s="145"/>
      <c r="AR276" s="145"/>
      <c r="AS276" s="145"/>
      <c r="AT276" s="145"/>
      <c r="AU276" s="145"/>
      <c r="AV276" s="145"/>
      <c r="AW276" s="158"/>
      <c r="AX276" s="145"/>
      <c r="AY276" s="145"/>
      <c r="AZ276" s="145"/>
      <c r="BA276" s="158"/>
      <c r="BB276" s="145"/>
      <c r="BC276" s="145"/>
      <c r="BD276" s="158"/>
      <c r="BE276" s="146"/>
      <c r="BF276" s="145"/>
      <c r="BG276" s="145"/>
      <c r="BH276" s="158">
        <f>SUM(BI276:BK276)</f>
      </c>
      <c r="BI276" s="145"/>
      <c r="BJ276" s="145"/>
      <c r="BK276" s="145"/>
      <c r="BL276" s="145">
        <f>SUM(BM276:BR276)</f>
      </c>
      <c r="BM276" s="145"/>
      <c r="BN276" s="145"/>
      <c r="BO276" s="158"/>
      <c r="BP276" s="145"/>
      <c r="BQ276" s="145"/>
      <c r="BR276" s="145"/>
      <c r="BS276" s="145"/>
      <c r="BT276" s="145"/>
      <c r="BU276" s="158"/>
      <c r="BV276" s="146"/>
      <c r="BW276" s="145"/>
      <c r="BX276" s="145"/>
      <c r="BY276" s="158">
        <f>SUM(BZ276:CB276)</f>
      </c>
      <c r="BZ276" s="146"/>
      <c r="CA276" s="145"/>
      <c r="CB276" s="145"/>
      <c r="CC276" s="145">
        <f>SUM(CD276:CH276)</f>
      </c>
      <c r="CD276" s="145"/>
      <c r="CE276" s="158"/>
      <c r="CF276" s="145"/>
      <c r="CG276" s="145"/>
      <c r="CH276" s="145"/>
      <c r="CI276" s="158"/>
      <c r="CJ276" s="145"/>
      <c r="CK276" s="145"/>
      <c r="CL276" s="145"/>
      <c r="CM276" s="145"/>
      <c r="CN276" s="145"/>
      <c r="CO276" s="145"/>
      <c r="CP276" s="145"/>
      <c r="CQ276" s="158"/>
      <c r="CR276" s="146"/>
      <c r="CS276" s="158"/>
      <c r="CT276" s="158"/>
      <c r="CU276" s="158">
        <f>SUM(CV276:CV276)</f>
      </c>
      <c r="CV276" s="146"/>
      <c r="CW276" s="145"/>
      <c r="CX276" s="145"/>
      <c r="CY276" s="145">
        <f>SUM(CZ276:DE276)</f>
      </c>
      <c r="CZ276" s="145"/>
      <c r="DA276" s="146"/>
      <c r="DB276" s="146"/>
      <c r="DC276" s="153"/>
      <c r="DD276" s="153"/>
      <c r="DE276" s="145"/>
      <c r="DF276" s="145"/>
      <c r="DG276" s="145"/>
      <c r="DH276" s="158"/>
      <c r="DI276" s="145"/>
      <c r="DJ276" s="158"/>
      <c r="DK276" s="145"/>
      <c r="DL276" s="158"/>
      <c r="DM276" s="145"/>
      <c r="DN276" s="145"/>
      <c r="DO276" s="145"/>
      <c r="DP276" s="158"/>
      <c r="DQ276" s="145"/>
      <c r="DR276" s="145"/>
      <c r="DS276" s="145"/>
      <c r="DT276" s="145"/>
      <c r="DU276" s="145">
        <f>SUM(DV276:EE276)</f>
      </c>
      <c r="DV276" s="145"/>
      <c r="DW276" s="145"/>
      <c r="DX276" s="145"/>
      <c r="DY276" s="145"/>
      <c r="DZ276" s="146"/>
      <c r="EA276" s="158"/>
      <c r="EB276" s="146"/>
      <c r="EC276" s="145"/>
      <c r="ED276" s="145"/>
      <c r="EE276" s="155"/>
      <c r="EF276" s="145">
        <f>SUM(EG276:EH276)</f>
      </c>
      <c r="EG276" s="145"/>
      <c r="EH276" s="146"/>
      <c r="EI276" s="159" cm="1">
        <f t="array" ref="EI276">ROW()-ROW(Run[#Headers])</f>
        <v>270</v>
      </c>
    </row>
    <row r="277" spans="2:139" s="79" customFormat="1" ht="11.25" x14ac:dyDescent="0.2">
      <c r="B277" s="146"/>
      <c r="C277" s="155"/>
      <c r="D277" s="145"/>
      <c r="E277" s="152">
        <f>SUM(F277:AE277)</f>
      </c>
      <c r="F277" s="146"/>
      <c r="G277" s="146"/>
      <c r="H277" s="146"/>
      <c r="I277" s="146"/>
      <c r="J277" s="146"/>
      <c r="K277" s="156"/>
      <c r="L277" s="146"/>
      <c r="M277" s="146"/>
      <c r="N277" s="146"/>
      <c r="O277" s="146"/>
      <c r="P277" s="156"/>
      <c r="Q277" s="146"/>
      <c r="R277" s="146"/>
      <c r="S277" s="146"/>
      <c r="T277" s="156"/>
      <c r="U277" s="146"/>
      <c r="V277" s="146"/>
      <c r="W277" s="146"/>
      <c r="X277" s="146"/>
      <c r="Y277" s="146"/>
      <c r="Z277" s="146"/>
      <c r="AA277" s="146"/>
      <c r="AB277" s="146"/>
      <c r="AC277" s="157"/>
      <c r="AD277" s="157"/>
      <c r="AE277" s="157"/>
      <c r="AF277" s="158">
        <f>SUM(AG277:AJ277)</f>
      </c>
      <c r="AG277" s="146"/>
      <c r="AH277" s="145"/>
      <c r="AI277" s="145"/>
      <c r="AJ277" s="145"/>
      <c r="AK277" s="158">
        <f>SUM(AL277:AW277)</f>
      </c>
      <c r="AL277" s="146"/>
      <c r="AM277" s="145"/>
      <c r="AN277" s="145"/>
      <c r="AO277" s="145"/>
      <c r="AP277" s="145"/>
      <c r="AQ277" s="145"/>
      <c r="AR277" s="145"/>
      <c r="AS277" s="145"/>
      <c r="AT277" s="145"/>
      <c r="AU277" s="145"/>
      <c r="AV277" s="145"/>
      <c r="AW277" s="158"/>
      <c r="AX277" s="145"/>
      <c r="AY277" s="145"/>
      <c r="AZ277" s="145"/>
      <c r="BA277" s="158"/>
      <c r="BB277" s="145"/>
      <c r="BC277" s="145"/>
      <c r="BD277" s="158"/>
      <c r="BE277" s="146"/>
      <c r="BF277" s="145"/>
      <c r="BG277" s="145"/>
      <c r="BH277" s="158">
        <f>SUM(BI277:BK277)</f>
      </c>
      <c r="BI277" s="145"/>
      <c r="BJ277" s="145"/>
      <c r="BK277" s="145"/>
      <c r="BL277" s="145">
        <f>SUM(BM277:BR277)</f>
      </c>
      <c r="BM277" s="145"/>
      <c r="BN277" s="145"/>
      <c r="BO277" s="158"/>
      <c r="BP277" s="145"/>
      <c r="BQ277" s="145"/>
      <c r="BR277" s="145"/>
      <c r="BS277" s="145"/>
      <c r="BT277" s="145"/>
      <c r="BU277" s="158"/>
      <c r="BV277" s="146"/>
      <c r="BW277" s="145"/>
      <c r="BX277" s="145"/>
      <c r="BY277" s="158">
        <f>SUM(BZ277:CB277)</f>
      </c>
      <c r="BZ277" s="146"/>
      <c r="CA277" s="145"/>
      <c r="CB277" s="145"/>
      <c r="CC277" s="145">
        <f>SUM(CD277:CH277)</f>
      </c>
      <c r="CD277" s="145"/>
      <c r="CE277" s="158"/>
      <c r="CF277" s="145"/>
      <c r="CG277" s="145"/>
      <c r="CH277" s="145"/>
      <c r="CI277" s="158"/>
      <c r="CJ277" s="145"/>
      <c r="CK277" s="145"/>
      <c r="CL277" s="145"/>
      <c r="CM277" s="145"/>
      <c r="CN277" s="145"/>
      <c r="CO277" s="145"/>
      <c r="CP277" s="145"/>
      <c r="CQ277" s="158"/>
      <c r="CR277" s="146"/>
      <c r="CS277" s="158"/>
      <c r="CT277" s="158"/>
      <c r="CU277" s="158">
        <f>SUM(CV277:CV277)</f>
      </c>
      <c r="CV277" s="146"/>
      <c r="CW277" s="145"/>
      <c r="CX277" s="145"/>
      <c r="CY277" s="145">
        <f>SUM(CZ277:DE277)</f>
      </c>
      <c r="CZ277" s="145"/>
      <c r="DA277" s="146"/>
      <c r="DB277" s="146"/>
      <c r="DC277" s="153"/>
      <c r="DD277" s="153"/>
      <c r="DE277" s="145"/>
      <c r="DF277" s="145"/>
      <c r="DG277" s="145"/>
      <c r="DH277" s="158"/>
      <c r="DI277" s="145"/>
      <c r="DJ277" s="158"/>
      <c r="DK277" s="145"/>
      <c r="DL277" s="158"/>
      <c r="DM277" s="145"/>
      <c r="DN277" s="145"/>
      <c r="DO277" s="145"/>
      <c r="DP277" s="158"/>
      <c r="DQ277" s="145"/>
      <c r="DR277" s="145"/>
      <c r="DS277" s="145"/>
      <c r="DT277" s="145"/>
      <c r="DU277" s="145">
        <f>SUM(DV277:EE277)</f>
      </c>
      <c r="DV277" s="145"/>
      <c r="DW277" s="145"/>
      <c r="DX277" s="145"/>
      <c r="DY277" s="145"/>
      <c r="DZ277" s="146"/>
      <c r="EA277" s="158"/>
      <c r="EB277" s="146"/>
      <c r="EC277" s="145"/>
      <c r="ED277" s="145"/>
      <c r="EE277" s="155"/>
      <c r="EF277" s="145">
        <f>SUM(EG277:EH277)</f>
      </c>
      <c r="EG277" s="145"/>
      <c r="EH277" s="146"/>
      <c r="EI277" s="159" cm="1">
        <f t="array" ref="EI277">ROW()-ROW(Run[#Headers])</f>
        <v>271</v>
      </c>
    </row>
    <row r="278" spans="2:139" s="79" customFormat="1" ht="11.25" x14ac:dyDescent="0.2">
      <c r="B278" s="146"/>
      <c r="C278" s="155"/>
      <c r="D278" s="145"/>
      <c r="E278" s="152">
        <f>SUM(F278:AE278)</f>
      </c>
      <c r="F278" s="146"/>
      <c r="G278" s="146"/>
      <c r="H278" s="146"/>
      <c r="I278" s="146"/>
      <c r="J278" s="146"/>
      <c r="K278" s="156"/>
      <c r="L278" s="146"/>
      <c r="M278" s="146"/>
      <c r="N278" s="146"/>
      <c r="O278" s="146"/>
      <c r="P278" s="156"/>
      <c r="Q278" s="146"/>
      <c r="R278" s="146"/>
      <c r="S278" s="146"/>
      <c r="T278" s="156"/>
      <c r="U278" s="146"/>
      <c r="V278" s="146"/>
      <c r="W278" s="146"/>
      <c r="X278" s="146"/>
      <c r="Y278" s="146"/>
      <c r="Z278" s="146"/>
      <c r="AA278" s="146"/>
      <c r="AB278" s="146"/>
      <c r="AC278" s="157"/>
      <c r="AD278" s="157"/>
      <c r="AE278" s="157"/>
      <c r="AF278" s="158">
        <f>SUM(AG278:AJ278)</f>
      </c>
      <c r="AG278" s="146"/>
      <c r="AH278" s="145"/>
      <c r="AI278" s="145"/>
      <c r="AJ278" s="145"/>
      <c r="AK278" s="158">
        <f>SUM(AL278:AW278)</f>
      </c>
      <c r="AL278" s="146"/>
      <c r="AM278" s="145"/>
      <c r="AN278" s="145"/>
      <c r="AO278" s="145"/>
      <c r="AP278" s="145"/>
      <c r="AQ278" s="145"/>
      <c r="AR278" s="145"/>
      <c r="AS278" s="145"/>
      <c r="AT278" s="145"/>
      <c r="AU278" s="145"/>
      <c r="AV278" s="145"/>
      <c r="AW278" s="158"/>
      <c r="AX278" s="145"/>
      <c r="AY278" s="145"/>
      <c r="AZ278" s="145"/>
      <c r="BA278" s="158"/>
      <c r="BB278" s="145"/>
      <c r="BC278" s="145"/>
      <c r="BD278" s="158"/>
      <c r="BE278" s="146"/>
      <c r="BF278" s="145"/>
      <c r="BG278" s="145"/>
      <c r="BH278" s="158">
        <f>SUM(BI278:BK278)</f>
      </c>
      <c r="BI278" s="145"/>
      <c r="BJ278" s="145"/>
      <c r="BK278" s="145"/>
      <c r="BL278" s="145">
        <f>SUM(BM278:BR278)</f>
      </c>
      <c r="BM278" s="145"/>
      <c r="BN278" s="145"/>
      <c r="BO278" s="158"/>
      <c r="BP278" s="145"/>
      <c r="BQ278" s="145"/>
      <c r="BR278" s="145"/>
      <c r="BS278" s="145"/>
      <c r="BT278" s="145"/>
      <c r="BU278" s="158"/>
      <c r="BV278" s="146"/>
      <c r="BW278" s="145"/>
      <c r="BX278" s="145"/>
      <c r="BY278" s="158">
        <f>SUM(BZ278:CB278)</f>
      </c>
      <c r="BZ278" s="146"/>
      <c r="CA278" s="145"/>
      <c r="CB278" s="145"/>
      <c r="CC278" s="145">
        <f>SUM(CD278:CH278)</f>
      </c>
      <c r="CD278" s="145"/>
      <c r="CE278" s="158"/>
      <c r="CF278" s="145"/>
      <c r="CG278" s="145"/>
      <c r="CH278" s="145"/>
      <c r="CI278" s="158"/>
      <c r="CJ278" s="145"/>
      <c r="CK278" s="145"/>
      <c r="CL278" s="145"/>
      <c r="CM278" s="145"/>
      <c r="CN278" s="145"/>
      <c r="CO278" s="145"/>
      <c r="CP278" s="145"/>
      <c r="CQ278" s="158"/>
      <c r="CR278" s="146"/>
      <c r="CS278" s="158"/>
      <c r="CT278" s="158"/>
      <c r="CU278" s="158">
        <f>SUM(CV278:CV278)</f>
      </c>
      <c r="CV278" s="146"/>
      <c r="CW278" s="145"/>
      <c r="CX278" s="145"/>
      <c r="CY278" s="145">
        <f>SUM(CZ278:DE278)</f>
      </c>
      <c r="CZ278" s="145"/>
      <c r="DA278" s="146"/>
      <c r="DB278" s="146"/>
      <c r="DC278" s="153"/>
      <c r="DD278" s="153"/>
      <c r="DE278" s="145"/>
      <c r="DF278" s="145"/>
      <c r="DG278" s="145"/>
      <c r="DH278" s="158"/>
      <c r="DI278" s="145"/>
      <c r="DJ278" s="158"/>
      <c r="DK278" s="145"/>
      <c r="DL278" s="158"/>
      <c r="DM278" s="145"/>
      <c r="DN278" s="145"/>
      <c r="DO278" s="145"/>
      <c r="DP278" s="158"/>
      <c r="DQ278" s="145"/>
      <c r="DR278" s="145"/>
      <c r="DS278" s="145"/>
      <c r="DT278" s="145"/>
      <c r="DU278" s="145">
        <f>SUM(DV278:EE278)</f>
      </c>
      <c r="DV278" s="145"/>
      <c r="DW278" s="145"/>
      <c r="DX278" s="145"/>
      <c r="DY278" s="145"/>
      <c r="DZ278" s="146"/>
      <c r="EA278" s="158"/>
      <c r="EB278" s="146"/>
      <c r="EC278" s="145"/>
      <c r="ED278" s="145"/>
      <c r="EE278" s="155"/>
      <c r="EF278" s="145">
        <f>SUM(EG278:EH278)</f>
      </c>
      <c r="EG278" s="145"/>
      <c r="EH278" s="146"/>
      <c r="EI278" s="159" cm="1">
        <f t="array" ref="EI278">ROW()-ROW(Run[#Headers])</f>
        <v>272</v>
      </c>
    </row>
    <row r="279" spans="2:139" s="79" customFormat="1" ht="11.25" x14ac:dyDescent="0.2">
      <c r="B279" s="146"/>
      <c r="C279" s="155"/>
      <c r="D279" s="145"/>
      <c r="E279" s="152">
        <f>SUM(F279:AE279)</f>
      </c>
      <c r="F279" s="146"/>
      <c r="G279" s="146"/>
      <c r="H279" s="146"/>
      <c r="I279" s="146"/>
      <c r="J279" s="146"/>
      <c r="K279" s="156"/>
      <c r="L279" s="146"/>
      <c r="M279" s="146"/>
      <c r="N279" s="146"/>
      <c r="O279" s="146"/>
      <c r="P279" s="156"/>
      <c r="Q279" s="146"/>
      <c r="R279" s="146"/>
      <c r="S279" s="146"/>
      <c r="T279" s="156"/>
      <c r="U279" s="146"/>
      <c r="V279" s="146"/>
      <c r="W279" s="146"/>
      <c r="X279" s="146"/>
      <c r="Y279" s="146"/>
      <c r="Z279" s="146"/>
      <c r="AA279" s="146"/>
      <c r="AB279" s="146"/>
      <c r="AC279" s="157"/>
      <c r="AD279" s="157"/>
      <c r="AE279" s="157"/>
      <c r="AF279" s="158">
        <f>SUM(AG279:AJ279)</f>
      </c>
      <c r="AG279" s="146"/>
      <c r="AH279" s="145"/>
      <c r="AI279" s="145"/>
      <c r="AJ279" s="145"/>
      <c r="AK279" s="158">
        <f>SUM(AL279:AW279)</f>
      </c>
      <c r="AL279" s="146"/>
      <c r="AM279" s="145"/>
      <c r="AN279" s="145"/>
      <c r="AO279" s="145"/>
      <c r="AP279" s="145"/>
      <c r="AQ279" s="145"/>
      <c r="AR279" s="145"/>
      <c r="AS279" s="145"/>
      <c r="AT279" s="145"/>
      <c r="AU279" s="145"/>
      <c r="AV279" s="145"/>
      <c r="AW279" s="158"/>
      <c r="AX279" s="145"/>
      <c r="AY279" s="145"/>
      <c r="AZ279" s="145"/>
      <c r="BA279" s="158"/>
      <c r="BB279" s="145"/>
      <c r="BC279" s="145"/>
      <c r="BD279" s="158"/>
      <c r="BE279" s="146"/>
      <c r="BF279" s="145"/>
      <c r="BG279" s="145"/>
      <c r="BH279" s="158">
        <f>SUM(BI279:BK279)</f>
      </c>
      <c r="BI279" s="145"/>
      <c r="BJ279" s="145"/>
      <c r="BK279" s="145"/>
      <c r="BL279" s="145">
        <f>SUM(BM279:BR279)</f>
      </c>
      <c r="BM279" s="145"/>
      <c r="BN279" s="145"/>
      <c r="BO279" s="158"/>
      <c r="BP279" s="145"/>
      <c r="BQ279" s="145"/>
      <c r="BR279" s="145"/>
      <c r="BS279" s="145"/>
      <c r="BT279" s="145"/>
      <c r="BU279" s="158"/>
      <c r="BV279" s="146"/>
      <c r="BW279" s="145"/>
      <c r="BX279" s="145"/>
      <c r="BY279" s="158">
        <f>SUM(BZ279:CB279)</f>
      </c>
      <c r="BZ279" s="146"/>
      <c r="CA279" s="145"/>
      <c r="CB279" s="145"/>
      <c r="CC279" s="145">
        <f>SUM(CD279:CH279)</f>
      </c>
      <c r="CD279" s="145"/>
      <c r="CE279" s="158"/>
      <c r="CF279" s="145"/>
      <c r="CG279" s="145"/>
      <c r="CH279" s="145"/>
      <c r="CI279" s="158"/>
      <c r="CJ279" s="145"/>
      <c r="CK279" s="145"/>
      <c r="CL279" s="145"/>
      <c r="CM279" s="145"/>
      <c r="CN279" s="145"/>
      <c r="CO279" s="145"/>
      <c r="CP279" s="145"/>
      <c r="CQ279" s="158"/>
      <c r="CR279" s="146"/>
      <c r="CS279" s="158"/>
      <c r="CT279" s="158"/>
      <c r="CU279" s="158">
        <f>SUM(CV279:CV279)</f>
      </c>
      <c r="CV279" s="146"/>
      <c r="CW279" s="145"/>
      <c r="CX279" s="145"/>
      <c r="CY279" s="145">
        <f>SUM(CZ279:DE279)</f>
      </c>
      <c r="CZ279" s="145"/>
      <c r="DA279" s="146"/>
      <c r="DB279" s="146"/>
      <c r="DC279" s="153"/>
      <c r="DD279" s="153"/>
      <c r="DE279" s="145"/>
      <c r="DF279" s="145"/>
      <c r="DG279" s="145"/>
      <c r="DH279" s="158"/>
      <c r="DI279" s="145"/>
      <c r="DJ279" s="158"/>
      <c r="DK279" s="145"/>
      <c r="DL279" s="158"/>
      <c r="DM279" s="145"/>
      <c r="DN279" s="145"/>
      <c r="DO279" s="145"/>
      <c r="DP279" s="158"/>
      <c r="DQ279" s="145"/>
      <c r="DR279" s="145"/>
      <c r="DS279" s="145"/>
      <c r="DT279" s="145"/>
      <c r="DU279" s="145">
        <f>SUM(DV279:EE279)</f>
      </c>
      <c r="DV279" s="145"/>
      <c r="DW279" s="145"/>
      <c r="DX279" s="145"/>
      <c r="DY279" s="145"/>
      <c r="DZ279" s="146"/>
      <c r="EA279" s="158"/>
      <c r="EB279" s="146"/>
      <c r="EC279" s="145"/>
      <c r="ED279" s="145"/>
      <c r="EE279" s="155"/>
      <c r="EF279" s="145">
        <f>SUM(EG279:EH279)</f>
      </c>
      <c r="EG279" s="145"/>
      <c r="EH279" s="146"/>
      <c r="EI279" s="159" cm="1">
        <f t="array" ref="EI279">ROW()-ROW(Run[#Headers])</f>
        <v>273</v>
      </c>
    </row>
    <row r="280" spans="2:139" s="79" customFormat="1" ht="11.25" x14ac:dyDescent="0.2">
      <c r="B280" s="146"/>
      <c r="C280" s="155"/>
      <c r="D280" s="145"/>
      <c r="E280" s="152">
        <f>SUM(F280:AE280)</f>
      </c>
      <c r="F280" s="146"/>
      <c r="G280" s="146"/>
      <c r="H280" s="146"/>
      <c r="I280" s="146"/>
      <c r="J280" s="146"/>
      <c r="K280" s="156"/>
      <c r="L280" s="146"/>
      <c r="M280" s="146"/>
      <c r="N280" s="146"/>
      <c r="O280" s="146"/>
      <c r="P280" s="156"/>
      <c r="Q280" s="146"/>
      <c r="R280" s="146"/>
      <c r="S280" s="146"/>
      <c r="T280" s="156"/>
      <c r="U280" s="146"/>
      <c r="V280" s="146"/>
      <c r="W280" s="146"/>
      <c r="X280" s="146"/>
      <c r="Y280" s="146"/>
      <c r="Z280" s="146"/>
      <c r="AA280" s="146"/>
      <c r="AB280" s="146"/>
      <c r="AC280" s="157"/>
      <c r="AD280" s="157"/>
      <c r="AE280" s="157"/>
      <c r="AF280" s="158">
        <f>SUM(AG280:AJ280)</f>
      </c>
      <c r="AG280" s="146"/>
      <c r="AH280" s="145"/>
      <c r="AI280" s="145"/>
      <c r="AJ280" s="145"/>
      <c r="AK280" s="158">
        <f>SUM(AL280:AW280)</f>
      </c>
      <c r="AL280" s="146"/>
      <c r="AM280" s="145"/>
      <c r="AN280" s="145"/>
      <c r="AO280" s="145"/>
      <c r="AP280" s="145"/>
      <c r="AQ280" s="145"/>
      <c r="AR280" s="145"/>
      <c r="AS280" s="145"/>
      <c r="AT280" s="145"/>
      <c r="AU280" s="145"/>
      <c r="AV280" s="145"/>
      <c r="AW280" s="158"/>
      <c r="AX280" s="145"/>
      <c r="AY280" s="145"/>
      <c r="AZ280" s="145"/>
      <c r="BA280" s="158"/>
      <c r="BB280" s="145"/>
      <c r="BC280" s="145"/>
      <c r="BD280" s="158"/>
      <c r="BE280" s="146"/>
      <c r="BF280" s="145"/>
      <c r="BG280" s="145"/>
      <c r="BH280" s="158">
        <f>SUM(BI280:BK280)</f>
      </c>
      <c r="BI280" s="145"/>
      <c r="BJ280" s="145"/>
      <c r="BK280" s="145"/>
      <c r="BL280" s="145">
        <f>SUM(BM280:BR280)</f>
      </c>
      <c r="BM280" s="145"/>
      <c r="BN280" s="145"/>
      <c r="BO280" s="158"/>
      <c r="BP280" s="145"/>
      <c r="BQ280" s="145"/>
      <c r="BR280" s="145"/>
      <c r="BS280" s="145"/>
      <c r="BT280" s="145"/>
      <c r="BU280" s="158"/>
      <c r="BV280" s="146"/>
      <c r="BW280" s="145"/>
      <c r="BX280" s="145"/>
      <c r="BY280" s="158">
        <f>SUM(BZ280:CB280)</f>
      </c>
      <c r="BZ280" s="146"/>
      <c r="CA280" s="145"/>
      <c r="CB280" s="145"/>
      <c r="CC280" s="145">
        <f>SUM(CD280:CH280)</f>
      </c>
      <c r="CD280" s="145"/>
      <c r="CE280" s="158"/>
      <c r="CF280" s="145"/>
      <c r="CG280" s="145"/>
      <c r="CH280" s="145"/>
      <c r="CI280" s="158"/>
      <c r="CJ280" s="145"/>
      <c r="CK280" s="145"/>
      <c r="CL280" s="145"/>
      <c r="CM280" s="145"/>
      <c r="CN280" s="145"/>
      <c r="CO280" s="145"/>
      <c r="CP280" s="145"/>
      <c r="CQ280" s="158"/>
      <c r="CR280" s="146"/>
      <c r="CS280" s="158"/>
      <c r="CT280" s="158"/>
      <c r="CU280" s="158">
        <f>SUM(CV280:CV280)</f>
      </c>
      <c r="CV280" s="146"/>
      <c r="CW280" s="145"/>
      <c r="CX280" s="145"/>
      <c r="CY280" s="145">
        <f>SUM(CZ280:DE280)</f>
      </c>
      <c r="CZ280" s="145"/>
      <c r="DA280" s="146"/>
      <c r="DB280" s="146"/>
      <c r="DC280" s="153"/>
      <c r="DD280" s="153"/>
      <c r="DE280" s="145"/>
      <c r="DF280" s="145"/>
      <c r="DG280" s="145"/>
      <c r="DH280" s="158"/>
      <c r="DI280" s="145"/>
      <c r="DJ280" s="158"/>
      <c r="DK280" s="145"/>
      <c r="DL280" s="158"/>
      <c r="DM280" s="145"/>
      <c r="DN280" s="145"/>
      <c r="DO280" s="145"/>
      <c r="DP280" s="158"/>
      <c r="DQ280" s="145"/>
      <c r="DR280" s="145"/>
      <c r="DS280" s="145"/>
      <c r="DT280" s="145"/>
      <c r="DU280" s="145">
        <f>SUM(DV280:EE280)</f>
      </c>
      <c r="DV280" s="145"/>
      <c r="DW280" s="145"/>
      <c r="DX280" s="145"/>
      <c r="DY280" s="145"/>
      <c r="DZ280" s="146"/>
      <c r="EA280" s="158"/>
      <c r="EB280" s="146"/>
      <c r="EC280" s="145"/>
      <c r="ED280" s="145"/>
      <c r="EE280" s="155"/>
      <c r="EF280" s="145">
        <f>SUM(EG280:EH280)</f>
      </c>
      <c r="EG280" s="145"/>
      <c r="EH280" s="146"/>
      <c r="EI280" s="159" cm="1">
        <f t="array" ref="EI280">ROW()-ROW(Run[#Headers])</f>
        <v>274</v>
      </c>
    </row>
    <row r="281" spans="2:139" s="79" customFormat="1" ht="11.25" x14ac:dyDescent="0.2">
      <c r="B281" s="146"/>
      <c r="C281" s="155"/>
      <c r="D281" s="145"/>
      <c r="E281" s="152">
        <f>SUM(F281:AE281)</f>
      </c>
      <c r="F281" s="146"/>
      <c r="G281" s="146"/>
      <c r="H281" s="146"/>
      <c r="I281" s="146"/>
      <c r="J281" s="146"/>
      <c r="K281" s="156"/>
      <c r="L281" s="146"/>
      <c r="M281" s="146"/>
      <c r="N281" s="146"/>
      <c r="O281" s="146"/>
      <c r="P281" s="156"/>
      <c r="Q281" s="146"/>
      <c r="R281" s="146"/>
      <c r="S281" s="146"/>
      <c r="T281" s="156"/>
      <c r="U281" s="146"/>
      <c r="V281" s="146"/>
      <c r="W281" s="146"/>
      <c r="X281" s="146"/>
      <c r="Y281" s="146"/>
      <c r="Z281" s="146"/>
      <c r="AA281" s="146"/>
      <c r="AB281" s="146"/>
      <c r="AC281" s="157"/>
      <c r="AD281" s="157"/>
      <c r="AE281" s="157"/>
      <c r="AF281" s="158">
        <f>SUM(AG281:AJ281)</f>
      </c>
      <c r="AG281" s="146"/>
      <c r="AH281" s="145"/>
      <c r="AI281" s="145"/>
      <c r="AJ281" s="145"/>
      <c r="AK281" s="158">
        <f>SUM(AL281:AW281)</f>
      </c>
      <c r="AL281" s="146"/>
      <c r="AM281" s="145"/>
      <c r="AN281" s="145"/>
      <c r="AO281" s="145"/>
      <c r="AP281" s="145"/>
      <c r="AQ281" s="145"/>
      <c r="AR281" s="145"/>
      <c r="AS281" s="145"/>
      <c r="AT281" s="145"/>
      <c r="AU281" s="145"/>
      <c r="AV281" s="145"/>
      <c r="AW281" s="158"/>
      <c r="AX281" s="145"/>
      <c r="AY281" s="145"/>
      <c r="AZ281" s="145"/>
      <c r="BA281" s="158"/>
      <c r="BB281" s="145"/>
      <c r="BC281" s="145"/>
      <c r="BD281" s="158"/>
      <c r="BE281" s="146"/>
      <c r="BF281" s="145"/>
      <c r="BG281" s="145"/>
      <c r="BH281" s="158">
        <f>SUM(BI281:BK281)</f>
      </c>
      <c r="BI281" s="145"/>
      <c r="BJ281" s="145"/>
      <c r="BK281" s="145"/>
      <c r="BL281" s="145">
        <f>SUM(BM281:BR281)</f>
      </c>
      <c r="BM281" s="145"/>
      <c r="BN281" s="145"/>
      <c r="BO281" s="158"/>
      <c r="BP281" s="145"/>
      <c r="BQ281" s="145"/>
      <c r="BR281" s="145"/>
      <c r="BS281" s="145"/>
      <c r="BT281" s="145"/>
      <c r="BU281" s="158"/>
      <c r="BV281" s="146"/>
      <c r="BW281" s="145"/>
      <c r="BX281" s="145"/>
      <c r="BY281" s="158">
        <f>SUM(BZ281:CB281)</f>
      </c>
      <c r="BZ281" s="146"/>
      <c r="CA281" s="145"/>
      <c r="CB281" s="145"/>
      <c r="CC281" s="145">
        <f>SUM(CD281:CH281)</f>
      </c>
      <c r="CD281" s="145"/>
      <c r="CE281" s="158"/>
      <c r="CF281" s="145"/>
      <c r="CG281" s="145"/>
      <c r="CH281" s="145"/>
      <c r="CI281" s="158"/>
      <c r="CJ281" s="145"/>
      <c r="CK281" s="145"/>
      <c r="CL281" s="145"/>
      <c r="CM281" s="145"/>
      <c r="CN281" s="145"/>
      <c r="CO281" s="145"/>
      <c r="CP281" s="145"/>
      <c r="CQ281" s="158"/>
      <c r="CR281" s="146"/>
      <c r="CS281" s="158"/>
      <c r="CT281" s="158"/>
      <c r="CU281" s="158">
        <f>SUM(CV281:CV281)</f>
      </c>
      <c r="CV281" s="146"/>
      <c r="CW281" s="145"/>
      <c r="CX281" s="145"/>
      <c r="CY281" s="145">
        <f>SUM(CZ281:DE281)</f>
      </c>
      <c r="CZ281" s="145"/>
      <c r="DA281" s="146"/>
      <c r="DB281" s="146"/>
      <c r="DC281" s="153"/>
      <c r="DD281" s="153"/>
      <c r="DE281" s="145"/>
      <c r="DF281" s="145"/>
      <c r="DG281" s="145"/>
      <c r="DH281" s="158"/>
      <c r="DI281" s="145"/>
      <c r="DJ281" s="158"/>
      <c r="DK281" s="145"/>
      <c r="DL281" s="158"/>
      <c r="DM281" s="145"/>
      <c r="DN281" s="145"/>
      <c r="DO281" s="145"/>
      <c r="DP281" s="158"/>
      <c r="DQ281" s="145"/>
      <c r="DR281" s="145"/>
      <c r="DS281" s="145"/>
      <c r="DT281" s="145"/>
      <c r="DU281" s="145">
        <f>SUM(DV281:EE281)</f>
      </c>
      <c r="DV281" s="145"/>
      <c r="DW281" s="145"/>
      <c r="DX281" s="145"/>
      <c r="DY281" s="145"/>
      <c r="DZ281" s="146"/>
      <c r="EA281" s="158"/>
      <c r="EB281" s="146"/>
      <c r="EC281" s="145"/>
      <c r="ED281" s="145"/>
      <c r="EE281" s="155"/>
      <c r="EF281" s="145">
        <f>SUM(EG281:EH281)</f>
      </c>
      <c r="EG281" s="145"/>
      <c r="EH281" s="146"/>
      <c r="EI281" s="159" cm="1">
        <f t="array" ref="EI281">ROW()-ROW(Run[#Headers])</f>
        <v>275</v>
      </c>
    </row>
    <row r="282" spans="2:139" s="79" customFormat="1" ht="11.25" x14ac:dyDescent="0.2">
      <c r="B282" s="146"/>
      <c r="C282" s="155"/>
      <c r="D282" s="145"/>
      <c r="E282" s="152">
        <f>SUM(F282:AE282)</f>
      </c>
      <c r="F282" s="146"/>
      <c r="G282" s="146"/>
      <c r="H282" s="146"/>
      <c r="I282" s="146"/>
      <c r="J282" s="146"/>
      <c r="K282" s="156"/>
      <c r="L282" s="146"/>
      <c r="M282" s="146"/>
      <c r="N282" s="146"/>
      <c r="O282" s="146"/>
      <c r="P282" s="156"/>
      <c r="Q282" s="146"/>
      <c r="R282" s="146"/>
      <c r="S282" s="146"/>
      <c r="T282" s="156"/>
      <c r="U282" s="146"/>
      <c r="V282" s="146"/>
      <c r="W282" s="146"/>
      <c r="X282" s="146"/>
      <c r="Y282" s="146"/>
      <c r="Z282" s="146"/>
      <c r="AA282" s="146"/>
      <c r="AB282" s="146"/>
      <c r="AC282" s="157"/>
      <c r="AD282" s="157"/>
      <c r="AE282" s="157"/>
      <c r="AF282" s="158">
        <f>SUM(AG282:AJ282)</f>
      </c>
      <c r="AG282" s="146"/>
      <c r="AH282" s="145"/>
      <c r="AI282" s="145"/>
      <c r="AJ282" s="145"/>
      <c r="AK282" s="158">
        <f>SUM(AL282:AW282)</f>
      </c>
      <c r="AL282" s="146"/>
      <c r="AM282" s="145"/>
      <c r="AN282" s="145"/>
      <c r="AO282" s="145"/>
      <c r="AP282" s="145"/>
      <c r="AQ282" s="145"/>
      <c r="AR282" s="145"/>
      <c r="AS282" s="145"/>
      <c r="AT282" s="145"/>
      <c r="AU282" s="145"/>
      <c r="AV282" s="145"/>
      <c r="AW282" s="158"/>
      <c r="AX282" s="145"/>
      <c r="AY282" s="145"/>
      <c r="AZ282" s="145"/>
      <c r="BA282" s="158"/>
      <c r="BB282" s="145"/>
      <c r="BC282" s="145"/>
      <c r="BD282" s="158"/>
      <c r="BE282" s="146"/>
      <c r="BF282" s="145"/>
      <c r="BG282" s="145"/>
      <c r="BH282" s="158">
        <f>SUM(BI282:BK282)</f>
      </c>
      <c r="BI282" s="145"/>
      <c r="BJ282" s="145"/>
      <c r="BK282" s="145"/>
      <c r="BL282" s="145">
        <f>SUM(BM282:BR282)</f>
      </c>
      <c r="BM282" s="145"/>
      <c r="BN282" s="145"/>
      <c r="BO282" s="158"/>
      <c r="BP282" s="145"/>
      <c r="BQ282" s="145"/>
      <c r="BR282" s="145"/>
      <c r="BS282" s="145"/>
      <c r="BT282" s="145"/>
      <c r="BU282" s="158"/>
      <c r="BV282" s="146"/>
      <c r="BW282" s="145"/>
      <c r="BX282" s="145"/>
      <c r="BY282" s="158">
        <f>SUM(BZ282:CB282)</f>
      </c>
      <c r="BZ282" s="146"/>
      <c r="CA282" s="145"/>
      <c r="CB282" s="145"/>
      <c r="CC282" s="145">
        <f>SUM(CD282:CH282)</f>
      </c>
      <c r="CD282" s="145"/>
      <c r="CE282" s="158"/>
      <c r="CF282" s="145"/>
      <c r="CG282" s="145"/>
      <c r="CH282" s="145"/>
      <c r="CI282" s="158"/>
      <c r="CJ282" s="145"/>
      <c r="CK282" s="145"/>
      <c r="CL282" s="145"/>
      <c r="CM282" s="145"/>
      <c r="CN282" s="145"/>
      <c r="CO282" s="145"/>
      <c r="CP282" s="145"/>
      <c r="CQ282" s="158"/>
      <c r="CR282" s="146"/>
      <c r="CS282" s="158"/>
      <c r="CT282" s="158"/>
      <c r="CU282" s="158">
        <f>SUM(CV282:CV282)</f>
      </c>
      <c r="CV282" s="146"/>
      <c r="CW282" s="145"/>
      <c r="CX282" s="145"/>
      <c r="CY282" s="145">
        <f>SUM(CZ282:DE282)</f>
      </c>
      <c r="CZ282" s="145"/>
      <c r="DA282" s="146"/>
      <c r="DB282" s="146"/>
      <c r="DC282" s="153"/>
      <c r="DD282" s="153"/>
      <c r="DE282" s="145"/>
      <c r="DF282" s="145"/>
      <c r="DG282" s="145"/>
      <c r="DH282" s="158"/>
      <c r="DI282" s="145"/>
      <c r="DJ282" s="158"/>
      <c r="DK282" s="145"/>
      <c r="DL282" s="158"/>
      <c r="DM282" s="145"/>
      <c r="DN282" s="145"/>
      <c r="DO282" s="145"/>
      <c r="DP282" s="158"/>
      <c r="DQ282" s="145"/>
      <c r="DR282" s="145"/>
      <c r="DS282" s="145"/>
      <c r="DT282" s="145"/>
      <c r="DU282" s="145">
        <f>SUM(DV282:EE282)</f>
      </c>
      <c r="DV282" s="145"/>
      <c r="DW282" s="145"/>
      <c r="DX282" s="145"/>
      <c r="DY282" s="145"/>
      <c r="DZ282" s="146"/>
      <c r="EA282" s="158"/>
      <c r="EB282" s="146"/>
      <c r="EC282" s="145"/>
      <c r="ED282" s="145"/>
      <c r="EE282" s="155"/>
      <c r="EF282" s="145">
        <f>SUM(EG282:EH282)</f>
      </c>
      <c r="EG282" s="145"/>
      <c r="EH282" s="146"/>
      <c r="EI282" s="159" cm="1">
        <f t="array" ref="EI282">ROW()-ROW(Run[#Headers])</f>
        <v>276</v>
      </c>
    </row>
    <row r="283" spans="2:139" s="79" customFormat="1" ht="11.25" x14ac:dyDescent="0.2">
      <c r="B283" s="146"/>
      <c r="C283" s="155"/>
      <c r="D283" s="145"/>
      <c r="E283" s="152">
        <f>SUM(F283:AE283)</f>
      </c>
      <c r="F283" s="146"/>
      <c r="G283" s="146"/>
      <c r="H283" s="146"/>
      <c r="I283" s="146"/>
      <c r="J283" s="146"/>
      <c r="K283" s="156"/>
      <c r="L283" s="146"/>
      <c r="M283" s="146"/>
      <c r="N283" s="146"/>
      <c r="O283" s="146"/>
      <c r="P283" s="156"/>
      <c r="Q283" s="146"/>
      <c r="R283" s="146"/>
      <c r="S283" s="146"/>
      <c r="T283" s="156"/>
      <c r="U283" s="146"/>
      <c r="V283" s="146"/>
      <c r="W283" s="146"/>
      <c r="X283" s="146"/>
      <c r="Y283" s="146"/>
      <c r="Z283" s="146"/>
      <c r="AA283" s="146"/>
      <c r="AB283" s="146"/>
      <c r="AC283" s="157"/>
      <c r="AD283" s="157"/>
      <c r="AE283" s="157"/>
      <c r="AF283" s="158">
        <f>SUM(AG283:AJ283)</f>
      </c>
      <c r="AG283" s="146"/>
      <c r="AH283" s="145"/>
      <c r="AI283" s="145"/>
      <c r="AJ283" s="145"/>
      <c r="AK283" s="158">
        <f>SUM(AL283:AW283)</f>
      </c>
      <c r="AL283" s="146"/>
      <c r="AM283" s="145"/>
      <c r="AN283" s="145"/>
      <c r="AO283" s="145"/>
      <c r="AP283" s="145"/>
      <c r="AQ283" s="145"/>
      <c r="AR283" s="145"/>
      <c r="AS283" s="145"/>
      <c r="AT283" s="145"/>
      <c r="AU283" s="145"/>
      <c r="AV283" s="145"/>
      <c r="AW283" s="158"/>
      <c r="AX283" s="145"/>
      <c r="AY283" s="145"/>
      <c r="AZ283" s="145"/>
      <c r="BA283" s="158"/>
      <c r="BB283" s="145"/>
      <c r="BC283" s="145"/>
      <c r="BD283" s="158"/>
      <c r="BE283" s="146"/>
      <c r="BF283" s="145"/>
      <c r="BG283" s="145"/>
      <c r="BH283" s="158">
        <f>SUM(BI283:BK283)</f>
      </c>
      <c r="BI283" s="145"/>
      <c r="BJ283" s="145"/>
      <c r="BK283" s="145"/>
      <c r="BL283" s="145">
        <f>SUM(BM283:BR283)</f>
      </c>
      <c r="BM283" s="145"/>
      <c r="BN283" s="145"/>
      <c r="BO283" s="158"/>
      <c r="BP283" s="145"/>
      <c r="BQ283" s="145"/>
      <c r="BR283" s="145"/>
      <c r="BS283" s="145"/>
      <c r="BT283" s="145"/>
      <c r="BU283" s="158"/>
      <c r="BV283" s="146"/>
      <c r="BW283" s="145"/>
      <c r="BX283" s="145"/>
      <c r="BY283" s="158">
        <f>SUM(BZ283:CB283)</f>
      </c>
      <c r="BZ283" s="146"/>
      <c r="CA283" s="145"/>
      <c r="CB283" s="145"/>
      <c r="CC283" s="145">
        <f>SUM(CD283:CH283)</f>
      </c>
      <c r="CD283" s="145"/>
      <c r="CE283" s="158"/>
      <c r="CF283" s="145"/>
      <c r="CG283" s="145"/>
      <c r="CH283" s="145"/>
      <c r="CI283" s="158"/>
      <c r="CJ283" s="145"/>
      <c r="CK283" s="145"/>
      <c r="CL283" s="145"/>
      <c r="CM283" s="145"/>
      <c r="CN283" s="145"/>
      <c r="CO283" s="145"/>
      <c r="CP283" s="145"/>
      <c r="CQ283" s="158"/>
      <c r="CR283" s="146"/>
      <c r="CS283" s="158"/>
      <c r="CT283" s="158"/>
      <c r="CU283" s="158">
        <f>SUM(CV283:CV283)</f>
      </c>
      <c r="CV283" s="146"/>
      <c r="CW283" s="145"/>
      <c r="CX283" s="145"/>
      <c r="CY283" s="145">
        <f>SUM(CZ283:DE283)</f>
      </c>
      <c r="CZ283" s="145"/>
      <c r="DA283" s="146"/>
      <c r="DB283" s="146"/>
      <c r="DC283" s="153"/>
      <c r="DD283" s="153"/>
      <c r="DE283" s="145"/>
      <c r="DF283" s="145"/>
      <c r="DG283" s="145"/>
      <c r="DH283" s="158"/>
      <c r="DI283" s="145"/>
      <c r="DJ283" s="158"/>
      <c r="DK283" s="145"/>
      <c r="DL283" s="158"/>
      <c r="DM283" s="145"/>
      <c r="DN283" s="145"/>
      <c r="DO283" s="145"/>
      <c r="DP283" s="158"/>
      <c r="DQ283" s="145"/>
      <c r="DR283" s="145"/>
      <c r="DS283" s="145"/>
      <c r="DT283" s="145"/>
      <c r="DU283" s="145">
        <f>SUM(DV283:EE283)</f>
      </c>
      <c r="DV283" s="145"/>
      <c r="DW283" s="145"/>
      <c r="DX283" s="145"/>
      <c r="DY283" s="145"/>
      <c r="DZ283" s="146"/>
      <c r="EA283" s="158"/>
      <c r="EB283" s="146"/>
      <c r="EC283" s="145"/>
      <c r="ED283" s="145"/>
      <c r="EE283" s="155"/>
      <c r="EF283" s="145">
        <f>SUM(EG283:EH283)</f>
      </c>
      <c r="EG283" s="145"/>
      <c r="EH283" s="146"/>
      <c r="EI283" s="159" cm="1">
        <f t="array" ref="EI283">ROW()-ROW(Run[#Headers])</f>
        <v>277</v>
      </c>
    </row>
    <row r="284" spans="2:139" s="79" customFormat="1" ht="11.25" x14ac:dyDescent="0.2">
      <c r="B284" s="146"/>
      <c r="C284" s="155"/>
      <c r="D284" s="145"/>
      <c r="E284" s="152">
        <f>SUM(F284:AE284)</f>
      </c>
      <c r="F284" s="146"/>
      <c r="G284" s="146"/>
      <c r="H284" s="146"/>
      <c r="I284" s="146"/>
      <c r="J284" s="146"/>
      <c r="K284" s="156"/>
      <c r="L284" s="146"/>
      <c r="M284" s="146"/>
      <c r="N284" s="146"/>
      <c r="O284" s="146"/>
      <c r="P284" s="156"/>
      <c r="Q284" s="146"/>
      <c r="R284" s="146"/>
      <c r="S284" s="146"/>
      <c r="T284" s="156"/>
      <c r="U284" s="146"/>
      <c r="V284" s="146"/>
      <c r="W284" s="146"/>
      <c r="X284" s="146"/>
      <c r="Y284" s="146"/>
      <c r="Z284" s="146"/>
      <c r="AA284" s="146"/>
      <c r="AB284" s="146"/>
      <c r="AC284" s="157"/>
      <c r="AD284" s="157"/>
      <c r="AE284" s="157"/>
      <c r="AF284" s="158">
        <f>SUM(AG284:AJ284)</f>
      </c>
      <c r="AG284" s="146"/>
      <c r="AH284" s="145"/>
      <c r="AI284" s="145"/>
      <c r="AJ284" s="145"/>
      <c r="AK284" s="158">
        <f>SUM(AL284:AW284)</f>
      </c>
      <c r="AL284" s="146"/>
      <c r="AM284" s="145"/>
      <c r="AN284" s="145"/>
      <c r="AO284" s="145"/>
      <c r="AP284" s="145"/>
      <c r="AQ284" s="145"/>
      <c r="AR284" s="145"/>
      <c r="AS284" s="145"/>
      <c r="AT284" s="145"/>
      <c r="AU284" s="145"/>
      <c r="AV284" s="145"/>
      <c r="AW284" s="158"/>
      <c r="AX284" s="145"/>
      <c r="AY284" s="145"/>
      <c r="AZ284" s="145"/>
      <c r="BA284" s="158"/>
      <c r="BB284" s="145"/>
      <c r="BC284" s="145"/>
      <c r="BD284" s="158"/>
      <c r="BE284" s="146"/>
      <c r="BF284" s="145"/>
      <c r="BG284" s="145"/>
      <c r="BH284" s="158">
        <f>SUM(BI284:BK284)</f>
      </c>
      <c r="BI284" s="145"/>
      <c r="BJ284" s="145"/>
      <c r="BK284" s="145"/>
      <c r="BL284" s="145">
        <f>SUM(BM284:BR284)</f>
      </c>
      <c r="BM284" s="145"/>
      <c r="BN284" s="145"/>
      <c r="BO284" s="158"/>
      <c r="BP284" s="145"/>
      <c r="BQ284" s="145"/>
      <c r="BR284" s="145"/>
      <c r="BS284" s="145"/>
      <c r="BT284" s="145"/>
      <c r="BU284" s="158"/>
      <c r="BV284" s="146"/>
      <c r="BW284" s="145"/>
      <c r="BX284" s="145"/>
      <c r="BY284" s="158">
        <f>SUM(BZ284:CB284)</f>
      </c>
      <c r="BZ284" s="146"/>
      <c r="CA284" s="145"/>
      <c r="CB284" s="145"/>
      <c r="CC284" s="145">
        <f>SUM(CD284:CH284)</f>
      </c>
      <c r="CD284" s="145"/>
      <c r="CE284" s="158"/>
      <c r="CF284" s="145"/>
      <c r="CG284" s="145"/>
      <c r="CH284" s="145"/>
      <c r="CI284" s="158"/>
      <c r="CJ284" s="145"/>
      <c r="CK284" s="145"/>
      <c r="CL284" s="145"/>
      <c r="CM284" s="145"/>
      <c r="CN284" s="145"/>
      <c r="CO284" s="145"/>
      <c r="CP284" s="145"/>
      <c r="CQ284" s="158"/>
      <c r="CR284" s="146"/>
      <c r="CS284" s="158"/>
      <c r="CT284" s="158"/>
      <c r="CU284" s="158">
        <f>SUM(CV284:CV284)</f>
      </c>
      <c r="CV284" s="146"/>
      <c r="CW284" s="145"/>
      <c r="CX284" s="145"/>
      <c r="CY284" s="145">
        <f>SUM(CZ284:DE284)</f>
      </c>
      <c r="CZ284" s="145"/>
      <c r="DA284" s="146"/>
      <c r="DB284" s="146"/>
      <c r="DC284" s="153"/>
      <c r="DD284" s="153"/>
      <c r="DE284" s="145"/>
      <c r="DF284" s="145"/>
      <c r="DG284" s="145"/>
      <c r="DH284" s="158"/>
      <c r="DI284" s="145"/>
      <c r="DJ284" s="158"/>
      <c r="DK284" s="145"/>
      <c r="DL284" s="158"/>
      <c r="DM284" s="145"/>
      <c r="DN284" s="145"/>
      <c r="DO284" s="145"/>
      <c r="DP284" s="158"/>
      <c r="DQ284" s="145"/>
      <c r="DR284" s="145"/>
      <c r="DS284" s="145"/>
      <c r="DT284" s="145"/>
      <c r="DU284" s="145">
        <f>SUM(DV284:EE284)</f>
      </c>
      <c r="DV284" s="145"/>
      <c r="DW284" s="145"/>
      <c r="DX284" s="145"/>
      <c r="DY284" s="145"/>
      <c r="DZ284" s="146"/>
      <c r="EA284" s="158"/>
      <c r="EB284" s="146"/>
      <c r="EC284" s="145"/>
      <c r="ED284" s="145"/>
      <c r="EE284" s="155"/>
      <c r="EF284" s="145">
        <f>SUM(EG284:EH284)</f>
      </c>
      <c r="EG284" s="145"/>
      <c r="EH284" s="146"/>
      <c r="EI284" s="159" cm="1">
        <f t="array" ref="EI284">ROW()-ROW(Run[#Headers])</f>
        <v>278</v>
      </c>
    </row>
    <row r="285" spans="2:139" s="79" customFormat="1" ht="11.25" x14ac:dyDescent="0.2">
      <c r="B285" s="146"/>
      <c r="C285" s="155"/>
      <c r="D285" s="145"/>
      <c r="E285" s="152">
        <f>SUM(F285:AE285)</f>
      </c>
      <c r="F285" s="146"/>
      <c r="G285" s="146"/>
      <c r="H285" s="146"/>
      <c r="I285" s="146"/>
      <c r="J285" s="146"/>
      <c r="K285" s="156"/>
      <c r="L285" s="146"/>
      <c r="M285" s="146"/>
      <c r="N285" s="146"/>
      <c r="O285" s="146"/>
      <c r="P285" s="156"/>
      <c r="Q285" s="146"/>
      <c r="R285" s="146"/>
      <c r="S285" s="146"/>
      <c r="T285" s="156"/>
      <c r="U285" s="146"/>
      <c r="V285" s="146"/>
      <c r="W285" s="146"/>
      <c r="X285" s="146"/>
      <c r="Y285" s="146"/>
      <c r="Z285" s="146"/>
      <c r="AA285" s="146"/>
      <c r="AB285" s="146"/>
      <c r="AC285" s="157"/>
      <c r="AD285" s="157"/>
      <c r="AE285" s="157"/>
      <c r="AF285" s="158">
        <f>SUM(AG285:AJ285)</f>
      </c>
      <c r="AG285" s="146"/>
      <c r="AH285" s="145"/>
      <c r="AI285" s="145"/>
      <c r="AJ285" s="145"/>
      <c r="AK285" s="158">
        <f>SUM(AL285:AW285)</f>
      </c>
      <c r="AL285" s="146"/>
      <c r="AM285" s="145"/>
      <c r="AN285" s="145"/>
      <c r="AO285" s="145"/>
      <c r="AP285" s="145"/>
      <c r="AQ285" s="145"/>
      <c r="AR285" s="145"/>
      <c r="AS285" s="145"/>
      <c r="AT285" s="145"/>
      <c r="AU285" s="145"/>
      <c r="AV285" s="145"/>
      <c r="AW285" s="158"/>
      <c r="AX285" s="145"/>
      <c r="AY285" s="145"/>
      <c r="AZ285" s="145"/>
      <c r="BA285" s="158"/>
      <c r="BB285" s="145"/>
      <c r="BC285" s="145"/>
      <c r="BD285" s="158"/>
      <c r="BE285" s="146"/>
      <c r="BF285" s="145"/>
      <c r="BG285" s="145"/>
      <c r="BH285" s="158">
        <f>SUM(BI285:BK285)</f>
      </c>
      <c r="BI285" s="145"/>
      <c r="BJ285" s="145"/>
      <c r="BK285" s="145"/>
      <c r="BL285" s="145">
        <f>SUM(BM285:BR285)</f>
      </c>
      <c r="BM285" s="145"/>
      <c r="BN285" s="145"/>
      <c r="BO285" s="158"/>
      <c r="BP285" s="145"/>
      <c r="BQ285" s="145"/>
      <c r="BR285" s="145"/>
      <c r="BS285" s="145"/>
      <c r="BT285" s="145"/>
      <c r="BU285" s="158"/>
      <c r="BV285" s="146"/>
      <c r="BW285" s="145"/>
      <c r="BX285" s="145"/>
      <c r="BY285" s="158">
        <f>SUM(BZ285:CB285)</f>
      </c>
      <c r="BZ285" s="146"/>
      <c r="CA285" s="145"/>
      <c r="CB285" s="145"/>
      <c r="CC285" s="145">
        <f>SUM(CD285:CH285)</f>
      </c>
      <c r="CD285" s="145"/>
      <c r="CE285" s="158"/>
      <c r="CF285" s="145"/>
      <c r="CG285" s="145"/>
      <c r="CH285" s="145"/>
      <c r="CI285" s="158"/>
      <c r="CJ285" s="145"/>
      <c r="CK285" s="145"/>
      <c r="CL285" s="145"/>
      <c r="CM285" s="145"/>
      <c r="CN285" s="145"/>
      <c r="CO285" s="145"/>
      <c r="CP285" s="145"/>
      <c r="CQ285" s="158"/>
      <c r="CR285" s="146"/>
      <c r="CS285" s="158"/>
      <c r="CT285" s="158"/>
      <c r="CU285" s="158">
        <f>SUM(CV285:CV285)</f>
      </c>
      <c r="CV285" s="146"/>
      <c r="CW285" s="145"/>
      <c r="CX285" s="145"/>
      <c r="CY285" s="145">
        <f>SUM(CZ285:DE285)</f>
      </c>
      <c r="CZ285" s="145"/>
      <c r="DA285" s="146"/>
      <c r="DB285" s="146"/>
      <c r="DC285" s="153"/>
      <c r="DD285" s="153"/>
      <c r="DE285" s="145"/>
      <c r="DF285" s="145"/>
      <c r="DG285" s="145"/>
      <c r="DH285" s="158"/>
      <c r="DI285" s="145"/>
      <c r="DJ285" s="158"/>
      <c r="DK285" s="145"/>
      <c r="DL285" s="158"/>
      <c r="DM285" s="145"/>
      <c r="DN285" s="145"/>
      <c r="DO285" s="145"/>
      <c r="DP285" s="158"/>
      <c r="DQ285" s="145"/>
      <c r="DR285" s="145"/>
      <c r="DS285" s="145"/>
      <c r="DT285" s="145"/>
      <c r="DU285" s="145">
        <f>SUM(DV285:EE285)</f>
      </c>
      <c r="DV285" s="145"/>
      <c r="DW285" s="145"/>
      <c r="DX285" s="145"/>
      <c r="DY285" s="145"/>
      <c r="DZ285" s="146"/>
      <c r="EA285" s="158"/>
      <c r="EB285" s="146"/>
      <c r="EC285" s="145"/>
      <c r="ED285" s="145"/>
      <c r="EE285" s="155"/>
      <c r="EF285" s="145">
        <f>SUM(EG285:EH285)</f>
      </c>
      <c r="EG285" s="145"/>
      <c r="EH285" s="146"/>
      <c r="EI285" s="159" cm="1">
        <f t="array" ref="EI285">ROW()-ROW(Run[#Headers])</f>
        <v>279</v>
      </c>
    </row>
    <row r="286" spans="2:139" s="79" customFormat="1" ht="11.25" x14ac:dyDescent="0.2">
      <c r="B286" s="146"/>
      <c r="C286" s="155"/>
      <c r="D286" s="145"/>
      <c r="E286" s="152">
        <f>SUM(F286:AE286)</f>
      </c>
      <c r="F286" s="146"/>
      <c r="G286" s="146"/>
      <c r="H286" s="146"/>
      <c r="I286" s="146"/>
      <c r="J286" s="146"/>
      <c r="K286" s="156"/>
      <c r="L286" s="146"/>
      <c r="M286" s="146"/>
      <c r="N286" s="146"/>
      <c r="O286" s="146"/>
      <c r="P286" s="156"/>
      <c r="Q286" s="146"/>
      <c r="R286" s="146"/>
      <c r="S286" s="146"/>
      <c r="T286" s="156"/>
      <c r="U286" s="146"/>
      <c r="V286" s="146"/>
      <c r="W286" s="146"/>
      <c r="X286" s="146"/>
      <c r="Y286" s="146"/>
      <c r="Z286" s="146"/>
      <c r="AA286" s="146"/>
      <c r="AB286" s="146"/>
      <c r="AC286" s="157"/>
      <c r="AD286" s="157"/>
      <c r="AE286" s="157"/>
      <c r="AF286" s="158">
        <f>SUM(AG286:AJ286)</f>
      </c>
      <c r="AG286" s="146"/>
      <c r="AH286" s="145"/>
      <c r="AI286" s="145"/>
      <c r="AJ286" s="145"/>
      <c r="AK286" s="158">
        <f>SUM(AL286:AW286)</f>
      </c>
      <c r="AL286" s="146"/>
      <c r="AM286" s="145"/>
      <c r="AN286" s="145"/>
      <c r="AO286" s="145"/>
      <c r="AP286" s="145"/>
      <c r="AQ286" s="145"/>
      <c r="AR286" s="145"/>
      <c r="AS286" s="145"/>
      <c r="AT286" s="145"/>
      <c r="AU286" s="145"/>
      <c r="AV286" s="145"/>
      <c r="AW286" s="158"/>
      <c r="AX286" s="145"/>
      <c r="AY286" s="145"/>
      <c r="AZ286" s="145"/>
      <c r="BA286" s="158"/>
      <c r="BB286" s="145"/>
      <c r="BC286" s="145"/>
      <c r="BD286" s="158"/>
      <c r="BE286" s="146"/>
      <c r="BF286" s="145"/>
      <c r="BG286" s="145"/>
      <c r="BH286" s="158">
        <f>SUM(BI286:BK286)</f>
      </c>
      <c r="BI286" s="145"/>
      <c r="BJ286" s="145"/>
      <c r="BK286" s="145"/>
      <c r="BL286" s="145">
        <f>SUM(BM286:BR286)</f>
      </c>
      <c r="BM286" s="145"/>
      <c r="BN286" s="145"/>
      <c r="BO286" s="158"/>
      <c r="BP286" s="145"/>
      <c r="BQ286" s="145"/>
      <c r="BR286" s="145"/>
      <c r="BS286" s="145"/>
      <c r="BT286" s="145"/>
      <c r="BU286" s="158"/>
      <c r="BV286" s="146"/>
      <c r="BW286" s="145"/>
      <c r="BX286" s="145"/>
      <c r="BY286" s="158">
        <f>SUM(BZ286:CB286)</f>
      </c>
      <c r="BZ286" s="146"/>
      <c r="CA286" s="145"/>
      <c r="CB286" s="145"/>
      <c r="CC286" s="145">
        <f>SUM(CD286:CH286)</f>
      </c>
      <c r="CD286" s="145"/>
      <c r="CE286" s="158"/>
      <c r="CF286" s="145"/>
      <c r="CG286" s="145"/>
      <c r="CH286" s="145"/>
      <c r="CI286" s="158"/>
      <c r="CJ286" s="145"/>
      <c r="CK286" s="145"/>
      <c r="CL286" s="145"/>
      <c r="CM286" s="145"/>
      <c r="CN286" s="145"/>
      <c r="CO286" s="145"/>
      <c r="CP286" s="145"/>
      <c r="CQ286" s="158"/>
      <c r="CR286" s="146"/>
      <c r="CS286" s="158"/>
      <c r="CT286" s="158"/>
      <c r="CU286" s="158">
        <f>SUM(CV286:CV286)</f>
      </c>
      <c r="CV286" s="146"/>
      <c r="CW286" s="145"/>
      <c r="CX286" s="145"/>
      <c r="CY286" s="145">
        <f>SUM(CZ286:DE286)</f>
      </c>
      <c r="CZ286" s="145"/>
      <c r="DA286" s="146"/>
      <c r="DB286" s="146"/>
      <c r="DC286" s="153"/>
      <c r="DD286" s="153"/>
      <c r="DE286" s="145"/>
      <c r="DF286" s="145"/>
      <c r="DG286" s="145"/>
      <c r="DH286" s="158"/>
      <c r="DI286" s="145"/>
      <c r="DJ286" s="158"/>
      <c r="DK286" s="145"/>
      <c r="DL286" s="158"/>
      <c r="DM286" s="145"/>
      <c r="DN286" s="145"/>
      <c r="DO286" s="145"/>
      <c r="DP286" s="158"/>
      <c r="DQ286" s="145"/>
      <c r="DR286" s="145"/>
      <c r="DS286" s="145"/>
      <c r="DT286" s="145"/>
      <c r="DU286" s="145">
        <f>SUM(DV286:EE286)</f>
      </c>
      <c r="DV286" s="145"/>
      <c r="DW286" s="145"/>
      <c r="DX286" s="145"/>
      <c r="DY286" s="145"/>
      <c r="DZ286" s="146"/>
      <c r="EA286" s="158"/>
      <c r="EB286" s="146"/>
      <c r="EC286" s="145"/>
      <c r="ED286" s="145"/>
      <c r="EE286" s="155"/>
      <c r="EF286" s="145">
        <f>SUM(EG286:EH286)</f>
      </c>
      <c r="EG286" s="145"/>
      <c r="EH286" s="146"/>
      <c r="EI286" s="159" cm="1">
        <f t="array" ref="EI286">ROW()-ROW(Run[#Headers])</f>
        <v>280</v>
      </c>
    </row>
    <row r="287" spans="2:139" s="79" customFormat="1" ht="11.25" x14ac:dyDescent="0.2">
      <c r="B287" s="146"/>
      <c r="C287" s="155"/>
      <c r="D287" s="145"/>
      <c r="E287" s="152">
        <f>SUM(F287:AE287)</f>
      </c>
      <c r="F287" s="146"/>
      <c r="G287" s="146"/>
      <c r="H287" s="146"/>
      <c r="I287" s="146"/>
      <c r="J287" s="146"/>
      <c r="K287" s="156"/>
      <c r="L287" s="146"/>
      <c r="M287" s="146"/>
      <c r="N287" s="146"/>
      <c r="O287" s="146"/>
      <c r="P287" s="156"/>
      <c r="Q287" s="146"/>
      <c r="R287" s="146"/>
      <c r="S287" s="146"/>
      <c r="T287" s="156"/>
      <c r="U287" s="146"/>
      <c r="V287" s="146"/>
      <c r="W287" s="146"/>
      <c r="X287" s="146"/>
      <c r="Y287" s="146"/>
      <c r="Z287" s="146"/>
      <c r="AA287" s="146"/>
      <c r="AB287" s="146"/>
      <c r="AC287" s="157"/>
      <c r="AD287" s="157"/>
      <c r="AE287" s="157"/>
      <c r="AF287" s="158">
        <f>SUM(AG287:AJ287)</f>
      </c>
      <c r="AG287" s="146"/>
      <c r="AH287" s="145"/>
      <c r="AI287" s="145"/>
      <c r="AJ287" s="145"/>
      <c r="AK287" s="158">
        <f>SUM(AL287:AW287)</f>
      </c>
      <c r="AL287" s="146"/>
      <c r="AM287" s="145"/>
      <c r="AN287" s="145"/>
      <c r="AO287" s="145"/>
      <c r="AP287" s="145"/>
      <c r="AQ287" s="145"/>
      <c r="AR287" s="145"/>
      <c r="AS287" s="145"/>
      <c r="AT287" s="145"/>
      <c r="AU287" s="145"/>
      <c r="AV287" s="145"/>
      <c r="AW287" s="158"/>
      <c r="AX287" s="145"/>
      <c r="AY287" s="145"/>
      <c r="AZ287" s="145"/>
      <c r="BA287" s="158"/>
      <c r="BB287" s="145"/>
      <c r="BC287" s="145"/>
      <c r="BD287" s="158"/>
      <c r="BE287" s="146"/>
      <c r="BF287" s="145"/>
      <c r="BG287" s="145"/>
      <c r="BH287" s="158">
        <f>SUM(BI287:BK287)</f>
      </c>
      <c r="BI287" s="145"/>
      <c r="BJ287" s="145"/>
      <c r="BK287" s="145"/>
      <c r="BL287" s="145">
        <f>SUM(BM287:BR287)</f>
      </c>
      <c r="BM287" s="145"/>
      <c r="BN287" s="145"/>
      <c r="BO287" s="158"/>
      <c r="BP287" s="145"/>
      <c r="BQ287" s="145"/>
      <c r="BR287" s="145"/>
      <c r="BS287" s="145"/>
      <c r="BT287" s="145"/>
      <c r="BU287" s="158"/>
      <c r="BV287" s="146"/>
      <c r="BW287" s="145"/>
      <c r="BX287" s="145"/>
      <c r="BY287" s="158">
        <f>SUM(BZ287:CB287)</f>
      </c>
      <c r="BZ287" s="146"/>
      <c r="CA287" s="145"/>
      <c r="CB287" s="145"/>
      <c r="CC287" s="145">
        <f>SUM(CD287:CH287)</f>
      </c>
      <c r="CD287" s="145"/>
      <c r="CE287" s="158"/>
      <c r="CF287" s="145"/>
      <c r="CG287" s="145"/>
      <c r="CH287" s="145"/>
      <c r="CI287" s="158"/>
      <c r="CJ287" s="145"/>
      <c r="CK287" s="145"/>
      <c r="CL287" s="145"/>
      <c r="CM287" s="145"/>
      <c r="CN287" s="145"/>
      <c r="CO287" s="145"/>
      <c r="CP287" s="145"/>
      <c r="CQ287" s="158"/>
      <c r="CR287" s="146"/>
      <c r="CS287" s="158"/>
      <c r="CT287" s="158"/>
      <c r="CU287" s="158">
        <f>SUM(CV287:CV287)</f>
      </c>
      <c r="CV287" s="146"/>
      <c r="CW287" s="145"/>
      <c r="CX287" s="145"/>
      <c r="CY287" s="145">
        <f>SUM(CZ287:DE287)</f>
      </c>
      <c r="CZ287" s="145"/>
      <c r="DA287" s="146"/>
      <c r="DB287" s="146"/>
      <c r="DC287" s="153"/>
      <c r="DD287" s="153"/>
      <c r="DE287" s="145"/>
      <c r="DF287" s="145"/>
      <c r="DG287" s="145"/>
      <c r="DH287" s="158"/>
      <c r="DI287" s="145"/>
      <c r="DJ287" s="158"/>
      <c r="DK287" s="145"/>
      <c r="DL287" s="158"/>
      <c r="DM287" s="145"/>
      <c r="DN287" s="145"/>
      <c r="DO287" s="145"/>
      <c r="DP287" s="158"/>
      <c r="DQ287" s="145"/>
      <c r="DR287" s="145"/>
      <c r="DS287" s="145"/>
      <c r="DT287" s="145"/>
      <c r="DU287" s="145">
        <f>SUM(DV287:EE287)</f>
      </c>
      <c r="DV287" s="145"/>
      <c r="DW287" s="145"/>
      <c r="DX287" s="145"/>
      <c r="DY287" s="145"/>
      <c r="DZ287" s="146"/>
      <c r="EA287" s="158"/>
      <c r="EB287" s="146"/>
      <c r="EC287" s="145"/>
      <c r="ED287" s="145"/>
      <c r="EE287" s="155"/>
      <c r="EF287" s="145">
        <f>SUM(EG287:EH287)</f>
      </c>
      <c r="EG287" s="145"/>
      <c r="EH287" s="146"/>
      <c r="EI287" s="159" cm="1">
        <f t="array" ref="EI287">ROW()-ROW(Run[#Headers])</f>
        <v>281</v>
      </c>
    </row>
    <row r="288" spans="2:139" s="79" customFormat="1" ht="11.25" x14ac:dyDescent="0.2">
      <c r="B288" s="146"/>
      <c r="C288" s="155"/>
      <c r="D288" s="145"/>
      <c r="E288" s="152">
        <f>SUM(F288:AE288)</f>
      </c>
      <c r="F288" s="146"/>
      <c r="G288" s="146"/>
      <c r="H288" s="146"/>
      <c r="I288" s="146"/>
      <c r="J288" s="146"/>
      <c r="K288" s="156"/>
      <c r="L288" s="146"/>
      <c r="M288" s="146"/>
      <c r="N288" s="146"/>
      <c r="O288" s="146"/>
      <c r="P288" s="156"/>
      <c r="Q288" s="146"/>
      <c r="R288" s="146"/>
      <c r="S288" s="146"/>
      <c r="T288" s="156"/>
      <c r="U288" s="146"/>
      <c r="V288" s="146"/>
      <c r="W288" s="146"/>
      <c r="X288" s="146"/>
      <c r="Y288" s="146"/>
      <c r="Z288" s="146"/>
      <c r="AA288" s="146"/>
      <c r="AB288" s="146"/>
      <c r="AC288" s="157"/>
      <c r="AD288" s="157"/>
      <c r="AE288" s="157"/>
      <c r="AF288" s="158">
        <f>SUM(AG288:AJ288)</f>
      </c>
      <c r="AG288" s="146"/>
      <c r="AH288" s="145"/>
      <c r="AI288" s="145"/>
      <c r="AJ288" s="145"/>
      <c r="AK288" s="158">
        <f>SUM(AL288:AW288)</f>
      </c>
      <c r="AL288" s="146"/>
      <c r="AM288" s="145"/>
      <c r="AN288" s="145"/>
      <c r="AO288" s="145"/>
      <c r="AP288" s="145"/>
      <c r="AQ288" s="145"/>
      <c r="AR288" s="145"/>
      <c r="AS288" s="145"/>
      <c r="AT288" s="145"/>
      <c r="AU288" s="145"/>
      <c r="AV288" s="145"/>
      <c r="AW288" s="158"/>
      <c r="AX288" s="145"/>
      <c r="AY288" s="145"/>
      <c r="AZ288" s="145"/>
      <c r="BA288" s="158"/>
      <c r="BB288" s="145"/>
      <c r="BC288" s="145"/>
      <c r="BD288" s="158"/>
      <c r="BE288" s="146"/>
      <c r="BF288" s="145"/>
      <c r="BG288" s="145"/>
      <c r="BH288" s="158">
        <f>SUM(BI288:BK288)</f>
      </c>
      <c r="BI288" s="145"/>
      <c r="BJ288" s="145"/>
      <c r="BK288" s="145"/>
      <c r="BL288" s="145">
        <f>SUM(BM288:BR288)</f>
      </c>
      <c r="BM288" s="145"/>
      <c r="BN288" s="145"/>
      <c r="BO288" s="158"/>
      <c r="BP288" s="145"/>
      <c r="BQ288" s="145"/>
      <c r="BR288" s="145"/>
      <c r="BS288" s="145"/>
      <c r="BT288" s="145"/>
      <c r="BU288" s="158"/>
      <c r="BV288" s="146"/>
      <c r="BW288" s="145"/>
      <c r="BX288" s="145"/>
      <c r="BY288" s="158">
        <f>SUM(BZ288:CB288)</f>
      </c>
      <c r="BZ288" s="146"/>
      <c r="CA288" s="145"/>
      <c r="CB288" s="145"/>
      <c r="CC288" s="145">
        <f>SUM(CD288:CH288)</f>
      </c>
      <c r="CD288" s="145"/>
      <c r="CE288" s="158"/>
      <c r="CF288" s="145"/>
      <c r="CG288" s="145"/>
      <c r="CH288" s="145"/>
      <c r="CI288" s="158"/>
      <c r="CJ288" s="145"/>
      <c r="CK288" s="145"/>
      <c r="CL288" s="145"/>
      <c r="CM288" s="145"/>
      <c r="CN288" s="145"/>
      <c r="CO288" s="145"/>
      <c r="CP288" s="145"/>
      <c r="CQ288" s="158"/>
      <c r="CR288" s="146"/>
      <c r="CS288" s="158"/>
      <c r="CT288" s="158"/>
      <c r="CU288" s="158">
        <f>SUM(CV288:CV288)</f>
      </c>
      <c r="CV288" s="146"/>
      <c r="CW288" s="145"/>
      <c r="CX288" s="145"/>
      <c r="CY288" s="145">
        <f>SUM(CZ288:DE288)</f>
      </c>
      <c r="CZ288" s="145"/>
      <c r="DA288" s="146"/>
      <c r="DB288" s="146"/>
      <c r="DC288" s="153"/>
      <c r="DD288" s="153"/>
      <c r="DE288" s="145"/>
      <c r="DF288" s="145"/>
      <c r="DG288" s="145"/>
      <c r="DH288" s="158"/>
      <c r="DI288" s="145"/>
      <c r="DJ288" s="158"/>
      <c r="DK288" s="145"/>
      <c r="DL288" s="158"/>
      <c r="DM288" s="145"/>
      <c r="DN288" s="145"/>
      <c r="DO288" s="145"/>
      <c r="DP288" s="158"/>
      <c r="DQ288" s="145"/>
      <c r="DR288" s="145"/>
      <c r="DS288" s="145"/>
      <c r="DT288" s="145"/>
      <c r="DU288" s="145">
        <f>SUM(DV288:EE288)</f>
      </c>
      <c r="DV288" s="145"/>
      <c r="DW288" s="145"/>
      <c r="DX288" s="145"/>
      <c r="DY288" s="145"/>
      <c r="DZ288" s="146"/>
      <c r="EA288" s="158"/>
      <c r="EB288" s="146"/>
      <c r="EC288" s="145"/>
      <c r="ED288" s="145"/>
      <c r="EE288" s="155"/>
      <c r="EF288" s="145">
        <f>SUM(EG288:EH288)</f>
      </c>
      <c r="EG288" s="145"/>
      <c r="EH288" s="146"/>
      <c r="EI288" s="159" cm="1">
        <f t="array" ref="EI288">ROW()-ROW(Run[#Headers])</f>
        <v>282</v>
      </c>
    </row>
    <row r="289" spans="2:139" s="79" customFormat="1" ht="11.25" x14ac:dyDescent="0.2">
      <c r="B289" s="146"/>
      <c r="C289" s="155"/>
      <c r="D289" s="145"/>
      <c r="E289" s="152">
        <f>SUM(F289:AE289)</f>
      </c>
      <c r="F289" s="146"/>
      <c r="G289" s="146"/>
      <c r="H289" s="146"/>
      <c r="I289" s="146"/>
      <c r="J289" s="146"/>
      <c r="K289" s="156"/>
      <c r="L289" s="146"/>
      <c r="M289" s="146"/>
      <c r="N289" s="146"/>
      <c r="O289" s="146"/>
      <c r="P289" s="156"/>
      <c r="Q289" s="146"/>
      <c r="R289" s="146"/>
      <c r="S289" s="146"/>
      <c r="T289" s="156"/>
      <c r="U289" s="146"/>
      <c r="V289" s="146"/>
      <c r="W289" s="146"/>
      <c r="X289" s="146"/>
      <c r="Y289" s="146"/>
      <c r="Z289" s="146"/>
      <c r="AA289" s="146"/>
      <c r="AB289" s="146"/>
      <c r="AC289" s="157"/>
      <c r="AD289" s="157"/>
      <c r="AE289" s="157"/>
      <c r="AF289" s="158">
        <f>SUM(AG289:AJ289)</f>
      </c>
      <c r="AG289" s="146"/>
      <c r="AH289" s="145"/>
      <c r="AI289" s="145"/>
      <c r="AJ289" s="145"/>
      <c r="AK289" s="158">
        <f>SUM(AL289:AW289)</f>
      </c>
      <c r="AL289" s="146"/>
      <c r="AM289" s="145"/>
      <c r="AN289" s="145"/>
      <c r="AO289" s="145"/>
      <c r="AP289" s="145"/>
      <c r="AQ289" s="145"/>
      <c r="AR289" s="145"/>
      <c r="AS289" s="145"/>
      <c r="AT289" s="145"/>
      <c r="AU289" s="145"/>
      <c r="AV289" s="145"/>
      <c r="AW289" s="158"/>
      <c r="AX289" s="145"/>
      <c r="AY289" s="145"/>
      <c r="AZ289" s="145"/>
      <c r="BA289" s="158"/>
      <c r="BB289" s="145"/>
      <c r="BC289" s="145"/>
      <c r="BD289" s="158"/>
      <c r="BE289" s="146"/>
      <c r="BF289" s="145"/>
      <c r="BG289" s="145"/>
      <c r="BH289" s="158">
        <f>SUM(BI289:BK289)</f>
      </c>
      <c r="BI289" s="145"/>
      <c r="BJ289" s="145"/>
      <c r="BK289" s="145"/>
      <c r="BL289" s="145">
        <f>SUM(BM289:BR289)</f>
      </c>
      <c r="BM289" s="145"/>
      <c r="BN289" s="145"/>
      <c r="BO289" s="158"/>
      <c r="BP289" s="145"/>
      <c r="BQ289" s="145"/>
      <c r="BR289" s="145"/>
      <c r="BS289" s="145"/>
      <c r="BT289" s="145"/>
      <c r="BU289" s="158"/>
      <c r="BV289" s="146"/>
      <c r="BW289" s="145"/>
      <c r="BX289" s="145"/>
      <c r="BY289" s="158">
        <f>SUM(BZ289:CB289)</f>
      </c>
      <c r="BZ289" s="146"/>
      <c r="CA289" s="145"/>
      <c r="CB289" s="145"/>
      <c r="CC289" s="145">
        <f>SUM(CD289:CH289)</f>
      </c>
      <c r="CD289" s="145"/>
      <c r="CE289" s="158"/>
      <c r="CF289" s="145"/>
      <c r="CG289" s="145"/>
      <c r="CH289" s="145"/>
      <c r="CI289" s="158"/>
      <c r="CJ289" s="145"/>
      <c r="CK289" s="145"/>
      <c r="CL289" s="145"/>
      <c r="CM289" s="145"/>
      <c r="CN289" s="145"/>
      <c r="CO289" s="145"/>
      <c r="CP289" s="145"/>
      <c r="CQ289" s="158"/>
      <c r="CR289" s="146"/>
      <c r="CS289" s="158"/>
      <c r="CT289" s="158"/>
      <c r="CU289" s="158">
        <f>SUM(CV289:CV289)</f>
      </c>
      <c r="CV289" s="146"/>
      <c r="CW289" s="145"/>
      <c r="CX289" s="145"/>
      <c r="CY289" s="145">
        <f>SUM(CZ289:DE289)</f>
      </c>
      <c r="CZ289" s="145"/>
      <c r="DA289" s="146"/>
      <c r="DB289" s="146"/>
      <c r="DC289" s="153"/>
      <c r="DD289" s="153"/>
      <c r="DE289" s="145"/>
      <c r="DF289" s="145"/>
      <c r="DG289" s="145"/>
      <c r="DH289" s="158"/>
      <c r="DI289" s="145"/>
      <c r="DJ289" s="158"/>
      <c r="DK289" s="145"/>
      <c r="DL289" s="158"/>
      <c r="DM289" s="145"/>
      <c r="DN289" s="145"/>
      <c r="DO289" s="145"/>
      <c r="DP289" s="158"/>
      <c r="DQ289" s="145"/>
      <c r="DR289" s="145"/>
      <c r="DS289" s="145"/>
      <c r="DT289" s="145"/>
      <c r="DU289" s="145">
        <f>SUM(DV289:EE289)</f>
      </c>
      <c r="DV289" s="145"/>
      <c r="DW289" s="145"/>
      <c r="DX289" s="145"/>
      <c r="DY289" s="145"/>
      <c r="DZ289" s="146"/>
      <c r="EA289" s="158"/>
      <c r="EB289" s="146"/>
      <c r="EC289" s="145"/>
      <c r="ED289" s="145"/>
      <c r="EE289" s="155"/>
      <c r="EF289" s="145">
        <f>SUM(EG289:EH289)</f>
      </c>
      <c r="EG289" s="145"/>
      <c r="EH289" s="146"/>
      <c r="EI289" s="159" cm="1">
        <f t="array" ref="EI289">ROW()-ROW(Run[#Headers])</f>
        <v>283</v>
      </c>
    </row>
    <row r="290" spans="2:139" s="79" customFormat="1" ht="11.25" x14ac:dyDescent="0.2">
      <c r="B290" s="146"/>
      <c r="C290" s="155"/>
      <c r="D290" s="145"/>
      <c r="E290" s="152">
        <f>SUM(F290:AE290)</f>
      </c>
      <c r="F290" s="146"/>
      <c r="G290" s="146"/>
      <c r="H290" s="146"/>
      <c r="I290" s="146"/>
      <c r="J290" s="146"/>
      <c r="K290" s="156"/>
      <c r="L290" s="146"/>
      <c r="M290" s="146"/>
      <c r="N290" s="146"/>
      <c r="O290" s="146"/>
      <c r="P290" s="156"/>
      <c r="Q290" s="146"/>
      <c r="R290" s="146"/>
      <c r="S290" s="146"/>
      <c r="T290" s="156"/>
      <c r="U290" s="146"/>
      <c r="V290" s="146"/>
      <c r="W290" s="146"/>
      <c r="X290" s="146"/>
      <c r="Y290" s="146"/>
      <c r="Z290" s="146"/>
      <c r="AA290" s="146"/>
      <c r="AB290" s="146"/>
      <c r="AC290" s="157"/>
      <c r="AD290" s="157"/>
      <c r="AE290" s="157"/>
      <c r="AF290" s="158">
        <f>SUM(AG290:AJ290)</f>
      </c>
      <c r="AG290" s="146"/>
      <c r="AH290" s="145"/>
      <c r="AI290" s="145"/>
      <c r="AJ290" s="145"/>
      <c r="AK290" s="158">
        <f>SUM(AL290:AW290)</f>
      </c>
      <c r="AL290" s="146"/>
      <c r="AM290" s="145"/>
      <c r="AN290" s="145"/>
      <c r="AO290" s="145"/>
      <c r="AP290" s="145"/>
      <c r="AQ290" s="145"/>
      <c r="AR290" s="145"/>
      <c r="AS290" s="145"/>
      <c r="AT290" s="145"/>
      <c r="AU290" s="145"/>
      <c r="AV290" s="145"/>
      <c r="AW290" s="158"/>
      <c r="AX290" s="145"/>
      <c r="AY290" s="145"/>
      <c r="AZ290" s="145"/>
      <c r="BA290" s="158"/>
      <c r="BB290" s="145"/>
      <c r="BC290" s="145"/>
      <c r="BD290" s="158"/>
      <c r="BE290" s="146"/>
      <c r="BF290" s="145"/>
      <c r="BG290" s="145"/>
      <c r="BH290" s="158">
        <f>SUM(BI290:BK290)</f>
      </c>
      <c r="BI290" s="145"/>
      <c r="BJ290" s="145"/>
      <c r="BK290" s="145"/>
      <c r="BL290" s="145">
        <f>SUM(BM290:BR290)</f>
      </c>
      <c r="BM290" s="145"/>
      <c r="BN290" s="145"/>
      <c r="BO290" s="158"/>
      <c r="BP290" s="145"/>
      <c r="BQ290" s="145"/>
      <c r="BR290" s="145"/>
      <c r="BS290" s="145"/>
      <c r="BT290" s="145"/>
      <c r="BU290" s="158"/>
      <c r="BV290" s="146"/>
      <c r="BW290" s="145"/>
      <c r="BX290" s="145"/>
      <c r="BY290" s="158">
        <f>SUM(BZ290:CB290)</f>
      </c>
      <c r="BZ290" s="146"/>
      <c r="CA290" s="145"/>
      <c r="CB290" s="145"/>
      <c r="CC290" s="145">
        <f>SUM(CD290:CH290)</f>
      </c>
      <c r="CD290" s="145"/>
      <c r="CE290" s="158"/>
      <c r="CF290" s="145"/>
      <c r="CG290" s="145"/>
      <c r="CH290" s="145"/>
      <c r="CI290" s="158"/>
      <c r="CJ290" s="145"/>
      <c r="CK290" s="145"/>
      <c r="CL290" s="145"/>
      <c r="CM290" s="145"/>
      <c r="CN290" s="145"/>
      <c r="CO290" s="145"/>
      <c r="CP290" s="145"/>
      <c r="CQ290" s="158"/>
      <c r="CR290" s="146"/>
      <c r="CS290" s="158"/>
      <c r="CT290" s="158"/>
      <c r="CU290" s="158">
        <f>SUM(CV290:CV290)</f>
      </c>
      <c r="CV290" s="146"/>
      <c r="CW290" s="145"/>
      <c r="CX290" s="145"/>
      <c r="CY290" s="145">
        <f>SUM(CZ290:DE290)</f>
      </c>
      <c r="CZ290" s="145"/>
      <c r="DA290" s="146"/>
      <c r="DB290" s="146"/>
      <c r="DC290" s="153"/>
      <c r="DD290" s="153"/>
      <c r="DE290" s="145"/>
      <c r="DF290" s="145"/>
      <c r="DG290" s="145"/>
      <c r="DH290" s="158"/>
      <c r="DI290" s="145"/>
      <c r="DJ290" s="158"/>
      <c r="DK290" s="145"/>
      <c r="DL290" s="158"/>
      <c r="DM290" s="145"/>
      <c r="DN290" s="145"/>
      <c r="DO290" s="145"/>
      <c r="DP290" s="158"/>
      <c r="DQ290" s="145"/>
      <c r="DR290" s="145"/>
      <c r="DS290" s="145"/>
      <c r="DT290" s="145"/>
      <c r="DU290" s="145">
        <f>SUM(DV290:EE290)</f>
      </c>
      <c r="DV290" s="145"/>
      <c r="DW290" s="145"/>
      <c r="DX290" s="145"/>
      <c r="DY290" s="145"/>
      <c r="DZ290" s="146"/>
      <c r="EA290" s="158"/>
      <c r="EB290" s="146"/>
      <c r="EC290" s="145"/>
      <c r="ED290" s="145"/>
      <c r="EE290" s="155"/>
      <c r="EF290" s="145">
        <f>SUM(EG290:EH290)</f>
      </c>
      <c r="EG290" s="145"/>
      <c r="EH290" s="146"/>
      <c r="EI290" s="159" cm="1">
        <f t="array" ref="EI290">ROW()-ROW(Run[#Headers])</f>
        <v>284</v>
      </c>
    </row>
    <row r="291" spans="2:139" s="79" customFormat="1" ht="11.25" x14ac:dyDescent="0.2">
      <c r="B291" s="146"/>
      <c r="C291" s="155"/>
      <c r="D291" s="145"/>
      <c r="E291" s="152">
        <f>SUM(F291:AE291)</f>
      </c>
      <c r="F291" s="146"/>
      <c r="G291" s="146"/>
      <c r="H291" s="146"/>
      <c r="I291" s="146"/>
      <c r="J291" s="146"/>
      <c r="K291" s="156"/>
      <c r="L291" s="146"/>
      <c r="M291" s="146"/>
      <c r="N291" s="146"/>
      <c r="O291" s="146"/>
      <c r="P291" s="156"/>
      <c r="Q291" s="146"/>
      <c r="R291" s="146"/>
      <c r="S291" s="146"/>
      <c r="T291" s="156"/>
      <c r="U291" s="146"/>
      <c r="V291" s="146"/>
      <c r="W291" s="146"/>
      <c r="X291" s="146"/>
      <c r="Y291" s="146"/>
      <c r="Z291" s="146"/>
      <c r="AA291" s="146"/>
      <c r="AB291" s="146"/>
      <c r="AC291" s="157"/>
      <c r="AD291" s="157"/>
      <c r="AE291" s="157"/>
      <c r="AF291" s="158">
        <f>SUM(AG291:AJ291)</f>
      </c>
      <c r="AG291" s="146"/>
      <c r="AH291" s="145"/>
      <c r="AI291" s="145"/>
      <c r="AJ291" s="145"/>
      <c r="AK291" s="158">
        <f>SUM(AL291:AW291)</f>
      </c>
      <c r="AL291" s="146"/>
      <c r="AM291" s="145"/>
      <c r="AN291" s="145"/>
      <c r="AO291" s="145"/>
      <c r="AP291" s="145"/>
      <c r="AQ291" s="145"/>
      <c r="AR291" s="145"/>
      <c r="AS291" s="145"/>
      <c r="AT291" s="145"/>
      <c r="AU291" s="145"/>
      <c r="AV291" s="145"/>
      <c r="AW291" s="158"/>
      <c r="AX291" s="145"/>
      <c r="AY291" s="145"/>
      <c r="AZ291" s="145"/>
      <c r="BA291" s="158"/>
      <c r="BB291" s="145"/>
      <c r="BC291" s="145"/>
      <c r="BD291" s="158"/>
      <c r="BE291" s="146"/>
      <c r="BF291" s="145"/>
      <c r="BG291" s="145"/>
      <c r="BH291" s="158">
        <f>SUM(BI291:BK291)</f>
      </c>
      <c r="BI291" s="145"/>
      <c r="BJ291" s="145"/>
      <c r="BK291" s="145"/>
      <c r="BL291" s="145">
        <f>SUM(BM291:BR291)</f>
      </c>
      <c r="BM291" s="145"/>
      <c r="BN291" s="145"/>
      <c r="BO291" s="158"/>
      <c r="BP291" s="145"/>
      <c r="BQ291" s="145"/>
      <c r="BR291" s="145"/>
      <c r="BS291" s="145"/>
      <c r="BT291" s="145"/>
      <c r="BU291" s="158"/>
      <c r="BV291" s="146"/>
      <c r="BW291" s="145"/>
      <c r="BX291" s="145"/>
      <c r="BY291" s="158">
        <f>SUM(BZ291:CB291)</f>
      </c>
      <c r="BZ291" s="146"/>
      <c r="CA291" s="145"/>
      <c r="CB291" s="145"/>
      <c r="CC291" s="145">
        <f>SUM(CD291:CH291)</f>
      </c>
      <c r="CD291" s="145"/>
      <c r="CE291" s="158"/>
      <c r="CF291" s="145"/>
      <c r="CG291" s="145"/>
      <c r="CH291" s="145"/>
      <c r="CI291" s="158"/>
      <c r="CJ291" s="145"/>
      <c r="CK291" s="145"/>
      <c r="CL291" s="145"/>
      <c r="CM291" s="145"/>
      <c r="CN291" s="145"/>
      <c r="CO291" s="145"/>
      <c r="CP291" s="145"/>
      <c r="CQ291" s="158"/>
      <c r="CR291" s="146"/>
      <c r="CS291" s="158"/>
      <c r="CT291" s="158"/>
      <c r="CU291" s="158">
        <f>SUM(CV291:CV291)</f>
      </c>
      <c r="CV291" s="146"/>
      <c r="CW291" s="145"/>
      <c r="CX291" s="145"/>
      <c r="CY291" s="145">
        <f>SUM(CZ291:DE291)</f>
      </c>
      <c r="CZ291" s="145"/>
      <c r="DA291" s="146"/>
      <c r="DB291" s="146"/>
      <c r="DC291" s="153"/>
      <c r="DD291" s="153"/>
      <c r="DE291" s="145"/>
      <c r="DF291" s="145"/>
      <c r="DG291" s="145"/>
      <c r="DH291" s="158"/>
      <c r="DI291" s="145"/>
      <c r="DJ291" s="158"/>
      <c r="DK291" s="145"/>
      <c r="DL291" s="158"/>
      <c r="DM291" s="145"/>
      <c r="DN291" s="145"/>
      <c r="DO291" s="145"/>
      <c r="DP291" s="158"/>
      <c r="DQ291" s="145"/>
      <c r="DR291" s="145"/>
      <c r="DS291" s="145"/>
      <c r="DT291" s="145"/>
      <c r="DU291" s="145">
        <f>SUM(DV291:EE291)</f>
      </c>
      <c r="DV291" s="145"/>
      <c r="DW291" s="145"/>
      <c r="DX291" s="145"/>
      <c r="DY291" s="145"/>
      <c r="DZ291" s="146"/>
      <c r="EA291" s="158"/>
      <c r="EB291" s="146"/>
      <c r="EC291" s="145"/>
      <c r="ED291" s="145"/>
      <c r="EE291" s="155"/>
      <c r="EF291" s="145">
        <f>SUM(EG291:EH291)</f>
      </c>
      <c r="EG291" s="145"/>
      <c r="EH291" s="146"/>
      <c r="EI291" s="159" cm="1">
        <f t="array" ref="EI291">ROW()-ROW(Run[#Headers])</f>
        <v>285</v>
      </c>
    </row>
    <row r="292" spans="2:139" s="79" customFormat="1" ht="11.25" x14ac:dyDescent="0.2">
      <c r="B292" s="146"/>
      <c r="C292" s="155"/>
      <c r="D292" s="145"/>
      <c r="E292" s="152">
        <f>SUM(F292:AE292)</f>
      </c>
      <c r="F292" s="146"/>
      <c r="G292" s="146"/>
      <c r="H292" s="146"/>
      <c r="I292" s="146"/>
      <c r="J292" s="146"/>
      <c r="K292" s="156"/>
      <c r="L292" s="146"/>
      <c r="M292" s="146"/>
      <c r="N292" s="146"/>
      <c r="O292" s="146"/>
      <c r="P292" s="156"/>
      <c r="Q292" s="146"/>
      <c r="R292" s="146"/>
      <c r="S292" s="146"/>
      <c r="T292" s="156"/>
      <c r="U292" s="146"/>
      <c r="V292" s="146"/>
      <c r="W292" s="146"/>
      <c r="X292" s="146"/>
      <c r="Y292" s="146"/>
      <c r="Z292" s="146"/>
      <c r="AA292" s="146"/>
      <c r="AB292" s="146"/>
      <c r="AC292" s="157"/>
      <c r="AD292" s="157"/>
      <c r="AE292" s="157"/>
      <c r="AF292" s="158">
        <f>SUM(AG292:AJ292)</f>
      </c>
      <c r="AG292" s="146"/>
      <c r="AH292" s="145"/>
      <c r="AI292" s="145"/>
      <c r="AJ292" s="145"/>
      <c r="AK292" s="158">
        <f>SUM(AL292:AW292)</f>
      </c>
      <c r="AL292" s="146"/>
      <c r="AM292" s="145"/>
      <c r="AN292" s="145"/>
      <c r="AO292" s="145"/>
      <c r="AP292" s="145"/>
      <c r="AQ292" s="145"/>
      <c r="AR292" s="145"/>
      <c r="AS292" s="145"/>
      <c r="AT292" s="145"/>
      <c r="AU292" s="145"/>
      <c r="AV292" s="145"/>
      <c r="AW292" s="158"/>
      <c r="AX292" s="145"/>
      <c r="AY292" s="145"/>
      <c r="AZ292" s="145"/>
      <c r="BA292" s="158"/>
      <c r="BB292" s="145"/>
      <c r="BC292" s="145"/>
      <c r="BD292" s="158"/>
      <c r="BE292" s="146"/>
      <c r="BF292" s="145"/>
      <c r="BG292" s="145"/>
      <c r="BH292" s="158">
        <f>SUM(BI292:BK292)</f>
      </c>
      <c r="BI292" s="145"/>
      <c r="BJ292" s="145"/>
      <c r="BK292" s="145"/>
      <c r="BL292" s="145">
        <f>SUM(BM292:BR292)</f>
      </c>
      <c r="BM292" s="145"/>
      <c r="BN292" s="145"/>
      <c r="BO292" s="158"/>
      <c r="BP292" s="145"/>
      <c r="BQ292" s="145"/>
      <c r="BR292" s="145"/>
      <c r="BS292" s="145"/>
      <c r="BT292" s="145"/>
      <c r="BU292" s="158"/>
      <c r="BV292" s="146"/>
      <c r="BW292" s="145"/>
      <c r="BX292" s="145"/>
      <c r="BY292" s="158">
        <f>SUM(BZ292:CB292)</f>
      </c>
      <c r="BZ292" s="146"/>
      <c r="CA292" s="145"/>
      <c r="CB292" s="145"/>
      <c r="CC292" s="145">
        <f>SUM(CD292:CH292)</f>
      </c>
      <c r="CD292" s="145"/>
      <c r="CE292" s="158"/>
      <c r="CF292" s="145"/>
      <c r="CG292" s="145"/>
      <c r="CH292" s="145"/>
      <c r="CI292" s="158"/>
      <c r="CJ292" s="145"/>
      <c r="CK292" s="145"/>
      <c r="CL292" s="145"/>
      <c r="CM292" s="145"/>
      <c r="CN292" s="145"/>
      <c r="CO292" s="145"/>
      <c r="CP292" s="145"/>
      <c r="CQ292" s="158"/>
      <c r="CR292" s="146"/>
      <c r="CS292" s="158"/>
      <c r="CT292" s="158"/>
      <c r="CU292" s="158">
        <f>SUM(CV292:CV292)</f>
      </c>
      <c r="CV292" s="146"/>
      <c r="CW292" s="145"/>
      <c r="CX292" s="145"/>
      <c r="CY292" s="145">
        <f>SUM(CZ292:DE292)</f>
      </c>
      <c r="CZ292" s="145"/>
      <c r="DA292" s="146"/>
      <c r="DB292" s="146"/>
      <c r="DC292" s="153"/>
      <c r="DD292" s="153"/>
      <c r="DE292" s="145"/>
      <c r="DF292" s="145"/>
      <c r="DG292" s="145"/>
      <c r="DH292" s="158"/>
      <c r="DI292" s="145"/>
      <c r="DJ292" s="158"/>
      <c r="DK292" s="145"/>
      <c r="DL292" s="158"/>
      <c r="DM292" s="145"/>
      <c r="DN292" s="145"/>
      <c r="DO292" s="145"/>
      <c r="DP292" s="158"/>
      <c r="DQ292" s="145"/>
      <c r="DR292" s="145"/>
      <c r="DS292" s="145"/>
      <c r="DT292" s="145"/>
      <c r="DU292" s="145">
        <f>SUM(DV292:EE292)</f>
      </c>
      <c r="DV292" s="145"/>
      <c r="DW292" s="145"/>
      <c r="DX292" s="145"/>
      <c r="DY292" s="145"/>
      <c r="DZ292" s="146"/>
      <c r="EA292" s="158"/>
      <c r="EB292" s="146"/>
      <c r="EC292" s="145"/>
      <c r="ED292" s="145"/>
      <c r="EE292" s="155"/>
      <c r="EF292" s="145">
        <f>SUM(EG292:EH292)</f>
      </c>
      <c r="EG292" s="145"/>
      <c r="EH292" s="146"/>
      <c r="EI292" s="159" cm="1">
        <f t="array" ref="EI292">ROW()-ROW(Run[#Headers])</f>
        <v>286</v>
      </c>
    </row>
    <row r="293" spans="2:139" s="79" customFormat="1" ht="11.25" x14ac:dyDescent="0.2">
      <c r="B293" s="146"/>
      <c r="C293" s="155"/>
      <c r="D293" s="145"/>
      <c r="E293" s="152">
        <f>SUM(F293:AE293)</f>
      </c>
      <c r="F293" s="146"/>
      <c r="G293" s="146"/>
      <c r="H293" s="146"/>
      <c r="I293" s="146"/>
      <c r="J293" s="146"/>
      <c r="K293" s="156"/>
      <c r="L293" s="146"/>
      <c r="M293" s="146"/>
      <c r="N293" s="146"/>
      <c r="O293" s="146"/>
      <c r="P293" s="156"/>
      <c r="Q293" s="146"/>
      <c r="R293" s="146"/>
      <c r="S293" s="146"/>
      <c r="T293" s="156"/>
      <c r="U293" s="146"/>
      <c r="V293" s="146"/>
      <c r="W293" s="146"/>
      <c r="X293" s="146"/>
      <c r="Y293" s="146"/>
      <c r="Z293" s="146"/>
      <c r="AA293" s="146"/>
      <c r="AB293" s="146"/>
      <c r="AC293" s="157"/>
      <c r="AD293" s="157"/>
      <c r="AE293" s="157"/>
      <c r="AF293" s="158">
        <f>SUM(AG293:AJ293)</f>
      </c>
      <c r="AG293" s="146"/>
      <c r="AH293" s="145"/>
      <c r="AI293" s="145"/>
      <c r="AJ293" s="145"/>
      <c r="AK293" s="158">
        <f>SUM(AL293:AW293)</f>
      </c>
      <c r="AL293" s="146"/>
      <c r="AM293" s="145"/>
      <c r="AN293" s="145"/>
      <c r="AO293" s="145"/>
      <c r="AP293" s="145"/>
      <c r="AQ293" s="145"/>
      <c r="AR293" s="145"/>
      <c r="AS293" s="145"/>
      <c r="AT293" s="145"/>
      <c r="AU293" s="145"/>
      <c r="AV293" s="145"/>
      <c r="AW293" s="158"/>
      <c r="AX293" s="145"/>
      <c r="AY293" s="145"/>
      <c r="AZ293" s="145"/>
      <c r="BA293" s="158"/>
      <c r="BB293" s="145"/>
      <c r="BC293" s="145"/>
      <c r="BD293" s="158"/>
      <c r="BE293" s="146"/>
      <c r="BF293" s="145"/>
      <c r="BG293" s="145"/>
      <c r="BH293" s="158">
        <f>SUM(BI293:BK293)</f>
      </c>
      <c r="BI293" s="145"/>
      <c r="BJ293" s="145"/>
      <c r="BK293" s="145"/>
      <c r="BL293" s="145">
        <f>SUM(BM293:BR293)</f>
      </c>
      <c r="BM293" s="145"/>
      <c r="BN293" s="145"/>
      <c r="BO293" s="158"/>
      <c r="BP293" s="145"/>
      <c r="BQ293" s="145"/>
      <c r="BR293" s="145"/>
      <c r="BS293" s="145"/>
      <c r="BT293" s="145"/>
      <c r="BU293" s="158"/>
      <c r="BV293" s="146"/>
      <c r="BW293" s="145"/>
      <c r="BX293" s="145"/>
      <c r="BY293" s="158">
        <f>SUM(BZ293:CB293)</f>
      </c>
      <c r="BZ293" s="146"/>
      <c r="CA293" s="145"/>
      <c r="CB293" s="145"/>
      <c r="CC293" s="145">
        <f>SUM(CD293:CH293)</f>
      </c>
      <c r="CD293" s="145"/>
      <c r="CE293" s="158"/>
      <c r="CF293" s="145"/>
      <c r="CG293" s="145"/>
      <c r="CH293" s="145"/>
      <c r="CI293" s="158"/>
      <c r="CJ293" s="145"/>
      <c r="CK293" s="145"/>
      <c r="CL293" s="145"/>
      <c r="CM293" s="145"/>
      <c r="CN293" s="145"/>
      <c r="CO293" s="145"/>
      <c r="CP293" s="145"/>
      <c r="CQ293" s="158"/>
      <c r="CR293" s="146"/>
      <c r="CS293" s="158"/>
      <c r="CT293" s="158"/>
      <c r="CU293" s="158">
        <f>SUM(CV293:CV293)</f>
      </c>
      <c r="CV293" s="146"/>
      <c r="CW293" s="145"/>
      <c r="CX293" s="145"/>
      <c r="CY293" s="145">
        <f>SUM(CZ293:DE293)</f>
      </c>
      <c r="CZ293" s="145"/>
      <c r="DA293" s="146"/>
      <c r="DB293" s="146"/>
      <c r="DC293" s="153"/>
      <c r="DD293" s="153"/>
      <c r="DE293" s="145"/>
      <c r="DF293" s="145"/>
      <c r="DG293" s="145"/>
      <c r="DH293" s="158"/>
      <c r="DI293" s="145"/>
      <c r="DJ293" s="158"/>
      <c r="DK293" s="145"/>
      <c r="DL293" s="158"/>
      <c r="DM293" s="145"/>
      <c r="DN293" s="145"/>
      <c r="DO293" s="145"/>
      <c r="DP293" s="158"/>
      <c r="DQ293" s="145"/>
      <c r="DR293" s="145"/>
      <c r="DS293" s="145"/>
      <c r="DT293" s="145"/>
      <c r="DU293" s="145">
        <f>SUM(DV293:EE293)</f>
      </c>
      <c r="DV293" s="145"/>
      <c r="DW293" s="145"/>
      <c r="DX293" s="145"/>
      <c r="DY293" s="145"/>
      <c r="DZ293" s="146"/>
      <c r="EA293" s="158"/>
      <c r="EB293" s="146"/>
      <c r="EC293" s="145"/>
      <c r="ED293" s="145"/>
      <c r="EE293" s="155"/>
      <c r="EF293" s="145">
        <f>SUM(EG293:EH293)</f>
      </c>
      <c r="EG293" s="145"/>
      <c r="EH293" s="146"/>
      <c r="EI293" s="159" cm="1">
        <f t="array" ref="EI293">ROW()-ROW(Run[#Headers])</f>
        <v>287</v>
      </c>
    </row>
    <row r="294" spans="2:139" s="79" customFormat="1" ht="11.25" x14ac:dyDescent="0.2">
      <c r="B294" s="146"/>
      <c r="C294" s="155"/>
      <c r="D294" s="145"/>
      <c r="E294" s="152">
        <f>SUM(F294:AE294)</f>
      </c>
      <c r="F294" s="146"/>
      <c r="G294" s="146"/>
      <c r="H294" s="146"/>
      <c r="I294" s="146"/>
      <c r="J294" s="146"/>
      <c r="K294" s="156"/>
      <c r="L294" s="146"/>
      <c r="M294" s="146"/>
      <c r="N294" s="146"/>
      <c r="O294" s="146"/>
      <c r="P294" s="156"/>
      <c r="Q294" s="146"/>
      <c r="R294" s="146"/>
      <c r="S294" s="146"/>
      <c r="T294" s="156"/>
      <c r="U294" s="146"/>
      <c r="V294" s="146"/>
      <c r="W294" s="146"/>
      <c r="X294" s="146"/>
      <c r="Y294" s="146"/>
      <c r="Z294" s="146"/>
      <c r="AA294" s="146"/>
      <c r="AB294" s="146"/>
      <c r="AC294" s="157"/>
      <c r="AD294" s="157"/>
      <c r="AE294" s="157"/>
      <c r="AF294" s="158">
        <f>SUM(AG294:AJ294)</f>
      </c>
      <c r="AG294" s="146"/>
      <c r="AH294" s="145"/>
      <c r="AI294" s="145"/>
      <c r="AJ294" s="145"/>
      <c r="AK294" s="158">
        <f>SUM(AL294:AW294)</f>
      </c>
      <c r="AL294" s="146"/>
      <c r="AM294" s="145"/>
      <c r="AN294" s="145"/>
      <c r="AO294" s="145"/>
      <c r="AP294" s="145"/>
      <c r="AQ294" s="145"/>
      <c r="AR294" s="145"/>
      <c r="AS294" s="145"/>
      <c r="AT294" s="145"/>
      <c r="AU294" s="145"/>
      <c r="AV294" s="145"/>
      <c r="AW294" s="158"/>
      <c r="AX294" s="145"/>
      <c r="AY294" s="145"/>
      <c r="AZ294" s="145"/>
      <c r="BA294" s="158"/>
      <c r="BB294" s="145"/>
      <c r="BC294" s="145"/>
      <c r="BD294" s="158"/>
      <c r="BE294" s="146"/>
      <c r="BF294" s="145"/>
      <c r="BG294" s="145"/>
      <c r="BH294" s="158">
        <f>SUM(BI294:BK294)</f>
      </c>
      <c r="BI294" s="145"/>
      <c r="BJ294" s="145"/>
      <c r="BK294" s="145"/>
      <c r="BL294" s="145">
        <f>SUM(BM294:BR294)</f>
      </c>
      <c r="BM294" s="145"/>
      <c r="BN294" s="145"/>
      <c r="BO294" s="158"/>
      <c r="BP294" s="145"/>
      <c r="BQ294" s="145"/>
      <c r="BR294" s="145"/>
      <c r="BS294" s="145"/>
      <c r="BT294" s="145"/>
      <c r="BU294" s="158"/>
      <c r="BV294" s="146"/>
      <c r="BW294" s="145"/>
      <c r="BX294" s="145"/>
      <c r="BY294" s="158">
        <f>SUM(BZ294:CB294)</f>
      </c>
      <c r="BZ294" s="146"/>
      <c r="CA294" s="145"/>
      <c r="CB294" s="145"/>
      <c r="CC294" s="145">
        <f>SUM(CD294:CH294)</f>
      </c>
      <c r="CD294" s="145"/>
      <c r="CE294" s="158"/>
      <c r="CF294" s="145"/>
      <c r="CG294" s="145"/>
      <c r="CH294" s="145"/>
      <c r="CI294" s="158"/>
      <c r="CJ294" s="145"/>
      <c r="CK294" s="145"/>
      <c r="CL294" s="145"/>
      <c r="CM294" s="145"/>
      <c r="CN294" s="145"/>
      <c r="CO294" s="145"/>
      <c r="CP294" s="145"/>
      <c r="CQ294" s="158"/>
      <c r="CR294" s="146"/>
      <c r="CS294" s="158"/>
      <c r="CT294" s="158"/>
      <c r="CU294" s="158">
        <f>SUM(CV294:CV294)</f>
      </c>
      <c r="CV294" s="146"/>
      <c r="CW294" s="145"/>
      <c r="CX294" s="145"/>
      <c r="CY294" s="145">
        <f>SUM(CZ294:DE294)</f>
      </c>
      <c r="CZ294" s="145"/>
      <c r="DA294" s="146"/>
      <c r="DB294" s="146"/>
      <c r="DC294" s="153"/>
      <c r="DD294" s="153"/>
      <c r="DE294" s="145"/>
      <c r="DF294" s="145"/>
      <c r="DG294" s="145"/>
      <c r="DH294" s="158"/>
      <c r="DI294" s="145"/>
      <c r="DJ294" s="158"/>
      <c r="DK294" s="145"/>
      <c r="DL294" s="158"/>
      <c r="DM294" s="145"/>
      <c r="DN294" s="145"/>
      <c r="DO294" s="145"/>
      <c r="DP294" s="158"/>
      <c r="DQ294" s="145"/>
      <c r="DR294" s="145"/>
      <c r="DS294" s="145"/>
      <c r="DT294" s="145"/>
      <c r="DU294" s="145">
        <f>SUM(DV294:EE294)</f>
      </c>
      <c r="DV294" s="145"/>
      <c r="DW294" s="145"/>
      <c r="DX294" s="145"/>
      <c r="DY294" s="145"/>
      <c r="DZ294" s="146"/>
      <c r="EA294" s="158"/>
      <c r="EB294" s="146"/>
      <c r="EC294" s="145"/>
      <c r="ED294" s="145"/>
      <c r="EE294" s="155"/>
      <c r="EF294" s="145">
        <f>SUM(EG294:EH294)</f>
      </c>
      <c r="EG294" s="145"/>
      <c r="EH294" s="146"/>
      <c r="EI294" s="159" cm="1">
        <f t="array" ref="EI294">ROW()-ROW(Run[#Headers])</f>
        <v>288</v>
      </c>
    </row>
    <row r="295" spans="2:139" s="79" customFormat="1" ht="11.25" x14ac:dyDescent="0.2">
      <c r="B295" s="146"/>
      <c r="C295" s="155"/>
      <c r="D295" s="145"/>
      <c r="E295" s="152">
        <f>SUM(F295:AE295)</f>
      </c>
      <c r="F295" s="146"/>
      <c r="G295" s="146"/>
      <c r="H295" s="146"/>
      <c r="I295" s="146"/>
      <c r="J295" s="146"/>
      <c r="K295" s="156"/>
      <c r="L295" s="146"/>
      <c r="M295" s="146"/>
      <c r="N295" s="146"/>
      <c r="O295" s="146"/>
      <c r="P295" s="156"/>
      <c r="Q295" s="146"/>
      <c r="R295" s="146"/>
      <c r="S295" s="146"/>
      <c r="T295" s="156"/>
      <c r="U295" s="146"/>
      <c r="V295" s="146"/>
      <c r="W295" s="146"/>
      <c r="X295" s="146"/>
      <c r="Y295" s="146"/>
      <c r="Z295" s="146"/>
      <c r="AA295" s="146"/>
      <c r="AB295" s="146"/>
      <c r="AC295" s="157"/>
      <c r="AD295" s="157"/>
      <c r="AE295" s="157"/>
      <c r="AF295" s="158">
        <f>SUM(AG295:AJ295)</f>
      </c>
      <c r="AG295" s="146"/>
      <c r="AH295" s="145"/>
      <c r="AI295" s="145"/>
      <c r="AJ295" s="145"/>
      <c r="AK295" s="158">
        <f>SUM(AL295:AW295)</f>
      </c>
      <c r="AL295" s="146"/>
      <c r="AM295" s="145"/>
      <c r="AN295" s="145"/>
      <c r="AO295" s="145"/>
      <c r="AP295" s="145"/>
      <c r="AQ295" s="145"/>
      <c r="AR295" s="145"/>
      <c r="AS295" s="145"/>
      <c r="AT295" s="145"/>
      <c r="AU295" s="145"/>
      <c r="AV295" s="145"/>
      <c r="AW295" s="158"/>
      <c r="AX295" s="145"/>
      <c r="AY295" s="145"/>
      <c r="AZ295" s="145"/>
      <c r="BA295" s="158"/>
      <c r="BB295" s="145"/>
      <c r="BC295" s="145"/>
      <c r="BD295" s="158"/>
      <c r="BE295" s="146"/>
      <c r="BF295" s="145"/>
      <c r="BG295" s="145"/>
      <c r="BH295" s="158">
        <f>SUM(BI295:BK295)</f>
      </c>
      <c r="BI295" s="145"/>
      <c r="BJ295" s="145"/>
      <c r="BK295" s="145"/>
      <c r="BL295" s="145">
        <f>SUM(BM295:BR295)</f>
      </c>
      <c r="BM295" s="145"/>
      <c r="BN295" s="145"/>
      <c r="BO295" s="158"/>
      <c r="BP295" s="145"/>
      <c r="BQ295" s="145"/>
      <c r="BR295" s="145"/>
      <c r="BS295" s="145"/>
      <c r="BT295" s="145"/>
      <c r="BU295" s="158"/>
      <c r="BV295" s="146"/>
      <c r="BW295" s="145"/>
      <c r="BX295" s="145"/>
      <c r="BY295" s="158">
        <f>SUM(BZ295:CB295)</f>
      </c>
      <c r="BZ295" s="146"/>
      <c r="CA295" s="145"/>
      <c r="CB295" s="145"/>
      <c r="CC295" s="145">
        <f>SUM(CD295:CH295)</f>
      </c>
      <c r="CD295" s="145"/>
      <c r="CE295" s="158"/>
      <c r="CF295" s="145"/>
      <c r="CG295" s="145"/>
      <c r="CH295" s="145"/>
      <c r="CI295" s="158"/>
      <c r="CJ295" s="145"/>
      <c r="CK295" s="145"/>
      <c r="CL295" s="145"/>
      <c r="CM295" s="145"/>
      <c r="CN295" s="145"/>
      <c r="CO295" s="145"/>
      <c r="CP295" s="145"/>
      <c r="CQ295" s="158"/>
      <c r="CR295" s="146"/>
      <c r="CS295" s="158"/>
      <c r="CT295" s="158"/>
      <c r="CU295" s="158">
        <f>SUM(CV295:CV295)</f>
      </c>
      <c r="CV295" s="146"/>
      <c r="CW295" s="145"/>
      <c r="CX295" s="145"/>
      <c r="CY295" s="145">
        <f>SUM(CZ295:DE295)</f>
      </c>
      <c r="CZ295" s="145"/>
      <c r="DA295" s="146"/>
      <c r="DB295" s="146"/>
      <c r="DC295" s="153"/>
      <c r="DD295" s="153"/>
      <c r="DE295" s="145"/>
      <c r="DF295" s="145"/>
      <c r="DG295" s="145"/>
      <c r="DH295" s="158"/>
      <c r="DI295" s="145"/>
      <c r="DJ295" s="158"/>
      <c r="DK295" s="145"/>
      <c r="DL295" s="158"/>
      <c r="DM295" s="145"/>
      <c r="DN295" s="145"/>
      <c r="DO295" s="145"/>
      <c r="DP295" s="158"/>
      <c r="DQ295" s="145"/>
      <c r="DR295" s="145"/>
      <c r="DS295" s="145"/>
      <c r="DT295" s="145"/>
      <c r="DU295" s="145">
        <f>SUM(DV295:EE295)</f>
      </c>
      <c r="DV295" s="145"/>
      <c r="DW295" s="145"/>
      <c r="DX295" s="145"/>
      <c r="DY295" s="145"/>
      <c r="DZ295" s="146"/>
      <c r="EA295" s="158"/>
      <c r="EB295" s="146"/>
      <c r="EC295" s="145"/>
      <c r="ED295" s="145"/>
      <c r="EE295" s="155"/>
      <c r="EF295" s="145">
        <f>SUM(EG295:EH295)</f>
      </c>
      <c r="EG295" s="145"/>
      <c r="EH295" s="146"/>
      <c r="EI295" s="159" cm="1">
        <f t="array" ref="EI295">ROW()-ROW(Run[#Headers])</f>
        <v>289</v>
      </c>
    </row>
    <row r="296" spans="2:139" s="79" customFormat="1" ht="11.25" x14ac:dyDescent="0.2">
      <c r="B296" s="146"/>
      <c r="C296" s="155"/>
      <c r="D296" s="145"/>
      <c r="E296" s="152">
        <f>SUM(F296:AE296)</f>
      </c>
      <c r="F296" s="146"/>
      <c r="G296" s="146"/>
      <c r="H296" s="146"/>
      <c r="I296" s="146"/>
      <c r="J296" s="146"/>
      <c r="K296" s="156"/>
      <c r="L296" s="146"/>
      <c r="M296" s="146"/>
      <c r="N296" s="146"/>
      <c r="O296" s="146"/>
      <c r="P296" s="156"/>
      <c r="Q296" s="146"/>
      <c r="R296" s="146"/>
      <c r="S296" s="146"/>
      <c r="T296" s="156"/>
      <c r="U296" s="146"/>
      <c r="V296" s="146"/>
      <c r="W296" s="146"/>
      <c r="X296" s="146"/>
      <c r="Y296" s="146"/>
      <c r="Z296" s="146"/>
      <c r="AA296" s="146"/>
      <c r="AB296" s="146"/>
      <c r="AC296" s="157"/>
      <c r="AD296" s="157"/>
      <c r="AE296" s="157"/>
      <c r="AF296" s="158">
        <f>SUM(AG296:AJ296)</f>
      </c>
      <c r="AG296" s="146"/>
      <c r="AH296" s="145"/>
      <c r="AI296" s="145"/>
      <c r="AJ296" s="145"/>
      <c r="AK296" s="158">
        <f>SUM(AL296:AW296)</f>
      </c>
      <c r="AL296" s="146"/>
      <c r="AM296" s="145"/>
      <c r="AN296" s="145"/>
      <c r="AO296" s="145"/>
      <c r="AP296" s="145"/>
      <c r="AQ296" s="145"/>
      <c r="AR296" s="145"/>
      <c r="AS296" s="145"/>
      <c r="AT296" s="145"/>
      <c r="AU296" s="145"/>
      <c r="AV296" s="145"/>
      <c r="AW296" s="158"/>
      <c r="AX296" s="145"/>
      <c r="AY296" s="145"/>
      <c r="AZ296" s="145"/>
      <c r="BA296" s="158"/>
      <c r="BB296" s="145"/>
      <c r="BC296" s="145"/>
      <c r="BD296" s="158"/>
      <c r="BE296" s="146"/>
      <c r="BF296" s="145"/>
      <c r="BG296" s="145"/>
      <c r="BH296" s="158">
        <f>SUM(BI296:BK296)</f>
      </c>
      <c r="BI296" s="145"/>
      <c r="BJ296" s="145"/>
      <c r="BK296" s="145"/>
      <c r="BL296" s="145">
        <f>SUM(BM296:BR296)</f>
      </c>
      <c r="BM296" s="145"/>
      <c r="BN296" s="145"/>
      <c r="BO296" s="158"/>
      <c r="BP296" s="145"/>
      <c r="BQ296" s="145"/>
      <c r="BR296" s="145"/>
      <c r="BS296" s="145"/>
      <c r="BT296" s="145"/>
      <c r="BU296" s="158"/>
      <c r="BV296" s="146"/>
      <c r="BW296" s="145"/>
      <c r="BX296" s="145"/>
      <c r="BY296" s="158">
        <f>SUM(BZ296:CB296)</f>
      </c>
      <c r="BZ296" s="146"/>
      <c r="CA296" s="145"/>
      <c r="CB296" s="145"/>
      <c r="CC296" s="145">
        <f>SUM(CD296:CH296)</f>
      </c>
      <c r="CD296" s="145"/>
      <c r="CE296" s="158"/>
      <c r="CF296" s="145"/>
      <c r="CG296" s="145"/>
      <c r="CH296" s="145"/>
      <c r="CI296" s="158"/>
      <c r="CJ296" s="145"/>
      <c r="CK296" s="145"/>
      <c r="CL296" s="145"/>
      <c r="CM296" s="145"/>
      <c r="CN296" s="145"/>
      <c r="CO296" s="145"/>
      <c r="CP296" s="145"/>
      <c r="CQ296" s="158"/>
      <c r="CR296" s="146"/>
      <c r="CS296" s="158"/>
      <c r="CT296" s="158"/>
      <c r="CU296" s="158">
        <f>SUM(CV296:CV296)</f>
      </c>
      <c r="CV296" s="146"/>
      <c r="CW296" s="145"/>
      <c r="CX296" s="145"/>
      <c r="CY296" s="145">
        <f>SUM(CZ296:DE296)</f>
      </c>
      <c r="CZ296" s="145"/>
      <c r="DA296" s="146"/>
      <c r="DB296" s="146"/>
      <c r="DC296" s="153"/>
      <c r="DD296" s="153"/>
      <c r="DE296" s="145"/>
      <c r="DF296" s="145"/>
      <c r="DG296" s="145"/>
      <c r="DH296" s="158"/>
      <c r="DI296" s="145"/>
      <c r="DJ296" s="158"/>
      <c r="DK296" s="145"/>
      <c r="DL296" s="158"/>
      <c r="DM296" s="145"/>
      <c r="DN296" s="145"/>
      <c r="DO296" s="145"/>
      <c r="DP296" s="158"/>
      <c r="DQ296" s="145"/>
      <c r="DR296" s="145"/>
      <c r="DS296" s="145"/>
      <c r="DT296" s="145"/>
      <c r="DU296" s="145">
        <f>SUM(DV296:EE296)</f>
      </c>
      <c r="DV296" s="145"/>
      <c r="DW296" s="145"/>
      <c r="DX296" s="145"/>
      <c r="DY296" s="145"/>
      <c r="DZ296" s="146"/>
      <c r="EA296" s="158"/>
      <c r="EB296" s="146"/>
      <c r="EC296" s="145"/>
      <c r="ED296" s="145"/>
      <c r="EE296" s="155"/>
      <c r="EF296" s="145">
        <f>SUM(EG296:EH296)</f>
      </c>
      <c r="EG296" s="145"/>
      <c r="EH296" s="146"/>
      <c r="EI296" s="159" cm="1">
        <f t="array" ref="EI296">ROW()-ROW(Run[#Headers])</f>
        <v>290</v>
      </c>
    </row>
    <row r="297" spans="2:139" s="79" customFormat="1" ht="11.25" x14ac:dyDescent="0.2">
      <c r="B297" s="146"/>
      <c r="C297" s="155"/>
      <c r="D297" s="145"/>
      <c r="E297" s="152">
        <f>SUM(F297:AE297)</f>
      </c>
      <c r="F297" s="146"/>
      <c r="G297" s="146"/>
      <c r="H297" s="146"/>
      <c r="I297" s="146"/>
      <c r="J297" s="146"/>
      <c r="K297" s="156"/>
      <c r="L297" s="146"/>
      <c r="M297" s="146"/>
      <c r="N297" s="146"/>
      <c r="O297" s="146"/>
      <c r="P297" s="156"/>
      <c r="Q297" s="146"/>
      <c r="R297" s="146"/>
      <c r="S297" s="146"/>
      <c r="T297" s="156"/>
      <c r="U297" s="146"/>
      <c r="V297" s="146"/>
      <c r="W297" s="146"/>
      <c r="X297" s="146"/>
      <c r="Y297" s="146"/>
      <c r="Z297" s="146"/>
      <c r="AA297" s="146"/>
      <c r="AB297" s="146"/>
      <c r="AC297" s="157"/>
      <c r="AD297" s="157"/>
      <c r="AE297" s="157"/>
      <c r="AF297" s="158">
        <f>SUM(AG297:AJ297)</f>
      </c>
      <c r="AG297" s="146"/>
      <c r="AH297" s="145"/>
      <c r="AI297" s="145"/>
      <c r="AJ297" s="145"/>
      <c r="AK297" s="158">
        <f>SUM(AL297:AW297)</f>
      </c>
      <c r="AL297" s="146"/>
      <c r="AM297" s="145"/>
      <c r="AN297" s="145"/>
      <c r="AO297" s="145"/>
      <c r="AP297" s="145"/>
      <c r="AQ297" s="145"/>
      <c r="AR297" s="145"/>
      <c r="AS297" s="145"/>
      <c r="AT297" s="145"/>
      <c r="AU297" s="145"/>
      <c r="AV297" s="145"/>
      <c r="AW297" s="158"/>
      <c r="AX297" s="145"/>
      <c r="AY297" s="145"/>
      <c r="AZ297" s="145"/>
      <c r="BA297" s="158"/>
      <c r="BB297" s="145"/>
      <c r="BC297" s="145"/>
      <c r="BD297" s="158"/>
      <c r="BE297" s="146"/>
      <c r="BF297" s="145"/>
      <c r="BG297" s="145"/>
      <c r="BH297" s="158">
        <f>SUM(BI297:BK297)</f>
      </c>
      <c r="BI297" s="145"/>
      <c r="BJ297" s="145"/>
      <c r="BK297" s="145"/>
      <c r="BL297" s="145">
        <f>SUM(BM297:BR297)</f>
      </c>
      <c r="BM297" s="145"/>
      <c r="BN297" s="145"/>
      <c r="BO297" s="158"/>
      <c r="BP297" s="145"/>
      <c r="BQ297" s="145"/>
      <c r="BR297" s="145"/>
      <c r="BS297" s="145"/>
      <c r="BT297" s="145"/>
      <c r="BU297" s="158"/>
      <c r="BV297" s="146"/>
      <c r="BW297" s="145"/>
      <c r="BX297" s="145"/>
      <c r="BY297" s="158">
        <f>SUM(BZ297:CB297)</f>
      </c>
      <c r="BZ297" s="146"/>
      <c r="CA297" s="145"/>
      <c r="CB297" s="145"/>
      <c r="CC297" s="145">
        <f>SUM(CD297:CH297)</f>
      </c>
      <c r="CD297" s="145"/>
      <c r="CE297" s="158"/>
      <c r="CF297" s="145"/>
      <c r="CG297" s="145"/>
      <c r="CH297" s="145"/>
      <c r="CI297" s="158"/>
      <c r="CJ297" s="145"/>
      <c r="CK297" s="145"/>
      <c r="CL297" s="145"/>
      <c r="CM297" s="145"/>
      <c r="CN297" s="145"/>
      <c r="CO297" s="145"/>
      <c r="CP297" s="145"/>
      <c r="CQ297" s="158"/>
      <c r="CR297" s="146"/>
      <c r="CS297" s="158"/>
      <c r="CT297" s="158"/>
      <c r="CU297" s="158">
        <f>SUM(CV297:CV297)</f>
      </c>
      <c r="CV297" s="146"/>
      <c r="CW297" s="145"/>
      <c r="CX297" s="145"/>
      <c r="CY297" s="145">
        <f>SUM(CZ297:DE297)</f>
      </c>
      <c r="CZ297" s="145"/>
      <c r="DA297" s="146"/>
      <c r="DB297" s="146"/>
      <c r="DC297" s="153"/>
      <c r="DD297" s="153"/>
      <c r="DE297" s="145"/>
      <c r="DF297" s="145"/>
      <c r="DG297" s="145"/>
      <c r="DH297" s="158"/>
      <c r="DI297" s="145"/>
      <c r="DJ297" s="158"/>
      <c r="DK297" s="145"/>
      <c r="DL297" s="158"/>
      <c r="DM297" s="145"/>
      <c r="DN297" s="145"/>
      <c r="DO297" s="145"/>
      <c r="DP297" s="158"/>
      <c r="DQ297" s="145"/>
      <c r="DR297" s="145"/>
      <c r="DS297" s="145"/>
      <c r="DT297" s="145"/>
      <c r="DU297" s="145">
        <f>SUM(DV297:EE297)</f>
      </c>
      <c r="DV297" s="145"/>
      <c r="DW297" s="145"/>
      <c r="DX297" s="145"/>
      <c r="DY297" s="145"/>
      <c r="DZ297" s="146"/>
      <c r="EA297" s="158"/>
      <c r="EB297" s="146"/>
      <c r="EC297" s="145"/>
      <c r="ED297" s="145"/>
      <c r="EE297" s="155"/>
      <c r="EF297" s="145">
        <f>SUM(EG297:EH297)</f>
      </c>
      <c r="EG297" s="145"/>
      <c r="EH297" s="146"/>
      <c r="EI297" s="159" cm="1">
        <f t="array" ref="EI297">ROW()-ROW(Run[#Headers])</f>
        <v>291</v>
      </c>
    </row>
    <row r="298" spans="2:139" s="79" customFormat="1" ht="11.25" x14ac:dyDescent="0.2">
      <c r="B298" s="146"/>
      <c r="C298" s="155"/>
      <c r="D298" s="145"/>
      <c r="E298" s="152">
        <f>SUM(F298:AE298)</f>
      </c>
      <c r="F298" s="146"/>
      <c r="G298" s="146"/>
      <c r="H298" s="146"/>
      <c r="I298" s="146"/>
      <c r="J298" s="146"/>
      <c r="K298" s="156"/>
      <c r="L298" s="146"/>
      <c r="M298" s="146"/>
      <c r="N298" s="146"/>
      <c r="O298" s="146"/>
      <c r="P298" s="156"/>
      <c r="Q298" s="146"/>
      <c r="R298" s="146"/>
      <c r="S298" s="146"/>
      <c r="T298" s="156"/>
      <c r="U298" s="146"/>
      <c r="V298" s="146"/>
      <c r="W298" s="146"/>
      <c r="X298" s="146"/>
      <c r="Y298" s="146"/>
      <c r="Z298" s="146"/>
      <c r="AA298" s="146"/>
      <c r="AB298" s="146"/>
      <c r="AC298" s="157"/>
      <c r="AD298" s="157"/>
      <c r="AE298" s="157"/>
      <c r="AF298" s="158">
        <f>SUM(AG298:AJ298)</f>
      </c>
      <c r="AG298" s="146"/>
      <c r="AH298" s="145"/>
      <c r="AI298" s="145"/>
      <c r="AJ298" s="145"/>
      <c r="AK298" s="158">
        <f>SUM(AL298:AW298)</f>
      </c>
      <c r="AL298" s="146"/>
      <c r="AM298" s="145"/>
      <c r="AN298" s="145"/>
      <c r="AO298" s="145"/>
      <c r="AP298" s="145"/>
      <c r="AQ298" s="145"/>
      <c r="AR298" s="145"/>
      <c r="AS298" s="145"/>
      <c r="AT298" s="145"/>
      <c r="AU298" s="145"/>
      <c r="AV298" s="145"/>
      <c r="AW298" s="158"/>
      <c r="AX298" s="145"/>
      <c r="AY298" s="145"/>
      <c r="AZ298" s="145"/>
      <c r="BA298" s="158"/>
      <c r="BB298" s="145"/>
      <c r="BC298" s="145"/>
      <c r="BD298" s="158"/>
      <c r="BE298" s="146"/>
      <c r="BF298" s="145"/>
      <c r="BG298" s="145"/>
      <c r="BH298" s="158">
        <f>SUM(BI298:BK298)</f>
      </c>
      <c r="BI298" s="145"/>
      <c r="BJ298" s="145"/>
      <c r="BK298" s="145"/>
      <c r="BL298" s="145">
        <f>SUM(BM298:BR298)</f>
      </c>
      <c r="BM298" s="145"/>
      <c r="BN298" s="145"/>
      <c r="BO298" s="158"/>
      <c r="BP298" s="145"/>
      <c r="BQ298" s="145"/>
      <c r="BR298" s="145"/>
      <c r="BS298" s="145"/>
      <c r="BT298" s="145"/>
      <c r="BU298" s="158"/>
      <c r="BV298" s="146"/>
      <c r="BW298" s="145"/>
      <c r="BX298" s="145"/>
      <c r="BY298" s="158">
        <f>SUM(BZ298:CB298)</f>
      </c>
      <c r="BZ298" s="146"/>
      <c r="CA298" s="145"/>
      <c r="CB298" s="145"/>
      <c r="CC298" s="145">
        <f>SUM(CD298:CH298)</f>
      </c>
      <c r="CD298" s="145"/>
      <c r="CE298" s="158"/>
      <c r="CF298" s="145"/>
      <c r="CG298" s="145"/>
      <c r="CH298" s="145"/>
      <c r="CI298" s="158"/>
      <c r="CJ298" s="145"/>
      <c r="CK298" s="145"/>
      <c r="CL298" s="145"/>
      <c r="CM298" s="145"/>
      <c r="CN298" s="145"/>
      <c r="CO298" s="145"/>
      <c r="CP298" s="145"/>
      <c r="CQ298" s="158"/>
      <c r="CR298" s="146"/>
      <c r="CS298" s="158"/>
      <c r="CT298" s="158"/>
      <c r="CU298" s="158">
        <f>SUM(CV298:CV298)</f>
      </c>
      <c r="CV298" s="146"/>
      <c r="CW298" s="145"/>
      <c r="CX298" s="145"/>
      <c r="CY298" s="145">
        <f>SUM(CZ298:DE298)</f>
      </c>
      <c r="CZ298" s="145"/>
      <c r="DA298" s="146"/>
      <c r="DB298" s="146"/>
      <c r="DC298" s="153"/>
      <c r="DD298" s="153"/>
      <c r="DE298" s="145"/>
      <c r="DF298" s="145"/>
      <c r="DG298" s="145"/>
      <c r="DH298" s="158"/>
      <c r="DI298" s="145"/>
      <c r="DJ298" s="158"/>
      <c r="DK298" s="145"/>
      <c r="DL298" s="158"/>
      <c r="DM298" s="145"/>
      <c r="DN298" s="145"/>
      <c r="DO298" s="145"/>
      <c r="DP298" s="158"/>
      <c r="DQ298" s="145"/>
      <c r="DR298" s="145"/>
      <c r="DS298" s="145"/>
      <c r="DT298" s="145"/>
      <c r="DU298" s="145">
        <f>SUM(DV298:EE298)</f>
      </c>
      <c r="DV298" s="145"/>
      <c r="DW298" s="145"/>
      <c r="DX298" s="145"/>
      <c r="DY298" s="145"/>
      <c r="DZ298" s="146"/>
      <c r="EA298" s="158"/>
      <c r="EB298" s="146"/>
      <c r="EC298" s="145"/>
      <c r="ED298" s="145"/>
      <c r="EE298" s="155"/>
      <c r="EF298" s="145">
        <f>SUM(EG298:EH298)</f>
      </c>
      <c r="EG298" s="145"/>
      <c r="EH298" s="146"/>
      <c r="EI298" s="159" cm="1">
        <f t="array" ref="EI298">ROW()-ROW(Run[#Headers])</f>
        <v>292</v>
      </c>
    </row>
    <row r="299" spans="2:139" s="79" customFormat="1" ht="11.25" x14ac:dyDescent="0.2">
      <c r="B299" s="146"/>
      <c r="C299" s="155"/>
      <c r="D299" s="145"/>
      <c r="E299" s="152">
        <f>SUM(F299:AE299)</f>
      </c>
      <c r="F299" s="146"/>
      <c r="G299" s="146"/>
      <c r="H299" s="146"/>
      <c r="I299" s="146"/>
      <c r="J299" s="146"/>
      <c r="K299" s="156"/>
      <c r="L299" s="146"/>
      <c r="M299" s="146"/>
      <c r="N299" s="146"/>
      <c r="O299" s="146"/>
      <c r="P299" s="156"/>
      <c r="Q299" s="146"/>
      <c r="R299" s="146"/>
      <c r="S299" s="146"/>
      <c r="T299" s="156"/>
      <c r="U299" s="146"/>
      <c r="V299" s="146"/>
      <c r="W299" s="146"/>
      <c r="X299" s="146"/>
      <c r="Y299" s="146"/>
      <c r="Z299" s="146"/>
      <c r="AA299" s="146"/>
      <c r="AB299" s="146"/>
      <c r="AC299" s="157"/>
      <c r="AD299" s="157"/>
      <c r="AE299" s="157"/>
      <c r="AF299" s="158">
        <f>SUM(AG299:AJ299)</f>
      </c>
      <c r="AG299" s="146"/>
      <c r="AH299" s="145"/>
      <c r="AI299" s="145"/>
      <c r="AJ299" s="145"/>
      <c r="AK299" s="158">
        <f>SUM(AL299:AW299)</f>
      </c>
      <c r="AL299" s="146"/>
      <c r="AM299" s="145"/>
      <c r="AN299" s="145"/>
      <c r="AO299" s="145"/>
      <c r="AP299" s="145"/>
      <c r="AQ299" s="145"/>
      <c r="AR299" s="145"/>
      <c r="AS299" s="145"/>
      <c r="AT299" s="145"/>
      <c r="AU299" s="145"/>
      <c r="AV299" s="145"/>
      <c r="AW299" s="158"/>
      <c r="AX299" s="145"/>
      <c r="AY299" s="145"/>
      <c r="AZ299" s="145"/>
      <c r="BA299" s="158"/>
      <c r="BB299" s="145"/>
      <c r="BC299" s="145"/>
      <c r="BD299" s="158"/>
      <c r="BE299" s="146"/>
      <c r="BF299" s="145"/>
      <c r="BG299" s="145"/>
      <c r="BH299" s="158">
        <f>SUM(BI299:BK299)</f>
      </c>
      <c r="BI299" s="145"/>
      <c r="BJ299" s="145"/>
      <c r="BK299" s="145"/>
      <c r="BL299" s="145">
        <f>SUM(BM299:BR299)</f>
      </c>
      <c r="BM299" s="145"/>
      <c r="BN299" s="145"/>
      <c r="BO299" s="158"/>
      <c r="BP299" s="145"/>
      <c r="BQ299" s="145"/>
      <c r="BR299" s="145"/>
      <c r="BS299" s="145"/>
      <c r="BT299" s="145"/>
      <c r="BU299" s="158"/>
      <c r="BV299" s="146"/>
      <c r="BW299" s="145"/>
      <c r="BX299" s="145"/>
      <c r="BY299" s="158">
        <f>SUM(BZ299:CB299)</f>
      </c>
      <c r="BZ299" s="146"/>
      <c r="CA299" s="145"/>
      <c r="CB299" s="145"/>
      <c r="CC299" s="145">
        <f>SUM(CD299:CH299)</f>
      </c>
      <c r="CD299" s="145"/>
      <c r="CE299" s="158"/>
      <c r="CF299" s="145"/>
      <c r="CG299" s="145"/>
      <c r="CH299" s="145"/>
      <c r="CI299" s="158"/>
      <c r="CJ299" s="145"/>
      <c r="CK299" s="145"/>
      <c r="CL299" s="145"/>
      <c r="CM299" s="145"/>
      <c r="CN299" s="145"/>
      <c r="CO299" s="145"/>
      <c r="CP299" s="145"/>
      <c r="CQ299" s="158"/>
      <c r="CR299" s="146"/>
      <c r="CS299" s="158"/>
      <c r="CT299" s="158"/>
      <c r="CU299" s="158">
        <f>SUM(CV299:CV299)</f>
      </c>
      <c r="CV299" s="146"/>
      <c r="CW299" s="145"/>
      <c r="CX299" s="145"/>
      <c r="CY299" s="145">
        <f>SUM(CZ299:DE299)</f>
      </c>
      <c r="CZ299" s="145"/>
      <c r="DA299" s="146"/>
      <c r="DB299" s="146"/>
      <c r="DC299" s="153"/>
      <c r="DD299" s="153"/>
      <c r="DE299" s="145"/>
      <c r="DF299" s="145"/>
      <c r="DG299" s="145"/>
      <c r="DH299" s="158"/>
      <c r="DI299" s="145"/>
      <c r="DJ299" s="158"/>
      <c r="DK299" s="145"/>
      <c r="DL299" s="158"/>
      <c r="DM299" s="145"/>
      <c r="DN299" s="145"/>
      <c r="DO299" s="145"/>
      <c r="DP299" s="158"/>
      <c r="DQ299" s="145"/>
      <c r="DR299" s="145"/>
      <c r="DS299" s="145"/>
      <c r="DT299" s="145"/>
      <c r="DU299" s="145">
        <f>SUM(DV299:EE299)</f>
      </c>
      <c r="DV299" s="145"/>
      <c r="DW299" s="145"/>
      <c r="DX299" s="145"/>
      <c r="DY299" s="145"/>
      <c r="DZ299" s="146"/>
      <c r="EA299" s="158"/>
      <c r="EB299" s="146"/>
      <c r="EC299" s="145"/>
      <c r="ED299" s="145"/>
      <c r="EE299" s="155"/>
      <c r="EF299" s="145">
        <f>SUM(EG299:EH299)</f>
      </c>
      <c r="EG299" s="145"/>
      <c r="EH299" s="146"/>
      <c r="EI299" s="159" cm="1">
        <f t="array" ref="EI299">ROW()-ROW(Run[#Headers])</f>
        <v>293</v>
      </c>
    </row>
    <row r="300" spans="2:139" s="79" customFormat="1" ht="11.25" x14ac:dyDescent="0.2">
      <c r="B300" s="146"/>
      <c r="C300" s="155"/>
      <c r="D300" s="145"/>
      <c r="E300" s="152">
        <f>SUM(F300:AE300)</f>
      </c>
      <c r="F300" s="146"/>
      <c r="G300" s="146"/>
      <c r="H300" s="146"/>
      <c r="I300" s="146"/>
      <c r="J300" s="146"/>
      <c r="K300" s="156"/>
      <c r="L300" s="146"/>
      <c r="M300" s="146"/>
      <c r="N300" s="146"/>
      <c r="O300" s="146"/>
      <c r="P300" s="156"/>
      <c r="Q300" s="146"/>
      <c r="R300" s="146"/>
      <c r="S300" s="146"/>
      <c r="T300" s="156"/>
      <c r="U300" s="146"/>
      <c r="V300" s="146"/>
      <c r="W300" s="146"/>
      <c r="X300" s="146"/>
      <c r="Y300" s="146"/>
      <c r="Z300" s="146"/>
      <c r="AA300" s="146"/>
      <c r="AB300" s="146"/>
      <c r="AC300" s="157"/>
      <c r="AD300" s="157"/>
      <c r="AE300" s="157"/>
      <c r="AF300" s="158">
        <f>SUM(AG300:AJ300)</f>
      </c>
      <c r="AG300" s="146"/>
      <c r="AH300" s="145"/>
      <c r="AI300" s="145"/>
      <c r="AJ300" s="145"/>
      <c r="AK300" s="158">
        <f>SUM(AL300:AW300)</f>
      </c>
      <c r="AL300" s="146"/>
      <c r="AM300" s="145"/>
      <c r="AN300" s="145"/>
      <c r="AO300" s="145"/>
      <c r="AP300" s="145"/>
      <c r="AQ300" s="145"/>
      <c r="AR300" s="145"/>
      <c r="AS300" s="145"/>
      <c r="AT300" s="145"/>
      <c r="AU300" s="145"/>
      <c r="AV300" s="145"/>
      <c r="AW300" s="158"/>
      <c r="AX300" s="145"/>
      <c r="AY300" s="145"/>
      <c r="AZ300" s="145"/>
      <c r="BA300" s="158"/>
      <c r="BB300" s="145"/>
      <c r="BC300" s="145"/>
      <c r="BD300" s="158"/>
      <c r="BE300" s="146"/>
      <c r="BF300" s="145"/>
      <c r="BG300" s="145"/>
      <c r="BH300" s="158">
        <f>SUM(BI300:BK300)</f>
      </c>
      <c r="BI300" s="145"/>
      <c r="BJ300" s="145"/>
      <c r="BK300" s="145"/>
      <c r="BL300" s="145">
        <f>SUM(BM300:BR300)</f>
      </c>
      <c r="BM300" s="145"/>
      <c r="BN300" s="145"/>
      <c r="BO300" s="158"/>
      <c r="BP300" s="145"/>
      <c r="BQ300" s="145"/>
      <c r="BR300" s="145"/>
      <c r="BS300" s="145"/>
      <c r="BT300" s="145"/>
      <c r="BU300" s="158"/>
      <c r="BV300" s="146"/>
      <c r="BW300" s="145"/>
      <c r="BX300" s="145"/>
      <c r="BY300" s="158">
        <f>SUM(BZ300:CB300)</f>
      </c>
      <c r="BZ300" s="146"/>
      <c r="CA300" s="145"/>
      <c r="CB300" s="145"/>
      <c r="CC300" s="145">
        <f>SUM(CD300:CH300)</f>
      </c>
      <c r="CD300" s="145"/>
      <c r="CE300" s="158"/>
      <c r="CF300" s="145"/>
      <c r="CG300" s="145"/>
      <c r="CH300" s="145"/>
      <c r="CI300" s="158"/>
      <c r="CJ300" s="145"/>
      <c r="CK300" s="145"/>
      <c r="CL300" s="145"/>
      <c r="CM300" s="145"/>
      <c r="CN300" s="145"/>
      <c r="CO300" s="145"/>
      <c r="CP300" s="145"/>
      <c r="CQ300" s="158"/>
      <c r="CR300" s="146"/>
      <c r="CS300" s="158"/>
      <c r="CT300" s="158"/>
      <c r="CU300" s="158">
        <f>SUM(CV300:CV300)</f>
      </c>
      <c r="CV300" s="146"/>
      <c r="CW300" s="145"/>
      <c r="CX300" s="145"/>
      <c r="CY300" s="145">
        <f>SUM(CZ300:DE300)</f>
      </c>
      <c r="CZ300" s="145"/>
      <c r="DA300" s="146"/>
      <c r="DB300" s="146"/>
      <c r="DC300" s="153"/>
      <c r="DD300" s="153"/>
      <c r="DE300" s="145"/>
      <c r="DF300" s="145"/>
      <c r="DG300" s="145"/>
      <c r="DH300" s="158"/>
      <c r="DI300" s="145"/>
      <c r="DJ300" s="158"/>
      <c r="DK300" s="145"/>
      <c r="DL300" s="158"/>
      <c r="DM300" s="145"/>
      <c r="DN300" s="145"/>
      <c r="DO300" s="145"/>
      <c r="DP300" s="158"/>
      <c r="DQ300" s="145"/>
      <c r="DR300" s="145"/>
      <c r="DS300" s="145"/>
      <c r="DT300" s="145"/>
      <c r="DU300" s="145">
        <f>SUM(DV300:EE300)</f>
      </c>
      <c r="DV300" s="145"/>
      <c r="DW300" s="145"/>
      <c r="DX300" s="145"/>
      <c r="DY300" s="145"/>
      <c r="DZ300" s="146"/>
      <c r="EA300" s="158"/>
      <c r="EB300" s="146"/>
      <c r="EC300" s="145"/>
      <c r="ED300" s="145"/>
      <c r="EE300" s="155"/>
      <c r="EF300" s="145">
        <f>SUM(EG300:EH300)</f>
      </c>
      <c r="EG300" s="145"/>
      <c r="EH300" s="146"/>
      <c r="EI300" s="159" cm="1">
        <f t="array" ref="EI300">ROW()-ROW(Run[#Headers])</f>
        <v>294</v>
      </c>
    </row>
    <row r="301" spans="2:139" s="79" customFormat="1" ht="11.25" x14ac:dyDescent="0.2">
      <c r="B301" s="146"/>
      <c r="C301" s="155"/>
      <c r="D301" s="145"/>
      <c r="E301" s="152">
        <f>SUM(F301:AE301)</f>
      </c>
      <c r="F301" s="146"/>
      <c r="G301" s="146"/>
      <c r="H301" s="146"/>
      <c r="I301" s="146"/>
      <c r="J301" s="146"/>
      <c r="K301" s="156"/>
      <c r="L301" s="146"/>
      <c r="M301" s="146"/>
      <c r="N301" s="146"/>
      <c r="O301" s="146"/>
      <c r="P301" s="156"/>
      <c r="Q301" s="146"/>
      <c r="R301" s="146"/>
      <c r="S301" s="146"/>
      <c r="T301" s="156"/>
      <c r="U301" s="146"/>
      <c r="V301" s="146"/>
      <c r="W301" s="146"/>
      <c r="X301" s="146"/>
      <c r="Y301" s="146"/>
      <c r="Z301" s="146"/>
      <c r="AA301" s="146"/>
      <c r="AB301" s="146"/>
      <c r="AC301" s="157"/>
      <c r="AD301" s="157"/>
      <c r="AE301" s="157"/>
      <c r="AF301" s="158">
        <f>SUM(AG301:AJ301)</f>
      </c>
      <c r="AG301" s="146"/>
      <c r="AH301" s="145"/>
      <c r="AI301" s="145"/>
      <c r="AJ301" s="145"/>
      <c r="AK301" s="158">
        <f>SUM(AL301:AW301)</f>
      </c>
      <c r="AL301" s="146"/>
      <c r="AM301" s="145"/>
      <c r="AN301" s="145"/>
      <c r="AO301" s="145"/>
      <c r="AP301" s="145"/>
      <c r="AQ301" s="145"/>
      <c r="AR301" s="145"/>
      <c r="AS301" s="145"/>
      <c r="AT301" s="145"/>
      <c r="AU301" s="145"/>
      <c r="AV301" s="145"/>
      <c r="AW301" s="158"/>
      <c r="AX301" s="145"/>
      <c r="AY301" s="145"/>
      <c r="AZ301" s="145"/>
      <c r="BA301" s="158"/>
      <c r="BB301" s="145"/>
      <c r="BC301" s="145"/>
      <c r="BD301" s="158"/>
      <c r="BE301" s="146"/>
      <c r="BF301" s="145"/>
      <c r="BG301" s="145"/>
      <c r="BH301" s="158">
        <f>SUM(BI301:BK301)</f>
      </c>
      <c r="BI301" s="145"/>
      <c r="BJ301" s="145"/>
      <c r="BK301" s="145"/>
      <c r="BL301" s="145">
        <f>SUM(BM301:BR301)</f>
      </c>
      <c r="BM301" s="145"/>
      <c r="BN301" s="145"/>
      <c r="BO301" s="158"/>
      <c r="BP301" s="145"/>
      <c r="BQ301" s="145"/>
      <c r="BR301" s="145"/>
      <c r="BS301" s="145"/>
      <c r="BT301" s="145"/>
      <c r="BU301" s="158"/>
      <c r="BV301" s="146"/>
      <c r="BW301" s="145"/>
      <c r="BX301" s="145"/>
      <c r="BY301" s="158">
        <f>SUM(BZ301:CB301)</f>
      </c>
      <c r="BZ301" s="146"/>
      <c r="CA301" s="145"/>
      <c r="CB301" s="145"/>
      <c r="CC301" s="145">
        <f>SUM(CD301:CH301)</f>
      </c>
      <c r="CD301" s="145"/>
      <c r="CE301" s="158"/>
      <c r="CF301" s="145"/>
      <c r="CG301" s="145"/>
      <c r="CH301" s="145"/>
      <c r="CI301" s="158"/>
      <c r="CJ301" s="145"/>
      <c r="CK301" s="145"/>
      <c r="CL301" s="145"/>
      <c r="CM301" s="145"/>
      <c r="CN301" s="145"/>
      <c r="CO301" s="145"/>
      <c r="CP301" s="145"/>
      <c r="CQ301" s="158"/>
      <c r="CR301" s="146"/>
      <c r="CS301" s="158"/>
      <c r="CT301" s="158"/>
      <c r="CU301" s="158">
        <f>SUM(CV301:CV301)</f>
      </c>
      <c r="CV301" s="146"/>
      <c r="CW301" s="145"/>
      <c r="CX301" s="145"/>
      <c r="CY301" s="145">
        <f>SUM(CZ301:DE301)</f>
      </c>
      <c r="CZ301" s="145"/>
      <c r="DA301" s="146"/>
      <c r="DB301" s="146"/>
      <c r="DC301" s="153"/>
      <c r="DD301" s="153"/>
      <c r="DE301" s="145"/>
      <c r="DF301" s="145"/>
      <c r="DG301" s="145"/>
      <c r="DH301" s="158"/>
      <c r="DI301" s="145"/>
      <c r="DJ301" s="158"/>
      <c r="DK301" s="145"/>
      <c r="DL301" s="158"/>
      <c r="DM301" s="145"/>
      <c r="DN301" s="145"/>
      <c r="DO301" s="145"/>
      <c r="DP301" s="158"/>
      <c r="DQ301" s="145"/>
      <c r="DR301" s="145"/>
      <c r="DS301" s="145"/>
      <c r="DT301" s="145"/>
      <c r="DU301" s="145">
        <f>SUM(DV301:EE301)</f>
      </c>
      <c r="DV301" s="145"/>
      <c r="DW301" s="145"/>
      <c r="DX301" s="145"/>
      <c r="DY301" s="145"/>
      <c r="DZ301" s="146"/>
      <c r="EA301" s="158"/>
      <c r="EB301" s="146"/>
      <c r="EC301" s="145"/>
      <c r="ED301" s="145"/>
      <c r="EE301" s="155"/>
      <c r="EF301" s="145">
        <f>SUM(EG301:EH301)</f>
      </c>
      <c r="EG301" s="145"/>
      <c r="EH301" s="146"/>
      <c r="EI301" s="159" cm="1">
        <f t="array" ref="EI301">ROW()-ROW(Run[#Headers])</f>
        <v>295</v>
      </c>
    </row>
    <row r="302" spans="2:139" s="79" customFormat="1" ht="11.25" x14ac:dyDescent="0.2">
      <c r="B302" s="146"/>
      <c r="C302" s="155"/>
      <c r="D302" s="145"/>
      <c r="E302" s="152">
        <f>SUM(F302:AE302)</f>
      </c>
      <c r="F302" s="146"/>
      <c r="G302" s="146"/>
      <c r="H302" s="146"/>
      <c r="I302" s="146"/>
      <c r="J302" s="146"/>
      <c r="K302" s="156"/>
      <c r="L302" s="146"/>
      <c r="M302" s="146"/>
      <c r="N302" s="146"/>
      <c r="O302" s="146"/>
      <c r="P302" s="156"/>
      <c r="Q302" s="146"/>
      <c r="R302" s="146"/>
      <c r="S302" s="146"/>
      <c r="T302" s="156"/>
      <c r="U302" s="146"/>
      <c r="V302" s="146"/>
      <c r="W302" s="146"/>
      <c r="X302" s="146"/>
      <c r="Y302" s="146"/>
      <c r="Z302" s="146"/>
      <c r="AA302" s="146"/>
      <c r="AB302" s="146"/>
      <c r="AC302" s="157"/>
      <c r="AD302" s="157"/>
      <c r="AE302" s="157"/>
      <c r="AF302" s="158">
        <f>SUM(AG302:AJ302)</f>
      </c>
      <c r="AG302" s="146"/>
      <c r="AH302" s="145"/>
      <c r="AI302" s="145"/>
      <c r="AJ302" s="145"/>
      <c r="AK302" s="158">
        <f>SUM(AL302:AW302)</f>
      </c>
      <c r="AL302" s="146"/>
      <c r="AM302" s="145"/>
      <c r="AN302" s="145"/>
      <c r="AO302" s="145"/>
      <c r="AP302" s="145"/>
      <c r="AQ302" s="145"/>
      <c r="AR302" s="145"/>
      <c r="AS302" s="145"/>
      <c r="AT302" s="145"/>
      <c r="AU302" s="145"/>
      <c r="AV302" s="145"/>
      <c r="AW302" s="158"/>
      <c r="AX302" s="145"/>
      <c r="AY302" s="145"/>
      <c r="AZ302" s="145"/>
      <c r="BA302" s="158"/>
      <c r="BB302" s="145"/>
      <c r="BC302" s="145"/>
      <c r="BD302" s="158"/>
      <c r="BE302" s="146"/>
      <c r="BF302" s="145"/>
      <c r="BG302" s="145"/>
      <c r="BH302" s="158">
        <f>SUM(BI302:BK302)</f>
      </c>
      <c r="BI302" s="145"/>
      <c r="BJ302" s="145"/>
      <c r="BK302" s="145"/>
      <c r="BL302" s="145">
        <f>SUM(BM302:BR302)</f>
      </c>
      <c r="BM302" s="145"/>
      <c r="BN302" s="145"/>
      <c r="BO302" s="158"/>
      <c r="BP302" s="145"/>
      <c r="BQ302" s="145"/>
      <c r="BR302" s="145"/>
      <c r="BS302" s="145"/>
      <c r="BT302" s="145"/>
      <c r="BU302" s="158"/>
      <c r="BV302" s="146"/>
      <c r="BW302" s="145"/>
      <c r="BX302" s="145"/>
      <c r="BY302" s="158">
        <f>SUM(BZ302:CB302)</f>
      </c>
      <c r="BZ302" s="146"/>
      <c r="CA302" s="145"/>
      <c r="CB302" s="145"/>
      <c r="CC302" s="145">
        <f>SUM(CD302:CH302)</f>
      </c>
      <c r="CD302" s="145"/>
      <c r="CE302" s="158"/>
      <c r="CF302" s="145"/>
      <c r="CG302" s="145"/>
      <c r="CH302" s="145"/>
      <c r="CI302" s="158"/>
      <c r="CJ302" s="145"/>
      <c r="CK302" s="145"/>
      <c r="CL302" s="145"/>
      <c r="CM302" s="145"/>
      <c r="CN302" s="145"/>
      <c r="CO302" s="145"/>
      <c r="CP302" s="145"/>
      <c r="CQ302" s="158"/>
      <c r="CR302" s="146"/>
      <c r="CS302" s="158"/>
      <c r="CT302" s="158"/>
      <c r="CU302" s="158">
        <f>SUM(CV302:CV302)</f>
      </c>
      <c r="CV302" s="146"/>
      <c r="CW302" s="145"/>
      <c r="CX302" s="145"/>
      <c r="CY302" s="145">
        <f>SUM(CZ302:DE302)</f>
      </c>
      <c r="CZ302" s="145"/>
      <c r="DA302" s="146"/>
      <c r="DB302" s="146"/>
      <c r="DC302" s="153"/>
      <c r="DD302" s="153"/>
      <c r="DE302" s="145"/>
      <c r="DF302" s="145"/>
      <c r="DG302" s="145"/>
      <c r="DH302" s="158"/>
      <c r="DI302" s="145"/>
      <c r="DJ302" s="158"/>
      <c r="DK302" s="145"/>
      <c r="DL302" s="158"/>
      <c r="DM302" s="145"/>
      <c r="DN302" s="145"/>
      <c r="DO302" s="145"/>
      <c r="DP302" s="158"/>
      <c r="DQ302" s="145"/>
      <c r="DR302" s="145"/>
      <c r="DS302" s="145"/>
      <c r="DT302" s="145"/>
      <c r="DU302" s="145">
        <f>SUM(DV302:EE302)</f>
      </c>
      <c r="DV302" s="145"/>
      <c r="DW302" s="145"/>
      <c r="DX302" s="145"/>
      <c r="DY302" s="145"/>
      <c r="DZ302" s="146"/>
      <c r="EA302" s="158"/>
      <c r="EB302" s="146"/>
      <c r="EC302" s="145"/>
      <c r="ED302" s="145"/>
      <c r="EE302" s="155"/>
      <c r="EF302" s="145">
        <f>SUM(EG302:EH302)</f>
      </c>
      <c r="EG302" s="145"/>
      <c r="EH302" s="146"/>
      <c r="EI302" s="159" cm="1">
        <f t="array" ref="EI302">ROW()-ROW(Run[#Headers])</f>
        <v>296</v>
      </c>
    </row>
    <row r="303" spans="2:139" s="79" customFormat="1" ht="11.25" x14ac:dyDescent="0.2">
      <c r="B303" s="146"/>
      <c r="C303" s="155"/>
      <c r="D303" s="145"/>
      <c r="E303" s="152">
        <f>SUM(F303:AE303)</f>
      </c>
      <c r="F303" s="146"/>
      <c r="G303" s="146"/>
      <c r="H303" s="146"/>
      <c r="I303" s="146"/>
      <c r="J303" s="146"/>
      <c r="K303" s="156"/>
      <c r="L303" s="146"/>
      <c r="M303" s="146"/>
      <c r="N303" s="146"/>
      <c r="O303" s="146"/>
      <c r="P303" s="156"/>
      <c r="Q303" s="146"/>
      <c r="R303" s="146"/>
      <c r="S303" s="146"/>
      <c r="T303" s="156"/>
      <c r="U303" s="146"/>
      <c r="V303" s="146"/>
      <c r="W303" s="146"/>
      <c r="X303" s="146"/>
      <c r="Y303" s="146"/>
      <c r="Z303" s="146"/>
      <c r="AA303" s="146"/>
      <c r="AB303" s="146"/>
      <c r="AC303" s="157"/>
      <c r="AD303" s="157"/>
      <c r="AE303" s="157"/>
      <c r="AF303" s="158">
        <f>SUM(AG303:AJ303)</f>
      </c>
      <c r="AG303" s="146"/>
      <c r="AH303" s="145"/>
      <c r="AI303" s="145"/>
      <c r="AJ303" s="145"/>
      <c r="AK303" s="158">
        <f>SUM(AL303:AW303)</f>
      </c>
      <c r="AL303" s="146"/>
      <c r="AM303" s="145"/>
      <c r="AN303" s="145"/>
      <c r="AO303" s="145"/>
      <c r="AP303" s="145"/>
      <c r="AQ303" s="145"/>
      <c r="AR303" s="145"/>
      <c r="AS303" s="145"/>
      <c r="AT303" s="145"/>
      <c r="AU303" s="145"/>
      <c r="AV303" s="145"/>
      <c r="AW303" s="158"/>
      <c r="AX303" s="145"/>
      <c r="AY303" s="145"/>
      <c r="AZ303" s="145"/>
      <c r="BA303" s="158"/>
      <c r="BB303" s="145"/>
      <c r="BC303" s="145"/>
      <c r="BD303" s="158"/>
      <c r="BE303" s="146"/>
      <c r="BF303" s="145"/>
      <c r="BG303" s="145"/>
      <c r="BH303" s="158">
        <f>SUM(BI303:BK303)</f>
      </c>
      <c r="BI303" s="145"/>
      <c r="BJ303" s="145"/>
      <c r="BK303" s="145"/>
      <c r="BL303" s="145">
        <f>SUM(BM303:BR303)</f>
      </c>
      <c r="BM303" s="145"/>
      <c r="BN303" s="145"/>
      <c r="BO303" s="158"/>
      <c r="BP303" s="145"/>
      <c r="BQ303" s="145"/>
      <c r="BR303" s="145"/>
      <c r="BS303" s="145"/>
      <c r="BT303" s="145"/>
      <c r="BU303" s="158"/>
      <c r="BV303" s="146"/>
      <c r="BW303" s="145"/>
      <c r="BX303" s="145"/>
      <c r="BY303" s="158">
        <f>SUM(BZ303:CB303)</f>
      </c>
      <c r="BZ303" s="146"/>
      <c r="CA303" s="145"/>
      <c r="CB303" s="145"/>
      <c r="CC303" s="145">
        <f>SUM(CD303:CH303)</f>
      </c>
      <c r="CD303" s="145"/>
      <c r="CE303" s="158"/>
      <c r="CF303" s="145"/>
      <c r="CG303" s="145"/>
      <c r="CH303" s="145"/>
      <c r="CI303" s="158"/>
      <c r="CJ303" s="145"/>
      <c r="CK303" s="145"/>
      <c r="CL303" s="145"/>
      <c r="CM303" s="145"/>
      <c r="CN303" s="145"/>
      <c r="CO303" s="145"/>
      <c r="CP303" s="145"/>
      <c r="CQ303" s="158"/>
      <c r="CR303" s="146"/>
      <c r="CS303" s="158"/>
      <c r="CT303" s="158"/>
      <c r="CU303" s="158">
        <f>SUM(CV303:CV303)</f>
      </c>
      <c r="CV303" s="146"/>
      <c r="CW303" s="145"/>
      <c r="CX303" s="145"/>
      <c r="CY303" s="145">
        <f>SUM(CZ303:DE303)</f>
      </c>
      <c r="CZ303" s="145"/>
      <c r="DA303" s="146"/>
      <c r="DB303" s="146"/>
      <c r="DC303" s="153"/>
      <c r="DD303" s="153"/>
      <c r="DE303" s="145"/>
      <c r="DF303" s="145"/>
      <c r="DG303" s="145"/>
      <c r="DH303" s="158"/>
      <c r="DI303" s="145"/>
      <c r="DJ303" s="158"/>
      <c r="DK303" s="145"/>
      <c r="DL303" s="158"/>
      <c r="DM303" s="145"/>
      <c r="DN303" s="145"/>
      <c r="DO303" s="145"/>
      <c r="DP303" s="158"/>
      <c r="DQ303" s="145"/>
      <c r="DR303" s="145"/>
      <c r="DS303" s="145"/>
      <c r="DT303" s="145"/>
      <c r="DU303" s="145">
        <f>SUM(DV303:EE303)</f>
      </c>
      <c r="DV303" s="145"/>
      <c r="DW303" s="145"/>
      <c r="DX303" s="145"/>
      <c r="DY303" s="145"/>
      <c r="DZ303" s="146"/>
      <c r="EA303" s="158"/>
      <c r="EB303" s="146"/>
      <c r="EC303" s="145"/>
      <c r="ED303" s="145"/>
      <c r="EE303" s="155"/>
      <c r="EF303" s="145">
        <f>SUM(EG303:EH303)</f>
      </c>
      <c r="EG303" s="145"/>
      <c r="EH303" s="146"/>
      <c r="EI303" s="159" cm="1">
        <f t="array" ref="EI303">ROW()-ROW(Run[#Headers])</f>
        <v>297</v>
      </c>
    </row>
    <row r="304" spans="2:139" s="79" customFormat="1" ht="11.25" x14ac:dyDescent="0.2">
      <c r="B304" s="146"/>
      <c r="C304" s="155"/>
      <c r="D304" s="145"/>
      <c r="E304" s="152">
        <f>SUM(F304:AE304)</f>
      </c>
      <c r="F304" s="146"/>
      <c r="G304" s="146"/>
      <c r="H304" s="146"/>
      <c r="I304" s="146"/>
      <c r="J304" s="146"/>
      <c r="K304" s="156"/>
      <c r="L304" s="146"/>
      <c r="M304" s="146"/>
      <c r="N304" s="146"/>
      <c r="O304" s="146"/>
      <c r="P304" s="156"/>
      <c r="Q304" s="146"/>
      <c r="R304" s="146"/>
      <c r="S304" s="146"/>
      <c r="T304" s="156"/>
      <c r="U304" s="146"/>
      <c r="V304" s="146"/>
      <c r="W304" s="146"/>
      <c r="X304" s="146"/>
      <c r="Y304" s="146"/>
      <c r="Z304" s="146"/>
      <c r="AA304" s="146"/>
      <c r="AB304" s="146"/>
      <c r="AC304" s="157"/>
      <c r="AD304" s="157"/>
      <c r="AE304" s="157"/>
      <c r="AF304" s="158">
        <f>SUM(AG304:AJ304)</f>
      </c>
      <c r="AG304" s="146"/>
      <c r="AH304" s="145"/>
      <c r="AI304" s="145"/>
      <c r="AJ304" s="145"/>
      <c r="AK304" s="158">
        <f>SUM(AL304:AW304)</f>
      </c>
      <c r="AL304" s="146"/>
      <c r="AM304" s="145"/>
      <c r="AN304" s="145"/>
      <c r="AO304" s="145"/>
      <c r="AP304" s="145"/>
      <c r="AQ304" s="145"/>
      <c r="AR304" s="145"/>
      <c r="AS304" s="145"/>
      <c r="AT304" s="145"/>
      <c r="AU304" s="145"/>
      <c r="AV304" s="145"/>
      <c r="AW304" s="158"/>
      <c r="AX304" s="145"/>
      <c r="AY304" s="145"/>
      <c r="AZ304" s="145"/>
      <c r="BA304" s="158"/>
      <c r="BB304" s="145"/>
      <c r="BC304" s="145"/>
      <c r="BD304" s="158"/>
      <c r="BE304" s="146"/>
      <c r="BF304" s="145"/>
      <c r="BG304" s="145"/>
      <c r="BH304" s="158">
        <f>SUM(BI304:BK304)</f>
      </c>
      <c r="BI304" s="145"/>
      <c r="BJ304" s="145"/>
      <c r="BK304" s="145"/>
      <c r="BL304" s="145">
        <f>SUM(BM304:BR304)</f>
      </c>
      <c r="BM304" s="145"/>
      <c r="BN304" s="145"/>
      <c r="BO304" s="158"/>
      <c r="BP304" s="145"/>
      <c r="BQ304" s="145"/>
      <c r="BR304" s="145"/>
      <c r="BS304" s="145"/>
      <c r="BT304" s="145"/>
      <c r="BU304" s="158"/>
      <c r="BV304" s="146"/>
      <c r="BW304" s="145"/>
      <c r="BX304" s="145"/>
      <c r="BY304" s="158">
        <f>SUM(BZ304:CB304)</f>
      </c>
      <c r="BZ304" s="146"/>
      <c r="CA304" s="145"/>
      <c r="CB304" s="145"/>
      <c r="CC304" s="145">
        <f>SUM(CD304:CH304)</f>
      </c>
      <c r="CD304" s="145"/>
      <c r="CE304" s="158"/>
      <c r="CF304" s="145"/>
      <c r="CG304" s="145"/>
      <c r="CH304" s="145"/>
      <c r="CI304" s="158"/>
      <c r="CJ304" s="145"/>
      <c r="CK304" s="145"/>
      <c r="CL304" s="145"/>
      <c r="CM304" s="145"/>
      <c r="CN304" s="145"/>
      <c r="CO304" s="145"/>
      <c r="CP304" s="145"/>
      <c r="CQ304" s="158"/>
      <c r="CR304" s="146"/>
      <c r="CS304" s="158"/>
      <c r="CT304" s="158"/>
      <c r="CU304" s="158">
        <f>SUM(CV304:CV304)</f>
      </c>
      <c r="CV304" s="146"/>
      <c r="CW304" s="145"/>
      <c r="CX304" s="145"/>
      <c r="CY304" s="145">
        <f>SUM(CZ304:DE304)</f>
      </c>
      <c r="CZ304" s="145"/>
      <c r="DA304" s="146"/>
      <c r="DB304" s="146"/>
      <c r="DC304" s="153"/>
      <c r="DD304" s="153"/>
      <c r="DE304" s="145"/>
      <c r="DF304" s="145"/>
      <c r="DG304" s="145"/>
      <c r="DH304" s="158"/>
      <c r="DI304" s="145"/>
      <c r="DJ304" s="158"/>
      <c r="DK304" s="145"/>
      <c r="DL304" s="158"/>
      <c r="DM304" s="145"/>
      <c r="DN304" s="145"/>
      <c r="DO304" s="145"/>
      <c r="DP304" s="158"/>
      <c r="DQ304" s="145"/>
      <c r="DR304" s="145"/>
      <c r="DS304" s="145"/>
      <c r="DT304" s="145"/>
      <c r="DU304" s="145">
        <f>SUM(DV304:EE304)</f>
      </c>
      <c r="DV304" s="145"/>
      <c r="DW304" s="145"/>
      <c r="DX304" s="145"/>
      <c r="DY304" s="145"/>
      <c r="DZ304" s="146"/>
      <c r="EA304" s="158"/>
      <c r="EB304" s="146"/>
      <c r="EC304" s="145"/>
      <c r="ED304" s="145"/>
      <c r="EE304" s="155"/>
      <c r="EF304" s="145">
        <f>SUM(EG304:EH304)</f>
      </c>
      <c r="EG304" s="145"/>
      <c r="EH304" s="146"/>
      <c r="EI304" s="159" cm="1">
        <f t="array" ref="EI304">ROW()-ROW(Run[#Headers])</f>
        <v>298</v>
      </c>
    </row>
    <row r="305" spans="2:139" s="79" customFormat="1" ht="11.25" x14ac:dyDescent="0.2">
      <c r="B305" s="146"/>
      <c r="C305" s="155"/>
      <c r="D305" s="145"/>
      <c r="E305" s="152">
        <f>SUM(F305:AE305)</f>
      </c>
      <c r="F305" s="146"/>
      <c r="G305" s="146"/>
      <c r="H305" s="146"/>
      <c r="I305" s="146"/>
      <c r="J305" s="146"/>
      <c r="K305" s="156"/>
      <c r="L305" s="146"/>
      <c r="M305" s="146"/>
      <c r="N305" s="146"/>
      <c r="O305" s="146"/>
      <c r="P305" s="156"/>
      <c r="Q305" s="146"/>
      <c r="R305" s="146"/>
      <c r="S305" s="146"/>
      <c r="T305" s="156"/>
      <c r="U305" s="146"/>
      <c r="V305" s="146"/>
      <c r="W305" s="146"/>
      <c r="X305" s="146"/>
      <c r="Y305" s="146"/>
      <c r="Z305" s="146"/>
      <c r="AA305" s="146"/>
      <c r="AB305" s="146"/>
      <c r="AC305" s="157"/>
      <c r="AD305" s="157"/>
      <c r="AE305" s="157"/>
      <c r="AF305" s="158">
        <f>SUM(AG305:AJ305)</f>
      </c>
      <c r="AG305" s="146"/>
      <c r="AH305" s="145"/>
      <c r="AI305" s="145"/>
      <c r="AJ305" s="145"/>
      <c r="AK305" s="158">
        <f>SUM(AL305:AW305)</f>
      </c>
      <c r="AL305" s="146"/>
      <c r="AM305" s="145"/>
      <c r="AN305" s="145"/>
      <c r="AO305" s="145"/>
      <c r="AP305" s="145"/>
      <c r="AQ305" s="145"/>
      <c r="AR305" s="145"/>
      <c r="AS305" s="145"/>
      <c r="AT305" s="145"/>
      <c r="AU305" s="145"/>
      <c r="AV305" s="145"/>
      <c r="AW305" s="158"/>
      <c r="AX305" s="145"/>
      <c r="AY305" s="145"/>
      <c r="AZ305" s="145"/>
      <c r="BA305" s="158"/>
      <c r="BB305" s="145"/>
      <c r="BC305" s="145"/>
      <c r="BD305" s="158"/>
      <c r="BE305" s="146"/>
      <c r="BF305" s="145"/>
      <c r="BG305" s="145"/>
      <c r="BH305" s="158">
        <f>SUM(BI305:BK305)</f>
      </c>
      <c r="BI305" s="145"/>
      <c r="BJ305" s="145"/>
      <c r="BK305" s="145"/>
      <c r="BL305" s="145">
        <f>SUM(BM305:BR305)</f>
      </c>
      <c r="BM305" s="145"/>
      <c r="BN305" s="145"/>
      <c r="BO305" s="158"/>
      <c r="BP305" s="145"/>
      <c r="BQ305" s="145"/>
      <c r="BR305" s="145"/>
      <c r="BS305" s="145"/>
      <c r="BT305" s="145"/>
      <c r="BU305" s="158"/>
      <c r="BV305" s="146"/>
      <c r="BW305" s="145"/>
      <c r="BX305" s="145"/>
      <c r="BY305" s="158">
        <f>SUM(BZ305:CB305)</f>
      </c>
      <c r="BZ305" s="146"/>
      <c r="CA305" s="145"/>
      <c r="CB305" s="145"/>
      <c r="CC305" s="145">
        <f>SUM(CD305:CH305)</f>
      </c>
      <c r="CD305" s="145"/>
      <c r="CE305" s="158"/>
      <c r="CF305" s="145"/>
      <c r="CG305" s="145"/>
      <c r="CH305" s="145"/>
      <c r="CI305" s="158"/>
      <c r="CJ305" s="145"/>
      <c r="CK305" s="145"/>
      <c r="CL305" s="145"/>
      <c r="CM305" s="145"/>
      <c r="CN305" s="145"/>
      <c r="CO305" s="145"/>
      <c r="CP305" s="145"/>
      <c r="CQ305" s="158"/>
      <c r="CR305" s="146"/>
      <c r="CS305" s="158"/>
      <c r="CT305" s="158"/>
      <c r="CU305" s="158">
        <f>SUM(CV305:CV305)</f>
      </c>
      <c r="CV305" s="146"/>
      <c r="CW305" s="145"/>
      <c r="CX305" s="145"/>
      <c r="CY305" s="145">
        <f>SUM(CZ305:DE305)</f>
      </c>
      <c r="CZ305" s="145"/>
      <c r="DA305" s="146"/>
      <c r="DB305" s="146"/>
      <c r="DC305" s="153"/>
      <c r="DD305" s="153"/>
      <c r="DE305" s="145"/>
      <c r="DF305" s="145"/>
      <c r="DG305" s="145"/>
      <c r="DH305" s="158"/>
      <c r="DI305" s="145"/>
      <c r="DJ305" s="158"/>
      <c r="DK305" s="145"/>
      <c r="DL305" s="158"/>
      <c r="DM305" s="145"/>
      <c r="DN305" s="145"/>
      <c r="DO305" s="145"/>
      <c r="DP305" s="158"/>
      <c r="DQ305" s="145"/>
      <c r="DR305" s="145"/>
      <c r="DS305" s="145"/>
      <c r="DT305" s="145"/>
      <c r="DU305" s="145">
        <f>SUM(DV305:EE305)</f>
      </c>
      <c r="DV305" s="145"/>
      <c r="DW305" s="145"/>
      <c r="DX305" s="145"/>
      <c r="DY305" s="145"/>
      <c r="DZ305" s="146"/>
      <c r="EA305" s="158"/>
      <c r="EB305" s="146"/>
      <c r="EC305" s="145"/>
      <c r="ED305" s="145"/>
      <c r="EE305" s="155"/>
      <c r="EF305" s="145">
        <f>SUM(EG305:EH305)</f>
      </c>
      <c r="EG305" s="145"/>
      <c r="EH305" s="146"/>
      <c r="EI305" s="159" cm="1">
        <f t="array" ref="EI305">ROW()-ROW(Run[#Headers])</f>
        <v>299</v>
      </c>
    </row>
    <row r="306" spans="2:139" s="79" customFormat="1" ht="11.25" x14ac:dyDescent="0.2">
      <c r="B306" s="146"/>
      <c r="C306" s="155"/>
      <c r="D306" s="145"/>
      <c r="E306" s="152">
        <f>SUM(F306:AE306)</f>
      </c>
      <c r="F306" s="146"/>
      <c r="G306" s="146"/>
      <c r="H306" s="146"/>
      <c r="I306" s="146"/>
      <c r="J306" s="146"/>
      <c r="K306" s="156"/>
      <c r="L306" s="146"/>
      <c r="M306" s="146"/>
      <c r="N306" s="146"/>
      <c r="O306" s="146"/>
      <c r="P306" s="156"/>
      <c r="Q306" s="146"/>
      <c r="R306" s="146"/>
      <c r="S306" s="146"/>
      <c r="T306" s="156"/>
      <c r="U306" s="146"/>
      <c r="V306" s="146"/>
      <c r="W306" s="146"/>
      <c r="X306" s="146"/>
      <c r="Y306" s="146"/>
      <c r="Z306" s="146"/>
      <c r="AA306" s="146"/>
      <c r="AB306" s="146"/>
      <c r="AC306" s="157"/>
      <c r="AD306" s="157"/>
      <c r="AE306" s="157"/>
      <c r="AF306" s="158">
        <f>SUM(AG306:AJ306)</f>
      </c>
      <c r="AG306" s="146"/>
      <c r="AH306" s="145"/>
      <c r="AI306" s="145"/>
      <c r="AJ306" s="145"/>
      <c r="AK306" s="158">
        <f>SUM(AL306:AW306)</f>
      </c>
      <c r="AL306" s="146"/>
      <c r="AM306" s="145"/>
      <c r="AN306" s="145"/>
      <c r="AO306" s="145"/>
      <c r="AP306" s="145"/>
      <c r="AQ306" s="145"/>
      <c r="AR306" s="145"/>
      <c r="AS306" s="145"/>
      <c r="AT306" s="145"/>
      <c r="AU306" s="145"/>
      <c r="AV306" s="145"/>
      <c r="AW306" s="158"/>
      <c r="AX306" s="145"/>
      <c r="AY306" s="145"/>
      <c r="AZ306" s="145"/>
      <c r="BA306" s="158"/>
      <c r="BB306" s="145"/>
      <c r="BC306" s="145"/>
      <c r="BD306" s="158"/>
      <c r="BE306" s="146"/>
      <c r="BF306" s="145"/>
      <c r="BG306" s="145"/>
      <c r="BH306" s="158">
        <f>SUM(BI306:BK306)</f>
      </c>
      <c r="BI306" s="145"/>
      <c r="BJ306" s="145"/>
      <c r="BK306" s="145"/>
      <c r="BL306" s="145">
        <f>SUM(BM306:BR306)</f>
      </c>
      <c r="BM306" s="145"/>
      <c r="BN306" s="145"/>
      <c r="BO306" s="158"/>
      <c r="BP306" s="145"/>
      <c r="BQ306" s="145"/>
      <c r="BR306" s="145"/>
      <c r="BS306" s="145"/>
      <c r="BT306" s="145"/>
      <c r="BU306" s="158"/>
      <c r="BV306" s="146"/>
      <c r="BW306" s="145"/>
      <c r="BX306" s="145"/>
      <c r="BY306" s="158">
        <f>SUM(BZ306:CB306)</f>
      </c>
      <c r="BZ306" s="146"/>
      <c r="CA306" s="145"/>
      <c r="CB306" s="145"/>
      <c r="CC306" s="145">
        <f>SUM(CD306:CH306)</f>
      </c>
      <c r="CD306" s="145"/>
      <c r="CE306" s="158"/>
      <c r="CF306" s="145"/>
      <c r="CG306" s="145"/>
      <c r="CH306" s="145"/>
      <c r="CI306" s="158"/>
      <c r="CJ306" s="145"/>
      <c r="CK306" s="145"/>
      <c r="CL306" s="145"/>
      <c r="CM306" s="145"/>
      <c r="CN306" s="145"/>
      <c r="CO306" s="145"/>
      <c r="CP306" s="145"/>
      <c r="CQ306" s="158"/>
      <c r="CR306" s="146"/>
      <c r="CS306" s="158"/>
      <c r="CT306" s="158"/>
      <c r="CU306" s="158">
        <f>SUM(CV306:CV306)</f>
      </c>
      <c r="CV306" s="146"/>
      <c r="CW306" s="145"/>
      <c r="CX306" s="145"/>
      <c r="CY306" s="145">
        <f>SUM(CZ306:DE306)</f>
      </c>
      <c r="CZ306" s="145"/>
      <c r="DA306" s="146"/>
      <c r="DB306" s="146"/>
      <c r="DC306" s="153"/>
      <c r="DD306" s="153"/>
      <c r="DE306" s="145"/>
      <c r="DF306" s="145"/>
      <c r="DG306" s="145"/>
      <c r="DH306" s="158"/>
      <c r="DI306" s="145"/>
      <c r="DJ306" s="158"/>
      <c r="DK306" s="145"/>
      <c r="DL306" s="158"/>
      <c r="DM306" s="145"/>
      <c r="DN306" s="145"/>
      <c r="DO306" s="145"/>
      <c r="DP306" s="158"/>
      <c r="DQ306" s="145"/>
      <c r="DR306" s="145"/>
      <c r="DS306" s="145"/>
      <c r="DT306" s="145"/>
      <c r="DU306" s="145">
        <f>SUM(DV306:EE306)</f>
      </c>
      <c r="DV306" s="145"/>
      <c r="DW306" s="145"/>
      <c r="DX306" s="145"/>
      <c r="DY306" s="145"/>
      <c r="DZ306" s="146"/>
      <c r="EA306" s="158"/>
      <c r="EB306" s="146"/>
      <c r="EC306" s="145"/>
      <c r="ED306" s="145"/>
      <c r="EE306" s="155"/>
      <c r="EF306" s="145">
        <f>SUM(EG306:EH306)</f>
      </c>
      <c r="EG306" s="145"/>
      <c r="EH306" s="146"/>
      <c r="EI306" s="159" cm="1">
        <f t="array" ref="EI306">ROW()-ROW(Run[#Headers])</f>
        <v>300</v>
      </c>
    </row>
    <row r="307" spans="2:139" s="79" customFormat="1" ht="11.25" x14ac:dyDescent="0.2">
      <c r="B307" s="146"/>
      <c r="C307" s="155"/>
      <c r="D307" s="145"/>
      <c r="E307" s="152">
        <f>SUM(F307:AE307)</f>
      </c>
      <c r="F307" s="146"/>
      <c r="G307" s="146"/>
      <c r="H307" s="146"/>
      <c r="I307" s="146"/>
      <c r="J307" s="146"/>
      <c r="K307" s="156"/>
      <c r="L307" s="146"/>
      <c r="M307" s="146"/>
      <c r="N307" s="146"/>
      <c r="O307" s="146"/>
      <c r="P307" s="156"/>
      <c r="Q307" s="146"/>
      <c r="R307" s="146"/>
      <c r="S307" s="146"/>
      <c r="T307" s="156"/>
      <c r="U307" s="146"/>
      <c r="V307" s="146"/>
      <c r="W307" s="146"/>
      <c r="X307" s="146"/>
      <c r="Y307" s="146"/>
      <c r="Z307" s="146"/>
      <c r="AA307" s="146"/>
      <c r="AB307" s="146"/>
      <c r="AC307" s="157"/>
      <c r="AD307" s="157"/>
      <c r="AE307" s="157"/>
      <c r="AF307" s="158">
        <f>SUM(AG307:AJ307)</f>
      </c>
      <c r="AG307" s="146"/>
      <c r="AH307" s="145"/>
      <c r="AI307" s="145"/>
      <c r="AJ307" s="145"/>
      <c r="AK307" s="158">
        <f>SUM(AL307:AW307)</f>
      </c>
      <c r="AL307" s="146"/>
      <c r="AM307" s="145"/>
      <c r="AN307" s="145"/>
      <c r="AO307" s="145"/>
      <c r="AP307" s="145"/>
      <c r="AQ307" s="145"/>
      <c r="AR307" s="145"/>
      <c r="AS307" s="145"/>
      <c r="AT307" s="145"/>
      <c r="AU307" s="145"/>
      <c r="AV307" s="145"/>
      <c r="AW307" s="158"/>
      <c r="AX307" s="145"/>
      <c r="AY307" s="145"/>
      <c r="AZ307" s="145"/>
      <c r="BA307" s="158"/>
      <c r="BB307" s="145"/>
      <c r="BC307" s="145"/>
      <c r="BD307" s="158"/>
      <c r="BE307" s="146"/>
      <c r="BF307" s="145"/>
      <c r="BG307" s="145"/>
      <c r="BH307" s="158">
        <f>SUM(BI307:BK307)</f>
      </c>
      <c r="BI307" s="145"/>
      <c r="BJ307" s="145"/>
      <c r="BK307" s="145"/>
      <c r="BL307" s="145">
        <f>SUM(BM307:BR307)</f>
      </c>
      <c r="BM307" s="145"/>
      <c r="BN307" s="145"/>
      <c r="BO307" s="158"/>
      <c r="BP307" s="145"/>
      <c r="BQ307" s="145"/>
      <c r="BR307" s="145"/>
      <c r="BS307" s="145"/>
      <c r="BT307" s="145"/>
      <c r="BU307" s="158"/>
      <c r="BV307" s="146"/>
      <c r="BW307" s="145"/>
      <c r="BX307" s="145"/>
      <c r="BY307" s="158">
        <f>SUM(BZ307:CB307)</f>
      </c>
      <c r="BZ307" s="146"/>
      <c r="CA307" s="145"/>
      <c r="CB307" s="145"/>
      <c r="CC307" s="145">
        <f>SUM(CD307:CH307)</f>
      </c>
      <c r="CD307" s="145"/>
      <c r="CE307" s="158"/>
      <c r="CF307" s="145"/>
      <c r="CG307" s="145"/>
      <c r="CH307" s="145"/>
      <c r="CI307" s="158"/>
      <c r="CJ307" s="145"/>
      <c r="CK307" s="145"/>
      <c r="CL307" s="145"/>
      <c r="CM307" s="145"/>
      <c r="CN307" s="145"/>
      <c r="CO307" s="145"/>
      <c r="CP307" s="145"/>
      <c r="CQ307" s="158"/>
      <c r="CR307" s="146"/>
      <c r="CS307" s="158"/>
      <c r="CT307" s="158"/>
      <c r="CU307" s="158">
        <f>SUM(CV307:CV307)</f>
      </c>
      <c r="CV307" s="146"/>
      <c r="CW307" s="145"/>
      <c r="CX307" s="145"/>
      <c r="CY307" s="145">
        <f>SUM(CZ307:DE307)</f>
      </c>
      <c r="CZ307" s="145"/>
      <c r="DA307" s="146"/>
      <c r="DB307" s="146"/>
      <c r="DC307" s="153"/>
      <c r="DD307" s="153"/>
      <c r="DE307" s="145"/>
      <c r="DF307" s="145"/>
      <c r="DG307" s="145"/>
      <c r="DH307" s="158"/>
      <c r="DI307" s="145"/>
      <c r="DJ307" s="158"/>
      <c r="DK307" s="145"/>
      <c r="DL307" s="158"/>
      <c r="DM307" s="145"/>
      <c r="DN307" s="145"/>
      <c r="DO307" s="145"/>
      <c r="DP307" s="158"/>
      <c r="DQ307" s="145"/>
      <c r="DR307" s="145"/>
      <c r="DS307" s="145"/>
      <c r="DT307" s="145"/>
      <c r="DU307" s="145">
        <f>SUM(DV307:EE307)</f>
      </c>
      <c r="DV307" s="145"/>
      <c r="DW307" s="145"/>
      <c r="DX307" s="145"/>
      <c r="DY307" s="145"/>
      <c r="DZ307" s="146"/>
      <c r="EA307" s="158"/>
      <c r="EB307" s="146"/>
      <c r="EC307" s="145"/>
      <c r="ED307" s="145"/>
      <c r="EE307" s="155"/>
      <c r="EF307" s="145">
        <f>SUM(EG307:EH307)</f>
      </c>
      <c r="EG307" s="145"/>
      <c r="EH307" s="146"/>
      <c r="EI307" s="159" cm="1">
        <f t="array" ref="EI307">ROW()-ROW(Run[#Headers])</f>
        <v>301</v>
      </c>
    </row>
    <row r="308" spans="2:139" s="79" customFormat="1" ht="11.25" x14ac:dyDescent="0.2">
      <c r="B308" s="146"/>
      <c r="C308" s="155"/>
      <c r="D308" s="145"/>
      <c r="E308" s="152">
        <f>SUM(F308:AE308)</f>
      </c>
      <c r="F308" s="146"/>
      <c r="G308" s="146"/>
      <c r="H308" s="146"/>
      <c r="I308" s="146"/>
      <c r="J308" s="146"/>
      <c r="K308" s="156"/>
      <c r="L308" s="146"/>
      <c r="M308" s="146"/>
      <c r="N308" s="146"/>
      <c r="O308" s="146"/>
      <c r="P308" s="156"/>
      <c r="Q308" s="146"/>
      <c r="R308" s="146"/>
      <c r="S308" s="146"/>
      <c r="T308" s="156"/>
      <c r="U308" s="146"/>
      <c r="V308" s="146"/>
      <c r="W308" s="146"/>
      <c r="X308" s="146"/>
      <c r="Y308" s="146"/>
      <c r="Z308" s="146"/>
      <c r="AA308" s="146"/>
      <c r="AB308" s="146"/>
      <c r="AC308" s="157"/>
      <c r="AD308" s="157"/>
      <c r="AE308" s="157"/>
      <c r="AF308" s="158">
        <f>SUM(AG308:AJ308)</f>
      </c>
      <c r="AG308" s="146"/>
      <c r="AH308" s="145"/>
      <c r="AI308" s="145"/>
      <c r="AJ308" s="145"/>
      <c r="AK308" s="158">
        <f>SUM(AL308:AW308)</f>
      </c>
      <c r="AL308" s="146"/>
      <c r="AM308" s="145"/>
      <c r="AN308" s="145"/>
      <c r="AO308" s="145"/>
      <c r="AP308" s="145"/>
      <c r="AQ308" s="145"/>
      <c r="AR308" s="145"/>
      <c r="AS308" s="145"/>
      <c r="AT308" s="145"/>
      <c r="AU308" s="145"/>
      <c r="AV308" s="145"/>
      <c r="AW308" s="158"/>
      <c r="AX308" s="145"/>
      <c r="AY308" s="145"/>
      <c r="AZ308" s="145"/>
      <c r="BA308" s="158"/>
      <c r="BB308" s="145"/>
      <c r="BC308" s="145"/>
      <c r="BD308" s="158"/>
      <c r="BE308" s="146"/>
      <c r="BF308" s="145"/>
      <c r="BG308" s="145"/>
      <c r="BH308" s="158">
        <f>SUM(BI308:BK308)</f>
      </c>
      <c r="BI308" s="145"/>
      <c r="BJ308" s="145"/>
      <c r="BK308" s="145"/>
      <c r="BL308" s="145">
        <f>SUM(BM308:BR308)</f>
      </c>
      <c r="BM308" s="145"/>
      <c r="BN308" s="145"/>
      <c r="BO308" s="158"/>
      <c r="BP308" s="145"/>
      <c r="BQ308" s="145"/>
      <c r="BR308" s="145"/>
      <c r="BS308" s="145"/>
      <c r="BT308" s="145"/>
      <c r="BU308" s="158"/>
      <c r="BV308" s="146"/>
      <c r="BW308" s="145"/>
      <c r="BX308" s="145"/>
      <c r="BY308" s="158">
        <f>SUM(BZ308:CB308)</f>
      </c>
      <c r="BZ308" s="146"/>
      <c r="CA308" s="145"/>
      <c r="CB308" s="145"/>
      <c r="CC308" s="145">
        <f>SUM(CD308:CH308)</f>
      </c>
      <c r="CD308" s="145"/>
      <c r="CE308" s="158"/>
      <c r="CF308" s="145"/>
      <c r="CG308" s="145"/>
      <c r="CH308" s="145"/>
      <c r="CI308" s="158"/>
      <c r="CJ308" s="145"/>
      <c r="CK308" s="145"/>
      <c r="CL308" s="145"/>
      <c r="CM308" s="145"/>
      <c r="CN308" s="145"/>
      <c r="CO308" s="145"/>
      <c r="CP308" s="145"/>
      <c r="CQ308" s="158"/>
      <c r="CR308" s="146"/>
      <c r="CS308" s="158"/>
      <c r="CT308" s="158"/>
      <c r="CU308" s="158">
        <f>SUM(CV308:CV308)</f>
      </c>
      <c r="CV308" s="146"/>
      <c r="CW308" s="145"/>
      <c r="CX308" s="145"/>
      <c r="CY308" s="145">
        <f>SUM(CZ308:DE308)</f>
      </c>
      <c r="CZ308" s="145"/>
      <c r="DA308" s="146"/>
      <c r="DB308" s="146"/>
      <c r="DC308" s="153"/>
      <c r="DD308" s="153"/>
      <c r="DE308" s="145"/>
      <c r="DF308" s="145"/>
      <c r="DG308" s="145"/>
      <c r="DH308" s="158"/>
      <c r="DI308" s="145"/>
      <c r="DJ308" s="158"/>
      <c r="DK308" s="145"/>
      <c r="DL308" s="158"/>
      <c r="DM308" s="145"/>
      <c r="DN308" s="145"/>
      <c r="DO308" s="145"/>
      <c r="DP308" s="158"/>
      <c r="DQ308" s="145"/>
      <c r="DR308" s="145"/>
      <c r="DS308" s="145"/>
      <c r="DT308" s="145"/>
      <c r="DU308" s="145">
        <f>SUM(DV308:EE308)</f>
      </c>
      <c r="DV308" s="145"/>
      <c r="DW308" s="145"/>
      <c r="DX308" s="145"/>
      <c r="DY308" s="145"/>
      <c r="DZ308" s="146"/>
      <c r="EA308" s="158"/>
      <c r="EB308" s="146"/>
      <c r="EC308" s="145"/>
      <c r="ED308" s="145"/>
      <c r="EE308" s="155"/>
      <c r="EF308" s="145">
        <f>SUM(EG308:EH308)</f>
      </c>
      <c r="EG308" s="145"/>
      <c r="EH308" s="146"/>
      <c r="EI308" s="159" cm="1">
        <f t="array" ref="EI308">ROW()-ROW(Run[#Headers])</f>
        <v>302</v>
      </c>
    </row>
    <row r="309" spans="2:139" s="79" customFormat="1" ht="11.25" x14ac:dyDescent="0.2">
      <c r="B309" s="146"/>
      <c r="C309" s="155"/>
      <c r="D309" s="145"/>
      <c r="E309" s="152">
        <f>SUM(F309:AE309)</f>
      </c>
      <c r="F309" s="146"/>
      <c r="G309" s="146"/>
      <c r="H309" s="146"/>
      <c r="I309" s="146"/>
      <c r="J309" s="146"/>
      <c r="K309" s="156"/>
      <c r="L309" s="146"/>
      <c r="M309" s="146"/>
      <c r="N309" s="146"/>
      <c r="O309" s="146"/>
      <c r="P309" s="156"/>
      <c r="Q309" s="146"/>
      <c r="R309" s="146"/>
      <c r="S309" s="146"/>
      <c r="T309" s="156"/>
      <c r="U309" s="146"/>
      <c r="V309" s="146"/>
      <c r="W309" s="146"/>
      <c r="X309" s="146"/>
      <c r="Y309" s="146"/>
      <c r="Z309" s="146"/>
      <c r="AA309" s="146"/>
      <c r="AB309" s="146"/>
      <c r="AC309" s="157"/>
      <c r="AD309" s="157"/>
      <c r="AE309" s="157"/>
      <c r="AF309" s="158">
        <f>SUM(AG309:AJ309)</f>
      </c>
      <c r="AG309" s="146"/>
      <c r="AH309" s="145"/>
      <c r="AI309" s="145"/>
      <c r="AJ309" s="145"/>
      <c r="AK309" s="158">
        <f>SUM(AL309:AW309)</f>
      </c>
      <c r="AL309" s="146"/>
      <c r="AM309" s="145"/>
      <c r="AN309" s="145"/>
      <c r="AO309" s="145"/>
      <c r="AP309" s="145"/>
      <c r="AQ309" s="145"/>
      <c r="AR309" s="145"/>
      <c r="AS309" s="145"/>
      <c r="AT309" s="145"/>
      <c r="AU309" s="145"/>
      <c r="AV309" s="145"/>
      <c r="AW309" s="158"/>
      <c r="AX309" s="145"/>
      <c r="AY309" s="145"/>
      <c r="AZ309" s="145"/>
      <c r="BA309" s="158"/>
      <c r="BB309" s="145"/>
      <c r="BC309" s="145"/>
      <c r="BD309" s="158"/>
      <c r="BE309" s="146"/>
      <c r="BF309" s="145"/>
      <c r="BG309" s="145"/>
      <c r="BH309" s="158">
        <f>SUM(BI309:BK309)</f>
      </c>
      <c r="BI309" s="145"/>
      <c r="BJ309" s="145"/>
      <c r="BK309" s="145"/>
      <c r="BL309" s="145">
        <f>SUM(BM309:BR309)</f>
      </c>
      <c r="BM309" s="145"/>
      <c r="BN309" s="145"/>
      <c r="BO309" s="158"/>
      <c r="BP309" s="145"/>
      <c r="BQ309" s="145"/>
      <c r="BR309" s="145"/>
      <c r="BS309" s="145"/>
      <c r="BT309" s="145"/>
      <c r="BU309" s="158"/>
      <c r="BV309" s="146"/>
      <c r="BW309" s="145"/>
      <c r="BX309" s="145"/>
      <c r="BY309" s="158">
        <f>SUM(BZ309:CB309)</f>
      </c>
      <c r="BZ309" s="146"/>
      <c r="CA309" s="145"/>
      <c r="CB309" s="145"/>
      <c r="CC309" s="145">
        <f>SUM(CD309:CH309)</f>
      </c>
      <c r="CD309" s="145"/>
      <c r="CE309" s="158"/>
      <c r="CF309" s="145"/>
      <c r="CG309" s="145"/>
      <c r="CH309" s="145"/>
      <c r="CI309" s="158"/>
      <c r="CJ309" s="145"/>
      <c r="CK309" s="145"/>
      <c r="CL309" s="145"/>
      <c r="CM309" s="145"/>
      <c r="CN309" s="145"/>
      <c r="CO309" s="145"/>
      <c r="CP309" s="145"/>
      <c r="CQ309" s="158"/>
      <c r="CR309" s="146"/>
      <c r="CS309" s="158"/>
      <c r="CT309" s="158"/>
      <c r="CU309" s="158">
        <f>SUM(CV309:CV309)</f>
      </c>
      <c r="CV309" s="146"/>
      <c r="CW309" s="145"/>
      <c r="CX309" s="145"/>
      <c r="CY309" s="145">
        <f>SUM(CZ309:DE309)</f>
      </c>
      <c r="CZ309" s="145"/>
      <c r="DA309" s="146"/>
      <c r="DB309" s="146"/>
      <c r="DC309" s="153"/>
      <c r="DD309" s="153"/>
      <c r="DE309" s="145"/>
      <c r="DF309" s="145"/>
      <c r="DG309" s="145"/>
      <c r="DH309" s="158"/>
      <c r="DI309" s="145"/>
      <c r="DJ309" s="158"/>
      <c r="DK309" s="145"/>
      <c r="DL309" s="158"/>
      <c r="DM309" s="145"/>
      <c r="DN309" s="145"/>
      <c r="DO309" s="145"/>
      <c r="DP309" s="158"/>
      <c r="DQ309" s="145"/>
      <c r="DR309" s="145"/>
      <c r="DS309" s="145"/>
      <c r="DT309" s="145"/>
      <c r="DU309" s="145">
        <f>SUM(DV309:EE309)</f>
      </c>
      <c r="DV309" s="145"/>
      <c r="DW309" s="145"/>
      <c r="DX309" s="145"/>
      <c r="DY309" s="145"/>
      <c r="DZ309" s="146"/>
      <c r="EA309" s="158"/>
      <c r="EB309" s="146"/>
      <c r="EC309" s="145"/>
      <c r="ED309" s="145"/>
      <c r="EE309" s="155"/>
      <c r="EF309" s="145">
        <f>SUM(EG309:EH309)</f>
      </c>
      <c r="EG309" s="145"/>
      <c r="EH309" s="146"/>
      <c r="EI309" s="159" cm="1">
        <f t="array" ref="EI309">ROW()-ROW(Run[#Headers])</f>
        <v>303</v>
      </c>
    </row>
    <row r="310" spans="2:139" s="79" customFormat="1" ht="11.25" x14ac:dyDescent="0.2">
      <c r="B310" s="146"/>
      <c r="C310" s="155"/>
      <c r="D310" s="145"/>
      <c r="E310" s="152">
        <f>SUM(F310:AE310)</f>
      </c>
      <c r="F310" s="146"/>
      <c r="G310" s="146"/>
      <c r="H310" s="146"/>
      <c r="I310" s="146"/>
      <c r="J310" s="146"/>
      <c r="K310" s="156"/>
      <c r="L310" s="146"/>
      <c r="M310" s="146"/>
      <c r="N310" s="146"/>
      <c r="O310" s="146"/>
      <c r="P310" s="156"/>
      <c r="Q310" s="146"/>
      <c r="R310" s="146"/>
      <c r="S310" s="146"/>
      <c r="T310" s="156"/>
      <c r="U310" s="146"/>
      <c r="V310" s="146"/>
      <c r="W310" s="146"/>
      <c r="X310" s="146"/>
      <c r="Y310" s="146"/>
      <c r="Z310" s="146"/>
      <c r="AA310" s="146"/>
      <c r="AB310" s="146"/>
      <c r="AC310" s="157"/>
      <c r="AD310" s="157"/>
      <c r="AE310" s="157"/>
      <c r="AF310" s="158">
        <f>SUM(AG310:AJ310)</f>
      </c>
      <c r="AG310" s="146"/>
      <c r="AH310" s="145"/>
      <c r="AI310" s="145"/>
      <c r="AJ310" s="145"/>
      <c r="AK310" s="158">
        <f>SUM(AL310:AW310)</f>
      </c>
      <c r="AL310" s="146"/>
      <c r="AM310" s="145"/>
      <c r="AN310" s="145"/>
      <c r="AO310" s="145"/>
      <c r="AP310" s="145"/>
      <c r="AQ310" s="145"/>
      <c r="AR310" s="145"/>
      <c r="AS310" s="145"/>
      <c r="AT310" s="145"/>
      <c r="AU310" s="145"/>
      <c r="AV310" s="145"/>
      <c r="AW310" s="158"/>
      <c r="AX310" s="145"/>
      <c r="AY310" s="145"/>
      <c r="AZ310" s="145"/>
      <c r="BA310" s="158"/>
      <c r="BB310" s="145"/>
      <c r="BC310" s="145"/>
      <c r="BD310" s="158"/>
      <c r="BE310" s="146"/>
      <c r="BF310" s="145"/>
      <c r="BG310" s="145"/>
      <c r="BH310" s="158">
        <f>SUM(BI310:BK310)</f>
      </c>
      <c r="BI310" s="145"/>
      <c r="BJ310" s="145"/>
      <c r="BK310" s="145"/>
      <c r="BL310" s="145">
        <f>SUM(BM310:BR310)</f>
      </c>
      <c r="BM310" s="145"/>
      <c r="BN310" s="145"/>
      <c r="BO310" s="158"/>
      <c r="BP310" s="145"/>
      <c r="BQ310" s="145"/>
      <c r="BR310" s="145"/>
      <c r="BS310" s="145"/>
      <c r="BT310" s="145"/>
      <c r="BU310" s="158"/>
      <c r="BV310" s="146"/>
      <c r="BW310" s="145"/>
      <c r="BX310" s="145"/>
      <c r="BY310" s="158">
        <f>SUM(BZ310:CB310)</f>
      </c>
      <c r="BZ310" s="146"/>
      <c r="CA310" s="145"/>
      <c r="CB310" s="145"/>
      <c r="CC310" s="145">
        <f>SUM(CD310:CH310)</f>
      </c>
      <c r="CD310" s="145"/>
      <c r="CE310" s="158"/>
      <c r="CF310" s="145"/>
      <c r="CG310" s="145"/>
      <c r="CH310" s="145"/>
      <c r="CI310" s="158"/>
      <c r="CJ310" s="145"/>
      <c r="CK310" s="145"/>
      <c r="CL310" s="145"/>
      <c r="CM310" s="145"/>
      <c r="CN310" s="145"/>
      <c r="CO310" s="145"/>
      <c r="CP310" s="145"/>
      <c r="CQ310" s="158"/>
      <c r="CR310" s="146"/>
      <c r="CS310" s="158"/>
      <c r="CT310" s="158"/>
      <c r="CU310" s="158">
        <f>SUM(CV310:CV310)</f>
      </c>
      <c r="CV310" s="146"/>
      <c r="CW310" s="145"/>
      <c r="CX310" s="145"/>
      <c r="CY310" s="145">
        <f>SUM(CZ310:DE310)</f>
      </c>
      <c r="CZ310" s="145"/>
      <c r="DA310" s="146"/>
      <c r="DB310" s="146"/>
      <c r="DC310" s="153"/>
      <c r="DD310" s="153"/>
      <c r="DE310" s="145"/>
      <c r="DF310" s="145"/>
      <c r="DG310" s="145"/>
      <c r="DH310" s="158"/>
      <c r="DI310" s="145"/>
      <c r="DJ310" s="158"/>
      <c r="DK310" s="145"/>
      <c r="DL310" s="158"/>
      <c r="DM310" s="145"/>
      <c r="DN310" s="145"/>
      <c r="DO310" s="145"/>
      <c r="DP310" s="158"/>
      <c r="DQ310" s="145"/>
      <c r="DR310" s="145"/>
      <c r="DS310" s="145"/>
      <c r="DT310" s="145"/>
      <c r="DU310" s="145">
        <f>SUM(DV310:EE310)</f>
      </c>
      <c r="DV310" s="145"/>
      <c r="DW310" s="145"/>
      <c r="DX310" s="145"/>
      <c r="DY310" s="145"/>
      <c r="DZ310" s="146"/>
      <c r="EA310" s="158"/>
      <c r="EB310" s="146"/>
      <c r="EC310" s="145"/>
      <c r="ED310" s="145"/>
      <c r="EE310" s="155"/>
      <c r="EF310" s="145">
        <f>SUM(EG310:EH310)</f>
      </c>
      <c r="EG310" s="145"/>
      <c r="EH310" s="146"/>
      <c r="EI310" s="159" cm="1">
        <f t="array" ref="EI310">ROW()-ROW(Run[#Headers])</f>
        <v>304</v>
      </c>
    </row>
    <row r="311" spans="2:139" s="79" customFormat="1" ht="11.25" x14ac:dyDescent="0.2">
      <c r="B311" s="146"/>
      <c r="C311" s="155"/>
      <c r="D311" s="145"/>
      <c r="E311" s="152">
        <f>SUM(F311:AE311)</f>
      </c>
      <c r="F311" s="146"/>
      <c r="G311" s="146"/>
      <c r="H311" s="146"/>
      <c r="I311" s="146"/>
      <c r="J311" s="146"/>
      <c r="K311" s="156"/>
      <c r="L311" s="146"/>
      <c r="M311" s="146"/>
      <c r="N311" s="146"/>
      <c r="O311" s="146"/>
      <c r="P311" s="156"/>
      <c r="Q311" s="146"/>
      <c r="R311" s="146"/>
      <c r="S311" s="146"/>
      <c r="T311" s="156"/>
      <c r="U311" s="146"/>
      <c r="V311" s="146"/>
      <c r="W311" s="146"/>
      <c r="X311" s="146"/>
      <c r="Y311" s="146"/>
      <c r="Z311" s="146"/>
      <c r="AA311" s="146"/>
      <c r="AB311" s="146"/>
      <c r="AC311" s="157"/>
      <c r="AD311" s="157"/>
      <c r="AE311" s="157"/>
      <c r="AF311" s="158">
        <f>SUM(AG311:AJ311)</f>
      </c>
      <c r="AG311" s="146"/>
      <c r="AH311" s="145"/>
      <c r="AI311" s="145"/>
      <c r="AJ311" s="145"/>
      <c r="AK311" s="158">
        <f>SUM(AL311:AW311)</f>
      </c>
      <c r="AL311" s="146"/>
      <c r="AM311" s="145"/>
      <c r="AN311" s="145"/>
      <c r="AO311" s="145"/>
      <c r="AP311" s="145"/>
      <c r="AQ311" s="145"/>
      <c r="AR311" s="145"/>
      <c r="AS311" s="145"/>
      <c r="AT311" s="145"/>
      <c r="AU311" s="145"/>
      <c r="AV311" s="145"/>
      <c r="AW311" s="158"/>
      <c r="AX311" s="145"/>
      <c r="AY311" s="145"/>
      <c r="AZ311" s="145"/>
      <c r="BA311" s="158"/>
      <c r="BB311" s="145"/>
      <c r="BC311" s="145"/>
      <c r="BD311" s="158"/>
      <c r="BE311" s="146"/>
      <c r="BF311" s="145"/>
      <c r="BG311" s="145"/>
      <c r="BH311" s="158">
        <f>SUM(BI311:BK311)</f>
      </c>
      <c r="BI311" s="145"/>
      <c r="BJ311" s="145"/>
      <c r="BK311" s="145"/>
      <c r="BL311" s="145">
        <f>SUM(BM311:BR311)</f>
      </c>
      <c r="BM311" s="145"/>
      <c r="BN311" s="145"/>
      <c r="BO311" s="158"/>
      <c r="BP311" s="145"/>
      <c r="BQ311" s="145"/>
      <c r="BR311" s="145"/>
      <c r="BS311" s="145"/>
      <c r="BT311" s="145"/>
      <c r="BU311" s="158"/>
      <c r="BV311" s="146"/>
      <c r="BW311" s="145"/>
      <c r="BX311" s="145"/>
      <c r="BY311" s="158">
        <f>SUM(BZ311:CB311)</f>
      </c>
      <c r="BZ311" s="146"/>
      <c r="CA311" s="145"/>
      <c r="CB311" s="145"/>
      <c r="CC311" s="145">
        <f>SUM(CD311:CH311)</f>
      </c>
      <c r="CD311" s="145"/>
      <c r="CE311" s="158"/>
      <c r="CF311" s="145"/>
      <c r="CG311" s="145"/>
      <c r="CH311" s="145"/>
      <c r="CI311" s="158"/>
      <c r="CJ311" s="145"/>
      <c r="CK311" s="145"/>
      <c r="CL311" s="145"/>
      <c r="CM311" s="145"/>
      <c r="CN311" s="145"/>
      <c r="CO311" s="145"/>
      <c r="CP311" s="145"/>
      <c r="CQ311" s="158"/>
      <c r="CR311" s="146"/>
      <c r="CS311" s="158"/>
      <c r="CT311" s="158"/>
      <c r="CU311" s="158">
        <f>SUM(CV311:CV311)</f>
      </c>
      <c r="CV311" s="146"/>
      <c r="CW311" s="145"/>
      <c r="CX311" s="145"/>
      <c r="CY311" s="145">
        <f>SUM(CZ311:DE311)</f>
      </c>
      <c r="CZ311" s="145"/>
      <c r="DA311" s="146"/>
      <c r="DB311" s="146"/>
      <c r="DC311" s="153"/>
      <c r="DD311" s="153"/>
      <c r="DE311" s="145"/>
      <c r="DF311" s="145"/>
      <c r="DG311" s="145"/>
      <c r="DH311" s="158"/>
      <c r="DI311" s="145"/>
      <c r="DJ311" s="158"/>
      <c r="DK311" s="145"/>
      <c r="DL311" s="158"/>
      <c r="DM311" s="145"/>
      <c r="DN311" s="145"/>
      <c r="DO311" s="145"/>
      <c r="DP311" s="158"/>
      <c r="DQ311" s="145"/>
      <c r="DR311" s="145"/>
      <c r="DS311" s="145"/>
      <c r="DT311" s="145"/>
      <c r="DU311" s="145">
        <f>SUM(DV311:EE311)</f>
      </c>
      <c r="DV311" s="145"/>
      <c r="DW311" s="145"/>
      <c r="DX311" s="145"/>
      <c r="DY311" s="145"/>
      <c r="DZ311" s="146"/>
      <c r="EA311" s="158"/>
      <c r="EB311" s="146"/>
      <c r="EC311" s="145"/>
      <c r="ED311" s="145"/>
      <c r="EE311" s="155"/>
      <c r="EF311" s="145">
        <f>SUM(EG311:EH311)</f>
      </c>
      <c r="EG311" s="145"/>
      <c r="EH311" s="146"/>
      <c r="EI311" s="159" cm="1">
        <f t="array" ref="EI311">ROW()-ROW(Run[#Headers])</f>
        <v>305</v>
      </c>
    </row>
    <row r="312" spans="2:139" s="79" customFormat="1" ht="11.25" x14ac:dyDescent="0.2">
      <c r="B312" s="146"/>
      <c r="C312" s="155"/>
      <c r="D312" s="145"/>
      <c r="E312" s="152">
        <f>SUM(F312:AE312)</f>
      </c>
      <c r="F312" s="146"/>
      <c r="G312" s="146"/>
      <c r="H312" s="146"/>
      <c r="I312" s="146"/>
      <c r="J312" s="146"/>
      <c r="K312" s="156"/>
      <c r="L312" s="146"/>
      <c r="M312" s="146"/>
      <c r="N312" s="146"/>
      <c r="O312" s="146"/>
      <c r="P312" s="156"/>
      <c r="Q312" s="146"/>
      <c r="R312" s="146"/>
      <c r="S312" s="146"/>
      <c r="T312" s="156"/>
      <c r="U312" s="146"/>
      <c r="V312" s="146"/>
      <c r="W312" s="146"/>
      <c r="X312" s="146"/>
      <c r="Y312" s="146"/>
      <c r="Z312" s="146"/>
      <c r="AA312" s="146"/>
      <c r="AB312" s="146"/>
      <c r="AC312" s="157"/>
      <c r="AD312" s="157"/>
      <c r="AE312" s="157"/>
      <c r="AF312" s="158">
        <f>SUM(AG312:AJ312)</f>
      </c>
      <c r="AG312" s="146"/>
      <c r="AH312" s="145"/>
      <c r="AI312" s="145"/>
      <c r="AJ312" s="145"/>
      <c r="AK312" s="158">
        <f>SUM(AL312:AW312)</f>
      </c>
      <c r="AL312" s="146"/>
      <c r="AM312" s="145"/>
      <c r="AN312" s="145"/>
      <c r="AO312" s="145"/>
      <c r="AP312" s="145"/>
      <c r="AQ312" s="145"/>
      <c r="AR312" s="145"/>
      <c r="AS312" s="145"/>
      <c r="AT312" s="145"/>
      <c r="AU312" s="145"/>
      <c r="AV312" s="145"/>
      <c r="AW312" s="158"/>
      <c r="AX312" s="145"/>
      <c r="AY312" s="145"/>
      <c r="AZ312" s="145"/>
      <c r="BA312" s="158"/>
      <c r="BB312" s="145"/>
      <c r="BC312" s="145"/>
      <c r="BD312" s="158"/>
      <c r="BE312" s="146"/>
      <c r="BF312" s="145"/>
      <c r="BG312" s="145"/>
      <c r="BH312" s="158">
        <f>SUM(BI312:BK312)</f>
      </c>
      <c r="BI312" s="145"/>
      <c r="BJ312" s="145"/>
      <c r="BK312" s="145"/>
      <c r="BL312" s="145">
        <f>SUM(BM312:BR312)</f>
      </c>
      <c r="BM312" s="145"/>
      <c r="BN312" s="145"/>
      <c r="BO312" s="158"/>
      <c r="BP312" s="145"/>
      <c r="BQ312" s="145"/>
      <c r="BR312" s="145"/>
      <c r="BS312" s="145"/>
      <c r="BT312" s="145"/>
      <c r="BU312" s="158"/>
      <c r="BV312" s="146"/>
      <c r="BW312" s="145"/>
      <c r="BX312" s="145"/>
      <c r="BY312" s="158">
        <f>SUM(BZ312:CB312)</f>
      </c>
      <c r="BZ312" s="146"/>
      <c r="CA312" s="145"/>
      <c r="CB312" s="145"/>
      <c r="CC312" s="145">
        <f>SUM(CD312:CH312)</f>
      </c>
      <c r="CD312" s="145"/>
      <c r="CE312" s="158"/>
      <c r="CF312" s="145"/>
      <c r="CG312" s="145"/>
      <c r="CH312" s="145"/>
      <c r="CI312" s="158"/>
      <c r="CJ312" s="145"/>
      <c r="CK312" s="145"/>
      <c r="CL312" s="145"/>
      <c r="CM312" s="145"/>
      <c r="CN312" s="145"/>
      <c r="CO312" s="145"/>
      <c r="CP312" s="145"/>
      <c r="CQ312" s="158"/>
      <c r="CR312" s="146"/>
      <c r="CS312" s="158"/>
      <c r="CT312" s="158"/>
      <c r="CU312" s="158">
        <f>SUM(CV312:CV312)</f>
      </c>
      <c r="CV312" s="146"/>
      <c r="CW312" s="145"/>
      <c r="CX312" s="145"/>
      <c r="CY312" s="145">
        <f>SUM(CZ312:DE312)</f>
      </c>
      <c r="CZ312" s="145"/>
      <c r="DA312" s="146"/>
      <c r="DB312" s="146"/>
      <c r="DC312" s="153"/>
      <c r="DD312" s="153"/>
      <c r="DE312" s="145"/>
      <c r="DF312" s="145"/>
      <c r="DG312" s="145"/>
      <c r="DH312" s="158"/>
      <c r="DI312" s="145"/>
      <c r="DJ312" s="158"/>
      <c r="DK312" s="145"/>
      <c r="DL312" s="158"/>
      <c r="DM312" s="145"/>
      <c r="DN312" s="145"/>
      <c r="DO312" s="145"/>
      <c r="DP312" s="158"/>
      <c r="DQ312" s="145"/>
      <c r="DR312" s="145"/>
      <c r="DS312" s="145"/>
      <c r="DT312" s="145"/>
      <c r="DU312" s="145">
        <f>SUM(DV312:EE312)</f>
      </c>
      <c r="DV312" s="145"/>
      <c r="DW312" s="145"/>
      <c r="DX312" s="145"/>
      <c r="DY312" s="145"/>
      <c r="DZ312" s="146"/>
      <c r="EA312" s="158"/>
      <c r="EB312" s="146"/>
      <c r="EC312" s="145"/>
      <c r="ED312" s="145"/>
      <c r="EE312" s="155"/>
      <c r="EF312" s="145">
        <f>SUM(EG312:EH312)</f>
      </c>
      <c r="EG312" s="145"/>
      <c r="EH312" s="146"/>
      <c r="EI312" s="159" cm="1">
        <f t="array" ref="EI312">ROW()-ROW(Run[#Headers])</f>
        <v>306</v>
      </c>
    </row>
    <row r="313" spans="2:139" s="79" customFormat="1" ht="11.25" x14ac:dyDescent="0.2">
      <c r="B313" s="146"/>
      <c r="C313" s="155"/>
      <c r="D313" s="145"/>
      <c r="E313" s="152">
        <f>SUM(F313:AE313)</f>
      </c>
      <c r="F313" s="146"/>
      <c r="G313" s="146"/>
      <c r="H313" s="146"/>
      <c r="I313" s="146"/>
      <c r="J313" s="146"/>
      <c r="K313" s="156"/>
      <c r="L313" s="146"/>
      <c r="M313" s="146"/>
      <c r="N313" s="146"/>
      <c r="O313" s="146"/>
      <c r="P313" s="156"/>
      <c r="Q313" s="146"/>
      <c r="R313" s="146"/>
      <c r="S313" s="146"/>
      <c r="T313" s="156"/>
      <c r="U313" s="146"/>
      <c r="V313" s="146"/>
      <c r="W313" s="146"/>
      <c r="X313" s="146"/>
      <c r="Y313" s="146"/>
      <c r="Z313" s="146"/>
      <c r="AA313" s="146"/>
      <c r="AB313" s="146"/>
      <c r="AC313" s="157"/>
      <c r="AD313" s="157"/>
      <c r="AE313" s="157"/>
      <c r="AF313" s="158">
        <f>SUM(AG313:AJ313)</f>
      </c>
      <c r="AG313" s="146"/>
      <c r="AH313" s="145"/>
      <c r="AI313" s="145"/>
      <c r="AJ313" s="145"/>
      <c r="AK313" s="158">
        <f>SUM(AL313:AW313)</f>
      </c>
      <c r="AL313" s="146"/>
      <c r="AM313" s="145"/>
      <c r="AN313" s="145"/>
      <c r="AO313" s="145"/>
      <c r="AP313" s="145"/>
      <c r="AQ313" s="145"/>
      <c r="AR313" s="145"/>
      <c r="AS313" s="145"/>
      <c r="AT313" s="145"/>
      <c r="AU313" s="145"/>
      <c r="AV313" s="145"/>
      <c r="AW313" s="158"/>
      <c r="AX313" s="145"/>
      <c r="AY313" s="145"/>
      <c r="AZ313" s="145"/>
      <c r="BA313" s="158"/>
      <c r="BB313" s="145"/>
      <c r="BC313" s="145"/>
      <c r="BD313" s="158"/>
      <c r="BE313" s="146"/>
      <c r="BF313" s="145"/>
      <c r="BG313" s="145"/>
      <c r="BH313" s="158">
        <f>SUM(BI313:BK313)</f>
      </c>
      <c r="BI313" s="145"/>
      <c r="BJ313" s="145"/>
      <c r="BK313" s="145"/>
      <c r="BL313" s="145">
        <f>SUM(BM313:BR313)</f>
      </c>
      <c r="BM313" s="145"/>
      <c r="BN313" s="145"/>
      <c r="BO313" s="158"/>
      <c r="BP313" s="145"/>
      <c r="BQ313" s="145"/>
      <c r="BR313" s="145"/>
      <c r="BS313" s="145"/>
      <c r="BT313" s="145"/>
      <c r="BU313" s="158"/>
      <c r="BV313" s="146"/>
      <c r="BW313" s="145"/>
      <c r="BX313" s="145"/>
      <c r="BY313" s="158">
        <f>SUM(BZ313:CB313)</f>
      </c>
      <c r="BZ313" s="146"/>
      <c r="CA313" s="145"/>
      <c r="CB313" s="145"/>
      <c r="CC313" s="145">
        <f>SUM(CD313:CH313)</f>
      </c>
      <c r="CD313" s="145"/>
      <c r="CE313" s="158"/>
      <c r="CF313" s="145"/>
      <c r="CG313" s="145"/>
      <c r="CH313" s="145"/>
      <c r="CI313" s="158"/>
      <c r="CJ313" s="145"/>
      <c r="CK313" s="145"/>
      <c r="CL313" s="145"/>
      <c r="CM313" s="145"/>
      <c r="CN313" s="145"/>
      <c r="CO313" s="145"/>
      <c r="CP313" s="145"/>
      <c r="CQ313" s="158"/>
      <c r="CR313" s="146"/>
      <c r="CS313" s="158"/>
      <c r="CT313" s="158"/>
      <c r="CU313" s="158">
        <f>SUM(CV313:CV313)</f>
      </c>
      <c r="CV313" s="146"/>
      <c r="CW313" s="145"/>
      <c r="CX313" s="145"/>
      <c r="CY313" s="145">
        <f>SUM(CZ313:DE313)</f>
      </c>
      <c r="CZ313" s="145"/>
      <c r="DA313" s="146"/>
      <c r="DB313" s="146"/>
      <c r="DC313" s="153"/>
      <c r="DD313" s="153"/>
      <c r="DE313" s="145"/>
      <c r="DF313" s="145"/>
      <c r="DG313" s="145"/>
      <c r="DH313" s="158"/>
      <c r="DI313" s="145"/>
      <c r="DJ313" s="158"/>
      <c r="DK313" s="145"/>
      <c r="DL313" s="158"/>
      <c r="DM313" s="145"/>
      <c r="DN313" s="145"/>
      <c r="DO313" s="145"/>
      <c r="DP313" s="158"/>
      <c r="DQ313" s="145"/>
      <c r="DR313" s="145"/>
      <c r="DS313" s="145"/>
      <c r="DT313" s="145"/>
      <c r="DU313" s="145">
        <f>SUM(DV313:EE313)</f>
      </c>
      <c r="DV313" s="145"/>
      <c r="DW313" s="145"/>
      <c r="DX313" s="145"/>
      <c r="DY313" s="145"/>
      <c r="DZ313" s="146"/>
      <c r="EA313" s="158"/>
      <c r="EB313" s="146"/>
      <c r="EC313" s="145"/>
      <c r="ED313" s="145"/>
      <c r="EE313" s="155"/>
      <c r="EF313" s="145">
        <f>SUM(EG313:EH313)</f>
      </c>
      <c r="EG313" s="145"/>
      <c r="EH313" s="146"/>
      <c r="EI313" s="159" cm="1">
        <f t="array" ref="EI313">ROW()-ROW(Run[#Headers])</f>
        <v>307</v>
      </c>
    </row>
    <row r="314" spans="2:139" s="79" customFormat="1" ht="11.25" x14ac:dyDescent="0.2">
      <c r="B314" s="146"/>
      <c r="C314" s="155"/>
      <c r="D314" s="145"/>
      <c r="E314" s="152">
        <f>SUM(F314:AE314)</f>
      </c>
      <c r="F314" s="146"/>
      <c r="G314" s="146"/>
      <c r="H314" s="146"/>
      <c r="I314" s="146"/>
      <c r="J314" s="146"/>
      <c r="K314" s="156"/>
      <c r="L314" s="146"/>
      <c r="M314" s="146"/>
      <c r="N314" s="146"/>
      <c r="O314" s="146"/>
      <c r="P314" s="156"/>
      <c r="Q314" s="146"/>
      <c r="R314" s="146"/>
      <c r="S314" s="146"/>
      <c r="T314" s="156"/>
      <c r="U314" s="146"/>
      <c r="V314" s="146"/>
      <c r="W314" s="146"/>
      <c r="X314" s="146"/>
      <c r="Y314" s="146"/>
      <c r="Z314" s="146"/>
      <c r="AA314" s="146"/>
      <c r="AB314" s="146"/>
      <c r="AC314" s="157"/>
      <c r="AD314" s="157"/>
      <c r="AE314" s="157"/>
      <c r="AF314" s="158">
        <f>SUM(AG314:AJ314)</f>
      </c>
      <c r="AG314" s="146"/>
      <c r="AH314" s="145"/>
      <c r="AI314" s="145"/>
      <c r="AJ314" s="145"/>
      <c r="AK314" s="158">
        <f>SUM(AL314:AW314)</f>
      </c>
      <c r="AL314" s="146"/>
      <c r="AM314" s="145"/>
      <c r="AN314" s="145"/>
      <c r="AO314" s="145"/>
      <c r="AP314" s="145"/>
      <c r="AQ314" s="145"/>
      <c r="AR314" s="145"/>
      <c r="AS314" s="145"/>
      <c r="AT314" s="145"/>
      <c r="AU314" s="145"/>
      <c r="AV314" s="145"/>
      <c r="AW314" s="158"/>
      <c r="AX314" s="145"/>
      <c r="AY314" s="145"/>
      <c r="AZ314" s="145"/>
      <c r="BA314" s="158"/>
      <c r="BB314" s="145"/>
      <c r="BC314" s="145"/>
      <c r="BD314" s="158"/>
      <c r="BE314" s="146"/>
      <c r="BF314" s="145"/>
      <c r="BG314" s="145"/>
      <c r="BH314" s="158">
        <f>SUM(BI314:BK314)</f>
      </c>
      <c r="BI314" s="145"/>
      <c r="BJ314" s="145"/>
      <c r="BK314" s="145"/>
      <c r="BL314" s="145">
        <f>SUM(BM314:BR314)</f>
      </c>
      <c r="BM314" s="145"/>
      <c r="BN314" s="145"/>
      <c r="BO314" s="158"/>
      <c r="BP314" s="145"/>
      <c r="BQ314" s="145"/>
      <c r="BR314" s="145"/>
      <c r="BS314" s="145"/>
      <c r="BT314" s="145"/>
      <c r="BU314" s="158"/>
      <c r="BV314" s="146"/>
      <c r="BW314" s="145"/>
      <c r="BX314" s="145"/>
      <c r="BY314" s="158">
        <f>SUM(BZ314:CB314)</f>
      </c>
      <c r="BZ314" s="146"/>
      <c r="CA314" s="145"/>
      <c r="CB314" s="145"/>
      <c r="CC314" s="145">
        <f>SUM(CD314:CH314)</f>
      </c>
      <c r="CD314" s="145"/>
      <c r="CE314" s="158"/>
      <c r="CF314" s="145"/>
      <c r="CG314" s="145"/>
      <c r="CH314" s="145"/>
      <c r="CI314" s="158"/>
      <c r="CJ314" s="145"/>
      <c r="CK314" s="145"/>
      <c r="CL314" s="145"/>
      <c r="CM314" s="145"/>
      <c r="CN314" s="145"/>
      <c r="CO314" s="145"/>
      <c r="CP314" s="145"/>
      <c r="CQ314" s="158"/>
      <c r="CR314" s="146"/>
      <c r="CS314" s="158"/>
      <c r="CT314" s="158"/>
      <c r="CU314" s="158">
        <f>SUM(CV314:CV314)</f>
      </c>
      <c r="CV314" s="146"/>
      <c r="CW314" s="145"/>
      <c r="CX314" s="145"/>
      <c r="CY314" s="145">
        <f>SUM(CZ314:DE314)</f>
      </c>
      <c r="CZ314" s="145"/>
      <c r="DA314" s="146"/>
      <c r="DB314" s="146"/>
      <c r="DC314" s="153"/>
      <c r="DD314" s="153"/>
      <c r="DE314" s="145"/>
      <c r="DF314" s="145"/>
      <c r="DG314" s="145"/>
      <c r="DH314" s="158"/>
      <c r="DI314" s="145"/>
      <c r="DJ314" s="158"/>
      <c r="DK314" s="145"/>
      <c r="DL314" s="158"/>
      <c r="DM314" s="145"/>
      <c r="DN314" s="145"/>
      <c r="DO314" s="145"/>
      <c r="DP314" s="158"/>
      <c r="DQ314" s="145"/>
      <c r="DR314" s="145"/>
      <c r="DS314" s="145"/>
      <c r="DT314" s="145"/>
      <c r="DU314" s="145">
        <f>SUM(DV314:EE314)</f>
      </c>
      <c r="DV314" s="145"/>
      <c r="DW314" s="145"/>
      <c r="DX314" s="145"/>
      <c r="DY314" s="145"/>
      <c r="DZ314" s="146"/>
      <c r="EA314" s="158"/>
      <c r="EB314" s="146"/>
      <c r="EC314" s="145"/>
      <c r="ED314" s="145"/>
      <c r="EE314" s="155"/>
      <c r="EF314" s="145">
        <f>SUM(EG314:EH314)</f>
      </c>
      <c r="EG314" s="145"/>
      <c r="EH314" s="146"/>
      <c r="EI314" s="159" cm="1">
        <f t="array" ref="EI314">ROW()-ROW(Run[#Headers])</f>
        <v>308</v>
      </c>
    </row>
    <row r="315" spans="2:139" s="79" customFormat="1" ht="11.25" x14ac:dyDescent="0.2">
      <c r="B315" s="146"/>
      <c r="C315" s="155"/>
      <c r="D315" s="145"/>
      <c r="E315" s="152">
        <f>SUM(F315:AE315)</f>
      </c>
      <c r="F315" s="146"/>
      <c r="G315" s="146"/>
      <c r="H315" s="146"/>
      <c r="I315" s="146"/>
      <c r="J315" s="146"/>
      <c r="K315" s="156"/>
      <c r="L315" s="146"/>
      <c r="M315" s="146"/>
      <c r="N315" s="146"/>
      <c r="O315" s="146"/>
      <c r="P315" s="156"/>
      <c r="Q315" s="146"/>
      <c r="R315" s="146"/>
      <c r="S315" s="146"/>
      <c r="T315" s="156"/>
      <c r="U315" s="146"/>
      <c r="V315" s="146"/>
      <c r="W315" s="146"/>
      <c r="X315" s="146"/>
      <c r="Y315" s="146"/>
      <c r="Z315" s="146"/>
      <c r="AA315" s="146"/>
      <c r="AB315" s="146"/>
      <c r="AC315" s="157"/>
      <c r="AD315" s="157"/>
      <c r="AE315" s="157"/>
      <c r="AF315" s="158">
        <f>SUM(AG315:AJ315)</f>
      </c>
      <c r="AG315" s="146"/>
      <c r="AH315" s="145"/>
      <c r="AI315" s="145"/>
      <c r="AJ315" s="145"/>
      <c r="AK315" s="158">
        <f>SUM(AL315:AW315)</f>
      </c>
      <c r="AL315" s="146"/>
      <c r="AM315" s="145"/>
      <c r="AN315" s="145"/>
      <c r="AO315" s="145"/>
      <c r="AP315" s="145"/>
      <c r="AQ315" s="145"/>
      <c r="AR315" s="145"/>
      <c r="AS315" s="145"/>
      <c r="AT315" s="145"/>
      <c r="AU315" s="145"/>
      <c r="AV315" s="145"/>
      <c r="AW315" s="158"/>
      <c r="AX315" s="145"/>
      <c r="AY315" s="145"/>
      <c r="AZ315" s="145"/>
      <c r="BA315" s="158"/>
      <c r="BB315" s="145"/>
      <c r="BC315" s="145"/>
      <c r="BD315" s="158"/>
      <c r="BE315" s="146"/>
      <c r="BF315" s="145"/>
      <c r="BG315" s="145"/>
      <c r="BH315" s="158">
        <f>SUM(BI315:BK315)</f>
      </c>
      <c r="BI315" s="145"/>
      <c r="BJ315" s="145"/>
      <c r="BK315" s="145"/>
      <c r="BL315" s="145">
        <f>SUM(BM315:BR315)</f>
      </c>
      <c r="BM315" s="145"/>
      <c r="BN315" s="145"/>
      <c r="BO315" s="158"/>
      <c r="BP315" s="145"/>
      <c r="BQ315" s="145"/>
      <c r="BR315" s="145"/>
      <c r="BS315" s="145"/>
      <c r="BT315" s="145"/>
      <c r="BU315" s="158"/>
      <c r="BV315" s="146"/>
      <c r="BW315" s="145"/>
      <c r="BX315" s="145"/>
      <c r="BY315" s="158">
        <f>SUM(BZ315:CB315)</f>
      </c>
      <c r="BZ315" s="146"/>
      <c r="CA315" s="145"/>
      <c r="CB315" s="145"/>
      <c r="CC315" s="145">
        <f>SUM(CD315:CH315)</f>
      </c>
      <c r="CD315" s="145"/>
      <c r="CE315" s="158"/>
      <c r="CF315" s="145"/>
      <c r="CG315" s="145"/>
      <c r="CH315" s="145"/>
      <c r="CI315" s="158"/>
      <c r="CJ315" s="145"/>
      <c r="CK315" s="145"/>
      <c r="CL315" s="145"/>
      <c r="CM315" s="145"/>
      <c r="CN315" s="145"/>
      <c r="CO315" s="145"/>
      <c r="CP315" s="145"/>
      <c r="CQ315" s="158"/>
      <c r="CR315" s="146"/>
      <c r="CS315" s="158"/>
      <c r="CT315" s="158"/>
      <c r="CU315" s="158">
        <f>SUM(CV315:CV315)</f>
      </c>
      <c r="CV315" s="146"/>
      <c r="CW315" s="145"/>
      <c r="CX315" s="145"/>
      <c r="CY315" s="145">
        <f>SUM(CZ315:DE315)</f>
      </c>
      <c r="CZ315" s="145"/>
      <c r="DA315" s="146"/>
      <c r="DB315" s="146"/>
      <c r="DC315" s="153"/>
      <c r="DD315" s="153"/>
      <c r="DE315" s="145"/>
      <c r="DF315" s="145"/>
      <c r="DG315" s="145"/>
      <c r="DH315" s="158"/>
      <c r="DI315" s="145"/>
      <c r="DJ315" s="158"/>
      <c r="DK315" s="145"/>
      <c r="DL315" s="158"/>
      <c r="DM315" s="145"/>
      <c r="DN315" s="145"/>
      <c r="DO315" s="145"/>
      <c r="DP315" s="158"/>
      <c r="DQ315" s="145"/>
      <c r="DR315" s="145"/>
      <c r="DS315" s="145"/>
      <c r="DT315" s="145"/>
      <c r="DU315" s="145">
        <f>SUM(DV315:EE315)</f>
      </c>
      <c r="DV315" s="145"/>
      <c r="DW315" s="145"/>
      <c r="DX315" s="145"/>
      <c r="DY315" s="145"/>
      <c r="DZ315" s="146"/>
      <c r="EA315" s="158"/>
      <c r="EB315" s="146"/>
      <c r="EC315" s="145"/>
      <c r="ED315" s="145"/>
      <c r="EE315" s="155"/>
      <c r="EF315" s="145">
        <f>SUM(EG315:EH315)</f>
      </c>
      <c r="EG315" s="145"/>
      <c r="EH315" s="146"/>
      <c r="EI315" s="159" cm="1">
        <f t="array" ref="EI315">ROW()-ROW(Run[#Headers])</f>
        <v>309</v>
      </c>
    </row>
    <row r="316" spans="2:139" s="79" customFormat="1" ht="11.25" x14ac:dyDescent="0.2">
      <c r="B316" s="146"/>
      <c r="C316" s="155"/>
      <c r="D316" s="145"/>
      <c r="E316" s="152">
        <f>SUM(F316:AE316)</f>
      </c>
      <c r="F316" s="146"/>
      <c r="G316" s="146"/>
      <c r="H316" s="146"/>
      <c r="I316" s="146"/>
      <c r="J316" s="146"/>
      <c r="K316" s="156"/>
      <c r="L316" s="146"/>
      <c r="M316" s="146"/>
      <c r="N316" s="146"/>
      <c r="O316" s="146"/>
      <c r="P316" s="156"/>
      <c r="Q316" s="146"/>
      <c r="R316" s="146"/>
      <c r="S316" s="146"/>
      <c r="T316" s="156"/>
      <c r="U316" s="146"/>
      <c r="V316" s="146"/>
      <c r="W316" s="146"/>
      <c r="X316" s="146"/>
      <c r="Y316" s="146"/>
      <c r="Z316" s="146"/>
      <c r="AA316" s="146"/>
      <c r="AB316" s="146"/>
      <c r="AC316" s="157"/>
      <c r="AD316" s="157"/>
      <c r="AE316" s="157"/>
      <c r="AF316" s="158">
        <f>SUM(AG316:AJ316)</f>
      </c>
      <c r="AG316" s="146"/>
      <c r="AH316" s="145"/>
      <c r="AI316" s="145"/>
      <c r="AJ316" s="145"/>
      <c r="AK316" s="158">
        <f>SUM(AL316:AW316)</f>
      </c>
      <c r="AL316" s="146"/>
      <c r="AM316" s="145"/>
      <c r="AN316" s="145"/>
      <c r="AO316" s="145"/>
      <c r="AP316" s="145"/>
      <c r="AQ316" s="145"/>
      <c r="AR316" s="145"/>
      <c r="AS316" s="145"/>
      <c r="AT316" s="145"/>
      <c r="AU316" s="145"/>
      <c r="AV316" s="145"/>
      <c r="AW316" s="158"/>
      <c r="AX316" s="145"/>
      <c r="AY316" s="145"/>
      <c r="AZ316" s="145"/>
      <c r="BA316" s="158"/>
      <c r="BB316" s="145"/>
      <c r="BC316" s="145"/>
      <c r="BD316" s="158"/>
      <c r="BE316" s="146"/>
      <c r="BF316" s="145"/>
      <c r="BG316" s="145"/>
      <c r="BH316" s="158">
        <f>SUM(BI316:BK316)</f>
      </c>
      <c r="BI316" s="145"/>
      <c r="BJ316" s="145"/>
      <c r="BK316" s="145"/>
      <c r="BL316" s="145">
        <f>SUM(BM316:BR316)</f>
      </c>
      <c r="BM316" s="145"/>
      <c r="BN316" s="145"/>
      <c r="BO316" s="158"/>
      <c r="BP316" s="145"/>
      <c r="BQ316" s="145"/>
      <c r="BR316" s="145"/>
      <c r="BS316" s="145"/>
      <c r="BT316" s="145"/>
      <c r="BU316" s="158"/>
      <c r="BV316" s="146"/>
      <c r="BW316" s="145"/>
      <c r="BX316" s="145"/>
      <c r="BY316" s="158">
        <f>SUM(BZ316:CB316)</f>
      </c>
      <c r="BZ316" s="146"/>
      <c r="CA316" s="145"/>
      <c r="CB316" s="145"/>
      <c r="CC316" s="145">
        <f>SUM(CD316:CH316)</f>
      </c>
      <c r="CD316" s="145"/>
      <c r="CE316" s="158"/>
      <c r="CF316" s="145"/>
      <c r="CG316" s="145"/>
      <c r="CH316" s="145"/>
      <c r="CI316" s="158"/>
      <c r="CJ316" s="145"/>
      <c r="CK316" s="145"/>
      <c r="CL316" s="145"/>
      <c r="CM316" s="145"/>
      <c r="CN316" s="145"/>
      <c r="CO316" s="145"/>
      <c r="CP316" s="145"/>
      <c r="CQ316" s="158"/>
      <c r="CR316" s="146"/>
      <c r="CS316" s="158"/>
      <c r="CT316" s="158"/>
      <c r="CU316" s="158">
        <f>SUM(CV316:CV316)</f>
      </c>
      <c r="CV316" s="146"/>
      <c r="CW316" s="145"/>
      <c r="CX316" s="145"/>
      <c r="CY316" s="145">
        <f>SUM(CZ316:DE316)</f>
      </c>
      <c r="CZ316" s="145"/>
      <c r="DA316" s="146"/>
      <c r="DB316" s="146"/>
      <c r="DC316" s="153"/>
      <c r="DD316" s="153"/>
      <c r="DE316" s="145"/>
      <c r="DF316" s="145"/>
      <c r="DG316" s="145"/>
      <c r="DH316" s="158"/>
      <c r="DI316" s="145"/>
      <c r="DJ316" s="158"/>
      <c r="DK316" s="145"/>
      <c r="DL316" s="158"/>
      <c r="DM316" s="145"/>
      <c r="DN316" s="145"/>
      <c r="DO316" s="145"/>
      <c r="DP316" s="158"/>
      <c r="DQ316" s="145"/>
      <c r="DR316" s="145"/>
      <c r="DS316" s="145"/>
      <c r="DT316" s="145"/>
      <c r="DU316" s="145">
        <f>SUM(DV316:EE316)</f>
      </c>
      <c r="DV316" s="145"/>
      <c r="DW316" s="145"/>
      <c r="DX316" s="145"/>
      <c r="DY316" s="145"/>
      <c r="DZ316" s="146"/>
      <c r="EA316" s="158"/>
      <c r="EB316" s="146"/>
      <c r="EC316" s="145"/>
      <c r="ED316" s="145"/>
      <c r="EE316" s="155"/>
      <c r="EF316" s="145">
        <f>SUM(EG316:EH316)</f>
      </c>
      <c r="EG316" s="145"/>
      <c r="EH316" s="146"/>
      <c r="EI316" s="159" cm="1">
        <f t="array" ref="EI316">ROW()-ROW(Run[#Headers])</f>
        <v>310</v>
      </c>
    </row>
    <row r="317" spans="2:139" s="79" customFormat="1" ht="11.25" x14ac:dyDescent="0.2">
      <c r="B317" s="146"/>
      <c r="C317" s="155"/>
      <c r="D317" s="145"/>
      <c r="E317" s="152">
        <f>SUM(F317:AE317)</f>
      </c>
      <c r="F317" s="146"/>
      <c r="G317" s="146"/>
      <c r="H317" s="146"/>
      <c r="I317" s="146"/>
      <c r="J317" s="146"/>
      <c r="K317" s="156"/>
      <c r="L317" s="146"/>
      <c r="M317" s="146"/>
      <c r="N317" s="146"/>
      <c r="O317" s="146"/>
      <c r="P317" s="156"/>
      <c r="Q317" s="146"/>
      <c r="R317" s="146"/>
      <c r="S317" s="146"/>
      <c r="T317" s="156"/>
      <c r="U317" s="146"/>
      <c r="V317" s="146"/>
      <c r="W317" s="146"/>
      <c r="X317" s="146"/>
      <c r="Y317" s="146"/>
      <c r="Z317" s="146"/>
      <c r="AA317" s="146"/>
      <c r="AB317" s="146"/>
      <c r="AC317" s="157"/>
      <c r="AD317" s="157"/>
      <c r="AE317" s="157"/>
      <c r="AF317" s="158">
        <f>SUM(AG317:AJ317)</f>
      </c>
      <c r="AG317" s="146"/>
      <c r="AH317" s="145"/>
      <c r="AI317" s="145"/>
      <c r="AJ317" s="145"/>
      <c r="AK317" s="158">
        <f>SUM(AL317:AW317)</f>
      </c>
      <c r="AL317" s="146"/>
      <c r="AM317" s="145"/>
      <c r="AN317" s="145"/>
      <c r="AO317" s="145"/>
      <c r="AP317" s="145"/>
      <c r="AQ317" s="145"/>
      <c r="AR317" s="145"/>
      <c r="AS317" s="145"/>
      <c r="AT317" s="145"/>
      <c r="AU317" s="145"/>
      <c r="AV317" s="145"/>
      <c r="AW317" s="158"/>
      <c r="AX317" s="145"/>
      <c r="AY317" s="145"/>
      <c r="AZ317" s="145"/>
      <c r="BA317" s="158"/>
      <c r="BB317" s="145"/>
      <c r="BC317" s="145"/>
      <c r="BD317" s="158"/>
      <c r="BE317" s="146"/>
      <c r="BF317" s="145"/>
      <c r="BG317" s="145"/>
      <c r="BH317" s="158">
        <f>SUM(BI317:BK317)</f>
      </c>
      <c r="BI317" s="145"/>
      <c r="BJ317" s="145"/>
      <c r="BK317" s="145"/>
      <c r="BL317" s="145">
        <f>SUM(BM317:BR317)</f>
      </c>
      <c r="BM317" s="145"/>
      <c r="BN317" s="145"/>
      <c r="BO317" s="158"/>
      <c r="BP317" s="145"/>
      <c r="BQ317" s="145"/>
      <c r="BR317" s="145"/>
      <c r="BS317" s="145"/>
      <c r="BT317" s="145"/>
      <c r="BU317" s="158"/>
      <c r="BV317" s="146"/>
      <c r="BW317" s="145"/>
      <c r="BX317" s="145"/>
      <c r="BY317" s="158">
        <f>SUM(BZ317:CB317)</f>
      </c>
      <c r="BZ317" s="146"/>
      <c r="CA317" s="145"/>
      <c r="CB317" s="145"/>
      <c r="CC317" s="145">
        <f>SUM(CD317:CH317)</f>
      </c>
      <c r="CD317" s="145"/>
      <c r="CE317" s="158"/>
      <c r="CF317" s="145"/>
      <c r="CG317" s="145"/>
      <c r="CH317" s="145"/>
      <c r="CI317" s="158"/>
      <c r="CJ317" s="145"/>
      <c r="CK317" s="145"/>
      <c r="CL317" s="145"/>
      <c r="CM317" s="145"/>
      <c r="CN317" s="145"/>
      <c r="CO317" s="145"/>
      <c r="CP317" s="145"/>
      <c r="CQ317" s="158"/>
      <c r="CR317" s="146"/>
      <c r="CS317" s="158"/>
      <c r="CT317" s="158"/>
      <c r="CU317" s="158">
        <f>SUM(CV317:CV317)</f>
      </c>
      <c r="CV317" s="146"/>
      <c r="CW317" s="145"/>
      <c r="CX317" s="145"/>
      <c r="CY317" s="145">
        <f>SUM(CZ317:DE317)</f>
      </c>
      <c r="CZ317" s="145"/>
      <c r="DA317" s="146"/>
      <c r="DB317" s="146"/>
      <c r="DC317" s="153"/>
      <c r="DD317" s="153"/>
      <c r="DE317" s="145"/>
      <c r="DF317" s="145"/>
      <c r="DG317" s="145"/>
      <c r="DH317" s="158"/>
      <c r="DI317" s="145"/>
      <c r="DJ317" s="158"/>
      <c r="DK317" s="145"/>
      <c r="DL317" s="158"/>
      <c r="DM317" s="145"/>
      <c r="DN317" s="145"/>
      <c r="DO317" s="145"/>
      <c r="DP317" s="158"/>
      <c r="DQ317" s="145"/>
      <c r="DR317" s="145"/>
      <c r="DS317" s="145"/>
      <c r="DT317" s="145"/>
      <c r="DU317" s="145">
        <f>SUM(DV317:EE317)</f>
      </c>
      <c r="DV317" s="145"/>
      <c r="DW317" s="145"/>
      <c r="DX317" s="145"/>
      <c r="DY317" s="145"/>
      <c r="DZ317" s="146"/>
      <c r="EA317" s="158"/>
      <c r="EB317" s="146"/>
      <c r="EC317" s="145"/>
      <c r="ED317" s="145"/>
      <c r="EE317" s="155"/>
      <c r="EF317" s="145">
        <f>SUM(EG317:EH317)</f>
      </c>
      <c r="EG317" s="145"/>
      <c r="EH317" s="146"/>
      <c r="EI317" s="159" cm="1">
        <f t="array" ref="EI317">ROW()-ROW(Run[#Headers])</f>
        <v>311</v>
      </c>
    </row>
    <row r="318" spans="2:139" s="79" customFormat="1" ht="11.25" x14ac:dyDescent="0.2">
      <c r="B318" s="146"/>
      <c r="C318" s="155"/>
      <c r="D318" s="145"/>
      <c r="E318" s="152">
        <f>SUM(F318:AE318)</f>
      </c>
      <c r="F318" s="146"/>
      <c r="G318" s="146"/>
      <c r="H318" s="146"/>
      <c r="I318" s="146"/>
      <c r="J318" s="146"/>
      <c r="K318" s="156"/>
      <c r="L318" s="146"/>
      <c r="M318" s="146"/>
      <c r="N318" s="146"/>
      <c r="O318" s="146"/>
      <c r="P318" s="156"/>
      <c r="Q318" s="146"/>
      <c r="R318" s="146"/>
      <c r="S318" s="146"/>
      <c r="T318" s="156"/>
      <c r="U318" s="146"/>
      <c r="V318" s="146"/>
      <c r="W318" s="146"/>
      <c r="X318" s="146"/>
      <c r="Y318" s="146"/>
      <c r="Z318" s="146"/>
      <c r="AA318" s="146"/>
      <c r="AB318" s="146"/>
      <c r="AC318" s="157"/>
      <c r="AD318" s="157"/>
      <c r="AE318" s="157"/>
      <c r="AF318" s="158">
        <f>SUM(AG318:AJ318)</f>
      </c>
      <c r="AG318" s="146"/>
      <c r="AH318" s="145"/>
      <c r="AI318" s="145"/>
      <c r="AJ318" s="145"/>
      <c r="AK318" s="158">
        <f>SUM(AL318:AW318)</f>
      </c>
      <c r="AL318" s="146"/>
      <c r="AM318" s="145"/>
      <c r="AN318" s="145"/>
      <c r="AO318" s="145"/>
      <c r="AP318" s="145"/>
      <c r="AQ318" s="145"/>
      <c r="AR318" s="145"/>
      <c r="AS318" s="145"/>
      <c r="AT318" s="145"/>
      <c r="AU318" s="145"/>
      <c r="AV318" s="145"/>
      <c r="AW318" s="158"/>
      <c r="AX318" s="145"/>
      <c r="AY318" s="145"/>
      <c r="AZ318" s="145"/>
      <c r="BA318" s="158"/>
      <c r="BB318" s="145"/>
      <c r="BC318" s="145"/>
      <c r="BD318" s="158"/>
      <c r="BE318" s="146"/>
      <c r="BF318" s="145"/>
      <c r="BG318" s="145"/>
      <c r="BH318" s="158">
        <f>SUM(BI318:BK318)</f>
      </c>
      <c r="BI318" s="145"/>
      <c r="BJ318" s="145"/>
      <c r="BK318" s="145"/>
      <c r="BL318" s="145">
        <f>SUM(BM318:BR318)</f>
      </c>
      <c r="BM318" s="145"/>
      <c r="BN318" s="145"/>
      <c r="BO318" s="158"/>
      <c r="BP318" s="145"/>
      <c r="BQ318" s="145"/>
      <c r="BR318" s="145"/>
      <c r="BS318" s="145"/>
      <c r="BT318" s="145"/>
      <c r="BU318" s="158"/>
      <c r="BV318" s="146"/>
      <c r="BW318" s="145"/>
      <c r="BX318" s="145"/>
      <c r="BY318" s="158">
        <f>SUM(BZ318:CB318)</f>
      </c>
      <c r="BZ318" s="146"/>
      <c r="CA318" s="145"/>
      <c r="CB318" s="145"/>
      <c r="CC318" s="145">
        <f>SUM(CD318:CH318)</f>
      </c>
      <c r="CD318" s="145"/>
      <c r="CE318" s="158"/>
      <c r="CF318" s="145"/>
      <c r="CG318" s="145"/>
      <c r="CH318" s="145"/>
      <c r="CI318" s="158"/>
      <c r="CJ318" s="145"/>
      <c r="CK318" s="145"/>
      <c r="CL318" s="145"/>
      <c r="CM318" s="145"/>
      <c r="CN318" s="145"/>
      <c r="CO318" s="145"/>
      <c r="CP318" s="145"/>
      <c r="CQ318" s="158"/>
      <c r="CR318" s="146"/>
      <c r="CS318" s="158"/>
      <c r="CT318" s="158"/>
      <c r="CU318" s="158">
        <f>SUM(CV318:CV318)</f>
      </c>
      <c r="CV318" s="146"/>
      <c r="CW318" s="145"/>
      <c r="CX318" s="145"/>
      <c r="CY318" s="145">
        <f>SUM(CZ318:DE318)</f>
      </c>
      <c r="CZ318" s="145"/>
      <c r="DA318" s="146"/>
      <c r="DB318" s="146"/>
      <c r="DC318" s="153"/>
      <c r="DD318" s="153"/>
      <c r="DE318" s="145"/>
      <c r="DF318" s="145"/>
      <c r="DG318" s="145"/>
      <c r="DH318" s="158"/>
      <c r="DI318" s="145"/>
      <c r="DJ318" s="158"/>
      <c r="DK318" s="145"/>
      <c r="DL318" s="158"/>
      <c r="DM318" s="145"/>
      <c r="DN318" s="145"/>
      <c r="DO318" s="145"/>
      <c r="DP318" s="158"/>
      <c r="DQ318" s="145"/>
      <c r="DR318" s="145"/>
      <c r="DS318" s="145"/>
      <c r="DT318" s="145"/>
      <c r="DU318" s="145">
        <f>SUM(DV318:EE318)</f>
      </c>
      <c r="DV318" s="145"/>
      <c r="DW318" s="145"/>
      <c r="DX318" s="145"/>
      <c r="DY318" s="145"/>
      <c r="DZ318" s="146"/>
      <c r="EA318" s="158"/>
      <c r="EB318" s="146"/>
      <c r="EC318" s="145"/>
      <c r="ED318" s="145"/>
      <c r="EE318" s="155"/>
      <c r="EF318" s="145">
        <f>SUM(EG318:EH318)</f>
      </c>
      <c r="EG318" s="145"/>
      <c r="EH318" s="146"/>
      <c r="EI318" s="159" cm="1">
        <f t="array" ref="EI318">ROW()-ROW(Run[#Headers])</f>
        <v>312</v>
      </c>
    </row>
    <row r="319" spans="2:139" s="79" customFormat="1" ht="11.25" x14ac:dyDescent="0.2">
      <c r="B319" s="146"/>
      <c r="C319" s="155"/>
      <c r="D319" s="145"/>
      <c r="E319" s="152">
        <f>SUM(F319:AE319)</f>
      </c>
      <c r="F319" s="146"/>
      <c r="G319" s="146"/>
      <c r="H319" s="146"/>
      <c r="I319" s="146"/>
      <c r="J319" s="146"/>
      <c r="K319" s="156"/>
      <c r="L319" s="146"/>
      <c r="M319" s="146"/>
      <c r="N319" s="146"/>
      <c r="O319" s="146"/>
      <c r="P319" s="156"/>
      <c r="Q319" s="146"/>
      <c r="R319" s="146"/>
      <c r="S319" s="146"/>
      <c r="T319" s="156"/>
      <c r="U319" s="146"/>
      <c r="V319" s="146"/>
      <c r="W319" s="146"/>
      <c r="X319" s="146"/>
      <c r="Y319" s="146"/>
      <c r="Z319" s="146"/>
      <c r="AA319" s="146"/>
      <c r="AB319" s="146"/>
      <c r="AC319" s="157"/>
      <c r="AD319" s="157"/>
      <c r="AE319" s="157"/>
      <c r="AF319" s="158">
        <f>SUM(AG319:AJ319)</f>
      </c>
      <c r="AG319" s="146"/>
      <c r="AH319" s="145"/>
      <c r="AI319" s="145"/>
      <c r="AJ319" s="145"/>
      <c r="AK319" s="158">
        <f>SUM(AL319:AW319)</f>
      </c>
      <c r="AL319" s="146"/>
      <c r="AM319" s="145"/>
      <c r="AN319" s="145"/>
      <c r="AO319" s="145"/>
      <c r="AP319" s="145"/>
      <c r="AQ319" s="145"/>
      <c r="AR319" s="145"/>
      <c r="AS319" s="145"/>
      <c r="AT319" s="145"/>
      <c r="AU319" s="145"/>
      <c r="AV319" s="145"/>
      <c r="AW319" s="158"/>
      <c r="AX319" s="145"/>
      <c r="AY319" s="145"/>
      <c r="AZ319" s="145"/>
      <c r="BA319" s="158"/>
      <c r="BB319" s="145"/>
      <c r="BC319" s="145"/>
      <c r="BD319" s="158"/>
      <c r="BE319" s="146"/>
      <c r="BF319" s="145"/>
      <c r="BG319" s="145"/>
      <c r="BH319" s="158">
        <f>SUM(BI319:BK319)</f>
      </c>
      <c r="BI319" s="145"/>
      <c r="BJ319" s="145"/>
      <c r="BK319" s="145"/>
      <c r="BL319" s="145">
        <f>SUM(BM319:BR319)</f>
      </c>
      <c r="BM319" s="145"/>
      <c r="BN319" s="145"/>
      <c r="BO319" s="158"/>
      <c r="BP319" s="145"/>
      <c r="BQ319" s="145"/>
      <c r="BR319" s="145"/>
      <c r="BS319" s="145"/>
      <c r="BT319" s="145"/>
      <c r="BU319" s="158"/>
      <c r="BV319" s="146"/>
      <c r="BW319" s="145"/>
      <c r="BX319" s="145"/>
      <c r="BY319" s="158">
        <f>SUM(BZ319:CB319)</f>
      </c>
      <c r="BZ319" s="146"/>
      <c r="CA319" s="145"/>
      <c r="CB319" s="145"/>
      <c r="CC319" s="145">
        <f>SUM(CD319:CH319)</f>
      </c>
      <c r="CD319" s="145"/>
      <c r="CE319" s="158"/>
      <c r="CF319" s="145"/>
      <c r="CG319" s="145"/>
      <c r="CH319" s="145"/>
      <c r="CI319" s="158"/>
      <c r="CJ319" s="145"/>
      <c r="CK319" s="145"/>
      <c r="CL319" s="145"/>
      <c r="CM319" s="145"/>
      <c r="CN319" s="145"/>
      <c r="CO319" s="145"/>
      <c r="CP319" s="145"/>
      <c r="CQ319" s="158"/>
      <c r="CR319" s="146"/>
      <c r="CS319" s="158"/>
      <c r="CT319" s="158"/>
      <c r="CU319" s="158">
        <f>SUM(CV319:CV319)</f>
      </c>
      <c r="CV319" s="146"/>
      <c r="CW319" s="145"/>
      <c r="CX319" s="145"/>
      <c r="CY319" s="145">
        <f>SUM(CZ319:DE319)</f>
      </c>
      <c r="CZ319" s="145"/>
      <c r="DA319" s="146"/>
      <c r="DB319" s="146"/>
      <c r="DC319" s="153"/>
      <c r="DD319" s="153"/>
      <c r="DE319" s="145"/>
      <c r="DF319" s="145"/>
      <c r="DG319" s="145"/>
      <c r="DH319" s="158"/>
      <c r="DI319" s="145"/>
      <c r="DJ319" s="158"/>
      <c r="DK319" s="145"/>
      <c r="DL319" s="158"/>
      <c r="DM319" s="145"/>
      <c r="DN319" s="145"/>
      <c r="DO319" s="145"/>
      <c r="DP319" s="158"/>
      <c r="DQ319" s="145"/>
      <c r="DR319" s="145"/>
      <c r="DS319" s="145"/>
      <c r="DT319" s="145"/>
      <c r="DU319" s="145">
        <f>SUM(DV319:EE319)</f>
      </c>
      <c r="DV319" s="145"/>
      <c r="DW319" s="145"/>
      <c r="DX319" s="145"/>
      <c r="DY319" s="145"/>
      <c r="DZ319" s="146"/>
      <c r="EA319" s="158"/>
      <c r="EB319" s="146"/>
      <c r="EC319" s="145"/>
      <c r="ED319" s="145"/>
      <c r="EE319" s="155"/>
      <c r="EF319" s="145">
        <f>SUM(EG319:EH319)</f>
      </c>
      <c r="EG319" s="145"/>
      <c r="EH319" s="146"/>
      <c r="EI319" s="159" cm="1">
        <f t="array" ref="EI319">ROW()-ROW(Run[#Headers])</f>
        <v>313</v>
      </c>
    </row>
    <row r="320" spans="2:139" s="79" customFormat="1" ht="11.25" x14ac:dyDescent="0.2">
      <c r="B320" s="146"/>
      <c r="C320" s="155"/>
      <c r="D320" s="145"/>
      <c r="E320" s="152">
        <f>SUM(F320:AE320)</f>
      </c>
      <c r="F320" s="146"/>
      <c r="G320" s="146"/>
      <c r="H320" s="146"/>
      <c r="I320" s="146"/>
      <c r="J320" s="146"/>
      <c r="K320" s="156"/>
      <c r="L320" s="146"/>
      <c r="M320" s="146"/>
      <c r="N320" s="146"/>
      <c r="O320" s="146"/>
      <c r="P320" s="156"/>
      <c r="Q320" s="146"/>
      <c r="R320" s="146"/>
      <c r="S320" s="146"/>
      <c r="T320" s="156"/>
      <c r="U320" s="146"/>
      <c r="V320" s="146"/>
      <c r="W320" s="146"/>
      <c r="X320" s="146"/>
      <c r="Y320" s="146"/>
      <c r="Z320" s="146"/>
      <c r="AA320" s="146"/>
      <c r="AB320" s="146"/>
      <c r="AC320" s="157"/>
      <c r="AD320" s="157"/>
      <c r="AE320" s="157"/>
      <c r="AF320" s="158">
        <f>SUM(AG320:AJ320)</f>
      </c>
      <c r="AG320" s="146"/>
      <c r="AH320" s="145"/>
      <c r="AI320" s="145"/>
      <c r="AJ320" s="145"/>
      <c r="AK320" s="158">
        <f>SUM(AL320:AW320)</f>
      </c>
      <c r="AL320" s="146"/>
      <c r="AM320" s="145"/>
      <c r="AN320" s="145"/>
      <c r="AO320" s="145"/>
      <c r="AP320" s="145"/>
      <c r="AQ320" s="145"/>
      <c r="AR320" s="145"/>
      <c r="AS320" s="145"/>
      <c r="AT320" s="145"/>
      <c r="AU320" s="145"/>
      <c r="AV320" s="145"/>
      <c r="AW320" s="158"/>
      <c r="AX320" s="145"/>
      <c r="AY320" s="145"/>
      <c r="AZ320" s="145"/>
      <c r="BA320" s="158"/>
      <c r="BB320" s="145"/>
      <c r="BC320" s="145"/>
      <c r="BD320" s="158"/>
      <c r="BE320" s="146"/>
      <c r="BF320" s="145"/>
      <c r="BG320" s="145"/>
      <c r="BH320" s="158">
        <f>SUM(BI320:BK320)</f>
      </c>
      <c r="BI320" s="145"/>
      <c r="BJ320" s="145"/>
      <c r="BK320" s="145"/>
      <c r="BL320" s="145">
        <f>SUM(BM320:BR320)</f>
      </c>
      <c r="BM320" s="145"/>
      <c r="BN320" s="145"/>
      <c r="BO320" s="158"/>
      <c r="BP320" s="145"/>
      <c r="BQ320" s="145"/>
      <c r="BR320" s="145"/>
      <c r="BS320" s="145"/>
      <c r="BT320" s="145"/>
      <c r="BU320" s="158"/>
      <c r="BV320" s="146"/>
      <c r="BW320" s="145"/>
      <c r="BX320" s="145"/>
      <c r="BY320" s="158">
        <f>SUM(BZ320:CB320)</f>
      </c>
      <c r="BZ320" s="146"/>
      <c r="CA320" s="145"/>
      <c r="CB320" s="145"/>
      <c r="CC320" s="145">
        <f>SUM(CD320:CH320)</f>
      </c>
      <c r="CD320" s="145"/>
      <c r="CE320" s="158"/>
      <c r="CF320" s="145"/>
      <c r="CG320" s="145"/>
      <c r="CH320" s="145"/>
      <c r="CI320" s="158"/>
      <c r="CJ320" s="145"/>
      <c r="CK320" s="145"/>
      <c r="CL320" s="145"/>
      <c r="CM320" s="145"/>
      <c r="CN320" s="145"/>
      <c r="CO320" s="145"/>
      <c r="CP320" s="145"/>
      <c r="CQ320" s="158"/>
      <c r="CR320" s="146"/>
      <c r="CS320" s="158"/>
      <c r="CT320" s="158"/>
      <c r="CU320" s="158">
        <f>SUM(CV320:CV320)</f>
      </c>
      <c r="CV320" s="146"/>
      <c r="CW320" s="145"/>
      <c r="CX320" s="145"/>
      <c r="CY320" s="145">
        <f>SUM(CZ320:DE320)</f>
      </c>
      <c r="CZ320" s="145"/>
      <c r="DA320" s="146"/>
      <c r="DB320" s="146"/>
      <c r="DC320" s="153"/>
      <c r="DD320" s="153"/>
      <c r="DE320" s="145"/>
      <c r="DF320" s="145"/>
      <c r="DG320" s="145"/>
      <c r="DH320" s="158"/>
      <c r="DI320" s="145"/>
      <c r="DJ320" s="158"/>
      <c r="DK320" s="145"/>
      <c r="DL320" s="158"/>
      <c r="DM320" s="145"/>
      <c r="DN320" s="145"/>
      <c r="DO320" s="145"/>
      <c r="DP320" s="158"/>
      <c r="DQ320" s="145"/>
      <c r="DR320" s="145"/>
      <c r="DS320" s="145"/>
      <c r="DT320" s="145"/>
      <c r="DU320" s="145">
        <f>SUM(DV320:EE320)</f>
      </c>
      <c r="DV320" s="145"/>
      <c r="DW320" s="145"/>
      <c r="DX320" s="145"/>
      <c r="DY320" s="145"/>
      <c r="DZ320" s="146"/>
      <c r="EA320" s="158"/>
      <c r="EB320" s="146"/>
      <c r="EC320" s="145"/>
      <c r="ED320" s="145"/>
      <c r="EE320" s="155"/>
      <c r="EF320" s="145">
        <f>SUM(EG320:EH320)</f>
      </c>
      <c r="EG320" s="145"/>
      <c r="EH320" s="146"/>
      <c r="EI320" s="159" cm="1">
        <f t="array" ref="EI320">ROW()-ROW(Run[#Headers])</f>
        <v>314</v>
      </c>
    </row>
    <row r="321" spans="2:139" s="79" customFormat="1" ht="11.25" x14ac:dyDescent="0.2">
      <c r="B321" s="146"/>
      <c r="C321" s="155"/>
      <c r="D321" s="145"/>
      <c r="E321" s="152">
        <f>SUM(F321:AE321)</f>
      </c>
      <c r="F321" s="146"/>
      <c r="G321" s="146"/>
      <c r="H321" s="146"/>
      <c r="I321" s="146"/>
      <c r="J321" s="146"/>
      <c r="K321" s="156"/>
      <c r="L321" s="146"/>
      <c r="M321" s="146"/>
      <c r="N321" s="146"/>
      <c r="O321" s="146"/>
      <c r="P321" s="156"/>
      <c r="Q321" s="146"/>
      <c r="R321" s="146"/>
      <c r="S321" s="146"/>
      <c r="T321" s="156"/>
      <c r="U321" s="146"/>
      <c r="V321" s="146"/>
      <c r="W321" s="146"/>
      <c r="X321" s="146"/>
      <c r="Y321" s="146"/>
      <c r="Z321" s="146"/>
      <c r="AA321" s="146"/>
      <c r="AB321" s="146"/>
      <c r="AC321" s="157"/>
      <c r="AD321" s="157"/>
      <c r="AE321" s="157"/>
      <c r="AF321" s="158">
        <f>SUM(AG321:AJ321)</f>
      </c>
      <c r="AG321" s="146"/>
      <c r="AH321" s="145"/>
      <c r="AI321" s="145"/>
      <c r="AJ321" s="145"/>
      <c r="AK321" s="158">
        <f>SUM(AL321:AW321)</f>
      </c>
      <c r="AL321" s="146"/>
      <c r="AM321" s="145"/>
      <c r="AN321" s="145"/>
      <c r="AO321" s="145"/>
      <c r="AP321" s="145"/>
      <c r="AQ321" s="145"/>
      <c r="AR321" s="145"/>
      <c r="AS321" s="145"/>
      <c r="AT321" s="145"/>
      <c r="AU321" s="145"/>
      <c r="AV321" s="145"/>
      <c r="AW321" s="158"/>
      <c r="AX321" s="145"/>
      <c r="AY321" s="145"/>
      <c r="AZ321" s="145"/>
      <c r="BA321" s="158"/>
      <c r="BB321" s="145"/>
      <c r="BC321" s="145"/>
      <c r="BD321" s="158"/>
      <c r="BE321" s="146"/>
      <c r="BF321" s="145"/>
      <c r="BG321" s="145"/>
      <c r="BH321" s="158">
        <f>SUM(BI321:BK321)</f>
      </c>
      <c r="BI321" s="145"/>
      <c r="BJ321" s="145"/>
      <c r="BK321" s="145"/>
      <c r="BL321" s="145">
        <f>SUM(BM321:BR321)</f>
      </c>
      <c r="BM321" s="145"/>
      <c r="BN321" s="145"/>
      <c r="BO321" s="158"/>
      <c r="BP321" s="145"/>
      <c r="BQ321" s="145"/>
      <c r="BR321" s="145"/>
      <c r="BS321" s="145"/>
      <c r="BT321" s="145"/>
      <c r="BU321" s="158"/>
      <c r="BV321" s="146"/>
      <c r="BW321" s="145"/>
      <c r="BX321" s="145"/>
      <c r="BY321" s="158">
        <f>SUM(BZ321:CB321)</f>
      </c>
      <c r="BZ321" s="146"/>
      <c r="CA321" s="145"/>
      <c r="CB321" s="145"/>
      <c r="CC321" s="145">
        <f>SUM(CD321:CH321)</f>
      </c>
      <c r="CD321" s="145"/>
      <c r="CE321" s="158"/>
      <c r="CF321" s="145"/>
      <c r="CG321" s="145"/>
      <c r="CH321" s="145"/>
      <c r="CI321" s="158"/>
      <c r="CJ321" s="145"/>
      <c r="CK321" s="145"/>
      <c r="CL321" s="145"/>
      <c r="CM321" s="145"/>
      <c r="CN321" s="145"/>
      <c r="CO321" s="145"/>
      <c r="CP321" s="145"/>
      <c r="CQ321" s="158"/>
      <c r="CR321" s="146"/>
      <c r="CS321" s="158"/>
      <c r="CT321" s="158"/>
      <c r="CU321" s="158">
        <f>SUM(CV321:CV321)</f>
      </c>
      <c r="CV321" s="146"/>
      <c r="CW321" s="145"/>
      <c r="CX321" s="145"/>
      <c r="CY321" s="145">
        <f>SUM(CZ321:DE321)</f>
      </c>
      <c r="CZ321" s="145"/>
      <c r="DA321" s="146"/>
      <c r="DB321" s="146"/>
      <c r="DC321" s="153"/>
      <c r="DD321" s="153"/>
      <c r="DE321" s="145"/>
      <c r="DF321" s="145"/>
      <c r="DG321" s="145"/>
      <c r="DH321" s="158"/>
      <c r="DI321" s="145"/>
      <c r="DJ321" s="158"/>
      <c r="DK321" s="145"/>
      <c r="DL321" s="158"/>
      <c r="DM321" s="145"/>
      <c r="DN321" s="145"/>
      <c r="DO321" s="145"/>
      <c r="DP321" s="158"/>
      <c r="DQ321" s="145"/>
      <c r="DR321" s="145"/>
      <c r="DS321" s="145"/>
      <c r="DT321" s="145"/>
      <c r="DU321" s="145">
        <f>SUM(DV321:EE321)</f>
      </c>
      <c r="DV321" s="145"/>
      <c r="DW321" s="145"/>
      <c r="DX321" s="145"/>
      <c r="DY321" s="145"/>
      <c r="DZ321" s="146"/>
      <c r="EA321" s="158"/>
      <c r="EB321" s="146"/>
      <c r="EC321" s="145"/>
      <c r="ED321" s="145"/>
      <c r="EE321" s="155"/>
      <c r="EF321" s="145">
        <f>SUM(EG321:EH321)</f>
      </c>
      <c r="EG321" s="145"/>
      <c r="EH321" s="146"/>
      <c r="EI321" s="159" cm="1">
        <f t="array" ref="EI321">ROW()-ROW(Run[#Headers])</f>
        <v>315</v>
      </c>
    </row>
    <row r="322" spans="2:139" s="79" customFormat="1" ht="11.25" x14ac:dyDescent="0.2">
      <c r="B322" s="146"/>
      <c r="C322" s="155"/>
      <c r="D322" s="145"/>
      <c r="E322" s="152">
        <f>SUM(F322:AE322)</f>
      </c>
      <c r="F322" s="146"/>
      <c r="G322" s="146"/>
      <c r="H322" s="146"/>
      <c r="I322" s="146"/>
      <c r="J322" s="146"/>
      <c r="K322" s="156"/>
      <c r="L322" s="146"/>
      <c r="M322" s="146"/>
      <c r="N322" s="146"/>
      <c r="O322" s="146"/>
      <c r="P322" s="156"/>
      <c r="Q322" s="146"/>
      <c r="R322" s="146"/>
      <c r="S322" s="146"/>
      <c r="T322" s="156"/>
      <c r="U322" s="146"/>
      <c r="V322" s="146"/>
      <c r="W322" s="146"/>
      <c r="X322" s="146"/>
      <c r="Y322" s="146"/>
      <c r="Z322" s="146"/>
      <c r="AA322" s="146"/>
      <c r="AB322" s="146"/>
      <c r="AC322" s="157"/>
      <c r="AD322" s="157"/>
      <c r="AE322" s="157"/>
      <c r="AF322" s="158">
        <f>SUM(AG322:AJ322)</f>
      </c>
      <c r="AG322" s="146"/>
      <c r="AH322" s="145"/>
      <c r="AI322" s="145"/>
      <c r="AJ322" s="145"/>
      <c r="AK322" s="158">
        <f>SUM(AL322:AW322)</f>
      </c>
      <c r="AL322" s="146"/>
      <c r="AM322" s="145"/>
      <c r="AN322" s="145"/>
      <c r="AO322" s="145"/>
      <c r="AP322" s="145"/>
      <c r="AQ322" s="145"/>
      <c r="AR322" s="145"/>
      <c r="AS322" s="145"/>
      <c r="AT322" s="145"/>
      <c r="AU322" s="145"/>
      <c r="AV322" s="145"/>
      <c r="AW322" s="158"/>
      <c r="AX322" s="145"/>
      <c r="AY322" s="145"/>
      <c r="AZ322" s="145"/>
      <c r="BA322" s="158"/>
      <c r="BB322" s="145"/>
      <c r="BC322" s="145"/>
      <c r="BD322" s="158"/>
      <c r="BE322" s="146"/>
      <c r="BF322" s="145"/>
      <c r="BG322" s="145"/>
      <c r="BH322" s="158">
        <f>SUM(BI322:BK322)</f>
      </c>
      <c r="BI322" s="145"/>
      <c r="BJ322" s="145"/>
      <c r="BK322" s="145"/>
      <c r="BL322" s="145">
        <f>SUM(BM322:BR322)</f>
      </c>
      <c r="BM322" s="145"/>
      <c r="BN322" s="145"/>
      <c r="BO322" s="158"/>
      <c r="BP322" s="145"/>
      <c r="BQ322" s="145"/>
      <c r="BR322" s="145"/>
      <c r="BS322" s="145"/>
      <c r="BT322" s="145"/>
      <c r="BU322" s="158"/>
      <c r="BV322" s="146"/>
      <c r="BW322" s="145"/>
      <c r="BX322" s="145"/>
      <c r="BY322" s="158">
        <f>SUM(BZ322:CB322)</f>
      </c>
      <c r="BZ322" s="146"/>
      <c r="CA322" s="145"/>
      <c r="CB322" s="145"/>
      <c r="CC322" s="145">
        <f>SUM(CD322:CH322)</f>
      </c>
      <c r="CD322" s="145"/>
      <c r="CE322" s="158"/>
      <c r="CF322" s="145"/>
      <c r="CG322" s="145"/>
      <c r="CH322" s="145"/>
      <c r="CI322" s="158"/>
      <c r="CJ322" s="145"/>
      <c r="CK322" s="145"/>
      <c r="CL322" s="145"/>
      <c r="CM322" s="145"/>
      <c r="CN322" s="145"/>
      <c r="CO322" s="145"/>
      <c r="CP322" s="145"/>
      <c r="CQ322" s="158"/>
      <c r="CR322" s="146"/>
      <c r="CS322" s="158"/>
      <c r="CT322" s="158"/>
      <c r="CU322" s="158">
        <f>SUM(CV322:CV322)</f>
      </c>
      <c r="CV322" s="146"/>
      <c r="CW322" s="145"/>
      <c r="CX322" s="145"/>
      <c r="CY322" s="145">
        <f>SUM(CZ322:DE322)</f>
      </c>
      <c r="CZ322" s="145"/>
      <c r="DA322" s="146"/>
      <c r="DB322" s="146"/>
      <c r="DC322" s="153"/>
      <c r="DD322" s="153"/>
      <c r="DE322" s="145"/>
      <c r="DF322" s="145"/>
      <c r="DG322" s="145"/>
      <c r="DH322" s="158"/>
      <c r="DI322" s="145"/>
      <c r="DJ322" s="158"/>
      <c r="DK322" s="145"/>
      <c r="DL322" s="158"/>
      <c r="DM322" s="145"/>
      <c r="DN322" s="145"/>
      <c r="DO322" s="145"/>
      <c r="DP322" s="158"/>
      <c r="DQ322" s="145"/>
      <c r="DR322" s="145"/>
      <c r="DS322" s="145"/>
      <c r="DT322" s="145"/>
      <c r="DU322" s="145">
        <f>SUM(DV322:EE322)</f>
      </c>
      <c r="DV322" s="145"/>
      <c r="DW322" s="145"/>
      <c r="DX322" s="145"/>
      <c r="DY322" s="145"/>
      <c r="DZ322" s="146"/>
      <c r="EA322" s="158"/>
      <c r="EB322" s="146"/>
      <c r="EC322" s="145"/>
      <c r="ED322" s="145"/>
      <c r="EE322" s="155"/>
      <c r="EF322" s="145">
        <f>SUM(EG322:EH322)</f>
      </c>
      <c r="EG322" s="145"/>
      <c r="EH322" s="146"/>
      <c r="EI322" s="159" cm="1">
        <f t="array" ref="EI322">ROW()-ROW(Run[#Headers])</f>
        <v>316</v>
      </c>
    </row>
    <row r="323" spans="2:139" s="79" customFormat="1" ht="11.25" x14ac:dyDescent="0.2">
      <c r="B323" s="146"/>
      <c r="C323" s="155"/>
      <c r="D323" s="145"/>
      <c r="E323" s="152">
        <f>SUM(F323:AE323)</f>
      </c>
      <c r="F323" s="146"/>
      <c r="G323" s="146"/>
      <c r="H323" s="146"/>
      <c r="I323" s="146"/>
      <c r="J323" s="146"/>
      <c r="K323" s="156"/>
      <c r="L323" s="146"/>
      <c r="M323" s="146"/>
      <c r="N323" s="146"/>
      <c r="O323" s="146"/>
      <c r="P323" s="156"/>
      <c r="Q323" s="146"/>
      <c r="R323" s="146"/>
      <c r="S323" s="146"/>
      <c r="T323" s="156"/>
      <c r="U323" s="146"/>
      <c r="V323" s="146"/>
      <c r="W323" s="146"/>
      <c r="X323" s="146"/>
      <c r="Y323" s="146"/>
      <c r="Z323" s="146"/>
      <c r="AA323" s="146"/>
      <c r="AB323" s="146"/>
      <c r="AC323" s="157"/>
      <c r="AD323" s="157"/>
      <c r="AE323" s="157"/>
      <c r="AF323" s="158">
        <f>SUM(AG323:AJ323)</f>
      </c>
      <c r="AG323" s="146"/>
      <c r="AH323" s="145"/>
      <c r="AI323" s="145"/>
      <c r="AJ323" s="145"/>
      <c r="AK323" s="158">
        <f>SUM(AL323:AW323)</f>
      </c>
      <c r="AL323" s="146"/>
      <c r="AM323" s="145"/>
      <c r="AN323" s="145"/>
      <c r="AO323" s="145"/>
      <c r="AP323" s="145"/>
      <c r="AQ323" s="145"/>
      <c r="AR323" s="145"/>
      <c r="AS323" s="145"/>
      <c r="AT323" s="145"/>
      <c r="AU323" s="145"/>
      <c r="AV323" s="145"/>
      <c r="AW323" s="158"/>
      <c r="AX323" s="145"/>
      <c r="AY323" s="145"/>
      <c r="AZ323" s="145"/>
      <c r="BA323" s="158"/>
      <c r="BB323" s="145"/>
      <c r="BC323" s="145"/>
      <c r="BD323" s="158"/>
      <c r="BE323" s="146"/>
      <c r="BF323" s="145"/>
      <c r="BG323" s="145"/>
      <c r="BH323" s="158">
        <f>SUM(BI323:BK323)</f>
      </c>
      <c r="BI323" s="145"/>
      <c r="BJ323" s="145"/>
      <c r="BK323" s="145"/>
      <c r="BL323" s="145">
        <f>SUM(BM323:BR323)</f>
      </c>
      <c r="BM323" s="145"/>
      <c r="BN323" s="145"/>
      <c r="BO323" s="158"/>
      <c r="BP323" s="145"/>
      <c r="BQ323" s="145"/>
      <c r="BR323" s="145"/>
      <c r="BS323" s="145"/>
      <c r="BT323" s="145"/>
      <c r="BU323" s="158"/>
      <c r="BV323" s="146"/>
      <c r="BW323" s="145"/>
      <c r="BX323" s="145"/>
      <c r="BY323" s="158">
        <f>SUM(BZ323:CB323)</f>
      </c>
      <c r="BZ323" s="146"/>
      <c r="CA323" s="145"/>
      <c r="CB323" s="145"/>
      <c r="CC323" s="145">
        <f>SUM(CD323:CH323)</f>
      </c>
      <c r="CD323" s="145"/>
      <c r="CE323" s="158"/>
      <c r="CF323" s="145"/>
      <c r="CG323" s="145"/>
      <c r="CH323" s="145"/>
      <c r="CI323" s="158"/>
      <c r="CJ323" s="145"/>
      <c r="CK323" s="145"/>
      <c r="CL323" s="145"/>
      <c r="CM323" s="145"/>
      <c r="CN323" s="145"/>
      <c r="CO323" s="145"/>
      <c r="CP323" s="145"/>
      <c r="CQ323" s="158"/>
      <c r="CR323" s="146"/>
      <c r="CS323" s="158"/>
      <c r="CT323" s="158"/>
      <c r="CU323" s="158">
        <f>SUM(CV323:CV323)</f>
      </c>
      <c r="CV323" s="146"/>
      <c r="CW323" s="145"/>
      <c r="CX323" s="145"/>
      <c r="CY323" s="145">
        <f>SUM(CZ323:DE323)</f>
      </c>
      <c r="CZ323" s="145"/>
      <c r="DA323" s="146"/>
      <c r="DB323" s="146"/>
      <c r="DC323" s="153"/>
      <c r="DD323" s="153"/>
      <c r="DE323" s="145"/>
      <c r="DF323" s="145"/>
      <c r="DG323" s="145"/>
      <c r="DH323" s="158"/>
      <c r="DI323" s="145"/>
      <c r="DJ323" s="158"/>
      <c r="DK323" s="145"/>
      <c r="DL323" s="158"/>
      <c r="DM323" s="145"/>
      <c r="DN323" s="145"/>
      <c r="DO323" s="145"/>
      <c r="DP323" s="158"/>
      <c r="DQ323" s="145"/>
      <c r="DR323" s="145"/>
      <c r="DS323" s="145"/>
      <c r="DT323" s="145"/>
      <c r="DU323" s="145">
        <f>SUM(DV323:EE323)</f>
      </c>
      <c r="DV323" s="145"/>
      <c r="DW323" s="145"/>
      <c r="DX323" s="145"/>
      <c r="DY323" s="145"/>
      <c r="DZ323" s="146"/>
      <c r="EA323" s="158"/>
      <c r="EB323" s="146"/>
      <c r="EC323" s="145"/>
      <c r="ED323" s="145"/>
      <c r="EE323" s="155"/>
      <c r="EF323" s="145">
        <f>SUM(EG323:EH323)</f>
      </c>
      <c r="EG323" s="145"/>
      <c r="EH323" s="146"/>
      <c r="EI323" s="159" cm="1">
        <f t="array" ref="EI323">ROW()-ROW(Run[#Headers])</f>
        <v>317</v>
      </c>
    </row>
    <row r="324" spans="2:139" s="79" customFormat="1" ht="11.25" x14ac:dyDescent="0.2">
      <c r="B324" s="146"/>
      <c r="C324" s="155"/>
      <c r="D324" s="145"/>
      <c r="E324" s="152">
        <f>SUM(F324:AE324)</f>
      </c>
      <c r="F324" s="146"/>
      <c r="G324" s="146"/>
      <c r="H324" s="146"/>
      <c r="I324" s="146"/>
      <c r="J324" s="146"/>
      <c r="K324" s="156"/>
      <c r="L324" s="146"/>
      <c r="M324" s="146"/>
      <c r="N324" s="146"/>
      <c r="O324" s="146"/>
      <c r="P324" s="156"/>
      <c r="Q324" s="146"/>
      <c r="R324" s="146"/>
      <c r="S324" s="146"/>
      <c r="T324" s="156"/>
      <c r="U324" s="146"/>
      <c r="V324" s="146"/>
      <c r="W324" s="146"/>
      <c r="X324" s="146"/>
      <c r="Y324" s="146"/>
      <c r="Z324" s="146"/>
      <c r="AA324" s="146"/>
      <c r="AB324" s="146"/>
      <c r="AC324" s="157"/>
      <c r="AD324" s="157"/>
      <c r="AE324" s="157"/>
      <c r="AF324" s="158">
        <f>SUM(AG324:AJ324)</f>
      </c>
      <c r="AG324" s="146"/>
      <c r="AH324" s="145"/>
      <c r="AI324" s="145"/>
      <c r="AJ324" s="145"/>
      <c r="AK324" s="158">
        <f>SUM(AL324:AW324)</f>
      </c>
      <c r="AL324" s="146"/>
      <c r="AM324" s="145"/>
      <c r="AN324" s="145"/>
      <c r="AO324" s="145"/>
      <c r="AP324" s="145"/>
      <c r="AQ324" s="145"/>
      <c r="AR324" s="145"/>
      <c r="AS324" s="145"/>
      <c r="AT324" s="145"/>
      <c r="AU324" s="145"/>
      <c r="AV324" s="145"/>
      <c r="AW324" s="158"/>
      <c r="AX324" s="145"/>
      <c r="AY324" s="145"/>
      <c r="AZ324" s="145"/>
      <c r="BA324" s="158"/>
      <c r="BB324" s="145"/>
      <c r="BC324" s="145"/>
      <c r="BD324" s="158"/>
      <c r="BE324" s="146"/>
      <c r="BF324" s="145"/>
      <c r="BG324" s="145"/>
      <c r="BH324" s="158">
        <f>SUM(BI324:BK324)</f>
      </c>
      <c r="BI324" s="145"/>
      <c r="BJ324" s="145"/>
      <c r="BK324" s="145"/>
      <c r="BL324" s="145">
        <f>SUM(BM324:BR324)</f>
      </c>
      <c r="BM324" s="145"/>
      <c r="BN324" s="145"/>
      <c r="BO324" s="158"/>
      <c r="BP324" s="145"/>
      <c r="BQ324" s="145"/>
      <c r="BR324" s="145"/>
      <c r="BS324" s="145"/>
      <c r="BT324" s="145"/>
      <c r="BU324" s="158"/>
      <c r="BV324" s="146"/>
      <c r="BW324" s="145"/>
      <c r="BX324" s="145"/>
      <c r="BY324" s="158">
        <f>SUM(BZ324:CB324)</f>
      </c>
      <c r="BZ324" s="146"/>
      <c r="CA324" s="145"/>
      <c r="CB324" s="145"/>
      <c r="CC324" s="145">
        <f>SUM(CD324:CH324)</f>
      </c>
      <c r="CD324" s="145"/>
      <c r="CE324" s="158"/>
      <c r="CF324" s="145"/>
      <c r="CG324" s="145"/>
      <c r="CH324" s="145"/>
      <c r="CI324" s="158"/>
      <c r="CJ324" s="145"/>
      <c r="CK324" s="145"/>
      <c r="CL324" s="145"/>
      <c r="CM324" s="145"/>
      <c r="CN324" s="145"/>
      <c r="CO324" s="145"/>
      <c r="CP324" s="145"/>
      <c r="CQ324" s="158"/>
      <c r="CR324" s="146"/>
      <c r="CS324" s="158"/>
      <c r="CT324" s="158"/>
      <c r="CU324" s="158">
        <f>SUM(CV324:CV324)</f>
      </c>
      <c r="CV324" s="146"/>
      <c r="CW324" s="145"/>
      <c r="CX324" s="145"/>
      <c r="CY324" s="145">
        <f>SUM(CZ324:DE324)</f>
      </c>
      <c r="CZ324" s="145"/>
      <c r="DA324" s="146"/>
      <c r="DB324" s="146"/>
      <c r="DC324" s="153"/>
      <c r="DD324" s="153"/>
      <c r="DE324" s="145"/>
      <c r="DF324" s="145"/>
      <c r="DG324" s="145"/>
      <c r="DH324" s="158"/>
      <c r="DI324" s="145"/>
      <c r="DJ324" s="158"/>
      <c r="DK324" s="145"/>
      <c r="DL324" s="158"/>
      <c r="DM324" s="145"/>
      <c r="DN324" s="145"/>
      <c r="DO324" s="145"/>
      <c r="DP324" s="158"/>
      <c r="DQ324" s="145"/>
      <c r="DR324" s="145"/>
      <c r="DS324" s="145"/>
      <c r="DT324" s="145"/>
      <c r="DU324" s="145">
        <f>SUM(DV324:EE324)</f>
      </c>
      <c r="DV324" s="145"/>
      <c r="DW324" s="145"/>
      <c r="DX324" s="145"/>
      <c r="DY324" s="145"/>
      <c r="DZ324" s="146"/>
      <c r="EA324" s="158"/>
      <c r="EB324" s="146"/>
      <c r="EC324" s="145"/>
      <c r="ED324" s="145"/>
      <c r="EE324" s="155"/>
      <c r="EF324" s="145">
        <f>SUM(EG324:EH324)</f>
      </c>
      <c r="EG324" s="145"/>
      <c r="EH324" s="146"/>
      <c r="EI324" s="159" cm="1">
        <f t="array" ref="EI324">ROW()-ROW(Run[#Headers])</f>
        <v>318</v>
      </c>
    </row>
    <row r="325" spans="2:139" s="79" customFormat="1" ht="11.25" x14ac:dyDescent="0.2">
      <c r="B325" s="146"/>
      <c r="C325" s="155"/>
      <c r="D325" s="145"/>
      <c r="E325" s="152">
        <f>SUM(F325:AE325)</f>
      </c>
      <c r="F325" s="146"/>
      <c r="G325" s="146"/>
      <c r="H325" s="146"/>
      <c r="I325" s="146"/>
      <c r="J325" s="146"/>
      <c r="K325" s="156"/>
      <c r="L325" s="146"/>
      <c r="M325" s="146"/>
      <c r="N325" s="146"/>
      <c r="O325" s="146"/>
      <c r="P325" s="156"/>
      <c r="Q325" s="146"/>
      <c r="R325" s="146"/>
      <c r="S325" s="146"/>
      <c r="T325" s="156"/>
      <c r="U325" s="146"/>
      <c r="V325" s="146"/>
      <c r="W325" s="146"/>
      <c r="X325" s="146"/>
      <c r="Y325" s="146"/>
      <c r="Z325" s="146"/>
      <c r="AA325" s="146"/>
      <c r="AB325" s="146"/>
      <c r="AC325" s="157"/>
      <c r="AD325" s="157"/>
      <c r="AE325" s="157"/>
      <c r="AF325" s="158">
        <f>SUM(AG325:AJ325)</f>
      </c>
      <c r="AG325" s="146"/>
      <c r="AH325" s="145"/>
      <c r="AI325" s="145"/>
      <c r="AJ325" s="145"/>
      <c r="AK325" s="158">
        <f>SUM(AL325:AW325)</f>
      </c>
      <c r="AL325" s="146"/>
      <c r="AM325" s="145"/>
      <c r="AN325" s="145"/>
      <c r="AO325" s="145"/>
      <c r="AP325" s="145"/>
      <c r="AQ325" s="145"/>
      <c r="AR325" s="145"/>
      <c r="AS325" s="145"/>
      <c r="AT325" s="145"/>
      <c r="AU325" s="145"/>
      <c r="AV325" s="145"/>
      <c r="AW325" s="158"/>
      <c r="AX325" s="145"/>
      <c r="AY325" s="145"/>
      <c r="AZ325" s="145"/>
      <c r="BA325" s="158"/>
      <c r="BB325" s="145"/>
      <c r="BC325" s="145"/>
      <c r="BD325" s="158"/>
      <c r="BE325" s="146"/>
      <c r="BF325" s="145"/>
      <c r="BG325" s="145"/>
      <c r="BH325" s="158">
        <f>SUM(BI325:BK325)</f>
      </c>
      <c r="BI325" s="145"/>
      <c r="BJ325" s="145"/>
      <c r="BK325" s="145"/>
      <c r="BL325" s="145">
        <f>SUM(BM325:BR325)</f>
      </c>
      <c r="BM325" s="145"/>
      <c r="BN325" s="145"/>
      <c r="BO325" s="158"/>
      <c r="BP325" s="145"/>
      <c r="BQ325" s="145"/>
      <c r="BR325" s="145"/>
      <c r="BS325" s="145"/>
      <c r="BT325" s="145"/>
      <c r="BU325" s="158"/>
      <c r="BV325" s="146"/>
      <c r="BW325" s="145"/>
      <c r="BX325" s="145"/>
      <c r="BY325" s="158">
        <f>SUM(BZ325:CB325)</f>
      </c>
      <c r="BZ325" s="146"/>
      <c r="CA325" s="145"/>
      <c r="CB325" s="145"/>
      <c r="CC325" s="145">
        <f>SUM(CD325:CH325)</f>
      </c>
      <c r="CD325" s="145"/>
      <c r="CE325" s="158"/>
      <c r="CF325" s="145"/>
      <c r="CG325" s="145"/>
      <c r="CH325" s="145"/>
      <c r="CI325" s="158"/>
      <c r="CJ325" s="145"/>
      <c r="CK325" s="145"/>
      <c r="CL325" s="145"/>
      <c r="CM325" s="145"/>
      <c r="CN325" s="145"/>
      <c r="CO325" s="145"/>
      <c r="CP325" s="145"/>
      <c r="CQ325" s="158"/>
      <c r="CR325" s="146"/>
      <c r="CS325" s="158"/>
      <c r="CT325" s="158"/>
      <c r="CU325" s="158">
        <f>SUM(CV325:CV325)</f>
      </c>
      <c r="CV325" s="146"/>
      <c r="CW325" s="145"/>
      <c r="CX325" s="145"/>
      <c r="CY325" s="145">
        <f>SUM(CZ325:DE325)</f>
      </c>
      <c r="CZ325" s="145"/>
      <c r="DA325" s="146"/>
      <c r="DB325" s="146"/>
      <c r="DC325" s="153"/>
      <c r="DD325" s="153"/>
      <c r="DE325" s="145"/>
      <c r="DF325" s="145"/>
      <c r="DG325" s="145"/>
      <c r="DH325" s="158"/>
      <c r="DI325" s="145"/>
      <c r="DJ325" s="158"/>
      <c r="DK325" s="145"/>
      <c r="DL325" s="158"/>
      <c r="DM325" s="145"/>
      <c r="DN325" s="145"/>
      <c r="DO325" s="145"/>
      <c r="DP325" s="158"/>
      <c r="DQ325" s="145"/>
      <c r="DR325" s="145"/>
      <c r="DS325" s="145"/>
      <c r="DT325" s="145"/>
      <c r="DU325" s="145">
        <f>SUM(DV325:EE325)</f>
      </c>
      <c r="DV325" s="145"/>
      <c r="DW325" s="145"/>
      <c r="DX325" s="145"/>
      <c r="DY325" s="145"/>
      <c r="DZ325" s="146"/>
      <c r="EA325" s="158"/>
      <c r="EB325" s="146"/>
      <c r="EC325" s="145"/>
      <c r="ED325" s="145"/>
      <c r="EE325" s="155"/>
      <c r="EF325" s="145">
        <f>SUM(EG325:EH325)</f>
      </c>
      <c r="EG325" s="145"/>
      <c r="EH325" s="146"/>
      <c r="EI325" s="159" cm="1">
        <f t="array" ref="EI325">ROW()-ROW(Run[#Headers])</f>
        <v>319</v>
      </c>
    </row>
    <row r="326" spans="2:139" s="79" customFormat="1" ht="11.25" x14ac:dyDescent="0.2">
      <c r="B326" s="146"/>
      <c r="C326" s="155"/>
      <c r="D326" s="145"/>
      <c r="E326" s="152">
        <f>SUM(F326:AE326)</f>
      </c>
      <c r="F326" s="146"/>
      <c r="G326" s="146"/>
      <c r="H326" s="146"/>
      <c r="I326" s="146"/>
      <c r="J326" s="146"/>
      <c r="K326" s="156"/>
      <c r="L326" s="146"/>
      <c r="M326" s="146"/>
      <c r="N326" s="146"/>
      <c r="O326" s="146"/>
      <c r="P326" s="156"/>
      <c r="Q326" s="146"/>
      <c r="R326" s="146"/>
      <c r="S326" s="146"/>
      <c r="T326" s="156"/>
      <c r="U326" s="146"/>
      <c r="V326" s="146"/>
      <c r="W326" s="146"/>
      <c r="X326" s="146"/>
      <c r="Y326" s="146"/>
      <c r="Z326" s="146"/>
      <c r="AA326" s="146"/>
      <c r="AB326" s="146"/>
      <c r="AC326" s="157"/>
      <c r="AD326" s="157"/>
      <c r="AE326" s="157"/>
      <c r="AF326" s="158">
        <f>SUM(AG326:AJ326)</f>
      </c>
      <c r="AG326" s="146"/>
      <c r="AH326" s="145"/>
      <c r="AI326" s="145"/>
      <c r="AJ326" s="145"/>
      <c r="AK326" s="158">
        <f>SUM(AL326:AW326)</f>
      </c>
      <c r="AL326" s="146"/>
      <c r="AM326" s="145"/>
      <c r="AN326" s="145"/>
      <c r="AO326" s="145"/>
      <c r="AP326" s="145"/>
      <c r="AQ326" s="145"/>
      <c r="AR326" s="145"/>
      <c r="AS326" s="145"/>
      <c r="AT326" s="145"/>
      <c r="AU326" s="145"/>
      <c r="AV326" s="145"/>
      <c r="AW326" s="158"/>
      <c r="AX326" s="145"/>
      <c r="AY326" s="145"/>
      <c r="AZ326" s="145"/>
      <c r="BA326" s="158"/>
      <c r="BB326" s="145"/>
      <c r="BC326" s="145"/>
      <c r="BD326" s="158"/>
      <c r="BE326" s="146"/>
      <c r="BF326" s="145"/>
      <c r="BG326" s="145"/>
      <c r="BH326" s="158">
        <f>SUM(BI326:BK326)</f>
      </c>
      <c r="BI326" s="145"/>
      <c r="BJ326" s="145"/>
      <c r="BK326" s="145"/>
      <c r="BL326" s="145">
        <f>SUM(BM326:BR326)</f>
      </c>
      <c r="BM326" s="145"/>
      <c r="BN326" s="145"/>
      <c r="BO326" s="158"/>
      <c r="BP326" s="145"/>
      <c r="BQ326" s="145"/>
      <c r="BR326" s="145"/>
      <c r="BS326" s="145"/>
      <c r="BT326" s="145"/>
      <c r="BU326" s="158"/>
      <c r="BV326" s="146"/>
      <c r="BW326" s="145"/>
      <c r="BX326" s="145"/>
      <c r="BY326" s="158">
        <f>SUM(BZ326:CB326)</f>
      </c>
      <c r="BZ326" s="146"/>
      <c r="CA326" s="145"/>
      <c r="CB326" s="145"/>
      <c r="CC326" s="145">
        <f>SUM(CD326:CH326)</f>
      </c>
      <c r="CD326" s="145"/>
      <c r="CE326" s="158"/>
      <c r="CF326" s="145"/>
      <c r="CG326" s="145"/>
      <c r="CH326" s="145"/>
      <c r="CI326" s="158"/>
      <c r="CJ326" s="145"/>
      <c r="CK326" s="145"/>
      <c r="CL326" s="145"/>
      <c r="CM326" s="145"/>
      <c r="CN326" s="145"/>
      <c r="CO326" s="145"/>
      <c r="CP326" s="145"/>
      <c r="CQ326" s="158"/>
      <c r="CR326" s="146"/>
      <c r="CS326" s="158"/>
      <c r="CT326" s="158"/>
      <c r="CU326" s="158">
        <f>SUM(CV326:CV326)</f>
      </c>
      <c r="CV326" s="146"/>
      <c r="CW326" s="145"/>
      <c r="CX326" s="145"/>
      <c r="CY326" s="145">
        <f>SUM(CZ326:DE326)</f>
      </c>
      <c r="CZ326" s="145"/>
      <c r="DA326" s="146"/>
      <c r="DB326" s="146"/>
      <c r="DC326" s="153"/>
      <c r="DD326" s="153"/>
      <c r="DE326" s="145"/>
      <c r="DF326" s="145"/>
      <c r="DG326" s="145"/>
      <c r="DH326" s="158"/>
      <c r="DI326" s="145"/>
      <c r="DJ326" s="158"/>
      <c r="DK326" s="145"/>
      <c r="DL326" s="158"/>
      <c r="DM326" s="145"/>
      <c r="DN326" s="145"/>
      <c r="DO326" s="145"/>
      <c r="DP326" s="158"/>
      <c r="DQ326" s="145"/>
      <c r="DR326" s="145"/>
      <c r="DS326" s="145"/>
      <c r="DT326" s="145"/>
      <c r="DU326" s="145">
        <f>SUM(DV326:EE326)</f>
      </c>
      <c r="DV326" s="145"/>
      <c r="DW326" s="145"/>
      <c r="DX326" s="145"/>
      <c r="DY326" s="145"/>
      <c r="DZ326" s="146"/>
      <c r="EA326" s="158"/>
      <c r="EB326" s="146"/>
      <c r="EC326" s="145"/>
      <c r="ED326" s="145"/>
      <c r="EE326" s="155"/>
      <c r="EF326" s="145">
        <f>SUM(EG326:EH326)</f>
      </c>
      <c r="EG326" s="145"/>
      <c r="EH326" s="146"/>
      <c r="EI326" s="159" cm="1">
        <f t="array" ref="EI326">ROW()-ROW(Run[#Headers])</f>
        <v>320</v>
      </c>
    </row>
    <row r="327" spans="2:139" s="79" customFormat="1" ht="11.25" x14ac:dyDescent="0.2">
      <c r="B327" s="146"/>
      <c r="C327" s="155"/>
      <c r="D327" s="145"/>
      <c r="E327" s="152">
        <f>SUM(F327:AE327)</f>
      </c>
      <c r="F327" s="146"/>
      <c r="G327" s="146"/>
      <c r="H327" s="146"/>
      <c r="I327" s="146"/>
      <c r="J327" s="146"/>
      <c r="K327" s="156"/>
      <c r="L327" s="146"/>
      <c r="M327" s="146"/>
      <c r="N327" s="146"/>
      <c r="O327" s="146"/>
      <c r="P327" s="156"/>
      <c r="Q327" s="146"/>
      <c r="R327" s="146"/>
      <c r="S327" s="146"/>
      <c r="T327" s="156"/>
      <c r="U327" s="146"/>
      <c r="V327" s="146"/>
      <c r="W327" s="146"/>
      <c r="X327" s="146"/>
      <c r="Y327" s="146"/>
      <c r="Z327" s="146"/>
      <c r="AA327" s="146"/>
      <c r="AB327" s="146"/>
      <c r="AC327" s="157"/>
      <c r="AD327" s="157"/>
      <c r="AE327" s="157"/>
      <c r="AF327" s="158">
        <f>SUM(AG327:AJ327)</f>
      </c>
      <c r="AG327" s="146"/>
      <c r="AH327" s="145"/>
      <c r="AI327" s="145"/>
      <c r="AJ327" s="145"/>
      <c r="AK327" s="158">
        <f>SUM(AL327:AW327)</f>
      </c>
      <c r="AL327" s="146"/>
      <c r="AM327" s="145"/>
      <c r="AN327" s="145"/>
      <c r="AO327" s="145"/>
      <c r="AP327" s="145"/>
      <c r="AQ327" s="145"/>
      <c r="AR327" s="145"/>
      <c r="AS327" s="145"/>
      <c r="AT327" s="145"/>
      <c r="AU327" s="145"/>
      <c r="AV327" s="145"/>
      <c r="AW327" s="158"/>
      <c r="AX327" s="145"/>
      <c r="AY327" s="145"/>
      <c r="AZ327" s="145"/>
      <c r="BA327" s="158"/>
      <c r="BB327" s="145"/>
      <c r="BC327" s="145"/>
      <c r="BD327" s="158"/>
      <c r="BE327" s="146"/>
      <c r="BF327" s="145"/>
      <c r="BG327" s="145"/>
      <c r="BH327" s="158">
        <f>SUM(BI327:BK327)</f>
      </c>
      <c r="BI327" s="145"/>
      <c r="BJ327" s="145"/>
      <c r="BK327" s="145"/>
      <c r="BL327" s="145">
        <f>SUM(BM327:BR327)</f>
      </c>
      <c r="BM327" s="145"/>
      <c r="BN327" s="145"/>
      <c r="BO327" s="158"/>
      <c r="BP327" s="145"/>
      <c r="BQ327" s="145"/>
      <c r="BR327" s="145"/>
      <c r="BS327" s="145"/>
      <c r="BT327" s="145"/>
      <c r="BU327" s="158"/>
      <c r="BV327" s="146"/>
      <c r="BW327" s="145"/>
      <c r="BX327" s="145"/>
      <c r="BY327" s="158">
        <f>SUM(BZ327:CB327)</f>
      </c>
      <c r="BZ327" s="146"/>
      <c r="CA327" s="145"/>
      <c r="CB327" s="145"/>
      <c r="CC327" s="145">
        <f>SUM(CD327:CH327)</f>
      </c>
      <c r="CD327" s="145"/>
      <c r="CE327" s="158"/>
      <c r="CF327" s="145"/>
      <c r="CG327" s="145"/>
      <c r="CH327" s="145"/>
      <c r="CI327" s="158"/>
      <c r="CJ327" s="145"/>
      <c r="CK327" s="145"/>
      <c r="CL327" s="145"/>
      <c r="CM327" s="145"/>
      <c r="CN327" s="145"/>
      <c r="CO327" s="145"/>
      <c r="CP327" s="145"/>
      <c r="CQ327" s="158"/>
      <c r="CR327" s="146"/>
      <c r="CS327" s="158"/>
      <c r="CT327" s="158"/>
      <c r="CU327" s="158">
        <f>SUM(CV327:CV327)</f>
      </c>
      <c r="CV327" s="146"/>
      <c r="CW327" s="145"/>
      <c r="CX327" s="145"/>
      <c r="CY327" s="145">
        <f>SUM(CZ327:DE327)</f>
      </c>
      <c r="CZ327" s="145"/>
      <c r="DA327" s="146"/>
      <c r="DB327" s="146"/>
      <c r="DC327" s="153"/>
      <c r="DD327" s="153"/>
      <c r="DE327" s="145"/>
      <c r="DF327" s="145"/>
      <c r="DG327" s="145"/>
      <c r="DH327" s="158"/>
      <c r="DI327" s="145"/>
      <c r="DJ327" s="158"/>
      <c r="DK327" s="145"/>
      <c r="DL327" s="158"/>
      <c r="DM327" s="145"/>
      <c r="DN327" s="145"/>
      <c r="DO327" s="145"/>
      <c r="DP327" s="158"/>
      <c r="DQ327" s="145"/>
      <c r="DR327" s="145"/>
      <c r="DS327" s="145"/>
      <c r="DT327" s="145"/>
      <c r="DU327" s="145">
        <f>SUM(DV327:EE327)</f>
      </c>
      <c r="DV327" s="145"/>
      <c r="DW327" s="145"/>
      <c r="DX327" s="145"/>
      <c r="DY327" s="145"/>
      <c r="DZ327" s="146"/>
      <c r="EA327" s="158"/>
      <c r="EB327" s="146"/>
      <c r="EC327" s="145"/>
      <c r="ED327" s="145"/>
      <c r="EE327" s="155"/>
      <c r="EF327" s="145">
        <f>SUM(EG327:EH327)</f>
      </c>
      <c r="EG327" s="145"/>
      <c r="EH327" s="146"/>
      <c r="EI327" s="159" cm="1">
        <f t="array" ref="EI327">ROW()-ROW(Run[#Headers])</f>
        <v>321</v>
      </c>
    </row>
    <row r="328" spans="2:139" s="79" customFormat="1" ht="11.25" x14ac:dyDescent="0.2">
      <c r="B328" s="146"/>
      <c r="C328" s="155"/>
      <c r="D328" s="145"/>
      <c r="E328" s="152">
        <f>SUM(F328:AE328)</f>
      </c>
      <c r="F328" s="146"/>
      <c r="G328" s="146"/>
      <c r="H328" s="146"/>
      <c r="I328" s="146"/>
      <c r="J328" s="146"/>
      <c r="K328" s="156"/>
      <c r="L328" s="146"/>
      <c r="M328" s="146"/>
      <c r="N328" s="146"/>
      <c r="O328" s="146"/>
      <c r="P328" s="156"/>
      <c r="Q328" s="146"/>
      <c r="R328" s="146"/>
      <c r="S328" s="146"/>
      <c r="T328" s="156"/>
      <c r="U328" s="146"/>
      <c r="V328" s="146"/>
      <c r="W328" s="146"/>
      <c r="X328" s="146"/>
      <c r="Y328" s="146"/>
      <c r="Z328" s="146"/>
      <c r="AA328" s="146"/>
      <c r="AB328" s="146"/>
      <c r="AC328" s="157"/>
      <c r="AD328" s="157"/>
      <c r="AE328" s="157"/>
      <c r="AF328" s="158">
        <f>SUM(AG328:AJ328)</f>
      </c>
      <c r="AG328" s="146"/>
      <c r="AH328" s="145"/>
      <c r="AI328" s="145"/>
      <c r="AJ328" s="145"/>
      <c r="AK328" s="158">
        <f>SUM(AL328:AW328)</f>
      </c>
      <c r="AL328" s="146"/>
      <c r="AM328" s="145"/>
      <c r="AN328" s="145"/>
      <c r="AO328" s="145"/>
      <c r="AP328" s="145"/>
      <c r="AQ328" s="145"/>
      <c r="AR328" s="145"/>
      <c r="AS328" s="145"/>
      <c r="AT328" s="145"/>
      <c r="AU328" s="145"/>
      <c r="AV328" s="145"/>
      <c r="AW328" s="158"/>
      <c r="AX328" s="145"/>
      <c r="AY328" s="145"/>
      <c r="AZ328" s="145"/>
      <c r="BA328" s="158"/>
      <c r="BB328" s="145"/>
      <c r="BC328" s="145"/>
      <c r="BD328" s="158"/>
      <c r="BE328" s="146"/>
      <c r="BF328" s="145"/>
      <c r="BG328" s="145"/>
      <c r="BH328" s="158">
        <f>SUM(BI328:BK328)</f>
      </c>
      <c r="BI328" s="145"/>
      <c r="BJ328" s="145"/>
      <c r="BK328" s="145"/>
      <c r="BL328" s="145">
        <f>SUM(BM328:BR328)</f>
      </c>
      <c r="BM328" s="145"/>
      <c r="BN328" s="145"/>
      <c r="BO328" s="158"/>
      <c r="BP328" s="145"/>
      <c r="BQ328" s="145"/>
      <c r="BR328" s="145"/>
      <c r="BS328" s="145"/>
      <c r="BT328" s="145"/>
      <c r="BU328" s="158"/>
      <c r="BV328" s="146"/>
      <c r="BW328" s="145"/>
      <c r="BX328" s="145"/>
      <c r="BY328" s="158">
        <f>SUM(BZ328:CB328)</f>
      </c>
      <c r="BZ328" s="146"/>
      <c r="CA328" s="145"/>
      <c r="CB328" s="145"/>
      <c r="CC328" s="145">
        <f>SUM(CD328:CH328)</f>
      </c>
      <c r="CD328" s="145"/>
      <c r="CE328" s="158"/>
      <c r="CF328" s="145"/>
      <c r="CG328" s="145"/>
      <c r="CH328" s="145"/>
      <c r="CI328" s="158"/>
      <c r="CJ328" s="145"/>
      <c r="CK328" s="145"/>
      <c r="CL328" s="145"/>
      <c r="CM328" s="145"/>
      <c r="CN328" s="145"/>
      <c r="CO328" s="145"/>
      <c r="CP328" s="145"/>
      <c r="CQ328" s="158"/>
      <c r="CR328" s="146"/>
      <c r="CS328" s="158"/>
      <c r="CT328" s="158"/>
      <c r="CU328" s="158">
        <f>SUM(CV328:CV328)</f>
      </c>
      <c r="CV328" s="146"/>
      <c r="CW328" s="145"/>
      <c r="CX328" s="145"/>
      <c r="CY328" s="145">
        <f>SUM(CZ328:DE328)</f>
      </c>
      <c r="CZ328" s="145"/>
      <c r="DA328" s="146"/>
      <c r="DB328" s="146"/>
      <c r="DC328" s="153"/>
      <c r="DD328" s="153"/>
      <c r="DE328" s="145"/>
      <c r="DF328" s="145"/>
      <c r="DG328" s="145"/>
      <c r="DH328" s="158"/>
      <c r="DI328" s="145"/>
      <c r="DJ328" s="158"/>
      <c r="DK328" s="145"/>
      <c r="DL328" s="158"/>
      <c r="DM328" s="145"/>
      <c r="DN328" s="145"/>
      <c r="DO328" s="145"/>
      <c r="DP328" s="158"/>
      <c r="DQ328" s="145"/>
      <c r="DR328" s="145"/>
      <c r="DS328" s="145"/>
      <c r="DT328" s="145"/>
      <c r="DU328" s="145">
        <f>SUM(DV328:EE328)</f>
      </c>
      <c r="DV328" s="145"/>
      <c r="DW328" s="145"/>
      <c r="DX328" s="145"/>
      <c r="DY328" s="145"/>
      <c r="DZ328" s="146"/>
      <c r="EA328" s="158"/>
      <c r="EB328" s="146"/>
      <c r="EC328" s="145"/>
      <c r="ED328" s="145"/>
      <c r="EE328" s="155"/>
      <c r="EF328" s="145">
        <f>SUM(EG328:EH328)</f>
      </c>
      <c r="EG328" s="145"/>
      <c r="EH328" s="146"/>
      <c r="EI328" s="159" cm="1">
        <f t="array" ref="EI328">ROW()-ROW(Run[#Headers])</f>
        <v>322</v>
      </c>
    </row>
    <row r="329" spans="2:139" s="79" customFormat="1" ht="11.25" x14ac:dyDescent="0.2">
      <c r="B329" s="146"/>
      <c r="C329" s="155"/>
      <c r="D329" s="145"/>
      <c r="E329" s="152">
        <f>SUM(F329:AE329)</f>
      </c>
      <c r="F329" s="146"/>
      <c r="G329" s="146"/>
      <c r="H329" s="146"/>
      <c r="I329" s="146"/>
      <c r="J329" s="146"/>
      <c r="K329" s="156"/>
      <c r="L329" s="146"/>
      <c r="M329" s="146"/>
      <c r="N329" s="146"/>
      <c r="O329" s="146"/>
      <c r="P329" s="156"/>
      <c r="Q329" s="146"/>
      <c r="R329" s="146"/>
      <c r="S329" s="146"/>
      <c r="T329" s="156"/>
      <c r="U329" s="146"/>
      <c r="V329" s="146"/>
      <c r="W329" s="146"/>
      <c r="X329" s="146"/>
      <c r="Y329" s="146"/>
      <c r="Z329" s="146"/>
      <c r="AA329" s="146"/>
      <c r="AB329" s="146"/>
      <c r="AC329" s="157"/>
      <c r="AD329" s="157"/>
      <c r="AE329" s="157"/>
      <c r="AF329" s="158">
        <f>SUM(AG329:AJ329)</f>
      </c>
      <c r="AG329" s="146"/>
      <c r="AH329" s="145"/>
      <c r="AI329" s="145"/>
      <c r="AJ329" s="145"/>
      <c r="AK329" s="158">
        <f>SUM(AL329:AW329)</f>
      </c>
      <c r="AL329" s="146"/>
      <c r="AM329" s="145"/>
      <c r="AN329" s="145"/>
      <c r="AO329" s="145"/>
      <c r="AP329" s="145"/>
      <c r="AQ329" s="145"/>
      <c r="AR329" s="145"/>
      <c r="AS329" s="145"/>
      <c r="AT329" s="145"/>
      <c r="AU329" s="145"/>
      <c r="AV329" s="145"/>
      <c r="AW329" s="158"/>
      <c r="AX329" s="145"/>
      <c r="AY329" s="145"/>
      <c r="AZ329" s="145"/>
      <c r="BA329" s="158"/>
      <c r="BB329" s="145"/>
      <c r="BC329" s="145"/>
      <c r="BD329" s="158"/>
      <c r="BE329" s="146"/>
      <c r="BF329" s="145"/>
      <c r="BG329" s="145"/>
      <c r="BH329" s="158">
        <f>SUM(BI329:BK329)</f>
      </c>
      <c r="BI329" s="145"/>
      <c r="BJ329" s="145"/>
      <c r="BK329" s="145"/>
      <c r="BL329" s="145">
        <f>SUM(BM329:BR329)</f>
      </c>
      <c r="BM329" s="145"/>
      <c r="BN329" s="145"/>
      <c r="BO329" s="158"/>
      <c r="BP329" s="145"/>
      <c r="BQ329" s="145"/>
      <c r="BR329" s="145"/>
      <c r="BS329" s="145"/>
      <c r="BT329" s="145"/>
      <c r="BU329" s="158"/>
      <c r="BV329" s="146"/>
      <c r="BW329" s="145"/>
      <c r="BX329" s="145"/>
      <c r="BY329" s="158">
        <f>SUM(BZ329:CB329)</f>
      </c>
      <c r="BZ329" s="146"/>
      <c r="CA329" s="145"/>
      <c r="CB329" s="145"/>
      <c r="CC329" s="145">
        <f>SUM(CD329:CH329)</f>
      </c>
      <c r="CD329" s="145"/>
      <c r="CE329" s="158"/>
      <c r="CF329" s="145"/>
      <c r="CG329" s="145"/>
      <c r="CH329" s="145"/>
      <c r="CI329" s="158"/>
      <c r="CJ329" s="145"/>
      <c r="CK329" s="145"/>
      <c r="CL329" s="145"/>
      <c r="CM329" s="145"/>
      <c r="CN329" s="145"/>
      <c r="CO329" s="145"/>
      <c r="CP329" s="145"/>
      <c r="CQ329" s="158"/>
      <c r="CR329" s="146"/>
      <c r="CS329" s="158"/>
      <c r="CT329" s="158"/>
      <c r="CU329" s="158">
        <f>SUM(CV329:CV329)</f>
      </c>
      <c r="CV329" s="146"/>
      <c r="CW329" s="145"/>
      <c r="CX329" s="145"/>
      <c r="CY329" s="145">
        <f>SUM(CZ329:DE329)</f>
      </c>
      <c r="CZ329" s="145"/>
      <c r="DA329" s="146"/>
      <c r="DB329" s="146"/>
      <c r="DC329" s="153"/>
      <c r="DD329" s="153"/>
      <c r="DE329" s="145"/>
      <c r="DF329" s="145"/>
      <c r="DG329" s="145"/>
      <c r="DH329" s="158"/>
      <c r="DI329" s="145"/>
      <c r="DJ329" s="158"/>
      <c r="DK329" s="145"/>
      <c r="DL329" s="158"/>
      <c r="DM329" s="145"/>
      <c r="DN329" s="145"/>
      <c r="DO329" s="145"/>
      <c r="DP329" s="158"/>
      <c r="DQ329" s="145"/>
      <c r="DR329" s="145"/>
      <c r="DS329" s="145"/>
      <c r="DT329" s="145"/>
      <c r="DU329" s="145">
        <f>SUM(DV329:EE329)</f>
      </c>
      <c r="DV329" s="145"/>
      <c r="DW329" s="145"/>
      <c r="DX329" s="145"/>
      <c r="DY329" s="145"/>
      <c r="DZ329" s="146"/>
      <c r="EA329" s="158"/>
      <c r="EB329" s="146"/>
      <c r="EC329" s="145"/>
      <c r="ED329" s="145"/>
      <c r="EE329" s="155"/>
      <c r="EF329" s="145">
        <f>SUM(EG329:EH329)</f>
      </c>
      <c r="EG329" s="145"/>
      <c r="EH329" s="146"/>
      <c r="EI329" s="159" cm="1">
        <f t="array" ref="EI329">ROW()-ROW(Run[#Headers])</f>
        <v>323</v>
      </c>
    </row>
    <row r="330" spans="2:139" s="79" customFormat="1" ht="11.25" x14ac:dyDescent="0.2">
      <c r="B330" s="146"/>
      <c r="C330" s="155"/>
      <c r="D330" s="145"/>
      <c r="E330" s="152">
        <f>SUM(F330:AE330)</f>
      </c>
      <c r="F330" s="146"/>
      <c r="G330" s="146"/>
      <c r="H330" s="146"/>
      <c r="I330" s="146"/>
      <c r="J330" s="146"/>
      <c r="K330" s="156"/>
      <c r="L330" s="146"/>
      <c r="M330" s="146"/>
      <c r="N330" s="146"/>
      <c r="O330" s="146"/>
      <c r="P330" s="156"/>
      <c r="Q330" s="146"/>
      <c r="R330" s="146"/>
      <c r="S330" s="146"/>
      <c r="T330" s="156"/>
      <c r="U330" s="146"/>
      <c r="V330" s="146"/>
      <c r="W330" s="146"/>
      <c r="X330" s="146"/>
      <c r="Y330" s="146"/>
      <c r="Z330" s="146"/>
      <c r="AA330" s="146"/>
      <c r="AB330" s="146"/>
      <c r="AC330" s="157"/>
      <c r="AD330" s="157"/>
      <c r="AE330" s="157"/>
      <c r="AF330" s="158">
        <f>SUM(AG330:AJ330)</f>
      </c>
      <c r="AG330" s="146"/>
      <c r="AH330" s="145"/>
      <c r="AI330" s="145"/>
      <c r="AJ330" s="145"/>
      <c r="AK330" s="158">
        <f>SUM(AL330:AW330)</f>
      </c>
      <c r="AL330" s="146"/>
      <c r="AM330" s="145"/>
      <c r="AN330" s="145"/>
      <c r="AO330" s="145"/>
      <c r="AP330" s="145"/>
      <c r="AQ330" s="145"/>
      <c r="AR330" s="145"/>
      <c r="AS330" s="145"/>
      <c r="AT330" s="145"/>
      <c r="AU330" s="145"/>
      <c r="AV330" s="145"/>
      <c r="AW330" s="158"/>
      <c r="AX330" s="145"/>
      <c r="AY330" s="145"/>
      <c r="AZ330" s="145"/>
      <c r="BA330" s="158"/>
      <c r="BB330" s="145"/>
      <c r="BC330" s="145"/>
      <c r="BD330" s="158"/>
      <c r="BE330" s="146"/>
      <c r="BF330" s="145"/>
      <c r="BG330" s="145"/>
      <c r="BH330" s="158">
        <f>SUM(BI330:BK330)</f>
      </c>
      <c r="BI330" s="145"/>
      <c r="BJ330" s="145"/>
      <c r="BK330" s="145"/>
      <c r="BL330" s="145">
        <f>SUM(BM330:BR330)</f>
      </c>
      <c r="BM330" s="145"/>
      <c r="BN330" s="145"/>
      <c r="BO330" s="158"/>
      <c r="BP330" s="145"/>
      <c r="BQ330" s="145"/>
      <c r="BR330" s="145"/>
      <c r="BS330" s="145"/>
      <c r="BT330" s="145"/>
      <c r="BU330" s="158"/>
      <c r="BV330" s="146"/>
      <c r="BW330" s="145"/>
      <c r="BX330" s="145"/>
      <c r="BY330" s="158">
        <f>SUM(BZ330:CB330)</f>
      </c>
      <c r="BZ330" s="146"/>
      <c r="CA330" s="145"/>
      <c r="CB330" s="145"/>
      <c r="CC330" s="145">
        <f>SUM(CD330:CH330)</f>
      </c>
      <c r="CD330" s="145"/>
      <c r="CE330" s="158"/>
      <c r="CF330" s="145"/>
      <c r="CG330" s="145"/>
      <c r="CH330" s="145"/>
      <c r="CI330" s="158"/>
      <c r="CJ330" s="145"/>
      <c r="CK330" s="145"/>
      <c r="CL330" s="145"/>
      <c r="CM330" s="145"/>
      <c r="CN330" s="145"/>
      <c r="CO330" s="145"/>
      <c r="CP330" s="145"/>
      <c r="CQ330" s="158"/>
      <c r="CR330" s="146"/>
      <c r="CS330" s="158"/>
      <c r="CT330" s="158"/>
      <c r="CU330" s="158">
        <f>SUM(CV330:CV330)</f>
      </c>
      <c r="CV330" s="146"/>
      <c r="CW330" s="145"/>
      <c r="CX330" s="145"/>
      <c r="CY330" s="145">
        <f>SUM(CZ330:DE330)</f>
      </c>
      <c r="CZ330" s="145"/>
      <c r="DA330" s="146"/>
      <c r="DB330" s="146"/>
      <c r="DC330" s="153"/>
      <c r="DD330" s="153"/>
      <c r="DE330" s="145"/>
      <c r="DF330" s="145"/>
      <c r="DG330" s="145"/>
      <c r="DH330" s="158"/>
      <c r="DI330" s="145"/>
      <c r="DJ330" s="158"/>
      <c r="DK330" s="145"/>
      <c r="DL330" s="158"/>
      <c r="DM330" s="145"/>
      <c r="DN330" s="145"/>
      <c r="DO330" s="145"/>
      <c r="DP330" s="158"/>
      <c r="DQ330" s="145"/>
      <c r="DR330" s="145"/>
      <c r="DS330" s="145"/>
      <c r="DT330" s="145"/>
      <c r="DU330" s="145">
        <f>SUM(DV330:EE330)</f>
      </c>
      <c r="DV330" s="145"/>
      <c r="DW330" s="145"/>
      <c r="DX330" s="145"/>
      <c r="DY330" s="145"/>
      <c r="DZ330" s="146"/>
      <c r="EA330" s="158"/>
      <c r="EB330" s="146"/>
      <c r="EC330" s="145"/>
      <c r="ED330" s="145"/>
      <c r="EE330" s="155"/>
      <c r="EF330" s="145">
        <f>SUM(EG330:EH330)</f>
      </c>
      <c r="EG330" s="145"/>
      <c r="EH330" s="146"/>
      <c r="EI330" s="159" cm="1">
        <f t="array" ref="EI330">ROW()-ROW(Run[#Headers])</f>
        <v>324</v>
      </c>
    </row>
    <row r="331" spans="2:139" s="79" customFormat="1" ht="11.25" x14ac:dyDescent="0.2">
      <c r="B331" s="146"/>
      <c r="C331" s="155"/>
      <c r="D331" s="145"/>
      <c r="E331" s="152">
        <f>SUM(F331:AE331)</f>
      </c>
      <c r="F331" s="146"/>
      <c r="G331" s="146"/>
      <c r="H331" s="146"/>
      <c r="I331" s="146"/>
      <c r="J331" s="146"/>
      <c r="K331" s="156"/>
      <c r="L331" s="146"/>
      <c r="M331" s="146"/>
      <c r="N331" s="146"/>
      <c r="O331" s="146"/>
      <c r="P331" s="156"/>
      <c r="Q331" s="146"/>
      <c r="R331" s="146"/>
      <c r="S331" s="146"/>
      <c r="T331" s="156"/>
      <c r="U331" s="146"/>
      <c r="V331" s="146"/>
      <c r="W331" s="146"/>
      <c r="X331" s="146"/>
      <c r="Y331" s="146"/>
      <c r="Z331" s="146"/>
      <c r="AA331" s="146"/>
      <c r="AB331" s="146"/>
      <c r="AC331" s="157"/>
      <c r="AD331" s="157"/>
      <c r="AE331" s="157"/>
      <c r="AF331" s="158">
        <f>SUM(AG331:AJ331)</f>
      </c>
      <c r="AG331" s="146"/>
      <c r="AH331" s="145"/>
      <c r="AI331" s="145"/>
      <c r="AJ331" s="145"/>
      <c r="AK331" s="158">
        <f>SUM(AL331:AW331)</f>
      </c>
      <c r="AL331" s="146"/>
      <c r="AM331" s="145"/>
      <c r="AN331" s="145"/>
      <c r="AO331" s="145"/>
      <c r="AP331" s="145"/>
      <c r="AQ331" s="145"/>
      <c r="AR331" s="145"/>
      <c r="AS331" s="145"/>
      <c r="AT331" s="145"/>
      <c r="AU331" s="145"/>
      <c r="AV331" s="145"/>
      <c r="AW331" s="158"/>
      <c r="AX331" s="145"/>
      <c r="AY331" s="145"/>
      <c r="AZ331" s="145"/>
      <c r="BA331" s="158"/>
      <c r="BB331" s="145"/>
      <c r="BC331" s="145"/>
      <c r="BD331" s="158"/>
      <c r="BE331" s="146"/>
      <c r="BF331" s="145"/>
      <c r="BG331" s="145"/>
      <c r="BH331" s="158">
        <f>SUM(BI331:BK331)</f>
      </c>
      <c r="BI331" s="145"/>
      <c r="BJ331" s="145"/>
      <c r="BK331" s="145"/>
      <c r="BL331" s="145">
        <f>SUM(BM331:BR331)</f>
      </c>
      <c r="BM331" s="145"/>
      <c r="BN331" s="145"/>
      <c r="BO331" s="158"/>
      <c r="BP331" s="145"/>
      <c r="BQ331" s="145"/>
      <c r="BR331" s="145"/>
      <c r="BS331" s="145"/>
      <c r="BT331" s="145"/>
      <c r="BU331" s="158"/>
      <c r="BV331" s="146"/>
      <c r="BW331" s="145"/>
      <c r="BX331" s="145"/>
      <c r="BY331" s="158">
        <f>SUM(BZ331:CB331)</f>
      </c>
      <c r="BZ331" s="146"/>
      <c r="CA331" s="145"/>
      <c r="CB331" s="145"/>
      <c r="CC331" s="145">
        <f>SUM(CD331:CH331)</f>
      </c>
      <c r="CD331" s="145"/>
      <c r="CE331" s="158"/>
      <c r="CF331" s="145"/>
      <c r="CG331" s="145"/>
      <c r="CH331" s="145"/>
      <c r="CI331" s="158"/>
      <c r="CJ331" s="145"/>
      <c r="CK331" s="145"/>
      <c r="CL331" s="145"/>
      <c r="CM331" s="145"/>
      <c r="CN331" s="145"/>
      <c r="CO331" s="145"/>
      <c r="CP331" s="145"/>
      <c r="CQ331" s="158"/>
      <c r="CR331" s="146"/>
      <c r="CS331" s="158"/>
      <c r="CT331" s="158"/>
      <c r="CU331" s="158">
        <f>SUM(CV331:CV331)</f>
      </c>
      <c r="CV331" s="146"/>
      <c r="CW331" s="145"/>
      <c r="CX331" s="145"/>
      <c r="CY331" s="145">
        <f>SUM(CZ331:DE331)</f>
      </c>
      <c r="CZ331" s="145"/>
      <c r="DA331" s="146"/>
      <c r="DB331" s="146"/>
      <c r="DC331" s="153"/>
      <c r="DD331" s="153"/>
      <c r="DE331" s="145"/>
      <c r="DF331" s="145"/>
      <c r="DG331" s="145"/>
      <c r="DH331" s="158"/>
      <c r="DI331" s="145"/>
      <c r="DJ331" s="158"/>
      <c r="DK331" s="145"/>
      <c r="DL331" s="158"/>
      <c r="DM331" s="145"/>
      <c r="DN331" s="145"/>
      <c r="DO331" s="145"/>
      <c r="DP331" s="158"/>
      <c r="DQ331" s="145"/>
      <c r="DR331" s="145"/>
      <c r="DS331" s="145"/>
      <c r="DT331" s="145"/>
      <c r="DU331" s="145">
        <f>SUM(DV331:EE331)</f>
      </c>
      <c r="DV331" s="145"/>
      <c r="DW331" s="145"/>
      <c r="DX331" s="145"/>
      <c r="DY331" s="145"/>
      <c r="DZ331" s="146"/>
      <c r="EA331" s="158"/>
      <c r="EB331" s="146"/>
      <c r="EC331" s="145"/>
      <c r="ED331" s="145"/>
      <c r="EE331" s="155"/>
      <c r="EF331" s="145">
        <f>SUM(EG331:EH331)</f>
      </c>
      <c r="EG331" s="145"/>
      <c r="EH331" s="146"/>
      <c r="EI331" s="159" cm="1">
        <f t="array" ref="EI331">ROW()-ROW(Run[#Headers])</f>
        <v>325</v>
      </c>
    </row>
    <row r="332" spans="2:139" s="79" customFormat="1" ht="11.25" x14ac:dyDescent="0.2">
      <c r="B332" s="146"/>
      <c r="C332" s="155"/>
      <c r="D332" s="145"/>
      <c r="E332" s="152">
        <f>SUM(F332:AE332)</f>
      </c>
      <c r="F332" s="146"/>
      <c r="G332" s="146"/>
      <c r="H332" s="146"/>
      <c r="I332" s="146"/>
      <c r="J332" s="146"/>
      <c r="K332" s="156"/>
      <c r="L332" s="146"/>
      <c r="M332" s="146"/>
      <c r="N332" s="146"/>
      <c r="O332" s="146"/>
      <c r="P332" s="156"/>
      <c r="Q332" s="146"/>
      <c r="R332" s="146"/>
      <c r="S332" s="146"/>
      <c r="T332" s="156"/>
      <c r="U332" s="146"/>
      <c r="V332" s="146"/>
      <c r="W332" s="146"/>
      <c r="X332" s="146"/>
      <c r="Y332" s="146"/>
      <c r="Z332" s="146"/>
      <c r="AA332" s="146"/>
      <c r="AB332" s="146"/>
      <c r="AC332" s="157"/>
      <c r="AD332" s="157"/>
      <c r="AE332" s="157"/>
      <c r="AF332" s="158">
        <f>SUM(AG332:AJ332)</f>
      </c>
      <c r="AG332" s="146"/>
      <c r="AH332" s="145"/>
      <c r="AI332" s="145"/>
      <c r="AJ332" s="145"/>
      <c r="AK332" s="158">
        <f>SUM(AL332:AW332)</f>
      </c>
      <c r="AL332" s="146"/>
      <c r="AM332" s="145"/>
      <c r="AN332" s="145"/>
      <c r="AO332" s="145"/>
      <c r="AP332" s="145"/>
      <c r="AQ332" s="145"/>
      <c r="AR332" s="145"/>
      <c r="AS332" s="145"/>
      <c r="AT332" s="145"/>
      <c r="AU332" s="145"/>
      <c r="AV332" s="145"/>
      <c r="AW332" s="158"/>
      <c r="AX332" s="145"/>
      <c r="AY332" s="145"/>
      <c r="AZ332" s="145"/>
      <c r="BA332" s="158"/>
      <c r="BB332" s="145"/>
      <c r="BC332" s="145"/>
      <c r="BD332" s="158"/>
      <c r="BE332" s="146"/>
      <c r="BF332" s="145"/>
      <c r="BG332" s="145"/>
      <c r="BH332" s="158">
        <f>SUM(BI332:BK332)</f>
      </c>
      <c r="BI332" s="145"/>
      <c r="BJ332" s="145"/>
      <c r="BK332" s="145"/>
      <c r="BL332" s="145">
        <f>SUM(BM332:BR332)</f>
      </c>
      <c r="BM332" s="145"/>
      <c r="BN332" s="145"/>
      <c r="BO332" s="158"/>
      <c r="BP332" s="145"/>
      <c r="BQ332" s="145"/>
      <c r="BR332" s="145"/>
      <c r="BS332" s="145"/>
      <c r="BT332" s="145"/>
      <c r="BU332" s="158"/>
      <c r="BV332" s="146"/>
      <c r="BW332" s="145"/>
      <c r="BX332" s="145"/>
      <c r="BY332" s="158">
        <f>SUM(BZ332:CB332)</f>
      </c>
      <c r="BZ332" s="146"/>
      <c r="CA332" s="145"/>
      <c r="CB332" s="145"/>
      <c r="CC332" s="145">
        <f>SUM(CD332:CH332)</f>
      </c>
      <c r="CD332" s="145"/>
      <c r="CE332" s="158"/>
      <c r="CF332" s="145"/>
      <c r="CG332" s="145"/>
      <c r="CH332" s="145"/>
      <c r="CI332" s="158"/>
      <c r="CJ332" s="145"/>
      <c r="CK332" s="145"/>
      <c r="CL332" s="145"/>
      <c r="CM332" s="145"/>
      <c r="CN332" s="145"/>
      <c r="CO332" s="145"/>
      <c r="CP332" s="145"/>
      <c r="CQ332" s="158"/>
      <c r="CR332" s="146"/>
      <c r="CS332" s="158"/>
      <c r="CT332" s="158"/>
      <c r="CU332" s="158">
        <f>SUM(CV332:CV332)</f>
      </c>
      <c r="CV332" s="146"/>
      <c r="CW332" s="145"/>
      <c r="CX332" s="145"/>
      <c r="CY332" s="145">
        <f>SUM(CZ332:DE332)</f>
      </c>
      <c r="CZ332" s="145"/>
      <c r="DA332" s="146"/>
      <c r="DB332" s="146"/>
      <c r="DC332" s="153"/>
      <c r="DD332" s="153"/>
      <c r="DE332" s="145"/>
      <c r="DF332" s="145"/>
      <c r="DG332" s="145"/>
      <c r="DH332" s="158"/>
      <c r="DI332" s="145"/>
      <c r="DJ332" s="158"/>
      <c r="DK332" s="145"/>
      <c r="DL332" s="158"/>
      <c r="DM332" s="145"/>
      <c r="DN332" s="145"/>
      <c r="DO332" s="145"/>
      <c r="DP332" s="158"/>
      <c r="DQ332" s="145"/>
      <c r="DR332" s="145"/>
      <c r="DS332" s="145"/>
      <c r="DT332" s="145"/>
      <c r="DU332" s="145">
        <f>SUM(DV332:EE332)</f>
      </c>
      <c r="DV332" s="145"/>
      <c r="DW332" s="145"/>
      <c r="DX332" s="145"/>
      <c r="DY332" s="145"/>
      <c r="DZ332" s="146"/>
      <c r="EA332" s="158"/>
      <c r="EB332" s="146"/>
      <c r="EC332" s="145"/>
      <c r="ED332" s="145"/>
      <c r="EE332" s="155"/>
      <c r="EF332" s="145">
        <f>SUM(EG332:EH332)</f>
      </c>
      <c r="EG332" s="145"/>
      <c r="EH332" s="146"/>
      <c r="EI332" s="159" cm="1">
        <f t="array" ref="EI332">ROW()-ROW(Run[#Headers])</f>
        <v>326</v>
      </c>
    </row>
    <row r="333" spans="2:139" s="79" customFormat="1" ht="11.25" x14ac:dyDescent="0.2">
      <c r="B333" s="146"/>
      <c r="C333" s="155"/>
      <c r="D333" s="145"/>
      <c r="E333" s="152">
        <f>SUM(F333:AE333)</f>
      </c>
      <c r="F333" s="146"/>
      <c r="G333" s="146"/>
      <c r="H333" s="146"/>
      <c r="I333" s="146"/>
      <c r="J333" s="146"/>
      <c r="K333" s="156"/>
      <c r="L333" s="146"/>
      <c r="M333" s="146"/>
      <c r="N333" s="146"/>
      <c r="O333" s="146"/>
      <c r="P333" s="156"/>
      <c r="Q333" s="146"/>
      <c r="R333" s="146"/>
      <c r="S333" s="146"/>
      <c r="T333" s="156"/>
      <c r="U333" s="146"/>
      <c r="V333" s="146"/>
      <c r="W333" s="146"/>
      <c r="X333" s="146"/>
      <c r="Y333" s="146"/>
      <c r="Z333" s="146"/>
      <c r="AA333" s="146"/>
      <c r="AB333" s="146"/>
      <c r="AC333" s="157"/>
      <c r="AD333" s="157"/>
      <c r="AE333" s="157"/>
      <c r="AF333" s="158">
        <f>SUM(AG333:AJ333)</f>
      </c>
      <c r="AG333" s="146"/>
      <c r="AH333" s="145"/>
      <c r="AI333" s="145"/>
      <c r="AJ333" s="145"/>
      <c r="AK333" s="158">
        <f>SUM(AL333:AW333)</f>
      </c>
      <c r="AL333" s="146"/>
      <c r="AM333" s="145"/>
      <c r="AN333" s="145"/>
      <c r="AO333" s="145"/>
      <c r="AP333" s="145"/>
      <c r="AQ333" s="145"/>
      <c r="AR333" s="145"/>
      <c r="AS333" s="145"/>
      <c r="AT333" s="145"/>
      <c r="AU333" s="145"/>
      <c r="AV333" s="145"/>
      <c r="AW333" s="158"/>
      <c r="AX333" s="145"/>
      <c r="AY333" s="145"/>
      <c r="AZ333" s="145"/>
      <c r="BA333" s="158"/>
      <c r="BB333" s="145"/>
      <c r="BC333" s="145"/>
      <c r="BD333" s="158"/>
      <c r="BE333" s="146"/>
      <c r="BF333" s="145"/>
      <c r="BG333" s="145"/>
      <c r="BH333" s="158">
        <f>SUM(BI333:BK333)</f>
      </c>
      <c r="BI333" s="145"/>
      <c r="BJ333" s="145"/>
      <c r="BK333" s="145"/>
      <c r="BL333" s="145">
        <f>SUM(BM333:BR333)</f>
      </c>
      <c r="BM333" s="145"/>
      <c r="BN333" s="145"/>
      <c r="BO333" s="158"/>
      <c r="BP333" s="145"/>
      <c r="BQ333" s="145"/>
      <c r="BR333" s="145"/>
      <c r="BS333" s="145"/>
      <c r="BT333" s="145"/>
      <c r="BU333" s="158"/>
      <c r="BV333" s="146"/>
      <c r="BW333" s="145"/>
      <c r="BX333" s="145"/>
      <c r="BY333" s="158">
        <f>SUM(BZ333:CB333)</f>
      </c>
      <c r="BZ333" s="146"/>
      <c r="CA333" s="145"/>
      <c r="CB333" s="145"/>
      <c r="CC333" s="145">
        <f>SUM(CD333:CH333)</f>
      </c>
      <c r="CD333" s="145"/>
      <c r="CE333" s="158"/>
      <c r="CF333" s="145"/>
      <c r="CG333" s="145"/>
      <c r="CH333" s="145"/>
      <c r="CI333" s="158"/>
      <c r="CJ333" s="145"/>
      <c r="CK333" s="145"/>
      <c r="CL333" s="145"/>
      <c r="CM333" s="145"/>
      <c r="CN333" s="145"/>
      <c r="CO333" s="145"/>
      <c r="CP333" s="145"/>
      <c r="CQ333" s="158"/>
      <c r="CR333" s="146"/>
      <c r="CS333" s="158"/>
      <c r="CT333" s="158"/>
      <c r="CU333" s="158">
        <f>SUM(CV333:CV333)</f>
      </c>
      <c r="CV333" s="146"/>
      <c r="CW333" s="145"/>
      <c r="CX333" s="145"/>
      <c r="CY333" s="145">
        <f>SUM(CZ333:DE333)</f>
      </c>
      <c r="CZ333" s="145"/>
      <c r="DA333" s="146"/>
      <c r="DB333" s="146"/>
      <c r="DC333" s="153"/>
      <c r="DD333" s="153"/>
      <c r="DE333" s="145"/>
      <c r="DF333" s="145"/>
      <c r="DG333" s="145"/>
      <c r="DH333" s="158"/>
      <c r="DI333" s="145"/>
      <c r="DJ333" s="158"/>
      <c r="DK333" s="145"/>
      <c r="DL333" s="158"/>
      <c r="DM333" s="145"/>
      <c r="DN333" s="145"/>
      <c r="DO333" s="145"/>
      <c r="DP333" s="158"/>
      <c r="DQ333" s="145"/>
      <c r="DR333" s="145"/>
      <c r="DS333" s="145"/>
      <c r="DT333" s="145"/>
      <c r="DU333" s="145">
        <f>SUM(DV333:EE333)</f>
      </c>
      <c r="DV333" s="145"/>
      <c r="DW333" s="145"/>
      <c r="DX333" s="145"/>
      <c r="DY333" s="145"/>
      <c r="DZ333" s="146"/>
      <c r="EA333" s="158"/>
      <c r="EB333" s="146"/>
      <c r="EC333" s="145"/>
      <c r="ED333" s="145"/>
      <c r="EE333" s="155"/>
      <c r="EF333" s="145">
        <f>SUM(EG333:EH333)</f>
      </c>
      <c r="EG333" s="145"/>
      <c r="EH333" s="146"/>
      <c r="EI333" s="159" cm="1">
        <f t="array" ref="EI333">ROW()-ROW(Run[#Headers])</f>
        <v>327</v>
      </c>
    </row>
    <row r="334" spans="2:139" s="79" customFormat="1" ht="11.25" x14ac:dyDescent="0.2">
      <c r="B334" s="146"/>
      <c r="C334" s="155"/>
      <c r="D334" s="145"/>
      <c r="E334" s="152">
        <f>SUM(F334:AE334)</f>
      </c>
      <c r="F334" s="146"/>
      <c r="G334" s="146"/>
      <c r="H334" s="146"/>
      <c r="I334" s="146"/>
      <c r="J334" s="146"/>
      <c r="K334" s="156"/>
      <c r="L334" s="146"/>
      <c r="M334" s="146"/>
      <c r="N334" s="146"/>
      <c r="O334" s="146"/>
      <c r="P334" s="156"/>
      <c r="Q334" s="146"/>
      <c r="R334" s="146"/>
      <c r="S334" s="146"/>
      <c r="T334" s="156"/>
      <c r="U334" s="146"/>
      <c r="V334" s="146"/>
      <c r="W334" s="146"/>
      <c r="X334" s="146"/>
      <c r="Y334" s="146"/>
      <c r="Z334" s="146"/>
      <c r="AA334" s="146"/>
      <c r="AB334" s="146"/>
      <c r="AC334" s="157"/>
      <c r="AD334" s="157"/>
      <c r="AE334" s="157"/>
      <c r="AF334" s="158">
        <f>SUM(AG334:AJ334)</f>
      </c>
      <c r="AG334" s="146"/>
      <c r="AH334" s="145"/>
      <c r="AI334" s="145"/>
      <c r="AJ334" s="145"/>
      <c r="AK334" s="158">
        <f>SUM(AL334:AW334)</f>
      </c>
      <c r="AL334" s="146"/>
      <c r="AM334" s="145"/>
      <c r="AN334" s="145"/>
      <c r="AO334" s="145"/>
      <c r="AP334" s="145"/>
      <c r="AQ334" s="145"/>
      <c r="AR334" s="145"/>
      <c r="AS334" s="145"/>
      <c r="AT334" s="145"/>
      <c r="AU334" s="145"/>
      <c r="AV334" s="145"/>
      <c r="AW334" s="158"/>
      <c r="AX334" s="145"/>
      <c r="AY334" s="145"/>
      <c r="AZ334" s="145"/>
      <c r="BA334" s="158"/>
      <c r="BB334" s="145"/>
      <c r="BC334" s="145"/>
      <c r="BD334" s="158"/>
      <c r="BE334" s="146"/>
      <c r="BF334" s="145"/>
      <c r="BG334" s="145"/>
      <c r="BH334" s="158">
        <f>SUM(BI334:BK334)</f>
      </c>
      <c r="BI334" s="145"/>
      <c r="BJ334" s="145"/>
      <c r="BK334" s="145"/>
      <c r="BL334" s="145">
        <f>SUM(BM334:BR334)</f>
      </c>
      <c r="BM334" s="145"/>
      <c r="BN334" s="145"/>
      <c r="BO334" s="158"/>
      <c r="BP334" s="145"/>
      <c r="BQ334" s="145"/>
      <c r="BR334" s="145"/>
      <c r="BS334" s="145"/>
      <c r="BT334" s="145"/>
      <c r="BU334" s="158"/>
      <c r="BV334" s="146"/>
      <c r="BW334" s="145"/>
      <c r="BX334" s="145"/>
      <c r="BY334" s="158">
        <f>SUM(BZ334:CB334)</f>
      </c>
      <c r="BZ334" s="146"/>
      <c r="CA334" s="145"/>
      <c r="CB334" s="145"/>
      <c r="CC334" s="145">
        <f>SUM(CD334:CH334)</f>
      </c>
      <c r="CD334" s="145"/>
      <c r="CE334" s="158"/>
      <c r="CF334" s="145"/>
      <c r="CG334" s="145"/>
      <c r="CH334" s="145"/>
      <c r="CI334" s="158"/>
      <c r="CJ334" s="145"/>
      <c r="CK334" s="145"/>
      <c r="CL334" s="145"/>
      <c r="CM334" s="145"/>
      <c r="CN334" s="145"/>
      <c r="CO334" s="145"/>
      <c r="CP334" s="145"/>
      <c r="CQ334" s="158"/>
      <c r="CR334" s="146"/>
      <c r="CS334" s="158"/>
      <c r="CT334" s="158"/>
      <c r="CU334" s="158">
        <f>SUM(CV334:CV334)</f>
      </c>
      <c r="CV334" s="146"/>
      <c r="CW334" s="145"/>
      <c r="CX334" s="145"/>
      <c r="CY334" s="145">
        <f>SUM(CZ334:DE334)</f>
      </c>
      <c r="CZ334" s="145"/>
      <c r="DA334" s="146"/>
      <c r="DB334" s="146"/>
      <c r="DC334" s="153"/>
      <c r="DD334" s="153"/>
      <c r="DE334" s="145"/>
      <c r="DF334" s="145"/>
      <c r="DG334" s="145"/>
      <c r="DH334" s="158"/>
      <c r="DI334" s="145"/>
      <c r="DJ334" s="158"/>
      <c r="DK334" s="145"/>
      <c r="DL334" s="158"/>
      <c r="DM334" s="145"/>
      <c r="DN334" s="145"/>
      <c r="DO334" s="145"/>
      <c r="DP334" s="158"/>
      <c r="DQ334" s="145"/>
      <c r="DR334" s="145"/>
      <c r="DS334" s="145"/>
      <c r="DT334" s="145"/>
      <c r="DU334" s="145">
        <f>SUM(DV334:EE334)</f>
      </c>
      <c r="DV334" s="145"/>
      <c r="DW334" s="145"/>
      <c r="DX334" s="145"/>
      <c r="DY334" s="145"/>
      <c r="DZ334" s="146"/>
      <c r="EA334" s="158"/>
      <c r="EB334" s="146"/>
      <c r="EC334" s="145"/>
      <c r="ED334" s="145"/>
      <c r="EE334" s="155"/>
      <c r="EF334" s="145">
        <f>SUM(EG334:EH334)</f>
      </c>
      <c r="EG334" s="145"/>
      <c r="EH334" s="146"/>
      <c r="EI334" s="159" cm="1">
        <f t="array" ref="EI334">ROW()-ROW(Run[#Headers])</f>
        <v>328</v>
      </c>
    </row>
    <row r="335" spans="2:139" s="79" customFormat="1" ht="11.25" x14ac:dyDescent="0.2">
      <c r="B335" s="146"/>
      <c r="C335" s="155"/>
      <c r="D335" s="145"/>
      <c r="E335" s="152">
        <f>SUM(F335:AE335)</f>
      </c>
      <c r="F335" s="146"/>
      <c r="G335" s="146"/>
      <c r="H335" s="146"/>
      <c r="I335" s="146"/>
      <c r="J335" s="146"/>
      <c r="K335" s="156"/>
      <c r="L335" s="146"/>
      <c r="M335" s="146"/>
      <c r="N335" s="146"/>
      <c r="O335" s="146"/>
      <c r="P335" s="156"/>
      <c r="Q335" s="146"/>
      <c r="R335" s="146"/>
      <c r="S335" s="146"/>
      <c r="T335" s="156"/>
      <c r="U335" s="146"/>
      <c r="V335" s="146"/>
      <c r="W335" s="146"/>
      <c r="X335" s="146"/>
      <c r="Y335" s="146"/>
      <c r="Z335" s="146"/>
      <c r="AA335" s="146"/>
      <c r="AB335" s="146"/>
      <c r="AC335" s="157"/>
      <c r="AD335" s="157"/>
      <c r="AE335" s="157"/>
      <c r="AF335" s="158">
        <f>SUM(AG335:AJ335)</f>
      </c>
      <c r="AG335" s="146"/>
      <c r="AH335" s="145"/>
      <c r="AI335" s="145"/>
      <c r="AJ335" s="145"/>
      <c r="AK335" s="158">
        <f>SUM(AL335:AW335)</f>
      </c>
      <c r="AL335" s="146"/>
      <c r="AM335" s="145"/>
      <c r="AN335" s="145"/>
      <c r="AO335" s="145"/>
      <c r="AP335" s="145"/>
      <c r="AQ335" s="145"/>
      <c r="AR335" s="145"/>
      <c r="AS335" s="145"/>
      <c r="AT335" s="145"/>
      <c r="AU335" s="145"/>
      <c r="AV335" s="145"/>
      <c r="AW335" s="158"/>
      <c r="AX335" s="145"/>
      <c r="AY335" s="145"/>
      <c r="AZ335" s="145"/>
      <c r="BA335" s="158"/>
      <c r="BB335" s="145"/>
      <c r="BC335" s="145"/>
      <c r="BD335" s="158"/>
      <c r="BE335" s="146"/>
      <c r="BF335" s="145"/>
      <c r="BG335" s="145"/>
      <c r="BH335" s="158">
        <f>SUM(BI335:BK335)</f>
      </c>
      <c r="BI335" s="145"/>
      <c r="BJ335" s="145"/>
      <c r="BK335" s="145"/>
      <c r="BL335" s="145">
        <f>SUM(BM335:BR335)</f>
      </c>
      <c r="BM335" s="145"/>
      <c r="BN335" s="145"/>
      <c r="BO335" s="158"/>
      <c r="BP335" s="145"/>
      <c r="BQ335" s="145"/>
      <c r="BR335" s="145"/>
      <c r="BS335" s="145"/>
      <c r="BT335" s="145"/>
      <c r="BU335" s="158"/>
      <c r="BV335" s="146"/>
      <c r="BW335" s="145"/>
      <c r="BX335" s="145"/>
      <c r="BY335" s="158">
        <f>SUM(BZ335:CB335)</f>
      </c>
      <c r="BZ335" s="146"/>
      <c r="CA335" s="145"/>
      <c r="CB335" s="145"/>
      <c r="CC335" s="145">
        <f>SUM(CD335:CH335)</f>
      </c>
      <c r="CD335" s="145"/>
      <c r="CE335" s="158"/>
      <c r="CF335" s="145"/>
      <c r="CG335" s="145"/>
      <c r="CH335" s="145"/>
      <c r="CI335" s="158"/>
      <c r="CJ335" s="145"/>
      <c r="CK335" s="145"/>
      <c r="CL335" s="145"/>
      <c r="CM335" s="145"/>
      <c r="CN335" s="145"/>
      <c r="CO335" s="145"/>
      <c r="CP335" s="145"/>
      <c r="CQ335" s="158"/>
      <c r="CR335" s="146"/>
      <c r="CS335" s="158"/>
      <c r="CT335" s="158"/>
      <c r="CU335" s="158">
        <f>SUM(CV335:CV335)</f>
      </c>
      <c r="CV335" s="146"/>
      <c r="CW335" s="145"/>
      <c r="CX335" s="145"/>
      <c r="CY335" s="145">
        <f>SUM(CZ335:DE335)</f>
      </c>
      <c r="CZ335" s="145"/>
      <c r="DA335" s="146"/>
      <c r="DB335" s="146"/>
      <c r="DC335" s="153"/>
      <c r="DD335" s="153"/>
      <c r="DE335" s="145"/>
      <c r="DF335" s="145"/>
      <c r="DG335" s="145"/>
      <c r="DH335" s="158"/>
      <c r="DI335" s="145"/>
      <c r="DJ335" s="158"/>
      <c r="DK335" s="145"/>
      <c r="DL335" s="158"/>
      <c r="DM335" s="145"/>
      <c r="DN335" s="145"/>
      <c r="DO335" s="145"/>
      <c r="DP335" s="158"/>
      <c r="DQ335" s="145"/>
      <c r="DR335" s="145"/>
      <c r="DS335" s="145"/>
      <c r="DT335" s="145"/>
      <c r="DU335" s="145">
        <f>SUM(DV335:EE335)</f>
      </c>
      <c r="DV335" s="145"/>
      <c r="DW335" s="145"/>
      <c r="DX335" s="145"/>
      <c r="DY335" s="145"/>
      <c r="DZ335" s="146"/>
      <c r="EA335" s="158"/>
      <c r="EB335" s="146"/>
      <c r="EC335" s="145"/>
      <c r="ED335" s="145"/>
      <c r="EE335" s="155"/>
      <c r="EF335" s="145">
        <f>SUM(EG335:EH335)</f>
      </c>
      <c r="EG335" s="145"/>
      <c r="EH335" s="146"/>
      <c r="EI335" s="159" cm="1">
        <f t="array" ref="EI335">ROW()-ROW(Run[#Headers])</f>
        <v>329</v>
      </c>
    </row>
    <row r="336" spans="2:139" s="79" customFormat="1" ht="11.25" x14ac:dyDescent="0.2">
      <c r="B336" s="146"/>
      <c r="C336" s="155"/>
      <c r="D336" s="145"/>
      <c r="E336" s="152">
        <f>SUM(F336:AE336)</f>
      </c>
      <c r="F336" s="146"/>
      <c r="G336" s="146"/>
      <c r="H336" s="146"/>
      <c r="I336" s="146"/>
      <c r="J336" s="146"/>
      <c r="K336" s="156"/>
      <c r="L336" s="146"/>
      <c r="M336" s="146"/>
      <c r="N336" s="146"/>
      <c r="O336" s="146"/>
      <c r="P336" s="156"/>
      <c r="Q336" s="146"/>
      <c r="R336" s="146"/>
      <c r="S336" s="146"/>
      <c r="T336" s="156"/>
      <c r="U336" s="146"/>
      <c r="V336" s="146"/>
      <c r="W336" s="146"/>
      <c r="X336" s="146"/>
      <c r="Y336" s="146"/>
      <c r="Z336" s="146"/>
      <c r="AA336" s="146"/>
      <c r="AB336" s="146"/>
      <c r="AC336" s="157"/>
      <c r="AD336" s="157"/>
      <c r="AE336" s="157"/>
      <c r="AF336" s="158">
        <f>SUM(AG336:AJ336)</f>
      </c>
      <c r="AG336" s="146"/>
      <c r="AH336" s="145"/>
      <c r="AI336" s="145"/>
      <c r="AJ336" s="145"/>
      <c r="AK336" s="158">
        <f>SUM(AL336:AW336)</f>
      </c>
      <c r="AL336" s="146"/>
      <c r="AM336" s="145"/>
      <c r="AN336" s="145"/>
      <c r="AO336" s="145"/>
      <c r="AP336" s="145"/>
      <c r="AQ336" s="145"/>
      <c r="AR336" s="145"/>
      <c r="AS336" s="145"/>
      <c r="AT336" s="145"/>
      <c r="AU336" s="145"/>
      <c r="AV336" s="145"/>
      <c r="AW336" s="158"/>
      <c r="AX336" s="145"/>
      <c r="AY336" s="145"/>
      <c r="AZ336" s="145"/>
      <c r="BA336" s="158"/>
      <c r="BB336" s="145"/>
      <c r="BC336" s="145"/>
      <c r="BD336" s="158"/>
      <c r="BE336" s="146"/>
      <c r="BF336" s="145"/>
      <c r="BG336" s="145"/>
      <c r="BH336" s="158">
        <f>SUM(BI336:BK336)</f>
      </c>
      <c r="BI336" s="145"/>
      <c r="BJ336" s="145"/>
      <c r="BK336" s="145"/>
      <c r="BL336" s="145">
        <f>SUM(BM336:BR336)</f>
      </c>
      <c r="BM336" s="145"/>
      <c r="BN336" s="145"/>
      <c r="BO336" s="158"/>
      <c r="BP336" s="145"/>
      <c r="BQ336" s="145"/>
      <c r="BR336" s="145"/>
      <c r="BS336" s="145"/>
      <c r="BT336" s="145"/>
      <c r="BU336" s="158"/>
      <c r="BV336" s="146"/>
      <c r="BW336" s="145"/>
      <c r="BX336" s="145"/>
      <c r="BY336" s="158">
        <f>SUM(BZ336:CB336)</f>
      </c>
      <c r="BZ336" s="146"/>
      <c r="CA336" s="145"/>
      <c r="CB336" s="145"/>
      <c r="CC336" s="145">
        <f>SUM(CD336:CH336)</f>
      </c>
      <c r="CD336" s="145"/>
      <c r="CE336" s="158"/>
      <c r="CF336" s="145"/>
      <c r="CG336" s="145"/>
      <c r="CH336" s="145"/>
      <c r="CI336" s="158"/>
      <c r="CJ336" s="145"/>
      <c r="CK336" s="145"/>
      <c r="CL336" s="145"/>
      <c r="CM336" s="145"/>
      <c r="CN336" s="145"/>
      <c r="CO336" s="145"/>
      <c r="CP336" s="145"/>
      <c r="CQ336" s="158"/>
      <c r="CR336" s="146"/>
      <c r="CS336" s="158"/>
      <c r="CT336" s="158"/>
      <c r="CU336" s="158">
        <f>SUM(CV336:CV336)</f>
      </c>
      <c r="CV336" s="146"/>
      <c r="CW336" s="145"/>
      <c r="CX336" s="145"/>
      <c r="CY336" s="145">
        <f>SUM(CZ336:DE336)</f>
      </c>
      <c r="CZ336" s="145"/>
      <c r="DA336" s="146"/>
      <c r="DB336" s="146"/>
      <c r="DC336" s="153"/>
      <c r="DD336" s="153"/>
      <c r="DE336" s="145"/>
      <c r="DF336" s="145"/>
      <c r="DG336" s="145"/>
      <c r="DH336" s="158"/>
      <c r="DI336" s="145"/>
      <c r="DJ336" s="158"/>
      <c r="DK336" s="145"/>
      <c r="DL336" s="158"/>
      <c r="DM336" s="145"/>
      <c r="DN336" s="145"/>
      <c r="DO336" s="145"/>
      <c r="DP336" s="158"/>
      <c r="DQ336" s="145"/>
      <c r="DR336" s="145"/>
      <c r="DS336" s="145"/>
      <c r="DT336" s="145"/>
      <c r="DU336" s="145">
        <f>SUM(DV336:EE336)</f>
      </c>
      <c r="DV336" s="145"/>
      <c r="DW336" s="145"/>
      <c r="DX336" s="145"/>
      <c r="DY336" s="145"/>
      <c r="DZ336" s="146"/>
      <c r="EA336" s="158"/>
      <c r="EB336" s="146"/>
      <c r="EC336" s="145"/>
      <c r="ED336" s="145"/>
      <c r="EE336" s="155"/>
      <c r="EF336" s="145">
        <f>SUM(EG336:EH336)</f>
      </c>
      <c r="EG336" s="145"/>
      <c r="EH336" s="146"/>
      <c r="EI336" s="159" cm="1">
        <f t="array" ref="EI336">ROW()-ROW(Run[#Headers])</f>
        <v>330</v>
      </c>
    </row>
    <row r="337" spans="2:139" s="79" customFormat="1" ht="11.25" x14ac:dyDescent="0.2">
      <c r="B337" s="146"/>
      <c r="C337" s="155"/>
      <c r="D337" s="145"/>
      <c r="E337" s="152">
        <f>SUM(F337:AE337)</f>
      </c>
      <c r="F337" s="146"/>
      <c r="G337" s="146"/>
      <c r="H337" s="146"/>
      <c r="I337" s="146"/>
      <c r="J337" s="146"/>
      <c r="K337" s="156"/>
      <c r="L337" s="146"/>
      <c r="M337" s="146"/>
      <c r="N337" s="146"/>
      <c r="O337" s="146"/>
      <c r="P337" s="156"/>
      <c r="Q337" s="146"/>
      <c r="R337" s="146"/>
      <c r="S337" s="146"/>
      <c r="T337" s="156"/>
      <c r="U337" s="146"/>
      <c r="V337" s="146"/>
      <c r="W337" s="146"/>
      <c r="X337" s="146"/>
      <c r="Y337" s="146"/>
      <c r="Z337" s="146"/>
      <c r="AA337" s="146"/>
      <c r="AB337" s="146"/>
      <c r="AC337" s="157"/>
      <c r="AD337" s="157"/>
      <c r="AE337" s="157"/>
      <c r="AF337" s="158">
        <f>SUM(AG337:AJ337)</f>
      </c>
      <c r="AG337" s="146"/>
      <c r="AH337" s="145"/>
      <c r="AI337" s="145"/>
      <c r="AJ337" s="145"/>
      <c r="AK337" s="158">
        <f>SUM(AL337:AW337)</f>
      </c>
      <c r="AL337" s="146"/>
      <c r="AM337" s="145"/>
      <c r="AN337" s="145"/>
      <c r="AO337" s="145"/>
      <c r="AP337" s="145"/>
      <c r="AQ337" s="145"/>
      <c r="AR337" s="145"/>
      <c r="AS337" s="145"/>
      <c r="AT337" s="145"/>
      <c r="AU337" s="145"/>
      <c r="AV337" s="145"/>
      <c r="AW337" s="158"/>
      <c r="AX337" s="145"/>
      <c r="AY337" s="145"/>
      <c r="AZ337" s="145"/>
      <c r="BA337" s="158"/>
      <c r="BB337" s="145"/>
      <c r="BC337" s="145"/>
      <c r="BD337" s="158"/>
      <c r="BE337" s="146"/>
      <c r="BF337" s="145"/>
      <c r="BG337" s="145"/>
      <c r="BH337" s="158">
        <f>SUM(BI337:BK337)</f>
      </c>
      <c r="BI337" s="145"/>
      <c r="BJ337" s="145"/>
      <c r="BK337" s="145"/>
      <c r="BL337" s="145">
        <f>SUM(BM337:BR337)</f>
      </c>
      <c r="BM337" s="145"/>
      <c r="BN337" s="145"/>
      <c r="BO337" s="158"/>
      <c r="BP337" s="145"/>
      <c r="BQ337" s="145"/>
      <c r="BR337" s="145"/>
      <c r="BS337" s="145"/>
      <c r="BT337" s="145"/>
      <c r="BU337" s="158"/>
      <c r="BV337" s="146"/>
      <c r="BW337" s="145"/>
      <c r="BX337" s="145"/>
      <c r="BY337" s="158">
        <f>SUM(BZ337:CB337)</f>
      </c>
      <c r="BZ337" s="146"/>
      <c r="CA337" s="145"/>
      <c r="CB337" s="145"/>
      <c r="CC337" s="145">
        <f>SUM(CD337:CH337)</f>
      </c>
      <c r="CD337" s="145"/>
      <c r="CE337" s="158"/>
      <c r="CF337" s="145"/>
      <c r="CG337" s="145"/>
      <c r="CH337" s="145"/>
      <c r="CI337" s="158"/>
      <c r="CJ337" s="145"/>
      <c r="CK337" s="145"/>
      <c r="CL337" s="145"/>
      <c r="CM337" s="145"/>
      <c r="CN337" s="145"/>
      <c r="CO337" s="145"/>
      <c r="CP337" s="145"/>
      <c r="CQ337" s="158"/>
      <c r="CR337" s="146"/>
      <c r="CS337" s="158"/>
      <c r="CT337" s="158"/>
      <c r="CU337" s="158">
        <f>SUM(CV337:CV337)</f>
      </c>
      <c r="CV337" s="146"/>
      <c r="CW337" s="145"/>
      <c r="CX337" s="145"/>
      <c r="CY337" s="145">
        <f>SUM(CZ337:DE337)</f>
      </c>
      <c r="CZ337" s="145"/>
      <c r="DA337" s="146"/>
      <c r="DB337" s="146"/>
      <c r="DC337" s="153"/>
      <c r="DD337" s="153"/>
      <c r="DE337" s="145"/>
      <c r="DF337" s="145"/>
      <c r="DG337" s="145"/>
      <c r="DH337" s="158"/>
      <c r="DI337" s="145"/>
      <c r="DJ337" s="158"/>
      <c r="DK337" s="145"/>
      <c r="DL337" s="158"/>
      <c r="DM337" s="145"/>
      <c r="DN337" s="145"/>
      <c r="DO337" s="145"/>
      <c r="DP337" s="158"/>
      <c r="DQ337" s="145"/>
      <c r="DR337" s="145"/>
      <c r="DS337" s="145"/>
      <c r="DT337" s="145"/>
      <c r="DU337" s="145">
        <f>SUM(DV337:EE337)</f>
      </c>
      <c r="DV337" s="145"/>
      <c r="DW337" s="145"/>
      <c r="DX337" s="145"/>
      <c r="DY337" s="145"/>
      <c r="DZ337" s="146"/>
      <c r="EA337" s="158"/>
      <c r="EB337" s="146"/>
      <c r="EC337" s="145"/>
      <c r="ED337" s="145"/>
      <c r="EE337" s="155"/>
      <c r="EF337" s="145">
        <f>SUM(EG337:EH337)</f>
      </c>
      <c r="EG337" s="145"/>
      <c r="EH337" s="146"/>
      <c r="EI337" s="159" cm="1">
        <f t="array" ref="EI337">ROW()-ROW(Run[#Headers])</f>
        <v>331</v>
      </c>
    </row>
    <row r="338" spans="2:139" s="79" customFormat="1" ht="11.25" x14ac:dyDescent="0.2">
      <c r="B338" s="146"/>
      <c r="C338" s="155"/>
      <c r="D338" s="145"/>
      <c r="E338" s="152">
        <f>SUM(F338:AE338)</f>
      </c>
      <c r="F338" s="146"/>
      <c r="G338" s="146"/>
      <c r="H338" s="146"/>
      <c r="I338" s="146"/>
      <c r="J338" s="146"/>
      <c r="K338" s="156"/>
      <c r="L338" s="146"/>
      <c r="M338" s="146"/>
      <c r="N338" s="146"/>
      <c r="O338" s="146"/>
      <c r="P338" s="156"/>
      <c r="Q338" s="146"/>
      <c r="R338" s="146"/>
      <c r="S338" s="146"/>
      <c r="T338" s="156"/>
      <c r="U338" s="146"/>
      <c r="V338" s="146"/>
      <c r="W338" s="146"/>
      <c r="X338" s="146"/>
      <c r="Y338" s="146"/>
      <c r="Z338" s="146"/>
      <c r="AA338" s="146"/>
      <c r="AB338" s="146"/>
      <c r="AC338" s="157"/>
      <c r="AD338" s="157"/>
      <c r="AE338" s="157"/>
      <c r="AF338" s="158">
        <f>SUM(AG338:AJ338)</f>
      </c>
      <c r="AG338" s="146"/>
      <c r="AH338" s="145"/>
      <c r="AI338" s="145"/>
      <c r="AJ338" s="145"/>
      <c r="AK338" s="158">
        <f>SUM(AL338:AW338)</f>
      </c>
      <c r="AL338" s="146"/>
      <c r="AM338" s="145"/>
      <c r="AN338" s="145"/>
      <c r="AO338" s="145"/>
      <c r="AP338" s="145"/>
      <c r="AQ338" s="145"/>
      <c r="AR338" s="145"/>
      <c r="AS338" s="145"/>
      <c r="AT338" s="145"/>
      <c r="AU338" s="145"/>
      <c r="AV338" s="145"/>
      <c r="AW338" s="158"/>
      <c r="AX338" s="145"/>
      <c r="AY338" s="145"/>
      <c r="AZ338" s="145"/>
      <c r="BA338" s="158"/>
      <c r="BB338" s="145"/>
      <c r="BC338" s="145"/>
      <c r="BD338" s="158"/>
      <c r="BE338" s="146"/>
      <c r="BF338" s="145"/>
      <c r="BG338" s="145"/>
      <c r="BH338" s="158">
        <f>SUM(BI338:BK338)</f>
      </c>
      <c r="BI338" s="145"/>
      <c r="BJ338" s="145"/>
      <c r="BK338" s="145"/>
      <c r="BL338" s="145">
        <f>SUM(BM338:BR338)</f>
      </c>
      <c r="BM338" s="145"/>
      <c r="BN338" s="145"/>
      <c r="BO338" s="158"/>
      <c r="BP338" s="145"/>
      <c r="BQ338" s="145"/>
      <c r="BR338" s="145"/>
      <c r="BS338" s="145"/>
      <c r="BT338" s="145"/>
      <c r="BU338" s="158"/>
      <c r="BV338" s="146"/>
      <c r="BW338" s="145"/>
      <c r="BX338" s="145"/>
      <c r="BY338" s="158">
        <f>SUM(BZ338:CB338)</f>
      </c>
      <c r="BZ338" s="146"/>
      <c r="CA338" s="145"/>
      <c r="CB338" s="145"/>
      <c r="CC338" s="145">
        <f>SUM(CD338:CH338)</f>
      </c>
      <c r="CD338" s="145"/>
      <c r="CE338" s="158"/>
      <c r="CF338" s="145"/>
      <c r="CG338" s="145"/>
      <c r="CH338" s="145"/>
      <c r="CI338" s="158"/>
      <c r="CJ338" s="145"/>
      <c r="CK338" s="145"/>
      <c r="CL338" s="145"/>
      <c r="CM338" s="145"/>
      <c r="CN338" s="145"/>
      <c r="CO338" s="145"/>
      <c r="CP338" s="145"/>
      <c r="CQ338" s="158"/>
      <c r="CR338" s="146"/>
      <c r="CS338" s="158"/>
      <c r="CT338" s="158"/>
      <c r="CU338" s="158">
        <f>SUM(CV338:CV338)</f>
      </c>
      <c r="CV338" s="146"/>
      <c r="CW338" s="145"/>
      <c r="CX338" s="145"/>
      <c r="CY338" s="145">
        <f>SUM(CZ338:DE338)</f>
      </c>
      <c r="CZ338" s="145"/>
      <c r="DA338" s="146"/>
      <c r="DB338" s="146"/>
      <c r="DC338" s="153"/>
      <c r="DD338" s="153"/>
      <c r="DE338" s="145"/>
      <c r="DF338" s="145"/>
      <c r="DG338" s="145"/>
      <c r="DH338" s="158"/>
      <c r="DI338" s="145"/>
      <c r="DJ338" s="158"/>
      <c r="DK338" s="145"/>
      <c r="DL338" s="158"/>
      <c r="DM338" s="145"/>
      <c r="DN338" s="145"/>
      <c r="DO338" s="145"/>
      <c r="DP338" s="158"/>
      <c r="DQ338" s="145"/>
      <c r="DR338" s="145"/>
      <c r="DS338" s="145"/>
      <c r="DT338" s="145"/>
      <c r="DU338" s="145">
        <f>SUM(DV338:EE338)</f>
      </c>
      <c r="DV338" s="145"/>
      <c r="DW338" s="145"/>
      <c r="DX338" s="145"/>
      <c r="DY338" s="145"/>
      <c r="DZ338" s="146"/>
      <c r="EA338" s="158"/>
      <c r="EB338" s="146"/>
      <c r="EC338" s="145"/>
      <c r="ED338" s="145"/>
      <c r="EE338" s="155"/>
      <c r="EF338" s="145">
        <f>SUM(EG338:EH338)</f>
      </c>
      <c r="EG338" s="145"/>
      <c r="EH338" s="146"/>
      <c r="EI338" s="159" cm="1">
        <f t="array" ref="EI338">ROW()-ROW(Run[#Headers])</f>
        <v>332</v>
      </c>
    </row>
    <row r="339" spans="2:139" s="79" customFormat="1" ht="11.25" x14ac:dyDescent="0.2">
      <c r="B339" s="146"/>
      <c r="C339" s="155"/>
      <c r="D339" s="145"/>
      <c r="E339" s="152">
        <f>SUM(F339:AE339)</f>
      </c>
      <c r="F339" s="146"/>
      <c r="G339" s="146"/>
      <c r="H339" s="146"/>
      <c r="I339" s="146"/>
      <c r="J339" s="146"/>
      <c r="K339" s="156"/>
      <c r="L339" s="146"/>
      <c r="M339" s="146"/>
      <c r="N339" s="146"/>
      <c r="O339" s="146"/>
      <c r="P339" s="156"/>
      <c r="Q339" s="146"/>
      <c r="R339" s="146"/>
      <c r="S339" s="146"/>
      <c r="T339" s="156"/>
      <c r="U339" s="146"/>
      <c r="V339" s="146"/>
      <c r="W339" s="146"/>
      <c r="X339" s="146"/>
      <c r="Y339" s="146"/>
      <c r="Z339" s="146"/>
      <c r="AA339" s="146"/>
      <c r="AB339" s="146"/>
      <c r="AC339" s="157"/>
      <c r="AD339" s="157"/>
      <c r="AE339" s="157"/>
      <c r="AF339" s="158">
        <f>SUM(AG339:AJ339)</f>
      </c>
      <c r="AG339" s="146"/>
      <c r="AH339" s="145"/>
      <c r="AI339" s="145"/>
      <c r="AJ339" s="145"/>
      <c r="AK339" s="158">
        <f>SUM(AL339:AW339)</f>
      </c>
      <c r="AL339" s="146"/>
      <c r="AM339" s="145"/>
      <c r="AN339" s="145"/>
      <c r="AO339" s="145"/>
      <c r="AP339" s="145"/>
      <c r="AQ339" s="145"/>
      <c r="AR339" s="145"/>
      <c r="AS339" s="145"/>
      <c r="AT339" s="145"/>
      <c r="AU339" s="145"/>
      <c r="AV339" s="145"/>
      <c r="AW339" s="158"/>
      <c r="AX339" s="145"/>
      <c r="AY339" s="145"/>
      <c r="AZ339" s="145"/>
      <c r="BA339" s="158"/>
      <c r="BB339" s="145"/>
      <c r="BC339" s="145"/>
      <c r="BD339" s="158"/>
      <c r="BE339" s="146"/>
      <c r="BF339" s="145"/>
      <c r="BG339" s="145"/>
      <c r="BH339" s="158">
        <f>SUM(BI339:BK339)</f>
      </c>
      <c r="BI339" s="145"/>
      <c r="BJ339" s="145"/>
      <c r="BK339" s="145"/>
      <c r="BL339" s="145">
        <f>SUM(BM339:BR339)</f>
      </c>
      <c r="BM339" s="145"/>
      <c r="BN339" s="145"/>
      <c r="BO339" s="158"/>
      <c r="BP339" s="145"/>
      <c r="BQ339" s="145"/>
      <c r="BR339" s="145"/>
      <c r="BS339" s="145"/>
      <c r="BT339" s="145"/>
      <c r="BU339" s="158"/>
      <c r="BV339" s="146"/>
      <c r="BW339" s="145"/>
      <c r="BX339" s="145"/>
      <c r="BY339" s="158">
        <f>SUM(BZ339:CB339)</f>
      </c>
      <c r="BZ339" s="146"/>
      <c r="CA339" s="145"/>
      <c r="CB339" s="145"/>
      <c r="CC339" s="145">
        <f>SUM(CD339:CH339)</f>
      </c>
      <c r="CD339" s="145"/>
      <c r="CE339" s="158"/>
      <c r="CF339" s="145"/>
      <c r="CG339" s="145"/>
      <c r="CH339" s="145"/>
      <c r="CI339" s="158"/>
      <c r="CJ339" s="145"/>
      <c r="CK339" s="145"/>
      <c r="CL339" s="145"/>
      <c r="CM339" s="145"/>
      <c r="CN339" s="145"/>
      <c r="CO339" s="145"/>
      <c r="CP339" s="145"/>
      <c r="CQ339" s="158"/>
      <c r="CR339" s="146"/>
      <c r="CS339" s="158"/>
      <c r="CT339" s="158"/>
      <c r="CU339" s="158">
        <f>SUM(CV339:CV339)</f>
      </c>
      <c r="CV339" s="146"/>
      <c r="CW339" s="145"/>
      <c r="CX339" s="145"/>
      <c r="CY339" s="145">
        <f>SUM(CZ339:DE339)</f>
      </c>
      <c r="CZ339" s="145"/>
      <c r="DA339" s="146"/>
      <c r="DB339" s="146"/>
      <c r="DC339" s="153"/>
      <c r="DD339" s="153"/>
      <c r="DE339" s="145"/>
      <c r="DF339" s="145"/>
      <c r="DG339" s="145"/>
      <c r="DH339" s="158"/>
      <c r="DI339" s="145"/>
      <c r="DJ339" s="158"/>
      <c r="DK339" s="145"/>
      <c r="DL339" s="158"/>
      <c r="DM339" s="145"/>
      <c r="DN339" s="145"/>
      <c r="DO339" s="145"/>
      <c r="DP339" s="158"/>
      <c r="DQ339" s="145"/>
      <c r="DR339" s="145"/>
      <c r="DS339" s="145"/>
      <c r="DT339" s="145"/>
      <c r="DU339" s="145">
        <f>SUM(DV339:EE339)</f>
      </c>
      <c r="DV339" s="145"/>
      <c r="DW339" s="145"/>
      <c r="DX339" s="145"/>
      <c r="DY339" s="145"/>
      <c r="DZ339" s="146"/>
      <c r="EA339" s="158"/>
      <c r="EB339" s="146"/>
      <c r="EC339" s="145"/>
      <c r="ED339" s="145"/>
      <c r="EE339" s="155"/>
      <c r="EF339" s="145">
        <f>SUM(EG339:EH339)</f>
      </c>
      <c r="EG339" s="145"/>
      <c r="EH339" s="146"/>
      <c r="EI339" s="159" cm="1">
        <f t="array" ref="EI339">ROW()-ROW(Run[#Headers])</f>
        <v>333</v>
      </c>
    </row>
    <row r="340" spans="2:139" s="79" customFormat="1" ht="11.25" x14ac:dyDescent="0.2">
      <c r="B340" s="146"/>
      <c r="C340" s="155"/>
      <c r="D340" s="145"/>
      <c r="E340" s="152">
        <f>SUM(F340:AE340)</f>
      </c>
      <c r="F340" s="146"/>
      <c r="G340" s="146"/>
      <c r="H340" s="146"/>
      <c r="I340" s="146"/>
      <c r="J340" s="146"/>
      <c r="K340" s="156"/>
      <c r="L340" s="146"/>
      <c r="M340" s="146"/>
      <c r="N340" s="146"/>
      <c r="O340" s="146"/>
      <c r="P340" s="156"/>
      <c r="Q340" s="146"/>
      <c r="R340" s="146"/>
      <c r="S340" s="146"/>
      <c r="T340" s="156"/>
      <c r="U340" s="146"/>
      <c r="V340" s="146"/>
      <c r="W340" s="146"/>
      <c r="X340" s="146"/>
      <c r="Y340" s="146"/>
      <c r="Z340" s="146"/>
      <c r="AA340" s="146"/>
      <c r="AB340" s="146"/>
      <c r="AC340" s="157"/>
      <c r="AD340" s="157"/>
      <c r="AE340" s="157"/>
      <c r="AF340" s="158">
        <f>SUM(AG340:AJ340)</f>
      </c>
      <c r="AG340" s="146"/>
      <c r="AH340" s="145"/>
      <c r="AI340" s="145"/>
      <c r="AJ340" s="145"/>
      <c r="AK340" s="158">
        <f>SUM(AL340:AW340)</f>
      </c>
      <c r="AL340" s="146"/>
      <c r="AM340" s="145"/>
      <c r="AN340" s="145"/>
      <c r="AO340" s="145"/>
      <c r="AP340" s="145"/>
      <c r="AQ340" s="145"/>
      <c r="AR340" s="145"/>
      <c r="AS340" s="145"/>
      <c r="AT340" s="145"/>
      <c r="AU340" s="145"/>
      <c r="AV340" s="145"/>
      <c r="AW340" s="158"/>
      <c r="AX340" s="145"/>
      <c r="AY340" s="145"/>
      <c r="AZ340" s="145"/>
      <c r="BA340" s="158"/>
      <c r="BB340" s="145"/>
      <c r="BC340" s="145"/>
      <c r="BD340" s="158"/>
      <c r="BE340" s="146"/>
      <c r="BF340" s="145"/>
      <c r="BG340" s="145"/>
      <c r="BH340" s="158">
        <f>SUM(BI340:BK340)</f>
      </c>
      <c r="BI340" s="145"/>
      <c r="BJ340" s="145"/>
      <c r="BK340" s="145"/>
      <c r="BL340" s="145">
        <f>SUM(BM340:BR340)</f>
      </c>
      <c r="BM340" s="145"/>
      <c r="BN340" s="145"/>
      <c r="BO340" s="158"/>
      <c r="BP340" s="145"/>
      <c r="BQ340" s="145"/>
      <c r="BR340" s="145"/>
      <c r="BS340" s="145"/>
      <c r="BT340" s="145"/>
      <c r="BU340" s="158"/>
      <c r="BV340" s="146"/>
      <c r="BW340" s="145"/>
      <c r="BX340" s="145"/>
      <c r="BY340" s="158">
        <f>SUM(BZ340:CB340)</f>
      </c>
      <c r="BZ340" s="146"/>
      <c r="CA340" s="145"/>
      <c r="CB340" s="145"/>
      <c r="CC340" s="145">
        <f>SUM(CD340:CH340)</f>
      </c>
      <c r="CD340" s="145"/>
      <c r="CE340" s="158"/>
      <c r="CF340" s="145"/>
      <c r="CG340" s="145"/>
      <c r="CH340" s="145"/>
      <c r="CI340" s="158"/>
      <c r="CJ340" s="145"/>
      <c r="CK340" s="145"/>
      <c r="CL340" s="145"/>
      <c r="CM340" s="145"/>
      <c r="CN340" s="145"/>
      <c r="CO340" s="145"/>
      <c r="CP340" s="145"/>
      <c r="CQ340" s="158"/>
      <c r="CR340" s="146"/>
      <c r="CS340" s="158"/>
      <c r="CT340" s="158"/>
      <c r="CU340" s="158">
        <f>SUM(CV340:CV340)</f>
      </c>
      <c r="CV340" s="146"/>
      <c r="CW340" s="145"/>
      <c r="CX340" s="145"/>
      <c r="CY340" s="145">
        <f>SUM(CZ340:DE340)</f>
      </c>
      <c r="CZ340" s="145"/>
      <c r="DA340" s="146"/>
      <c r="DB340" s="146"/>
      <c r="DC340" s="153"/>
      <c r="DD340" s="153"/>
      <c r="DE340" s="145"/>
      <c r="DF340" s="145"/>
      <c r="DG340" s="145"/>
      <c r="DH340" s="158"/>
      <c r="DI340" s="145"/>
      <c r="DJ340" s="158"/>
      <c r="DK340" s="145"/>
      <c r="DL340" s="158"/>
      <c r="DM340" s="145"/>
      <c r="DN340" s="145"/>
      <c r="DO340" s="145"/>
      <c r="DP340" s="158"/>
      <c r="DQ340" s="145"/>
      <c r="DR340" s="145"/>
      <c r="DS340" s="145"/>
      <c r="DT340" s="145"/>
      <c r="DU340" s="145">
        <f>SUM(DV340:EE340)</f>
      </c>
      <c r="DV340" s="145"/>
      <c r="DW340" s="145"/>
      <c r="DX340" s="145"/>
      <c r="DY340" s="145"/>
      <c r="DZ340" s="146"/>
      <c r="EA340" s="158"/>
      <c r="EB340" s="146"/>
      <c r="EC340" s="145"/>
      <c r="ED340" s="145"/>
      <c r="EE340" s="155"/>
      <c r="EF340" s="145">
        <f>SUM(EG340:EH340)</f>
      </c>
      <c r="EG340" s="145"/>
      <c r="EH340" s="146"/>
      <c r="EI340" s="159" cm="1">
        <f t="array" ref="EI340">ROW()-ROW(Run[#Headers])</f>
        <v>334</v>
      </c>
    </row>
    <row r="341" spans="2:139" s="79" customFormat="1" ht="11.25" x14ac:dyDescent="0.2">
      <c r="B341" s="146"/>
      <c r="C341" s="155"/>
      <c r="D341" s="145"/>
      <c r="E341" s="152">
        <f>SUM(F341:AE341)</f>
      </c>
      <c r="F341" s="146"/>
      <c r="G341" s="146"/>
      <c r="H341" s="146"/>
      <c r="I341" s="146"/>
      <c r="J341" s="146"/>
      <c r="K341" s="156"/>
      <c r="L341" s="146"/>
      <c r="M341" s="146"/>
      <c r="N341" s="146"/>
      <c r="O341" s="146"/>
      <c r="P341" s="156"/>
      <c r="Q341" s="146"/>
      <c r="R341" s="146"/>
      <c r="S341" s="146"/>
      <c r="T341" s="156"/>
      <c r="U341" s="146"/>
      <c r="V341" s="146"/>
      <c r="W341" s="146"/>
      <c r="X341" s="146"/>
      <c r="Y341" s="146"/>
      <c r="Z341" s="146"/>
      <c r="AA341" s="146"/>
      <c r="AB341" s="146"/>
      <c r="AC341" s="157"/>
      <c r="AD341" s="157"/>
      <c r="AE341" s="157"/>
      <c r="AF341" s="158">
        <f>SUM(AG341:AJ341)</f>
      </c>
      <c r="AG341" s="146"/>
      <c r="AH341" s="145"/>
      <c r="AI341" s="145"/>
      <c r="AJ341" s="145"/>
      <c r="AK341" s="158">
        <f>SUM(AL341:AW341)</f>
      </c>
      <c r="AL341" s="146"/>
      <c r="AM341" s="145"/>
      <c r="AN341" s="145"/>
      <c r="AO341" s="145"/>
      <c r="AP341" s="145"/>
      <c r="AQ341" s="145"/>
      <c r="AR341" s="145"/>
      <c r="AS341" s="145"/>
      <c r="AT341" s="145"/>
      <c r="AU341" s="145"/>
      <c r="AV341" s="145"/>
      <c r="AW341" s="158"/>
      <c r="AX341" s="145"/>
      <c r="AY341" s="145"/>
      <c r="AZ341" s="145"/>
      <c r="BA341" s="158"/>
      <c r="BB341" s="145"/>
      <c r="BC341" s="145"/>
      <c r="BD341" s="158"/>
      <c r="BE341" s="146"/>
      <c r="BF341" s="145"/>
      <c r="BG341" s="145"/>
      <c r="BH341" s="158">
        <f>SUM(BI341:BK341)</f>
      </c>
      <c r="BI341" s="145"/>
      <c r="BJ341" s="145"/>
      <c r="BK341" s="145"/>
      <c r="BL341" s="145">
        <f>SUM(BM341:BR341)</f>
      </c>
      <c r="BM341" s="145"/>
      <c r="BN341" s="145"/>
      <c r="BO341" s="158"/>
      <c r="BP341" s="145"/>
      <c r="BQ341" s="145"/>
      <c r="BR341" s="145"/>
      <c r="BS341" s="145"/>
      <c r="BT341" s="145"/>
      <c r="BU341" s="158"/>
      <c r="BV341" s="146"/>
      <c r="BW341" s="145"/>
      <c r="BX341" s="145"/>
      <c r="BY341" s="158">
        <f>SUM(BZ341:CB341)</f>
      </c>
      <c r="BZ341" s="146"/>
      <c r="CA341" s="145"/>
      <c r="CB341" s="145"/>
      <c r="CC341" s="145">
        <f>SUM(CD341:CH341)</f>
      </c>
      <c r="CD341" s="145"/>
      <c r="CE341" s="158"/>
      <c r="CF341" s="145"/>
      <c r="CG341" s="145"/>
      <c r="CH341" s="145"/>
      <c r="CI341" s="158"/>
      <c r="CJ341" s="145"/>
      <c r="CK341" s="145"/>
      <c r="CL341" s="145"/>
      <c r="CM341" s="145"/>
      <c r="CN341" s="145"/>
      <c r="CO341" s="145"/>
      <c r="CP341" s="145"/>
      <c r="CQ341" s="158"/>
      <c r="CR341" s="146"/>
      <c r="CS341" s="158"/>
      <c r="CT341" s="158"/>
      <c r="CU341" s="158">
        <f>SUM(CV341:CV341)</f>
      </c>
      <c r="CV341" s="146"/>
      <c r="CW341" s="145"/>
      <c r="CX341" s="145"/>
      <c r="CY341" s="145">
        <f>SUM(CZ341:DE341)</f>
      </c>
      <c r="CZ341" s="145"/>
      <c r="DA341" s="146"/>
      <c r="DB341" s="146"/>
      <c r="DC341" s="153"/>
      <c r="DD341" s="153"/>
      <c r="DE341" s="145"/>
      <c r="DF341" s="145"/>
      <c r="DG341" s="145"/>
      <c r="DH341" s="158"/>
      <c r="DI341" s="145"/>
      <c r="DJ341" s="158"/>
      <c r="DK341" s="145"/>
      <c r="DL341" s="158"/>
      <c r="DM341" s="145"/>
      <c r="DN341" s="145"/>
      <c r="DO341" s="145"/>
      <c r="DP341" s="158"/>
      <c r="DQ341" s="145"/>
      <c r="DR341" s="145"/>
      <c r="DS341" s="145"/>
      <c r="DT341" s="145"/>
      <c r="DU341" s="145">
        <f>SUM(DV341:EE341)</f>
      </c>
      <c r="DV341" s="145"/>
      <c r="DW341" s="145"/>
      <c r="DX341" s="145"/>
      <c r="DY341" s="145"/>
      <c r="DZ341" s="146"/>
      <c r="EA341" s="158"/>
      <c r="EB341" s="146"/>
      <c r="EC341" s="145"/>
      <c r="ED341" s="145"/>
      <c r="EE341" s="155"/>
      <c r="EF341" s="145">
        <f>SUM(EG341:EH341)</f>
      </c>
      <c r="EG341" s="145"/>
      <c r="EH341" s="146"/>
      <c r="EI341" s="159" cm="1">
        <f t="array" ref="EI341">ROW()-ROW(Run[#Headers])</f>
        <v>335</v>
      </c>
    </row>
    <row r="342" spans="2:139" s="79" customFormat="1" ht="11.25" x14ac:dyDescent="0.2">
      <c r="B342" s="146"/>
      <c r="C342" s="155"/>
      <c r="D342" s="145"/>
      <c r="E342" s="152">
        <f>SUM(F342:AE342)</f>
      </c>
      <c r="F342" s="146"/>
      <c r="G342" s="146"/>
      <c r="H342" s="146"/>
      <c r="I342" s="146"/>
      <c r="J342" s="146"/>
      <c r="K342" s="156"/>
      <c r="L342" s="146"/>
      <c r="M342" s="146"/>
      <c r="N342" s="146"/>
      <c r="O342" s="146"/>
      <c r="P342" s="156"/>
      <c r="Q342" s="146"/>
      <c r="R342" s="146"/>
      <c r="S342" s="146"/>
      <c r="T342" s="156"/>
      <c r="U342" s="146"/>
      <c r="V342" s="146"/>
      <c r="W342" s="146"/>
      <c r="X342" s="146"/>
      <c r="Y342" s="146"/>
      <c r="Z342" s="146"/>
      <c r="AA342" s="146"/>
      <c r="AB342" s="146"/>
      <c r="AC342" s="157"/>
      <c r="AD342" s="157"/>
      <c r="AE342" s="157"/>
      <c r="AF342" s="158">
        <f>SUM(AG342:AJ342)</f>
      </c>
      <c r="AG342" s="146"/>
      <c r="AH342" s="145"/>
      <c r="AI342" s="145"/>
      <c r="AJ342" s="145"/>
      <c r="AK342" s="158">
        <f>SUM(AL342:AW342)</f>
      </c>
      <c r="AL342" s="146"/>
      <c r="AM342" s="145"/>
      <c r="AN342" s="145"/>
      <c r="AO342" s="145"/>
      <c r="AP342" s="145"/>
      <c r="AQ342" s="145"/>
      <c r="AR342" s="145"/>
      <c r="AS342" s="145"/>
      <c r="AT342" s="145"/>
      <c r="AU342" s="145"/>
      <c r="AV342" s="145"/>
      <c r="AW342" s="158"/>
      <c r="AX342" s="145"/>
      <c r="AY342" s="145"/>
      <c r="AZ342" s="145"/>
      <c r="BA342" s="158"/>
      <c r="BB342" s="145"/>
      <c r="BC342" s="145"/>
      <c r="BD342" s="158"/>
      <c r="BE342" s="146"/>
      <c r="BF342" s="145"/>
      <c r="BG342" s="145"/>
      <c r="BH342" s="158">
        <f>SUM(BI342:BK342)</f>
      </c>
      <c r="BI342" s="145"/>
      <c r="BJ342" s="145"/>
      <c r="BK342" s="145"/>
      <c r="BL342" s="145">
        <f>SUM(BM342:BR342)</f>
      </c>
      <c r="BM342" s="145"/>
      <c r="BN342" s="145"/>
      <c r="BO342" s="158"/>
      <c r="BP342" s="145"/>
      <c r="BQ342" s="145"/>
      <c r="BR342" s="145"/>
      <c r="BS342" s="145"/>
      <c r="BT342" s="145"/>
      <c r="BU342" s="158"/>
      <c r="BV342" s="146"/>
      <c r="BW342" s="145"/>
      <c r="BX342" s="145"/>
      <c r="BY342" s="158">
        <f>SUM(BZ342:CB342)</f>
      </c>
      <c r="BZ342" s="146"/>
      <c r="CA342" s="145"/>
      <c r="CB342" s="145"/>
      <c r="CC342" s="145">
        <f>SUM(CD342:CH342)</f>
      </c>
      <c r="CD342" s="145"/>
      <c r="CE342" s="158"/>
      <c r="CF342" s="145"/>
      <c r="CG342" s="145"/>
      <c r="CH342" s="145"/>
      <c r="CI342" s="158"/>
      <c r="CJ342" s="145"/>
      <c r="CK342" s="145"/>
      <c r="CL342" s="145"/>
      <c r="CM342" s="145"/>
      <c r="CN342" s="145"/>
      <c r="CO342" s="145"/>
      <c r="CP342" s="145"/>
      <c r="CQ342" s="158"/>
      <c r="CR342" s="146"/>
      <c r="CS342" s="158"/>
      <c r="CT342" s="158"/>
      <c r="CU342" s="158">
        <f>SUM(CV342:CV342)</f>
      </c>
      <c r="CV342" s="146"/>
      <c r="CW342" s="145"/>
      <c r="CX342" s="145"/>
      <c r="CY342" s="145">
        <f>SUM(CZ342:DE342)</f>
      </c>
      <c r="CZ342" s="145"/>
      <c r="DA342" s="146"/>
      <c r="DB342" s="146"/>
      <c r="DC342" s="153"/>
      <c r="DD342" s="153"/>
      <c r="DE342" s="145"/>
      <c r="DF342" s="145"/>
      <c r="DG342" s="145"/>
      <c r="DH342" s="158"/>
      <c r="DI342" s="145"/>
      <c r="DJ342" s="158"/>
      <c r="DK342" s="145"/>
      <c r="DL342" s="158"/>
      <c r="DM342" s="145"/>
      <c r="DN342" s="145"/>
      <c r="DO342" s="145"/>
      <c r="DP342" s="158"/>
      <c r="DQ342" s="145"/>
      <c r="DR342" s="145"/>
      <c r="DS342" s="145"/>
      <c r="DT342" s="145"/>
      <c r="DU342" s="145">
        <f>SUM(DV342:EE342)</f>
      </c>
      <c r="DV342" s="145"/>
      <c r="DW342" s="145"/>
      <c r="DX342" s="145"/>
      <c r="DY342" s="145"/>
      <c r="DZ342" s="146"/>
      <c r="EA342" s="158"/>
      <c r="EB342" s="146"/>
      <c r="EC342" s="145"/>
      <c r="ED342" s="145"/>
      <c r="EE342" s="155"/>
      <c r="EF342" s="145">
        <f>SUM(EG342:EH342)</f>
      </c>
      <c r="EG342" s="145"/>
      <c r="EH342" s="146"/>
      <c r="EI342" s="159" cm="1">
        <f t="array" ref="EI342">ROW()-ROW(Run[#Headers])</f>
        <v>336</v>
      </c>
    </row>
    <row r="343" spans="2:139" s="79" customFormat="1" ht="11.25" x14ac:dyDescent="0.2">
      <c r="B343" s="146"/>
      <c r="C343" s="155"/>
      <c r="D343" s="145"/>
      <c r="E343" s="152">
        <f>SUM(F343:AE343)</f>
      </c>
      <c r="F343" s="146"/>
      <c r="G343" s="146"/>
      <c r="H343" s="146"/>
      <c r="I343" s="146"/>
      <c r="J343" s="146"/>
      <c r="K343" s="156"/>
      <c r="L343" s="146"/>
      <c r="M343" s="146"/>
      <c r="N343" s="146"/>
      <c r="O343" s="146"/>
      <c r="P343" s="156"/>
      <c r="Q343" s="146"/>
      <c r="R343" s="146"/>
      <c r="S343" s="146"/>
      <c r="T343" s="156"/>
      <c r="U343" s="146"/>
      <c r="V343" s="146"/>
      <c r="W343" s="146"/>
      <c r="X343" s="146"/>
      <c r="Y343" s="146"/>
      <c r="Z343" s="146"/>
      <c r="AA343" s="146"/>
      <c r="AB343" s="146"/>
      <c r="AC343" s="157"/>
      <c r="AD343" s="157"/>
      <c r="AE343" s="157"/>
      <c r="AF343" s="158">
        <f>SUM(AG343:AJ343)</f>
      </c>
      <c r="AG343" s="146"/>
      <c r="AH343" s="145"/>
      <c r="AI343" s="145"/>
      <c r="AJ343" s="145"/>
      <c r="AK343" s="158">
        <f>SUM(AL343:AW343)</f>
      </c>
      <c r="AL343" s="146"/>
      <c r="AM343" s="145"/>
      <c r="AN343" s="145"/>
      <c r="AO343" s="145"/>
      <c r="AP343" s="145"/>
      <c r="AQ343" s="145"/>
      <c r="AR343" s="145"/>
      <c r="AS343" s="145"/>
      <c r="AT343" s="145"/>
      <c r="AU343" s="145"/>
      <c r="AV343" s="145"/>
      <c r="AW343" s="158"/>
      <c r="AX343" s="145"/>
      <c r="AY343" s="145"/>
      <c r="AZ343" s="145"/>
      <c r="BA343" s="158"/>
      <c r="BB343" s="145"/>
      <c r="BC343" s="145"/>
      <c r="BD343" s="158"/>
      <c r="BE343" s="146"/>
      <c r="BF343" s="145"/>
      <c r="BG343" s="145"/>
      <c r="BH343" s="158">
        <f>SUM(BI343:BK343)</f>
      </c>
      <c r="BI343" s="145"/>
      <c r="BJ343" s="145"/>
      <c r="BK343" s="145"/>
      <c r="BL343" s="145">
        <f>SUM(BM343:BR343)</f>
      </c>
      <c r="BM343" s="145"/>
      <c r="BN343" s="145"/>
      <c r="BO343" s="158"/>
      <c r="BP343" s="145"/>
      <c r="BQ343" s="145"/>
      <c r="BR343" s="145"/>
      <c r="BS343" s="145"/>
      <c r="BT343" s="145"/>
      <c r="BU343" s="158"/>
      <c r="BV343" s="146"/>
      <c r="BW343" s="145"/>
      <c r="BX343" s="145"/>
      <c r="BY343" s="158">
        <f>SUM(BZ343:CB343)</f>
      </c>
      <c r="BZ343" s="146"/>
      <c r="CA343" s="145"/>
      <c r="CB343" s="145"/>
      <c r="CC343" s="145">
        <f>SUM(CD343:CH343)</f>
      </c>
      <c r="CD343" s="145"/>
      <c r="CE343" s="158"/>
      <c r="CF343" s="145"/>
      <c r="CG343" s="145"/>
      <c r="CH343" s="145"/>
      <c r="CI343" s="158"/>
      <c r="CJ343" s="145"/>
      <c r="CK343" s="145"/>
      <c r="CL343" s="145"/>
      <c r="CM343" s="145"/>
      <c r="CN343" s="145"/>
      <c r="CO343" s="145"/>
      <c r="CP343" s="145"/>
      <c r="CQ343" s="158"/>
      <c r="CR343" s="146"/>
      <c r="CS343" s="158"/>
      <c r="CT343" s="158"/>
      <c r="CU343" s="158">
        <f>SUM(CV343:CV343)</f>
      </c>
      <c r="CV343" s="146"/>
      <c r="CW343" s="145"/>
      <c r="CX343" s="145"/>
      <c r="CY343" s="145">
        <f>SUM(CZ343:DE343)</f>
      </c>
      <c r="CZ343" s="145"/>
      <c r="DA343" s="146"/>
      <c r="DB343" s="146"/>
      <c r="DC343" s="153"/>
      <c r="DD343" s="153"/>
      <c r="DE343" s="145"/>
      <c r="DF343" s="145"/>
      <c r="DG343" s="145"/>
      <c r="DH343" s="158"/>
      <c r="DI343" s="145"/>
      <c r="DJ343" s="158"/>
      <c r="DK343" s="145"/>
      <c r="DL343" s="158"/>
      <c r="DM343" s="145"/>
      <c r="DN343" s="145"/>
      <c r="DO343" s="145"/>
      <c r="DP343" s="158"/>
      <c r="DQ343" s="145"/>
      <c r="DR343" s="145"/>
      <c r="DS343" s="145"/>
      <c r="DT343" s="145"/>
      <c r="DU343" s="145">
        <f>SUM(DV343:EE343)</f>
      </c>
      <c r="DV343" s="145"/>
      <c r="DW343" s="145"/>
      <c r="DX343" s="145"/>
      <c r="DY343" s="145"/>
      <c r="DZ343" s="146"/>
      <c r="EA343" s="158"/>
      <c r="EB343" s="146"/>
      <c r="EC343" s="145"/>
      <c r="ED343" s="145"/>
      <c r="EE343" s="155"/>
      <c r="EF343" s="145">
        <f>SUM(EG343:EH343)</f>
      </c>
      <c r="EG343" s="145"/>
      <c r="EH343" s="146"/>
      <c r="EI343" s="159" cm="1">
        <f t="array" ref="EI343">ROW()-ROW(Run[#Headers])</f>
        <v>337</v>
      </c>
    </row>
    <row r="344" spans="2:139" s="79" customFormat="1" ht="11.25" x14ac:dyDescent="0.2">
      <c r="B344" s="146"/>
      <c r="C344" s="155"/>
      <c r="D344" s="145"/>
      <c r="E344" s="152">
        <f>SUM(F344:AE344)</f>
      </c>
      <c r="F344" s="146"/>
      <c r="G344" s="146"/>
      <c r="H344" s="146"/>
      <c r="I344" s="146"/>
      <c r="J344" s="146"/>
      <c r="K344" s="156"/>
      <c r="L344" s="146"/>
      <c r="M344" s="146"/>
      <c r="N344" s="146"/>
      <c r="O344" s="146"/>
      <c r="P344" s="156"/>
      <c r="Q344" s="146"/>
      <c r="R344" s="146"/>
      <c r="S344" s="146"/>
      <c r="T344" s="156"/>
      <c r="U344" s="146"/>
      <c r="V344" s="146"/>
      <c r="W344" s="146"/>
      <c r="X344" s="146"/>
      <c r="Y344" s="146"/>
      <c r="Z344" s="146"/>
      <c r="AA344" s="146"/>
      <c r="AB344" s="146"/>
      <c r="AC344" s="157"/>
      <c r="AD344" s="157"/>
      <c r="AE344" s="157"/>
      <c r="AF344" s="158">
        <f>SUM(AG344:AJ344)</f>
      </c>
      <c r="AG344" s="146"/>
      <c r="AH344" s="145"/>
      <c r="AI344" s="145"/>
      <c r="AJ344" s="145"/>
      <c r="AK344" s="158">
        <f>SUM(AL344:AW344)</f>
      </c>
      <c r="AL344" s="146"/>
      <c r="AM344" s="145"/>
      <c r="AN344" s="145"/>
      <c r="AO344" s="145"/>
      <c r="AP344" s="145"/>
      <c r="AQ344" s="145"/>
      <c r="AR344" s="145"/>
      <c r="AS344" s="145"/>
      <c r="AT344" s="145"/>
      <c r="AU344" s="145"/>
      <c r="AV344" s="145"/>
      <c r="AW344" s="158"/>
      <c r="AX344" s="145"/>
      <c r="AY344" s="145"/>
      <c r="AZ344" s="145"/>
      <c r="BA344" s="158"/>
      <c r="BB344" s="145"/>
      <c r="BC344" s="145"/>
      <c r="BD344" s="158"/>
      <c r="BE344" s="146"/>
      <c r="BF344" s="145"/>
      <c r="BG344" s="145"/>
      <c r="BH344" s="158">
        <f>SUM(BI344:BK344)</f>
      </c>
      <c r="BI344" s="145"/>
      <c r="BJ344" s="145"/>
      <c r="BK344" s="145"/>
      <c r="BL344" s="145">
        <f>SUM(BM344:BR344)</f>
      </c>
      <c r="BM344" s="145"/>
      <c r="BN344" s="145"/>
      <c r="BO344" s="158"/>
      <c r="BP344" s="145"/>
      <c r="BQ344" s="145"/>
      <c r="BR344" s="145"/>
      <c r="BS344" s="145"/>
      <c r="BT344" s="145"/>
      <c r="BU344" s="158"/>
      <c r="BV344" s="146"/>
      <c r="BW344" s="145"/>
      <c r="BX344" s="145"/>
      <c r="BY344" s="158">
        <f>SUM(BZ344:CB344)</f>
      </c>
      <c r="BZ344" s="146"/>
      <c r="CA344" s="145"/>
      <c r="CB344" s="145"/>
      <c r="CC344" s="145">
        <f>SUM(CD344:CH344)</f>
      </c>
      <c r="CD344" s="145"/>
      <c r="CE344" s="158"/>
      <c r="CF344" s="145"/>
      <c r="CG344" s="145"/>
      <c r="CH344" s="145"/>
      <c r="CI344" s="158"/>
      <c r="CJ344" s="145"/>
      <c r="CK344" s="145"/>
      <c r="CL344" s="145"/>
      <c r="CM344" s="145"/>
      <c r="CN344" s="145"/>
      <c r="CO344" s="145"/>
      <c r="CP344" s="145"/>
      <c r="CQ344" s="158"/>
      <c r="CR344" s="146"/>
      <c r="CS344" s="158"/>
      <c r="CT344" s="158"/>
      <c r="CU344" s="158">
        <f>SUM(CV344:CV344)</f>
      </c>
      <c r="CV344" s="146"/>
      <c r="CW344" s="145"/>
      <c r="CX344" s="145"/>
      <c r="CY344" s="145">
        <f>SUM(CZ344:DE344)</f>
      </c>
      <c r="CZ344" s="145"/>
      <c r="DA344" s="146"/>
      <c r="DB344" s="146"/>
      <c r="DC344" s="153"/>
      <c r="DD344" s="153"/>
      <c r="DE344" s="145"/>
      <c r="DF344" s="145"/>
      <c r="DG344" s="145"/>
      <c r="DH344" s="158"/>
      <c r="DI344" s="145"/>
      <c r="DJ344" s="158"/>
      <c r="DK344" s="145"/>
      <c r="DL344" s="158"/>
      <c r="DM344" s="145"/>
      <c r="DN344" s="145"/>
      <c r="DO344" s="145"/>
      <c r="DP344" s="158"/>
      <c r="DQ344" s="145"/>
      <c r="DR344" s="145"/>
      <c r="DS344" s="145"/>
      <c r="DT344" s="145"/>
      <c r="DU344" s="145">
        <f>SUM(DV344:EE344)</f>
      </c>
      <c r="DV344" s="145"/>
      <c r="DW344" s="145"/>
      <c r="DX344" s="145"/>
      <c r="DY344" s="145"/>
      <c r="DZ344" s="146"/>
      <c r="EA344" s="158"/>
      <c r="EB344" s="146"/>
      <c r="EC344" s="145"/>
      <c r="ED344" s="145"/>
      <c r="EE344" s="155"/>
      <c r="EF344" s="145">
        <f>SUM(EG344:EH344)</f>
      </c>
      <c r="EG344" s="145"/>
      <c r="EH344" s="146"/>
      <c r="EI344" s="159" cm="1">
        <f t="array" ref="EI344">ROW()-ROW(Run[#Headers])</f>
        <v>338</v>
      </c>
    </row>
    <row r="345" spans="2:139" s="79" customFormat="1" ht="11.25" x14ac:dyDescent="0.2">
      <c r="B345" s="146"/>
      <c r="C345" s="155"/>
      <c r="D345" s="145"/>
      <c r="E345" s="152">
        <f>SUM(F345:AE345)</f>
      </c>
      <c r="F345" s="146"/>
      <c r="G345" s="146"/>
      <c r="H345" s="146"/>
      <c r="I345" s="146"/>
      <c r="J345" s="146"/>
      <c r="K345" s="156"/>
      <c r="L345" s="146"/>
      <c r="M345" s="146"/>
      <c r="N345" s="146"/>
      <c r="O345" s="146"/>
      <c r="P345" s="156"/>
      <c r="Q345" s="146"/>
      <c r="R345" s="146"/>
      <c r="S345" s="146"/>
      <c r="T345" s="156"/>
      <c r="U345" s="146"/>
      <c r="V345" s="146"/>
      <c r="W345" s="146"/>
      <c r="X345" s="146"/>
      <c r="Y345" s="146"/>
      <c r="Z345" s="146"/>
      <c r="AA345" s="146"/>
      <c r="AB345" s="146"/>
      <c r="AC345" s="157"/>
      <c r="AD345" s="157"/>
      <c r="AE345" s="157"/>
      <c r="AF345" s="158">
        <f>SUM(AG345:AJ345)</f>
      </c>
      <c r="AG345" s="146"/>
      <c r="AH345" s="145"/>
      <c r="AI345" s="145"/>
      <c r="AJ345" s="145"/>
      <c r="AK345" s="158">
        <f>SUM(AL345:AW345)</f>
      </c>
      <c r="AL345" s="146"/>
      <c r="AM345" s="145"/>
      <c r="AN345" s="145"/>
      <c r="AO345" s="145"/>
      <c r="AP345" s="145"/>
      <c r="AQ345" s="145"/>
      <c r="AR345" s="145"/>
      <c r="AS345" s="145"/>
      <c r="AT345" s="145"/>
      <c r="AU345" s="145"/>
      <c r="AV345" s="145"/>
      <c r="AW345" s="158"/>
      <c r="AX345" s="145"/>
      <c r="AY345" s="145"/>
      <c r="AZ345" s="145"/>
      <c r="BA345" s="158"/>
      <c r="BB345" s="145"/>
      <c r="BC345" s="145"/>
      <c r="BD345" s="158"/>
      <c r="BE345" s="146"/>
      <c r="BF345" s="145"/>
      <c r="BG345" s="145"/>
      <c r="BH345" s="158">
        <f>SUM(BI345:BK345)</f>
      </c>
      <c r="BI345" s="145"/>
      <c r="BJ345" s="145"/>
      <c r="BK345" s="145"/>
      <c r="BL345" s="145">
        <f>SUM(BM345:BR345)</f>
      </c>
      <c r="BM345" s="145"/>
      <c r="BN345" s="145"/>
      <c r="BO345" s="158"/>
      <c r="BP345" s="145"/>
      <c r="BQ345" s="145"/>
      <c r="BR345" s="145"/>
      <c r="BS345" s="145"/>
      <c r="BT345" s="145"/>
      <c r="BU345" s="158"/>
      <c r="BV345" s="146"/>
      <c r="BW345" s="145"/>
      <c r="BX345" s="145"/>
      <c r="BY345" s="158">
        <f>SUM(BZ345:CB345)</f>
      </c>
      <c r="BZ345" s="146"/>
      <c r="CA345" s="145"/>
      <c r="CB345" s="145"/>
      <c r="CC345" s="145">
        <f>SUM(CD345:CH345)</f>
      </c>
      <c r="CD345" s="145"/>
      <c r="CE345" s="158"/>
      <c r="CF345" s="145"/>
      <c r="CG345" s="145"/>
      <c r="CH345" s="145"/>
      <c r="CI345" s="158"/>
      <c r="CJ345" s="145"/>
      <c r="CK345" s="145"/>
      <c r="CL345" s="145"/>
      <c r="CM345" s="145"/>
      <c r="CN345" s="145"/>
      <c r="CO345" s="145"/>
      <c r="CP345" s="145"/>
      <c r="CQ345" s="158"/>
      <c r="CR345" s="146"/>
      <c r="CS345" s="158"/>
      <c r="CT345" s="158"/>
      <c r="CU345" s="158">
        <f>SUM(CV345:CV345)</f>
      </c>
      <c r="CV345" s="146"/>
      <c r="CW345" s="145"/>
      <c r="CX345" s="145"/>
      <c r="CY345" s="145">
        <f>SUM(CZ345:DE345)</f>
      </c>
      <c r="CZ345" s="145"/>
      <c r="DA345" s="146"/>
      <c r="DB345" s="146"/>
      <c r="DC345" s="153"/>
      <c r="DD345" s="153"/>
      <c r="DE345" s="145"/>
      <c r="DF345" s="145"/>
      <c r="DG345" s="145"/>
      <c r="DH345" s="158"/>
      <c r="DI345" s="145"/>
      <c r="DJ345" s="158"/>
      <c r="DK345" s="145"/>
      <c r="DL345" s="158"/>
      <c r="DM345" s="145"/>
      <c r="DN345" s="145"/>
      <c r="DO345" s="145"/>
      <c r="DP345" s="158"/>
      <c r="DQ345" s="145"/>
      <c r="DR345" s="145"/>
      <c r="DS345" s="145"/>
      <c r="DT345" s="145"/>
      <c r="DU345" s="145">
        <f>SUM(DV345:EE345)</f>
      </c>
      <c r="DV345" s="145"/>
      <c r="DW345" s="145"/>
      <c r="DX345" s="145"/>
      <c r="DY345" s="145"/>
      <c r="DZ345" s="146"/>
      <c r="EA345" s="158"/>
      <c r="EB345" s="146"/>
      <c r="EC345" s="145"/>
      <c r="ED345" s="145"/>
      <c r="EE345" s="155"/>
      <c r="EF345" s="145">
        <f>SUM(EG345:EH345)</f>
      </c>
      <c r="EG345" s="145"/>
      <c r="EH345" s="146"/>
      <c r="EI345" s="159" cm="1">
        <f t="array" ref="EI345">ROW()-ROW(Run[#Headers])</f>
        <v>339</v>
      </c>
    </row>
    <row r="346" spans="2:139" s="79" customFormat="1" ht="11.25" x14ac:dyDescent="0.2">
      <c r="B346" s="146"/>
      <c r="C346" s="155"/>
      <c r="D346" s="145"/>
      <c r="E346" s="152">
        <f>SUM(F346:AE346)</f>
      </c>
      <c r="F346" s="146"/>
      <c r="G346" s="146"/>
      <c r="H346" s="146"/>
      <c r="I346" s="146"/>
      <c r="J346" s="146"/>
      <c r="K346" s="156"/>
      <c r="L346" s="146"/>
      <c r="M346" s="146"/>
      <c r="N346" s="146"/>
      <c r="O346" s="146"/>
      <c r="P346" s="156"/>
      <c r="Q346" s="146"/>
      <c r="R346" s="146"/>
      <c r="S346" s="146"/>
      <c r="T346" s="156"/>
      <c r="U346" s="146"/>
      <c r="V346" s="146"/>
      <c r="W346" s="146"/>
      <c r="X346" s="146"/>
      <c r="Y346" s="146"/>
      <c r="Z346" s="146"/>
      <c r="AA346" s="146"/>
      <c r="AB346" s="146"/>
      <c r="AC346" s="157"/>
      <c r="AD346" s="157"/>
      <c r="AE346" s="157"/>
      <c r="AF346" s="158">
        <f>SUM(AG346:AJ346)</f>
      </c>
      <c r="AG346" s="146"/>
      <c r="AH346" s="145"/>
      <c r="AI346" s="145"/>
      <c r="AJ346" s="145"/>
      <c r="AK346" s="158">
        <f>SUM(AL346:AW346)</f>
      </c>
      <c r="AL346" s="146"/>
      <c r="AM346" s="145"/>
      <c r="AN346" s="145"/>
      <c r="AO346" s="145"/>
      <c r="AP346" s="145"/>
      <c r="AQ346" s="145"/>
      <c r="AR346" s="145"/>
      <c r="AS346" s="145"/>
      <c r="AT346" s="145"/>
      <c r="AU346" s="145"/>
      <c r="AV346" s="145"/>
      <c r="AW346" s="158"/>
      <c r="AX346" s="145"/>
      <c r="AY346" s="145"/>
      <c r="AZ346" s="145"/>
      <c r="BA346" s="158"/>
      <c r="BB346" s="145"/>
      <c r="BC346" s="145"/>
      <c r="BD346" s="158"/>
      <c r="BE346" s="146"/>
      <c r="BF346" s="145"/>
      <c r="BG346" s="145"/>
      <c r="BH346" s="158">
        <f>SUM(BI346:BK346)</f>
      </c>
      <c r="BI346" s="145"/>
      <c r="BJ346" s="145"/>
      <c r="BK346" s="145"/>
      <c r="BL346" s="145">
        <f>SUM(BM346:BR346)</f>
      </c>
      <c r="BM346" s="145"/>
      <c r="BN346" s="145"/>
      <c r="BO346" s="158"/>
      <c r="BP346" s="145"/>
      <c r="BQ346" s="145"/>
      <c r="BR346" s="145"/>
      <c r="BS346" s="145"/>
      <c r="BT346" s="145"/>
      <c r="BU346" s="158"/>
      <c r="BV346" s="146"/>
      <c r="BW346" s="145"/>
      <c r="BX346" s="145"/>
      <c r="BY346" s="158">
        <f>SUM(BZ346:CB346)</f>
      </c>
      <c r="BZ346" s="146"/>
      <c r="CA346" s="145"/>
      <c r="CB346" s="145"/>
      <c r="CC346" s="145">
        <f>SUM(CD346:CH346)</f>
      </c>
      <c r="CD346" s="145"/>
      <c r="CE346" s="158"/>
      <c r="CF346" s="145"/>
      <c r="CG346" s="145"/>
      <c r="CH346" s="145"/>
      <c r="CI346" s="158"/>
      <c r="CJ346" s="145"/>
      <c r="CK346" s="145"/>
      <c r="CL346" s="145"/>
      <c r="CM346" s="145"/>
      <c r="CN346" s="145"/>
      <c r="CO346" s="145"/>
      <c r="CP346" s="145"/>
      <c r="CQ346" s="158"/>
      <c r="CR346" s="146"/>
      <c r="CS346" s="158"/>
      <c r="CT346" s="158"/>
      <c r="CU346" s="158">
        <f>SUM(CV346:CV346)</f>
      </c>
      <c r="CV346" s="146"/>
      <c r="CW346" s="145"/>
      <c r="CX346" s="145"/>
      <c r="CY346" s="145">
        <f>SUM(CZ346:DE346)</f>
      </c>
      <c r="CZ346" s="145"/>
      <c r="DA346" s="146"/>
      <c r="DB346" s="146"/>
      <c r="DC346" s="153"/>
      <c r="DD346" s="153"/>
      <c r="DE346" s="145"/>
      <c r="DF346" s="145"/>
      <c r="DG346" s="145"/>
      <c r="DH346" s="158"/>
      <c r="DI346" s="145"/>
      <c r="DJ346" s="158"/>
      <c r="DK346" s="145"/>
      <c r="DL346" s="158"/>
      <c r="DM346" s="145"/>
      <c r="DN346" s="145"/>
      <c r="DO346" s="145"/>
      <c r="DP346" s="158"/>
      <c r="DQ346" s="145"/>
      <c r="DR346" s="145"/>
      <c r="DS346" s="145"/>
      <c r="DT346" s="145"/>
      <c r="DU346" s="145">
        <f>SUM(DV346:EE346)</f>
      </c>
      <c r="DV346" s="145"/>
      <c r="DW346" s="145"/>
      <c r="DX346" s="145"/>
      <c r="DY346" s="145"/>
      <c r="DZ346" s="146"/>
      <c r="EA346" s="158"/>
      <c r="EB346" s="146"/>
      <c r="EC346" s="145"/>
      <c r="ED346" s="145"/>
      <c r="EE346" s="155"/>
      <c r="EF346" s="145">
        <f>SUM(EG346:EH346)</f>
      </c>
      <c r="EG346" s="145"/>
      <c r="EH346" s="146"/>
      <c r="EI346" s="159" cm="1">
        <f t="array" ref="EI346">ROW()-ROW(Run[#Headers])</f>
        <v>340</v>
      </c>
    </row>
    <row r="347" spans="2:139" s="79" customFormat="1" ht="11.25" x14ac:dyDescent="0.2">
      <c r="B347" s="146"/>
      <c r="C347" s="155"/>
      <c r="D347" s="145"/>
      <c r="E347" s="152">
        <f>SUM(F347:AE347)</f>
      </c>
      <c r="F347" s="146"/>
      <c r="G347" s="146"/>
      <c r="H347" s="146"/>
      <c r="I347" s="146"/>
      <c r="J347" s="146"/>
      <c r="K347" s="156"/>
      <c r="L347" s="146"/>
      <c r="M347" s="146"/>
      <c r="N347" s="146"/>
      <c r="O347" s="146"/>
      <c r="P347" s="156"/>
      <c r="Q347" s="146"/>
      <c r="R347" s="146"/>
      <c r="S347" s="146"/>
      <c r="T347" s="156"/>
      <c r="U347" s="146"/>
      <c r="V347" s="146"/>
      <c r="W347" s="146"/>
      <c r="X347" s="146"/>
      <c r="Y347" s="146"/>
      <c r="Z347" s="146"/>
      <c r="AA347" s="146"/>
      <c r="AB347" s="146"/>
      <c r="AC347" s="157"/>
      <c r="AD347" s="157"/>
      <c r="AE347" s="157"/>
      <c r="AF347" s="158">
        <f>SUM(AG347:AJ347)</f>
      </c>
      <c r="AG347" s="146"/>
      <c r="AH347" s="145"/>
      <c r="AI347" s="145"/>
      <c r="AJ347" s="145"/>
      <c r="AK347" s="158">
        <f>SUM(AL347:AW347)</f>
      </c>
      <c r="AL347" s="146"/>
      <c r="AM347" s="145"/>
      <c r="AN347" s="145"/>
      <c r="AO347" s="145"/>
      <c r="AP347" s="145"/>
      <c r="AQ347" s="145"/>
      <c r="AR347" s="145"/>
      <c r="AS347" s="145"/>
      <c r="AT347" s="145"/>
      <c r="AU347" s="145"/>
      <c r="AV347" s="145"/>
      <c r="AW347" s="158"/>
      <c r="AX347" s="145"/>
      <c r="AY347" s="145"/>
      <c r="AZ347" s="145"/>
      <c r="BA347" s="158"/>
      <c r="BB347" s="145"/>
      <c r="BC347" s="145"/>
      <c r="BD347" s="158"/>
      <c r="BE347" s="146"/>
      <c r="BF347" s="145"/>
      <c r="BG347" s="145"/>
      <c r="BH347" s="158">
        <f>SUM(BI347:BK347)</f>
      </c>
      <c r="BI347" s="145"/>
      <c r="BJ347" s="145"/>
      <c r="BK347" s="145"/>
      <c r="BL347" s="145">
        <f>SUM(BM347:BR347)</f>
      </c>
      <c r="BM347" s="145"/>
      <c r="BN347" s="145"/>
      <c r="BO347" s="158"/>
      <c r="BP347" s="145"/>
      <c r="BQ347" s="145"/>
      <c r="BR347" s="145"/>
      <c r="BS347" s="145"/>
      <c r="BT347" s="145"/>
      <c r="BU347" s="158"/>
      <c r="BV347" s="146"/>
      <c r="BW347" s="145"/>
      <c r="BX347" s="145"/>
      <c r="BY347" s="158">
        <f>SUM(BZ347:CB347)</f>
      </c>
      <c r="BZ347" s="146"/>
      <c r="CA347" s="145"/>
      <c r="CB347" s="145"/>
      <c r="CC347" s="145">
        <f>SUM(CD347:CH347)</f>
      </c>
      <c r="CD347" s="145"/>
      <c r="CE347" s="158"/>
      <c r="CF347" s="145"/>
      <c r="CG347" s="145"/>
      <c r="CH347" s="145"/>
      <c r="CI347" s="158"/>
      <c r="CJ347" s="145"/>
      <c r="CK347" s="145"/>
      <c r="CL347" s="145"/>
      <c r="CM347" s="145"/>
      <c r="CN347" s="145"/>
      <c r="CO347" s="145"/>
      <c r="CP347" s="145"/>
      <c r="CQ347" s="158"/>
      <c r="CR347" s="146"/>
      <c r="CS347" s="158"/>
      <c r="CT347" s="158"/>
      <c r="CU347" s="158">
        <f>SUM(CV347:CV347)</f>
      </c>
      <c r="CV347" s="146"/>
      <c r="CW347" s="145"/>
      <c r="CX347" s="145"/>
      <c r="CY347" s="145">
        <f>SUM(CZ347:DE347)</f>
      </c>
      <c r="CZ347" s="145"/>
      <c r="DA347" s="146"/>
      <c r="DB347" s="146"/>
      <c r="DC347" s="153"/>
      <c r="DD347" s="153"/>
      <c r="DE347" s="145"/>
      <c r="DF347" s="145"/>
      <c r="DG347" s="145"/>
      <c r="DH347" s="158"/>
      <c r="DI347" s="145"/>
      <c r="DJ347" s="158"/>
      <c r="DK347" s="145"/>
      <c r="DL347" s="158"/>
      <c r="DM347" s="145"/>
      <c r="DN347" s="145"/>
      <c r="DO347" s="145"/>
      <c r="DP347" s="158"/>
      <c r="DQ347" s="145"/>
      <c r="DR347" s="145"/>
      <c r="DS347" s="145"/>
      <c r="DT347" s="145"/>
      <c r="DU347" s="145">
        <f>SUM(DV347:EE347)</f>
      </c>
      <c r="DV347" s="145"/>
      <c r="DW347" s="145"/>
      <c r="DX347" s="145"/>
      <c r="DY347" s="145"/>
      <c r="DZ347" s="146"/>
      <c r="EA347" s="158"/>
      <c r="EB347" s="146"/>
      <c r="EC347" s="145"/>
      <c r="ED347" s="145"/>
      <c r="EE347" s="155"/>
      <c r="EF347" s="145">
        <f>SUM(EG347:EH347)</f>
      </c>
      <c r="EG347" s="145"/>
      <c r="EH347" s="146"/>
      <c r="EI347" s="159" cm="1">
        <f t="array" ref="EI347">ROW()-ROW(Run[#Headers])</f>
        <v>341</v>
      </c>
    </row>
    <row r="348" spans="2:139" s="79" customFormat="1" ht="11.25" x14ac:dyDescent="0.2">
      <c r="B348" s="146"/>
      <c r="C348" s="155"/>
      <c r="D348" s="145"/>
      <c r="E348" s="152">
        <f>SUM(F348:AE348)</f>
      </c>
      <c r="F348" s="146"/>
      <c r="G348" s="146"/>
      <c r="H348" s="146"/>
      <c r="I348" s="146"/>
      <c r="J348" s="146"/>
      <c r="K348" s="156"/>
      <c r="L348" s="146"/>
      <c r="M348" s="146"/>
      <c r="N348" s="146"/>
      <c r="O348" s="146"/>
      <c r="P348" s="156"/>
      <c r="Q348" s="146"/>
      <c r="R348" s="146"/>
      <c r="S348" s="146"/>
      <c r="T348" s="156"/>
      <c r="U348" s="146"/>
      <c r="V348" s="146"/>
      <c r="W348" s="146"/>
      <c r="X348" s="146"/>
      <c r="Y348" s="146"/>
      <c r="Z348" s="146"/>
      <c r="AA348" s="146"/>
      <c r="AB348" s="146"/>
      <c r="AC348" s="157"/>
      <c r="AD348" s="157"/>
      <c r="AE348" s="157"/>
      <c r="AF348" s="158">
        <f>SUM(AG348:AJ348)</f>
      </c>
      <c r="AG348" s="146"/>
      <c r="AH348" s="145"/>
      <c r="AI348" s="145"/>
      <c r="AJ348" s="145"/>
      <c r="AK348" s="158">
        <f>SUM(AL348:AW348)</f>
      </c>
      <c r="AL348" s="146"/>
      <c r="AM348" s="145"/>
      <c r="AN348" s="145"/>
      <c r="AO348" s="145"/>
      <c r="AP348" s="145"/>
      <c r="AQ348" s="145"/>
      <c r="AR348" s="145"/>
      <c r="AS348" s="145"/>
      <c r="AT348" s="145"/>
      <c r="AU348" s="145"/>
      <c r="AV348" s="145"/>
      <c r="AW348" s="158"/>
      <c r="AX348" s="145"/>
      <c r="AY348" s="145"/>
      <c r="AZ348" s="145"/>
      <c r="BA348" s="158"/>
      <c r="BB348" s="145"/>
      <c r="BC348" s="145"/>
      <c r="BD348" s="158"/>
      <c r="BE348" s="146"/>
      <c r="BF348" s="145"/>
      <c r="BG348" s="145"/>
      <c r="BH348" s="158">
        <f>SUM(BI348:BK348)</f>
      </c>
      <c r="BI348" s="145"/>
      <c r="BJ348" s="145"/>
      <c r="BK348" s="145"/>
      <c r="BL348" s="145">
        <f>SUM(BM348:BR348)</f>
      </c>
      <c r="BM348" s="145"/>
      <c r="BN348" s="145"/>
      <c r="BO348" s="158"/>
      <c r="BP348" s="145"/>
      <c r="BQ348" s="145"/>
      <c r="BR348" s="145"/>
      <c r="BS348" s="145"/>
      <c r="BT348" s="145"/>
      <c r="BU348" s="158"/>
      <c r="BV348" s="146"/>
      <c r="BW348" s="145"/>
      <c r="BX348" s="145"/>
      <c r="BY348" s="158">
        <f>SUM(BZ348:CB348)</f>
      </c>
      <c r="BZ348" s="146"/>
      <c r="CA348" s="145"/>
      <c r="CB348" s="145"/>
      <c r="CC348" s="145">
        <f>SUM(CD348:CH348)</f>
      </c>
      <c r="CD348" s="145"/>
      <c r="CE348" s="158"/>
      <c r="CF348" s="145"/>
      <c r="CG348" s="145"/>
      <c r="CH348" s="145"/>
      <c r="CI348" s="158"/>
      <c r="CJ348" s="145"/>
      <c r="CK348" s="145"/>
      <c r="CL348" s="145"/>
      <c r="CM348" s="145"/>
      <c r="CN348" s="145"/>
      <c r="CO348" s="145"/>
      <c r="CP348" s="145"/>
      <c r="CQ348" s="158"/>
      <c r="CR348" s="146"/>
      <c r="CS348" s="158"/>
      <c r="CT348" s="158"/>
      <c r="CU348" s="158">
        <f>SUM(CV348:CV348)</f>
      </c>
      <c r="CV348" s="146"/>
      <c r="CW348" s="145"/>
      <c r="CX348" s="145"/>
      <c r="CY348" s="145">
        <f>SUM(CZ348:DE348)</f>
      </c>
      <c r="CZ348" s="145"/>
      <c r="DA348" s="146"/>
      <c r="DB348" s="146"/>
      <c r="DC348" s="153"/>
      <c r="DD348" s="153"/>
      <c r="DE348" s="145"/>
      <c r="DF348" s="145"/>
      <c r="DG348" s="145"/>
      <c r="DH348" s="158"/>
      <c r="DI348" s="145"/>
      <c r="DJ348" s="158"/>
      <c r="DK348" s="145"/>
      <c r="DL348" s="158"/>
      <c r="DM348" s="145"/>
      <c r="DN348" s="145"/>
      <c r="DO348" s="145"/>
      <c r="DP348" s="158"/>
      <c r="DQ348" s="145"/>
      <c r="DR348" s="145"/>
      <c r="DS348" s="145"/>
      <c r="DT348" s="145"/>
      <c r="DU348" s="145">
        <f>SUM(DV348:EE348)</f>
      </c>
      <c r="DV348" s="145"/>
      <c r="DW348" s="145"/>
      <c r="DX348" s="145"/>
      <c r="DY348" s="145"/>
      <c r="DZ348" s="146"/>
      <c r="EA348" s="158"/>
      <c r="EB348" s="146"/>
      <c r="EC348" s="145"/>
      <c r="ED348" s="145"/>
      <c r="EE348" s="155"/>
      <c r="EF348" s="145">
        <f>SUM(EG348:EH348)</f>
      </c>
      <c r="EG348" s="145"/>
      <c r="EH348" s="146"/>
      <c r="EI348" s="159" cm="1">
        <f t="array" ref="EI348">ROW()-ROW(Run[#Headers])</f>
        <v>342</v>
      </c>
    </row>
    <row r="349" spans="2:139" s="79" customFormat="1" ht="11.25" x14ac:dyDescent="0.2">
      <c r="B349" s="146"/>
      <c r="C349" s="155"/>
      <c r="D349" s="145"/>
      <c r="E349" s="152">
        <f>SUM(F349:AE349)</f>
      </c>
      <c r="F349" s="146"/>
      <c r="G349" s="146"/>
      <c r="H349" s="146"/>
      <c r="I349" s="146"/>
      <c r="J349" s="146"/>
      <c r="K349" s="156"/>
      <c r="L349" s="146"/>
      <c r="M349" s="146"/>
      <c r="N349" s="146"/>
      <c r="O349" s="146"/>
      <c r="P349" s="156"/>
      <c r="Q349" s="146"/>
      <c r="R349" s="146"/>
      <c r="S349" s="146"/>
      <c r="T349" s="156"/>
      <c r="U349" s="146"/>
      <c r="V349" s="146"/>
      <c r="W349" s="146"/>
      <c r="X349" s="146"/>
      <c r="Y349" s="146"/>
      <c r="Z349" s="146"/>
      <c r="AA349" s="146"/>
      <c r="AB349" s="146"/>
      <c r="AC349" s="157"/>
      <c r="AD349" s="157"/>
      <c r="AE349" s="157"/>
      <c r="AF349" s="158">
        <f>SUM(AG349:AJ349)</f>
      </c>
      <c r="AG349" s="146"/>
      <c r="AH349" s="145"/>
      <c r="AI349" s="145"/>
      <c r="AJ349" s="145"/>
      <c r="AK349" s="158">
        <f>SUM(AL349:AW349)</f>
      </c>
      <c r="AL349" s="146"/>
      <c r="AM349" s="145"/>
      <c r="AN349" s="145"/>
      <c r="AO349" s="145"/>
      <c r="AP349" s="145"/>
      <c r="AQ349" s="145"/>
      <c r="AR349" s="145"/>
      <c r="AS349" s="145"/>
      <c r="AT349" s="145"/>
      <c r="AU349" s="145"/>
      <c r="AV349" s="145"/>
      <c r="AW349" s="158"/>
      <c r="AX349" s="145"/>
      <c r="AY349" s="145"/>
      <c r="AZ349" s="145"/>
      <c r="BA349" s="158"/>
      <c r="BB349" s="145"/>
      <c r="BC349" s="145"/>
      <c r="BD349" s="158"/>
      <c r="BE349" s="146"/>
      <c r="BF349" s="145"/>
      <c r="BG349" s="145"/>
      <c r="BH349" s="158">
        <f>SUM(BI349:BK349)</f>
      </c>
      <c r="BI349" s="145"/>
      <c r="BJ349" s="145"/>
      <c r="BK349" s="145"/>
      <c r="BL349" s="145">
        <f>SUM(BM349:BR349)</f>
      </c>
      <c r="BM349" s="145"/>
      <c r="BN349" s="145"/>
      <c r="BO349" s="158"/>
      <c r="BP349" s="145"/>
      <c r="BQ349" s="145"/>
      <c r="BR349" s="145"/>
      <c r="BS349" s="145"/>
      <c r="BT349" s="145"/>
      <c r="BU349" s="158"/>
      <c r="BV349" s="146"/>
      <c r="BW349" s="145"/>
      <c r="BX349" s="145"/>
      <c r="BY349" s="158">
        <f>SUM(BZ349:CB349)</f>
      </c>
      <c r="BZ349" s="146"/>
      <c r="CA349" s="145"/>
      <c r="CB349" s="145"/>
      <c r="CC349" s="145">
        <f>SUM(CD349:CH349)</f>
      </c>
      <c r="CD349" s="145"/>
      <c r="CE349" s="158"/>
      <c r="CF349" s="145"/>
      <c r="CG349" s="145"/>
      <c r="CH349" s="145"/>
      <c r="CI349" s="158"/>
      <c r="CJ349" s="145"/>
      <c r="CK349" s="145"/>
      <c r="CL349" s="145"/>
      <c r="CM349" s="145"/>
      <c r="CN349" s="145"/>
      <c r="CO349" s="145"/>
      <c r="CP349" s="145"/>
      <c r="CQ349" s="158"/>
      <c r="CR349" s="146"/>
      <c r="CS349" s="158"/>
      <c r="CT349" s="158"/>
      <c r="CU349" s="158">
        <f>SUM(CV349:CV349)</f>
      </c>
      <c r="CV349" s="146"/>
      <c r="CW349" s="145"/>
      <c r="CX349" s="145"/>
      <c r="CY349" s="145">
        <f>SUM(CZ349:DE349)</f>
      </c>
      <c r="CZ349" s="145"/>
      <c r="DA349" s="146"/>
      <c r="DB349" s="146"/>
      <c r="DC349" s="153"/>
      <c r="DD349" s="153"/>
      <c r="DE349" s="145"/>
      <c r="DF349" s="145"/>
      <c r="DG349" s="145"/>
      <c r="DH349" s="158"/>
      <c r="DI349" s="145"/>
      <c r="DJ349" s="158"/>
      <c r="DK349" s="145"/>
      <c r="DL349" s="158"/>
      <c r="DM349" s="145"/>
      <c r="DN349" s="145"/>
      <c r="DO349" s="145"/>
      <c r="DP349" s="158"/>
      <c r="DQ349" s="145"/>
      <c r="DR349" s="145"/>
      <c r="DS349" s="145"/>
      <c r="DT349" s="145"/>
      <c r="DU349" s="145">
        <f>SUM(DV349:EE349)</f>
      </c>
      <c r="DV349" s="145"/>
      <c r="DW349" s="145"/>
      <c r="DX349" s="145"/>
      <c r="DY349" s="145"/>
      <c r="DZ349" s="146"/>
      <c r="EA349" s="158"/>
      <c r="EB349" s="146"/>
      <c r="EC349" s="145"/>
      <c r="ED349" s="145"/>
      <c r="EE349" s="155"/>
      <c r="EF349" s="145">
        <f>SUM(EG349:EH349)</f>
      </c>
      <c r="EG349" s="145"/>
      <c r="EH349" s="146"/>
      <c r="EI349" s="159" cm="1">
        <f t="array" ref="EI349">ROW()-ROW(Run[#Headers])</f>
        <v>343</v>
      </c>
    </row>
    <row r="350" spans="2:139" s="79" customFormat="1" ht="11.25" x14ac:dyDescent="0.2">
      <c r="B350" s="146"/>
      <c r="C350" s="155"/>
      <c r="D350" s="145"/>
      <c r="E350" s="152">
        <f>SUM(F350:AE350)</f>
      </c>
      <c r="F350" s="146"/>
      <c r="G350" s="146"/>
      <c r="H350" s="146"/>
      <c r="I350" s="146"/>
      <c r="J350" s="146"/>
      <c r="K350" s="156"/>
      <c r="L350" s="146"/>
      <c r="M350" s="146"/>
      <c r="N350" s="146"/>
      <c r="O350" s="146"/>
      <c r="P350" s="156"/>
      <c r="Q350" s="146"/>
      <c r="R350" s="146"/>
      <c r="S350" s="146"/>
      <c r="T350" s="156"/>
      <c r="U350" s="146"/>
      <c r="V350" s="146"/>
      <c r="W350" s="146"/>
      <c r="X350" s="146"/>
      <c r="Y350" s="146"/>
      <c r="Z350" s="146"/>
      <c r="AA350" s="146"/>
      <c r="AB350" s="146"/>
      <c r="AC350" s="157"/>
      <c r="AD350" s="157"/>
      <c r="AE350" s="157"/>
      <c r="AF350" s="158">
        <f>SUM(AG350:AJ350)</f>
      </c>
      <c r="AG350" s="146"/>
      <c r="AH350" s="145"/>
      <c r="AI350" s="145"/>
      <c r="AJ350" s="145"/>
      <c r="AK350" s="158">
        <f>SUM(AL350:AW350)</f>
      </c>
      <c r="AL350" s="146"/>
      <c r="AM350" s="145"/>
      <c r="AN350" s="145"/>
      <c r="AO350" s="145"/>
      <c r="AP350" s="145"/>
      <c r="AQ350" s="145"/>
      <c r="AR350" s="145"/>
      <c r="AS350" s="145"/>
      <c r="AT350" s="145"/>
      <c r="AU350" s="145"/>
      <c r="AV350" s="145"/>
      <c r="AW350" s="158"/>
      <c r="AX350" s="145"/>
      <c r="AY350" s="145"/>
      <c r="AZ350" s="145"/>
      <c r="BA350" s="158"/>
      <c r="BB350" s="145"/>
      <c r="BC350" s="145"/>
      <c r="BD350" s="158"/>
      <c r="BE350" s="146"/>
      <c r="BF350" s="145"/>
      <c r="BG350" s="145"/>
      <c r="BH350" s="158">
        <f>SUM(BI350:BK350)</f>
      </c>
      <c r="BI350" s="145"/>
      <c r="BJ350" s="145"/>
      <c r="BK350" s="145"/>
      <c r="BL350" s="145">
        <f>SUM(BM350:BR350)</f>
      </c>
      <c r="BM350" s="145"/>
      <c r="BN350" s="145"/>
      <c r="BO350" s="158"/>
      <c r="BP350" s="145"/>
      <c r="BQ350" s="145"/>
      <c r="BR350" s="145"/>
      <c r="BS350" s="145"/>
      <c r="BT350" s="145"/>
      <c r="BU350" s="158"/>
      <c r="BV350" s="146"/>
      <c r="BW350" s="145"/>
      <c r="BX350" s="145"/>
      <c r="BY350" s="158">
        <f>SUM(BZ350:CB350)</f>
      </c>
      <c r="BZ350" s="146"/>
      <c r="CA350" s="145"/>
      <c r="CB350" s="145"/>
      <c r="CC350" s="145">
        <f>SUM(CD350:CH350)</f>
      </c>
      <c r="CD350" s="145"/>
      <c r="CE350" s="158"/>
      <c r="CF350" s="145"/>
      <c r="CG350" s="145"/>
      <c r="CH350" s="145"/>
      <c r="CI350" s="158"/>
      <c r="CJ350" s="145"/>
      <c r="CK350" s="145"/>
      <c r="CL350" s="145"/>
      <c r="CM350" s="145"/>
      <c r="CN350" s="145"/>
      <c r="CO350" s="145"/>
      <c r="CP350" s="145"/>
      <c r="CQ350" s="158"/>
      <c r="CR350" s="146"/>
      <c r="CS350" s="158"/>
      <c r="CT350" s="158"/>
      <c r="CU350" s="158">
        <f>SUM(CV350:CV350)</f>
      </c>
      <c r="CV350" s="146"/>
      <c r="CW350" s="145"/>
      <c r="CX350" s="145"/>
      <c r="CY350" s="145">
        <f>SUM(CZ350:DE350)</f>
      </c>
      <c r="CZ350" s="145"/>
      <c r="DA350" s="146"/>
      <c r="DB350" s="146"/>
      <c r="DC350" s="153"/>
      <c r="DD350" s="153"/>
      <c r="DE350" s="145"/>
      <c r="DF350" s="145"/>
      <c r="DG350" s="145"/>
      <c r="DH350" s="158"/>
      <c r="DI350" s="145"/>
      <c r="DJ350" s="158"/>
      <c r="DK350" s="145"/>
      <c r="DL350" s="158"/>
      <c r="DM350" s="145"/>
      <c r="DN350" s="145"/>
      <c r="DO350" s="145"/>
      <c r="DP350" s="158"/>
      <c r="DQ350" s="145"/>
      <c r="DR350" s="145"/>
      <c r="DS350" s="145"/>
      <c r="DT350" s="145"/>
      <c r="DU350" s="145">
        <f>SUM(DV350:EE350)</f>
      </c>
      <c r="DV350" s="145"/>
      <c r="DW350" s="145"/>
      <c r="DX350" s="145"/>
      <c r="DY350" s="145"/>
      <c r="DZ350" s="146"/>
      <c r="EA350" s="158"/>
      <c r="EB350" s="146"/>
      <c r="EC350" s="145"/>
      <c r="ED350" s="145"/>
      <c r="EE350" s="155"/>
      <c r="EF350" s="145">
        <f>SUM(EG350:EH350)</f>
      </c>
      <c r="EG350" s="145"/>
      <c r="EH350" s="146"/>
      <c r="EI350" s="159" cm="1">
        <f t="array" ref="EI350">ROW()-ROW(Run[#Headers])</f>
        <v>344</v>
      </c>
    </row>
    <row r="351" spans="2:139" s="79" customFormat="1" ht="11.25" x14ac:dyDescent="0.2">
      <c r="B351" s="146"/>
      <c r="C351" s="155"/>
      <c r="D351" s="145"/>
      <c r="E351" s="152">
        <f>SUM(F351:AE351)</f>
      </c>
      <c r="F351" s="146"/>
      <c r="G351" s="146"/>
      <c r="H351" s="146"/>
      <c r="I351" s="146"/>
      <c r="J351" s="146"/>
      <c r="K351" s="156"/>
      <c r="L351" s="146"/>
      <c r="M351" s="146"/>
      <c r="N351" s="146"/>
      <c r="O351" s="146"/>
      <c r="P351" s="156"/>
      <c r="Q351" s="146"/>
      <c r="R351" s="146"/>
      <c r="S351" s="146"/>
      <c r="T351" s="156"/>
      <c r="U351" s="146"/>
      <c r="V351" s="146"/>
      <c r="W351" s="146"/>
      <c r="X351" s="146"/>
      <c r="Y351" s="146"/>
      <c r="Z351" s="146"/>
      <c r="AA351" s="146"/>
      <c r="AB351" s="146"/>
      <c r="AC351" s="157"/>
      <c r="AD351" s="157"/>
      <c r="AE351" s="157"/>
      <c r="AF351" s="158">
        <f>SUM(AG351:AJ351)</f>
      </c>
      <c r="AG351" s="146"/>
      <c r="AH351" s="145"/>
      <c r="AI351" s="145"/>
      <c r="AJ351" s="145"/>
      <c r="AK351" s="158">
        <f>SUM(AL351:AW351)</f>
      </c>
      <c r="AL351" s="146"/>
      <c r="AM351" s="145"/>
      <c r="AN351" s="145"/>
      <c r="AO351" s="145"/>
      <c r="AP351" s="145"/>
      <c r="AQ351" s="145"/>
      <c r="AR351" s="145"/>
      <c r="AS351" s="145"/>
      <c r="AT351" s="145"/>
      <c r="AU351" s="145"/>
      <c r="AV351" s="145"/>
      <c r="AW351" s="158"/>
      <c r="AX351" s="145"/>
      <c r="AY351" s="145"/>
      <c r="AZ351" s="145"/>
      <c r="BA351" s="158"/>
      <c r="BB351" s="145"/>
      <c r="BC351" s="145"/>
      <c r="BD351" s="158"/>
      <c r="BE351" s="146"/>
      <c r="BF351" s="145"/>
      <c r="BG351" s="145"/>
      <c r="BH351" s="158">
        <f>SUM(BI351:BK351)</f>
      </c>
      <c r="BI351" s="145"/>
      <c r="BJ351" s="145"/>
      <c r="BK351" s="145"/>
      <c r="BL351" s="145">
        <f>SUM(BM351:BR351)</f>
      </c>
      <c r="BM351" s="145"/>
      <c r="BN351" s="145"/>
      <c r="BO351" s="158"/>
      <c r="BP351" s="145"/>
      <c r="BQ351" s="145"/>
      <c r="BR351" s="145"/>
      <c r="BS351" s="145"/>
      <c r="BT351" s="145"/>
      <c r="BU351" s="158"/>
      <c r="BV351" s="146"/>
      <c r="BW351" s="145"/>
      <c r="BX351" s="145"/>
      <c r="BY351" s="158">
        <f>SUM(BZ351:CB351)</f>
      </c>
      <c r="BZ351" s="146"/>
      <c r="CA351" s="145"/>
      <c r="CB351" s="145"/>
      <c r="CC351" s="145">
        <f>SUM(CD351:CH351)</f>
      </c>
      <c r="CD351" s="145"/>
      <c r="CE351" s="158"/>
      <c r="CF351" s="145"/>
      <c r="CG351" s="145"/>
      <c r="CH351" s="145"/>
      <c r="CI351" s="158"/>
      <c r="CJ351" s="145"/>
      <c r="CK351" s="145"/>
      <c r="CL351" s="145"/>
      <c r="CM351" s="145"/>
      <c r="CN351" s="145"/>
      <c r="CO351" s="145"/>
      <c r="CP351" s="145"/>
      <c r="CQ351" s="158"/>
      <c r="CR351" s="146"/>
      <c r="CS351" s="158"/>
      <c r="CT351" s="158"/>
      <c r="CU351" s="158">
        <f>SUM(CV351:CV351)</f>
      </c>
      <c r="CV351" s="146"/>
      <c r="CW351" s="145"/>
      <c r="CX351" s="145"/>
      <c r="CY351" s="145">
        <f>SUM(CZ351:DE351)</f>
      </c>
      <c r="CZ351" s="145"/>
      <c r="DA351" s="146"/>
      <c r="DB351" s="146"/>
      <c r="DC351" s="153"/>
      <c r="DD351" s="153"/>
      <c r="DE351" s="145"/>
      <c r="DF351" s="145"/>
      <c r="DG351" s="145"/>
      <c r="DH351" s="158"/>
      <c r="DI351" s="145"/>
      <c r="DJ351" s="158"/>
      <c r="DK351" s="145"/>
      <c r="DL351" s="158"/>
      <c r="DM351" s="145"/>
      <c r="DN351" s="145"/>
      <c r="DO351" s="145"/>
      <c r="DP351" s="158"/>
      <c r="DQ351" s="145"/>
      <c r="DR351" s="145"/>
      <c r="DS351" s="145"/>
      <c r="DT351" s="145"/>
      <c r="DU351" s="145">
        <f>SUM(DV351:EE351)</f>
      </c>
      <c r="DV351" s="145"/>
      <c r="DW351" s="145"/>
      <c r="DX351" s="145"/>
      <c r="DY351" s="145"/>
      <c r="DZ351" s="146"/>
      <c r="EA351" s="158"/>
      <c r="EB351" s="146"/>
      <c r="EC351" s="145"/>
      <c r="ED351" s="145"/>
      <c r="EE351" s="155"/>
      <c r="EF351" s="145">
        <f>SUM(EG351:EH351)</f>
      </c>
      <c r="EG351" s="145"/>
      <c r="EH351" s="146"/>
      <c r="EI351" s="159" cm="1">
        <f t="array" ref="EI351">ROW()-ROW(Run[#Headers])</f>
        <v>345</v>
      </c>
    </row>
    <row r="352" spans="2:139" s="79" customFormat="1" ht="11.25" x14ac:dyDescent="0.2">
      <c r="B352" s="146"/>
      <c r="C352" s="155"/>
      <c r="D352" s="145"/>
      <c r="E352" s="152">
        <f>SUM(F352:AE352)</f>
      </c>
      <c r="F352" s="146"/>
      <c r="G352" s="146"/>
      <c r="H352" s="146"/>
      <c r="I352" s="146"/>
      <c r="J352" s="146"/>
      <c r="K352" s="156"/>
      <c r="L352" s="146"/>
      <c r="M352" s="146"/>
      <c r="N352" s="146"/>
      <c r="O352" s="146"/>
      <c r="P352" s="156"/>
      <c r="Q352" s="146"/>
      <c r="R352" s="146"/>
      <c r="S352" s="146"/>
      <c r="T352" s="156"/>
      <c r="U352" s="146"/>
      <c r="V352" s="146"/>
      <c r="W352" s="146"/>
      <c r="X352" s="146"/>
      <c r="Y352" s="146"/>
      <c r="Z352" s="146"/>
      <c r="AA352" s="146"/>
      <c r="AB352" s="146"/>
      <c r="AC352" s="157"/>
      <c r="AD352" s="157"/>
      <c r="AE352" s="157"/>
      <c r="AF352" s="158">
        <f>SUM(AG352:AJ352)</f>
      </c>
      <c r="AG352" s="146"/>
      <c r="AH352" s="145"/>
      <c r="AI352" s="145"/>
      <c r="AJ352" s="145"/>
      <c r="AK352" s="158">
        <f>SUM(AL352:AW352)</f>
      </c>
      <c r="AL352" s="146"/>
      <c r="AM352" s="145"/>
      <c r="AN352" s="145"/>
      <c r="AO352" s="145"/>
      <c r="AP352" s="145"/>
      <c r="AQ352" s="145"/>
      <c r="AR352" s="145"/>
      <c r="AS352" s="145"/>
      <c r="AT352" s="145"/>
      <c r="AU352" s="145"/>
      <c r="AV352" s="145"/>
      <c r="AW352" s="158"/>
      <c r="AX352" s="145"/>
      <c r="AY352" s="145"/>
      <c r="AZ352" s="145"/>
      <c r="BA352" s="158"/>
      <c r="BB352" s="145"/>
      <c r="BC352" s="145"/>
      <c r="BD352" s="158"/>
      <c r="BE352" s="146"/>
      <c r="BF352" s="145"/>
      <c r="BG352" s="145"/>
      <c r="BH352" s="158">
        <f>SUM(BI352:BK352)</f>
      </c>
      <c r="BI352" s="145"/>
      <c r="BJ352" s="145"/>
      <c r="BK352" s="145"/>
      <c r="BL352" s="145">
        <f>SUM(BM352:BR352)</f>
      </c>
      <c r="BM352" s="145"/>
      <c r="BN352" s="145"/>
      <c r="BO352" s="158"/>
      <c r="BP352" s="145"/>
      <c r="BQ352" s="145"/>
      <c r="BR352" s="145"/>
      <c r="BS352" s="145"/>
      <c r="BT352" s="145"/>
      <c r="BU352" s="158"/>
      <c r="BV352" s="146"/>
      <c r="BW352" s="145"/>
      <c r="BX352" s="145"/>
      <c r="BY352" s="158">
        <f>SUM(BZ352:CB352)</f>
      </c>
      <c r="BZ352" s="146"/>
      <c r="CA352" s="145"/>
      <c r="CB352" s="145"/>
      <c r="CC352" s="145">
        <f>SUM(CD352:CH352)</f>
      </c>
      <c r="CD352" s="145"/>
      <c r="CE352" s="158"/>
      <c r="CF352" s="145"/>
      <c r="CG352" s="145"/>
      <c r="CH352" s="145"/>
      <c r="CI352" s="158"/>
      <c r="CJ352" s="145"/>
      <c r="CK352" s="145"/>
      <c r="CL352" s="145"/>
      <c r="CM352" s="145"/>
      <c r="CN352" s="145"/>
      <c r="CO352" s="145"/>
      <c r="CP352" s="145"/>
      <c r="CQ352" s="158"/>
      <c r="CR352" s="146"/>
      <c r="CS352" s="158"/>
      <c r="CT352" s="158"/>
      <c r="CU352" s="158">
        <f>SUM(CV352:CV352)</f>
      </c>
      <c r="CV352" s="146"/>
      <c r="CW352" s="145"/>
      <c r="CX352" s="145"/>
      <c r="CY352" s="145">
        <f>SUM(CZ352:DE352)</f>
      </c>
      <c r="CZ352" s="145"/>
      <c r="DA352" s="146"/>
      <c r="DB352" s="146"/>
      <c r="DC352" s="153"/>
      <c r="DD352" s="153"/>
      <c r="DE352" s="145"/>
      <c r="DF352" s="145"/>
      <c r="DG352" s="145"/>
      <c r="DH352" s="158"/>
      <c r="DI352" s="145"/>
      <c r="DJ352" s="158"/>
      <c r="DK352" s="145"/>
      <c r="DL352" s="158"/>
      <c r="DM352" s="145"/>
      <c r="DN352" s="145"/>
      <c r="DO352" s="145"/>
      <c r="DP352" s="158"/>
      <c r="DQ352" s="145"/>
      <c r="DR352" s="145"/>
      <c r="DS352" s="145"/>
      <c r="DT352" s="145"/>
      <c r="DU352" s="145">
        <f>SUM(DV352:EE352)</f>
      </c>
      <c r="DV352" s="145"/>
      <c r="DW352" s="145"/>
      <c r="DX352" s="145"/>
      <c r="DY352" s="145"/>
      <c r="DZ352" s="146"/>
      <c r="EA352" s="158"/>
      <c r="EB352" s="146"/>
      <c r="EC352" s="145"/>
      <c r="ED352" s="145"/>
      <c r="EE352" s="155"/>
      <c r="EF352" s="145">
        <f>SUM(EG352:EH352)</f>
      </c>
      <c r="EG352" s="145"/>
      <c r="EH352" s="146"/>
      <c r="EI352" s="159" cm="1">
        <f t="array" ref="EI352">ROW()-ROW(Run[#Headers])</f>
        <v>346</v>
      </c>
    </row>
    <row r="353" spans="2:139" s="79" customFormat="1" ht="11.25" x14ac:dyDescent="0.2">
      <c r="B353" s="146"/>
      <c r="C353" s="155"/>
      <c r="D353" s="145"/>
      <c r="E353" s="152">
        <f>SUM(F353:AE353)</f>
      </c>
      <c r="F353" s="146"/>
      <c r="G353" s="146"/>
      <c r="H353" s="146"/>
      <c r="I353" s="146"/>
      <c r="J353" s="146"/>
      <c r="K353" s="156"/>
      <c r="L353" s="146"/>
      <c r="M353" s="146"/>
      <c r="N353" s="146"/>
      <c r="O353" s="146"/>
      <c r="P353" s="156"/>
      <c r="Q353" s="146"/>
      <c r="R353" s="146"/>
      <c r="S353" s="146"/>
      <c r="T353" s="156"/>
      <c r="U353" s="146"/>
      <c r="V353" s="146"/>
      <c r="W353" s="146"/>
      <c r="X353" s="146"/>
      <c r="Y353" s="146"/>
      <c r="Z353" s="146"/>
      <c r="AA353" s="146"/>
      <c r="AB353" s="146"/>
      <c r="AC353" s="157"/>
      <c r="AD353" s="157"/>
      <c r="AE353" s="157"/>
      <c r="AF353" s="158">
        <f>SUM(AG353:AJ353)</f>
      </c>
      <c r="AG353" s="146"/>
      <c r="AH353" s="145"/>
      <c r="AI353" s="145"/>
      <c r="AJ353" s="145"/>
      <c r="AK353" s="158">
        <f>SUM(AL353:AW353)</f>
      </c>
      <c r="AL353" s="146"/>
      <c r="AM353" s="145"/>
      <c r="AN353" s="145"/>
      <c r="AO353" s="145"/>
      <c r="AP353" s="145"/>
      <c r="AQ353" s="145"/>
      <c r="AR353" s="145"/>
      <c r="AS353" s="145"/>
      <c r="AT353" s="145"/>
      <c r="AU353" s="145"/>
      <c r="AV353" s="145"/>
      <c r="AW353" s="158"/>
      <c r="AX353" s="145"/>
      <c r="AY353" s="145"/>
      <c r="AZ353" s="145"/>
      <c r="BA353" s="158"/>
      <c r="BB353" s="145"/>
      <c r="BC353" s="145"/>
      <c r="BD353" s="158"/>
      <c r="BE353" s="146"/>
      <c r="BF353" s="145"/>
      <c r="BG353" s="145"/>
      <c r="BH353" s="158">
        <f>SUM(BI353:BK353)</f>
      </c>
      <c r="BI353" s="145"/>
      <c r="BJ353" s="145"/>
      <c r="BK353" s="145"/>
      <c r="BL353" s="145">
        <f>SUM(BM353:BR353)</f>
      </c>
      <c r="BM353" s="145"/>
      <c r="BN353" s="145"/>
      <c r="BO353" s="158"/>
      <c r="BP353" s="145"/>
      <c r="BQ353" s="145"/>
      <c r="BR353" s="145"/>
      <c r="BS353" s="145"/>
      <c r="BT353" s="145"/>
      <c r="BU353" s="158"/>
      <c r="BV353" s="146"/>
      <c r="BW353" s="145"/>
      <c r="BX353" s="145"/>
      <c r="BY353" s="158">
        <f>SUM(BZ353:CB353)</f>
      </c>
      <c r="BZ353" s="146"/>
      <c r="CA353" s="145"/>
      <c r="CB353" s="145"/>
      <c r="CC353" s="145">
        <f>SUM(CD353:CH353)</f>
      </c>
      <c r="CD353" s="145"/>
      <c r="CE353" s="158"/>
      <c r="CF353" s="145"/>
      <c r="CG353" s="145"/>
      <c r="CH353" s="145"/>
      <c r="CI353" s="158"/>
      <c r="CJ353" s="145"/>
      <c r="CK353" s="145"/>
      <c r="CL353" s="145"/>
      <c r="CM353" s="145"/>
      <c r="CN353" s="145"/>
      <c r="CO353" s="145"/>
      <c r="CP353" s="145"/>
      <c r="CQ353" s="158"/>
      <c r="CR353" s="146"/>
      <c r="CS353" s="158"/>
      <c r="CT353" s="158"/>
      <c r="CU353" s="158">
        <f>SUM(CV353:CV353)</f>
      </c>
      <c r="CV353" s="146"/>
      <c r="CW353" s="145"/>
      <c r="CX353" s="145"/>
      <c r="CY353" s="145">
        <f>SUM(CZ353:DE353)</f>
      </c>
      <c r="CZ353" s="145"/>
      <c r="DA353" s="146"/>
      <c r="DB353" s="146"/>
      <c r="DC353" s="153"/>
      <c r="DD353" s="153"/>
      <c r="DE353" s="145"/>
      <c r="DF353" s="145"/>
      <c r="DG353" s="145"/>
      <c r="DH353" s="158"/>
      <c r="DI353" s="145"/>
      <c r="DJ353" s="158"/>
      <c r="DK353" s="145"/>
      <c r="DL353" s="158"/>
      <c r="DM353" s="145"/>
      <c r="DN353" s="145"/>
      <c r="DO353" s="145"/>
      <c r="DP353" s="158"/>
      <c r="DQ353" s="145"/>
      <c r="DR353" s="145"/>
      <c r="DS353" s="145"/>
      <c r="DT353" s="145"/>
      <c r="DU353" s="145">
        <f>SUM(DV353:EE353)</f>
      </c>
      <c r="DV353" s="145"/>
      <c r="DW353" s="145"/>
      <c r="DX353" s="145"/>
      <c r="DY353" s="145"/>
      <c r="DZ353" s="146"/>
      <c r="EA353" s="158"/>
      <c r="EB353" s="146"/>
      <c r="EC353" s="145"/>
      <c r="ED353" s="145"/>
      <c r="EE353" s="155"/>
      <c r="EF353" s="145">
        <f>SUM(EG353:EH353)</f>
      </c>
      <c r="EG353" s="145"/>
      <c r="EH353" s="146"/>
      <c r="EI353" s="159" cm="1">
        <f t="array" ref="EI353">ROW()-ROW(Run[#Headers])</f>
        <v>347</v>
      </c>
    </row>
    <row r="354" spans="2:139" s="79" customFormat="1" ht="11.25" x14ac:dyDescent="0.2">
      <c r="B354" s="146"/>
      <c r="C354" s="155"/>
      <c r="D354" s="145"/>
      <c r="E354" s="152">
        <f>SUM(F354:AE354)</f>
      </c>
      <c r="F354" s="146"/>
      <c r="G354" s="146"/>
      <c r="H354" s="146"/>
      <c r="I354" s="146"/>
      <c r="J354" s="146"/>
      <c r="K354" s="156"/>
      <c r="L354" s="146"/>
      <c r="M354" s="146"/>
      <c r="N354" s="146"/>
      <c r="O354" s="146"/>
      <c r="P354" s="156"/>
      <c r="Q354" s="146"/>
      <c r="R354" s="146"/>
      <c r="S354" s="146"/>
      <c r="T354" s="156"/>
      <c r="U354" s="146"/>
      <c r="V354" s="146"/>
      <c r="W354" s="146"/>
      <c r="X354" s="146"/>
      <c r="Y354" s="146"/>
      <c r="Z354" s="146"/>
      <c r="AA354" s="146"/>
      <c r="AB354" s="146"/>
      <c r="AC354" s="157"/>
      <c r="AD354" s="157"/>
      <c r="AE354" s="157"/>
      <c r="AF354" s="158">
        <f>SUM(AG354:AJ354)</f>
      </c>
      <c r="AG354" s="146"/>
      <c r="AH354" s="145"/>
      <c r="AI354" s="145"/>
      <c r="AJ354" s="145"/>
      <c r="AK354" s="158">
        <f>SUM(AL354:AW354)</f>
      </c>
      <c r="AL354" s="146"/>
      <c r="AM354" s="145"/>
      <c r="AN354" s="145"/>
      <c r="AO354" s="145"/>
      <c r="AP354" s="145"/>
      <c r="AQ354" s="145"/>
      <c r="AR354" s="145"/>
      <c r="AS354" s="145"/>
      <c r="AT354" s="145"/>
      <c r="AU354" s="145"/>
      <c r="AV354" s="145"/>
      <c r="AW354" s="158"/>
      <c r="AX354" s="145"/>
      <c r="AY354" s="145"/>
      <c r="AZ354" s="145"/>
      <c r="BA354" s="158"/>
      <c r="BB354" s="145"/>
      <c r="BC354" s="145"/>
      <c r="BD354" s="158"/>
      <c r="BE354" s="146"/>
      <c r="BF354" s="145"/>
      <c r="BG354" s="145"/>
      <c r="BH354" s="158">
        <f>SUM(BI354:BK354)</f>
      </c>
      <c r="BI354" s="145"/>
      <c r="BJ354" s="145"/>
      <c r="BK354" s="145"/>
      <c r="BL354" s="145">
        <f>SUM(BM354:BR354)</f>
      </c>
      <c r="BM354" s="145"/>
      <c r="BN354" s="145"/>
      <c r="BO354" s="158"/>
      <c r="BP354" s="145"/>
      <c r="BQ354" s="145"/>
      <c r="BR354" s="145"/>
      <c r="BS354" s="145"/>
      <c r="BT354" s="145"/>
      <c r="BU354" s="158"/>
      <c r="BV354" s="146"/>
      <c r="BW354" s="145"/>
      <c r="BX354" s="145"/>
      <c r="BY354" s="158">
        <f>SUM(BZ354:CB354)</f>
      </c>
      <c r="BZ354" s="146"/>
      <c r="CA354" s="145"/>
      <c r="CB354" s="145"/>
      <c r="CC354" s="145">
        <f>SUM(CD354:CH354)</f>
      </c>
      <c r="CD354" s="145"/>
      <c r="CE354" s="158"/>
      <c r="CF354" s="145"/>
      <c r="CG354" s="145"/>
      <c r="CH354" s="145"/>
      <c r="CI354" s="158"/>
      <c r="CJ354" s="145"/>
      <c r="CK354" s="145"/>
      <c r="CL354" s="145"/>
      <c r="CM354" s="145"/>
      <c r="CN354" s="145"/>
      <c r="CO354" s="145"/>
      <c r="CP354" s="145"/>
      <c r="CQ354" s="158"/>
      <c r="CR354" s="146"/>
      <c r="CS354" s="158"/>
      <c r="CT354" s="158"/>
      <c r="CU354" s="158">
        <f>SUM(CV354:CV354)</f>
      </c>
      <c r="CV354" s="146"/>
      <c r="CW354" s="145"/>
      <c r="CX354" s="145"/>
      <c r="CY354" s="145">
        <f>SUM(CZ354:DE354)</f>
      </c>
      <c r="CZ354" s="145"/>
      <c r="DA354" s="146"/>
      <c r="DB354" s="146"/>
      <c r="DC354" s="153"/>
      <c r="DD354" s="153"/>
      <c r="DE354" s="145"/>
      <c r="DF354" s="145"/>
      <c r="DG354" s="145"/>
      <c r="DH354" s="158"/>
      <c r="DI354" s="145"/>
      <c r="DJ354" s="158"/>
      <c r="DK354" s="145"/>
      <c r="DL354" s="158"/>
      <c r="DM354" s="145"/>
      <c r="DN354" s="145"/>
      <c r="DO354" s="145"/>
      <c r="DP354" s="158"/>
      <c r="DQ354" s="145"/>
      <c r="DR354" s="145"/>
      <c r="DS354" s="145"/>
      <c r="DT354" s="145"/>
      <c r="DU354" s="145">
        <f>SUM(DV354:EE354)</f>
      </c>
      <c r="DV354" s="145"/>
      <c r="DW354" s="145"/>
      <c r="DX354" s="145"/>
      <c r="DY354" s="145"/>
      <c r="DZ354" s="146"/>
      <c r="EA354" s="158"/>
      <c r="EB354" s="146"/>
      <c r="EC354" s="145"/>
      <c r="ED354" s="145"/>
      <c r="EE354" s="155"/>
      <c r="EF354" s="145">
        <f>SUM(EG354:EH354)</f>
      </c>
      <c r="EG354" s="145"/>
      <c r="EH354" s="146"/>
      <c r="EI354" s="159" cm="1">
        <f t="array" ref="EI354">ROW()-ROW(Run[#Headers])</f>
        <v>348</v>
      </c>
    </row>
    <row r="355" spans="2:139" s="79" customFormat="1" ht="11.25" x14ac:dyDescent="0.2">
      <c r="B355" s="146"/>
      <c r="C355" s="155"/>
      <c r="D355" s="145"/>
      <c r="E355" s="152">
        <f>SUM(F355:AE355)</f>
      </c>
      <c r="F355" s="146"/>
      <c r="G355" s="146"/>
      <c r="H355" s="146"/>
      <c r="I355" s="146"/>
      <c r="J355" s="146"/>
      <c r="K355" s="156"/>
      <c r="L355" s="146"/>
      <c r="M355" s="146"/>
      <c r="N355" s="146"/>
      <c r="O355" s="146"/>
      <c r="P355" s="156"/>
      <c r="Q355" s="146"/>
      <c r="R355" s="146"/>
      <c r="S355" s="146"/>
      <c r="T355" s="156"/>
      <c r="U355" s="146"/>
      <c r="V355" s="146"/>
      <c r="W355" s="146"/>
      <c r="X355" s="146"/>
      <c r="Y355" s="146"/>
      <c r="Z355" s="146"/>
      <c r="AA355" s="146"/>
      <c r="AB355" s="146"/>
      <c r="AC355" s="157"/>
      <c r="AD355" s="157"/>
      <c r="AE355" s="157"/>
      <c r="AF355" s="158">
        <f>SUM(AG355:AJ355)</f>
      </c>
      <c r="AG355" s="146"/>
      <c r="AH355" s="145"/>
      <c r="AI355" s="145"/>
      <c r="AJ355" s="145"/>
      <c r="AK355" s="158">
        <f>SUM(AL355:AW355)</f>
      </c>
      <c r="AL355" s="146"/>
      <c r="AM355" s="145"/>
      <c r="AN355" s="145"/>
      <c r="AO355" s="145"/>
      <c r="AP355" s="145"/>
      <c r="AQ355" s="145"/>
      <c r="AR355" s="145"/>
      <c r="AS355" s="145"/>
      <c r="AT355" s="145"/>
      <c r="AU355" s="145"/>
      <c r="AV355" s="145"/>
      <c r="AW355" s="158"/>
      <c r="AX355" s="145"/>
      <c r="AY355" s="145"/>
      <c r="AZ355" s="145"/>
      <c r="BA355" s="158"/>
      <c r="BB355" s="145"/>
      <c r="BC355" s="145"/>
      <c r="BD355" s="158"/>
      <c r="BE355" s="146"/>
      <c r="BF355" s="145"/>
      <c r="BG355" s="145"/>
      <c r="BH355" s="158">
        <f>SUM(BI355:BK355)</f>
      </c>
      <c r="BI355" s="145"/>
      <c r="BJ355" s="145"/>
      <c r="BK355" s="145"/>
      <c r="BL355" s="145">
        <f>SUM(BM355:BR355)</f>
      </c>
      <c r="BM355" s="145"/>
      <c r="BN355" s="145"/>
      <c r="BO355" s="158"/>
      <c r="BP355" s="145"/>
      <c r="BQ355" s="145"/>
      <c r="BR355" s="145"/>
      <c r="BS355" s="145"/>
      <c r="BT355" s="145"/>
      <c r="BU355" s="158"/>
      <c r="BV355" s="146"/>
      <c r="BW355" s="145"/>
      <c r="BX355" s="145"/>
      <c r="BY355" s="158">
        <f>SUM(BZ355:CB355)</f>
      </c>
      <c r="BZ355" s="146"/>
      <c r="CA355" s="145"/>
      <c r="CB355" s="145"/>
      <c r="CC355" s="145">
        <f>SUM(CD355:CH355)</f>
      </c>
      <c r="CD355" s="145"/>
      <c r="CE355" s="158"/>
      <c r="CF355" s="145"/>
      <c r="CG355" s="145"/>
      <c r="CH355" s="145"/>
      <c r="CI355" s="158"/>
      <c r="CJ355" s="145"/>
      <c r="CK355" s="145"/>
      <c r="CL355" s="145"/>
      <c r="CM355" s="145"/>
      <c r="CN355" s="145"/>
      <c r="CO355" s="145"/>
      <c r="CP355" s="145"/>
      <c r="CQ355" s="158"/>
      <c r="CR355" s="146"/>
      <c r="CS355" s="158"/>
      <c r="CT355" s="158"/>
      <c r="CU355" s="158">
        <f>SUM(CV355:CV355)</f>
      </c>
      <c r="CV355" s="146"/>
      <c r="CW355" s="145"/>
      <c r="CX355" s="145"/>
      <c r="CY355" s="145">
        <f>SUM(CZ355:DE355)</f>
      </c>
      <c r="CZ355" s="145"/>
      <c r="DA355" s="146"/>
      <c r="DB355" s="146"/>
      <c r="DC355" s="153"/>
      <c r="DD355" s="153"/>
      <c r="DE355" s="145"/>
      <c r="DF355" s="145"/>
      <c r="DG355" s="145"/>
      <c r="DH355" s="158"/>
      <c r="DI355" s="145"/>
      <c r="DJ355" s="158"/>
      <c r="DK355" s="145"/>
      <c r="DL355" s="158"/>
      <c r="DM355" s="145"/>
      <c r="DN355" s="145"/>
      <c r="DO355" s="145"/>
      <c r="DP355" s="158"/>
      <c r="DQ355" s="145"/>
      <c r="DR355" s="145"/>
      <c r="DS355" s="145"/>
      <c r="DT355" s="145"/>
      <c r="DU355" s="145">
        <f>SUM(DV355:EE355)</f>
      </c>
      <c r="DV355" s="145"/>
      <c r="DW355" s="145"/>
      <c r="DX355" s="145"/>
      <c r="DY355" s="145"/>
      <c r="DZ355" s="146"/>
      <c r="EA355" s="158"/>
      <c r="EB355" s="146"/>
      <c r="EC355" s="145"/>
      <c r="ED355" s="145"/>
      <c r="EE355" s="155"/>
      <c r="EF355" s="145">
        <f>SUM(EG355:EH355)</f>
      </c>
      <c r="EG355" s="145"/>
      <c r="EH355" s="146"/>
      <c r="EI355" s="159" cm="1">
        <f t="array" ref="EI355">ROW()-ROW(Run[#Headers])</f>
        <v>349</v>
      </c>
    </row>
    <row r="356" spans="2:139" s="79" customFormat="1" ht="11.25" x14ac:dyDescent="0.2">
      <c r="B356" s="146"/>
      <c r="C356" s="155"/>
      <c r="D356" s="145"/>
      <c r="E356" s="152">
        <f>SUM(F356:AE356)</f>
      </c>
      <c r="F356" s="146"/>
      <c r="G356" s="146"/>
      <c r="H356" s="146"/>
      <c r="I356" s="146"/>
      <c r="J356" s="146"/>
      <c r="K356" s="156"/>
      <c r="L356" s="146"/>
      <c r="M356" s="146"/>
      <c r="N356" s="146"/>
      <c r="O356" s="146"/>
      <c r="P356" s="156"/>
      <c r="Q356" s="146"/>
      <c r="R356" s="146"/>
      <c r="S356" s="146"/>
      <c r="T356" s="156"/>
      <c r="U356" s="146"/>
      <c r="V356" s="146"/>
      <c r="W356" s="146"/>
      <c r="X356" s="146"/>
      <c r="Y356" s="146"/>
      <c r="Z356" s="146"/>
      <c r="AA356" s="146"/>
      <c r="AB356" s="146"/>
      <c r="AC356" s="157"/>
      <c r="AD356" s="157"/>
      <c r="AE356" s="157"/>
      <c r="AF356" s="158">
        <f>SUM(AG356:AJ356)</f>
      </c>
      <c r="AG356" s="146"/>
      <c r="AH356" s="145"/>
      <c r="AI356" s="145"/>
      <c r="AJ356" s="145"/>
      <c r="AK356" s="158">
        <f>SUM(AL356:AW356)</f>
      </c>
      <c r="AL356" s="146"/>
      <c r="AM356" s="145"/>
      <c r="AN356" s="145"/>
      <c r="AO356" s="145"/>
      <c r="AP356" s="145"/>
      <c r="AQ356" s="145"/>
      <c r="AR356" s="145"/>
      <c r="AS356" s="145"/>
      <c r="AT356" s="145"/>
      <c r="AU356" s="145"/>
      <c r="AV356" s="145"/>
      <c r="AW356" s="158"/>
      <c r="AX356" s="145"/>
      <c r="AY356" s="145"/>
      <c r="AZ356" s="145"/>
      <c r="BA356" s="158"/>
      <c r="BB356" s="145"/>
      <c r="BC356" s="145"/>
      <c r="BD356" s="158"/>
      <c r="BE356" s="146"/>
      <c r="BF356" s="145"/>
      <c r="BG356" s="145"/>
      <c r="BH356" s="158">
        <f>SUM(BI356:BK356)</f>
      </c>
      <c r="BI356" s="145"/>
      <c r="BJ356" s="145"/>
      <c r="BK356" s="145"/>
      <c r="BL356" s="145">
        <f>SUM(BM356:BR356)</f>
      </c>
      <c r="BM356" s="145"/>
      <c r="BN356" s="145"/>
      <c r="BO356" s="158"/>
      <c r="BP356" s="145"/>
      <c r="BQ356" s="145"/>
      <c r="BR356" s="145"/>
      <c r="BS356" s="145"/>
      <c r="BT356" s="145"/>
      <c r="BU356" s="158"/>
      <c r="BV356" s="146"/>
      <c r="BW356" s="145"/>
      <c r="BX356" s="145"/>
      <c r="BY356" s="158">
        <f>SUM(BZ356:CB356)</f>
      </c>
      <c r="BZ356" s="146"/>
      <c r="CA356" s="145"/>
      <c r="CB356" s="145"/>
      <c r="CC356" s="145">
        <f>SUM(CD356:CH356)</f>
      </c>
      <c r="CD356" s="145"/>
      <c r="CE356" s="158"/>
      <c r="CF356" s="145"/>
      <c r="CG356" s="145"/>
      <c r="CH356" s="145"/>
      <c r="CI356" s="158"/>
      <c r="CJ356" s="145"/>
      <c r="CK356" s="145"/>
      <c r="CL356" s="145"/>
      <c r="CM356" s="145"/>
      <c r="CN356" s="145"/>
      <c r="CO356" s="145"/>
      <c r="CP356" s="145"/>
      <c r="CQ356" s="158"/>
      <c r="CR356" s="146"/>
      <c r="CS356" s="158"/>
      <c r="CT356" s="158"/>
      <c r="CU356" s="158">
        <f>SUM(CV356:CV356)</f>
      </c>
      <c r="CV356" s="146"/>
      <c r="CW356" s="145"/>
      <c r="CX356" s="145"/>
      <c r="CY356" s="145">
        <f>SUM(CZ356:DE356)</f>
      </c>
      <c r="CZ356" s="145"/>
      <c r="DA356" s="146"/>
      <c r="DB356" s="146"/>
      <c r="DC356" s="153"/>
      <c r="DD356" s="153"/>
      <c r="DE356" s="145"/>
      <c r="DF356" s="145"/>
      <c r="DG356" s="145"/>
      <c r="DH356" s="158"/>
      <c r="DI356" s="145"/>
      <c r="DJ356" s="158"/>
      <c r="DK356" s="145"/>
      <c r="DL356" s="158"/>
      <c r="DM356" s="145"/>
      <c r="DN356" s="145"/>
      <c r="DO356" s="145"/>
      <c r="DP356" s="158"/>
      <c r="DQ356" s="145"/>
      <c r="DR356" s="145"/>
      <c r="DS356" s="145"/>
      <c r="DT356" s="145"/>
      <c r="DU356" s="145">
        <f>SUM(DV356:EE356)</f>
      </c>
      <c r="DV356" s="145"/>
      <c r="DW356" s="145"/>
      <c r="DX356" s="145"/>
      <c r="DY356" s="145"/>
      <c r="DZ356" s="146"/>
      <c r="EA356" s="158"/>
      <c r="EB356" s="146"/>
      <c r="EC356" s="145"/>
      <c r="ED356" s="145"/>
      <c r="EE356" s="155"/>
      <c r="EF356" s="145">
        <f>SUM(EG356:EH356)</f>
      </c>
      <c r="EG356" s="145"/>
      <c r="EH356" s="146"/>
      <c r="EI356" s="159" cm="1">
        <f t="array" ref="EI356">ROW()-ROW(Run[#Headers])</f>
        <v>350</v>
      </c>
    </row>
    <row r="357" spans="2:139" s="79" customFormat="1" ht="11.25" x14ac:dyDescent="0.2">
      <c r="B357" s="146"/>
      <c r="C357" s="155"/>
      <c r="D357" s="145"/>
      <c r="E357" s="152">
        <f>SUM(F357:AE357)</f>
      </c>
      <c r="F357" s="146"/>
      <c r="G357" s="146"/>
      <c r="H357" s="146"/>
      <c r="I357" s="146"/>
      <c r="J357" s="146"/>
      <c r="K357" s="156"/>
      <c r="L357" s="146"/>
      <c r="M357" s="146"/>
      <c r="N357" s="146"/>
      <c r="O357" s="146"/>
      <c r="P357" s="156"/>
      <c r="Q357" s="146"/>
      <c r="R357" s="146"/>
      <c r="S357" s="146"/>
      <c r="T357" s="156"/>
      <c r="U357" s="146"/>
      <c r="V357" s="146"/>
      <c r="W357" s="146"/>
      <c r="X357" s="146"/>
      <c r="Y357" s="146"/>
      <c r="Z357" s="146"/>
      <c r="AA357" s="146"/>
      <c r="AB357" s="146"/>
      <c r="AC357" s="157"/>
      <c r="AD357" s="157"/>
      <c r="AE357" s="157"/>
      <c r="AF357" s="158">
        <f>SUM(AG357:AJ357)</f>
      </c>
      <c r="AG357" s="146"/>
      <c r="AH357" s="145"/>
      <c r="AI357" s="145"/>
      <c r="AJ357" s="145"/>
      <c r="AK357" s="158">
        <f>SUM(AL357:AW357)</f>
      </c>
      <c r="AL357" s="146"/>
      <c r="AM357" s="145"/>
      <c r="AN357" s="145"/>
      <c r="AO357" s="145"/>
      <c r="AP357" s="145"/>
      <c r="AQ357" s="145"/>
      <c r="AR357" s="145"/>
      <c r="AS357" s="145"/>
      <c r="AT357" s="145"/>
      <c r="AU357" s="145"/>
      <c r="AV357" s="145"/>
      <c r="AW357" s="158"/>
      <c r="AX357" s="145"/>
      <c r="AY357" s="145"/>
      <c r="AZ357" s="145"/>
      <c r="BA357" s="158"/>
      <c r="BB357" s="145"/>
      <c r="BC357" s="145"/>
      <c r="BD357" s="158"/>
      <c r="BE357" s="146"/>
      <c r="BF357" s="145"/>
      <c r="BG357" s="145"/>
      <c r="BH357" s="158">
        <f>SUM(BI357:BK357)</f>
      </c>
      <c r="BI357" s="145"/>
      <c r="BJ357" s="145"/>
      <c r="BK357" s="145"/>
      <c r="BL357" s="145">
        <f>SUM(BM357:BR357)</f>
      </c>
      <c r="BM357" s="145"/>
      <c r="BN357" s="145"/>
      <c r="BO357" s="158"/>
      <c r="BP357" s="145"/>
      <c r="BQ357" s="145"/>
      <c r="BR357" s="145"/>
      <c r="BS357" s="145"/>
      <c r="BT357" s="145"/>
      <c r="BU357" s="158"/>
      <c r="BV357" s="146"/>
      <c r="BW357" s="145"/>
      <c r="BX357" s="145"/>
      <c r="BY357" s="158">
        <f>SUM(BZ357:CB357)</f>
      </c>
      <c r="BZ357" s="146"/>
      <c r="CA357" s="145"/>
      <c r="CB357" s="145"/>
      <c r="CC357" s="145">
        <f>SUM(CD357:CH357)</f>
      </c>
      <c r="CD357" s="145"/>
      <c r="CE357" s="158"/>
      <c r="CF357" s="145"/>
      <c r="CG357" s="145"/>
      <c r="CH357" s="145"/>
      <c r="CI357" s="158"/>
      <c r="CJ357" s="145"/>
      <c r="CK357" s="145"/>
      <c r="CL357" s="145"/>
      <c r="CM357" s="145"/>
      <c r="CN357" s="145"/>
      <c r="CO357" s="145"/>
      <c r="CP357" s="145"/>
      <c r="CQ357" s="158"/>
      <c r="CR357" s="146"/>
      <c r="CS357" s="158"/>
      <c r="CT357" s="158"/>
      <c r="CU357" s="158">
        <f>SUM(CV357:CV357)</f>
      </c>
      <c r="CV357" s="146"/>
      <c r="CW357" s="145"/>
      <c r="CX357" s="145"/>
      <c r="CY357" s="145">
        <f>SUM(CZ357:DE357)</f>
      </c>
      <c r="CZ357" s="145"/>
      <c r="DA357" s="146"/>
      <c r="DB357" s="146"/>
      <c r="DC357" s="153"/>
      <c r="DD357" s="153"/>
      <c r="DE357" s="145"/>
      <c r="DF357" s="145"/>
      <c r="DG357" s="145"/>
      <c r="DH357" s="158"/>
      <c r="DI357" s="145"/>
      <c r="DJ357" s="158"/>
      <c r="DK357" s="145"/>
      <c r="DL357" s="158"/>
      <c r="DM357" s="145"/>
      <c r="DN357" s="145"/>
      <c r="DO357" s="145"/>
      <c r="DP357" s="158"/>
      <c r="DQ357" s="145"/>
      <c r="DR357" s="145"/>
      <c r="DS357" s="145"/>
      <c r="DT357" s="145"/>
      <c r="DU357" s="145">
        <f>SUM(DV357:EE357)</f>
      </c>
      <c r="DV357" s="145"/>
      <c r="DW357" s="145"/>
      <c r="DX357" s="145"/>
      <c r="DY357" s="145"/>
      <c r="DZ357" s="146"/>
      <c r="EA357" s="158"/>
      <c r="EB357" s="146"/>
      <c r="EC357" s="145"/>
      <c r="ED357" s="145"/>
      <c r="EE357" s="155"/>
      <c r="EF357" s="145">
        <f>SUM(EG357:EH357)</f>
      </c>
      <c r="EG357" s="145"/>
      <c r="EH357" s="146"/>
      <c r="EI357" s="159" cm="1">
        <f t="array" ref="EI357">ROW()-ROW(Run[#Headers])</f>
        <v>351</v>
      </c>
    </row>
    <row r="358" spans="2:139" s="79" customFormat="1" ht="11.25" x14ac:dyDescent="0.2">
      <c r="B358" s="146"/>
      <c r="C358" s="155"/>
      <c r="D358" s="145"/>
      <c r="E358" s="152">
        <f>SUM(F358:AE358)</f>
      </c>
      <c r="F358" s="146"/>
      <c r="G358" s="146"/>
      <c r="H358" s="146"/>
      <c r="I358" s="146"/>
      <c r="J358" s="146"/>
      <c r="K358" s="156"/>
      <c r="L358" s="146"/>
      <c r="M358" s="146"/>
      <c r="N358" s="146"/>
      <c r="O358" s="146"/>
      <c r="P358" s="156"/>
      <c r="Q358" s="146"/>
      <c r="R358" s="146"/>
      <c r="S358" s="146"/>
      <c r="T358" s="156"/>
      <c r="U358" s="146"/>
      <c r="V358" s="146"/>
      <c r="W358" s="146"/>
      <c r="X358" s="146"/>
      <c r="Y358" s="146"/>
      <c r="Z358" s="146"/>
      <c r="AA358" s="146"/>
      <c r="AB358" s="146"/>
      <c r="AC358" s="157"/>
      <c r="AD358" s="157"/>
      <c r="AE358" s="157"/>
      <c r="AF358" s="158">
        <f>SUM(AG358:AJ358)</f>
      </c>
      <c r="AG358" s="146"/>
      <c r="AH358" s="145"/>
      <c r="AI358" s="145"/>
      <c r="AJ358" s="145"/>
      <c r="AK358" s="158">
        <f>SUM(AL358:AW358)</f>
      </c>
      <c r="AL358" s="146"/>
      <c r="AM358" s="145"/>
      <c r="AN358" s="145"/>
      <c r="AO358" s="145"/>
      <c r="AP358" s="145"/>
      <c r="AQ358" s="145"/>
      <c r="AR358" s="145"/>
      <c r="AS358" s="145"/>
      <c r="AT358" s="145"/>
      <c r="AU358" s="145"/>
      <c r="AV358" s="145"/>
      <c r="AW358" s="158"/>
      <c r="AX358" s="145"/>
      <c r="AY358" s="145"/>
      <c r="AZ358" s="145"/>
      <c r="BA358" s="158"/>
      <c r="BB358" s="145"/>
      <c r="BC358" s="145"/>
      <c r="BD358" s="158"/>
      <c r="BE358" s="146"/>
      <c r="BF358" s="145"/>
      <c r="BG358" s="145"/>
      <c r="BH358" s="158">
        <f>SUM(BI358:BK358)</f>
      </c>
      <c r="BI358" s="145"/>
      <c r="BJ358" s="145"/>
      <c r="BK358" s="145"/>
      <c r="BL358" s="145">
        <f>SUM(BM358:BR358)</f>
      </c>
      <c r="BM358" s="145"/>
      <c r="BN358" s="145"/>
      <c r="BO358" s="158"/>
      <c r="BP358" s="145"/>
      <c r="BQ358" s="145"/>
      <c r="BR358" s="145"/>
      <c r="BS358" s="145"/>
      <c r="BT358" s="145"/>
      <c r="BU358" s="158"/>
      <c r="BV358" s="146"/>
      <c r="BW358" s="145"/>
      <c r="BX358" s="145"/>
      <c r="BY358" s="158">
        <f>SUM(BZ358:CB358)</f>
      </c>
      <c r="BZ358" s="146"/>
      <c r="CA358" s="145"/>
      <c r="CB358" s="145"/>
      <c r="CC358" s="145">
        <f>SUM(CD358:CH358)</f>
      </c>
      <c r="CD358" s="145"/>
      <c r="CE358" s="158"/>
      <c r="CF358" s="145"/>
      <c r="CG358" s="145"/>
      <c r="CH358" s="145"/>
      <c r="CI358" s="158"/>
      <c r="CJ358" s="145"/>
      <c r="CK358" s="145"/>
      <c r="CL358" s="145"/>
      <c r="CM358" s="145"/>
      <c r="CN358" s="145"/>
      <c r="CO358" s="145"/>
      <c r="CP358" s="145"/>
      <c r="CQ358" s="158"/>
      <c r="CR358" s="146"/>
      <c r="CS358" s="158"/>
      <c r="CT358" s="158"/>
      <c r="CU358" s="158">
        <f>SUM(CV358:CV358)</f>
      </c>
      <c r="CV358" s="146"/>
      <c r="CW358" s="145"/>
      <c r="CX358" s="145"/>
      <c r="CY358" s="145">
        <f>SUM(CZ358:DE358)</f>
      </c>
      <c r="CZ358" s="145"/>
      <c r="DA358" s="146"/>
      <c r="DB358" s="146"/>
      <c r="DC358" s="153"/>
      <c r="DD358" s="153"/>
      <c r="DE358" s="145"/>
      <c r="DF358" s="145"/>
      <c r="DG358" s="145"/>
      <c r="DH358" s="158"/>
      <c r="DI358" s="145"/>
      <c r="DJ358" s="158"/>
      <c r="DK358" s="145"/>
      <c r="DL358" s="158"/>
      <c r="DM358" s="145"/>
      <c r="DN358" s="145"/>
      <c r="DO358" s="145"/>
      <c r="DP358" s="158"/>
      <c r="DQ358" s="145"/>
      <c r="DR358" s="145"/>
      <c r="DS358" s="145"/>
      <c r="DT358" s="145"/>
      <c r="DU358" s="145">
        <f>SUM(DV358:EE358)</f>
      </c>
      <c r="DV358" s="145"/>
      <c r="DW358" s="145"/>
      <c r="DX358" s="145"/>
      <c r="DY358" s="145"/>
      <c r="DZ358" s="146"/>
      <c r="EA358" s="158"/>
      <c r="EB358" s="146"/>
      <c r="EC358" s="145"/>
      <c r="ED358" s="145"/>
      <c r="EE358" s="155"/>
      <c r="EF358" s="145">
        <f>SUM(EG358:EH358)</f>
      </c>
      <c r="EG358" s="145"/>
      <c r="EH358" s="146"/>
      <c r="EI358" s="159" cm="1">
        <f t="array" ref="EI358">ROW()-ROW(Run[#Headers])</f>
        <v>352</v>
      </c>
    </row>
    <row r="359" spans="2:139" s="79" customFormat="1" ht="11.25" x14ac:dyDescent="0.2">
      <c r="B359" s="146"/>
      <c r="C359" s="155"/>
      <c r="D359" s="145"/>
      <c r="E359" s="152">
        <f>SUM(F359:AE359)</f>
      </c>
      <c r="F359" s="146"/>
      <c r="G359" s="146"/>
      <c r="H359" s="146"/>
      <c r="I359" s="146"/>
      <c r="J359" s="146"/>
      <c r="K359" s="156"/>
      <c r="L359" s="146"/>
      <c r="M359" s="146"/>
      <c r="N359" s="146"/>
      <c r="O359" s="146"/>
      <c r="P359" s="156"/>
      <c r="Q359" s="146"/>
      <c r="R359" s="146"/>
      <c r="S359" s="146"/>
      <c r="T359" s="156"/>
      <c r="U359" s="146"/>
      <c r="V359" s="146"/>
      <c r="W359" s="146"/>
      <c r="X359" s="146"/>
      <c r="Y359" s="146"/>
      <c r="Z359" s="146"/>
      <c r="AA359" s="146"/>
      <c r="AB359" s="146"/>
      <c r="AC359" s="157"/>
      <c r="AD359" s="157"/>
      <c r="AE359" s="157"/>
      <c r="AF359" s="158">
        <f>SUM(AG359:AJ359)</f>
      </c>
      <c r="AG359" s="146"/>
      <c r="AH359" s="145"/>
      <c r="AI359" s="145"/>
      <c r="AJ359" s="145"/>
      <c r="AK359" s="158">
        <f>SUM(AL359:AW359)</f>
      </c>
      <c r="AL359" s="146"/>
      <c r="AM359" s="145"/>
      <c r="AN359" s="145"/>
      <c r="AO359" s="145"/>
      <c r="AP359" s="145"/>
      <c r="AQ359" s="145"/>
      <c r="AR359" s="145"/>
      <c r="AS359" s="145"/>
      <c r="AT359" s="145"/>
      <c r="AU359" s="145"/>
      <c r="AV359" s="145"/>
      <c r="AW359" s="158"/>
      <c r="AX359" s="145"/>
      <c r="AY359" s="145"/>
      <c r="AZ359" s="145"/>
      <c r="BA359" s="158"/>
      <c r="BB359" s="145"/>
      <c r="BC359" s="145"/>
      <c r="BD359" s="158"/>
      <c r="BE359" s="146"/>
      <c r="BF359" s="145"/>
      <c r="BG359" s="145"/>
      <c r="BH359" s="158">
        <f>SUM(BI359:BK359)</f>
      </c>
      <c r="BI359" s="145"/>
      <c r="BJ359" s="145"/>
      <c r="BK359" s="145"/>
      <c r="BL359" s="145">
        <f>SUM(BM359:BR359)</f>
      </c>
      <c r="BM359" s="145"/>
      <c r="BN359" s="145"/>
      <c r="BO359" s="158"/>
      <c r="BP359" s="145"/>
      <c r="BQ359" s="145"/>
      <c r="BR359" s="145"/>
      <c r="BS359" s="145"/>
      <c r="BT359" s="145"/>
      <c r="BU359" s="158"/>
      <c r="BV359" s="146"/>
      <c r="BW359" s="145"/>
      <c r="BX359" s="145"/>
      <c r="BY359" s="158">
        <f>SUM(BZ359:CB359)</f>
      </c>
      <c r="BZ359" s="146"/>
      <c r="CA359" s="145"/>
      <c r="CB359" s="145"/>
      <c r="CC359" s="145">
        <f>SUM(CD359:CH359)</f>
      </c>
      <c r="CD359" s="145"/>
      <c r="CE359" s="158"/>
      <c r="CF359" s="145"/>
      <c r="CG359" s="145"/>
      <c r="CH359" s="145"/>
      <c r="CI359" s="158"/>
      <c r="CJ359" s="145"/>
      <c r="CK359" s="145"/>
      <c r="CL359" s="145"/>
      <c r="CM359" s="145"/>
      <c r="CN359" s="145"/>
      <c r="CO359" s="145"/>
      <c r="CP359" s="145"/>
      <c r="CQ359" s="158"/>
      <c r="CR359" s="146"/>
      <c r="CS359" s="158"/>
      <c r="CT359" s="158"/>
      <c r="CU359" s="158">
        <f>SUM(CV359:CV359)</f>
      </c>
      <c r="CV359" s="146"/>
      <c r="CW359" s="145"/>
      <c r="CX359" s="145"/>
      <c r="CY359" s="145">
        <f>SUM(CZ359:DE359)</f>
      </c>
      <c r="CZ359" s="145"/>
      <c r="DA359" s="146"/>
      <c r="DB359" s="146"/>
      <c r="DC359" s="153"/>
      <c r="DD359" s="153"/>
      <c r="DE359" s="145"/>
      <c r="DF359" s="145"/>
      <c r="DG359" s="145"/>
      <c r="DH359" s="158"/>
      <c r="DI359" s="145"/>
      <c r="DJ359" s="158"/>
      <c r="DK359" s="145"/>
      <c r="DL359" s="158"/>
      <c r="DM359" s="145"/>
      <c r="DN359" s="145"/>
      <c r="DO359" s="145"/>
      <c r="DP359" s="158"/>
      <c r="DQ359" s="145"/>
      <c r="DR359" s="145"/>
      <c r="DS359" s="145"/>
      <c r="DT359" s="145"/>
      <c r="DU359" s="145">
        <f>SUM(DV359:EE359)</f>
      </c>
      <c r="DV359" s="145"/>
      <c r="DW359" s="145"/>
      <c r="DX359" s="145"/>
      <c r="DY359" s="145"/>
      <c r="DZ359" s="146"/>
      <c r="EA359" s="158"/>
      <c r="EB359" s="146"/>
      <c r="EC359" s="145"/>
      <c r="ED359" s="145"/>
      <c r="EE359" s="155"/>
      <c r="EF359" s="145">
        <f>SUM(EG359:EH359)</f>
      </c>
      <c r="EG359" s="145"/>
      <c r="EH359" s="146"/>
      <c r="EI359" s="159" cm="1">
        <f t="array" ref="EI359">ROW()-ROW(Run[#Headers])</f>
        <v>353</v>
      </c>
    </row>
    <row r="360" spans="2:139" s="79" customFormat="1" ht="11.25" x14ac:dyDescent="0.2">
      <c r="B360" s="146"/>
      <c r="C360" s="155"/>
      <c r="D360" s="145"/>
      <c r="E360" s="152">
        <f>SUM(F360:AE360)</f>
      </c>
      <c r="F360" s="146"/>
      <c r="G360" s="146"/>
      <c r="H360" s="146"/>
      <c r="I360" s="146"/>
      <c r="J360" s="146"/>
      <c r="K360" s="156"/>
      <c r="L360" s="146"/>
      <c r="M360" s="146"/>
      <c r="N360" s="146"/>
      <c r="O360" s="146"/>
      <c r="P360" s="156"/>
      <c r="Q360" s="146"/>
      <c r="R360" s="146"/>
      <c r="S360" s="146"/>
      <c r="T360" s="156"/>
      <c r="U360" s="146"/>
      <c r="V360" s="146"/>
      <c r="W360" s="146"/>
      <c r="X360" s="146"/>
      <c r="Y360" s="146"/>
      <c r="Z360" s="146"/>
      <c r="AA360" s="146"/>
      <c r="AB360" s="146"/>
      <c r="AC360" s="157"/>
      <c r="AD360" s="157"/>
      <c r="AE360" s="157"/>
      <c r="AF360" s="158">
        <f>SUM(AG360:AJ360)</f>
      </c>
      <c r="AG360" s="146"/>
      <c r="AH360" s="145"/>
      <c r="AI360" s="145"/>
      <c r="AJ360" s="145"/>
      <c r="AK360" s="158">
        <f>SUM(AL360:AW360)</f>
      </c>
      <c r="AL360" s="146"/>
      <c r="AM360" s="145"/>
      <c r="AN360" s="145"/>
      <c r="AO360" s="145"/>
      <c r="AP360" s="145"/>
      <c r="AQ360" s="145"/>
      <c r="AR360" s="145"/>
      <c r="AS360" s="145"/>
      <c r="AT360" s="145"/>
      <c r="AU360" s="145"/>
      <c r="AV360" s="145"/>
      <c r="AW360" s="158"/>
      <c r="AX360" s="145"/>
      <c r="AY360" s="145"/>
      <c r="AZ360" s="145"/>
      <c r="BA360" s="158"/>
      <c r="BB360" s="145"/>
      <c r="BC360" s="145"/>
      <c r="BD360" s="158"/>
      <c r="BE360" s="146"/>
      <c r="BF360" s="145"/>
      <c r="BG360" s="145"/>
      <c r="BH360" s="158">
        <f>SUM(BI360:BK360)</f>
      </c>
      <c r="BI360" s="145"/>
      <c r="BJ360" s="145"/>
      <c r="BK360" s="145"/>
      <c r="BL360" s="145">
        <f>SUM(BM360:BR360)</f>
      </c>
      <c r="BM360" s="145"/>
      <c r="BN360" s="145"/>
      <c r="BO360" s="158"/>
      <c r="BP360" s="145"/>
      <c r="BQ360" s="145"/>
      <c r="BR360" s="145"/>
      <c r="BS360" s="145"/>
      <c r="BT360" s="145"/>
      <c r="BU360" s="158"/>
      <c r="BV360" s="146"/>
      <c r="BW360" s="145"/>
      <c r="BX360" s="145"/>
      <c r="BY360" s="158">
        <f>SUM(BZ360:CB360)</f>
      </c>
      <c r="BZ360" s="146"/>
      <c r="CA360" s="145"/>
      <c r="CB360" s="145"/>
      <c r="CC360" s="145">
        <f>SUM(CD360:CH360)</f>
      </c>
      <c r="CD360" s="145"/>
      <c r="CE360" s="158"/>
      <c r="CF360" s="145"/>
      <c r="CG360" s="145"/>
      <c r="CH360" s="145"/>
      <c r="CI360" s="158"/>
      <c r="CJ360" s="145"/>
      <c r="CK360" s="145"/>
      <c r="CL360" s="145"/>
      <c r="CM360" s="145"/>
      <c r="CN360" s="145"/>
      <c r="CO360" s="145"/>
      <c r="CP360" s="145"/>
      <c r="CQ360" s="158"/>
      <c r="CR360" s="146"/>
      <c r="CS360" s="158"/>
      <c r="CT360" s="158"/>
      <c r="CU360" s="158">
        <f>SUM(CV360:CV360)</f>
      </c>
      <c r="CV360" s="146"/>
      <c r="CW360" s="145"/>
      <c r="CX360" s="145"/>
      <c r="CY360" s="145">
        <f>SUM(CZ360:DE360)</f>
      </c>
      <c r="CZ360" s="145"/>
      <c r="DA360" s="146"/>
      <c r="DB360" s="146"/>
      <c r="DC360" s="153"/>
      <c r="DD360" s="153"/>
      <c r="DE360" s="145"/>
      <c r="DF360" s="145"/>
      <c r="DG360" s="145"/>
      <c r="DH360" s="158"/>
      <c r="DI360" s="145"/>
      <c r="DJ360" s="158"/>
      <c r="DK360" s="145"/>
      <c r="DL360" s="158"/>
      <c r="DM360" s="145"/>
      <c r="DN360" s="145"/>
      <c r="DO360" s="145"/>
      <c r="DP360" s="158"/>
      <c r="DQ360" s="145"/>
      <c r="DR360" s="145"/>
      <c r="DS360" s="145"/>
      <c r="DT360" s="145"/>
      <c r="DU360" s="145">
        <f>SUM(DV360:EE360)</f>
      </c>
      <c r="DV360" s="145"/>
      <c r="DW360" s="145"/>
      <c r="DX360" s="145"/>
      <c r="DY360" s="145"/>
      <c r="DZ360" s="146"/>
      <c r="EA360" s="158"/>
      <c r="EB360" s="146"/>
      <c r="EC360" s="145"/>
      <c r="ED360" s="145"/>
      <c r="EE360" s="155"/>
      <c r="EF360" s="145">
        <f>SUM(EG360:EH360)</f>
      </c>
      <c r="EG360" s="145"/>
      <c r="EH360" s="146"/>
      <c r="EI360" s="159" cm="1">
        <f t="array" ref="EI360">ROW()-ROW(Run[#Headers])</f>
        <v>354</v>
      </c>
    </row>
    <row r="361" spans="2:139" s="79" customFormat="1" ht="11.25" x14ac:dyDescent="0.2">
      <c r="B361" s="146"/>
      <c r="C361" s="155"/>
      <c r="D361" s="145"/>
      <c r="E361" s="152">
        <f>SUM(F361:AE361)</f>
      </c>
      <c r="F361" s="146"/>
      <c r="G361" s="146"/>
      <c r="H361" s="146"/>
      <c r="I361" s="146"/>
      <c r="J361" s="146"/>
      <c r="K361" s="156"/>
      <c r="L361" s="146"/>
      <c r="M361" s="146"/>
      <c r="N361" s="146"/>
      <c r="O361" s="146"/>
      <c r="P361" s="156"/>
      <c r="Q361" s="146"/>
      <c r="R361" s="146"/>
      <c r="S361" s="146"/>
      <c r="T361" s="156"/>
      <c r="U361" s="146"/>
      <c r="V361" s="146"/>
      <c r="W361" s="146"/>
      <c r="X361" s="146"/>
      <c r="Y361" s="146"/>
      <c r="Z361" s="146"/>
      <c r="AA361" s="146"/>
      <c r="AB361" s="146"/>
      <c r="AC361" s="157"/>
      <c r="AD361" s="157"/>
      <c r="AE361" s="157"/>
      <c r="AF361" s="158">
        <f>SUM(AG361:AJ361)</f>
      </c>
      <c r="AG361" s="146"/>
      <c r="AH361" s="145"/>
      <c r="AI361" s="145"/>
      <c r="AJ361" s="145"/>
      <c r="AK361" s="158">
        <f>SUM(AL361:AW361)</f>
      </c>
      <c r="AL361" s="146"/>
      <c r="AM361" s="145"/>
      <c r="AN361" s="145"/>
      <c r="AO361" s="145"/>
      <c r="AP361" s="145"/>
      <c r="AQ361" s="145"/>
      <c r="AR361" s="145"/>
      <c r="AS361" s="145"/>
      <c r="AT361" s="145"/>
      <c r="AU361" s="145"/>
      <c r="AV361" s="145"/>
      <c r="AW361" s="158"/>
      <c r="AX361" s="145"/>
      <c r="AY361" s="145"/>
      <c r="AZ361" s="145"/>
      <c r="BA361" s="158"/>
      <c r="BB361" s="145"/>
      <c r="BC361" s="145"/>
      <c r="BD361" s="158"/>
      <c r="BE361" s="146"/>
      <c r="BF361" s="145"/>
      <c r="BG361" s="145"/>
      <c r="BH361" s="158">
        <f>SUM(BI361:BK361)</f>
      </c>
      <c r="BI361" s="145"/>
      <c r="BJ361" s="145"/>
      <c r="BK361" s="145"/>
      <c r="BL361" s="145">
        <f>SUM(BM361:BR361)</f>
      </c>
      <c r="BM361" s="145"/>
      <c r="BN361" s="145"/>
      <c r="BO361" s="158"/>
      <c r="BP361" s="145"/>
      <c r="BQ361" s="145"/>
      <c r="BR361" s="145"/>
      <c r="BS361" s="145"/>
      <c r="BT361" s="145"/>
      <c r="BU361" s="158"/>
      <c r="BV361" s="146"/>
      <c r="BW361" s="145"/>
      <c r="BX361" s="145"/>
      <c r="BY361" s="158">
        <f>SUM(BZ361:CB361)</f>
      </c>
      <c r="BZ361" s="146"/>
      <c r="CA361" s="145"/>
      <c r="CB361" s="145"/>
      <c r="CC361" s="145">
        <f>SUM(CD361:CH361)</f>
      </c>
      <c r="CD361" s="145"/>
      <c r="CE361" s="158"/>
      <c r="CF361" s="145"/>
      <c r="CG361" s="145"/>
      <c r="CH361" s="145"/>
      <c r="CI361" s="158"/>
      <c r="CJ361" s="145"/>
      <c r="CK361" s="145"/>
      <c r="CL361" s="145"/>
      <c r="CM361" s="145"/>
      <c r="CN361" s="145"/>
      <c r="CO361" s="145"/>
      <c r="CP361" s="145"/>
      <c r="CQ361" s="158"/>
      <c r="CR361" s="146"/>
      <c r="CS361" s="158"/>
      <c r="CT361" s="158"/>
      <c r="CU361" s="158">
        <f>SUM(CV361:CV361)</f>
      </c>
      <c r="CV361" s="146"/>
      <c r="CW361" s="145"/>
      <c r="CX361" s="145"/>
      <c r="CY361" s="145">
        <f>SUM(CZ361:DE361)</f>
      </c>
      <c r="CZ361" s="145"/>
      <c r="DA361" s="146"/>
      <c r="DB361" s="146"/>
      <c r="DC361" s="153"/>
      <c r="DD361" s="153"/>
      <c r="DE361" s="145"/>
      <c r="DF361" s="145"/>
      <c r="DG361" s="145"/>
      <c r="DH361" s="158"/>
      <c r="DI361" s="145"/>
      <c r="DJ361" s="158"/>
      <c r="DK361" s="145"/>
      <c r="DL361" s="158"/>
      <c r="DM361" s="145"/>
      <c r="DN361" s="145"/>
      <c r="DO361" s="145"/>
      <c r="DP361" s="158"/>
      <c r="DQ361" s="145"/>
      <c r="DR361" s="145"/>
      <c r="DS361" s="145"/>
      <c r="DT361" s="145"/>
      <c r="DU361" s="145">
        <f>SUM(DV361:EE361)</f>
      </c>
      <c r="DV361" s="145"/>
      <c r="DW361" s="145"/>
      <c r="DX361" s="145"/>
      <c r="DY361" s="145"/>
      <c r="DZ361" s="146"/>
      <c r="EA361" s="158"/>
      <c r="EB361" s="146"/>
      <c r="EC361" s="145"/>
      <c r="ED361" s="145"/>
      <c r="EE361" s="155"/>
      <c r="EF361" s="145">
        <f>SUM(EG361:EH361)</f>
      </c>
      <c r="EG361" s="145"/>
      <c r="EH361" s="146"/>
      <c r="EI361" s="159" cm="1">
        <f t="array" ref="EI361">ROW()-ROW(Run[#Headers])</f>
        <v>355</v>
      </c>
    </row>
    <row r="362" spans="2:139" s="79" customFormat="1" ht="11.25" x14ac:dyDescent="0.2">
      <c r="B362" s="146"/>
      <c r="C362" s="155"/>
      <c r="D362" s="145"/>
      <c r="E362" s="152">
        <f>SUM(F362:AE362)</f>
      </c>
      <c r="F362" s="146"/>
      <c r="G362" s="146"/>
      <c r="H362" s="146"/>
      <c r="I362" s="146"/>
      <c r="J362" s="146"/>
      <c r="K362" s="156"/>
      <c r="L362" s="146"/>
      <c r="M362" s="146"/>
      <c r="N362" s="146"/>
      <c r="O362" s="146"/>
      <c r="P362" s="156"/>
      <c r="Q362" s="146"/>
      <c r="R362" s="146"/>
      <c r="S362" s="146"/>
      <c r="T362" s="156"/>
      <c r="U362" s="146"/>
      <c r="V362" s="146"/>
      <c r="W362" s="146"/>
      <c r="X362" s="146"/>
      <c r="Y362" s="146"/>
      <c r="Z362" s="146"/>
      <c r="AA362" s="146"/>
      <c r="AB362" s="146"/>
      <c r="AC362" s="157"/>
      <c r="AD362" s="157"/>
      <c r="AE362" s="157"/>
      <c r="AF362" s="158">
        <f>SUM(AG362:AJ362)</f>
      </c>
      <c r="AG362" s="146"/>
      <c r="AH362" s="145"/>
      <c r="AI362" s="145"/>
      <c r="AJ362" s="145"/>
      <c r="AK362" s="158">
        <f>SUM(AL362:AW362)</f>
      </c>
      <c r="AL362" s="146"/>
      <c r="AM362" s="145"/>
      <c r="AN362" s="145"/>
      <c r="AO362" s="145"/>
      <c r="AP362" s="145"/>
      <c r="AQ362" s="145"/>
      <c r="AR362" s="145"/>
      <c r="AS362" s="145"/>
      <c r="AT362" s="145"/>
      <c r="AU362" s="145"/>
      <c r="AV362" s="145"/>
      <c r="AW362" s="158"/>
      <c r="AX362" s="145"/>
      <c r="AY362" s="145"/>
      <c r="AZ362" s="145"/>
      <c r="BA362" s="158"/>
      <c r="BB362" s="145"/>
      <c r="BC362" s="145"/>
      <c r="BD362" s="158"/>
      <c r="BE362" s="146"/>
      <c r="BF362" s="145"/>
      <c r="BG362" s="145"/>
      <c r="BH362" s="158">
        <f>SUM(BI362:BK362)</f>
      </c>
      <c r="BI362" s="145"/>
      <c r="BJ362" s="145"/>
      <c r="BK362" s="145"/>
      <c r="BL362" s="145">
        <f>SUM(BM362:BR362)</f>
      </c>
      <c r="BM362" s="145"/>
      <c r="BN362" s="145"/>
      <c r="BO362" s="158"/>
      <c r="BP362" s="145"/>
      <c r="BQ362" s="145"/>
      <c r="BR362" s="145"/>
      <c r="BS362" s="145"/>
      <c r="BT362" s="145"/>
      <c r="BU362" s="158"/>
      <c r="BV362" s="146"/>
      <c r="BW362" s="145"/>
      <c r="BX362" s="145"/>
      <c r="BY362" s="158">
        <f>SUM(BZ362:CB362)</f>
      </c>
      <c r="BZ362" s="146"/>
      <c r="CA362" s="145"/>
      <c r="CB362" s="145"/>
      <c r="CC362" s="145">
        <f>SUM(CD362:CH362)</f>
      </c>
      <c r="CD362" s="145"/>
      <c r="CE362" s="158"/>
      <c r="CF362" s="145"/>
      <c r="CG362" s="145"/>
      <c r="CH362" s="145"/>
      <c r="CI362" s="158"/>
      <c r="CJ362" s="145"/>
      <c r="CK362" s="145"/>
      <c r="CL362" s="145"/>
      <c r="CM362" s="145"/>
      <c r="CN362" s="145"/>
      <c r="CO362" s="145"/>
      <c r="CP362" s="145"/>
      <c r="CQ362" s="158"/>
      <c r="CR362" s="146"/>
      <c r="CS362" s="158"/>
      <c r="CT362" s="158"/>
      <c r="CU362" s="158">
        <f>SUM(CV362:CV362)</f>
      </c>
      <c r="CV362" s="146"/>
      <c r="CW362" s="145"/>
      <c r="CX362" s="145"/>
      <c r="CY362" s="145">
        <f>SUM(CZ362:DE362)</f>
      </c>
      <c r="CZ362" s="145"/>
      <c r="DA362" s="146"/>
      <c r="DB362" s="146"/>
      <c r="DC362" s="153"/>
      <c r="DD362" s="153"/>
      <c r="DE362" s="145"/>
      <c r="DF362" s="145"/>
      <c r="DG362" s="145"/>
      <c r="DH362" s="158"/>
      <c r="DI362" s="145"/>
      <c r="DJ362" s="158"/>
      <c r="DK362" s="145"/>
      <c r="DL362" s="158"/>
      <c r="DM362" s="145"/>
      <c r="DN362" s="145"/>
      <c r="DO362" s="145"/>
      <c r="DP362" s="158"/>
      <c r="DQ362" s="145"/>
      <c r="DR362" s="145"/>
      <c r="DS362" s="145"/>
      <c r="DT362" s="145"/>
      <c r="DU362" s="145">
        <f>SUM(DV362:EE362)</f>
      </c>
      <c r="DV362" s="145"/>
      <c r="DW362" s="145"/>
      <c r="DX362" s="145"/>
      <c r="DY362" s="145"/>
      <c r="DZ362" s="146"/>
      <c r="EA362" s="158"/>
      <c r="EB362" s="146"/>
      <c r="EC362" s="145"/>
      <c r="ED362" s="145"/>
      <c r="EE362" s="155"/>
      <c r="EF362" s="145">
        <f>SUM(EG362:EH362)</f>
      </c>
      <c r="EG362" s="145"/>
      <c r="EH362" s="146"/>
      <c r="EI362" s="159" cm="1">
        <f t="array" ref="EI362">ROW()-ROW(Run[#Headers])</f>
        <v>356</v>
      </c>
    </row>
    <row r="363" spans="2:139" s="79" customFormat="1" ht="11.25" x14ac:dyDescent="0.2">
      <c r="B363" s="146"/>
      <c r="C363" s="155"/>
      <c r="D363" s="145"/>
      <c r="E363" s="152">
        <f>SUM(F363:AE363)</f>
      </c>
      <c r="F363" s="146"/>
      <c r="G363" s="146"/>
      <c r="H363" s="146"/>
      <c r="I363" s="146"/>
      <c r="J363" s="146"/>
      <c r="K363" s="156"/>
      <c r="L363" s="146"/>
      <c r="M363" s="146"/>
      <c r="N363" s="146"/>
      <c r="O363" s="146"/>
      <c r="P363" s="156"/>
      <c r="Q363" s="146"/>
      <c r="R363" s="146"/>
      <c r="S363" s="146"/>
      <c r="T363" s="156"/>
      <c r="U363" s="146"/>
      <c r="V363" s="146"/>
      <c r="W363" s="146"/>
      <c r="X363" s="146"/>
      <c r="Y363" s="146"/>
      <c r="Z363" s="146"/>
      <c r="AA363" s="146"/>
      <c r="AB363" s="146"/>
      <c r="AC363" s="157"/>
      <c r="AD363" s="157"/>
      <c r="AE363" s="157"/>
      <c r="AF363" s="158">
        <f>SUM(AG363:AJ363)</f>
      </c>
      <c r="AG363" s="146"/>
      <c r="AH363" s="145"/>
      <c r="AI363" s="145"/>
      <c r="AJ363" s="145"/>
      <c r="AK363" s="158">
        <f>SUM(AL363:AW363)</f>
      </c>
      <c r="AL363" s="146"/>
      <c r="AM363" s="145"/>
      <c r="AN363" s="145"/>
      <c r="AO363" s="145"/>
      <c r="AP363" s="145"/>
      <c r="AQ363" s="145"/>
      <c r="AR363" s="145"/>
      <c r="AS363" s="145"/>
      <c r="AT363" s="145"/>
      <c r="AU363" s="145"/>
      <c r="AV363" s="145"/>
      <c r="AW363" s="158"/>
      <c r="AX363" s="145"/>
      <c r="AY363" s="145"/>
      <c r="AZ363" s="145"/>
      <c r="BA363" s="158"/>
      <c r="BB363" s="145"/>
      <c r="BC363" s="145"/>
      <c r="BD363" s="158"/>
      <c r="BE363" s="146"/>
      <c r="BF363" s="145"/>
      <c r="BG363" s="145"/>
      <c r="BH363" s="158">
        <f>SUM(BI363:BK363)</f>
      </c>
      <c r="BI363" s="145"/>
      <c r="BJ363" s="145"/>
      <c r="BK363" s="145"/>
      <c r="BL363" s="145">
        <f>SUM(BM363:BR363)</f>
      </c>
      <c r="BM363" s="145"/>
      <c r="BN363" s="145"/>
      <c r="BO363" s="158"/>
      <c r="BP363" s="145"/>
      <c r="BQ363" s="145"/>
      <c r="BR363" s="145"/>
      <c r="BS363" s="145"/>
      <c r="BT363" s="145"/>
      <c r="BU363" s="158"/>
      <c r="BV363" s="146"/>
      <c r="BW363" s="145"/>
      <c r="BX363" s="145"/>
      <c r="BY363" s="158">
        <f>SUM(BZ363:CB363)</f>
      </c>
      <c r="BZ363" s="146"/>
      <c r="CA363" s="145"/>
      <c r="CB363" s="145"/>
      <c r="CC363" s="145">
        <f>SUM(CD363:CH363)</f>
      </c>
      <c r="CD363" s="145"/>
      <c r="CE363" s="158"/>
      <c r="CF363" s="145"/>
      <c r="CG363" s="145"/>
      <c r="CH363" s="145"/>
      <c r="CI363" s="158"/>
      <c r="CJ363" s="145"/>
      <c r="CK363" s="145"/>
      <c r="CL363" s="145"/>
      <c r="CM363" s="145"/>
      <c r="CN363" s="145"/>
      <c r="CO363" s="145"/>
      <c r="CP363" s="145"/>
      <c r="CQ363" s="158"/>
      <c r="CR363" s="146"/>
      <c r="CS363" s="158"/>
      <c r="CT363" s="158"/>
      <c r="CU363" s="158">
        <f>SUM(CV363:CV363)</f>
      </c>
      <c r="CV363" s="146"/>
      <c r="CW363" s="145"/>
      <c r="CX363" s="145"/>
      <c r="CY363" s="145">
        <f>SUM(CZ363:DE363)</f>
      </c>
      <c r="CZ363" s="145"/>
      <c r="DA363" s="146"/>
      <c r="DB363" s="146"/>
      <c r="DC363" s="153"/>
      <c r="DD363" s="153"/>
      <c r="DE363" s="145"/>
      <c r="DF363" s="145"/>
      <c r="DG363" s="145"/>
      <c r="DH363" s="158"/>
      <c r="DI363" s="145"/>
      <c r="DJ363" s="158"/>
      <c r="DK363" s="145"/>
      <c r="DL363" s="158"/>
      <c r="DM363" s="145"/>
      <c r="DN363" s="145"/>
      <c r="DO363" s="145"/>
      <c r="DP363" s="158"/>
      <c r="DQ363" s="145"/>
      <c r="DR363" s="145"/>
      <c r="DS363" s="145"/>
      <c r="DT363" s="145"/>
      <c r="DU363" s="145">
        <f>SUM(DV363:EE363)</f>
      </c>
      <c r="DV363" s="145"/>
      <c r="DW363" s="145"/>
      <c r="DX363" s="145"/>
      <c r="DY363" s="145"/>
      <c r="DZ363" s="146"/>
      <c r="EA363" s="158"/>
      <c r="EB363" s="146"/>
      <c r="EC363" s="145"/>
      <c r="ED363" s="145"/>
      <c r="EE363" s="155"/>
      <c r="EF363" s="145">
        <f>SUM(EG363:EH363)</f>
      </c>
      <c r="EG363" s="145"/>
      <c r="EH363" s="146"/>
      <c r="EI363" s="159" cm="1">
        <f t="array" ref="EI363">ROW()-ROW(Run[#Headers])</f>
        <v>357</v>
      </c>
    </row>
    <row r="364" spans="2:139" s="79" customFormat="1" ht="11.25" x14ac:dyDescent="0.2">
      <c r="B364" s="146"/>
      <c r="C364" s="155"/>
      <c r="D364" s="145"/>
      <c r="E364" s="152">
        <f>SUM(F364:AE364)</f>
      </c>
      <c r="F364" s="146"/>
      <c r="G364" s="146"/>
      <c r="H364" s="146"/>
      <c r="I364" s="146"/>
      <c r="J364" s="146"/>
      <c r="K364" s="156"/>
      <c r="L364" s="146"/>
      <c r="M364" s="146"/>
      <c r="N364" s="146"/>
      <c r="O364" s="146"/>
      <c r="P364" s="156"/>
      <c r="Q364" s="146"/>
      <c r="R364" s="146"/>
      <c r="S364" s="146"/>
      <c r="T364" s="156"/>
      <c r="U364" s="146"/>
      <c r="V364" s="146"/>
      <c r="W364" s="146"/>
      <c r="X364" s="146"/>
      <c r="Y364" s="146"/>
      <c r="Z364" s="146"/>
      <c r="AA364" s="146"/>
      <c r="AB364" s="146"/>
      <c r="AC364" s="157"/>
      <c r="AD364" s="157"/>
      <c r="AE364" s="157"/>
      <c r="AF364" s="158">
        <f>SUM(AG364:AJ364)</f>
      </c>
      <c r="AG364" s="146"/>
      <c r="AH364" s="145"/>
      <c r="AI364" s="145"/>
      <c r="AJ364" s="145"/>
      <c r="AK364" s="158">
        <f>SUM(AL364:AW364)</f>
      </c>
      <c r="AL364" s="146"/>
      <c r="AM364" s="145"/>
      <c r="AN364" s="145"/>
      <c r="AO364" s="145"/>
      <c r="AP364" s="145"/>
      <c r="AQ364" s="145"/>
      <c r="AR364" s="145"/>
      <c r="AS364" s="145"/>
      <c r="AT364" s="145"/>
      <c r="AU364" s="145"/>
      <c r="AV364" s="145"/>
      <c r="AW364" s="158"/>
      <c r="AX364" s="145"/>
      <c r="AY364" s="145"/>
      <c r="AZ364" s="145"/>
      <c r="BA364" s="158"/>
      <c r="BB364" s="145"/>
      <c r="BC364" s="145"/>
      <c r="BD364" s="158"/>
      <c r="BE364" s="146"/>
      <c r="BF364" s="145"/>
      <c r="BG364" s="145"/>
      <c r="BH364" s="158">
        <f>SUM(BI364:BK364)</f>
      </c>
      <c r="BI364" s="145"/>
      <c r="BJ364" s="145"/>
      <c r="BK364" s="145"/>
      <c r="BL364" s="145">
        <f>SUM(BM364:BR364)</f>
      </c>
      <c r="BM364" s="145"/>
      <c r="BN364" s="145"/>
      <c r="BO364" s="158"/>
      <c r="BP364" s="145"/>
      <c r="BQ364" s="145"/>
      <c r="BR364" s="145"/>
      <c r="BS364" s="145"/>
      <c r="BT364" s="145"/>
      <c r="BU364" s="158"/>
      <c r="BV364" s="146"/>
      <c r="BW364" s="145"/>
      <c r="BX364" s="145"/>
      <c r="BY364" s="158">
        <f>SUM(BZ364:CB364)</f>
      </c>
      <c r="BZ364" s="146"/>
      <c r="CA364" s="145"/>
      <c r="CB364" s="145"/>
      <c r="CC364" s="145">
        <f>SUM(CD364:CH364)</f>
      </c>
      <c r="CD364" s="145"/>
      <c r="CE364" s="158"/>
      <c r="CF364" s="145"/>
      <c r="CG364" s="145"/>
      <c r="CH364" s="145"/>
      <c r="CI364" s="158"/>
      <c r="CJ364" s="145"/>
      <c r="CK364" s="145"/>
      <c r="CL364" s="145"/>
      <c r="CM364" s="145"/>
      <c r="CN364" s="145"/>
      <c r="CO364" s="145"/>
      <c r="CP364" s="145"/>
      <c r="CQ364" s="158"/>
      <c r="CR364" s="146"/>
      <c r="CS364" s="158"/>
      <c r="CT364" s="158"/>
      <c r="CU364" s="158">
        <f>SUM(CV364:CV364)</f>
      </c>
      <c r="CV364" s="146"/>
      <c r="CW364" s="145"/>
      <c r="CX364" s="145"/>
      <c r="CY364" s="145">
        <f>SUM(CZ364:DE364)</f>
      </c>
      <c r="CZ364" s="145"/>
      <c r="DA364" s="146"/>
      <c r="DB364" s="146"/>
      <c r="DC364" s="153"/>
      <c r="DD364" s="153"/>
      <c r="DE364" s="145"/>
      <c r="DF364" s="145"/>
      <c r="DG364" s="145"/>
      <c r="DH364" s="158"/>
      <c r="DI364" s="145"/>
      <c r="DJ364" s="158"/>
      <c r="DK364" s="145"/>
      <c r="DL364" s="158"/>
      <c r="DM364" s="145"/>
      <c r="DN364" s="145"/>
      <c r="DO364" s="145"/>
      <c r="DP364" s="158"/>
      <c r="DQ364" s="145"/>
      <c r="DR364" s="145"/>
      <c r="DS364" s="145"/>
      <c r="DT364" s="145"/>
      <c r="DU364" s="145">
        <f>SUM(DV364:EE364)</f>
      </c>
      <c r="DV364" s="145"/>
      <c r="DW364" s="145"/>
      <c r="DX364" s="145"/>
      <c r="DY364" s="145"/>
      <c r="DZ364" s="146"/>
      <c r="EA364" s="158"/>
      <c r="EB364" s="146"/>
      <c r="EC364" s="145"/>
      <c r="ED364" s="145"/>
      <c r="EE364" s="155"/>
      <c r="EF364" s="145">
        <f>SUM(EG364:EH364)</f>
      </c>
      <c r="EG364" s="145"/>
      <c r="EH364" s="146"/>
      <c r="EI364" s="159" cm="1">
        <f t="array" ref="EI364">ROW()-ROW(Run[#Headers])</f>
        <v>358</v>
      </c>
    </row>
    <row r="365" spans="2:139" s="79" customFormat="1" ht="11.25" x14ac:dyDescent="0.2">
      <c r="B365" s="146"/>
      <c r="C365" s="155"/>
      <c r="D365" s="145"/>
      <c r="E365" s="152">
        <f>SUM(F365:AE365)</f>
      </c>
      <c r="F365" s="146"/>
      <c r="G365" s="146"/>
      <c r="H365" s="146"/>
      <c r="I365" s="146"/>
      <c r="J365" s="146"/>
      <c r="K365" s="156"/>
      <c r="L365" s="146"/>
      <c r="M365" s="146"/>
      <c r="N365" s="146"/>
      <c r="O365" s="146"/>
      <c r="P365" s="156"/>
      <c r="Q365" s="146"/>
      <c r="R365" s="146"/>
      <c r="S365" s="146"/>
      <c r="T365" s="156"/>
      <c r="U365" s="146"/>
      <c r="V365" s="146"/>
      <c r="W365" s="146"/>
      <c r="X365" s="146"/>
      <c r="Y365" s="146"/>
      <c r="Z365" s="146"/>
      <c r="AA365" s="146"/>
      <c r="AB365" s="146"/>
      <c r="AC365" s="157"/>
      <c r="AD365" s="157"/>
      <c r="AE365" s="157"/>
      <c r="AF365" s="158">
        <f>SUM(AG365:AJ365)</f>
      </c>
      <c r="AG365" s="146"/>
      <c r="AH365" s="145"/>
      <c r="AI365" s="145"/>
      <c r="AJ365" s="145"/>
      <c r="AK365" s="158">
        <f>SUM(AL365:AW365)</f>
      </c>
      <c r="AL365" s="146"/>
      <c r="AM365" s="145"/>
      <c r="AN365" s="145"/>
      <c r="AO365" s="145"/>
      <c r="AP365" s="145"/>
      <c r="AQ365" s="145"/>
      <c r="AR365" s="145"/>
      <c r="AS365" s="145"/>
      <c r="AT365" s="145"/>
      <c r="AU365" s="145"/>
      <c r="AV365" s="145"/>
      <c r="AW365" s="158"/>
      <c r="AX365" s="145"/>
      <c r="AY365" s="145"/>
      <c r="AZ365" s="145"/>
      <c r="BA365" s="158"/>
      <c r="BB365" s="145"/>
      <c r="BC365" s="145"/>
      <c r="BD365" s="158"/>
      <c r="BE365" s="146"/>
      <c r="BF365" s="145"/>
      <c r="BG365" s="145"/>
      <c r="BH365" s="158">
        <f>SUM(BI365:BK365)</f>
      </c>
      <c r="BI365" s="145"/>
      <c r="BJ365" s="145"/>
      <c r="BK365" s="145"/>
      <c r="BL365" s="145">
        <f>SUM(BM365:BR365)</f>
      </c>
      <c r="BM365" s="145"/>
      <c r="BN365" s="145"/>
      <c r="BO365" s="158"/>
      <c r="BP365" s="145"/>
      <c r="BQ365" s="145"/>
      <c r="BR365" s="145"/>
      <c r="BS365" s="145"/>
      <c r="BT365" s="145"/>
      <c r="BU365" s="158"/>
      <c r="BV365" s="146"/>
      <c r="BW365" s="145"/>
      <c r="BX365" s="145"/>
      <c r="BY365" s="158">
        <f>SUM(BZ365:CB365)</f>
      </c>
      <c r="BZ365" s="146"/>
      <c r="CA365" s="145"/>
      <c r="CB365" s="145"/>
      <c r="CC365" s="145">
        <f>SUM(CD365:CH365)</f>
      </c>
      <c r="CD365" s="145"/>
      <c r="CE365" s="158"/>
      <c r="CF365" s="145"/>
      <c r="CG365" s="145"/>
      <c r="CH365" s="145"/>
      <c r="CI365" s="158"/>
      <c r="CJ365" s="145"/>
      <c r="CK365" s="145"/>
      <c r="CL365" s="145"/>
      <c r="CM365" s="145"/>
      <c r="CN365" s="145"/>
      <c r="CO365" s="145"/>
      <c r="CP365" s="145"/>
      <c r="CQ365" s="158"/>
      <c r="CR365" s="146"/>
      <c r="CS365" s="158"/>
      <c r="CT365" s="158"/>
      <c r="CU365" s="158">
        <f>SUM(CV365:CV365)</f>
      </c>
      <c r="CV365" s="146"/>
      <c r="CW365" s="145"/>
      <c r="CX365" s="145"/>
      <c r="CY365" s="145">
        <f>SUM(CZ365:DE365)</f>
      </c>
      <c r="CZ365" s="145"/>
      <c r="DA365" s="146"/>
      <c r="DB365" s="146"/>
      <c r="DC365" s="153"/>
      <c r="DD365" s="153"/>
      <c r="DE365" s="145"/>
      <c r="DF365" s="145"/>
      <c r="DG365" s="145"/>
      <c r="DH365" s="158"/>
      <c r="DI365" s="145"/>
      <c r="DJ365" s="158"/>
      <c r="DK365" s="145"/>
      <c r="DL365" s="158"/>
      <c r="DM365" s="145"/>
      <c r="DN365" s="145"/>
      <c r="DO365" s="145"/>
      <c r="DP365" s="158"/>
      <c r="DQ365" s="145"/>
      <c r="DR365" s="145"/>
      <c r="DS365" s="145"/>
      <c r="DT365" s="145"/>
      <c r="DU365" s="145">
        <f>SUM(DV365:EE365)</f>
      </c>
      <c r="DV365" s="145"/>
      <c r="DW365" s="145"/>
      <c r="DX365" s="145"/>
      <c r="DY365" s="145"/>
      <c r="DZ365" s="146"/>
      <c r="EA365" s="158"/>
      <c r="EB365" s="146"/>
      <c r="EC365" s="145"/>
      <c r="ED365" s="145"/>
      <c r="EE365" s="155"/>
      <c r="EF365" s="145">
        <f>SUM(EG365:EH365)</f>
      </c>
      <c r="EG365" s="145"/>
      <c r="EH365" s="146"/>
      <c r="EI365" s="159" cm="1">
        <f t="array" ref="EI365">ROW()-ROW(Run[#Headers])</f>
        <v>359</v>
      </c>
    </row>
    <row r="366" spans="2:139" s="79" customFormat="1" ht="11.25" x14ac:dyDescent="0.2">
      <c r="B366" s="146"/>
      <c r="C366" s="155"/>
      <c r="D366" s="145"/>
      <c r="E366" s="152">
        <f>SUM(F366:AE366)</f>
      </c>
      <c r="F366" s="146"/>
      <c r="G366" s="146"/>
      <c r="H366" s="146"/>
      <c r="I366" s="146"/>
      <c r="J366" s="146"/>
      <c r="K366" s="156"/>
      <c r="L366" s="146"/>
      <c r="M366" s="146"/>
      <c r="N366" s="146"/>
      <c r="O366" s="146"/>
      <c r="P366" s="156"/>
      <c r="Q366" s="146"/>
      <c r="R366" s="146"/>
      <c r="S366" s="146"/>
      <c r="T366" s="156"/>
      <c r="U366" s="146"/>
      <c r="V366" s="146"/>
      <c r="W366" s="146"/>
      <c r="X366" s="146"/>
      <c r="Y366" s="146"/>
      <c r="Z366" s="146"/>
      <c r="AA366" s="146"/>
      <c r="AB366" s="146"/>
      <c r="AC366" s="157"/>
      <c r="AD366" s="157"/>
      <c r="AE366" s="157"/>
      <c r="AF366" s="158">
        <f>SUM(AG366:AJ366)</f>
      </c>
      <c r="AG366" s="146"/>
      <c r="AH366" s="145"/>
      <c r="AI366" s="145"/>
      <c r="AJ366" s="145"/>
      <c r="AK366" s="158">
        <f>SUM(AL366:AW366)</f>
      </c>
      <c r="AL366" s="146"/>
      <c r="AM366" s="145"/>
      <c r="AN366" s="145"/>
      <c r="AO366" s="145"/>
      <c r="AP366" s="145"/>
      <c r="AQ366" s="145"/>
      <c r="AR366" s="145"/>
      <c r="AS366" s="145"/>
      <c r="AT366" s="145"/>
      <c r="AU366" s="145"/>
      <c r="AV366" s="145"/>
      <c r="AW366" s="158"/>
      <c r="AX366" s="145"/>
      <c r="AY366" s="145"/>
      <c r="AZ366" s="145"/>
      <c r="BA366" s="158"/>
      <c r="BB366" s="145"/>
      <c r="BC366" s="145"/>
      <c r="BD366" s="158"/>
      <c r="BE366" s="146"/>
      <c r="BF366" s="145"/>
      <c r="BG366" s="145"/>
      <c r="BH366" s="158">
        <f>SUM(BI366:BK366)</f>
      </c>
      <c r="BI366" s="145"/>
      <c r="BJ366" s="145"/>
      <c r="BK366" s="145"/>
      <c r="BL366" s="145">
        <f>SUM(BM366:BR366)</f>
      </c>
      <c r="BM366" s="145"/>
      <c r="BN366" s="145"/>
      <c r="BO366" s="158"/>
      <c r="BP366" s="145"/>
      <c r="BQ366" s="145"/>
      <c r="BR366" s="145"/>
      <c r="BS366" s="145"/>
      <c r="BT366" s="145"/>
      <c r="BU366" s="158"/>
      <c r="BV366" s="146"/>
      <c r="BW366" s="145"/>
      <c r="BX366" s="145"/>
      <c r="BY366" s="158">
        <f>SUM(BZ366:CB366)</f>
      </c>
      <c r="BZ366" s="146"/>
      <c r="CA366" s="145"/>
      <c r="CB366" s="145"/>
      <c r="CC366" s="145">
        <f>SUM(CD366:CH366)</f>
      </c>
      <c r="CD366" s="145"/>
      <c r="CE366" s="158"/>
      <c r="CF366" s="145"/>
      <c r="CG366" s="145"/>
      <c r="CH366" s="145"/>
      <c r="CI366" s="158"/>
      <c r="CJ366" s="145"/>
      <c r="CK366" s="145"/>
      <c r="CL366" s="145"/>
      <c r="CM366" s="145"/>
      <c r="CN366" s="145"/>
      <c r="CO366" s="145"/>
      <c r="CP366" s="145"/>
      <c r="CQ366" s="158"/>
      <c r="CR366" s="146"/>
      <c r="CS366" s="158"/>
      <c r="CT366" s="158"/>
      <c r="CU366" s="158">
        <f>SUM(CV366:CV366)</f>
      </c>
      <c r="CV366" s="146"/>
      <c r="CW366" s="145"/>
      <c r="CX366" s="145"/>
      <c r="CY366" s="145">
        <f>SUM(CZ366:DE366)</f>
      </c>
      <c r="CZ366" s="145"/>
      <c r="DA366" s="146"/>
      <c r="DB366" s="146"/>
      <c r="DC366" s="153"/>
      <c r="DD366" s="153"/>
      <c r="DE366" s="145"/>
      <c r="DF366" s="145"/>
      <c r="DG366" s="145"/>
      <c r="DH366" s="158"/>
      <c r="DI366" s="145"/>
      <c r="DJ366" s="158"/>
      <c r="DK366" s="145"/>
      <c r="DL366" s="158"/>
      <c r="DM366" s="145"/>
      <c r="DN366" s="145"/>
      <c r="DO366" s="145"/>
      <c r="DP366" s="158"/>
      <c r="DQ366" s="145"/>
      <c r="DR366" s="145"/>
      <c r="DS366" s="145"/>
      <c r="DT366" s="145"/>
      <c r="DU366" s="145">
        <f>SUM(DV366:EE366)</f>
      </c>
      <c r="DV366" s="145"/>
      <c r="DW366" s="145"/>
      <c r="DX366" s="145"/>
      <c r="DY366" s="145"/>
      <c r="DZ366" s="146"/>
      <c r="EA366" s="158"/>
      <c r="EB366" s="146"/>
      <c r="EC366" s="145"/>
      <c r="ED366" s="145"/>
      <c r="EE366" s="155"/>
      <c r="EF366" s="145">
        <f>SUM(EG366:EH366)</f>
      </c>
      <c r="EG366" s="145"/>
      <c r="EH366" s="146"/>
      <c r="EI366" s="159" cm="1">
        <f t="array" ref="EI366">ROW()-ROW(Run[#Headers])</f>
        <v>360</v>
      </c>
    </row>
    <row r="367" spans="2:139" s="79" customFormat="1" ht="11.25" x14ac:dyDescent="0.2">
      <c r="B367" s="146"/>
      <c r="C367" s="155"/>
      <c r="D367" s="145"/>
      <c r="E367" s="152">
        <f>SUM(F367:AE367)</f>
      </c>
      <c r="F367" s="146"/>
      <c r="G367" s="146"/>
      <c r="H367" s="146"/>
      <c r="I367" s="146"/>
      <c r="J367" s="146"/>
      <c r="K367" s="156"/>
      <c r="L367" s="146"/>
      <c r="M367" s="146"/>
      <c r="N367" s="146"/>
      <c r="O367" s="146"/>
      <c r="P367" s="156"/>
      <c r="Q367" s="146"/>
      <c r="R367" s="146"/>
      <c r="S367" s="146"/>
      <c r="T367" s="156"/>
      <c r="U367" s="146"/>
      <c r="V367" s="146"/>
      <c r="W367" s="146"/>
      <c r="X367" s="146"/>
      <c r="Y367" s="146"/>
      <c r="Z367" s="146"/>
      <c r="AA367" s="146"/>
      <c r="AB367" s="146"/>
      <c r="AC367" s="157"/>
      <c r="AD367" s="157"/>
      <c r="AE367" s="157"/>
      <c r="AF367" s="158">
        <f>SUM(AG367:AJ367)</f>
      </c>
      <c r="AG367" s="146"/>
      <c r="AH367" s="145"/>
      <c r="AI367" s="145"/>
      <c r="AJ367" s="145"/>
      <c r="AK367" s="158">
        <f>SUM(AL367:AW367)</f>
      </c>
      <c r="AL367" s="146"/>
      <c r="AM367" s="145"/>
      <c r="AN367" s="145"/>
      <c r="AO367" s="145"/>
      <c r="AP367" s="145"/>
      <c r="AQ367" s="145"/>
      <c r="AR367" s="145"/>
      <c r="AS367" s="145"/>
      <c r="AT367" s="145"/>
      <c r="AU367" s="145"/>
      <c r="AV367" s="145"/>
      <c r="AW367" s="158"/>
      <c r="AX367" s="145"/>
      <c r="AY367" s="145"/>
      <c r="AZ367" s="145"/>
      <c r="BA367" s="158"/>
      <c r="BB367" s="145"/>
      <c r="BC367" s="145"/>
      <c r="BD367" s="158"/>
      <c r="BE367" s="146"/>
      <c r="BF367" s="145"/>
      <c r="BG367" s="145"/>
      <c r="BH367" s="158">
        <f>SUM(BI367:BK367)</f>
      </c>
      <c r="BI367" s="145"/>
      <c r="BJ367" s="145"/>
      <c r="BK367" s="145"/>
      <c r="BL367" s="145">
        <f>SUM(BM367:BR367)</f>
      </c>
      <c r="BM367" s="145"/>
      <c r="BN367" s="145"/>
      <c r="BO367" s="158"/>
      <c r="BP367" s="145"/>
      <c r="BQ367" s="145"/>
      <c r="BR367" s="145"/>
      <c r="BS367" s="145"/>
      <c r="BT367" s="145"/>
      <c r="BU367" s="158"/>
      <c r="BV367" s="146"/>
      <c r="BW367" s="145"/>
      <c r="BX367" s="145"/>
      <c r="BY367" s="158">
        <f>SUM(BZ367:CB367)</f>
      </c>
      <c r="BZ367" s="146"/>
      <c r="CA367" s="145"/>
      <c r="CB367" s="145"/>
      <c r="CC367" s="145">
        <f>SUM(CD367:CH367)</f>
      </c>
      <c r="CD367" s="145"/>
      <c r="CE367" s="158"/>
      <c r="CF367" s="145"/>
      <c r="CG367" s="145"/>
      <c r="CH367" s="145"/>
      <c r="CI367" s="158"/>
      <c r="CJ367" s="145"/>
      <c r="CK367" s="145"/>
      <c r="CL367" s="145"/>
      <c r="CM367" s="145"/>
      <c r="CN367" s="145"/>
      <c r="CO367" s="145"/>
      <c r="CP367" s="145"/>
      <c r="CQ367" s="158"/>
      <c r="CR367" s="146"/>
      <c r="CS367" s="158"/>
      <c r="CT367" s="158"/>
      <c r="CU367" s="158">
        <f>SUM(CV367:CV367)</f>
      </c>
      <c r="CV367" s="146"/>
      <c r="CW367" s="145"/>
      <c r="CX367" s="145"/>
      <c r="CY367" s="145">
        <f>SUM(CZ367:DE367)</f>
      </c>
      <c r="CZ367" s="145"/>
      <c r="DA367" s="146"/>
      <c r="DB367" s="146"/>
      <c r="DC367" s="153"/>
      <c r="DD367" s="153"/>
      <c r="DE367" s="145"/>
      <c r="DF367" s="145"/>
      <c r="DG367" s="145"/>
      <c r="DH367" s="158"/>
      <c r="DI367" s="145"/>
      <c r="DJ367" s="158"/>
      <c r="DK367" s="145"/>
      <c r="DL367" s="158"/>
      <c r="DM367" s="145"/>
      <c r="DN367" s="145"/>
      <c r="DO367" s="145"/>
      <c r="DP367" s="158"/>
      <c r="DQ367" s="145"/>
      <c r="DR367" s="145"/>
      <c r="DS367" s="145"/>
      <c r="DT367" s="145"/>
      <c r="DU367" s="145">
        <f>SUM(DV367:EE367)</f>
      </c>
      <c r="DV367" s="145"/>
      <c r="DW367" s="145"/>
      <c r="DX367" s="145"/>
      <c r="DY367" s="145"/>
      <c r="DZ367" s="146"/>
      <c r="EA367" s="158"/>
      <c r="EB367" s="146"/>
      <c r="EC367" s="145"/>
      <c r="ED367" s="145"/>
      <c r="EE367" s="155"/>
      <c r="EF367" s="145">
        <f>SUM(EG367:EH367)</f>
      </c>
      <c r="EG367" s="145"/>
      <c r="EH367" s="146"/>
      <c r="EI367" s="159" cm="1">
        <f t="array" ref="EI367">ROW()-ROW(Run[#Headers])</f>
        <v>361</v>
      </c>
    </row>
    <row r="368" spans="2:139" s="79" customFormat="1" ht="11.25" x14ac:dyDescent="0.2">
      <c r="B368" s="146"/>
      <c r="C368" s="155"/>
      <c r="D368" s="145"/>
      <c r="E368" s="152">
        <f>SUM(F368:AE368)</f>
      </c>
      <c r="F368" s="146"/>
      <c r="G368" s="146"/>
      <c r="H368" s="146"/>
      <c r="I368" s="146"/>
      <c r="J368" s="146"/>
      <c r="K368" s="156"/>
      <c r="L368" s="146"/>
      <c r="M368" s="146"/>
      <c r="N368" s="146"/>
      <c r="O368" s="146"/>
      <c r="P368" s="156"/>
      <c r="Q368" s="146"/>
      <c r="R368" s="146"/>
      <c r="S368" s="146"/>
      <c r="T368" s="156"/>
      <c r="U368" s="146"/>
      <c r="V368" s="146"/>
      <c r="W368" s="146"/>
      <c r="X368" s="146"/>
      <c r="Y368" s="146"/>
      <c r="Z368" s="146"/>
      <c r="AA368" s="146"/>
      <c r="AB368" s="146"/>
      <c r="AC368" s="157"/>
      <c r="AD368" s="157"/>
      <c r="AE368" s="157"/>
      <c r="AF368" s="158">
        <f>SUM(AG368:AJ368)</f>
      </c>
      <c r="AG368" s="146"/>
      <c r="AH368" s="145"/>
      <c r="AI368" s="145"/>
      <c r="AJ368" s="145"/>
      <c r="AK368" s="158">
        <f>SUM(AL368:AW368)</f>
      </c>
      <c r="AL368" s="146"/>
      <c r="AM368" s="145"/>
      <c r="AN368" s="145"/>
      <c r="AO368" s="145"/>
      <c r="AP368" s="145"/>
      <c r="AQ368" s="145"/>
      <c r="AR368" s="145"/>
      <c r="AS368" s="145"/>
      <c r="AT368" s="145"/>
      <c r="AU368" s="145"/>
      <c r="AV368" s="145"/>
      <c r="AW368" s="158"/>
      <c r="AX368" s="145"/>
      <c r="AY368" s="145"/>
      <c r="AZ368" s="145"/>
      <c r="BA368" s="158"/>
      <c r="BB368" s="145"/>
      <c r="BC368" s="145"/>
      <c r="BD368" s="158"/>
      <c r="BE368" s="146"/>
      <c r="BF368" s="145"/>
      <c r="BG368" s="145"/>
      <c r="BH368" s="158">
        <f>SUM(BI368:BK368)</f>
      </c>
      <c r="BI368" s="145"/>
      <c r="BJ368" s="145"/>
      <c r="BK368" s="145"/>
      <c r="BL368" s="145">
        <f>SUM(BM368:BR368)</f>
      </c>
      <c r="BM368" s="145"/>
      <c r="BN368" s="145"/>
      <c r="BO368" s="158"/>
      <c r="BP368" s="145"/>
      <c r="BQ368" s="145"/>
      <c r="BR368" s="145"/>
      <c r="BS368" s="145"/>
      <c r="BT368" s="145"/>
      <c r="BU368" s="158"/>
      <c r="BV368" s="146"/>
      <c r="BW368" s="145"/>
      <c r="BX368" s="145"/>
      <c r="BY368" s="158">
        <f>SUM(BZ368:CB368)</f>
      </c>
      <c r="BZ368" s="146"/>
      <c r="CA368" s="145"/>
      <c r="CB368" s="145"/>
      <c r="CC368" s="145">
        <f>SUM(CD368:CH368)</f>
      </c>
      <c r="CD368" s="145"/>
      <c r="CE368" s="158"/>
      <c r="CF368" s="145"/>
      <c r="CG368" s="145"/>
      <c r="CH368" s="145"/>
      <c r="CI368" s="158"/>
      <c r="CJ368" s="145"/>
      <c r="CK368" s="145"/>
      <c r="CL368" s="145"/>
      <c r="CM368" s="145"/>
      <c r="CN368" s="145"/>
      <c r="CO368" s="145"/>
      <c r="CP368" s="145"/>
      <c r="CQ368" s="158"/>
      <c r="CR368" s="146"/>
      <c r="CS368" s="158"/>
      <c r="CT368" s="158"/>
      <c r="CU368" s="158">
        <f>SUM(CV368:CV368)</f>
      </c>
      <c r="CV368" s="146"/>
      <c r="CW368" s="145"/>
      <c r="CX368" s="145"/>
      <c r="CY368" s="145">
        <f>SUM(CZ368:DE368)</f>
      </c>
      <c r="CZ368" s="145"/>
      <c r="DA368" s="146"/>
      <c r="DB368" s="146"/>
      <c r="DC368" s="153"/>
      <c r="DD368" s="153"/>
      <c r="DE368" s="145"/>
      <c r="DF368" s="145"/>
      <c r="DG368" s="145"/>
      <c r="DH368" s="158"/>
      <c r="DI368" s="145"/>
      <c r="DJ368" s="158"/>
      <c r="DK368" s="145"/>
      <c r="DL368" s="158"/>
      <c r="DM368" s="145"/>
      <c r="DN368" s="145"/>
      <c r="DO368" s="145"/>
      <c r="DP368" s="158"/>
      <c r="DQ368" s="145"/>
      <c r="DR368" s="145"/>
      <c r="DS368" s="145"/>
      <c r="DT368" s="145"/>
      <c r="DU368" s="145">
        <f>SUM(DV368:EE368)</f>
      </c>
      <c r="DV368" s="145"/>
      <c r="DW368" s="145"/>
      <c r="DX368" s="145"/>
      <c r="DY368" s="145"/>
      <c r="DZ368" s="146"/>
      <c r="EA368" s="158"/>
      <c r="EB368" s="146"/>
      <c r="EC368" s="145"/>
      <c r="ED368" s="145"/>
      <c r="EE368" s="155"/>
      <c r="EF368" s="145">
        <f>SUM(EG368:EH368)</f>
      </c>
      <c r="EG368" s="145"/>
      <c r="EH368" s="146"/>
      <c r="EI368" s="159" cm="1">
        <f t="array" ref="EI368">ROW()-ROW(Run[#Headers])</f>
        <v>362</v>
      </c>
    </row>
    <row r="369" spans="2:139" s="79" customFormat="1" ht="11.25" x14ac:dyDescent="0.2">
      <c r="B369" s="146"/>
      <c r="C369" s="155"/>
      <c r="D369" s="145"/>
      <c r="E369" s="152">
        <f>SUM(F369:AE369)</f>
      </c>
      <c r="F369" s="146"/>
      <c r="G369" s="146"/>
      <c r="H369" s="146"/>
      <c r="I369" s="146"/>
      <c r="J369" s="146"/>
      <c r="K369" s="156"/>
      <c r="L369" s="146"/>
      <c r="M369" s="146"/>
      <c r="N369" s="146"/>
      <c r="O369" s="146"/>
      <c r="P369" s="156"/>
      <c r="Q369" s="146"/>
      <c r="R369" s="146"/>
      <c r="S369" s="146"/>
      <c r="T369" s="156"/>
      <c r="U369" s="146"/>
      <c r="V369" s="146"/>
      <c r="W369" s="146"/>
      <c r="X369" s="146"/>
      <c r="Y369" s="146"/>
      <c r="Z369" s="146"/>
      <c r="AA369" s="146"/>
      <c r="AB369" s="146"/>
      <c r="AC369" s="157"/>
      <c r="AD369" s="157"/>
      <c r="AE369" s="157"/>
      <c r="AF369" s="158">
        <f>SUM(AG369:AJ369)</f>
      </c>
      <c r="AG369" s="146"/>
      <c r="AH369" s="145"/>
      <c r="AI369" s="145"/>
      <c r="AJ369" s="145"/>
      <c r="AK369" s="158">
        <f>SUM(AL369:AW369)</f>
      </c>
      <c r="AL369" s="146"/>
      <c r="AM369" s="145"/>
      <c r="AN369" s="145"/>
      <c r="AO369" s="145"/>
      <c r="AP369" s="145"/>
      <c r="AQ369" s="145"/>
      <c r="AR369" s="145"/>
      <c r="AS369" s="145"/>
      <c r="AT369" s="145"/>
      <c r="AU369" s="145"/>
      <c r="AV369" s="145"/>
      <c r="AW369" s="158"/>
      <c r="AX369" s="145"/>
      <c r="AY369" s="145"/>
      <c r="AZ369" s="145"/>
      <c r="BA369" s="158"/>
      <c r="BB369" s="145"/>
      <c r="BC369" s="145"/>
      <c r="BD369" s="158"/>
      <c r="BE369" s="146"/>
      <c r="BF369" s="145"/>
      <c r="BG369" s="145"/>
      <c r="BH369" s="158">
        <f>SUM(BI369:BK369)</f>
      </c>
      <c r="BI369" s="145"/>
      <c r="BJ369" s="145"/>
      <c r="BK369" s="145"/>
      <c r="BL369" s="145">
        <f>SUM(BM369:BR369)</f>
      </c>
      <c r="BM369" s="145"/>
      <c r="BN369" s="145"/>
      <c r="BO369" s="158"/>
      <c r="BP369" s="145"/>
      <c r="BQ369" s="145"/>
      <c r="BR369" s="145"/>
      <c r="BS369" s="145"/>
      <c r="BT369" s="145"/>
      <c r="BU369" s="158"/>
      <c r="BV369" s="146"/>
      <c r="BW369" s="145"/>
      <c r="BX369" s="145"/>
      <c r="BY369" s="158">
        <f>SUM(BZ369:CB369)</f>
      </c>
      <c r="BZ369" s="146"/>
      <c r="CA369" s="145"/>
      <c r="CB369" s="145"/>
      <c r="CC369" s="145">
        <f>SUM(CD369:CH369)</f>
      </c>
      <c r="CD369" s="145"/>
      <c r="CE369" s="158"/>
      <c r="CF369" s="145"/>
      <c r="CG369" s="145"/>
      <c r="CH369" s="145"/>
      <c r="CI369" s="158"/>
      <c r="CJ369" s="145"/>
      <c r="CK369" s="145"/>
      <c r="CL369" s="145"/>
      <c r="CM369" s="145"/>
      <c r="CN369" s="145"/>
      <c r="CO369" s="145"/>
      <c r="CP369" s="145"/>
      <c r="CQ369" s="158"/>
      <c r="CR369" s="146"/>
      <c r="CS369" s="158"/>
      <c r="CT369" s="158"/>
      <c r="CU369" s="158">
        <f>SUM(CV369:CV369)</f>
      </c>
      <c r="CV369" s="146"/>
      <c r="CW369" s="145"/>
      <c r="CX369" s="145"/>
      <c r="CY369" s="145">
        <f>SUM(CZ369:DE369)</f>
      </c>
      <c r="CZ369" s="145"/>
      <c r="DA369" s="146"/>
      <c r="DB369" s="146"/>
      <c r="DC369" s="153"/>
      <c r="DD369" s="153"/>
      <c r="DE369" s="145"/>
      <c r="DF369" s="145"/>
      <c r="DG369" s="145"/>
      <c r="DH369" s="158"/>
      <c r="DI369" s="145"/>
      <c r="DJ369" s="158"/>
      <c r="DK369" s="145"/>
      <c r="DL369" s="158"/>
      <c r="DM369" s="145"/>
      <c r="DN369" s="145"/>
      <c r="DO369" s="145"/>
      <c r="DP369" s="158"/>
      <c r="DQ369" s="145"/>
      <c r="DR369" s="145"/>
      <c r="DS369" s="145"/>
      <c r="DT369" s="145"/>
      <c r="DU369" s="145">
        <f>SUM(DV369:EE369)</f>
      </c>
      <c r="DV369" s="145"/>
      <c r="DW369" s="145"/>
      <c r="DX369" s="145"/>
      <c r="DY369" s="145"/>
      <c r="DZ369" s="146"/>
      <c r="EA369" s="158"/>
      <c r="EB369" s="146"/>
      <c r="EC369" s="145"/>
      <c r="ED369" s="145"/>
      <c r="EE369" s="155"/>
      <c r="EF369" s="145">
        <f>SUM(EG369:EH369)</f>
      </c>
      <c r="EG369" s="145"/>
      <c r="EH369" s="146"/>
      <c r="EI369" s="159" cm="1">
        <f t="array" ref="EI369">ROW()-ROW(Run[#Headers])</f>
        <v>363</v>
      </c>
    </row>
    <row r="370" spans="2:139" s="79" customFormat="1" ht="11.25" x14ac:dyDescent="0.2">
      <c r="B370" s="146"/>
      <c r="C370" s="155"/>
      <c r="D370" s="145"/>
      <c r="E370" s="152">
        <f>SUM(F370:AE370)</f>
      </c>
      <c r="F370" s="146"/>
      <c r="G370" s="146"/>
      <c r="H370" s="146"/>
      <c r="I370" s="146"/>
      <c r="J370" s="146"/>
      <c r="K370" s="156"/>
      <c r="L370" s="146"/>
      <c r="M370" s="146"/>
      <c r="N370" s="146"/>
      <c r="O370" s="146"/>
      <c r="P370" s="156"/>
      <c r="Q370" s="146"/>
      <c r="R370" s="146"/>
      <c r="S370" s="146"/>
      <c r="T370" s="156"/>
      <c r="U370" s="146"/>
      <c r="V370" s="146"/>
      <c r="W370" s="146"/>
      <c r="X370" s="146"/>
      <c r="Y370" s="146"/>
      <c r="Z370" s="146"/>
      <c r="AA370" s="146"/>
      <c r="AB370" s="146"/>
      <c r="AC370" s="157"/>
      <c r="AD370" s="157"/>
      <c r="AE370" s="157"/>
      <c r="AF370" s="158">
        <f>SUM(AG370:AJ370)</f>
      </c>
      <c r="AG370" s="146"/>
      <c r="AH370" s="145"/>
      <c r="AI370" s="145"/>
      <c r="AJ370" s="145"/>
      <c r="AK370" s="158">
        <f>SUM(AL370:AW370)</f>
      </c>
      <c r="AL370" s="146"/>
      <c r="AM370" s="145"/>
      <c r="AN370" s="145"/>
      <c r="AO370" s="145"/>
      <c r="AP370" s="145"/>
      <c r="AQ370" s="145"/>
      <c r="AR370" s="145"/>
      <c r="AS370" s="145"/>
      <c r="AT370" s="145"/>
      <c r="AU370" s="145"/>
      <c r="AV370" s="145"/>
      <c r="AW370" s="158"/>
      <c r="AX370" s="145"/>
      <c r="AY370" s="145"/>
      <c r="AZ370" s="145"/>
      <c r="BA370" s="158"/>
      <c r="BB370" s="145"/>
      <c r="BC370" s="145"/>
      <c r="BD370" s="158"/>
      <c r="BE370" s="146"/>
      <c r="BF370" s="145"/>
      <c r="BG370" s="145"/>
      <c r="BH370" s="158">
        <f>SUM(BI370:BK370)</f>
      </c>
      <c r="BI370" s="145"/>
      <c r="BJ370" s="145"/>
      <c r="BK370" s="145"/>
      <c r="BL370" s="145">
        <f>SUM(BM370:BR370)</f>
      </c>
      <c r="BM370" s="145"/>
      <c r="BN370" s="145"/>
      <c r="BO370" s="158"/>
      <c r="BP370" s="145"/>
      <c r="BQ370" s="145"/>
      <c r="BR370" s="145"/>
      <c r="BS370" s="145"/>
      <c r="BT370" s="145"/>
      <c r="BU370" s="158"/>
      <c r="BV370" s="146"/>
      <c r="BW370" s="145"/>
      <c r="BX370" s="145"/>
      <c r="BY370" s="158">
        <f>SUM(BZ370:CB370)</f>
      </c>
      <c r="BZ370" s="146"/>
      <c r="CA370" s="145"/>
      <c r="CB370" s="145"/>
      <c r="CC370" s="145">
        <f>SUM(CD370:CH370)</f>
      </c>
      <c r="CD370" s="145"/>
      <c r="CE370" s="158"/>
      <c r="CF370" s="145"/>
      <c r="CG370" s="145"/>
      <c r="CH370" s="145"/>
      <c r="CI370" s="158"/>
      <c r="CJ370" s="145"/>
      <c r="CK370" s="145"/>
      <c r="CL370" s="145"/>
      <c r="CM370" s="145"/>
      <c r="CN370" s="145"/>
      <c r="CO370" s="145"/>
      <c r="CP370" s="145"/>
      <c r="CQ370" s="158"/>
      <c r="CR370" s="146"/>
      <c r="CS370" s="158"/>
      <c r="CT370" s="158"/>
      <c r="CU370" s="158">
        <f>SUM(CV370:CV370)</f>
      </c>
      <c r="CV370" s="146"/>
      <c r="CW370" s="145"/>
      <c r="CX370" s="145"/>
      <c r="CY370" s="145">
        <f>SUM(CZ370:DE370)</f>
      </c>
      <c r="CZ370" s="145"/>
      <c r="DA370" s="146"/>
      <c r="DB370" s="146"/>
      <c r="DC370" s="153"/>
      <c r="DD370" s="153"/>
      <c r="DE370" s="145"/>
      <c r="DF370" s="145"/>
      <c r="DG370" s="145"/>
      <c r="DH370" s="158"/>
      <c r="DI370" s="145"/>
      <c r="DJ370" s="158"/>
      <c r="DK370" s="145"/>
      <c r="DL370" s="158"/>
      <c r="DM370" s="145"/>
      <c r="DN370" s="145"/>
      <c r="DO370" s="145"/>
      <c r="DP370" s="158"/>
      <c r="DQ370" s="145"/>
      <c r="DR370" s="145"/>
      <c r="DS370" s="145"/>
      <c r="DT370" s="145"/>
      <c r="DU370" s="145">
        <f>SUM(DV370:EE370)</f>
      </c>
      <c r="DV370" s="145"/>
      <c r="DW370" s="145"/>
      <c r="DX370" s="145"/>
      <c r="DY370" s="145"/>
      <c r="DZ370" s="146"/>
      <c r="EA370" s="158"/>
      <c r="EB370" s="146"/>
      <c r="EC370" s="145"/>
      <c r="ED370" s="145"/>
      <c r="EE370" s="155"/>
      <c r="EF370" s="145">
        <f>SUM(EG370:EH370)</f>
      </c>
      <c r="EG370" s="145"/>
      <c r="EH370" s="146"/>
      <c r="EI370" s="159" cm="1">
        <f t="array" ref="EI370">ROW()-ROW(Run[#Headers])</f>
        <v>364</v>
      </c>
    </row>
    <row r="371" spans="2:139" s="79" customFormat="1" ht="11.25" x14ac:dyDescent="0.2">
      <c r="B371" s="146"/>
      <c r="C371" s="155"/>
      <c r="D371" s="145"/>
      <c r="E371" s="152">
        <f>SUM(F371:AE371)</f>
      </c>
      <c r="F371" s="146"/>
      <c r="G371" s="146"/>
      <c r="H371" s="146"/>
      <c r="I371" s="146"/>
      <c r="J371" s="146"/>
      <c r="K371" s="156"/>
      <c r="L371" s="146"/>
      <c r="M371" s="146"/>
      <c r="N371" s="146"/>
      <c r="O371" s="146"/>
      <c r="P371" s="156"/>
      <c r="Q371" s="146"/>
      <c r="R371" s="146"/>
      <c r="S371" s="146"/>
      <c r="T371" s="156"/>
      <c r="U371" s="146"/>
      <c r="V371" s="146"/>
      <c r="W371" s="146"/>
      <c r="X371" s="146"/>
      <c r="Y371" s="146"/>
      <c r="Z371" s="146"/>
      <c r="AA371" s="146"/>
      <c r="AB371" s="146"/>
      <c r="AC371" s="157"/>
      <c r="AD371" s="157"/>
      <c r="AE371" s="157"/>
      <c r="AF371" s="158">
        <f>SUM(AG371:AJ371)</f>
      </c>
      <c r="AG371" s="146"/>
      <c r="AH371" s="145"/>
      <c r="AI371" s="145"/>
      <c r="AJ371" s="145"/>
      <c r="AK371" s="158">
        <f>SUM(AL371:AW371)</f>
      </c>
      <c r="AL371" s="146"/>
      <c r="AM371" s="145"/>
      <c r="AN371" s="145"/>
      <c r="AO371" s="145"/>
      <c r="AP371" s="145"/>
      <c r="AQ371" s="145"/>
      <c r="AR371" s="145"/>
      <c r="AS371" s="145"/>
      <c r="AT371" s="145"/>
      <c r="AU371" s="145"/>
      <c r="AV371" s="145"/>
      <c r="AW371" s="158"/>
      <c r="AX371" s="145"/>
      <c r="AY371" s="145"/>
      <c r="AZ371" s="145"/>
      <c r="BA371" s="158"/>
      <c r="BB371" s="145"/>
      <c r="BC371" s="145"/>
      <c r="BD371" s="158"/>
      <c r="BE371" s="146"/>
      <c r="BF371" s="145"/>
      <c r="BG371" s="145"/>
      <c r="BH371" s="158">
        <f>SUM(BI371:BK371)</f>
      </c>
      <c r="BI371" s="145"/>
      <c r="BJ371" s="145"/>
      <c r="BK371" s="145"/>
      <c r="BL371" s="145">
        <f>SUM(BM371:BR371)</f>
      </c>
      <c r="BM371" s="145"/>
      <c r="BN371" s="145"/>
      <c r="BO371" s="158"/>
      <c r="BP371" s="145"/>
      <c r="BQ371" s="145"/>
      <c r="BR371" s="145"/>
      <c r="BS371" s="145"/>
      <c r="BT371" s="145"/>
      <c r="BU371" s="158"/>
      <c r="BV371" s="146"/>
      <c r="BW371" s="145"/>
      <c r="BX371" s="145"/>
      <c r="BY371" s="158">
        <f>SUM(BZ371:CB371)</f>
      </c>
      <c r="BZ371" s="146"/>
      <c r="CA371" s="145"/>
      <c r="CB371" s="145"/>
      <c r="CC371" s="145">
        <f>SUM(CD371:CH371)</f>
      </c>
      <c r="CD371" s="145"/>
      <c r="CE371" s="158"/>
      <c r="CF371" s="145"/>
      <c r="CG371" s="145"/>
      <c r="CH371" s="145"/>
      <c r="CI371" s="158"/>
      <c r="CJ371" s="145"/>
      <c r="CK371" s="145"/>
      <c r="CL371" s="145"/>
      <c r="CM371" s="145"/>
      <c r="CN371" s="145"/>
      <c r="CO371" s="145"/>
      <c r="CP371" s="145"/>
      <c r="CQ371" s="158"/>
      <c r="CR371" s="146"/>
      <c r="CS371" s="158"/>
      <c r="CT371" s="158"/>
      <c r="CU371" s="158">
        <f>SUM(CV371:CV371)</f>
      </c>
      <c r="CV371" s="146"/>
      <c r="CW371" s="145"/>
      <c r="CX371" s="145"/>
      <c r="CY371" s="145">
        <f>SUM(CZ371:DE371)</f>
      </c>
      <c r="CZ371" s="145"/>
      <c r="DA371" s="146"/>
      <c r="DB371" s="146"/>
      <c r="DC371" s="153"/>
      <c r="DD371" s="153"/>
      <c r="DE371" s="145"/>
      <c r="DF371" s="145"/>
      <c r="DG371" s="145"/>
      <c r="DH371" s="158"/>
      <c r="DI371" s="145"/>
      <c r="DJ371" s="158"/>
      <c r="DK371" s="145"/>
      <c r="DL371" s="158"/>
      <c r="DM371" s="145"/>
      <c r="DN371" s="145"/>
      <c r="DO371" s="145"/>
      <c r="DP371" s="158"/>
      <c r="DQ371" s="145"/>
      <c r="DR371" s="145"/>
      <c r="DS371" s="145"/>
      <c r="DT371" s="145"/>
      <c r="DU371" s="145">
        <f>SUM(DV371:EE371)</f>
      </c>
      <c r="DV371" s="145"/>
      <c r="DW371" s="145"/>
      <c r="DX371" s="145"/>
      <c r="DY371" s="145"/>
      <c r="DZ371" s="146"/>
      <c r="EA371" s="158"/>
      <c r="EB371" s="146"/>
      <c r="EC371" s="145"/>
      <c r="ED371" s="145"/>
      <c r="EE371" s="155"/>
      <c r="EF371" s="145">
        <f>SUM(EG371:EH371)</f>
      </c>
      <c r="EG371" s="145"/>
      <c r="EH371" s="146"/>
      <c r="EI371" s="159" cm="1">
        <f t="array" ref="EI371">ROW()-ROW(Run[#Headers])</f>
        <v>365</v>
      </c>
    </row>
    <row r="372" spans="2:139" s="79" customFormat="1" ht="11.25" x14ac:dyDescent="0.2">
      <c r="B372" s="146"/>
      <c r="C372" s="155"/>
      <c r="D372" s="145"/>
      <c r="E372" s="152">
        <f>SUM(F372:AE372)</f>
      </c>
      <c r="F372" s="146"/>
      <c r="G372" s="146"/>
      <c r="H372" s="146"/>
      <c r="I372" s="146"/>
      <c r="J372" s="146"/>
      <c r="K372" s="156"/>
      <c r="L372" s="146"/>
      <c r="M372" s="146"/>
      <c r="N372" s="146"/>
      <c r="O372" s="146"/>
      <c r="P372" s="156"/>
      <c r="Q372" s="146"/>
      <c r="R372" s="146"/>
      <c r="S372" s="146"/>
      <c r="T372" s="156"/>
      <c r="U372" s="146"/>
      <c r="V372" s="146"/>
      <c r="W372" s="146"/>
      <c r="X372" s="146"/>
      <c r="Y372" s="146"/>
      <c r="Z372" s="146"/>
      <c r="AA372" s="146"/>
      <c r="AB372" s="146"/>
      <c r="AC372" s="157"/>
      <c r="AD372" s="157"/>
      <c r="AE372" s="157"/>
      <c r="AF372" s="158">
        <f>SUM(AG372:AJ372)</f>
      </c>
      <c r="AG372" s="146"/>
      <c r="AH372" s="145"/>
      <c r="AI372" s="145"/>
      <c r="AJ372" s="145"/>
      <c r="AK372" s="158">
        <f>SUM(AL372:AW372)</f>
      </c>
      <c r="AL372" s="146"/>
      <c r="AM372" s="145"/>
      <c r="AN372" s="145"/>
      <c r="AO372" s="145"/>
      <c r="AP372" s="145"/>
      <c r="AQ372" s="145"/>
      <c r="AR372" s="145"/>
      <c r="AS372" s="145"/>
      <c r="AT372" s="145"/>
      <c r="AU372" s="145"/>
      <c r="AV372" s="145"/>
      <c r="AW372" s="158"/>
      <c r="AX372" s="145"/>
      <c r="AY372" s="145"/>
      <c r="AZ372" s="145"/>
      <c r="BA372" s="158"/>
      <c r="BB372" s="145"/>
      <c r="BC372" s="145"/>
      <c r="BD372" s="158"/>
      <c r="BE372" s="146"/>
      <c r="BF372" s="145"/>
      <c r="BG372" s="145"/>
      <c r="BH372" s="158">
        <f>SUM(BI372:BK372)</f>
      </c>
      <c r="BI372" s="145"/>
      <c r="BJ372" s="145"/>
      <c r="BK372" s="145"/>
      <c r="BL372" s="145">
        <f>SUM(BM372:BR372)</f>
      </c>
      <c r="BM372" s="145"/>
      <c r="BN372" s="145"/>
      <c r="BO372" s="158"/>
      <c r="BP372" s="145"/>
      <c r="BQ372" s="145"/>
      <c r="BR372" s="145"/>
      <c r="BS372" s="145"/>
      <c r="BT372" s="145"/>
      <c r="BU372" s="158"/>
      <c r="BV372" s="146"/>
      <c r="BW372" s="145"/>
      <c r="BX372" s="145"/>
      <c r="BY372" s="158">
        <f>SUM(BZ372:CB372)</f>
      </c>
      <c r="BZ372" s="146"/>
      <c r="CA372" s="145"/>
      <c r="CB372" s="145"/>
      <c r="CC372" s="145">
        <f>SUM(CD372:CH372)</f>
      </c>
      <c r="CD372" s="145"/>
      <c r="CE372" s="158"/>
      <c r="CF372" s="145"/>
      <c r="CG372" s="145"/>
      <c r="CH372" s="145"/>
      <c r="CI372" s="158"/>
      <c r="CJ372" s="145"/>
      <c r="CK372" s="145"/>
      <c r="CL372" s="145"/>
      <c r="CM372" s="145"/>
      <c r="CN372" s="145"/>
      <c r="CO372" s="145"/>
      <c r="CP372" s="145"/>
      <c r="CQ372" s="158"/>
      <c r="CR372" s="146"/>
      <c r="CS372" s="158"/>
      <c r="CT372" s="158"/>
      <c r="CU372" s="158">
        <f>SUM(CV372:CV372)</f>
      </c>
      <c r="CV372" s="146"/>
      <c r="CW372" s="145"/>
      <c r="CX372" s="145"/>
      <c r="CY372" s="145">
        <f>SUM(CZ372:DE372)</f>
      </c>
      <c r="CZ372" s="145"/>
      <c r="DA372" s="146"/>
      <c r="DB372" s="146"/>
      <c r="DC372" s="153"/>
      <c r="DD372" s="153"/>
      <c r="DE372" s="145"/>
      <c r="DF372" s="145"/>
      <c r="DG372" s="145"/>
      <c r="DH372" s="158"/>
      <c r="DI372" s="145"/>
      <c r="DJ372" s="158"/>
      <c r="DK372" s="145"/>
      <c r="DL372" s="158"/>
      <c r="DM372" s="145"/>
      <c r="DN372" s="145"/>
      <c r="DO372" s="145"/>
      <c r="DP372" s="158"/>
      <c r="DQ372" s="145"/>
      <c r="DR372" s="145"/>
      <c r="DS372" s="145"/>
      <c r="DT372" s="145"/>
      <c r="DU372" s="145">
        <f>SUM(DV372:EE372)</f>
      </c>
      <c r="DV372" s="145"/>
      <c r="DW372" s="145"/>
      <c r="DX372" s="145"/>
      <c r="DY372" s="145"/>
      <c r="DZ372" s="146"/>
      <c r="EA372" s="158"/>
      <c r="EB372" s="146"/>
      <c r="EC372" s="145"/>
      <c r="ED372" s="145"/>
      <c r="EE372" s="155"/>
      <c r="EF372" s="145">
        <f>SUM(EG372:EH372)</f>
      </c>
      <c r="EG372" s="145"/>
      <c r="EH372" s="146"/>
      <c r="EI372" s="159" cm="1">
        <f t="array" ref="EI372">ROW()-ROW(Run[#Headers])</f>
        <v>366</v>
      </c>
    </row>
    <row r="373" spans="2:139" s="79" customFormat="1" ht="11.25" x14ac:dyDescent="0.2">
      <c r="B373" s="146"/>
      <c r="C373" s="155"/>
      <c r="D373" s="145"/>
      <c r="E373" s="152">
        <f>SUM(F373:AE373)</f>
      </c>
      <c r="F373" s="146"/>
      <c r="G373" s="146"/>
      <c r="H373" s="146"/>
      <c r="I373" s="146"/>
      <c r="J373" s="146"/>
      <c r="K373" s="156"/>
      <c r="L373" s="146"/>
      <c r="M373" s="146"/>
      <c r="N373" s="146"/>
      <c r="O373" s="146"/>
      <c r="P373" s="156"/>
      <c r="Q373" s="146"/>
      <c r="R373" s="146"/>
      <c r="S373" s="146"/>
      <c r="T373" s="156"/>
      <c r="U373" s="146"/>
      <c r="V373" s="146"/>
      <c r="W373" s="146"/>
      <c r="X373" s="146"/>
      <c r="Y373" s="146"/>
      <c r="Z373" s="146"/>
      <c r="AA373" s="146"/>
      <c r="AB373" s="146"/>
      <c r="AC373" s="157"/>
      <c r="AD373" s="157"/>
      <c r="AE373" s="157"/>
      <c r="AF373" s="158">
        <f>SUM(AG373:AJ373)</f>
      </c>
      <c r="AG373" s="146"/>
      <c r="AH373" s="145"/>
      <c r="AI373" s="145"/>
      <c r="AJ373" s="145"/>
      <c r="AK373" s="158">
        <f>SUM(AL373:AW373)</f>
      </c>
      <c r="AL373" s="146"/>
      <c r="AM373" s="145"/>
      <c r="AN373" s="145"/>
      <c r="AO373" s="145"/>
      <c r="AP373" s="145"/>
      <c r="AQ373" s="145"/>
      <c r="AR373" s="145"/>
      <c r="AS373" s="145"/>
      <c r="AT373" s="145"/>
      <c r="AU373" s="145"/>
      <c r="AV373" s="145"/>
      <c r="AW373" s="158"/>
      <c r="AX373" s="145"/>
      <c r="AY373" s="145"/>
      <c r="AZ373" s="145"/>
      <c r="BA373" s="158"/>
      <c r="BB373" s="145"/>
      <c r="BC373" s="145"/>
      <c r="BD373" s="158"/>
      <c r="BE373" s="146"/>
      <c r="BF373" s="145"/>
      <c r="BG373" s="145"/>
      <c r="BH373" s="158">
        <f>SUM(BI373:BK373)</f>
      </c>
      <c r="BI373" s="145"/>
      <c r="BJ373" s="145"/>
      <c r="BK373" s="145"/>
      <c r="BL373" s="145">
        <f>SUM(BM373:BR373)</f>
      </c>
      <c r="BM373" s="145"/>
      <c r="BN373" s="145"/>
      <c r="BO373" s="158"/>
      <c r="BP373" s="145"/>
      <c r="BQ373" s="145"/>
      <c r="BR373" s="145"/>
      <c r="BS373" s="145"/>
      <c r="BT373" s="145"/>
      <c r="BU373" s="158"/>
      <c r="BV373" s="146"/>
      <c r="BW373" s="145"/>
      <c r="BX373" s="145"/>
      <c r="BY373" s="158">
        <f>SUM(BZ373:CB373)</f>
      </c>
      <c r="BZ373" s="146"/>
      <c r="CA373" s="145"/>
      <c r="CB373" s="145"/>
      <c r="CC373" s="145">
        <f>SUM(CD373:CH373)</f>
      </c>
      <c r="CD373" s="145"/>
      <c r="CE373" s="158"/>
      <c r="CF373" s="145"/>
      <c r="CG373" s="145"/>
      <c r="CH373" s="145"/>
      <c r="CI373" s="158"/>
      <c r="CJ373" s="145"/>
      <c r="CK373" s="145"/>
      <c r="CL373" s="145"/>
      <c r="CM373" s="145"/>
      <c r="CN373" s="145"/>
      <c r="CO373" s="145"/>
      <c r="CP373" s="145"/>
      <c r="CQ373" s="158"/>
      <c r="CR373" s="146"/>
      <c r="CS373" s="158"/>
      <c r="CT373" s="158"/>
      <c r="CU373" s="158">
        <f>SUM(CV373:CV373)</f>
      </c>
      <c r="CV373" s="146"/>
      <c r="CW373" s="145"/>
      <c r="CX373" s="145"/>
      <c r="CY373" s="145">
        <f>SUM(CZ373:DE373)</f>
      </c>
      <c r="CZ373" s="145"/>
      <c r="DA373" s="146"/>
      <c r="DB373" s="146"/>
      <c r="DC373" s="153"/>
      <c r="DD373" s="153"/>
      <c r="DE373" s="145"/>
      <c r="DF373" s="145"/>
      <c r="DG373" s="145"/>
      <c r="DH373" s="158"/>
      <c r="DI373" s="145"/>
      <c r="DJ373" s="158"/>
      <c r="DK373" s="145"/>
      <c r="DL373" s="158"/>
      <c r="DM373" s="145"/>
      <c r="DN373" s="145"/>
      <c r="DO373" s="145"/>
      <c r="DP373" s="158"/>
      <c r="DQ373" s="145"/>
      <c r="DR373" s="145"/>
      <c r="DS373" s="145"/>
      <c r="DT373" s="145"/>
      <c r="DU373" s="145">
        <f>SUM(DV373:EE373)</f>
      </c>
      <c r="DV373" s="145"/>
      <c r="DW373" s="145"/>
      <c r="DX373" s="145"/>
      <c r="DY373" s="145"/>
      <c r="DZ373" s="146"/>
      <c r="EA373" s="158"/>
      <c r="EB373" s="146"/>
      <c r="EC373" s="145"/>
      <c r="ED373" s="145"/>
      <c r="EE373" s="155"/>
      <c r="EF373" s="145">
        <f>SUM(EG373:EH373)</f>
      </c>
      <c r="EG373" s="145"/>
      <c r="EH373" s="146"/>
      <c r="EI373" s="159" cm="1">
        <f t="array" ref="EI373">ROW()-ROW(Run[#Headers])</f>
        <v>367</v>
      </c>
    </row>
    <row r="374" spans="2:139" s="79" customFormat="1" ht="11.25" x14ac:dyDescent="0.2">
      <c r="B374" s="146"/>
      <c r="C374" s="155"/>
      <c r="D374" s="145"/>
      <c r="E374" s="152">
        <f>SUM(F374:AE374)</f>
      </c>
      <c r="F374" s="146"/>
      <c r="G374" s="146"/>
      <c r="H374" s="146"/>
      <c r="I374" s="146"/>
      <c r="J374" s="146"/>
      <c r="K374" s="156"/>
      <c r="L374" s="146"/>
      <c r="M374" s="146"/>
      <c r="N374" s="146"/>
      <c r="O374" s="146"/>
      <c r="P374" s="156"/>
      <c r="Q374" s="146"/>
      <c r="R374" s="146"/>
      <c r="S374" s="146"/>
      <c r="T374" s="156"/>
      <c r="U374" s="146"/>
      <c r="V374" s="146"/>
      <c r="W374" s="146"/>
      <c r="X374" s="146"/>
      <c r="Y374" s="146"/>
      <c r="Z374" s="146"/>
      <c r="AA374" s="146"/>
      <c r="AB374" s="146"/>
      <c r="AC374" s="157"/>
      <c r="AD374" s="157"/>
      <c r="AE374" s="157"/>
      <c r="AF374" s="158">
        <f>SUM(AG374:AJ374)</f>
      </c>
      <c r="AG374" s="146"/>
      <c r="AH374" s="145"/>
      <c r="AI374" s="145"/>
      <c r="AJ374" s="145"/>
      <c r="AK374" s="158">
        <f>SUM(AL374:AW374)</f>
      </c>
      <c r="AL374" s="146"/>
      <c r="AM374" s="145"/>
      <c r="AN374" s="145"/>
      <c r="AO374" s="145"/>
      <c r="AP374" s="145"/>
      <c r="AQ374" s="145"/>
      <c r="AR374" s="145"/>
      <c r="AS374" s="145"/>
      <c r="AT374" s="145"/>
      <c r="AU374" s="145"/>
      <c r="AV374" s="145"/>
      <c r="AW374" s="158"/>
      <c r="AX374" s="145"/>
      <c r="AY374" s="145"/>
      <c r="AZ374" s="145"/>
      <c r="BA374" s="158"/>
      <c r="BB374" s="145"/>
      <c r="BC374" s="145"/>
      <c r="BD374" s="158"/>
      <c r="BE374" s="146"/>
      <c r="BF374" s="145"/>
      <c r="BG374" s="145"/>
      <c r="BH374" s="158">
        <f>SUM(BI374:BK374)</f>
      </c>
      <c r="BI374" s="145"/>
      <c r="BJ374" s="145"/>
      <c r="BK374" s="145"/>
      <c r="BL374" s="145">
        <f>SUM(BM374:BR374)</f>
      </c>
      <c r="BM374" s="145"/>
      <c r="BN374" s="145"/>
      <c r="BO374" s="158"/>
      <c r="BP374" s="145"/>
      <c r="BQ374" s="145"/>
      <c r="BR374" s="145"/>
      <c r="BS374" s="145"/>
      <c r="BT374" s="145"/>
      <c r="BU374" s="158"/>
      <c r="BV374" s="146"/>
      <c r="BW374" s="145"/>
      <c r="BX374" s="145"/>
      <c r="BY374" s="158">
        <f>SUM(BZ374:CB374)</f>
      </c>
      <c r="BZ374" s="146"/>
      <c r="CA374" s="145"/>
      <c r="CB374" s="145"/>
      <c r="CC374" s="145">
        <f>SUM(CD374:CH374)</f>
      </c>
      <c r="CD374" s="145"/>
      <c r="CE374" s="158"/>
      <c r="CF374" s="145"/>
      <c r="CG374" s="145"/>
      <c r="CH374" s="145"/>
      <c r="CI374" s="158"/>
      <c r="CJ374" s="145"/>
      <c r="CK374" s="145"/>
      <c r="CL374" s="145"/>
      <c r="CM374" s="145"/>
      <c r="CN374" s="145"/>
      <c r="CO374" s="145"/>
      <c r="CP374" s="145"/>
      <c r="CQ374" s="158"/>
      <c r="CR374" s="146"/>
      <c r="CS374" s="158"/>
      <c r="CT374" s="158"/>
      <c r="CU374" s="158">
        <f>SUM(CV374:CV374)</f>
      </c>
      <c r="CV374" s="146"/>
      <c r="CW374" s="145"/>
      <c r="CX374" s="145"/>
      <c r="CY374" s="145">
        <f>SUM(CZ374:DE374)</f>
      </c>
      <c r="CZ374" s="145"/>
      <c r="DA374" s="146"/>
      <c r="DB374" s="146"/>
      <c r="DC374" s="153"/>
      <c r="DD374" s="153"/>
      <c r="DE374" s="145"/>
      <c r="DF374" s="145"/>
      <c r="DG374" s="145"/>
      <c r="DH374" s="158"/>
      <c r="DI374" s="145"/>
      <c r="DJ374" s="158"/>
      <c r="DK374" s="145"/>
      <c r="DL374" s="158"/>
      <c r="DM374" s="145"/>
      <c r="DN374" s="145"/>
      <c r="DO374" s="145"/>
      <c r="DP374" s="158"/>
      <c r="DQ374" s="145"/>
      <c r="DR374" s="145"/>
      <c r="DS374" s="145"/>
      <c r="DT374" s="145"/>
      <c r="DU374" s="145">
        <f>SUM(DV374:EE374)</f>
      </c>
      <c r="DV374" s="145"/>
      <c r="DW374" s="145"/>
      <c r="DX374" s="145"/>
      <c r="DY374" s="145"/>
      <c r="DZ374" s="146"/>
      <c r="EA374" s="158"/>
      <c r="EB374" s="146"/>
      <c r="EC374" s="145"/>
      <c r="ED374" s="145"/>
      <c r="EE374" s="155"/>
      <c r="EF374" s="145">
        <f>SUM(EG374:EH374)</f>
      </c>
      <c r="EG374" s="145"/>
      <c r="EH374" s="146"/>
      <c r="EI374" s="159" cm="1">
        <f t="array" ref="EI374">ROW()-ROW(Run[#Headers])</f>
        <v>368</v>
      </c>
    </row>
    <row r="375" spans="2:139" s="79" customFormat="1" ht="11.25" x14ac:dyDescent="0.2">
      <c r="B375" s="146"/>
      <c r="C375" s="155"/>
      <c r="D375" s="145"/>
      <c r="E375" s="152">
        <f>SUM(F375:AE375)</f>
      </c>
      <c r="F375" s="146"/>
      <c r="G375" s="146"/>
      <c r="H375" s="146"/>
      <c r="I375" s="146"/>
      <c r="J375" s="146"/>
      <c r="K375" s="156"/>
      <c r="L375" s="146"/>
      <c r="M375" s="146"/>
      <c r="N375" s="146"/>
      <c r="O375" s="146"/>
      <c r="P375" s="156"/>
      <c r="Q375" s="146"/>
      <c r="R375" s="146"/>
      <c r="S375" s="146"/>
      <c r="T375" s="156"/>
      <c r="U375" s="146"/>
      <c r="V375" s="146"/>
      <c r="W375" s="146"/>
      <c r="X375" s="146"/>
      <c r="Y375" s="146"/>
      <c r="Z375" s="146"/>
      <c r="AA375" s="146"/>
      <c r="AB375" s="146"/>
      <c r="AC375" s="157"/>
      <c r="AD375" s="157"/>
      <c r="AE375" s="157"/>
      <c r="AF375" s="158">
        <f>SUM(AG375:AJ375)</f>
      </c>
      <c r="AG375" s="146"/>
      <c r="AH375" s="145"/>
      <c r="AI375" s="145"/>
      <c r="AJ375" s="145"/>
      <c r="AK375" s="158">
        <f>SUM(AL375:AW375)</f>
      </c>
      <c r="AL375" s="146"/>
      <c r="AM375" s="145"/>
      <c r="AN375" s="145"/>
      <c r="AO375" s="145"/>
      <c r="AP375" s="145"/>
      <c r="AQ375" s="145"/>
      <c r="AR375" s="145"/>
      <c r="AS375" s="145"/>
      <c r="AT375" s="145"/>
      <c r="AU375" s="145"/>
      <c r="AV375" s="145"/>
      <c r="AW375" s="158"/>
      <c r="AX375" s="145"/>
      <c r="AY375" s="145"/>
      <c r="AZ375" s="145"/>
      <c r="BA375" s="158"/>
      <c r="BB375" s="145"/>
      <c r="BC375" s="145"/>
      <c r="BD375" s="158"/>
      <c r="BE375" s="146"/>
      <c r="BF375" s="145"/>
      <c r="BG375" s="145"/>
      <c r="BH375" s="158">
        <f>SUM(BI375:BK375)</f>
      </c>
      <c r="BI375" s="145"/>
      <c r="BJ375" s="145"/>
      <c r="BK375" s="145"/>
      <c r="BL375" s="145">
        <f>SUM(BM375:BR375)</f>
      </c>
      <c r="BM375" s="145"/>
      <c r="BN375" s="145"/>
      <c r="BO375" s="158"/>
      <c r="BP375" s="145"/>
      <c r="BQ375" s="145"/>
      <c r="BR375" s="145"/>
      <c r="BS375" s="145"/>
      <c r="BT375" s="145"/>
      <c r="BU375" s="158"/>
      <c r="BV375" s="146"/>
      <c r="BW375" s="145"/>
      <c r="BX375" s="145"/>
      <c r="BY375" s="158">
        <f>SUM(BZ375:CB375)</f>
      </c>
      <c r="BZ375" s="146"/>
      <c r="CA375" s="145"/>
      <c r="CB375" s="145"/>
      <c r="CC375" s="145">
        <f>SUM(CD375:CH375)</f>
      </c>
      <c r="CD375" s="145"/>
      <c r="CE375" s="158"/>
      <c r="CF375" s="145"/>
      <c r="CG375" s="145"/>
      <c r="CH375" s="145"/>
      <c r="CI375" s="158"/>
      <c r="CJ375" s="145"/>
      <c r="CK375" s="145"/>
      <c r="CL375" s="145"/>
      <c r="CM375" s="145"/>
      <c r="CN375" s="145"/>
      <c r="CO375" s="145"/>
      <c r="CP375" s="145"/>
      <c r="CQ375" s="158"/>
      <c r="CR375" s="146"/>
      <c r="CS375" s="158"/>
      <c r="CT375" s="158"/>
      <c r="CU375" s="158">
        <f>SUM(CV375:CV375)</f>
      </c>
      <c r="CV375" s="146"/>
      <c r="CW375" s="145"/>
      <c r="CX375" s="145"/>
      <c r="CY375" s="145">
        <f>SUM(CZ375:DE375)</f>
      </c>
      <c r="CZ375" s="145"/>
      <c r="DA375" s="146"/>
      <c r="DB375" s="146"/>
      <c r="DC375" s="153"/>
      <c r="DD375" s="153"/>
      <c r="DE375" s="145"/>
      <c r="DF375" s="145"/>
      <c r="DG375" s="145"/>
      <c r="DH375" s="158"/>
      <c r="DI375" s="145"/>
      <c r="DJ375" s="158"/>
      <c r="DK375" s="145"/>
      <c r="DL375" s="158"/>
      <c r="DM375" s="145"/>
      <c r="DN375" s="145"/>
      <c r="DO375" s="145"/>
      <c r="DP375" s="158"/>
      <c r="DQ375" s="145"/>
      <c r="DR375" s="145"/>
      <c r="DS375" s="145"/>
      <c r="DT375" s="145"/>
      <c r="DU375" s="145">
        <f>SUM(DV375:EE375)</f>
      </c>
      <c r="DV375" s="145"/>
      <c r="DW375" s="145"/>
      <c r="DX375" s="145"/>
      <c r="DY375" s="145"/>
      <c r="DZ375" s="146"/>
      <c r="EA375" s="158"/>
      <c r="EB375" s="146"/>
      <c r="EC375" s="145"/>
      <c r="ED375" s="145"/>
      <c r="EE375" s="155"/>
      <c r="EF375" s="145">
        <f>SUM(EG375:EH375)</f>
      </c>
      <c r="EG375" s="145"/>
      <c r="EH375" s="146"/>
      <c r="EI375" s="159" cm="1">
        <f t="array" ref="EI375">ROW()-ROW(Run[#Headers])</f>
        <v>369</v>
      </c>
    </row>
    <row r="376" spans="2:139" s="79" customFormat="1" ht="11.25" x14ac:dyDescent="0.2">
      <c r="B376" s="146"/>
      <c r="C376" s="155"/>
      <c r="D376" s="145"/>
      <c r="E376" s="152">
        <f>SUM(F376:AE376)</f>
      </c>
      <c r="F376" s="146"/>
      <c r="G376" s="146"/>
      <c r="H376" s="146"/>
      <c r="I376" s="146"/>
      <c r="J376" s="146"/>
      <c r="K376" s="156"/>
      <c r="L376" s="146"/>
      <c r="M376" s="146"/>
      <c r="N376" s="146"/>
      <c r="O376" s="146"/>
      <c r="P376" s="156"/>
      <c r="Q376" s="146"/>
      <c r="R376" s="146"/>
      <c r="S376" s="146"/>
      <c r="T376" s="156"/>
      <c r="U376" s="146"/>
      <c r="V376" s="146"/>
      <c r="W376" s="146"/>
      <c r="X376" s="146"/>
      <c r="Y376" s="146"/>
      <c r="Z376" s="146"/>
      <c r="AA376" s="146"/>
      <c r="AB376" s="146"/>
      <c r="AC376" s="157"/>
      <c r="AD376" s="157"/>
      <c r="AE376" s="157"/>
      <c r="AF376" s="158">
        <f>SUM(AG376:AJ376)</f>
      </c>
      <c r="AG376" s="146"/>
      <c r="AH376" s="145"/>
      <c r="AI376" s="145"/>
      <c r="AJ376" s="145"/>
      <c r="AK376" s="158">
        <f>SUM(AL376:AW376)</f>
      </c>
      <c r="AL376" s="146"/>
      <c r="AM376" s="145"/>
      <c r="AN376" s="145"/>
      <c r="AO376" s="145"/>
      <c r="AP376" s="145"/>
      <c r="AQ376" s="145"/>
      <c r="AR376" s="145"/>
      <c r="AS376" s="145"/>
      <c r="AT376" s="145"/>
      <c r="AU376" s="145"/>
      <c r="AV376" s="145"/>
      <c r="AW376" s="158"/>
      <c r="AX376" s="145"/>
      <c r="AY376" s="145"/>
      <c r="AZ376" s="145"/>
      <c r="BA376" s="158"/>
      <c r="BB376" s="145"/>
      <c r="BC376" s="145"/>
      <c r="BD376" s="158"/>
      <c r="BE376" s="146"/>
      <c r="BF376" s="145"/>
      <c r="BG376" s="145"/>
      <c r="BH376" s="158">
        <f>SUM(BI376:BK376)</f>
      </c>
      <c r="BI376" s="145"/>
      <c r="BJ376" s="145"/>
      <c r="BK376" s="145"/>
      <c r="BL376" s="145">
        <f>SUM(BM376:BR376)</f>
      </c>
      <c r="BM376" s="145"/>
      <c r="BN376" s="145"/>
      <c r="BO376" s="158"/>
      <c r="BP376" s="145"/>
      <c r="BQ376" s="145"/>
      <c r="BR376" s="145"/>
      <c r="BS376" s="145"/>
      <c r="BT376" s="145"/>
      <c r="BU376" s="158"/>
      <c r="BV376" s="146"/>
      <c r="BW376" s="145"/>
      <c r="BX376" s="145"/>
      <c r="BY376" s="158">
        <f>SUM(BZ376:CB376)</f>
      </c>
      <c r="BZ376" s="146"/>
      <c r="CA376" s="145"/>
      <c r="CB376" s="145"/>
      <c r="CC376" s="145">
        <f>SUM(CD376:CH376)</f>
      </c>
      <c r="CD376" s="145"/>
      <c r="CE376" s="158"/>
      <c r="CF376" s="145"/>
      <c r="CG376" s="145"/>
      <c r="CH376" s="145"/>
      <c r="CI376" s="158"/>
      <c r="CJ376" s="145"/>
      <c r="CK376" s="145"/>
      <c r="CL376" s="145"/>
      <c r="CM376" s="145"/>
      <c r="CN376" s="145"/>
      <c r="CO376" s="145"/>
      <c r="CP376" s="145"/>
      <c r="CQ376" s="158"/>
      <c r="CR376" s="146"/>
      <c r="CS376" s="158"/>
      <c r="CT376" s="158"/>
      <c r="CU376" s="158">
        <f>SUM(CV376:CV376)</f>
      </c>
      <c r="CV376" s="146"/>
      <c r="CW376" s="145"/>
      <c r="CX376" s="145"/>
      <c r="CY376" s="145">
        <f>SUM(CZ376:DE376)</f>
      </c>
      <c r="CZ376" s="145"/>
      <c r="DA376" s="146"/>
      <c r="DB376" s="146"/>
      <c r="DC376" s="153"/>
      <c r="DD376" s="153"/>
      <c r="DE376" s="145"/>
      <c r="DF376" s="145"/>
      <c r="DG376" s="145"/>
      <c r="DH376" s="158"/>
      <c r="DI376" s="145"/>
      <c r="DJ376" s="158"/>
      <c r="DK376" s="145"/>
      <c r="DL376" s="158"/>
      <c r="DM376" s="145"/>
      <c r="DN376" s="145"/>
      <c r="DO376" s="145"/>
      <c r="DP376" s="158"/>
      <c r="DQ376" s="145"/>
      <c r="DR376" s="145"/>
      <c r="DS376" s="145"/>
      <c r="DT376" s="145"/>
      <c r="DU376" s="145">
        <f>SUM(DV376:EE376)</f>
      </c>
      <c r="DV376" s="145"/>
      <c r="DW376" s="145"/>
      <c r="DX376" s="145"/>
      <c r="DY376" s="145"/>
      <c r="DZ376" s="146"/>
      <c r="EA376" s="158"/>
      <c r="EB376" s="146"/>
      <c r="EC376" s="145"/>
      <c r="ED376" s="145"/>
      <c r="EE376" s="155"/>
      <c r="EF376" s="145">
        <f>SUM(EG376:EH376)</f>
      </c>
      <c r="EG376" s="145"/>
      <c r="EH376" s="146"/>
      <c r="EI376" s="159" cm="1">
        <f t="array" ref="EI376">ROW()-ROW(Run[#Headers])</f>
        <v>370</v>
      </c>
    </row>
    <row r="377" spans="2:139" s="79" customFormat="1" ht="11.25" x14ac:dyDescent="0.2">
      <c r="B377" s="146"/>
      <c r="C377" s="155"/>
      <c r="D377" s="145"/>
      <c r="E377" s="152">
        <f>SUM(F377:AE377)</f>
      </c>
      <c r="F377" s="146"/>
      <c r="G377" s="146"/>
      <c r="H377" s="146"/>
      <c r="I377" s="146"/>
      <c r="J377" s="146"/>
      <c r="K377" s="156"/>
      <c r="L377" s="146"/>
      <c r="M377" s="146"/>
      <c r="N377" s="146"/>
      <c r="O377" s="146"/>
      <c r="P377" s="156"/>
      <c r="Q377" s="146"/>
      <c r="R377" s="146"/>
      <c r="S377" s="146"/>
      <c r="T377" s="156"/>
      <c r="U377" s="146"/>
      <c r="V377" s="146"/>
      <c r="W377" s="146"/>
      <c r="X377" s="146"/>
      <c r="Y377" s="146"/>
      <c r="Z377" s="146"/>
      <c r="AA377" s="146"/>
      <c r="AB377" s="146"/>
      <c r="AC377" s="157"/>
      <c r="AD377" s="157"/>
      <c r="AE377" s="157"/>
      <c r="AF377" s="158">
        <f>SUM(AG377:AJ377)</f>
      </c>
      <c r="AG377" s="146"/>
      <c r="AH377" s="145"/>
      <c r="AI377" s="145"/>
      <c r="AJ377" s="145"/>
      <c r="AK377" s="158">
        <f>SUM(AL377:AW377)</f>
      </c>
      <c r="AL377" s="146"/>
      <c r="AM377" s="145"/>
      <c r="AN377" s="145"/>
      <c r="AO377" s="145"/>
      <c r="AP377" s="145"/>
      <c r="AQ377" s="145"/>
      <c r="AR377" s="145"/>
      <c r="AS377" s="145"/>
      <c r="AT377" s="145"/>
      <c r="AU377" s="145"/>
      <c r="AV377" s="145"/>
      <c r="AW377" s="158"/>
      <c r="AX377" s="145"/>
      <c r="AY377" s="145"/>
      <c r="AZ377" s="145"/>
      <c r="BA377" s="158"/>
      <c r="BB377" s="145"/>
      <c r="BC377" s="145"/>
      <c r="BD377" s="158"/>
      <c r="BE377" s="146"/>
      <c r="BF377" s="145"/>
      <c r="BG377" s="145"/>
      <c r="BH377" s="158">
        <f>SUM(BI377:BK377)</f>
      </c>
      <c r="BI377" s="145"/>
      <c r="BJ377" s="145"/>
      <c r="BK377" s="145"/>
      <c r="BL377" s="145">
        <f>SUM(BM377:BR377)</f>
      </c>
      <c r="BM377" s="145"/>
      <c r="BN377" s="145"/>
      <c r="BO377" s="158"/>
      <c r="BP377" s="145"/>
      <c r="BQ377" s="145"/>
      <c r="BR377" s="145"/>
      <c r="BS377" s="145"/>
      <c r="BT377" s="145"/>
      <c r="BU377" s="158"/>
      <c r="BV377" s="146"/>
      <c r="BW377" s="145"/>
      <c r="BX377" s="145"/>
      <c r="BY377" s="158">
        <f>SUM(BZ377:CB377)</f>
      </c>
      <c r="BZ377" s="146"/>
      <c r="CA377" s="145"/>
      <c r="CB377" s="145"/>
      <c r="CC377" s="145">
        <f>SUM(CD377:CH377)</f>
      </c>
      <c r="CD377" s="145"/>
      <c r="CE377" s="158"/>
      <c r="CF377" s="145"/>
      <c r="CG377" s="145"/>
      <c r="CH377" s="145"/>
      <c r="CI377" s="158"/>
      <c r="CJ377" s="145"/>
      <c r="CK377" s="145"/>
      <c r="CL377" s="145"/>
      <c r="CM377" s="145"/>
      <c r="CN377" s="145"/>
      <c r="CO377" s="145"/>
      <c r="CP377" s="145"/>
      <c r="CQ377" s="158"/>
      <c r="CR377" s="146"/>
      <c r="CS377" s="158"/>
      <c r="CT377" s="158"/>
      <c r="CU377" s="158">
        <f>SUM(CV377:CV377)</f>
      </c>
      <c r="CV377" s="146"/>
      <c r="CW377" s="145"/>
      <c r="CX377" s="145"/>
      <c r="CY377" s="145">
        <f>SUM(CZ377:DE377)</f>
      </c>
      <c r="CZ377" s="145"/>
      <c r="DA377" s="146"/>
      <c r="DB377" s="146"/>
      <c r="DC377" s="153"/>
      <c r="DD377" s="153"/>
      <c r="DE377" s="145"/>
      <c r="DF377" s="145"/>
      <c r="DG377" s="145"/>
      <c r="DH377" s="158"/>
      <c r="DI377" s="145"/>
      <c r="DJ377" s="158"/>
      <c r="DK377" s="145"/>
      <c r="DL377" s="158"/>
      <c r="DM377" s="145"/>
      <c r="DN377" s="145"/>
      <c r="DO377" s="145"/>
      <c r="DP377" s="158"/>
      <c r="DQ377" s="145"/>
      <c r="DR377" s="145"/>
      <c r="DS377" s="145"/>
      <c r="DT377" s="145"/>
      <c r="DU377" s="145">
        <f>SUM(DV377:EE377)</f>
      </c>
      <c r="DV377" s="145"/>
      <c r="DW377" s="145"/>
      <c r="DX377" s="145"/>
      <c r="DY377" s="145"/>
      <c r="DZ377" s="146"/>
      <c r="EA377" s="158"/>
      <c r="EB377" s="146"/>
      <c r="EC377" s="145"/>
      <c r="ED377" s="145"/>
      <c r="EE377" s="155"/>
      <c r="EF377" s="145">
        <f>SUM(EG377:EH377)</f>
      </c>
      <c r="EG377" s="145"/>
      <c r="EH377" s="146"/>
      <c r="EI377" s="159" cm="1">
        <f t="array" ref="EI377">ROW()-ROW(Run[#Headers])</f>
        <v>371</v>
      </c>
    </row>
    <row r="378" spans="2:139" s="79" customFormat="1" ht="11.25" x14ac:dyDescent="0.2">
      <c r="B378" s="146"/>
      <c r="C378" s="155"/>
      <c r="D378" s="145"/>
      <c r="E378" s="152">
        <f>SUM(F378:AE378)</f>
      </c>
      <c r="F378" s="146"/>
      <c r="G378" s="146"/>
      <c r="H378" s="146"/>
      <c r="I378" s="146"/>
      <c r="J378" s="146"/>
      <c r="K378" s="156"/>
      <c r="L378" s="146"/>
      <c r="M378" s="146"/>
      <c r="N378" s="146"/>
      <c r="O378" s="146"/>
      <c r="P378" s="156"/>
      <c r="Q378" s="146"/>
      <c r="R378" s="146"/>
      <c r="S378" s="146"/>
      <c r="T378" s="156"/>
      <c r="U378" s="146"/>
      <c r="V378" s="146"/>
      <c r="W378" s="146"/>
      <c r="X378" s="146"/>
      <c r="Y378" s="146"/>
      <c r="Z378" s="146"/>
      <c r="AA378" s="146"/>
      <c r="AB378" s="146"/>
      <c r="AC378" s="157"/>
      <c r="AD378" s="157"/>
      <c r="AE378" s="157"/>
      <c r="AF378" s="158">
        <f>SUM(AG378:AJ378)</f>
      </c>
      <c r="AG378" s="146"/>
      <c r="AH378" s="145"/>
      <c r="AI378" s="145"/>
      <c r="AJ378" s="145"/>
      <c r="AK378" s="158">
        <f>SUM(AL378:AW378)</f>
      </c>
      <c r="AL378" s="146"/>
      <c r="AM378" s="145"/>
      <c r="AN378" s="145"/>
      <c r="AO378" s="145"/>
      <c r="AP378" s="145"/>
      <c r="AQ378" s="145"/>
      <c r="AR378" s="145"/>
      <c r="AS378" s="145"/>
      <c r="AT378" s="145"/>
      <c r="AU378" s="145"/>
      <c r="AV378" s="145"/>
      <c r="AW378" s="158"/>
      <c r="AX378" s="145"/>
      <c r="AY378" s="145"/>
      <c r="AZ378" s="145"/>
      <c r="BA378" s="158"/>
      <c r="BB378" s="145"/>
      <c r="BC378" s="145"/>
      <c r="BD378" s="158"/>
      <c r="BE378" s="146"/>
      <c r="BF378" s="145"/>
      <c r="BG378" s="145"/>
      <c r="BH378" s="158">
        <f>SUM(BI378:BK378)</f>
      </c>
      <c r="BI378" s="145"/>
      <c r="BJ378" s="145"/>
      <c r="BK378" s="145"/>
      <c r="BL378" s="145">
        <f>SUM(BM378:BR378)</f>
      </c>
      <c r="BM378" s="145"/>
      <c r="BN378" s="145"/>
      <c r="BO378" s="158"/>
      <c r="BP378" s="145"/>
      <c r="BQ378" s="145"/>
      <c r="BR378" s="145"/>
      <c r="BS378" s="145"/>
      <c r="BT378" s="145"/>
      <c r="BU378" s="158"/>
      <c r="BV378" s="146"/>
      <c r="BW378" s="145"/>
      <c r="BX378" s="145"/>
      <c r="BY378" s="158">
        <f>SUM(BZ378:CB378)</f>
      </c>
      <c r="BZ378" s="146"/>
      <c r="CA378" s="145"/>
      <c r="CB378" s="145"/>
      <c r="CC378" s="145">
        <f>SUM(CD378:CH378)</f>
      </c>
      <c r="CD378" s="145"/>
      <c r="CE378" s="158"/>
      <c r="CF378" s="145"/>
      <c r="CG378" s="145"/>
      <c r="CH378" s="145"/>
      <c r="CI378" s="158"/>
      <c r="CJ378" s="145"/>
      <c r="CK378" s="145"/>
      <c r="CL378" s="145"/>
      <c r="CM378" s="145"/>
      <c r="CN378" s="145"/>
      <c r="CO378" s="145"/>
      <c r="CP378" s="145"/>
      <c r="CQ378" s="158"/>
      <c r="CR378" s="146"/>
      <c r="CS378" s="158"/>
      <c r="CT378" s="158"/>
      <c r="CU378" s="158">
        <f>SUM(CV378:CV378)</f>
      </c>
      <c r="CV378" s="146"/>
      <c r="CW378" s="145"/>
      <c r="CX378" s="145"/>
      <c r="CY378" s="145">
        <f>SUM(CZ378:DE378)</f>
      </c>
      <c r="CZ378" s="145"/>
      <c r="DA378" s="146"/>
      <c r="DB378" s="146"/>
      <c r="DC378" s="153"/>
      <c r="DD378" s="153"/>
      <c r="DE378" s="145"/>
      <c r="DF378" s="145"/>
      <c r="DG378" s="145"/>
      <c r="DH378" s="158"/>
      <c r="DI378" s="145"/>
      <c r="DJ378" s="158"/>
      <c r="DK378" s="145"/>
      <c r="DL378" s="158"/>
      <c r="DM378" s="145"/>
      <c r="DN378" s="145"/>
      <c r="DO378" s="145"/>
      <c r="DP378" s="158"/>
      <c r="DQ378" s="145"/>
      <c r="DR378" s="145"/>
      <c r="DS378" s="145"/>
      <c r="DT378" s="145"/>
      <c r="DU378" s="145">
        <f>SUM(DV378:EE378)</f>
      </c>
      <c r="DV378" s="145"/>
      <c r="DW378" s="145"/>
      <c r="DX378" s="145"/>
      <c r="DY378" s="145"/>
      <c r="DZ378" s="146"/>
      <c r="EA378" s="158"/>
      <c r="EB378" s="146"/>
      <c r="EC378" s="145"/>
      <c r="ED378" s="145"/>
      <c r="EE378" s="155"/>
      <c r="EF378" s="145">
        <f>SUM(EG378:EH378)</f>
      </c>
      <c r="EG378" s="145"/>
      <c r="EH378" s="146"/>
      <c r="EI378" s="159" cm="1">
        <f t="array" ref="EI378">ROW()-ROW(Run[#Headers])</f>
        <v>372</v>
      </c>
    </row>
    <row r="379" spans="2:139" s="79" customFormat="1" ht="11.25" x14ac:dyDescent="0.2">
      <c r="B379" s="146"/>
      <c r="C379" s="155"/>
      <c r="D379" s="145"/>
      <c r="E379" s="152">
        <f>SUM(F379:AE379)</f>
      </c>
      <c r="F379" s="146"/>
      <c r="G379" s="146"/>
      <c r="H379" s="146"/>
      <c r="I379" s="146"/>
      <c r="J379" s="146"/>
      <c r="K379" s="156"/>
      <c r="L379" s="146"/>
      <c r="M379" s="146"/>
      <c r="N379" s="146"/>
      <c r="O379" s="146"/>
      <c r="P379" s="156"/>
      <c r="Q379" s="146"/>
      <c r="R379" s="146"/>
      <c r="S379" s="146"/>
      <c r="T379" s="156"/>
      <c r="U379" s="146"/>
      <c r="V379" s="146"/>
      <c r="W379" s="146"/>
      <c r="X379" s="146"/>
      <c r="Y379" s="146"/>
      <c r="Z379" s="146"/>
      <c r="AA379" s="146"/>
      <c r="AB379" s="146"/>
      <c r="AC379" s="157"/>
      <c r="AD379" s="157"/>
      <c r="AE379" s="157"/>
      <c r="AF379" s="158">
        <f>SUM(AG379:AJ379)</f>
      </c>
      <c r="AG379" s="146"/>
      <c r="AH379" s="145"/>
      <c r="AI379" s="145"/>
      <c r="AJ379" s="145"/>
      <c r="AK379" s="158">
        <f>SUM(AL379:AW379)</f>
      </c>
      <c r="AL379" s="146"/>
      <c r="AM379" s="145"/>
      <c r="AN379" s="145"/>
      <c r="AO379" s="145"/>
      <c r="AP379" s="145"/>
      <c r="AQ379" s="145"/>
      <c r="AR379" s="145"/>
      <c r="AS379" s="145"/>
      <c r="AT379" s="145"/>
      <c r="AU379" s="145"/>
      <c r="AV379" s="145"/>
      <c r="AW379" s="158"/>
      <c r="AX379" s="145"/>
      <c r="AY379" s="145"/>
      <c r="AZ379" s="145"/>
      <c r="BA379" s="158"/>
      <c r="BB379" s="145"/>
      <c r="BC379" s="145"/>
      <c r="BD379" s="158"/>
      <c r="BE379" s="146"/>
      <c r="BF379" s="145"/>
      <c r="BG379" s="145"/>
      <c r="BH379" s="158">
        <f>SUM(BI379:BK379)</f>
      </c>
      <c r="BI379" s="145"/>
      <c r="BJ379" s="145"/>
      <c r="BK379" s="145"/>
      <c r="BL379" s="145">
        <f>SUM(BM379:BR379)</f>
      </c>
      <c r="BM379" s="145"/>
      <c r="BN379" s="145"/>
      <c r="BO379" s="158"/>
      <c r="BP379" s="145"/>
      <c r="BQ379" s="145"/>
      <c r="BR379" s="145"/>
      <c r="BS379" s="145"/>
      <c r="BT379" s="145"/>
      <c r="BU379" s="158"/>
      <c r="BV379" s="146"/>
      <c r="BW379" s="145"/>
      <c r="BX379" s="145"/>
      <c r="BY379" s="158">
        <f>SUM(BZ379:CB379)</f>
      </c>
      <c r="BZ379" s="146"/>
      <c r="CA379" s="145"/>
      <c r="CB379" s="145"/>
      <c r="CC379" s="145">
        <f>SUM(CD379:CH379)</f>
      </c>
      <c r="CD379" s="145"/>
      <c r="CE379" s="158"/>
      <c r="CF379" s="145"/>
      <c r="CG379" s="145"/>
      <c r="CH379" s="145"/>
      <c r="CI379" s="158"/>
      <c r="CJ379" s="145"/>
      <c r="CK379" s="145"/>
      <c r="CL379" s="145"/>
      <c r="CM379" s="145"/>
      <c r="CN379" s="145"/>
      <c r="CO379" s="145"/>
      <c r="CP379" s="145"/>
      <c r="CQ379" s="158"/>
      <c r="CR379" s="146"/>
      <c r="CS379" s="158"/>
      <c r="CT379" s="158"/>
      <c r="CU379" s="158">
        <f>SUM(CV379:CV379)</f>
      </c>
      <c r="CV379" s="146"/>
      <c r="CW379" s="145"/>
      <c r="CX379" s="145"/>
      <c r="CY379" s="145">
        <f>SUM(CZ379:DE379)</f>
      </c>
      <c r="CZ379" s="145"/>
      <c r="DA379" s="146"/>
      <c r="DB379" s="146"/>
      <c r="DC379" s="153"/>
      <c r="DD379" s="153"/>
      <c r="DE379" s="145"/>
      <c r="DF379" s="145"/>
      <c r="DG379" s="145"/>
      <c r="DH379" s="158"/>
      <c r="DI379" s="145"/>
      <c r="DJ379" s="158"/>
      <c r="DK379" s="145"/>
      <c r="DL379" s="158"/>
      <c r="DM379" s="145"/>
      <c r="DN379" s="145"/>
      <c r="DO379" s="145"/>
      <c r="DP379" s="158"/>
      <c r="DQ379" s="145"/>
      <c r="DR379" s="145"/>
      <c r="DS379" s="145"/>
      <c r="DT379" s="145"/>
      <c r="DU379" s="145">
        <f>SUM(DV379:EE379)</f>
      </c>
      <c r="DV379" s="145"/>
      <c r="DW379" s="145"/>
      <c r="DX379" s="145"/>
      <c r="DY379" s="145"/>
      <c r="DZ379" s="146"/>
      <c r="EA379" s="158"/>
      <c r="EB379" s="146"/>
      <c r="EC379" s="145"/>
      <c r="ED379" s="145"/>
      <c r="EE379" s="155"/>
      <c r="EF379" s="145">
        <f>SUM(EG379:EH379)</f>
      </c>
      <c r="EG379" s="145"/>
      <c r="EH379" s="146"/>
      <c r="EI379" s="159" cm="1">
        <f t="array" ref="EI379">ROW()-ROW(Run[#Headers])</f>
        <v>373</v>
      </c>
    </row>
    <row r="380" spans="2:139" s="79" customFormat="1" ht="11.25" x14ac:dyDescent="0.2">
      <c r="B380" s="146"/>
      <c r="C380" s="155"/>
      <c r="D380" s="145"/>
      <c r="E380" s="152">
        <f>SUM(F380:AE380)</f>
      </c>
      <c r="F380" s="146"/>
      <c r="G380" s="146"/>
      <c r="H380" s="146"/>
      <c r="I380" s="146"/>
      <c r="J380" s="146"/>
      <c r="K380" s="156"/>
      <c r="L380" s="146"/>
      <c r="M380" s="146"/>
      <c r="N380" s="146"/>
      <c r="O380" s="146"/>
      <c r="P380" s="156"/>
      <c r="Q380" s="146"/>
      <c r="R380" s="146"/>
      <c r="S380" s="146"/>
      <c r="T380" s="156"/>
      <c r="U380" s="146"/>
      <c r="V380" s="146"/>
      <c r="W380" s="146"/>
      <c r="X380" s="146"/>
      <c r="Y380" s="146"/>
      <c r="Z380" s="146"/>
      <c r="AA380" s="146"/>
      <c r="AB380" s="146"/>
      <c r="AC380" s="157"/>
      <c r="AD380" s="157"/>
      <c r="AE380" s="157"/>
      <c r="AF380" s="158">
        <f>SUM(AG380:AJ380)</f>
      </c>
      <c r="AG380" s="146"/>
      <c r="AH380" s="145"/>
      <c r="AI380" s="145"/>
      <c r="AJ380" s="145"/>
      <c r="AK380" s="158">
        <f>SUM(AL380:AW380)</f>
      </c>
      <c r="AL380" s="146"/>
      <c r="AM380" s="145"/>
      <c r="AN380" s="145"/>
      <c r="AO380" s="145"/>
      <c r="AP380" s="145"/>
      <c r="AQ380" s="145"/>
      <c r="AR380" s="145"/>
      <c r="AS380" s="145"/>
      <c r="AT380" s="145"/>
      <c r="AU380" s="145"/>
      <c r="AV380" s="145"/>
      <c r="AW380" s="158"/>
      <c r="AX380" s="145"/>
      <c r="AY380" s="145"/>
      <c r="AZ380" s="145"/>
      <c r="BA380" s="158"/>
      <c r="BB380" s="145"/>
      <c r="BC380" s="145"/>
      <c r="BD380" s="158"/>
      <c r="BE380" s="146"/>
      <c r="BF380" s="145"/>
      <c r="BG380" s="145"/>
      <c r="BH380" s="158">
        <f>SUM(BI380:BK380)</f>
      </c>
      <c r="BI380" s="145"/>
      <c r="BJ380" s="145"/>
      <c r="BK380" s="145"/>
      <c r="BL380" s="145">
        <f>SUM(BM380:BR380)</f>
      </c>
      <c r="BM380" s="145"/>
      <c r="BN380" s="145"/>
      <c r="BO380" s="158"/>
      <c r="BP380" s="145"/>
      <c r="BQ380" s="145"/>
      <c r="BR380" s="145"/>
      <c r="BS380" s="145"/>
      <c r="BT380" s="145"/>
      <c r="BU380" s="158"/>
      <c r="BV380" s="146"/>
      <c r="BW380" s="145"/>
      <c r="BX380" s="145"/>
      <c r="BY380" s="158">
        <f>SUM(BZ380:CB380)</f>
      </c>
      <c r="BZ380" s="146"/>
      <c r="CA380" s="145"/>
      <c r="CB380" s="145"/>
      <c r="CC380" s="145">
        <f>SUM(CD380:CH380)</f>
      </c>
      <c r="CD380" s="145"/>
      <c r="CE380" s="158"/>
      <c r="CF380" s="145"/>
      <c r="CG380" s="145"/>
      <c r="CH380" s="145"/>
      <c r="CI380" s="158"/>
      <c r="CJ380" s="145"/>
      <c r="CK380" s="145"/>
      <c r="CL380" s="145"/>
      <c r="CM380" s="145"/>
      <c r="CN380" s="145"/>
      <c r="CO380" s="145"/>
      <c r="CP380" s="145"/>
      <c r="CQ380" s="158"/>
      <c r="CR380" s="146"/>
      <c r="CS380" s="158"/>
      <c r="CT380" s="158"/>
      <c r="CU380" s="158">
        <f>SUM(CV380:CV380)</f>
      </c>
      <c r="CV380" s="146"/>
      <c r="CW380" s="145"/>
      <c r="CX380" s="145"/>
      <c r="CY380" s="145">
        <f>SUM(CZ380:DE380)</f>
      </c>
      <c r="CZ380" s="145"/>
      <c r="DA380" s="146"/>
      <c r="DB380" s="146"/>
      <c r="DC380" s="153"/>
      <c r="DD380" s="153"/>
      <c r="DE380" s="145"/>
      <c r="DF380" s="145"/>
      <c r="DG380" s="145"/>
      <c r="DH380" s="158"/>
      <c r="DI380" s="145"/>
      <c r="DJ380" s="158"/>
      <c r="DK380" s="145"/>
      <c r="DL380" s="158"/>
      <c r="DM380" s="145"/>
      <c r="DN380" s="145"/>
      <c r="DO380" s="145"/>
      <c r="DP380" s="158"/>
      <c r="DQ380" s="145"/>
      <c r="DR380" s="145"/>
      <c r="DS380" s="145"/>
      <c r="DT380" s="145"/>
      <c r="DU380" s="145">
        <f>SUM(DV380:EE380)</f>
      </c>
      <c r="DV380" s="145"/>
      <c r="DW380" s="145"/>
      <c r="DX380" s="145"/>
      <c r="DY380" s="145"/>
      <c r="DZ380" s="146"/>
      <c r="EA380" s="158"/>
      <c r="EB380" s="146"/>
      <c r="EC380" s="145"/>
      <c r="ED380" s="145"/>
      <c r="EE380" s="155"/>
      <c r="EF380" s="145">
        <f>SUM(EG380:EH380)</f>
      </c>
      <c r="EG380" s="145"/>
      <c r="EH380" s="146"/>
      <c r="EI380" s="159" cm="1">
        <f t="array" ref="EI380">ROW()-ROW(Run[#Headers])</f>
        <v>374</v>
      </c>
    </row>
    <row r="381" spans="2:139" s="79" customFormat="1" ht="11.25" x14ac:dyDescent="0.2">
      <c r="B381" s="146"/>
      <c r="C381" s="155"/>
      <c r="D381" s="145"/>
      <c r="E381" s="152">
        <f>SUM(F381:AE381)</f>
      </c>
      <c r="F381" s="146"/>
      <c r="G381" s="146"/>
      <c r="H381" s="146"/>
      <c r="I381" s="146"/>
      <c r="J381" s="146"/>
      <c r="K381" s="156"/>
      <c r="L381" s="146"/>
      <c r="M381" s="146"/>
      <c r="N381" s="146"/>
      <c r="O381" s="146"/>
      <c r="P381" s="156"/>
      <c r="Q381" s="146"/>
      <c r="R381" s="146"/>
      <c r="S381" s="146"/>
      <c r="T381" s="156"/>
      <c r="U381" s="146"/>
      <c r="V381" s="146"/>
      <c r="W381" s="146"/>
      <c r="X381" s="146"/>
      <c r="Y381" s="146"/>
      <c r="Z381" s="146"/>
      <c r="AA381" s="146"/>
      <c r="AB381" s="146"/>
      <c r="AC381" s="157"/>
      <c r="AD381" s="157"/>
      <c r="AE381" s="157"/>
      <c r="AF381" s="158">
        <f>SUM(AG381:AJ381)</f>
      </c>
      <c r="AG381" s="146"/>
      <c r="AH381" s="145"/>
      <c r="AI381" s="145"/>
      <c r="AJ381" s="145"/>
      <c r="AK381" s="158">
        <f>SUM(AL381:AW381)</f>
      </c>
      <c r="AL381" s="146"/>
      <c r="AM381" s="145"/>
      <c r="AN381" s="145"/>
      <c r="AO381" s="145"/>
      <c r="AP381" s="145"/>
      <c r="AQ381" s="145"/>
      <c r="AR381" s="145"/>
      <c r="AS381" s="145"/>
      <c r="AT381" s="145"/>
      <c r="AU381" s="145"/>
      <c r="AV381" s="145"/>
      <c r="AW381" s="158"/>
      <c r="AX381" s="145"/>
      <c r="AY381" s="145"/>
      <c r="AZ381" s="145"/>
      <c r="BA381" s="158"/>
      <c r="BB381" s="145"/>
      <c r="BC381" s="145"/>
      <c r="BD381" s="158"/>
      <c r="BE381" s="146"/>
      <c r="BF381" s="145"/>
      <c r="BG381" s="145"/>
      <c r="BH381" s="158">
        <f>SUM(BI381:BK381)</f>
      </c>
      <c r="BI381" s="145"/>
      <c r="BJ381" s="145"/>
      <c r="BK381" s="145"/>
      <c r="BL381" s="145">
        <f>SUM(BM381:BR381)</f>
      </c>
      <c r="BM381" s="145"/>
      <c r="BN381" s="145"/>
      <c r="BO381" s="158"/>
      <c r="BP381" s="145"/>
      <c r="BQ381" s="145"/>
      <c r="BR381" s="145"/>
      <c r="BS381" s="145"/>
      <c r="BT381" s="145"/>
      <c r="BU381" s="158"/>
      <c r="BV381" s="146"/>
      <c r="BW381" s="145"/>
      <c r="BX381" s="145"/>
      <c r="BY381" s="158">
        <f>SUM(BZ381:CB381)</f>
      </c>
      <c r="BZ381" s="146"/>
      <c r="CA381" s="145"/>
      <c r="CB381" s="145"/>
      <c r="CC381" s="145">
        <f>SUM(CD381:CH381)</f>
      </c>
      <c r="CD381" s="145"/>
      <c r="CE381" s="158"/>
      <c r="CF381" s="145"/>
      <c r="CG381" s="145"/>
      <c r="CH381" s="145"/>
      <c r="CI381" s="158"/>
      <c r="CJ381" s="145"/>
      <c r="CK381" s="145"/>
      <c r="CL381" s="145"/>
      <c r="CM381" s="145"/>
      <c r="CN381" s="145"/>
      <c r="CO381" s="145"/>
      <c r="CP381" s="145"/>
      <c r="CQ381" s="158"/>
      <c r="CR381" s="146"/>
      <c r="CS381" s="158"/>
      <c r="CT381" s="158"/>
      <c r="CU381" s="158">
        <f>SUM(CV381:CV381)</f>
      </c>
      <c r="CV381" s="146"/>
      <c r="CW381" s="145"/>
      <c r="CX381" s="145"/>
      <c r="CY381" s="145">
        <f>SUM(CZ381:DE381)</f>
      </c>
      <c r="CZ381" s="145"/>
      <c r="DA381" s="146"/>
      <c r="DB381" s="146"/>
      <c r="DC381" s="153"/>
      <c r="DD381" s="153"/>
      <c r="DE381" s="145"/>
      <c r="DF381" s="145"/>
      <c r="DG381" s="145"/>
      <c r="DH381" s="158"/>
      <c r="DI381" s="145"/>
      <c r="DJ381" s="158"/>
      <c r="DK381" s="145"/>
      <c r="DL381" s="158"/>
      <c r="DM381" s="145"/>
      <c r="DN381" s="145"/>
      <c r="DO381" s="145"/>
      <c r="DP381" s="158"/>
      <c r="DQ381" s="145"/>
      <c r="DR381" s="145"/>
      <c r="DS381" s="145"/>
      <c r="DT381" s="145"/>
      <c r="DU381" s="145">
        <f>SUM(DV381:EE381)</f>
      </c>
      <c r="DV381" s="145"/>
      <c r="DW381" s="145"/>
      <c r="DX381" s="145"/>
      <c r="DY381" s="145"/>
      <c r="DZ381" s="146"/>
      <c r="EA381" s="158"/>
      <c r="EB381" s="146"/>
      <c r="EC381" s="145"/>
      <c r="ED381" s="145"/>
      <c r="EE381" s="155"/>
      <c r="EF381" s="145">
        <f>SUM(EG381:EH381)</f>
      </c>
      <c r="EG381" s="145"/>
      <c r="EH381" s="146"/>
      <c r="EI381" s="159" cm="1">
        <f t="array" ref="EI381">ROW()-ROW(Run[#Headers])</f>
        <v>375</v>
      </c>
    </row>
    <row r="382" spans="2:139" s="79" customFormat="1" ht="11.25" x14ac:dyDescent="0.2">
      <c r="B382" s="146"/>
      <c r="C382" s="155"/>
      <c r="D382" s="145"/>
      <c r="E382" s="152">
        <f>SUM(F382:AE382)</f>
      </c>
      <c r="F382" s="146"/>
      <c r="G382" s="146"/>
      <c r="H382" s="146"/>
      <c r="I382" s="146"/>
      <c r="J382" s="146"/>
      <c r="K382" s="156"/>
      <c r="L382" s="146"/>
      <c r="M382" s="146"/>
      <c r="N382" s="146"/>
      <c r="O382" s="146"/>
      <c r="P382" s="156"/>
      <c r="Q382" s="146"/>
      <c r="R382" s="146"/>
      <c r="S382" s="146"/>
      <c r="T382" s="156"/>
      <c r="U382" s="146"/>
      <c r="V382" s="146"/>
      <c r="W382" s="146"/>
      <c r="X382" s="146"/>
      <c r="Y382" s="146"/>
      <c r="Z382" s="146"/>
      <c r="AA382" s="146"/>
      <c r="AB382" s="146"/>
      <c r="AC382" s="157"/>
      <c r="AD382" s="157"/>
      <c r="AE382" s="157"/>
      <c r="AF382" s="158">
        <f>SUM(AG382:AJ382)</f>
      </c>
      <c r="AG382" s="146"/>
      <c r="AH382" s="145"/>
      <c r="AI382" s="145"/>
      <c r="AJ382" s="145"/>
      <c r="AK382" s="158">
        <f>SUM(AL382:AW382)</f>
      </c>
      <c r="AL382" s="146"/>
      <c r="AM382" s="145"/>
      <c r="AN382" s="145"/>
      <c r="AO382" s="145"/>
      <c r="AP382" s="145"/>
      <c r="AQ382" s="145"/>
      <c r="AR382" s="145"/>
      <c r="AS382" s="145"/>
      <c r="AT382" s="145"/>
      <c r="AU382" s="145"/>
      <c r="AV382" s="145"/>
      <c r="AW382" s="158"/>
      <c r="AX382" s="145"/>
      <c r="AY382" s="145"/>
      <c r="AZ382" s="145"/>
      <c r="BA382" s="158"/>
      <c r="BB382" s="145"/>
      <c r="BC382" s="145"/>
      <c r="BD382" s="158"/>
      <c r="BE382" s="146"/>
      <c r="BF382" s="145"/>
      <c r="BG382" s="145"/>
      <c r="BH382" s="158">
        <f>SUM(BI382:BK382)</f>
      </c>
      <c r="BI382" s="145"/>
      <c r="BJ382" s="145"/>
      <c r="BK382" s="145"/>
      <c r="BL382" s="145">
        <f>SUM(BM382:BR382)</f>
      </c>
      <c r="BM382" s="145"/>
      <c r="BN382" s="145"/>
      <c r="BO382" s="158"/>
      <c r="BP382" s="145"/>
      <c r="BQ382" s="145"/>
      <c r="BR382" s="145"/>
      <c r="BS382" s="145"/>
      <c r="BT382" s="145"/>
      <c r="BU382" s="158"/>
      <c r="BV382" s="146"/>
      <c r="BW382" s="145"/>
      <c r="BX382" s="145"/>
      <c r="BY382" s="158">
        <f>SUM(BZ382:CB382)</f>
      </c>
      <c r="BZ382" s="146"/>
      <c r="CA382" s="145"/>
      <c r="CB382" s="145"/>
      <c r="CC382" s="145">
        <f>SUM(CD382:CH382)</f>
      </c>
      <c r="CD382" s="145"/>
      <c r="CE382" s="158"/>
      <c r="CF382" s="145"/>
      <c r="CG382" s="145"/>
      <c r="CH382" s="145"/>
      <c r="CI382" s="158"/>
      <c r="CJ382" s="145"/>
      <c r="CK382" s="145"/>
      <c r="CL382" s="145"/>
      <c r="CM382" s="145"/>
      <c r="CN382" s="145"/>
      <c r="CO382" s="145"/>
      <c r="CP382" s="145"/>
      <c r="CQ382" s="158"/>
      <c r="CR382" s="146"/>
      <c r="CS382" s="158"/>
      <c r="CT382" s="158"/>
      <c r="CU382" s="158">
        <f>SUM(CV382:CV382)</f>
      </c>
      <c r="CV382" s="146"/>
      <c r="CW382" s="145"/>
      <c r="CX382" s="145"/>
      <c r="CY382" s="145">
        <f>SUM(CZ382:DE382)</f>
      </c>
      <c r="CZ382" s="145"/>
      <c r="DA382" s="146"/>
      <c r="DB382" s="146"/>
      <c r="DC382" s="153"/>
      <c r="DD382" s="153"/>
      <c r="DE382" s="145"/>
      <c r="DF382" s="145"/>
      <c r="DG382" s="145"/>
      <c r="DH382" s="158"/>
      <c r="DI382" s="145"/>
      <c r="DJ382" s="158"/>
      <c r="DK382" s="145"/>
      <c r="DL382" s="158"/>
      <c r="DM382" s="145"/>
      <c r="DN382" s="145"/>
      <c r="DO382" s="145"/>
      <c r="DP382" s="158"/>
      <c r="DQ382" s="145"/>
      <c r="DR382" s="145"/>
      <c r="DS382" s="145"/>
      <c r="DT382" s="145"/>
      <c r="DU382" s="145">
        <f>SUM(DV382:EE382)</f>
      </c>
      <c r="DV382" s="145"/>
      <c r="DW382" s="145"/>
      <c r="DX382" s="145"/>
      <c r="DY382" s="145"/>
      <c r="DZ382" s="146"/>
      <c r="EA382" s="158"/>
      <c r="EB382" s="146"/>
      <c r="EC382" s="145"/>
      <c r="ED382" s="145"/>
      <c r="EE382" s="155"/>
      <c r="EF382" s="145">
        <f>SUM(EG382:EH382)</f>
      </c>
      <c r="EG382" s="145"/>
      <c r="EH382" s="146"/>
      <c r="EI382" s="159" cm="1">
        <f t="array" ref="EI382">ROW()-ROW(Run[#Headers])</f>
        <v>376</v>
      </c>
    </row>
    <row r="383" spans="2:139" s="79" customFormat="1" ht="11.25" x14ac:dyDescent="0.2">
      <c r="B383" s="146"/>
      <c r="C383" s="155"/>
      <c r="D383" s="145"/>
      <c r="E383" s="152">
        <f>SUM(F383:AE383)</f>
      </c>
      <c r="F383" s="146"/>
      <c r="G383" s="146"/>
      <c r="H383" s="146"/>
      <c r="I383" s="146"/>
      <c r="J383" s="146"/>
      <c r="K383" s="156"/>
      <c r="L383" s="146"/>
      <c r="M383" s="146"/>
      <c r="N383" s="146"/>
      <c r="O383" s="146"/>
      <c r="P383" s="156"/>
      <c r="Q383" s="146"/>
      <c r="R383" s="146"/>
      <c r="S383" s="146"/>
      <c r="T383" s="156"/>
      <c r="U383" s="146"/>
      <c r="V383" s="146"/>
      <c r="W383" s="146"/>
      <c r="X383" s="146"/>
      <c r="Y383" s="146"/>
      <c r="Z383" s="146"/>
      <c r="AA383" s="146"/>
      <c r="AB383" s="146"/>
      <c r="AC383" s="157"/>
      <c r="AD383" s="157"/>
      <c r="AE383" s="157"/>
      <c r="AF383" s="158">
        <f>SUM(AG383:AJ383)</f>
      </c>
      <c r="AG383" s="146"/>
      <c r="AH383" s="145"/>
      <c r="AI383" s="145"/>
      <c r="AJ383" s="145"/>
      <c r="AK383" s="158">
        <f>SUM(AL383:AW383)</f>
      </c>
      <c r="AL383" s="146"/>
      <c r="AM383" s="145"/>
      <c r="AN383" s="145"/>
      <c r="AO383" s="145"/>
      <c r="AP383" s="145"/>
      <c r="AQ383" s="145"/>
      <c r="AR383" s="145"/>
      <c r="AS383" s="145"/>
      <c r="AT383" s="145"/>
      <c r="AU383" s="145"/>
      <c r="AV383" s="145"/>
      <c r="AW383" s="158"/>
      <c r="AX383" s="145"/>
      <c r="AY383" s="145"/>
      <c r="AZ383" s="145"/>
      <c r="BA383" s="158"/>
      <c r="BB383" s="145"/>
      <c r="BC383" s="145"/>
      <c r="BD383" s="158"/>
      <c r="BE383" s="146"/>
      <c r="BF383" s="145"/>
      <c r="BG383" s="145"/>
      <c r="BH383" s="158">
        <f>SUM(BI383:BK383)</f>
      </c>
      <c r="BI383" s="145"/>
      <c r="BJ383" s="145"/>
      <c r="BK383" s="145"/>
      <c r="BL383" s="145">
        <f>SUM(BM383:BR383)</f>
      </c>
      <c r="BM383" s="145"/>
      <c r="BN383" s="145"/>
      <c r="BO383" s="158"/>
      <c r="BP383" s="145"/>
      <c r="BQ383" s="145"/>
      <c r="BR383" s="145"/>
      <c r="BS383" s="145"/>
      <c r="BT383" s="145"/>
      <c r="BU383" s="158"/>
      <c r="BV383" s="146"/>
      <c r="BW383" s="145"/>
      <c r="BX383" s="145"/>
      <c r="BY383" s="158">
        <f>SUM(BZ383:CB383)</f>
      </c>
      <c r="BZ383" s="146"/>
      <c r="CA383" s="145"/>
      <c r="CB383" s="145"/>
      <c r="CC383" s="145">
        <f>SUM(CD383:CH383)</f>
      </c>
      <c r="CD383" s="145"/>
      <c r="CE383" s="158"/>
      <c r="CF383" s="145"/>
      <c r="CG383" s="145"/>
      <c r="CH383" s="145"/>
      <c r="CI383" s="158"/>
      <c r="CJ383" s="145"/>
      <c r="CK383" s="145"/>
      <c r="CL383" s="145"/>
      <c r="CM383" s="145"/>
      <c r="CN383" s="145"/>
      <c r="CO383" s="145"/>
      <c r="CP383" s="145"/>
      <c r="CQ383" s="158"/>
      <c r="CR383" s="146"/>
      <c r="CS383" s="158"/>
      <c r="CT383" s="158"/>
      <c r="CU383" s="158">
        <f>SUM(CV383:CV383)</f>
      </c>
      <c r="CV383" s="146"/>
      <c r="CW383" s="145"/>
      <c r="CX383" s="145"/>
      <c r="CY383" s="145">
        <f>SUM(CZ383:DE383)</f>
      </c>
      <c r="CZ383" s="145"/>
      <c r="DA383" s="146"/>
      <c r="DB383" s="146"/>
      <c r="DC383" s="153"/>
      <c r="DD383" s="153"/>
      <c r="DE383" s="145"/>
      <c r="DF383" s="145"/>
      <c r="DG383" s="145"/>
      <c r="DH383" s="158"/>
      <c r="DI383" s="145"/>
      <c r="DJ383" s="158"/>
      <c r="DK383" s="145"/>
      <c r="DL383" s="158"/>
      <c r="DM383" s="145"/>
      <c r="DN383" s="145"/>
      <c r="DO383" s="145"/>
      <c r="DP383" s="158"/>
      <c r="DQ383" s="145"/>
      <c r="DR383" s="145"/>
      <c r="DS383" s="145"/>
      <c r="DT383" s="145"/>
      <c r="DU383" s="145">
        <f>SUM(DV383:EE383)</f>
      </c>
      <c r="DV383" s="145"/>
      <c r="DW383" s="145"/>
      <c r="DX383" s="145"/>
      <c r="DY383" s="145"/>
      <c r="DZ383" s="146"/>
      <c r="EA383" s="158"/>
      <c r="EB383" s="146"/>
      <c r="EC383" s="145"/>
      <c r="ED383" s="145"/>
      <c r="EE383" s="155"/>
      <c r="EF383" s="145">
        <f>SUM(EG383:EH383)</f>
      </c>
      <c r="EG383" s="145"/>
      <c r="EH383" s="146"/>
      <c r="EI383" s="159" cm="1">
        <f t="array" ref="EI383">ROW()-ROW(Run[#Headers])</f>
        <v>377</v>
      </c>
    </row>
    <row r="384" spans="2:139" s="79" customFormat="1" ht="11.25" x14ac:dyDescent="0.2">
      <c r="B384" s="146"/>
      <c r="C384" s="155"/>
      <c r="D384" s="145"/>
      <c r="E384" s="152">
        <f>SUM(F384:AE384)</f>
      </c>
      <c r="F384" s="146"/>
      <c r="G384" s="146"/>
      <c r="H384" s="146"/>
      <c r="I384" s="146"/>
      <c r="J384" s="146"/>
      <c r="K384" s="156"/>
      <c r="L384" s="146"/>
      <c r="M384" s="146"/>
      <c r="N384" s="146"/>
      <c r="O384" s="146"/>
      <c r="P384" s="156"/>
      <c r="Q384" s="146"/>
      <c r="R384" s="146"/>
      <c r="S384" s="146"/>
      <c r="T384" s="156"/>
      <c r="U384" s="146"/>
      <c r="V384" s="146"/>
      <c r="W384" s="146"/>
      <c r="X384" s="146"/>
      <c r="Y384" s="146"/>
      <c r="Z384" s="146"/>
      <c r="AA384" s="146"/>
      <c r="AB384" s="146"/>
      <c r="AC384" s="157"/>
      <c r="AD384" s="157"/>
      <c r="AE384" s="157"/>
      <c r="AF384" s="158">
        <f>SUM(AG384:AJ384)</f>
      </c>
      <c r="AG384" s="146"/>
      <c r="AH384" s="145"/>
      <c r="AI384" s="145"/>
      <c r="AJ384" s="145"/>
      <c r="AK384" s="158">
        <f>SUM(AL384:AW384)</f>
      </c>
      <c r="AL384" s="146"/>
      <c r="AM384" s="145"/>
      <c r="AN384" s="145"/>
      <c r="AO384" s="145"/>
      <c r="AP384" s="145"/>
      <c r="AQ384" s="145"/>
      <c r="AR384" s="145"/>
      <c r="AS384" s="145"/>
      <c r="AT384" s="145"/>
      <c r="AU384" s="145"/>
      <c r="AV384" s="145"/>
      <c r="AW384" s="158"/>
      <c r="AX384" s="145"/>
      <c r="AY384" s="145"/>
      <c r="AZ384" s="145"/>
      <c r="BA384" s="158"/>
      <c r="BB384" s="145"/>
      <c r="BC384" s="145"/>
      <c r="BD384" s="158"/>
      <c r="BE384" s="146"/>
      <c r="BF384" s="145"/>
      <c r="BG384" s="145"/>
      <c r="BH384" s="158">
        <f>SUM(BI384:BK384)</f>
      </c>
      <c r="BI384" s="145"/>
      <c r="BJ384" s="145"/>
      <c r="BK384" s="145"/>
      <c r="BL384" s="145">
        <f>SUM(BM384:BR384)</f>
      </c>
      <c r="BM384" s="145"/>
      <c r="BN384" s="145"/>
      <c r="BO384" s="158"/>
      <c r="BP384" s="145"/>
      <c r="BQ384" s="145"/>
      <c r="BR384" s="145"/>
      <c r="BS384" s="145"/>
      <c r="BT384" s="145"/>
      <c r="BU384" s="158"/>
      <c r="BV384" s="146"/>
      <c r="BW384" s="145"/>
      <c r="BX384" s="145"/>
      <c r="BY384" s="158">
        <f>SUM(BZ384:CB384)</f>
      </c>
      <c r="BZ384" s="146"/>
      <c r="CA384" s="145"/>
      <c r="CB384" s="145"/>
      <c r="CC384" s="145">
        <f>SUM(CD384:CH384)</f>
      </c>
      <c r="CD384" s="145"/>
      <c r="CE384" s="158"/>
      <c r="CF384" s="145"/>
      <c r="CG384" s="145"/>
      <c r="CH384" s="145"/>
      <c r="CI384" s="158"/>
      <c r="CJ384" s="145"/>
      <c r="CK384" s="145"/>
      <c r="CL384" s="145"/>
      <c r="CM384" s="145"/>
      <c r="CN384" s="145"/>
      <c r="CO384" s="145"/>
      <c r="CP384" s="145"/>
      <c r="CQ384" s="158"/>
      <c r="CR384" s="146"/>
      <c r="CS384" s="158"/>
      <c r="CT384" s="158"/>
      <c r="CU384" s="158">
        <f>SUM(CV384:CV384)</f>
      </c>
      <c r="CV384" s="146"/>
      <c r="CW384" s="145"/>
      <c r="CX384" s="145"/>
      <c r="CY384" s="145">
        <f>SUM(CZ384:DE384)</f>
      </c>
      <c r="CZ384" s="145"/>
      <c r="DA384" s="146"/>
      <c r="DB384" s="146"/>
      <c r="DC384" s="153"/>
      <c r="DD384" s="153"/>
      <c r="DE384" s="145"/>
      <c r="DF384" s="145"/>
      <c r="DG384" s="145"/>
      <c r="DH384" s="158"/>
      <c r="DI384" s="145"/>
      <c r="DJ384" s="158"/>
      <c r="DK384" s="145"/>
      <c r="DL384" s="158"/>
      <c r="DM384" s="145"/>
      <c r="DN384" s="145"/>
      <c r="DO384" s="145"/>
      <c r="DP384" s="158"/>
      <c r="DQ384" s="145"/>
      <c r="DR384" s="145"/>
      <c r="DS384" s="145"/>
      <c r="DT384" s="145"/>
      <c r="DU384" s="145">
        <f>SUM(DV384:EE384)</f>
      </c>
      <c r="DV384" s="145"/>
      <c r="DW384" s="145"/>
      <c r="DX384" s="145"/>
      <c r="DY384" s="145"/>
      <c r="DZ384" s="146"/>
      <c r="EA384" s="158"/>
      <c r="EB384" s="146"/>
      <c r="EC384" s="145"/>
      <c r="ED384" s="145"/>
      <c r="EE384" s="155"/>
      <c r="EF384" s="145">
        <f>SUM(EG384:EH384)</f>
      </c>
      <c r="EG384" s="145"/>
      <c r="EH384" s="146"/>
      <c r="EI384" s="159" cm="1">
        <f t="array" ref="EI384">ROW()-ROW(Run[#Headers])</f>
        <v>378</v>
      </c>
    </row>
    <row r="385" spans="2:139" s="79" customFormat="1" ht="11.25" x14ac:dyDescent="0.2">
      <c r="B385" s="146"/>
      <c r="C385" s="155"/>
      <c r="D385" s="145"/>
      <c r="E385" s="152">
        <f>SUM(F385:AE385)</f>
      </c>
      <c r="F385" s="146"/>
      <c r="G385" s="146"/>
      <c r="H385" s="146"/>
      <c r="I385" s="146"/>
      <c r="J385" s="146"/>
      <c r="K385" s="156"/>
      <c r="L385" s="146"/>
      <c r="M385" s="146"/>
      <c r="N385" s="146"/>
      <c r="O385" s="146"/>
      <c r="P385" s="156"/>
      <c r="Q385" s="146"/>
      <c r="R385" s="146"/>
      <c r="S385" s="146"/>
      <c r="T385" s="156"/>
      <c r="U385" s="146"/>
      <c r="V385" s="146"/>
      <c r="W385" s="146"/>
      <c r="X385" s="146"/>
      <c r="Y385" s="146"/>
      <c r="Z385" s="146"/>
      <c r="AA385" s="146"/>
      <c r="AB385" s="146"/>
      <c r="AC385" s="157"/>
      <c r="AD385" s="157"/>
      <c r="AE385" s="157"/>
      <c r="AF385" s="158">
        <f>SUM(AG385:AJ385)</f>
      </c>
      <c r="AG385" s="146"/>
      <c r="AH385" s="145"/>
      <c r="AI385" s="145"/>
      <c r="AJ385" s="145"/>
      <c r="AK385" s="158">
        <f>SUM(AL385:AW385)</f>
      </c>
      <c r="AL385" s="146"/>
      <c r="AM385" s="145"/>
      <c r="AN385" s="145"/>
      <c r="AO385" s="145"/>
      <c r="AP385" s="145"/>
      <c r="AQ385" s="145"/>
      <c r="AR385" s="145"/>
      <c r="AS385" s="145"/>
      <c r="AT385" s="145"/>
      <c r="AU385" s="145"/>
      <c r="AV385" s="145"/>
      <c r="AW385" s="158"/>
      <c r="AX385" s="145"/>
      <c r="AY385" s="145"/>
      <c r="AZ385" s="145"/>
      <c r="BA385" s="158"/>
      <c r="BB385" s="145"/>
      <c r="BC385" s="145"/>
      <c r="BD385" s="158"/>
      <c r="BE385" s="146"/>
      <c r="BF385" s="145"/>
      <c r="BG385" s="145"/>
      <c r="BH385" s="158">
        <f>SUM(BI385:BK385)</f>
      </c>
      <c r="BI385" s="145"/>
      <c r="BJ385" s="145"/>
      <c r="BK385" s="145"/>
      <c r="BL385" s="145">
        <f>SUM(BM385:BR385)</f>
      </c>
      <c r="BM385" s="145"/>
      <c r="BN385" s="145"/>
      <c r="BO385" s="158"/>
      <c r="BP385" s="145"/>
      <c r="BQ385" s="145"/>
      <c r="BR385" s="145"/>
      <c r="BS385" s="145"/>
      <c r="BT385" s="145"/>
      <c r="BU385" s="158"/>
      <c r="BV385" s="146"/>
      <c r="BW385" s="145"/>
      <c r="BX385" s="145"/>
      <c r="BY385" s="158">
        <f>SUM(BZ385:CB385)</f>
      </c>
      <c r="BZ385" s="146"/>
      <c r="CA385" s="145"/>
      <c r="CB385" s="145"/>
      <c r="CC385" s="145">
        <f>SUM(CD385:CH385)</f>
      </c>
      <c r="CD385" s="145"/>
      <c r="CE385" s="158"/>
      <c r="CF385" s="145"/>
      <c r="CG385" s="145"/>
      <c r="CH385" s="145"/>
      <c r="CI385" s="158"/>
      <c r="CJ385" s="145"/>
      <c r="CK385" s="145"/>
      <c r="CL385" s="145"/>
      <c r="CM385" s="145"/>
      <c r="CN385" s="145"/>
      <c r="CO385" s="145"/>
      <c r="CP385" s="145"/>
      <c r="CQ385" s="158"/>
      <c r="CR385" s="146"/>
      <c r="CS385" s="158"/>
      <c r="CT385" s="158"/>
      <c r="CU385" s="158">
        <f>SUM(CV385:CV385)</f>
      </c>
      <c r="CV385" s="146"/>
      <c r="CW385" s="145"/>
      <c r="CX385" s="145"/>
      <c r="CY385" s="145">
        <f>SUM(CZ385:DE385)</f>
      </c>
      <c r="CZ385" s="145"/>
      <c r="DA385" s="146"/>
      <c r="DB385" s="146"/>
      <c r="DC385" s="153"/>
      <c r="DD385" s="153"/>
      <c r="DE385" s="145"/>
      <c r="DF385" s="145"/>
      <c r="DG385" s="145"/>
      <c r="DH385" s="158"/>
      <c r="DI385" s="145"/>
      <c r="DJ385" s="158"/>
      <c r="DK385" s="145"/>
      <c r="DL385" s="158"/>
      <c r="DM385" s="145"/>
      <c r="DN385" s="145"/>
      <c r="DO385" s="145"/>
      <c r="DP385" s="158"/>
      <c r="DQ385" s="145"/>
      <c r="DR385" s="145"/>
      <c r="DS385" s="145"/>
      <c r="DT385" s="145"/>
      <c r="DU385" s="145">
        <f>SUM(DV385:EE385)</f>
      </c>
      <c r="DV385" s="145"/>
      <c r="DW385" s="145"/>
      <c r="DX385" s="145"/>
      <c r="DY385" s="145"/>
      <c r="DZ385" s="146"/>
      <c r="EA385" s="158"/>
      <c r="EB385" s="146"/>
      <c r="EC385" s="145"/>
      <c r="ED385" s="145"/>
      <c r="EE385" s="155"/>
      <c r="EF385" s="145">
        <f>SUM(EG385:EH385)</f>
      </c>
      <c r="EG385" s="145"/>
      <c r="EH385" s="146"/>
      <c r="EI385" s="159" cm="1">
        <f t="array" ref="EI385">ROW()-ROW(Run[#Headers])</f>
        <v>379</v>
      </c>
    </row>
    <row r="386" spans="2:139" s="79" customFormat="1" ht="11.25" x14ac:dyDescent="0.2">
      <c r="B386" s="146"/>
      <c r="C386" s="155"/>
      <c r="D386" s="145"/>
      <c r="E386" s="152">
        <f>SUM(F386:AE386)</f>
      </c>
      <c r="F386" s="146"/>
      <c r="G386" s="146"/>
      <c r="H386" s="146"/>
      <c r="I386" s="146"/>
      <c r="J386" s="146"/>
      <c r="K386" s="156"/>
      <c r="L386" s="146"/>
      <c r="M386" s="146"/>
      <c r="N386" s="146"/>
      <c r="O386" s="146"/>
      <c r="P386" s="156"/>
      <c r="Q386" s="146"/>
      <c r="R386" s="146"/>
      <c r="S386" s="146"/>
      <c r="T386" s="156"/>
      <c r="U386" s="146"/>
      <c r="V386" s="146"/>
      <c r="W386" s="146"/>
      <c r="X386" s="146"/>
      <c r="Y386" s="146"/>
      <c r="Z386" s="146"/>
      <c r="AA386" s="146"/>
      <c r="AB386" s="146"/>
      <c r="AC386" s="157"/>
      <c r="AD386" s="157"/>
      <c r="AE386" s="157"/>
      <c r="AF386" s="158">
        <f>SUM(AG386:AJ386)</f>
      </c>
      <c r="AG386" s="146"/>
      <c r="AH386" s="145"/>
      <c r="AI386" s="145"/>
      <c r="AJ386" s="145"/>
      <c r="AK386" s="158">
        <f>SUM(AL386:AW386)</f>
      </c>
      <c r="AL386" s="146"/>
      <c r="AM386" s="145"/>
      <c r="AN386" s="145"/>
      <c r="AO386" s="145"/>
      <c r="AP386" s="145"/>
      <c r="AQ386" s="145"/>
      <c r="AR386" s="145"/>
      <c r="AS386" s="145"/>
      <c r="AT386" s="145"/>
      <c r="AU386" s="145"/>
      <c r="AV386" s="145"/>
      <c r="AW386" s="158"/>
      <c r="AX386" s="145"/>
      <c r="AY386" s="145"/>
      <c r="AZ386" s="145"/>
      <c r="BA386" s="158"/>
      <c r="BB386" s="145"/>
      <c r="BC386" s="145"/>
      <c r="BD386" s="158"/>
      <c r="BE386" s="146"/>
      <c r="BF386" s="145"/>
      <c r="BG386" s="145"/>
      <c r="BH386" s="158">
        <f>SUM(BI386:BK386)</f>
      </c>
      <c r="BI386" s="145"/>
      <c r="BJ386" s="145"/>
      <c r="BK386" s="145"/>
      <c r="BL386" s="145">
        <f>SUM(BM386:BR386)</f>
      </c>
      <c r="BM386" s="145"/>
      <c r="BN386" s="145"/>
      <c r="BO386" s="158"/>
      <c r="BP386" s="145"/>
      <c r="BQ386" s="145"/>
      <c r="BR386" s="145"/>
      <c r="BS386" s="145"/>
      <c r="BT386" s="145"/>
      <c r="BU386" s="158"/>
      <c r="BV386" s="146"/>
      <c r="BW386" s="145"/>
      <c r="BX386" s="145"/>
      <c r="BY386" s="158">
        <f>SUM(BZ386:CB386)</f>
      </c>
      <c r="BZ386" s="146"/>
      <c r="CA386" s="145"/>
      <c r="CB386" s="145"/>
      <c r="CC386" s="145">
        <f>SUM(CD386:CH386)</f>
      </c>
      <c r="CD386" s="145"/>
      <c r="CE386" s="158"/>
      <c r="CF386" s="145"/>
      <c r="CG386" s="145"/>
      <c r="CH386" s="145"/>
      <c r="CI386" s="158"/>
      <c r="CJ386" s="145"/>
      <c r="CK386" s="145"/>
      <c r="CL386" s="145"/>
      <c r="CM386" s="145"/>
      <c r="CN386" s="145"/>
      <c r="CO386" s="145"/>
      <c r="CP386" s="145"/>
      <c r="CQ386" s="158"/>
      <c r="CR386" s="146"/>
      <c r="CS386" s="158"/>
      <c r="CT386" s="158"/>
      <c r="CU386" s="158">
        <f>SUM(CV386:CV386)</f>
      </c>
      <c r="CV386" s="146"/>
      <c r="CW386" s="145"/>
      <c r="CX386" s="145"/>
      <c r="CY386" s="145">
        <f>SUM(CZ386:DE386)</f>
      </c>
      <c r="CZ386" s="145"/>
      <c r="DA386" s="146"/>
      <c r="DB386" s="146"/>
      <c r="DC386" s="153"/>
      <c r="DD386" s="153"/>
      <c r="DE386" s="145"/>
      <c r="DF386" s="145"/>
      <c r="DG386" s="145"/>
      <c r="DH386" s="158"/>
      <c r="DI386" s="145"/>
      <c r="DJ386" s="158"/>
      <c r="DK386" s="145"/>
      <c r="DL386" s="158"/>
      <c r="DM386" s="145"/>
      <c r="DN386" s="145"/>
      <c r="DO386" s="145"/>
      <c r="DP386" s="158"/>
      <c r="DQ386" s="145"/>
      <c r="DR386" s="145"/>
      <c r="DS386" s="145"/>
      <c r="DT386" s="145"/>
      <c r="DU386" s="145">
        <f>SUM(DV386:EE386)</f>
      </c>
      <c r="DV386" s="145"/>
      <c r="DW386" s="145"/>
      <c r="DX386" s="145"/>
      <c r="DY386" s="145"/>
      <c r="DZ386" s="146"/>
      <c r="EA386" s="158"/>
      <c r="EB386" s="146"/>
      <c r="EC386" s="145"/>
      <c r="ED386" s="145"/>
      <c r="EE386" s="155"/>
      <c r="EF386" s="145">
        <f>SUM(EG386:EH386)</f>
      </c>
      <c r="EG386" s="145"/>
      <c r="EH386" s="146"/>
      <c r="EI386" s="159" cm="1">
        <f t="array" ref="EI386">ROW()-ROW(Run[#Headers])</f>
        <v>380</v>
      </c>
    </row>
    <row r="387" spans="2:139" s="79" customFormat="1" ht="11.25" x14ac:dyDescent="0.2">
      <c r="B387" s="146"/>
      <c r="C387" s="155"/>
      <c r="D387" s="145"/>
      <c r="E387" s="152">
        <f>SUM(F387:AE387)</f>
      </c>
      <c r="F387" s="146"/>
      <c r="G387" s="146"/>
      <c r="H387" s="146"/>
      <c r="I387" s="146"/>
      <c r="J387" s="146"/>
      <c r="K387" s="156"/>
      <c r="L387" s="146"/>
      <c r="M387" s="146"/>
      <c r="N387" s="146"/>
      <c r="O387" s="146"/>
      <c r="P387" s="156"/>
      <c r="Q387" s="146"/>
      <c r="R387" s="146"/>
      <c r="S387" s="146"/>
      <c r="T387" s="156"/>
      <c r="U387" s="146"/>
      <c r="V387" s="146"/>
      <c r="W387" s="146"/>
      <c r="X387" s="146"/>
      <c r="Y387" s="146"/>
      <c r="Z387" s="146"/>
      <c r="AA387" s="146"/>
      <c r="AB387" s="146"/>
      <c r="AC387" s="157"/>
      <c r="AD387" s="157"/>
      <c r="AE387" s="157"/>
      <c r="AF387" s="158">
        <f>SUM(AG387:AJ387)</f>
      </c>
      <c r="AG387" s="146"/>
      <c r="AH387" s="145"/>
      <c r="AI387" s="145"/>
      <c r="AJ387" s="145"/>
      <c r="AK387" s="158">
        <f>SUM(AL387:AW387)</f>
      </c>
      <c r="AL387" s="146"/>
      <c r="AM387" s="145"/>
      <c r="AN387" s="145"/>
      <c r="AO387" s="145"/>
      <c r="AP387" s="145"/>
      <c r="AQ387" s="145"/>
      <c r="AR387" s="145"/>
      <c r="AS387" s="145"/>
      <c r="AT387" s="145"/>
      <c r="AU387" s="145"/>
      <c r="AV387" s="145"/>
      <c r="AW387" s="158"/>
      <c r="AX387" s="145"/>
      <c r="AY387" s="145"/>
      <c r="AZ387" s="145"/>
      <c r="BA387" s="158"/>
      <c r="BB387" s="145"/>
      <c r="BC387" s="145"/>
      <c r="BD387" s="158"/>
      <c r="BE387" s="146"/>
      <c r="BF387" s="145"/>
      <c r="BG387" s="145"/>
      <c r="BH387" s="158">
        <f>SUM(BI387:BK387)</f>
      </c>
      <c r="BI387" s="145"/>
      <c r="BJ387" s="145"/>
      <c r="BK387" s="145"/>
      <c r="BL387" s="145">
        <f>SUM(BM387:BR387)</f>
      </c>
      <c r="BM387" s="145"/>
      <c r="BN387" s="145"/>
      <c r="BO387" s="158"/>
      <c r="BP387" s="145"/>
      <c r="BQ387" s="145"/>
      <c r="BR387" s="145"/>
      <c r="BS387" s="145"/>
      <c r="BT387" s="145"/>
      <c r="BU387" s="158"/>
      <c r="BV387" s="146"/>
      <c r="BW387" s="145"/>
      <c r="BX387" s="145"/>
      <c r="BY387" s="158">
        <f>SUM(BZ387:CB387)</f>
      </c>
      <c r="BZ387" s="146"/>
      <c r="CA387" s="145"/>
      <c r="CB387" s="145"/>
      <c r="CC387" s="145">
        <f>SUM(CD387:CH387)</f>
      </c>
      <c r="CD387" s="145"/>
      <c r="CE387" s="158"/>
      <c r="CF387" s="145"/>
      <c r="CG387" s="145"/>
      <c r="CH387" s="145"/>
      <c r="CI387" s="158"/>
      <c r="CJ387" s="145"/>
      <c r="CK387" s="145"/>
      <c r="CL387" s="145"/>
      <c r="CM387" s="145"/>
      <c r="CN387" s="145"/>
      <c r="CO387" s="145"/>
      <c r="CP387" s="145"/>
      <c r="CQ387" s="158"/>
      <c r="CR387" s="146"/>
      <c r="CS387" s="158"/>
      <c r="CT387" s="158"/>
      <c r="CU387" s="158">
        <f>SUM(CV387:CV387)</f>
      </c>
      <c r="CV387" s="146"/>
      <c r="CW387" s="145"/>
      <c r="CX387" s="145"/>
      <c r="CY387" s="145">
        <f>SUM(CZ387:DE387)</f>
      </c>
      <c r="CZ387" s="145"/>
      <c r="DA387" s="146"/>
      <c r="DB387" s="146"/>
      <c r="DC387" s="153"/>
      <c r="DD387" s="153"/>
      <c r="DE387" s="145"/>
      <c r="DF387" s="145"/>
      <c r="DG387" s="145"/>
      <c r="DH387" s="158"/>
      <c r="DI387" s="145"/>
      <c r="DJ387" s="158"/>
      <c r="DK387" s="145"/>
      <c r="DL387" s="158"/>
      <c r="DM387" s="145"/>
      <c r="DN387" s="145"/>
      <c r="DO387" s="145"/>
      <c r="DP387" s="158"/>
      <c r="DQ387" s="145"/>
      <c r="DR387" s="145"/>
      <c r="DS387" s="145"/>
      <c r="DT387" s="145"/>
      <c r="DU387" s="145">
        <f>SUM(DV387:EE387)</f>
      </c>
      <c r="DV387" s="145"/>
      <c r="DW387" s="145"/>
      <c r="DX387" s="145"/>
      <c r="DY387" s="145"/>
      <c r="DZ387" s="146"/>
      <c r="EA387" s="158"/>
      <c r="EB387" s="146"/>
      <c r="EC387" s="145"/>
      <c r="ED387" s="145"/>
      <c r="EE387" s="155"/>
      <c r="EF387" s="145">
        <f>SUM(EG387:EH387)</f>
      </c>
      <c r="EG387" s="145"/>
      <c r="EH387" s="146"/>
      <c r="EI387" s="159" cm="1">
        <f t="array" ref="EI387">ROW()-ROW(Run[#Headers])</f>
        <v>381</v>
      </c>
    </row>
    <row r="388" spans="2:139" s="79" customFormat="1" ht="11.25" x14ac:dyDescent="0.2">
      <c r="B388" s="146"/>
      <c r="C388" s="155"/>
      <c r="D388" s="145"/>
      <c r="E388" s="152">
        <f>SUM(F388:AE388)</f>
      </c>
      <c r="F388" s="146"/>
      <c r="G388" s="146"/>
      <c r="H388" s="146"/>
      <c r="I388" s="146"/>
      <c r="J388" s="146"/>
      <c r="K388" s="156"/>
      <c r="L388" s="146"/>
      <c r="M388" s="146"/>
      <c r="N388" s="146"/>
      <c r="O388" s="146"/>
      <c r="P388" s="156"/>
      <c r="Q388" s="146"/>
      <c r="R388" s="146"/>
      <c r="S388" s="146"/>
      <c r="T388" s="156"/>
      <c r="U388" s="146"/>
      <c r="V388" s="146"/>
      <c r="W388" s="146"/>
      <c r="X388" s="146"/>
      <c r="Y388" s="146"/>
      <c r="Z388" s="146"/>
      <c r="AA388" s="146"/>
      <c r="AB388" s="146"/>
      <c r="AC388" s="157"/>
      <c r="AD388" s="157"/>
      <c r="AE388" s="157"/>
      <c r="AF388" s="158">
        <f>SUM(AG388:AJ388)</f>
      </c>
      <c r="AG388" s="146"/>
      <c r="AH388" s="145"/>
      <c r="AI388" s="145"/>
      <c r="AJ388" s="145"/>
      <c r="AK388" s="158">
        <f>SUM(AL388:AW388)</f>
      </c>
      <c r="AL388" s="146"/>
      <c r="AM388" s="145"/>
      <c r="AN388" s="145"/>
      <c r="AO388" s="145"/>
      <c r="AP388" s="145"/>
      <c r="AQ388" s="145"/>
      <c r="AR388" s="145"/>
      <c r="AS388" s="145"/>
      <c r="AT388" s="145"/>
      <c r="AU388" s="145"/>
      <c r="AV388" s="145"/>
      <c r="AW388" s="158"/>
      <c r="AX388" s="145"/>
      <c r="AY388" s="145"/>
      <c r="AZ388" s="145"/>
      <c r="BA388" s="158"/>
      <c r="BB388" s="145"/>
      <c r="BC388" s="145"/>
      <c r="BD388" s="158"/>
      <c r="BE388" s="146"/>
      <c r="BF388" s="145"/>
      <c r="BG388" s="145"/>
      <c r="BH388" s="158">
        <f>SUM(BI388:BK388)</f>
      </c>
      <c r="BI388" s="145"/>
      <c r="BJ388" s="145"/>
      <c r="BK388" s="145"/>
      <c r="BL388" s="145">
        <f>SUM(BM388:BR388)</f>
      </c>
      <c r="BM388" s="145"/>
      <c r="BN388" s="145"/>
      <c r="BO388" s="158"/>
      <c r="BP388" s="145"/>
      <c r="BQ388" s="145"/>
      <c r="BR388" s="145"/>
      <c r="BS388" s="145"/>
      <c r="BT388" s="145"/>
      <c r="BU388" s="158"/>
      <c r="BV388" s="146"/>
      <c r="BW388" s="145"/>
      <c r="BX388" s="145"/>
      <c r="BY388" s="158">
        <f>SUM(BZ388:CB388)</f>
      </c>
      <c r="BZ388" s="146"/>
      <c r="CA388" s="145"/>
      <c r="CB388" s="145"/>
      <c r="CC388" s="145">
        <f>SUM(CD388:CH388)</f>
      </c>
      <c r="CD388" s="145"/>
      <c r="CE388" s="158"/>
      <c r="CF388" s="145"/>
      <c r="CG388" s="145"/>
      <c r="CH388" s="145"/>
      <c r="CI388" s="158"/>
      <c r="CJ388" s="145"/>
      <c r="CK388" s="145"/>
      <c r="CL388" s="145"/>
      <c r="CM388" s="145"/>
      <c r="CN388" s="145"/>
      <c r="CO388" s="145"/>
      <c r="CP388" s="145"/>
      <c r="CQ388" s="158"/>
      <c r="CR388" s="146"/>
      <c r="CS388" s="158"/>
      <c r="CT388" s="158"/>
      <c r="CU388" s="158">
        <f>SUM(CV388:CV388)</f>
      </c>
      <c r="CV388" s="146"/>
      <c r="CW388" s="145"/>
      <c r="CX388" s="145"/>
      <c r="CY388" s="145">
        <f>SUM(CZ388:DE388)</f>
      </c>
      <c r="CZ388" s="145"/>
      <c r="DA388" s="146"/>
      <c r="DB388" s="146"/>
      <c r="DC388" s="153"/>
      <c r="DD388" s="153"/>
      <c r="DE388" s="145"/>
      <c r="DF388" s="145"/>
      <c r="DG388" s="145"/>
      <c r="DH388" s="158"/>
      <c r="DI388" s="145"/>
      <c r="DJ388" s="158"/>
      <c r="DK388" s="145"/>
      <c r="DL388" s="158"/>
      <c r="DM388" s="145"/>
      <c r="DN388" s="145"/>
      <c r="DO388" s="145"/>
      <c r="DP388" s="158"/>
      <c r="DQ388" s="145"/>
      <c r="DR388" s="145"/>
      <c r="DS388" s="145"/>
      <c r="DT388" s="145"/>
      <c r="DU388" s="145">
        <f>SUM(DV388:EE388)</f>
      </c>
      <c r="DV388" s="145"/>
      <c r="DW388" s="145"/>
      <c r="DX388" s="145"/>
      <c r="DY388" s="145"/>
      <c r="DZ388" s="146"/>
      <c r="EA388" s="158"/>
      <c r="EB388" s="146"/>
      <c r="EC388" s="145"/>
      <c r="ED388" s="145"/>
      <c r="EE388" s="155"/>
      <c r="EF388" s="145">
        <f>SUM(EG388:EH388)</f>
      </c>
      <c r="EG388" s="145"/>
      <c r="EH388" s="146"/>
      <c r="EI388" s="159" cm="1">
        <f t="array" ref="EI388">ROW()-ROW(Run[#Headers])</f>
        <v>382</v>
      </c>
    </row>
    <row r="389" spans="2:139" s="79" customFormat="1" ht="11.25" x14ac:dyDescent="0.2">
      <c r="B389" s="146"/>
      <c r="C389" s="155"/>
      <c r="D389" s="145"/>
      <c r="E389" s="152">
        <f>SUM(F389:AE389)</f>
      </c>
      <c r="F389" s="146"/>
      <c r="G389" s="146"/>
      <c r="H389" s="146"/>
      <c r="I389" s="146"/>
      <c r="J389" s="146"/>
      <c r="K389" s="156"/>
      <c r="L389" s="146"/>
      <c r="M389" s="146"/>
      <c r="N389" s="146"/>
      <c r="O389" s="146"/>
      <c r="P389" s="156"/>
      <c r="Q389" s="146"/>
      <c r="R389" s="146"/>
      <c r="S389" s="146"/>
      <c r="T389" s="156"/>
      <c r="U389" s="146"/>
      <c r="V389" s="146"/>
      <c r="W389" s="146"/>
      <c r="X389" s="146"/>
      <c r="Y389" s="146"/>
      <c r="Z389" s="146"/>
      <c r="AA389" s="146"/>
      <c r="AB389" s="146"/>
      <c r="AC389" s="157"/>
      <c r="AD389" s="157"/>
      <c r="AE389" s="157"/>
      <c r="AF389" s="158">
        <f>SUM(AG389:AJ389)</f>
      </c>
      <c r="AG389" s="146"/>
      <c r="AH389" s="145"/>
      <c r="AI389" s="145"/>
      <c r="AJ389" s="145"/>
      <c r="AK389" s="158">
        <f>SUM(AL389:AW389)</f>
      </c>
      <c r="AL389" s="146"/>
      <c r="AM389" s="145"/>
      <c r="AN389" s="145"/>
      <c r="AO389" s="145"/>
      <c r="AP389" s="145"/>
      <c r="AQ389" s="145"/>
      <c r="AR389" s="145"/>
      <c r="AS389" s="145"/>
      <c r="AT389" s="145"/>
      <c r="AU389" s="145"/>
      <c r="AV389" s="145"/>
      <c r="AW389" s="158"/>
      <c r="AX389" s="145"/>
      <c r="AY389" s="145"/>
      <c r="AZ389" s="145"/>
      <c r="BA389" s="158"/>
      <c r="BB389" s="145"/>
      <c r="BC389" s="145"/>
      <c r="BD389" s="158"/>
      <c r="BE389" s="146"/>
      <c r="BF389" s="145"/>
      <c r="BG389" s="145"/>
      <c r="BH389" s="158">
        <f>SUM(BI389:BK389)</f>
      </c>
      <c r="BI389" s="145"/>
      <c r="BJ389" s="145"/>
      <c r="BK389" s="145"/>
      <c r="BL389" s="145">
        <f>SUM(BM389:BR389)</f>
      </c>
      <c r="BM389" s="145"/>
      <c r="BN389" s="145"/>
      <c r="BO389" s="158"/>
      <c r="BP389" s="145"/>
      <c r="BQ389" s="145"/>
      <c r="BR389" s="145"/>
      <c r="BS389" s="145"/>
      <c r="BT389" s="145"/>
      <c r="BU389" s="158"/>
      <c r="BV389" s="146"/>
      <c r="BW389" s="145"/>
      <c r="BX389" s="145"/>
      <c r="BY389" s="158">
        <f>SUM(BZ389:CB389)</f>
      </c>
      <c r="BZ389" s="146"/>
      <c r="CA389" s="145"/>
      <c r="CB389" s="145"/>
      <c r="CC389" s="145">
        <f>SUM(CD389:CH389)</f>
      </c>
      <c r="CD389" s="145"/>
      <c r="CE389" s="158"/>
      <c r="CF389" s="145"/>
      <c r="CG389" s="145"/>
      <c r="CH389" s="145"/>
      <c r="CI389" s="158"/>
      <c r="CJ389" s="145"/>
      <c r="CK389" s="145"/>
      <c r="CL389" s="145"/>
      <c r="CM389" s="145"/>
      <c r="CN389" s="145"/>
      <c r="CO389" s="145"/>
      <c r="CP389" s="145"/>
      <c r="CQ389" s="158"/>
      <c r="CR389" s="146"/>
      <c r="CS389" s="158"/>
      <c r="CT389" s="158"/>
      <c r="CU389" s="158">
        <f>SUM(CV389:CV389)</f>
      </c>
      <c r="CV389" s="146"/>
      <c r="CW389" s="145"/>
      <c r="CX389" s="145"/>
      <c r="CY389" s="145">
        <f>SUM(CZ389:DE389)</f>
      </c>
      <c r="CZ389" s="145"/>
      <c r="DA389" s="146"/>
      <c r="DB389" s="146"/>
      <c r="DC389" s="153"/>
      <c r="DD389" s="153"/>
      <c r="DE389" s="145"/>
      <c r="DF389" s="145"/>
      <c r="DG389" s="145"/>
      <c r="DH389" s="158"/>
      <c r="DI389" s="145"/>
      <c r="DJ389" s="158"/>
      <c r="DK389" s="145"/>
      <c r="DL389" s="158"/>
      <c r="DM389" s="145"/>
      <c r="DN389" s="145"/>
      <c r="DO389" s="145"/>
      <c r="DP389" s="158"/>
      <c r="DQ389" s="145"/>
      <c r="DR389" s="145"/>
      <c r="DS389" s="145"/>
      <c r="DT389" s="145"/>
      <c r="DU389" s="145">
        <f>SUM(DV389:EE389)</f>
      </c>
      <c r="DV389" s="145"/>
      <c r="DW389" s="145"/>
      <c r="DX389" s="145"/>
      <c r="DY389" s="145"/>
      <c r="DZ389" s="146"/>
      <c r="EA389" s="158"/>
      <c r="EB389" s="146"/>
      <c r="EC389" s="145"/>
      <c r="ED389" s="145"/>
      <c r="EE389" s="155"/>
      <c r="EF389" s="145">
        <f>SUM(EG389:EH389)</f>
      </c>
      <c r="EG389" s="145"/>
      <c r="EH389" s="146"/>
      <c r="EI389" s="159" cm="1">
        <f t="array" ref="EI389">ROW()-ROW(Run[#Headers])</f>
        <v>383</v>
      </c>
    </row>
    <row r="390" spans="2:139" s="79" customFormat="1" ht="11.25" x14ac:dyDescent="0.2">
      <c r="B390" s="146"/>
      <c r="C390" s="155"/>
      <c r="D390" s="145"/>
      <c r="E390" s="152">
        <f>SUM(F390:AE390)</f>
      </c>
      <c r="F390" s="146"/>
      <c r="G390" s="146"/>
      <c r="H390" s="146"/>
      <c r="I390" s="146"/>
      <c r="J390" s="146"/>
      <c r="K390" s="156"/>
      <c r="L390" s="146"/>
      <c r="M390" s="146"/>
      <c r="N390" s="146"/>
      <c r="O390" s="146"/>
      <c r="P390" s="156"/>
      <c r="Q390" s="146"/>
      <c r="R390" s="146"/>
      <c r="S390" s="146"/>
      <c r="T390" s="156"/>
      <c r="U390" s="146"/>
      <c r="V390" s="146"/>
      <c r="W390" s="146"/>
      <c r="X390" s="146"/>
      <c r="Y390" s="146"/>
      <c r="Z390" s="146"/>
      <c r="AA390" s="146"/>
      <c r="AB390" s="146"/>
      <c r="AC390" s="157"/>
      <c r="AD390" s="157"/>
      <c r="AE390" s="157"/>
      <c r="AF390" s="158">
        <f>SUM(AG390:AJ390)</f>
      </c>
      <c r="AG390" s="146"/>
      <c r="AH390" s="145"/>
      <c r="AI390" s="145"/>
      <c r="AJ390" s="145"/>
      <c r="AK390" s="158">
        <f>SUM(AL390:AW390)</f>
      </c>
      <c r="AL390" s="146"/>
      <c r="AM390" s="145"/>
      <c r="AN390" s="145"/>
      <c r="AO390" s="145"/>
      <c r="AP390" s="145"/>
      <c r="AQ390" s="145"/>
      <c r="AR390" s="145"/>
      <c r="AS390" s="145"/>
      <c r="AT390" s="145"/>
      <c r="AU390" s="145"/>
      <c r="AV390" s="145"/>
      <c r="AW390" s="158"/>
      <c r="AX390" s="145"/>
      <c r="AY390" s="145"/>
      <c r="AZ390" s="145"/>
      <c r="BA390" s="158"/>
      <c r="BB390" s="145"/>
      <c r="BC390" s="145"/>
      <c r="BD390" s="158"/>
      <c r="BE390" s="146"/>
      <c r="BF390" s="145"/>
      <c r="BG390" s="145"/>
      <c r="BH390" s="158">
        <f>SUM(BI390:BK390)</f>
      </c>
      <c r="BI390" s="145"/>
      <c r="BJ390" s="145"/>
      <c r="BK390" s="145"/>
      <c r="BL390" s="145">
        <f>SUM(BM390:BR390)</f>
      </c>
      <c r="BM390" s="145"/>
      <c r="BN390" s="145"/>
      <c r="BO390" s="158"/>
      <c r="BP390" s="145"/>
      <c r="BQ390" s="145"/>
      <c r="BR390" s="145"/>
      <c r="BS390" s="145"/>
      <c r="BT390" s="145"/>
      <c r="BU390" s="158"/>
      <c r="BV390" s="146"/>
      <c r="BW390" s="145"/>
      <c r="BX390" s="145"/>
      <c r="BY390" s="158">
        <f>SUM(BZ390:CB390)</f>
      </c>
      <c r="BZ390" s="146"/>
      <c r="CA390" s="145"/>
      <c r="CB390" s="145"/>
      <c r="CC390" s="145">
        <f>SUM(CD390:CH390)</f>
      </c>
      <c r="CD390" s="145"/>
      <c r="CE390" s="158"/>
      <c r="CF390" s="145"/>
      <c r="CG390" s="145"/>
      <c r="CH390" s="145"/>
      <c r="CI390" s="158"/>
      <c r="CJ390" s="145"/>
      <c r="CK390" s="145"/>
      <c r="CL390" s="145"/>
      <c r="CM390" s="145"/>
      <c r="CN390" s="145"/>
      <c r="CO390" s="145"/>
      <c r="CP390" s="145"/>
      <c r="CQ390" s="158"/>
      <c r="CR390" s="146"/>
      <c r="CS390" s="158"/>
      <c r="CT390" s="158"/>
      <c r="CU390" s="158">
        <f>SUM(CV390:CV390)</f>
      </c>
      <c r="CV390" s="146"/>
      <c r="CW390" s="145"/>
      <c r="CX390" s="145"/>
      <c r="CY390" s="145">
        <f>SUM(CZ390:DE390)</f>
      </c>
      <c r="CZ390" s="145"/>
      <c r="DA390" s="146"/>
      <c r="DB390" s="146"/>
      <c r="DC390" s="153"/>
      <c r="DD390" s="153"/>
      <c r="DE390" s="145"/>
      <c r="DF390" s="145"/>
      <c r="DG390" s="145"/>
      <c r="DH390" s="158"/>
      <c r="DI390" s="145"/>
      <c r="DJ390" s="158"/>
      <c r="DK390" s="145"/>
      <c r="DL390" s="158"/>
      <c r="DM390" s="145"/>
      <c r="DN390" s="145"/>
      <c r="DO390" s="145"/>
      <c r="DP390" s="158"/>
      <c r="DQ390" s="145"/>
      <c r="DR390" s="145"/>
      <c r="DS390" s="145"/>
      <c r="DT390" s="145"/>
      <c r="DU390" s="145">
        <f>SUM(DV390:EE390)</f>
      </c>
      <c r="DV390" s="145"/>
      <c r="DW390" s="145"/>
      <c r="DX390" s="145"/>
      <c r="DY390" s="145"/>
      <c r="DZ390" s="146"/>
      <c r="EA390" s="158"/>
      <c r="EB390" s="146"/>
      <c r="EC390" s="145"/>
      <c r="ED390" s="145"/>
      <c r="EE390" s="155"/>
      <c r="EF390" s="145">
        <f>SUM(EG390:EH390)</f>
      </c>
      <c r="EG390" s="145"/>
      <c r="EH390" s="146"/>
      <c r="EI390" s="159" cm="1">
        <f t="array" ref="EI390">ROW()-ROW(Run[#Headers])</f>
        <v>384</v>
      </c>
    </row>
    <row r="391" spans="2:139" s="79" customFormat="1" ht="11.25" x14ac:dyDescent="0.2">
      <c r="B391" s="146"/>
      <c r="C391" s="155"/>
      <c r="D391" s="145"/>
      <c r="E391" s="152">
        <f>SUM(F391:AE391)</f>
      </c>
      <c r="F391" s="146"/>
      <c r="G391" s="146"/>
      <c r="H391" s="146"/>
      <c r="I391" s="146"/>
      <c r="J391" s="146"/>
      <c r="K391" s="156"/>
      <c r="L391" s="146"/>
      <c r="M391" s="146"/>
      <c r="N391" s="146"/>
      <c r="O391" s="146"/>
      <c r="P391" s="156"/>
      <c r="Q391" s="146"/>
      <c r="R391" s="146"/>
      <c r="S391" s="146"/>
      <c r="T391" s="156"/>
      <c r="U391" s="146"/>
      <c r="V391" s="146"/>
      <c r="W391" s="146"/>
      <c r="X391" s="146"/>
      <c r="Y391" s="146"/>
      <c r="Z391" s="146"/>
      <c r="AA391" s="146"/>
      <c r="AB391" s="146"/>
      <c r="AC391" s="157"/>
      <c r="AD391" s="157"/>
      <c r="AE391" s="157"/>
      <c r="AF391" s="158">
        <f>SUM(AG391:AJ391)</f>
      </c>
      <c r="AG391" s="146"/>
      <c r="AH391" s="145"/>
      <c r="AI391" s="145"/>
      <c r="AJ391" s="145"/>
      <c r="AK391" s="158">
        <f>SUM(AL391:AW391)</f>
      </c>
      <c r="AL391" s="146"/>
      <c r="AM391" s="145"/>
      <c r="AN391" s="145"/>
      <c r="AO391" s="145"/>
      <c r="AP391" s="145"/>
      <c r="AQ391" s="145"/>
      <c r="AR391" s="145"/>
      <c r="AS391" s="145"/>
      <c r="AT391" s="145"/>
      <c r="AU391" s="145"/>
      <c r="AV391" s="145"/>
      <c r="AW391" s="158"/>
      <c r="AX391" s="145"/>
      <c r="AY391" s="145"/>
      <c r="AZ391" s="145"/>
      <c r="BA391" s="158"/>
      <c r="BB391" s="145"/>
      <c r="BC391" s="145"/>
      <c r="BD391" s="158"/>
      <c r="BE391" s="146"/>
      <c r="BF391" s="145"/>
      <c r="BG391" s="145"/>
      <c r="BH391" s="158">
        <f>SUM(BI391:BK391)</f>
      </c>
      <c r="BI391" s="145"/>
      <c r="BJ391" s="145"/>
      <c r="BK391" s="145"/>
      <c r="BL391" s="145">
        <f>SUM(BM391:BR391)</f>
      </c>
      <c r="BM391" s="145"/>
      <c r="BN391" s="145"/>
      <c r="BO391" s="158"/>
      <c r="BP391" s="145"/>
      <c r="BQ391" s="145"/>
      <c r="BR391" s="145"/>
      <c r="BS391" s="145"/>
      <c r="BT391" s="145"/>
      <c r="BU391" s="158"/>
      <c r="BV391" s="146"/>
      <c r="BW391" s="145"/>
      <c r="BX391" s="145"/>
      <c r="BY391" s="158">
        <f>SUM(BZ391:CB391)</f>
      </c>
      <c r="BZ391" s="146"/>
      <c r="CA391" s="145"/>
      <c r="CB391" s="145"/>
      <c r="CC391" s="145">
        <f>SUM(CD391:CH391)</f>
      </c>
      <c r="CD391" s="145"/>
      <c r="CE391" s="158"/>
      <c r="CF391" s="145"/>
      <c r="CG391" s="145"/>
      <c r="CH391" s="145"/>
      <c r="CI391" s="158"/>
      <c r="CJ391" s="145"/>
      <c r="CK391" s="145"/>
      <c r="CL391" s="145"/>
      <c r="CM391" s="145"/>
      <c r="CN391" s="145"/>
      <c r="CO391" s="145"/>
      <c r="CP391" s="145"/>
      <c r="CQ391" s="158"/>
      <c r="CR391" s="146"/>
      <c r="CS391" s="158"/>
      <c r="CT391" s="158"/>
      <c r="CU391" s="158">
        <f>SUM(CV391:CV391)</f>
      </c>
      <c r="CV391" s="146"/>
      <c r="CW391" s="145"/>
      <c r="CX391" s="145"/>
      <c r="CY391" s="145">
        <f>SUM(CZ391:DE391)</f>
      </c>
      <c r="CZ391" s="145"/>
      <c r="DA391" s="146"/>
      <c r="DB391" s="146"/>
      <c r="DC391" s="153"/>
      <c r="DD391" s="153"/>
      <c r="DE391" s="145"/>
      <c r="DF391" s="145"/>
      <c r="DG391" s="145"/>
      <c r="DH391" s="158"/>
      <c r="DI391" s="145"/>
      <c r="DJ391" s="158"/>
      <c r="DK391" s="145"/>
      <c r="DL391" s="158"/>
      <c r="DM391" s="145"/>
      <c r="DN391" s="145"/>
      <c r="DO391" s="145"/>
      <c r="DP391" s="158"/>
      <c r="DQ391" s="145"/>
      <c r="DR391" s="145"/>
      <c r="DS391" s="145"/>
      <c r="DT391" s="145"/>
      <c r="DU391" s="145">
        <f>SUM(DV391:EE391)</f>
      </c>
      <c r="DV391" s="145"/>
      <c r="DW391" s="145"/>
      <c r="DX391" s="145"/>
      <c r="DY391" s="145"/>
      <c r="DZ391" s="146"/>
      <c r="EA391" s="158"/>
      <c r="EB391" s="146"/>
      <c r="EC391" s="145"/>
      <c r="ED391" s="145"/>
      <c r="EE391" s="155"/>
      <c r="EF391" s="145">
        <f>SUM(EG391:EH391)</f>
      </c>
      <c r="EG391" s="145"/>
      <c r="EH391" s="146"/>
      <c r="EI391" s="159" cm="1">
        <f t="array" ref="EI391">ROW()-ROW(Run[#Headers])</f>
        <v>385</v>
      </c>
    </row>
    <row r="392" spans="2:139" s="79" customFormat="1" ht="11.25" x14ac:dyDescent="0.2">
      <c r="B392" s="146"/>
      <c r="C392" s="155"/>
      <c r="D392" s="145"/>
      <c r="E392" s="152">
        <f>SUM(F392:AE392)</f>
      </c>
      <c r="F392" s="146"/>
      <c r="G392" s="146"/>
      <c r="H392" s="146"/>
      <c r="I392" s="146"/>
      <c r="J392" s="146"/>
      <c r="K392" s="156"/>
      <c r="L392" s="146"/>
      <c r="M392" s="146"/>
      <c r="N392" s="146"/>
      <c r="O392" s="146"/>
      <c r="P392" s="156"/>
      <c r="Q392" s="146"/>
      <c r="R392" s="146"/>
      <c r="S392" s="146"/>
      <c r="T392" s="156"/>
      <c r="U392" s="146"/>
      <c r="V392" s="146"/>
      <c r="W392" s="146"/>
      <c r="X392" s="146"/>
      <c r="Y392" s="146"/>
      <c r="Z392" s="146"/>
      <c r="AA392" s="146"/>
      <c r="AB392" s="146"/>
      <c r="AC392" s="157"/>
      <c r="AD392" s="157"/>
      <c r="AE392" s="157"/>
      <c r="AF392" s="158">
        <f>SUM(AG392:AJ392)</f>
      </c>
      <c r="AG392" s="146"/>
      <c r="AH392" s="145"/>
      <c r="AI392" s="145"/>
      <c r="AJ392" s="145"/>
      <c r="AK392" s="158">
        <f>SUM(AL392:AW392)</f>
      </c>
      <c r="AL392" s="146"/>
      <c r="AM392" s="145"/>
      <c r="AN392" s="145"/>
      <c r="AO392" s="145"/>
      <c r="AP392" s="145"/>
      <c r="AQ392" s="145"/>
      <c r="AR392" s="145"/>
      <c r="AS392" s="145"/>
      <c r="AT392" s="145"/>
      <c r="AU392" s="145"/>
      <c r="AV392" s="145"/>
      <c r="AW392" s="158"/>
      <c r="AX392" s="145"/>
      <c r="AY392" s="145"/>
      <c r="AZ392" s="145"/>
      <c r="BA392" s="158"/>
      <c r="BB392" s="145"/>
      <c r="BC392" s="145"/>
      <c r="BD392" s="158"/>
      <c r="BE392" s="146"/>
      <c r="BF392" s="145"/>
      <c r="BG392" s="145"/>
      <c r="BH392" s="158">
        <f>SUM(BI392:BK392)</f>
      </c>
      <c r="BI392" s="145"/>
      <c r="BJ392" s="145"/>
      <c r="BK392" s="145"/>
      <c r="BL392" s="145">
        <f>SUM(BM392:BR392)</f>
      </c>
      <c r="BM392" s="145"/>
      <c r="BN392" s="145"/>
      <c r="BO392" s="158"/>
      <c r="BP392" s="145"/>
      <c r="BQ392" s="145"/>
      <c r="BR392" s="145"/>
      <c r="BS392" s="145"/>
      <c r="BT392" s="145"/>
      <c r="BU392" s="158"/>
      <c r="BV392" s="146"/>
      <c r="BW392" s="145"/>
      <c r="BX392" s="145"/>
      <c r="BY392" s="158">
        <f>SUM(BZ392:CB392)</f>
      </c>
      <c r="BZ392" s="146"/>
      <c r="CA392" s="145"/>
      <c r="CB392" s="145"/>
      <c r="CC392" s="145">
        <f>SUM(CD392:CH392)</f>
      </c>
      <c r="CD392" s="145"/>
      <c r="CE392" s="158"/>
      <c r="CF392" s="145"/>
      <c r="CG392" s="145"/>
      <c r="CH392" s="145"/>
      <c r="CI392" s="158"/>
      <c r="CJ392" s="145"/>
      <c r="CK392" s="145"/>
      <c r="CL392" s="145"/>
      <c r="CM392" s="145"/>
      <c r="CN392" s="145"/>
      <c r="CO392" s="145"/>
      <c r="CP392" s="145"/>
      <c r="CQ392" s="158"/>
      <c r="CR392" s="146"/>
      <c r="CS392" s="158"/>
      <c r="CT392" s="158"/>
      <c r="CU392" s="158">
        <f>SUM(CV392:CV392)</f>
      </c>
      <c r="CV392" s="146"/>
      <c r="CW392" s="145"/>
      <c r="CX392" s="145"/>
      <c r="CY392" s="145">
        <f>SUM(CZ392:DE392)</f>
      </c>
      <c r="CZ392" s="145"/>
      <c r="DA392" s="146"/>
      <c r="DB392" s="146"/>
      <c r="DC392" s="153"/>
      <c r="DD392" s="153"/>
      <c r="DE392" s="145"/>
      <c r="DF392" s="145"/>
      <c r="DG392" s="145"/>
      <c r="DH392" s="158"/>
      <c r="DI392" s="145"/>
      <c r="DJ392" s="158"/>
      <c r="DK392" s="145"/>
      <c r="DL392" s="158"/>
      <c r="DM392" s="145"/>
      <c r="DN392" s="145"/>
      <c r="DO392" s="145"/>
      <c r="DP392" s="158"/>
      <c r="DQ392" s="145"/>
      <c r="DR392" s="145"/>
      <c r="DS392" s="145"/>
      <c r="DT392" s="145"/>
      <c r="DU392" s="145">
        <f>SUM(DV392:EE392)</f>
      </c>
      <c r="DV392" s="145"/>
      <c r="DW392" s="145"/>
      <c r="DX392" s="145"/>
      <c r="DY392" s="145"/>
      <c r="DZ392" s="146"/>
      <c r="EA392" s="158"/>
      <c r="EB392" s="146"/>
      <c r="EC392" s="145"/>
      <c r="ED392" s="145"/>
      <c r="EE392" s="155"/>
      <c r="EF392" s="145">
        <f>SUM(EG392:EH392)</f>
      </c>
      <c r="EG392" s="145"/>
      <c r="EH392" s="146"/>
      <c r="EI392" s="159" cm="1">
        <f t="array" ref="EI392">ROW()-ROW(Run[#Headers])</f>
        <v>386</v>
      </c>
    </row>
    <row r="393" spans="2:139" s="79" customFormat="1" ht="11.25" x14ac:dyDescent="0.2">
      <c r="B393" s="146"/>
      <c r="C393" s="155"/>
      <c r="D393" s="145"/>
      <c r="E393" s="152">
        <f>SUM(F393:AE393)</f>
      </c>
      <c r="F393" s="146"/>
      <c r="G393" s="146"/>
      <c r="H393" s="146"/>
      <c r="I393" s="146"/>
      <c r="J393" s="146"/>
      <c r="K393" s="156"/>
      <c r="L393" s="146"/>
      <c r="M393" s="146"/>
      <c r="N393" s="146"/>
      <c r="O393" s="146"/>
      <c r="P393" s="156"/>
      <c r="Q393" s="146"/>
      <c r="R393" s="146"/>
      <c r="S393" s="146"/>
      <c r="T393" s="156"/>
      <c r="U393" s="146"/>
      <c r="V393" s="146"/>
      <c r="W393" s="146"/>
      <c r="X393" s="146"/>
      <c r="Y393" s="146"/>
      <c r="Z393" s="146"/>
      <c r="AA393" s="146"/>
      <c r="AB393" s="146"/>
      <c r="AC393" s="157"/>
      <c r="AD393" s="157"/>
      <c r="AE393" s="157"/>
      <c r="AF393" s="158">
        <f>SUM(AG393:AJ393)</f>
      </c>
      <c r="AG393" s="146"/>
      <c r="AH393" s="145"/>
      <c r="AI393" s="145"/>
      <c r="AJ393" s="145"/>
      <c r="AK393" s="158">
        <f>SUM(AL393:AW393)</f>
      </c>
      <c r="AL393" s="146"/>
      <c r="AM393" s="145"/>
      <c r="AN393" s="145"/>
      <c r="AO393" s="145"/>
      <c r="AP393" s="145"/>
      <c r="AQ393" s="145"/>
      <c r="AR393" s="145"/>
      <c r="AS393" s="145"/>
      <c r="AT393" s="145"/>
      <c r="AU393" s="145"/>
      <c r="AV393" s="145"/>
      <c r="AW393" s="158"/>
      <c r="AX393" s="145"/>
      <c r="AY393" s="145"/>
      <c r="AZ393" s="145"/>
      <c r="BA393" s="158"/>
      <c r="BB393" s="145"/>
      <c r="BC393" s="145"/>
      <c r="BD393" s="158"/>
      <c r="BE393" s="146"/>
      <c r="BF393" s="145"/>
      <c r="BG393" s="145"/>
      <c r="BH393" s="158">
        <f>SUM(BI393:BK393)</f>
      </c>
      <c r="BI393" s="145"/>
      <c r="BJ393" s="145"/>
      <c r="BK393" s="145"/>
      <c r="BL393" s="145">
        <f>SUM(BM393:BR393)</f>
      </c>
      <c r="BM393" s="145"/>
      <c r="BN393" s="145"/>
      <c r="BO393" s="158"/>
      <c r="BP393" s="145"/>
      <c r="BQ393" s="145"/>
      <c r="BR393" s="145"/>
      <c r="BS393" s="145"/>
      <c r="BT393" s="145"/>
      <c r="BU393" s="158"/>
      <c r="BV393" s="146"/>
      <c r="BW393" s="145"/>
      <c r="BX393" s="145"/>
      <c r="BY393" s="158">
        <f>SUM(BZ393:CB393)</f>
      </c>
      <c r="BZ393" s="146"/>
      <c r="CA393" s="145"/>
      <c r="CB393" s="145"/>
      <c r="CC393" s="145">
        <f>SUM(CD393:CH393)</f>
      </c>
      <c r="CD393" s="145"/>
      <c r="CE393" s="158"/>
      <c r="CF393" s="145"/>
      <c r="CG393" s="145"/>
      <c r="CH393" s="145"/>
      <c r="CI393" s="158"/>
      <c r="CJ393" s="145"/>
      <c r="CK393" s="145"/>
      <c r="CL393" s="145"/>
      <c r="CM393" s="145"/>
      <c r="CN393" s="145"/>
      <c r="CO393" s="145"/>
      <c r="CP393" s="145"/>
      <c r="CQ393" s="158"/>
      <c r="CR393" s="146"/>
      <c r="CS393" s="158"/>
      <c r="CT393" s="158"/>
      <c r="CU393" s="158">
        <f>SUM(CV393:CV393)</f>
      </c>
      <c r="CV393" s="146"/>
      <c r="CW393" s="145"/>
      <c r="CX393" s="145"/>
      <c r="CY393" s="145">
        <f>SUM(CZ393:DE393)</f>
      </c>
      <c r="CZ393" s="145"/>
      <c r="DA393" s="146"/>
      <c r="DB393" s="146"/>
      <c r="DC393" s="153"/>
      <c r="DD393" s="153"/>
      <c r="DE393" s="145"/>
      <c r="DF393" s="145"/>
      <c r="DG393" s="145"/>
      <c r="DH393" s="158"/>
      <c r="DI393" s="145"/>
      <c r="DJ393" s="158"/>
      <c r="DK393" s="145"/>
      <c r="DL393" s="158"/>
      <c r="DM393" s="145"/>
      <c r="DN393" s="145"/>
      <c r="DO393" s="145"/>
      <c r="DP393" s="158"/>
      <c r="DQ393" s="145"/>
      <c r="DR393" s="145"/>
      <c r="DS393" s="145"/>
      <c r="DT393" s="145"/>
      <c r="DU393" s="145">
        <f>SUM(DV393:EE393)</f>
      </c>
      <c r="DV393" s="145"/>
      <c r="DW393" s="145"/>
      <c r="DX393" s="145"/>
      <c r="DY393" s="145"/>
      <c r="DZ393" s="146"/>
      <c r="EA393" s="158"/>
      <c r="EB393" s="146"/>
      <c r="EC393" s="145"/>
      <c r="ED393" s="145"/>
      <c r="EE393" s="155"/>
      <c r="EF393" s="145">
        <f>SUM(EG393:EH393)</f>
      </c>
      <c r="EG393" s="145"/>
      <c r="EH393" s="146"/>
      <c r="EI393" s="159" cm="1">
        <f t="array" ref="EI393">ROW()-ROW(Run[#Headers])</f>
        <v>387</v>
      </c>
    </row>
    <row r="394" spans="2:139" s="79" customFormat="1" ht="11.25" x14ac:dyDescent="0.2">
      <c r="B394" s="146"/>
      <c r="C394" s="155"/>
      <c r="D394" s="145"/>
      <c r="E394" s="152">
        <f>SUM(F394:AE394)</f>
      </c>
      <c r="F394" s="146"/>
      <c r="G394" s="146"/>
      <c r="H394" s="146"/>
      <c r="I394" s="146"/>
      <c r="J394" s="146"/>
      <c r="K394" s="156"/>
      <c r="L394" s="146"/>
      <c r="M394" s="146"/>
      <c r="N394" s="146"/>
      <c r="O394" s="146"/>
      <c r="P394" s="156"/>
      <c r="Q394" s="146"/>
      <c r="R394" s="146"/>
      <c r="S394" s="146"/>
      <c r="T394" s="156"/>
      <c r="U394" s="146"/>
      <c r="V394" s="146"/>
      <c r="W394" s="146"/>
      <c r="X394" s="146"/>
      <c r="Y394" s="146"/>
      <c r="Z394" s="146"/>
      <c r="AA394" s="146"/>
      <c r="AB394" s="146"/>
      <c r="AC394" s="157"/>
      <c r="AD394" s="157"/>
      <c r="AE394" s="157"/>
      <c r="AF394" s="158">
        <f>SUM(AG394:AJ394)</f>
      </c>
      <c r="AG394" s="146"/>
      <c r="AH394" s="145"/>
      <c r="AI394" s="145"/>
      <c r="AJ394" s="145"/>
      <c r="AK394" s="158">
        <f>SUM(AL394:AW394)</f>
      </c>
      <c r="AL394" s="146"/>
      <c r="AM394" s="145"/>
      <c r="AN394" s="145"/>
      <c r="AO394" s="145"/>
      <c r="AP394" s="145"/>
      <c r="AQ394" s="145"/>
      <c r="AR394" s="145"/>
      <c r="AS394" s="145"/>
      <c r="AT394" s="145"/>
      <c r="AU394" s="145"/>
      <c r="AV394" s="145"/>
      <c r="AW394" s="158"/>
      <c r="AX394" s="145"/>
      <c r="AY394" s="145"/>
      <c r="AZ394" s="145"/>
      <c r="BA394" s="158"/>
      <c r="BB394" s="145"/>
      <c r="BC394" s="145"/>
      <c r="BD394" s="158"/>
      <c r="BE394" s="146"/>
      <c r="BF394" s="145"/>
      <c r="BG394" s="145"/>
      <c r="BH394" s="158">
        <f>SUM(BI394:BK394)</f>
      </c>
      <c r="BI394" s="145"/>
      <c r="BJ394" s="145"/>
      <c r="BK394" s="145"/>
      <c r="BL394" s="145">
        <f>SUM(BM394:BR394)</f>
      </c>
      <c r="BM394" s="145"/>
      <c r="BN394" s="145"/>
      <c r="BO394" s="158"/>
      <c r="BP394" s="145"/>
      <c r="BQ394" s="145"/>
      <c r="BR394" s="145"/>
      <c r="BS394" s="145"/>
      <c r="BT394" s="145"/>
      <c r="BU394" s="158"/>
      <c r="BV394" s="146"/>
      <c r="BW394" s="145"/>
      <c r="BX394" s="145"/>
      <c r="BY394" s="158">
        <f>SUM(BZ394:CB394)</f>
      </c>
      <c r="BZ394" s="146"/>
      <c r="CA394" s="145"/>
      <c r="CB394" s="145"/>
      <c r="CC394" s="145">
        <f>SUM(CD394:CH394)</f>
      </c>
      <c r="CD394" s="145"/>
      <c r="CE394" s="158"/>
      <c r="CF394" s="145"/>
      <c r="CG394" s="145"/>
      <c r="CH394" s="145"/>
      <c r="CI394" s="158"/>
      <c r="CJ394" s="145"/>
      <c r="CK394" s="145"/>
      <c r="CL394" s="145"/>
      <c r="CM394" s="145"/>
      <c r="CN394" s="145"/>
      <c r="CO394" s="145"/>
      <c r="CP394" s="145"/>
      <c r="CQ394" s="158"/>
      <c r="CR394" s="146"/>
      <c r="CS394" s="158"/>
      <c r="CT394" s="158"/>
      <c r="CU394" s="158">
        <f>SUM(CV394:CV394)</f>
      </c>
      <c r="CV394" s="146"/>
      <c r="CW394" s="145"/>
      <c r="CX394" s="145"/>
      <c r="CY394" s="145">
        <f>SUM(CZ394:DE394)</f>
      </c>
      <c r="CZ394" s="145"/>
      <c r="DA394" s="146"/>
      <c r="DB394" s="146"/>
      <c r="DC394" s="153"/>
      <c r="DD394" s="153"/>
      <c r="DE394" s="145"/>
      <c r="DF394" s="145"/>
      <c r="DG394" s="145"/>
      <c r="DH394" s="158"/>
      <c r="DI394" s="145"/>
      <c r="DJ394" s="158"/>
      <c r="DK394" s="145"/>
      <c r="DL394" s="158"/>
      <c r="DM394" s="145"/>
      <c r="DN394" s="145"/>
      <c r="DO394" s="145"/>
      <c r="DP394" s="158"/>
      <c r="DQ394" s="145"/>
      <c r="DR394" s="145"/>
      <c r="DS394" s="145"/>
      <c r="DT394" s="145"/>
      <c r="DU394" s="145">
        <f>SUM(DV394:EE394)</f>
      </c>
      <c r="DV394" s="145"/>
      <c r="DW394" s="145"/>
      <c r="DX394" s="145"/>
      <c r="DY394" s="145"/>
      <c r="DZ394" s="146"/>
      <c r="EA394" s="158"/>
      <c r="EB394" s="146"/>
      <c r="EC394" s="145"/>
      <c r="ED394" s="145"/>
      <c r="EE394" s="155"/>
      <c r="EF394" s="145">
        <f>SUM(EG394:EH394)</f>
      </c>
      <c r="EG394" s="145"/>
      <c r="EH394" s="146"/>
      <c r="EI394" s="159" cm="1">
        <f t="array" ref="EI394">ROW()-ROW(Run[#Headers])</f>
        <v>388</v>
      </c>
    </row>
    <row r="395" spans="2:139" s="79" customFormat="1" ht="11.25" x14ac:dyDescent="0.2">
      <c r="B395" s="146"/>
      <c r="C395" s="155"/>
      <c r="D395" s="145"/>
      <c r="E395" s="152">
        <f>SUM(F395:AE395)</f>
      </c>
      <c r="F395" s="146"/>
      <c r="G395" s="146"/>
      <c r="H395" s="146"/>
      <c r="I395" s="146"/>
      <c r="J395" s="146"/>
      <c r="K395" s="156"/>
      <c r="L395" s="146"/>
      <c r="M395" s="146"/>
      <c r="N395" s="146"/>
      <c r="O395" s="146"/>
      <c r="P395" s="156"/>
      <c r="Q395" s="146"/>
      <c r="R395" s="146"/>
      <c r="S395" s="146"/>
      <c r="T395" s="156"/>
      <c r="U395" s="146"/>
      <c r="V395" s="146"/>
      <c r="W395" s="146"/>
      <c r="X395" s="146"/>
      <c r="Y395" s="146"/>
      <c r="Z395" s="146"/>
      <c r="AA395" s="146"/>
      <c r="AB395" s="146"/>
      <c r="AC395" s="157"/>
      <c r="AD395" s="157"/>
      <c r="AE395" s="157"/>
      <c r="AF395" s="158">
        <f>SUM(AG395:AJ395)</f>
      </c>
      <c r="AG395" s="146"/>
      <c r="AH395" s="145"/>
      <c r="AI395" s="145"/>
      <c r="AJ395" s="145"/>
      <c r="AK395" s="158">
        <f>SUM(AL395:AW395)</f>
      </c>
      <c r="AL395" s="146"/>
      <c r="AM395" s="145"/>
      <c r="AN395" s="145"/>
      <c r="AO395" s="145"/>
      <c r="AP395" s="145"/>
      <c r="AQ395" s="145"/>
      <c r="AR395" s="145"/>
      <c r="AS395" s="145"/>
      <c r="AT395" s="145"/>
      <c r="AU395" s="145"/>
      <c r="AV395" s="145"/>
      <c r="AW395" s="158"/>
      <c r="AX395" s="145"/>
      <c r="AY395" s="145"/>
      <c r="AZ395" s="145"/>
      <c r="BA395" s="158"/>
      <c r="BB395" s="145"/>
      <c r="BC395" s="145"/>
      <c r="BD395" s="158"/>
      <c r="BE395" s="146"/>
      <c r="BF395" s="145"/>
      <c r="BG395" s="145"/>
      <c r="BH395" s="158">
        <f>SUM(BI395:BK395)</f>
      </c>
      <c r="BI395" s="145"/>
      <c r="BJ395" s="145"/>
      <c r="BK395" s="145"/>
      <c r="BL395" s="145">
        <f>SUM(BM395:BR395)</f>
      </c>
      <c r="BM395" s="145"/>
      <c r="BN395" s="145"/>
      <c r="BO395" s="158"/>
      <c r="BP395" s="145"/>
      <c r="BQ395" s="145"/>
      <c r="BR395" s="145"/>
      <c r="BS395" s="145"/>
      <c r="BT395" s="145"/>
      <c r="BU395" s="158"/>
      <c r="BV395" s="146"/>
      <c r="BW395" s="145"/>
      <c r="BX395" s="145"/>
      <c r="BY395" s="158">
        <f>SUM(BZ395:CB395)</f>
      </c>
      <c r="BZ395" s="146"/>
      <c r="CA395" s="145"/>
      <c r="CB395" s="145"/>
      <c r="CC395" s="145">
        <f>SUM(CD395:CH395)</f>
      </c>
      <c r="CD395" s="145"/>
      <c r="CE395" s="158"/>
      <c r="CF395" s="145"/>
      <c r="CG395" s="145"/>
      <c r="CH395" s="145"/>
      <c r="CI395" s="158"/>
      <c r="CJ395" s="145"/>
      <c r="CK395" s="145"/>
      <c r="CL395" s="145"/>
      <c r="CM395" s="145"/>
      <c r="CN395" s="145"/>
      <c r="CO395" s="145"/>
      <c r="CP395" s="145"/>
      <c r="CQ395" s="158"/>
      <c r="CR395" s="146"/>
      <c r="CS395" s="158"/>
      <c r="CT395" s="158"/>
      <c r="CU395" s="158">
        <f>SUM(CV395:CV395)</f>
      </c>
      <c r="CV395" s="146"/>
      <c r="CW395" s="145"/>
      <c r="CX395" s="145"/>
      <c r="CY395" s="145">
        <f>SUM(CZ395:DE395)</f>
      </c>
      <c r="CZ395" s="145"/>
      <c r="DA395" s="146"/>
      <c r="DB395" s="146"/>
      <c r="DC395" s="153"/>
      <c r="DD395" s="153"/>
      <c r="DE395" s="145"/>
      <c r="DF395" s="145"/>
      <c r="DG395" s="145"/>
      <c r="DH395" s="158"/>
      <c r="DI395" s="145"/>
      <c r="DJ395" s="158"/>
      <c r="DK395" s="145"/>
      <c r="DL395" s="158"/>
      <c r="DM395" s="145"/>
      <c r="DN395" s="145"/>
      <c r="DO395" s="145"/>
      <c r="DP395" s="158"/>
      <c r="DQ395" s="145"/>
      <c r="DR395" s="145"/>
      <c r="DS395" s="145"/>
      <c r="DT395" s="145"/>
      <c r="DU395" s="145">
        <f>SUM(DV395:EE395)</f>
      </c>
      <c r="DV395" s="145"/>
      <c r="DW395" s="145"/>
      <c r="DX395" s="145"/>
      <c r="DY395" s="145"/>
      <c r="DZ395" s="146"/>
      <c r="EA395" s="158"/>
      <c r="EB395" s="146"/>
      <c r="EC395" s="145"/>
      <c r="ED395" s="145"/>
      <c r="EE395" s="155"/>
      <c r="EF395" s="145">
        <f>SUM(EG395:EH395)</f>
      </c>
      <c r="EG395" s="145"/>
      <c r="EH395" s="146"/>
      <c r="EI395" s="159" cm="1">
        <f t="array" ref="EI395">ROW()-ROW(Run[#Headers])</f>
        <v>389</v>
      </c>
    </row>
    <row r="396" spans="2:139" s="79" customFormat="1" ht="11.25" x14ac:dyDescent="0.2">
      <c r="B396" s="146"/>
      <c r="C396" s="155"/>
      <c r="D396" s="145"/>
      <c r="E396" s="152">
        <f>SUM(F396:AE396)</f>
      </c>
      <c r="F396" s="146"/>
      <c r="G396" s="146"/>
      <c r="H396" s="146"/>
      <c r="I396" s="146"/>
      <c r="J396" s="146"/>
      <c r="K396" s="156"/>
      <c r="L396" s="146"/>
      <c r="M396" s="146"/>
      <c r="N396" s="146"/>
      <c r="O396" s="146"/>
      <c r="P396" s="156"/>
      <c r="Q396" s="146"/>
      <c r="R396" s="146"/>
      <c r="S396" s="146"/>
      <c r="T396" s="156"/>
      <c r="U396" s="146"/>
      <c r="V396" s="146"/>
      <c r="W396" s="146"/>
      <c r="X396" s="146"/>
      <c r="Y396" s="146"/>
      <c r="Z396" s="146"/>
      <c r="AA396" s="146"/>
      <c r="AB396" s="146"/>
      <c r="AC396" s="157"/>
      <c r="AD396" s="157"/>
      <c r="AE396" s="157"/>
      <c r="AF396" s="158">
        <f>SUM(AG396:AJ396)</f>
      </c>
      <c r="AG396" s="146"/>
      <c r="AH396" s="145"/>
      <c r="AI396" s="145"/>
      <c r="AJ396" s="145"/>
      <c r="AK396" s="158">
        <f>SUM(AL396:AW396)</f>
      </c>
      <c r="AL396" s="146"/>
      <c r="AM396" s="145"/>
      <c r="AN396" s="145"/>
      <c r="AO396" s="145"/>
      <c r="AP396" s="145"/>
      <c r="AQ396" s="145"/>
      <c r="AR396" s="145"/>
      <c r="AS396" s="145"/>
      <c r="AT396" s="145"/>
      <c r="AU396" s="145"/>
      <c r="AV396" s="145"/>
      <c r="AW396" s="158"/>
      <c r="AX396" s="145"/>
      <c r="AY396" s="145"/>
      <c r="AZ396" s="145"/>
      <c r="BA396" s="158"/>
      <c r="BB396" s="145"/>
      <c r="BC396" s="145"/>
      <c r="BD396" s="158"/>
      <c r="BE396" s="146"/>
      <c r="BF396" s="145"/>
      <c r="BG396" s="145"/>
      <c r="BH396" s="158">
        <f>SUM(BI396:BK396)</f>
      </c>
      <c r="BI396" s="145"/>
      <c r="BJ396" s="145"/>
      <c r="BK396" s="145"/>
      <c r="BL396" s="145">
        <f>SUM(BM396:BR396)</f>
      </c>
      <c r="BM396" s="145"/>
      <c r="BN396" s="145"/>
      <c r="BO396" s="158"/>
      <c r="BP396" s="145"/>
      <c r="BQ396" s="145"/>
      <c r="BR396" s="145"/>
      <c r="BS396" s="145"/>
      <c r="BT396" s="145"/>
      <c r="BU396" s="158"/>
      <c r="BV396" s="146"/>
      <c r="BW396" s="145"/>
      <c r="BX396" s="145"/>
      <c r="BY396" s="158">
        <f>SUM(BZ396:CB396)</f>
      </c>
      <c r="BZ396" s="146"/>
      <c r="CA396" s="145"/>
      <c r="CB396" s="145"/>
      <c r="CC396" s="145">
        <f>SUM(CD396:CH396)</f>
      </c>
      <c r="CD396" s="145"/>
      <c r="CE396" s="158"/>
      <c r="CF396" s="145"/>
      <c r="CG396" s="145"/>
      <c r="CH396" s="145"/>
      <c r="CI396" s="158"/>
      <c r="CJ396" s="145"/>
      <c r="CK396" s="145"/>
      <c r="CL396" s="145"/>
      <c r="CM396" s="145"/>
      <c r="CN396" s="145"/>
      <c r="CO396" s="145"/>
      <c r="CP396" s="145"/>
      <c r="CQ396" s="158"/>
      <c r="CR396" s="146"/>
      <c r="CS396" s="158"/>
      <c r="CT396" s="158"/>
      <c r="CU396" s="158">
        <f>SUM(CV396:CV396)</f>
      </c>
      <c r="CV396" s="146"/>
      <c r="CW396" s="145"/>
      <c r="CX396" s="145"/>
      <c r="CY396" s="145">
        <f>SUM(CZ396:DE396)</f>
      </c>
      <c r="CZ396" s="145"/>
      <c r="DA396" s="146"/>
      <c r="DB396" s="146"/>
      <c r="DC396" s="153"/>
      <c r="DD396" s="153"/>
      <c r="DE396" s="145"/>
      <c r="DF396" s="145"/>
      <c r="DG396" s="145"/>
      <c r="DH396" s="158"/>
      <c r="DI396" s="145"/>
      <c r="DJ396" s="158"/>
      <c r="DK396" s="145"/>
      <c r="DL396" s="158"/>
      <c r="DM396" s="145"/>
      <c r="DN396" s="145"/>
      <c r="DO396" s="145"/>
      <c r="DP396" s="158"/>
      <c r="DQ396" s="145"/>
      <c r="DR396" s="145"/>
      <c r="DS396" s="145"/>
      <c r="DT396" s="145"/>
      <c r="DU396" s="145">
        <f>SUM(DV396:EE396)</f>
      </c>
      <c r="DV396" s="145"/>
      <c r="DW396" s="145"/>
      <c r="DX396" s="145"/>
      <c r="DY396" s="145"/>
      <c r="DZ396" s="146"/>
      <c r="EA396" s="158"/>
      <c r="EB396" s="146"/>
      <c r="EC396" s="145"/>
      <c r="ED396" s="145"/>
      <c r="EE396" s="155"/>
      <c r="EF396" s="145">
        <f>SUM(EG396:EH396)</f>
      </c>
      <c r="EG396" s="145"/>
      <c r="EH396" s="146"/>
      <c r="EI396" s="159" cm="1">
        <f t="array" ref="EI396">ROW()-ROW(Run[#Headers])</f>
        <v>390</v>
      </c>
    </row>
    <row r="397" spans="2:139" s="79" customFormat="1" ht="11.25" x14ac:dyDescent="0.2">
      <c r="B397" s="146"/>
      <c r="C397" s="155"/>
      <c r="D397" s="145"/>
      <c r="E397" s="152">
        <f>SUM(F397:AE397)</f>
      </c>
      <c r="F397" s="146"/>
      <c r="G397" s="146"/>
      <c r="H397" s="146"/>
      <c r="I397" s="146"/>
      <c r="J397" s="146"/>
      <c r="K397" s="156"/>
      <c r="L397" s="146"/>
      <c r="M397" s="146"/>
      <c r="N397" s="146"/>
      <c r="O397" s="146"/>
      <c r="P397" s="156"/>
      <c r="Q397" s="146"/>
      <c r="R397" s="146"/>
      <c r="S397" s="146"/>
      <c r="T397" s="156"/>
      <c r="U397" s="146"/>
      <c r="V397" s="146"/>
      <c r="W397" s="146"/>
      <c r="X397" s="146"/>
      <c r="Y397" s="146"/>
      <c r="Z397" s="146"/>
      <c r="AA397" s="146"/>
      <c r="AB397" s="146"/>
      <c r="AC397" s="157"/>
      <c r="AD397" s="157"/>
      <c r="AE397" s="157"/>
      <c r="AF397" s="158">
        <f>SUM(AG397:AJ397)</f>
      </c>
      <c r="AG397" s="146"/>
      <c r="AH397" s="145"/>
      <c r="AI397" s="145"/>
      <c r="AJ397" s="145"/>
      <c r="AK397" s="158">
        <f>SUM(AL397:AW397)</f>
      </c>
      <c r="AL397" s="146"/>
      <c r="AM397" s="145"/>
      <c r="AN397" s="145"/>
      <c r="AO397" s="145"/>
      <c r="AP397" s="145"/>
      <c r="AQ397" s="145"/>
      <c r="AR397" s="145"/>
      <c r="AS397" s="145"/>
      <c r="AT397" s="145"/>
      <c r="AU397" s="145"/>
      <c r="AV397" s="145"/>
      <c r="AW397" s="158"/>
      <c r="AX397" s="145"/>
      <c r="AY397" s="145"/>
      <c r="AZ397" s="145"/>
      <c r="BA397" s="158"/>
      <c r="BB397" s="145"/>
      <c r="BC397" s="145"/>
      <c r="BD397" s="158"/>
      <c r="BE397" s="146"/>
      <c r="BF397" s="145"/>
      <c r="BG397" s="145"/>
      <c r="BH397" s="158">
        <f>SUM(BI397:BK397)</f>
      </c>
      <c r="BI397" s="145"/>
      <c r="BJ397" s="145"/>
      <c r="BK397" s="145"/>
      <c r="BL397" s="145">
        <f>SUM(BM397:BR397)</f>
      </c>
      <c r="BM397" s="145"/>
      <c r="BN397" s="145"/>
      <c r="BO397" s="158"/>
      <c r="BP397" s="145"/>
      <c r="BQ397" s="145"/>
      <c r="BR397" s="145"/>
      <c r="BS397" s="145"/>
      <c r="BT397" s="145"/>
      <c r="BU397" s="158"/>
      <c r="BV397" s="146"/>
      <c r="BW397" s="145"/>
      <c r="BX397" s="145"/>
      <c r="BY397" s="158">
        <f>SUM(BZ397:CB397)</f>
      </c>
      <c r="BZ397" s="146"/>
      <c r="CA397" s="145"/>
      <c r="CB397" s="145"/>
      <c r="CC397" s="145">
        <f>SUM(CD397:CH397)</f>
      </c>
      <c r="CD397" s="145"/>
      <c r="CE397" s="158"/>
      <c r="CF397" s="145"/>
      <c r="CG397" s="145"/>
      <c r="CH397" s="145"/>
      <c r="CI397" s="158"/>
      <c r="CJ397" s="145"/>
      <c r="CK397" s="145"/>
      <c r="CL397" s="145"/>
      <c r="CM397" s="145"/>
      <c r="CN397" s="145"/>
      <c r="CO397" s="145"/>
      <c r="CP397" s="145"/>
      <c r="CQ397" s="158"/>
      <c r="CR397" s="146"/>
      <c r="CS397" s="158"/>
      <c r="CT397" s="158"/>
      <c r="CU397" s="158">
        <f>SUM(CV397:CV397)</f>
      </c>
      <c r="CV397" s="146"/>
      <c r="CW397" s="145"/>
      <c r="CX397" s="145"/>
      <c r="CY397" s="145">
        <f>SUM(CZ397:DE397)</f>
      </c>
      <c r="CZ397" s="145"/>
      <c r="DA397" s="146"/>
      <c r="DB397" s="146"/>
      <c r="DC397" s="153"/>
      <c r="DD397" s="153"/>
      <c r="DE397" s="145"/>
      <c r="DF397" s="145"/>
      <c r="DG397" s="145"/>
      <c r="DH397" s="158"/>
      <c r="DI397" s="145"/>
      <c r="DJ397" s="158"/>
      <c r="DK397" s="145"/>
      <c r="DL397" s="158"/>
      <c r="DM397" s="145"/>
      <c r="DN397" s="145"/>
      <c r="DO397" s="145"/>
      <c r="DP397" s="158"/>
      <c r="DQ397" s="145"/>
      <c r="DR397" s="145"/>
      <c r="DS397" s="145"/>
      <c r="DT397" s="145"/>
      <c r="DU397" s="145">
        <f>SUM(DV397:EE397)</f>
      </c>
      <c r="DV397" s="145"/>
      <c r="DW397" s="145"/>
      <c r="DX397" s="145"/>
      <c r="DY397" s="145"/>
      <c r="DZ397" s="146"/>
      <c r="EA397" s="158"/>
      <c r="EB397" s="146"/>
      <c r="EC397" s="145"/>
      <c r="ED397" s="145"/>
      <c r="EE397" s="155"/>
      <c r="EF397" s="145">
        <f>SUM(EG397:EH397)</f>
      </c>
      <c r="EG397" s="145"/>
      <c r="EH397" s="146"/>
      <c r="EI397" s="159" cm="1">
        <f t="array" ref="EI397">ROW()-ROW(Run[#Headers])</f>
        <v>391</v>
      </c>
    </row>
    <row r="398" spans="2:139" s="79" customFormat="1" ht="11.25" x14ac:dyDescent="0.2">
      <c r="B398" s="146"/>
      <c r="C398" s="155"/>
      <c r="D398" s="145"/>
      <c r="E398" s="152">
        <f>SUM(F398:AE398)</f>
      </c>
      <c r="F398" s="146"/>
      <c r="G398" s="146"/>
      <c r="H398" s="146"/>
      <c r="I398" s="146"/>
      <c r="J398" s="146"/>
      <c r="K398" s="156"/>
      <c r="L398" s="146"/>
      <c r="M398" s="146"/>
      <c r="N398" s="146"/>
      <c r="O398" s="146"/>
      <c r="P398" s="156"/>
      <c r="Q398" s="146"/>
      <c r="R398" s="146"/>
      <c r="S398" s="146"/>
      <c r="T398" s="156"/>
      <c r="U398" s="146"/>
      <c r="V398" s="146"/>
      <c r="W398" s="146"/>
      <c r="X398" s="146"/>
      <c r="Y398" s="146"/>
      <c r="Z398" s="146"/>
      <c r="AA398" s="146"/>
      <c r="AB398" s="146"/>
      <c r="AC398" s="157"/>
      <c r="AD398" s="157"/>
      <c r="AE398" s="157"/>
      <c r="AF398" s="158">
        <f>SUM(AG398:AJ398)</f>
      </c>
      <c r="AG398" s="146"/>
      <c r="AH398" s="145"/>
      <c r="AI398" s="145"/>
      <c r="AJ398" s="145"/>
      <c r="AK398" s="158">
        <f>SUM(AL398:AW398)</f>
      </c>
      <c r="AL398" s="146"/>
      <c r="AM398" s="145"/>
      <c r="AN398" s="145"/>
      <c r="AO398" s="145"/>
      <c r="AP398" s="145"/>
      <c r="AQ398" s="145"/>
      <c r="AR398" s="145"/>
      <c r="AS398" s="145"/>
      <c r="AT398" s="145"/>
      <c r="AU398" s="145"/>
      <c r="AV398" s="145"/>
      <c r="AW398" s="158"/>
      <c r="AX398" s="145"/>
      <c r="AY398" s="145"/>
      <c r="AZ398" s="145"/>
      <c r="BA398" s="158"/>
      <c r="BB398" s="145"/>
      <c r="BC398" s="145"/>
      <c r="BD398" s="158"/>
      <c r="BE398" s="146"/>
      <c r="BF398" s="145"/>
      <c r="BG398" s="145"/>
      <c r="BH398" s="158">
        <f>SUM(BI398:BK398)</f>
      </c>
      <c r="BI398" s="145"/>
      <c r="BJ398" s="145"/>
      <c r="BK398" s="145"/>
      <c r="BL398" s="145">
        <f>SUM(BM398:BR398)</f>
      </c>
      <c r="BM398" s="145"/>
      <c r="BN398" s="145"/>
      <c r="BO398" s="158"/>
      <c r="BP398" s="145"/>
      <c r="BQ398" s="145"/>
      <c r="BR398" s="145"/>
      <c r="BS398" s="145"/>
      <c r="BT398" s="145"/>
      <c r="BU398" s="158"/>
      <c r="BV398" s="146"/>
      <c r="BW398" s="145"/>
      <c r="BX398" s="145"/>
      <c r="BY398" s="158">
        <f>SUM(BZ398:CB398)</f>
      </c>
      <c r="BZ398" s="146"/>
      <c r="CA398" s="145"/>
      <c r="CB398" s="145"/>
      <c r="CC398" s="145">
        <f>SUM(CD398:CH398)</f>
      </c>
      <c r="CD398" s="145"/>
      <c r="CE398" s="158"/>
      <c r="CF398" s="145"/>
      <c r="CG398" s="145"/>
      <c r="CH398" s="145"/>
      <c r="CI398" s="158"/>
      <c r="CJ398" s="145"/>
      <c r="CK398" s="145"/>
      <c r="CL398" s="145"/>
      <c r="CM398" s="145"/>
      <c r="CN398" s="145"/>
      <c r="CO398" s="145"/>
      <c r="CP398" s="145"/>
      <c r="CQ398" s="158"/>
      <c r="CR398" s="146"/>
      <c r="CS398" s="158"/>
      <c r="CT398" s="158"/>
      <c r="CU398" s="158">
        <f>SUM(CV398:CV398)</f>
      </c>
      <c r="CV398" s="146"/>
      <c r="CW398" s="145"/>
      <c r="CX398" s="145"/>
      <c r="CY398" s="145">
        <f>SUM(CZ398:DE398)</f>
      </c>
      <c r="CZ398" s="145"/>
      <c r="DA398" s="146"/>
      <c r="DB398" s="146"/>
      <c r="DC398" s="153"/>
      <c r="DD398" s="153"/>
      <c r="DE398" s="145"/>
      <c r="DF398" s="145"/>
      <c r="DG398" s="145"/>
      <c r="DH398" s="158"/>
      <c r="DI398" s="145"/>
      <c r="DJ398" s="158"/>
      <c r="DK398" s="145"/>
      <c r="DL398" s="158"/>
      <c r="DM398" s="145"/>
      <c r="DN398" s="145"/>
      <c r="DO398" s="145"/>
      <c r="DP398" s="158"/>
      <c r="DQ398" s="145"/>
      <c r="DR398" s="145"/>
      <c r="DS398" s="145"/>
      <c r="DT398" s="145"/>
      <c r="DU398" s="145">
        <f>SUM(DV398:EE398)</f>
      </c>
      <c r="DV398" s="145"/>
      <c r="DW398" s="145"/>
      <c r="DX398" s="145"/>
      <c r="DY398" s="145"/>
      <c r="DZ398" s="146"/>
      <c r="EA398" s="158"/>
      <c r="EB398" s="146"/>
      <c r="EC398" s="145"/>
      <c r="ED398" s="145"/>
      <c r="EE398" s="155"/>
      <c r="EF398" s="145">
        <f>SUM(EG398:EH398)</f>
      </c>
      <c r="EG398" s="145"/>
      <c r="EH398" s="146"/>
      <c r="EI398" s="159" cm="1">
        <f t="array" ref="EI398">ROW()-ROW(Run[#Headers])</f>
        <v>392</v>
      </c>
    </row>
    <row r="399" spans="2:139" s="79" customFormat="1" ht="11.25" x14ac:dyDescent="0.2">
      <c r="B399" s="146"/>
      <c r="C399" s="155"/>
      <c r="D399" s="145"/>
      <c r="E399" s="152">
        <f>SUM(F399:AE399)</f>
      </c>
      <c r="F399" s="146"/>
      <c r="G399" s="146"/>
      <c r="H399" s="146"/>
      <c r="I399" s="146"/>
      <c r="J399" s="146"/>
      <c r="K399" s="156"/>
      <c r="L399" s="146"/>
      <c r="M399" s="146"/>
      <c r="N399" s="146"/>
      <c r="O399" s="146"/>
      <c r="P399" s="156"/>
      <c r="Q399" s="146"/>
      <c r="R399" s="146"/>
      <c r="S399" s="146"/>
      <c r="T399" s="156"/>
      <c r="U399" s="146"/>
      <c r="V399" s="146"/>
      <c r="W399" s="146"/>
      <c r="X399" s="146"/>
      <c r="Y399" s="146"/>
      <c r="Z399" s="146"/>
      <c r="AA399" s="146"/>
      <c r="AB399" s="146"/>
      <c r="AC399" s="157"/>
      <c r="AD399" s="157"/>
      <c r="AE399" s="157"/>
      <c r="AF399" s="158">
        <f>SUM(AG399:AJ399)</f>
      </c>
      <c r="AG399" s="146"/>
      <c r="AH399" s="145"/>
      <c r="AI399" s="145"/>
      <c r="AJ399" s="145"/>
      <c r="AK399" s="158">
        <f>SUM(AL399:AW399)</f>
      </c>
      <c r="AL399" s="146"/>
      <c r="AM399" s="145"/>
      <c r="AN399" s="145"/>
      <c r="AO399" s="145"/>
      <c r="AP399" s="145"/>
      <c r="AQ399" s="145"/>
      <c r="AR399" s="145"/>
      <c r="AS399" s="145"/>
      <c r="AT399" s="145"/>
      <c r="AU399" s="145"/>
      <c r="AV399" s="145"/>
      <c r="AW399" s="158"/>
      <c r="AX399" s="145"/>
      <c r="AY399" s="145"/>
      <c r="AZ399" s="145"/>
      <c r="BA399" s="158"/>
      <c r="BB399" s="145"/>
      <c r="BC399" s="145"/>
      <c r="BD399" s="158"/>
      <c r="BE399" s="146"/>
      <c r="BF399" s="145"/>
      <c r="BG399" s="145"/>
      <c r="BH399" s="158">
        <f>SUM(BI399:BK399)</f>
      </c>
      <c r="BI399" s="145"/>
      <c r="BJ399" s="145"/>
      <c r="BK399" s="145"/>
      <c r="BL399" s="145">
        <f>SUM(BM399:BR399)</f>
      </c>
      <c r="BM399" s="145"/>
      <c r="BN399" s="145"/>
      <c r="BO399" s="158"/>
      <c r="BP399" s="145"/>
      <c r="BQ399" s="145"/>
      <c r="BR399" s="145"/>
      <c r="BS399" s="145"/>
      <c r="BT399" s="145"/>
      <c r="BU399" s="158"/>
      <c r="BV399" s="146"/>
      <c r="BW399" s="145"/>
      <c r="BX399" s="145"/>
      <c r="BY399" s="158">
        <f>SUM(BZ399:CB399)</f>
      </c>
      <c r="BZ399" s="146"/>
      <c r="CA399" s="145"/>
      <c r="CB399" s="145"/>
      <c r="CC399" s="145">
        <f>SUM(CD399:CH399)</f>
      </c>
      <c r="CD399" s="145"/>
      <c r="CE399" s="158"/>
      <c r="CF399" s="145"/>
      <c r="CG399" s="145"/>
      <c r="CH399" s="145"/>
      <c r="CI399" s="158"/>
      <c r="CJ399" s="145"/>
      <c r="CK399" s="145"/>
      <c r="CL399" s="145"/>
      <c r="CM399" s="145"/>
      <c r="CN399" s="145"/>
      <c r="CO399" s="145"/>
      <c r="CP399" s="145"/>
      <c r="CQ399" s="158"/>
      <c r="CR399" s="146"/>
      <c r="CS399" s="158"/>
      <c r="CT399" s="158"/>
      <c r="CU399" s="158">
        <f>SUM(CV399:CV399)</f>
      </c>
      <c r="CV399" s="146"/>
      <c r="CW399" s="145"/>
      <c r="CX399" s="145"/>
      <c r="CY399" s="145">
        <f>SUM(CZ399:DE399)</f>
      </c>
      <c r="CZ399" s="145"/>
      <c r="DA399" s="146"/>
      <c r="DB399" s="146"/>
      <c r="DC399" s="153"/>
      <c r="DD399" s="153"/>
      <c r="DE399" s="145"/>
      <c r="DF399" s="145"/>
      <c r="DG399" s="145"/>
      <c r="DH399" s="158"/>
      <c r="DI399" s="145"/>
      <c r="DJ399" s="158"/>
      <c r="DK399" s="145"/>
      <c r="DL399" s="158"/>
      <c r="DM399" s="145"/>
      <c r="DN399" s="145"/>
      <c r="DO399" s="145"/>
      <c r="DP399" s="158"/>
      <c r="DQ399" s="145"/>
      <c r="DR399" s="145"/>
      <c r="DS399" s="145"/>
      <c r="DT399" s="145"/>
      <c r="DU399" s="145">
        <f>SUM(DV399:EE399)</f>
      </c>
      <c r="DV399" s="145"/>
      <c r="DW399" s="145"/>
      <c r="DX399" s="145"/>
      <c r="DY399" s="145"/>
      <c r="DZ399" s="146"/>
      <c r="EA399" s="158"/>
      <c r="EB399" s="146"/>
      <c r="EC399" s="145"/>
      <c r="ED399" s="145"/>
      <c r="EE399" s="155"/>
      <c r="EF399" s="145">
        <f>SUM(EG399:EH399)</f>
      </c>
      <c r="EG399" s="145"/>
      <c r="EH399" s="146"/>
      <c r="EI399" s="159" cm="1">
        <f t="array" ref="EI399">ROW()-ROW(Run[#Headers])</f>
        <v>393</v>
      </c>
    </row>
    <row r="400" spans="2:139" s="79" customFormat="1" ht="11.25" x14ac:dyDescent="0.2">
      <c r="B400" s="146"/>
      <c r="C400" s="155"/>
      <c r="D400" s="145"/>
      <c r="E400" s="152">
        <f>SUM(F400:AE400)</f>
      </c>
      <c r="F400" s="146"/>
      <c r="G400" s="146"/>
      <c r="H400" s="146"/>
      <c r="I400" s="146"/>
      <c r="J400" s="146"/>
      <c r="K400" s="156"/>
      <c r="L400" s="146"/>
      <c r="M400" s="146"/>
      <c r="N400" s="146"/>
      <c r="O400" s="146"/>
      <c r="P400" s="156"/>
      <c r="Q400" s="146"/>
      <c r="R400" s="146"/>
      <c r="S400" s="146"/>
      <c r="T400" s="156"/>
      <c r="U400" s="146"/>
      <c r="V400" s="146"/>
      <c r="W400" s="146"/>
      <c r="X400" s="146"/>
      <c r="Y400" s="146"/>
      <c r="Z400" s="146"/>
      <c r="AA400" s="146"/>
      <c r="AB400" s="146"/>
      <c r="AC400" s="157"/>
      <c r="AD400" s="157"/>
      <c r="AE400" s="157"/>
      <c r="AF400" s="158">
        <f>SUM(AG400:AJ400)</f>
      </c>
      <c r="AG400" s="146"/>
      <c r="AH400" s="145"/>
      <c r="AI400" s="145"/>
      <c r="AJ400" s="145"/>
      <c r="AK400" s="158">
        <f>SUM(AL400:AW400)</f>
      </c>
      <c r="AL400" s="146"/>
      <c r="AM400" s="145"/>
      <c r="AN400" s="145"/>
      <c r="AO400" s="145"/>
      <c r="AP400" s="145"/>
      <c r="AQ400" s="145"/>
      <c r="AR400" s="145"/>
      <c r="AS400" s="145"/>
      <c r="AT400" s="145"/>
      <c r="AU400" s="145"/>
      <c r="AV400" s="145"/>
      <c r="AW400" s="158"/>
      <c r="AX400" s="145"/>
      <c r="AY400" s="145"/>
      <c r="AZ400" s="145"/>
      <c r="BA400" s="158"/>
      <c r="BB400" s="145"/>
      <c r="BC400" s="145"/>
      <c r="BD400" s="158"/>
      <c r="BE400" s="146"/>
      <c r="BF400" s="145"/>
      <c r="BG400" s="145"/>
      <c r="BH400" s="158">
        <f>SUM(BI400:BK400)</f>
      </c>
      <c r="BI400" s="145"/>
      <c r="BJ400" s="145"/>
      <c r="BK400" s="145"/>
      <c r="BL400" s="145">
        <f>SUM(BM400:BR400)</f>
      </c>
      <c r="BM400" s="145"/>
      <c r="BN400" s="145"/>
      <c r="BO400" s="158"/>
      <c r="BP400" s="145"/>
      <c r="BQ400" s="145"/>
      <c r="BR400" s="145"/>
      <c r="BS400" s="145"/>
      <c r="BT400" s="145"/>
      <c r="BU400" s="158"/>
      <c r="BV400" s="146"/>
      <c r="BW400" s="145"/>
      <c r="BX400" s="145"/>
      <c r="BY400" s="158">
        <f>SUM(BZ400:CB400)</f>
      </c>
      <c r="BZ400" s="146"/>
      <c r="CA400" s="145"/>
      <c r="CB400" s="145"/>
      <c r="CC400" s="145">
        <f>SUM(CD400:CH400)</f>
      </c>
      <c r="CD400" s="145"/>
      <c r="CE400" s="158"/>
      <c r="CF400" s="145"/>
      <c r="CG400" s="145"/>
      <c r="CH400" s="145"/>
      <c r="CI400" s="158"/>
      <c r="CJ400" s="145"/>
      <c r="CK400" s="145"/>
      <c r="CL400" s="145"/>
      <c r="CM400" s="145"/>
      <c r="CN400" s="145"/>
      <c r="CO400" s="145"/>
      <c r="CP400" s="145"/>
      <c r="CQ400" s="158"/>
      <c r="CR400" s="146"/>
      <c r="CS400" s="158"/>
      <c r="CT400" s="158"/>
      <c r="CU400" s="158">
        <f>SUM(CV400:CV400)</f>
      </c>
      <c r="CV400" s="146"/>
      <c r="CW400" s="145"/>
      <c r="CX400" s="145"/>
      <c r="CY400" s="145">
        <f>SUM(CZ400:DE400)</f>
      </c>
      <c r="CZ400" s="145"/>
      <c r="DA400" s="146"/>
      <c r="DB400" s="146"/>
      <c r="DC400" s="153"/>
      <c r="DD400" s="153"/>
      <c r="DE400" s="145"/>
      <c r="DF400" s="145"/>
      <c r="DG400" s="145"/>
      <c r="DH400" s="158"/>
      <c r="DI400" s="145"/>
      <c r="DJ400" s="158"/>
      <c r="DK400" s="145"/>
      <c r="DL400" s="158"/>
      <c r="DM400" s="145"/>
      <c r="DN400" s="145"/>
      <c r="DO400" s="145"/>
      <c r="DP400" s="158"/>
      <c r="DQ400" s="145"/>
      <c r="DR400" s="145"/>
      <c r="DS400" s="145"/>
      <c r="DT400" s="145"/>
      <c r="DU400" s="145">
        <f>SUM(DV400:EE400)</f>
      </c>
      <c r="DV400" s="145"/>
      <c r="DW400" s="145"/>
      <c r="DX400" s="145"/>
      <c r="DY400" s="145"/>
      <c r="DZ400" s="146"/>
      <c r="EA400" s="158"/>
      <c r="EB400" s="146"/>
      <c r="EC400" s="145"/>
      <c r="ED400" s="145"/>
      <c r="EE400" s="155"/>
      <c r="EF400" s="145">
        <f>SUM(EG400:EH400)</f>
      </c>
      <c r="EG400" s="145"/>
      <c r="EH400" s="146"/>
      <c r="EI400" s="159" cm="1">
        <f t="array" ref="EI400">ROW()-ROW(Run[#Headers])</f>
        <v>394</v>
      </c>
    </row>
  </sheetData>
  <sheetProtection insertRows="0" selectLockedCells="1" autoFilter="0"/>
  <phoneticPr fontId="7" type="noConversion"/>
  <conditionalFormatting sqref="B67:CR69 B61:B66 D61:CR66 B73:CR77 B70:B72 D70:CR72 CU7:EH400 B60:CR60 B57:B59 D57:CR59 B7:CR56">
    <cfRule type="expression" dxfId="451" priority="64" stopIfTrue="1">
      <formula>AND(ISNUMBER(B7),COLUMN()&lt;COLUMN($E$1),ROW()&gt;6,COLUMN()&lt;&gt;COLUMN($DD$1),COLUMN()&lt;&gt;COLUMN($DC$1))</formula>
    </cfRule>
    <cfRule type="expression" dxfId="450" priority="65">
      <formula>AND(ISNUMBER(B7),ROW()&gt;6,COLUMN()&lt;&gt;COLUMN($DD$1),COLUMN()&lt;&gt;COLUMN($DC$1))</formula>
    </cfRule>
    <cfRule type="expression" dxfId="449" priority="66">
      <formula>AND(_xlfn.ISFORMULA(B7),ROW()&gt;6)</formula>
    </cfRule>
  </conditionalFormatting>
  <conditionalFormatting sqref="CS7:CS400">
    <cfRule type="expression" dxfId="448" priority="7" stopIfTrue="1">
      <formula>AND(ISNUMBER(CS7),COLUMN()&lt;COLUMN($Q$1),ROW()&gt;6,COLUMN()&lt;&gt;COLUMN($DP$1),COLUMN()&lt;&gt;COLUMN($DO$1))</formula>
    </cfRule>
    <cfRule type="expression" dxfId="447" priority="8">
      <formula>AND(ISNUMBER(CS7),ROW()&gt;6,COLUMN()&lt;&gt;COLUMN($DP$1),COLUMN()&lt;&gt;COLUMN($DO$1))</formula>
    </cfRule>
    <cfRule type="expression" dxfId="446" priority="9">
      <formula>AND(_xlfn.ISFORMULA(CS7),ROW()&gt;6)</formula>
    </cfRule>
  </conditionalFormatting>
  <conditionalFormatting sqref="C54">
    <cfRule type="expression" dxfId="445" priority="4" stopIfTrue="1">
      <formula>AND(ISNUMBER(C54),COLUMN()&lt;COLUMN($Q$1),ROW()&gt;6,COLUMN()&lt;&gt;COLUMN($DT$1),COLUMN()&lt;&gt;COLUMN($DS$1))</formula>
    </cfRule>
    <cfRule type="expression" dxfId="444" priority="5">
      <formula>AND(ISNUMBER(C54),ROW()&gt;6,COLUMN()&lt;&gt;COLUMN($DT$1),COLUMN()&lt;&gt;COLUMN($DS$1))</formula>
    </cfRule>
    <cfRule type="expression" dxfId="443" priority="6">
      <formula>AND(_xlfn.ISFORMULA(C54),ROW()&gt;6)</formula>
    </cfRule>
  </conditionalFormatting>
  <conditionalFormatting sqref="C57:C59">
    <cfRule type="expression" dxfId="442" priority="1" stopIfTrue="1">
      <formula>AND(ISNUMBER(C57),COLUMN()&lt;COLUMN($Q$1),ROW()&gt;6,COLUMN()&lt;&gt;COLUMN($DT$1),COLUMN()&lt;&gt;COLUMN($DS$1))</formula>
    </cfRule>
    <cfRule type="expression" dxfId="441" priority="2">
      <formula>AND(ISNUMBER(C57),ROW()&gt;6,COLUMN()&lt;&gt;COLUMN($DT$1),COLUMN()&lt;&gt;COLUMN($DS$1))</formula>
    </cfRule>
    <cfRule type="expression" dxfId="440" priority="3">
      <formula>AND(_xlfn.ISFORMULA(C57),ROW()&gt;6)</formula>
    </cfRule>
  </conditionalFormatting>
  <pageMargins left="0.70866141732283472" right="0.51181102362204722" top="0.94488188976377963" bottom="0.59055118110236227" header="0.31496062992125984" footer="0.27559055118110237"/>
  <pageSetup paperSize="9" orientation="landscape" r:id="rId1"/>
  <headerFooter scaleWithDoc="0">
    <oddHeader xml:space="preserve">&amp;L&amp;9 </oddHeader>
  </headerFooter>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44CF7-7E40-4CA2-80A9-EF48F46C90F7}">
  <sheetPr>
    <tabColor theme="5" tint="-0.499984740745262"/>
    <outlinePr summaryBelow="0" summaryRight="0"/>
  </sheetPr>
  <dimension ref="B1:ED7"/>
  <sheetViews>
    <sheetView zoomScale="110" zoomScaleNormal="110" zoomScalePageLayoutView="85" workbookViewId="0">
      <selection activeCell="B4" sqref="B4"/>
    </sheetView>
  </sheetViews>
  <sheetFormatPr baseColWidth="10" defaultColWidth="9" defaultRowHeight="14.25" outlineLevelCol="2" x14ac:dyDescent="0.2"/>
  <cols>
    <col min="1" max="1" customWidth="true" style="6" width="2.375" collapsed="false"/>
    <col min="2" max="2" customWidth="true" style="6" width="15.0" collapsed="false"/>
    <col min="3" max="3" customWidth="true" style="6" width="23.125" collapsed="false"/>
    <col min="4" max="4" bestFit="true" customWidth="true" style="6" width="10.875" collapsed="false"/>
    <col min="5" max="6" customWidth="true" style="6" width="6.125" outlineLevel="1" collapsed="false"/>
    <col min="7" max="7" customWidth="true" style="7" width="6.625" outlineLevel="1" collapsed="false"/>
    <col min="8" max="8" customWidth="true" style="7" width="8.625" outlineLevel="1" collapsed="false"/>
    <col min="9" max="9" customWidth="true" style="7" width="7.125" outlineLevel="1" collapsed="false"/>
    <col min="10" max="10" customWidth="true" style="7" width="6.125" outlineLevel="1" collapsed="false"/>
    <col min="11" max="11" customWidth="true" style="6" width="6.375" outlineLevel="1" collapsed="false"/>
    <col min="12" max="12" customWidth="true" style="6" width="6.125" outlineLevel="1" collapsed="false"/>
    <col min="13" max="13" customWidth="true" style="6" width="10.125" outlineLevel="1" collapsed="false"/>
    <col min="14" max="14" customWidth="true" style="6" width="7.625" outlineLevel="1" collapsed="false"/>
    <col min="15" max="15" customWidth="true" style="6" width="8.625" outlineLevel="1" collapsed="false"/>
    <col min="16" max="17" customWidth="true" style="6" width="8.125" outlineLevel="1" collapsed="false"/>
    <col min="18" max="18" customWidth="true" style="6" width="8.375" outlineLevel="1" collapsed="false"/>
    <col min="19" max="19" customWidth="true" style="6" width="4.375" outlineLevel="1" collapsed="false"/>
    <col min="20" max="20" customWidth="true" style="6" width="6.125" outlineLevel="1" collapsed="false"/>
    <col min="21" max="21" customWidth="true" style="6" width="10.5" outlineLevel="1" collapsed="false"/>
    <col min="22" max="22" customWidth="true" style="6" width="7.125" outlineLevel="1" collapsed="false"/>
    <col min="23" max="23" customWidth="true" style="6" width="10.625" outlineLevel="1" collapsed="false"/>
    <col min="24" max="24" customWidth="true" style="6" width="6.125" outlineLevel="1" collapsed="false"/>
    <col min="25" max="25" customWidth="true" style="6" width="10.125" outlineLevel="1" collapsed="false"/>
    <col min="26" max="26" customWidth="true" style="6" width="8.625" outlineLevel="1" collapsed="false"/>
    <col min="27" max="27" customWidth="true" style="6" width="6.125" outlineLevel="1" collapsed="false"/>
    <col min="28" max="29" customWidth="true" style="6" width="7.125" outlineLevel="1" collapsed="false"/>
    <col min="30" max="30" customWidth="true" style="6" width="12.875" outlineLevel="1" collapsed="false"/>
    <col min="31" max="31" bestFit="true" customWidth="true" style="6" width="11.625" collapsed="true"/>
    <col min="32" max="35" customWidth="true" hidden="true" style="6" width="6.5" outlineLevel="1" collapsed="false"/>
    <col min="36" max="36" bestFit="true" customWidth="true" style="6" width="12.5" collapsed="true"/>
    <col min="37" max="48" customWidth="true" hidden="true" style="6" width="6.125" outlineLevel="1" collapsed="false"/>
    <col min="49" max="49" customWidth="true" style="6" width="18.125" collapsed="false"/>
    <col min="50" max="55" customWidth="true" style="6" width="6.125" outlineLevel="1" collapsed="false"/>
    <col min="56" max="56" bestFit="true" customWidth="true" style="6" width="17.0" collapsed="false"/>
    <col min="57" max="58" customWidth="true" style="6" width="6.875" outlineLevel="1" collapsed="false"/>
    <col min="59" max="59" bestFit="true" customWidth="true" style="6" width="10.875" collapsed="false"/>
    <col min="60" max="60" customWidth="true" style="6" width="10.875" outlineLevel="1" collapsed="false"/>
    <col min="61" max="61" customWidth="true" style="6" width="10.375" outlineLevel="1" collapsed="false"/>
    <col min="62" max="62" customWidth="true" style="6" width="11.5" outlineLevel="1" collapsed="false"/>
    <col min="63" max="63" bestFit="true" customWidth="true" style="6" width="10.875" collapsed="false"/>
    <col min="64" max="69" customWidth="true" style="6" width="6.625" outlineLevel="1" collapsed="false"/>
    <col min="70" max="70" customWidth="true" style="6" width="12.625" collapsed="false"/>
    <col min="71" max="74" customWidth="true" style="6" width="6.625" outlineLevel="1" collapsed="false"/>
    <col min="75" max="75" customWidth="true" style="6" width="7.0" outlineLevel="1" collapsed="false"/>
    <col min="76" max="76" customWidth="true" style="6" width="10.875" collapsed="false"/>
    <col min="77" max="79" customWidth="true" style="6" width="6.125" outlineLevel="1" collapsed="false"/>
    <col min="80" max="80" bestFit="true" customWidth="true" style="6" width="10.875" collapsed="false"/>
    <col min="81" max="85" customWidth="true" style="6" width="6.125" outlineLevel="1" collapsed="false"/>
    <col min="86" max="86" bestFit="true" customWidth="true" style="6" width="11.375" collapsed="false"/>
    <col min="87" max="88" customWidth="true" style="6" width="6.125" outlineLevel="1" collapsed="false"/>
    <col min="89" max="89" customWidth="true" style="6" width="7.0" outlineLevel="1" collapsed="false"/>
    <col min="90" max="90" bestFit="true" customWidth="true" style="6" width="10.875" collapsed="false"/>
    <col min="91" max="97" customWidth="true" style="6" width="6.375" outlineLevel="1" collapsed="false"/>
    <col min="98" max="98" bestFit="true" customWidth="true" style="6" width="15.625" collapsed="false"/>
    <col min="99" max="99" customWidth="true" style="6" width="9.125" outlineLevel="1" collapsed="false"/>
    <col min="100" max="100" customWidth="true" style="6" width="9.125" collapsed="false"/>
    <col min="101" max="101" customWidth="true" style="6" width="9.125" outlineLevel="1" collapsed="false"/>
    <col min="102" max="102" bestFit="true" customWidth="true" style="6" width="13.875" collapsed="false"/>
    <col min="103" max="103" customWidth="true" style="6" width="9.125" outlineLevel="1" collapsed="false"/>
    <col min="104" max="107" customWidth="true" style="6" width="5.625" outlineLevel="1" collapsed="false"/>
    <col min="108" max="108" customWidth="true" style="6" width="7.0" outlineLevel="1" collapsed="false"/>
    <col min="109" max="109" customWidth="true" style="6" width="9.125" outlineLevel="2" collapsed="false"/>
    <col min="110" max="111" customWidth="true" style="6" width="9.625" outlineLevel="2" collapsed="false"/>
    <col min="112" max="114" customWidth="true" style="6" width="9.125" outlineLevel="2" collapsed="false"/>
    <col min="115" max="115" bestFit="true" customWidth="true" style="6" width="15.0" collapsed="false"/>
    <col min="116" max="116" customWidth="true" style="6" width="9.125" outlineLevel="1" collapsed="false"/>
    <col min="117" max="117" bestFit="true" customWidth="true" style="6" width="13.0" collapsed="false"/>
    <col min="118" max="119" customWidth="true" style="6" width="9.125" outlineLevel="1" collapsed="false"/>
    <col min="120" max="120" bestFit="true" customWidth="true" style="6" width="13.0" collapsed="false"/>
    <col min="121" max="121" customWidth="true" style="6" width="8.875" outlineLevel="1" collapsed="false"/>
    <col min="122" max="122" customWidth="true" style="6" width="10.625" collapsed="false"/>
    <col min="123" max="123" customWidth="true" style="6" width="10.625" outlineLevel="2" collapsed="false"/>
    <col min="124" max="124" bestFit="true" customWidth="true" style="6" width="9.125" collapsed="false"/>
    <col min="125" max="125" customWidth="true" style="6" width="18.625" outlineLevel="1" collapsed="false"/>
    <col min="126" max="126" customWidth="true" style="6" width="11.0" outlineLevel="1" collapsed="false"/>
    <col min="127" max="127" customWidth="true" style="6" width="10.625" outlineLevel="1" collapsed="false"/>
    <col min="128" max="134" customWidth="true" style="6" width="9.0" outlineLevel="1" collapsed="false"/>
    <col min="135" max="16384" style="6" width="9.0" collapsed="false"/>
  </cols>
  <sheetData>
    <row r="1" spans="2:134" s="18" customFormat="1" ht="33.75" x14ac:dyDescent="0.2">
      <c r="B1" s="50"/>
      <c r="C1" s="19"/>
      <c r="D1" s="20" t="s">
        <v>1588</v>
      </c>
      <c r="J1" s="20"/>
      <c r="O1" s="20"/>
      <c r="S1" s="20"/>
      <c r="AE1" s="20" t="s">
        <v>1588</v>
      </c>
      <c r="AJ1" s="20" t="s">
        <v>1588</v>
      </c>
      <c r="AW1" s="20" t="s">
        <v>1588</v>
      </c>
      <c r="BD1" s="20" t="s">
        <v>1588</v>
      </c>
      <c r="BE1" s="20"/>
      <c r="BF1" s="20"/>
      <c r="BG1" s="20" t="s">
        <v>1588</v>
      </c>
      <c r="BH1" s="20"/>
      <c r="BI1" s="20"/>
      <c r="BJ1" s="20"/>
      <c r="BK1" s="20" t="s">
        <v>1588</v>
      </c>
      <c r="BL1" s="20"/>
      <c r="BN1" s="20"/>
      <c r="BO1" s="20"/>
      <c r="BP1" s="20"/>
      <c r="BQ1" s="20"/>
      <c r="BR1" s="20" t="s">
        <v>1588</v>
      </c>
      <c r="BS1" s="20"/>
      <c r="BT1" s="20"/>
      <c r="BU1" s="20"/>
      <c r="BV1" s="20"/>
      <c r="BX1" s="20" t="s">
        <v>1588</v>
      </c>
      <c r="BY1" s="20"/>
      <c r="BZ1" s="20"/>
      <c r="CA1" s="20"/>
      <c r="CB1" s="20" t="s">
        <v>1588</v>
      </c>
      <c r="CH1" s="20" t="s">
        <v>1588</v>
      </c>
      <c r="CL1" s="20" t="s">
        <v>1588</v>
      </c>
      <c r="CT1" s="20" t="s">
        <v>1588</v>
      </c>
      <c r="CV1" s="20" t="s">
        <v>1588</v>
      </c>
      <c r="CX1" s="20" t="s">
        <v>1588</v>
      </c>
      <c r="DK1" s="20" t="s">
        <v>1588</v>
      </c>
      <c r="DM1" s="20" t="s">
        <v>1588</v>
      </c>
      <c r="DP1" s="20" t="s">
        <v>1588</v>
      </c>
      <c r="DR1" s="20" t="s">
        <v>1589</v>
      </c>
      <c r="DS1" s="20"/>
      <c r="DT1" s="20" t="s">
        <v>1588</v>
      </c>
    </row>
    <row r="2" spans="2:134" s="18" customFormat="1" ht="11.25" x14ac:dyDescent="0.2">
      <c r="B2" s="50"/>
      <c r="C2" s="19"/>
      <c r="D2" s="26">
        <f>_xlfn.AGGREGATE(9,3,Capacity[Acceptance
Internal
All entities])</f>
        <v>862</v>
      </c>
      <c r="E2" s="26">
        <f>_xlfn.AGGREGATE(9,3,Capacity[(ACC)
ARG
Sub1])</f>
        <v>9</v>
      </c>
      <c r="F2" s="26">
        <f>_xlfn.AGGREGATE(9,3,Capacity[(ACC)
AUS
IPP])</f>
        <v>28</v>
      </c>
      <c r="G2" s="26">
        <f>_xlfn.AGGREGATE(9,3,Capacity[(ACC)
BEL
WLOC])</f>
        <v>96</v>
      </c>
      <c r="H2" s="26">
        <f>_xlfn.AGGREGATE(9,3,Capacity[(ACC)
CHE
Saferpay])</f>
        <v>14</v>
      </c>
      <c r="I2" s="26">
        <f>_xlfn.AGGREGATE(9,3,Capacity[(ACC)
CZE
GoPay])</f>
        <v>0</v>
      </c>
      <c r="J2" s="26">
        <f>_xlfn.AGGREGATE(9,3,Capacity[(ACC)
FRA
AXIS])</f>
        <v>123</v>
      </c>
      <c r="K2" s="26">
        <f>_xlfn.AGGREGATE(9,3,Capacity[(ACC)
FRA
SACC])</f>
        <v>0</v>
      </c>
      <c r="L2" s="26">
        <f>_xlfn.AGGREGATE(9,3,Capacity[(ACC)
FRA
SIPS])</f>
        <v>41</v>
      </c>
      <c r="M2" s="26">
        <f>_xlfn.AGGREGATE(9,3,Capacity[(ACC)
FRA
Back-Office])</f>
        <v>28</v>
      </c>
      <c r="N2" s="26">
        <f>_xlfn.AGGREGATE(9,3,Capacity[(ACC)
GER
Payone])</f>
        <v>0</v>
      </c>
      <c r="O2" s="26">
        <f>_xlfn.AGGREGATE(9,3,Capacity[(ACC)
AUT
Payunity])</f>
        <v>0</v>
      </c>
      <c r="P2" s="26">
        <f>_xlfn.AGGREGATE(9,3,Capacity[(ACC)
GRC
Cardlink])</f>
        <v>0</v>
      </c>
      <c r="Q2" s="26">
        <f>_xlfn.AGGREGATE(9,3,Capacity[(ACC)
IND
India TP])</f>
        <v>53</v>
      </c>
      <c r="R2" s="26">
        <f>_xlfn.AGGREGATE(9,3,Capacity[(ACC)
ITA
Axxepta])</f>
        <v>0</v>
      </c>
      <c r="S2" s="26">
        <f>_xlfn.AGGREGATE(9,3,Capacity[(ACC)
NAR
Beanstream / Roam])</f>
        <v>29</v>
      </c>
      <c r="T2" s="26">
        <f>_xlfn.AGGREGATE(9,3,Capacity[(ACC)
NLD
GC])</f>
        <v>177</v>
      </c>
      <c r="U2" s="26">
        <f>_xlfn.AGGREGATE(9,3,Capacity[(ACC)
SPA
Connexflow])</f>
        <v>12</v>
      </c>
      <c r="V2" s="26">
        <f>_xlfn.AGGREGATE(9,3,Capacity[(ACC)
SPA
CSACT])</f>
        <v>47</v>
      </c>
      <c r="W2" s="26">
        <f>_xlfn.AGGREGATE(9,3,Capacity[(ACC)
SWE
BB Samport])</f>
        <v>16</v>
      </c>
      <c r="X2" s="26">
        <f>_xlfn.AGGREGATE(9,3,Capacity[(ACC)
SWE
BOL])</f>
        <v>4</v>
      </c>
      <c r="Y2" s="26">
        <f>_xlfn.AGGREGATE(9,3,Capacity[(ACC)
SWE
Back-Office])</f>
        <v>19</v>
      </c>
      <c r="Z2" s="26">
        <f>_xlfn.AGGREGATE(9,3,Capacity[(ACC)
SWE
Devcode])</f>
        <v>24</v>
      </c>
      <c r="AA2" s="26">
        <f>_xlfn.AGGREGATE(9,3,Capacity[(ACC)
SWE
OCH])</f>
        <v>101</v>
      </c>
      <c r="AB2" s="26">
        <f>_xlfn.AGGREGATE(9,3,Capacity[(ACC)
SWE
WOPA])</f>
        <v>41</v>
      </c>
      <c r="AC2" s="26">
        <f>_xlfn.AGGREGATE(9,3,Capacity[(ACC)
GER
cCredit])</f>
        <v>0</v>
      </c>
      <c r="AD2" s="26">
        <f>_xlfn.AGGREGATE(9,3,Capacity[(ACC)
ALL
 Shared services])</f>
        <v>0</v>
      </c>
      <c r="AE2" s="26">
        <f>_xlfn.AGGREGATE(9,3,Capacity[Com Acquiring
Internal
all entities])</f>
        <v>0</v>
      </c>
      <c r="AF2" s="26">
        <f>_xlfn.AGGREGATE(9,3,Capacity[(CAQ)
BEL
WL])</f>
        <v>0</v>
      </c>
      <c r="AG2" s="26">
        <f>_xlfn.AGGREGATE(9,3,Capacity[(CAQ)
FRA
WL])</f>
        <v>0</v>
      </c>
      <c r="AH2" s="26">
        <f>_xlfn.AGGREGATE(9,3,Capacity[(CAQ)
CHE
SPS])</f>
        <v>0</v>
      </c>
      <c r="AI2" s="26">
        <f>_xlfn.AGGREGATE(9,3,Capacity[(CAQ)
ALL
BB])</f>
        <v>0</v>
      </c>
      <c r="AJ2" s="26">
        <f>_xlfn.AGGREGATE(9,3,Capacity[Digital Services
Internal
all entities])</f>
        <v>0</v>
      </c>
      <c r="AK2" s="26">
        <f>_xlfn.AGGREGATE(9,3,Capacity[(DIG)
BEL
WL])</f>
        <v>0</v>
      </c>
      <c r="AL2" s="26">
        <f>_xlfn.AGGREGATE(9,3,Capacity[(DIG)
FRA
WL])</f>
        <v>0</v>
      </c>
      <c r="AM2" s="26">
        <f>_xlfn.AGGREGATE(9,3,Capacity[(DIG)
NLD
WL])</f>
        <v>0</v>
      </c>
      <c r="AN2" s="26">
        <f>_xlfn.AGGREGATE(9,3,Capacity[(DIG)
AUT
SPS])</f>
        <v>0</v>
      </c>
      <c r="AO2" s="26">
        <f>_xlfn.AGGREGATE(9,3,Capacity[(DIG)
CHE
SPS])</f>
        <v>0</v>
      </c>
      <c r="AP2" s="26">
        <f>_xlfn.AGGREGATE(9,3,Capacity[(DIG)
FRA
ING])</f>
        <v>0</v>
      </c>
      <c r="AQ2" s="26">
        <f>_xlfn.AGGREGATE(9,3,Capacity[(DIG)
GER
WL])</f>
        <v>0</v>
      </c>
      <c r="AR2" s="26">
        <f>_xlfn.AGGREGATE(9,3,Capacity[(DIG)
GER
SPS])</f>
        <v>0</v>
      </c>
      <c r="AS2" s="26"/>
      <c r="AT2" s="26">
        <f>_xlfn.AGGREGATE(9,3,Capacity[(DIG)
CZE
Cataps])</f>
        <v>0</v>
      </c>
      <c r="AU2" s="26">
        <f>_xlfn.AGGREGATE(9,3,Capacity[(DIG)
AUS
WL])</f>
        <v>0</v>
      </c>
      <c r="AV2" s="26">
        <f>_xlfn.AGGREGATE(9,3,Capacity[(DIG)
NLD
ING])</f>
        <v>0</v>
      </c>
      <c r="AW2" s="26">
        <f>_xlfn.AGGREGATE(9,3,Capacity[E2E Architects &amp; Programs
Internal
all entities])</f>
        <v>0</v>
      </c>
      <c r="AX2" s="26">
        <f>_xlfn.AGGREGATE(9,3,Capacity[(E2E)
BEL
WL])</f>
        <v>0</v>
      </c>
      <c r="AY2" s="26">
        <f>_xlfn.AGGREGATE(9,3,Capacity[(E2E)
FRA
WL])</f>
        <v>0</v>
      </c>
      <c r="AZ2" s="26">
        <f>_xlfn.AGGREGATE(9,3,Capacity[(E2E)
NLD
WL])</f>
        <v>0</v>
      </c>
      <c r="BA2" s="26">
        <f>_xlfn.AGGREGATE(9,3,Capacity[(E2E)
SPA
WL])</f>
        <v>0</v>
      </c>
      <c r="BB2" s="26">
        <f>_xlfn.AGGREGATE(9,3,Capacity[(E2E)
XXX
WL])</f>
        <v>0</v>
      </c>
      <c r="BC2" s="26">
        <f>_xlfn.AGGREGATE(9,3,Capacity[(E2E)
CHE
SPS])</f>
        <v>0</v>
      </c>
      <c r="BD2" s="26">
        <f>_xlfn.AGGREGATE(9,3,Capacity[Chief Merchant Officer
Internal
all entities])</f>
        <v>0</v>
      </c>
      <c r="BE2" s="26">
        <f>_xlfn.AGGREGATE(9,3,Capacity[(CMO)
CHE
SPS])</f>
        <v>0</v>
      </c>
      <c r="BF2" s="26">
        <f>_xlfn.AGGREGATE(9,3,Capacity[(CMO)
FRA
WL])</f>
        <v>0</v>
      </c>
      <c r="BG2" s="26">
        <f>_xlfn.AGGREGATE(9,3,Capacity[COO SACC
Internal
all entities])</f>
        <v>0</v>
      </c>
      <c r="BH2" s="26">
        <f>_xlfn.AGGREGATE(9,3,Capacity[(SAC)
FRA
ex Terminals])</f>
        <v>0</v>
      </c>
      <c r="BI2" s="26">
        <f>_xlfn.AGGREGATE(9,3,Capacity[(SAC)
FRA
ex Omni Ch.])</f>
        <v>0</v>
      </c>
      <c r="BJ2" s="26">
        <f>_xlfn.AGGREGATE(9,3,Capacity[(SAC)
FRA
Ex Operations])</f>
        <v>0</v>
      </c>
      <c r="BK2" s="26">
        <f>_xlfn.AGGREGATE(9,3,Capacity[COO PTM
Internal
WL entities])</f>
        <v>0</v>
      </c>
      <c r="BL2" s="26">
        <f>_xlfn.AGGREGATE(9,3,Capacity[(PTM)
BEL
WL])</f>
        <v>0</v>
      </c>
      <c r="BM2" s="26">
        <f>_xlfn.AGGREGATE(9,3,Capacity[(PTM)
FRA
WL])</f>
        <v>0</v>
      </c>
      <c r="BN2" s="26">
        <f>_xlfn.AGGREGATE(9,3,Capacity[(PTM)
NLD
WL])</f>
        <v>0</v>
      </c>
      <c r="BO2" s="26">
        <f>_xlfn.AGGREGATE(9,3,Capacity[(PTM)
SWE
WL])</f>
        <v>0</v>
      </c>
      <c r="BP2" s="26">
        <f>_xlfn.AGGREGATE(9,3,Capacity[(PTM)
GER
WL])</f>
        <v>0</v>
      </c>
      <c r="BQ2" s="26">
        <f>_xlfn.AGGREGATE(9,3,Capacity[(PTM)
BRA
WL])</f>
        <v>0</v>
      </c>
      <c r="BR2" s="26">
        <f>_xlfn.AGGREGATE(9,3,Capacity[COO PTM
Internal
SPS/Other entities])</f>
        <v>0</v>
      </c>
      <c r="BS2" s="26">
        <f>_xlfn.AGGREGATE(9,3,Capacity[(PTM)
CHE
SPS])</f>
        <v>0</v>
      </c>
      <c r="BT2" s="26">
        <f>_xlfn.AGGREGATE(9,3,Capacity[(PTM)
AUT
SPS])</f>
        <v>0</v>
      </c>
      <c r="BU2" s="26">
        <f>_xlfn.AGGREGATE(9,3,Capacity[(PTM)
GER
SPS])</f>
        <v>0</v>
      </c>
      <c r="BV2" s="26">
        <f>_xlfn.AGGREGATE(9,3,Capacity[(PTM)
POL
SPS])</f>
        <v>0</v>
      </c>
      <c r="BW2" s="26">
        <f>_xlfn.AGGREGATE(9,3,Capacity[(PTM)
CZE
Cataps])</f>
        <v>0</v>
      </c>
      <c r="BX2" s="26">
        <f>_xlfn.AGGREGATE(9,3,Capacity[COO CS
Internal
WL entities])</f>
        <v>0</v>
      </c>
      <c r="BY2" s="26">
        <f>_xlfn.AGGREGATE(9,3,Capacity[(CCS)
BEL
WL])</f>
        <v>0</v>
      </c>
      <c r="BZ2" s="26">
        <f>_xlfn.AGGREGATE(9,3,Capacity[(CCS)
FRA
WL])</f>
        <v>0</v>
      </c>
      <c r="CA2" s="26">
        <f>_xlfn.AGGREGATE(9,3,Capacity[(CCS)
NLD
WL])</f>
        <v>0</v>
      </c>
      <c r="CB2" s="26">
        <f>_xlfn.AGGREGATE(9,3,Capacity[COO CS
Internal
SPS entities])</f>
        <v>0</v>
      </c>
      <c r="CC2" s="26">
        <f>_xlfn.AGGREGATE(9,3,Capacity[(CCS)
CHE
SPS])</f>
        <v>0</v>
      </c>
      <c r="CD2" s="26">
        <f>_xlfn.AGGREGATE(9,3,Capacity[(CCS)
LUX
SPS])</f>
        <v>0</v>
      </c>
      <c r="CE2" s="26">
        <f>_xlfn.AGGREGATE(9,3,Capacity[(CCS)
AUT
SPS])</f>
        <v>0</v>
      </c>
      <c r="CF2" s="26">
        <f>_xlfn.AGGREGATE(9,3,Capacity[(CCS)
GER
SPS])</f>
        <v>0</v>
      </c>
      <c r="CG2" s="26">
        <f>_xlfn.AGGREGATE(9,3,Capacity[(CCS)
POL
SPS])</f>
        <v>0</v>
      </c>
      <c r="CH2" s="26">
        <f>_xlfn.AGGREGATE(9,3,Capacity[COO CS
Internal
Other entities])</f>
        <v>0</v>
      </c>
      <c r="CI2" s="26">
        <f>_xlfn.AGGREGATE(9,3,Capacity[(CCS)
NLD
PSQ])</f>
        <v>0</v>
      </c>
      <c r="CJ2" s="26">
        <f>_xlfn.AGGREGATE(9,3,Capacity[(CCS)
POL
PSQ])</f>
        <v>0</v>
      </c>
      <c r="CK2" s="26">
        <f>_xlfn.AGGREGATE(9,3,Capacity[(CCS)
CZE
Cataps])</f>
        <v>0</v>
      </c>
      <c r="CL2" s="26">
        <f>_xlfn.AGGREGATE(9,3,Capacity[COO BSA
Internal
all entities])</f>
        <v>0</v>
      </c>
      <c r="CM2" s="26">
        <f>_xlfn.AGGREGATE(9,3,Capacity[(BSA)
BEL
WL])</f>
        <v>0</v>
      </c>
      <c r="CN2" s="26">
        <f>_xlfn.AGGREGATE(9,3,Capacity[(BSA)
AUS
WL])</f>
        <v>0</v>
      </c>
      <c r="CO2" s="26">
        <f>_xlfn.AGGREGATE(9,3,Capacity[(BSA)
NLD
WL])</f>
        <v>0</v>
      </c>
      <c r="CP2" s="26">
        <f>_xlfn.AGGREGATE(9,3,Capacity[(BSA)
CHE
SPS])</f>
        <v>0</v>
      </c>
      <c r="CQ2" s="26">
        <f>_xlfn.AGGREGATE(9,3,Capacity[(BSA)
POL])</f>
        <v>0</v>
      </c>
      <c r="CR2" s="26">
        <f>_xlfn.AGGREGATE(9,3,Capacity[(BSA)
FRA])</f>
        <v>0</v>
      </c>
      <c r="CS2" s="26">
        <f>_xlfn.AGGREGATE(9,3,Capacity[(BSA)
GER])</f>
        <v>0</v>
      </c>
      <c r="CT2" s="26">
        <f>_xlfn.AGGREGATE(9,3,Capacity[Chief Market Officer
Internal
all entities])</f>
        <v>0</v>
      </c>
      <c r="CU2" s="26">
        <f>_xlfn.AGGREGATE(9,3,Capacity[(CMA)
All
any entity])</f>
        <v>0</v>
      </c>
      <c r="CV2" s="26">
        <f>_xlfn.AGGREGATE(9,3,Capacity[GTM FI
Internal
all entities])</f>
        <v>0</v>
      </c>
      <c r="CW2" s="26">
        <f>_xlfn.AGGREGATE(9,3,Capacity[(GTM)
All
any entity])</f>
        <v>0</v>
      </c>
      <c r="CX2" s="26">
        <f>_xlfn.AGGREGATE(9,3,Capacity[Financial Services
Outsourced
all entities])</f>
        <v>0</v>
      </c>
      <c r="CY2" s="26">
        <f>_xlfn.AGGREGATE(9,3,Capacity[(FIS)
All
any entity])</f>
        <v>0</v>
      </c>
      <c r="CZ2" s="26">
        <f>_xlfn.AGGREGATE(9,3,Capacity[(FIS)
BEL
eWL])</f>
        <v>0</v>
      </c>
      <c r="DA2" s="26">
        <f>_xlfn.AGGREGATE(9,3,Capacity[(FIS)
FRA
eWL])</f>
        <v>0</v>
      </c>
      <c r="DB2" s="26">
        <f>_xlfn.AGGREGATE(9,3,Capacity[(FIS)
NLD
eWL])</f>
        <v>0</v>
      </c>
      <c r="DC2" s="26">
        <f>_xlfn.AGGREGATE(9,3,Capacity[(FIS)
GER
eWL])</f>
        <v>0</v>
      </c>
      <c r="DD2" s="26">
        <f>_xlfn.AGGREGATE(9,3,Capacity[(FIS)
CHE
SPS FS])</f>
        <v>0</v>
      </c>
      <c r="DE2" s="26">
        <f>_xlfn.AGGREGATE(9,3,Capacity[(FIS)
SPS Split (26%) BEL])</f>
        <v>0</v>
      </c>
      <c r="DF2" s="26">
        <f>_xlfn.AGGREGATE(9,3,Capacity[(FIS)
SPS % Split
FO])</f>
        <v>0</v>
      </c>
      <c r="DG2" s="26">
        <f>_xlfn.AGGREGATE(9,3,Capacity[(FIS)
SPS % Split
BO])</f>
        <v>0</v>
      </c>
      <c r="DH2" s="26">
        <f>_xlfn.AGGREGATE(9,3,Capacity[(FIS)
SPS Split
FO (calc)])</f>
        <v>0</v>
      </c>
      <c r="DI2" s="26">
        <f>_xlfn.AGGREGATE(9,3,Capacity[(FIS)
SPS Split
BO (calc)])</f>
        <v>0</v>
      </c>
      <c r="DJ2" s="26">
        <f>_xlfn.AGGREGATE(9,3,Capacity[(FIS)
SPS Split
DaMa (calc)])</f>
        <v>0</v>
      </c>
      <c r="DK2" s="26">
        <f>_xlfn.AGGREGATE(9,3,Capacity[Production Services
Outsourced
all entities])</f>
        <v>0</v>
      </c>
      <c r="DL2" s="26">
        <f>_xlfn.AGGREGATE(9,3,Capacity[(PRD)
ALL
any entity])</f>
        <v>0</v>
      </c>
      <c r="DM2" s="26">
        <f>_xlfn.AGGREGATE(9,3,Capacity[TSS
Outsourced 
all entities])</f>
        <v>0</v>
      </c>
      <c r="DN2" s="26"/>
      <c r="DO2" s="26">
        <f>_xlfn.AGGREGATE(9,3,Capacity[(TSS)
ALL
any entity])</f>
        <v>0</v>
      </c>
      <c r="DP2" s="26">
        <f>_xlfn.AGGREGATE(9,3,Capacity[MTS
Outsourced
all entities])</f>
        <v>0</v>
      </c>
      <c r="DQ2" s="26">
        <f>_xlfn.AGGREGATE(9,3,Capacity[(MTS)
ALL
any entity])</f>
        <v>0</v>
      </c>
      <c r="DR2" s="26">
        <f>_xlfn.AGGREGATE(9,3,Capacity[Payone
Outsourced
all entities])</f>
        <v>0</v>
      </c>
      <c r="DS2" s="26">
        <f>_xlfn.AGGREGATE(9,3,Capacity[(Payone)
ALL
any entity])</f>
        <v>0</v>
      </c>
      <c r="DT2" s="26">
        <f>_xlfn.AGGREGATE(9,3,Capacity[Cash Out
OPEX
Suppliers])</f>
        <v>0</v>
      </c>
      <c r="DU2" s="26">
        <f>_xlfn.AGGREGATE(9,3,Capacity[Supplier 
Name(s)])</f>
        <v>0</v>
      </c>
      <c r="DV2" s="26">
        <f>_xlfn.AGGREGATE(9,3,Capacity[(OPX)
All SubCo
Fix price (K€)])</f>
        <v>0</v>
      </c>
      <c r="DW2" s="26">
        <f>_xlfn.AGGREGATE(9,3,Capacity[(OPX)
All Subco
T&amp;M 1000])</f>
        <v>0</v>
      </c>
      <c r="DX2" s="26">
        <f>_xlfn.AGGREGATE(9,3,Capacity[(OPX)
All Subco
T&amp;M 700])</f>
        <v>0</v>
      </c>
      <c r="DY2" s="26">
        <f>_xlfn.AGGREGATE(9,3,Capacity[(OPX)
All Subco
T&amp;M 470])</f>
        <v>0</v>
      </c>
      <c r="DZ2" s="26">
        <f>_xlfn.AGGREGATE(9,3,Capacity[(OPX)
MAR
Morocco])</f>
        <v>0</v>
      </c>
      <c r="EA2" s="26">
        <f>_xlfn.AGGREGATE(9,3,Capacity[(OPX)
IND
Cybage])</f>
        <v>0</v>
      </c>
      <c r="EB2" s="26">
        <f>_xlfn.AGGREGATE(9,3,Capacity[(OPX)
IND
India])</f>
        <v>0</v>
      </c>
      <c r="EC2" s="26">
        <f>_xlfn.AGGREGATE(9,3,Capacity[(OPX)
BUL
Bulgaria])</f>
        <v>0</v>
      </c>
      <c r="ED2" s="26">
        <f>_xlfn.AGGREGATE(9,3,Capacity[(OPX)
ARM
Armenia])</f>
        <v>0</v>
      </c>
    </row>
    <row r="3" spans="2:134" ht="84" x14ac:dyDescent="0.2">
      <c r="B3" s="10" t="s">
        <v>1590</v>
      </c>
      <c r="C3" s="10" t="s">
        <v>1591</v>
      </c>
      <c r="D3" s="13" t="s">
        <v>154</v>
      </c>
      <c r="E3" s="14" t="s">
        <v>155</v>
      </c>
      <c r="F3" s="14" t="s">
        <v>156</v>
      </c>
      <c r="G3" s="14" t="s">
        <v>157</v>
      </c>
      <c r="H3" s="14" t="s">
        <v>158</v>
      </c>
      <c r="I3" s="14" t="s">
        <v>159</v>
      </c>
      <c r="J3" s="14" t="s">
        <v>160</v>
      </c>
      <c r="K3" s="14" t="s">
        <v>161</v>
      </c>
      <c r="L3" s="14" t="s">
        <v>162</v>
      </c>
      <c r="M3" s="14" t="s">
        <v>163</v>
      </c>
      <c r="N3" s="14" t="s">
        <v>164</v>
      </c>
      <c r="O3" s="14" t="s">
        <v>165</v>
      </c>
      <c r="P3" s="14" t="s">
        <v>166</v>
      </c>
      <c r="Q3" s="14" t="s">
        <v>167</v>
      </c>
      <c r="R3" s="14" t="s">
        <v>168</v>
      </c>
      <c r="S3" s="14" t="s">
        <v>169</v>
      </c>
      <c r="T3" s="14" t="s">
        <v>170</v>
      </c>
      <c r="U3" s="14" t="s">
        <v>171</v>
      </c>
      <c r="V3" s="14" t="s">
        <v>172</v>
      </c>
      <c r="W3" s="14" t="s">
        <v>173</v>
      </c>
      <c r="X3" s="14" t="s">
        <v>174</v>
      </c>
      <c r="Y3" s="14" t="s">
        <v>175</v>
      </c>
      <c r="Z3" s="14" t="s">
        <v>176</v>
      </c>
      <c r="AA3" s="14" t="s">
        <v>177</v>
      </c>
      <c r="AB3" s="14" t="s">
        <v>178</v>
      </c>
      <c r="AC3" s="14" t="s">
        <v>179</v>
      </c>
      <c r="AD3" s="14" t="s">
        <v>180</v>
      </c>
      <c r="AE3" s="12" t="s">
        <v>181</v>
      </c>
      <c r="AF3" s="14" t="s">
        <v>182</v>
      </c>
      <c r="AG3" s="14" t="s">
        <v>183</v>
      </c>
      <c r="AH3" s="14" t="s">
        <v>184</v>
      </c>
      <c r="AI3" s="14" t="s">
        <v>185</v>
      </c>
      <c r="AJ3" s="12" t="s">
        <v>186</v>
      </c>
      <c r="AK3" s="14" t="s">
        <v>187</v>
      </c>
      <c r="AL3" s="14" t="s">
        <v>188</v>
      </c>
      <c r="AM3" s="14" t="s">
        <v>189</v>
      </c>
      <c r="AN3" s="14" t="s">
        <v>190</v>
      </c>
      <c r="AO3" s="14" t="s">
        <v>191</v>
      </c>
      <c r="AP3" s="14" t="s">
        <v>192</v>
      </c>
      <c r="AQ3" s="14" t="s">
        <v>193</v>
      </c>
      <c r="AR3" s="14" t="s">
        <v>194</v>
      </c>
      <c r="AS3" s="14" t="s">
        <v>195</v>
      </c>
      <c r="AT3" s="14" t="s">
        <v>196</v>
      </c>
      <c r="AU3" s="14" t="s">
        <v>197</v>
      </c>
      <c r="AV3" s="14" t="s">
        <v>198</v>
      </c>
      <c r="AW3" s="12" t="s">
        <v>199</v>
      </c>
      <c r="AX3" s="14" t="s">
        <v>200</v>
      </c>
      <c r="AY3" s="14" t="s">
        <v>201</v>
      </c>
      <c r="AZ3" s="14" t="s">
        <v>202</v>
      </c>
      <c r="BA3" s="14" t="s">
        <v>203</v>
      </c>
      <c r="BB3" s="14" t="s">
        <v>204</v>
      </c>
      <c r="BC3" s="14" t="s">
        <v>205</v>
      </c>
      <c r="BD3" s="13" t="s">
        <v>206</v>
      </c>
      <c r="BE3" s="14" t="s">
        <v>207</v>
      </c>
      <c r="BF3" s="14" t="s">
        <v>208</v>
      </c>
      <c r="BG3" s="13" t="s">
        <v>209</v>
      </c>
      <c r="BH3" s="14" t="s">
        <v>210</v>
      </c>
      <c r="BI3" s="14" t="s">
        <v>211</v>
      </c>
      <c r="BJ3" s="14" t="s">
        <v>212</v>
      </c>
      <c r="BK3" s="13" t="s">
        <v>213</v>
      </c>
      <c r="BL3" s="14" t="s">
        <v>214</v>
      </c>
      <c r="BM3" s="14" t="s">
        <v>215</v>
      </c>
      <c r="BN3" s="14" t="s">
        <v>216</v>
      </c>
      <c r="BO3" s="14" t="s">
        <v>217</v>
      </c>
      <c r="BP3" s="14" t="s">
        <v>218</v>
      </c>
      <c r="BQ3" s="14" t="s">
        <v>219</v>
      </c>
      <c r="BR3" s="13" t="s">
        <v>220</v>
      </c>
      <c r="BS3" s="14" t="s">
        <v>221</v>
      </c>
      <c r="BT3" s="14" t="s">
        <v>222</v>
      </c>
      <c r="BU3" s="14" t="s">
        <v>223</v>
      </c>
      <c r="BV3" s="14" t="s">
        <v>224</v>
      </c>
      <c r="BW3" s="14" t="s">
        <v>225</v>
      </c>
      <c r="BX3" s="13" t="s">
        <v>226</v>
      </c>
      <c r="BY3" s="14" t="s">
        <v>227</v>
      </c>
      <c r="BZ3" s="14" t="s">
        <v>228</v>
      </c>
      <c r="CA3" s="14" t="s">
        <v>229</v>
      </c>
      <c r="CB3" s="13" t="s">
        <v>230</v>
      </c>
      <c r="CC3" s="14" t="s">
        <v>231</v>
      </c>
      <c r="CD3" s="14" t="s">
        <v>232</v>
      </c>
      <c r="CE3" s="14" t="s">
        <v>233</v>
      </c>
      <c r="CF3" s="14" t="s">
        <v>234</v>
      </c>
      <c r="CG3" s="14" t="s">
        <v>235</v>
      </c>
      <c r="CH3" s="13" t="s">
        <v>236</v>
      </c>
      <c r="CI3" s="14" t="s">
        <v>237</v>
      </c>
      <c r="CJ3" s="14" t="s">
        <v>238</v>
      </c>
      <c r="CK3" s="14" t="s">
        <v>239</v>
      </c>
      <c r="CL3" s="13" t="s">
        <v>240</v>
      </c>
      <c r="CM3" s="14" t="s">
        <v>241</v>
      </c>
      <c r="CN3" s="14" t="s">
        <v>242</v>
      </c>
      <c r="CO3" s="14" t="s">
        <v>243</v>
      </c>
      <c r="CP3" s="14" t="s">
        <v>244</v>
      </c>
      <c r="CQ3" s="14" t="s">
        <v>245</v>
      </c>
      <c r="CR3" s="14" t="s">
        <v>246</v>
      </c>
      <c r="CS3" s="14" t="s">
        <v>247</v>
      </c>
      <c r="CT3" s="13" t="s">
        <v>248</v>
      </c>
      <c r="CU3" s="14" t="s">
        <v>249</v>
      </c>
      <c r="CV3" s="13" t="s">
        <v>250</v>
      </c>
      <c r="CW3" s="14" t="s">
        <v>251</v>
      </c>
      <c r="CX3" s="15" t="s">
        <v>252</v>
      </c>
      <c r="CY3" s="16" t="s">
        <v>253</v>
      </c>
      <c r="CZ3" s="16" t="s">
        <v>254</v>
      </c>
      <c r="DA3" s="16" t="s">
        <v>255</v>
      </c>
      <c r="DB3" s="16" t="s">
        <v>256</v>
      </c>
      <c r="DC3" s="16" t="s">
        <v>257</v>
      </c>
      <c r="DD3" s="16" t="s">
        <v>258</v>
      </c>
      <c r="DE3" s="46" t="s">
        <v>259</v>
      </c>
      <c r="DF3" s="46" t="s">
        <v>260</v>
      </c>
      <c r="DG3" s="46" t="s">
        <v>261</v>
      </c>
      <c r="DH3" s="46" t="s">
        <v>262</v>
      </c>
      <c r="DI3" s="46" t="s">
        <v>263</v>
      </c>
      <c r="DJ3" s="46" t="s">
        <v>264</v>
      </c>
      <c r="DK3" s="15" t="s">
        <v>265</v>
      </c>
      <c r="DL3" s="16" t="s">
        <v>266</v>
      </c>
      <c r="DM3" s="15" t="s">
        <v>267</v>
      </c>
      <c r="DN3" s="16" t="s">
        <v>268</v>
      </c>
      <c r="DO3" s="16" t="s">
        <v>269</v>
      </c>
      <c r="DP3" s="15" t="s">
        <v>270</v>
      </c>
      <c r="DQ3" s="16" t="s">
        <v>271</v>
      </c>
      <c r="DR3" s="15" t="s">
        <v>272</v>
      </c>
      <c r="DS3" s="16" t="s">
        <v>273</v>
      </c>
      <c r="DT3" s="21" t="s">
        <v>274</v>
      </c>
      <c r="DU3" s="22" t="s">
        <v>1592</v>
      </c>
      <c r="DV3" s="22" t="s">
        <v>276</v>
      </c>
      <c r="DW3" s="22" t="s">
        <v>277</v>
      </c>
      <c r="DX3" s="22" t="s">
        <v>278</v>
      </c>
      <c r="DY3" s="22" t="s">
        <v>279</v>
      </c>
      <c r="DZ3" s="22" t="s">
        <v>280</v>
      </c>
      <c r="EA3" s="22" t="s">
        <v>281</v>
      </c>
      <c r="EB3" s="22" t="s">
        <v>282</v>
      </c>
      <c r="EC3" s="22" t="s">
        <v>283</v>
      </c>
      <c r="ED3" s="22" t="s">
        <v>284</v>
      </c>
    </row>
    <row r="4" spans="2:134" x14ac:dyDescent="0.2">
      <c r="B4" s="8" t="s">
        <v>1593</v>
      </c>
      <c r="C4" s="9" t="s">
        <v>1594</v>
      </c>
      <c r="D4" s="25">
        <f>SUM(Capacity[[#This Row],[(ACC)
ARG
Sub1]:[(ACC)
ALL
 Shared services]])</f>
        <v>862</v>
      </c>
      <c r="E4" s="8">
        <v>9</v>
      </c>
      <c r="F4" s="8">
        <v>28</v>
      </c>
      <c r="G4" s="8">
        <v>96</v>
      </c>
      <c r="H4" s="8">
        <v>14</v>
      </c>
      <c r="I4" s="8"/>
      <c r="J4" s="8">
        <v>123</v>
      </c>
      <c r="K4" s="8"/>
      <c r="L4" s="8">
        <v>41</v>
      </c>
      <c r="M4" s="8">
        <v>28</v>
      </c>
      <c r="N4" s="8"/>
      <c r="O4" s="8"/>
      <c r="P4" s="8"/>
      <c r="Q4" s="8">
        <v>53</v>
      </c>
      <c r="R4" s="8"/>
      <c r="S4" s="8">
        <v>29</v>
      </c>
      <c r="T4" s="8">
        <v>177</v>
      </c>
      <c r="U4" s="8">
        <v>12</v>
      </c>
      <c r="V4" s="8">
        <v>47</v>
      </c>
      <c r="W4" s="8">
        <v>16</v>
      </c>
      <c r="X4" s="8">
        <v>4</v>
      </c>
      <c r="Y4" s="8">
        <v>19</v>
      </c>
      <c r="Z4" s="8">
        <v>24</v>
      </c>
      <c r="AA4" s="8">
        <v>101</v>
      </c>
      <c r="AB4" s="8">
        <v>41</v>
      </c>
      <c r="AC4" s="8"/>
      <c r="AD4" s="8"/>
      <c r="AE4" s="25">
        <f>SUM(Capacity[[#This Row],[(CAQ)
BEL
WL]:[(CAQ)
ALL
BB]])</f>
        <v>0</v>
      </c>
      <c r="AF4" s="8"/>
      <c r="AG4" s="8"/>
      <c r="AH4" s="8"/>
      <c r="AI4" s="8"/>
      <c r="AJ4" s="25">
        <f>SUM(Capacity[[#This Row],[(DIG)
BEL
WL]:[(DIG)
NLD
ING]])</f>
        <v>0</v>
      </c>
      <c r="AK4" s="8"/>
      <c r="AL4" s="8"/>
      <c r="AM4" s="8"/>
      <c r="AN4" s="8"/>
      <c r="AO4" s="8"/>
      <c r="AP4" s="8"/>
      <c r="AQ4" s="8"/>
      <c r="AR4" s="8"/>
      <c r="AS4" s="8"/>
      <c r="AT4" s="8"/>
      <c r="AU4" s="8"/>
      <c r="AV4" s="8"/>
      <c r="AW4" s="25">
        <f>SUM(Capacity[[#This Row],[(E2E)
BEL
WL]:[(E2E)
CHE
SPS]])</f>
        <v>0</v>
      </c>
      <c r="AX4" s="8"/>
      <c r="AY4" s="8"/>
      <c r="AZ4" s="8"/>
      <c r="BA4" s="8"/>
      <c r="BB4" s="8"/>
      <c r="BC4" s="8"/>
      <c r="BD4" s="25">
        <f>SUM(Capacity[[#This Row],[(CMO)
CHE
SPS]:[(CMO)
FRA
WL]])</f>
        <v>0</v>
      </c>
      <c r="BE4" s="8"/>
      <c r="BF4" s="8"/>
      <c r="BG4" s="25">
        <f>SUM(Capacity[[#This Row],[(SAC)
FRA
ex Terminals]:[(SAC)
FRA
Ex Operations]])</f>
        <v>0</v>
      </c>
      <c r="BH4" s="8"/>
      <c r="BI4" s="8"/>
      <c r="BJ4" s="8"/>
      <c r="BK4" s="25">
        <f>SUM(Capacity[[#This Row],[(PTM)
BEL
WL]:[(PTM)
BRA
WL]])</f>
        <v>0</v>
      </c>
      <c r="BL4" s="8"/>
      <c r="BM4" s="8"/>
      <c r="BN4" s="8"/>
      <c r="BO4" s="8"/>
      <c r="BP4" s="8"/>
      <c r="BQ4" s="8"/>
      <c r="BR4" s="25">
        <f>SUM(Capacity[[#This Row],[(PTM)
CHE
SPS]:[(PTM)
CZE
Cataps]])</f>
        <v>0</v>
      </c>
      <c r="BS4" s="8"/>
      <c r="BT4" s="8"/>
      <c r="BU4" s="8"/>
      <c r="BV4" s="8"/>
      <c r="BW4" s="8"/>
      <c r="BX4" s="25">
        <f>SUM(Capacity[[#This Row],[(CCS)
BEL
WL]:[(CCS)
NLD
WL]])</f>
        <v>0</v>
      </c>
      <c r="BY4" s="8"/>
      <c r="BZ4" s="8"/>
      <c r="CA4" s="8"/>
      <c r="CB4" s="25">
        <f>SUM(Capacity[[#This Row],[(CCS)
CHE
SPS]:[(CCS)
POL
SPS]])</f>
        <v>0</v>
      </c>
      <c r="CC4" s="8"/>
      <c r="CD4" s="8"/>
      <c r="CE4" s="8"/>
      <c r="CF4" s="8"/>
      <c r="CG4" s="8"/>
      <c r="CH4" s="25">
        <f>SUM(Capacity[[#This Row],[(CCS)
NLD
PSQ]:[(CCS)
CZE
Cataps]])</f>
        <v>0</v>
      </c>
      <c r="CI4" s="8"/>
      <c r="CJ4" s="8"/>
      <c r="CK4" s="8"/>
      <c r="CL4" s="25">
        <f>SUM(Capacity[[#This Row],[(BSA)
BEL
WL]:[(BSA)
GER]])</f>
        <v>0</v>
      </c>
      <c r="CM4" s="8"/>
      <c r="CN4" s="8"/>
      <c r="CO4" s="8"/>
      <c r="CP4" s="8"/>
      <c r="CQ4" s="8"/>
      <c r="CR4" s="8"/>
      <c r="CS4" s="8"/>
      <c r="CT4" s="25">
        <f>SUM(Capacity[[#This Row],[(CMA)
All
any entity]])</f>
        <v>0</v>
      </c>
      <c r="CU4" s="8"/>
      <c r="CV4" s="25">
        <f>SUM(Capacity[[#This Row],[(GTM)
All
any entity]])</f>
        <v>0</v>
      </c>
      <c r="CW4" s="8"/>
      <c r="CX4" s="25">
        <f>SUM(Capacity[[#This Row],[(FIS)
All
any entity]:[(FIS)
CHE
SPS FS]])</f>
        <v>0</v>
      </c>
      <c r="CY4" s="8"/>
      <c r="CZ4" s="8"/>
      <c r="DA4" s="8"/>
      <c r="DB4" s="8"/>
      <c r="DC4" s="8"/>
      <c r="DD4" s="8"/>
      <c r="DE4" s="8">
        <f>Capacity[[#This Row],[(FIS)
CHE
SPS FS]]*0.26</f>
        <v>0</v>
      </c>
      <c r="DF4" s="48"/>
      <c r="DG4" s="48"/>
      <c r="DH4" s="8">
        <f>ROUND((DF4*($DD$4+$DE$4)),0)</f>
        <v>0</v>
      </c>
      <c r="DI4" s="8">
        <f>ROUND(DG4*($DD$4+$DE$4),0)</f>
        <v>0</v>
      </c>
      <c r="DJ4" s="8">
        <f>DD4-DE4-DH4-DI4</f>
        <v>0</v>
      </c>
      <c r="DK4" s="25">
        <f>SUM(Capacity[[#This Row],[(PRD)
ALL
any entity]])</f>
        <v>0</v>
      </c>
      <c r="DL4" s="8"/>
      <c r="DM4" s="25">
        <f>SUM(Capacity[[#This Row],[(TSS)
ALL
any entity]])</f>
        <v>0</v>
      </c>
      <c r="DN4" s="8"/>
      <c r="DO4" s="8"/>
      <c r="DP4" s="25">
        <f>SUM(Capacity[[#This Row],[(MTS)
ALL
any entity]])</f>
        <v>0</v>
      </c>
      <c r="DQ4" s="8"/>
      <c r="DR4" s="8">
        <f>SUM(Capacity[[#This Row],[(Payone)
ALL
any entity]])</f>
        <v>0</v>
      </c>
      <c r="DS4" s="8"/>
      <c r="DT4" s="25">
        <f>SUM(Capacity[[#This Row],[(OPX)
All SubCo
Fix price (K€)]:[(OPX)
ARM
Armenia]])</f>
        <v>0</v>
      </c>
      <c r="DU4" s="8"/>
      <c r="DV4" s="8"/>
      <c r="DW4" s="8"/>
      <c r="DX4" s="8"/>
      <c r="DY4" s="8"/>
      <c r="DZ4" s="8"/>
      <c r="EA4" s="8"/>
      <c r="EB4" s="8"/>
      <c r="EC4" s="8"/>
      <c r="ED4" s="8"/>
    </row>
    <row r="6" spans="2:134" s="79" customFormat="1" ht="11.25" x14ac:dyDescent="0.2"/>
    <row r="7" spans="2:134" x14ac:dyDescent="0.2">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9"/>
      <c r="AN7" s="79"/>
      <c r="AO7" s="79"/>
      <c r="AP7" s="79"/>
      <c r="AQ7" s="79"/>
      <c r="AR7" s="79"/>
      <c r="AS7" s="79"/>
      <c r="AT7" s="79"/>
      <c r="AU7" s="79"/>
      <c r="AV7" s="79"/>
      <c r="AW7" s="79"/>
      <c r="AX7" s="79"/>
      <c r="AY7" s="79"/>
      <c r="AZ7" s="79"/>
      <c r="BA7" s="79"/>
      <c r="BB7" s="79"/>
      <c r="BC7" s="79"/>
      <c r="BD7" s="79"/>
      <c r="BE7" s="79"/>
      <c r="BF7" s="79"/>
      <c r="BG7" s="79"/>
      <c r="BH7" s="79"/>
      <c r="BI7" s="79"/>
      <c r="BJ7" s="79"/>
      <c r="BK7" s="79"/>
      <c r="BL7" s="79"/>
      <c r="BM7" s="79"/>
      <c r="BN7" s="79"/>
      <c r="BO7" s="79"/>
      <c r="BP7" s="79"/>
      <c r="BQ7" s="79"/>
      <c r="BR7" s="79"/>
      <c r="BS7" s="79"/>
      <c r="BT7" s="79"/>
      <c r="BU7" s="79"/>
      <c r="BV7" s="79"/>
      <c r="BW7" s="79"/>
      <c r="BX7" s="79"/>
      <c r="BY7" s="79"/>
      <c r="BZ7" s="79"/>
      <c r="CA7" s="79"/>
      <c r="CB7" s="79"/>
      <c r="CC7" s="79"/>
      <c r="CD7" s="79"/>
      <c r="CE7" s="79"/>
      <c r="CF7" s="79"/>
      <c r="CG7" s="79"/>
      <c r="CH7" s="79"/>
      <c r="CI7" s="79"/>
      <c r="CJ7" s="79"/>
      <c r="CK7" s="79"/>
      <c r="CL7" s="79"/>
      <c r="CM7" s="79"/>
      <c r="CN7" s="79"/>
      <c r="CO7" s="79"/>
      <c r="CP7" s="79"/>
      <c r="CQ7" s="79"/>
      <c r="CR7" s="79"/>
      <c r="CS7" s="79"/>
      <c r="CT7" s="79"/>
      <c r="CU7" s="79"/>
      <c r="CV7" s="79"/>
      <c r="CW7" s="79"/>
      <c r="CX7" s="79"/>
      <c r="CY7" s="79"/>
      <c r="CZ7" s="79"/>
      <c r="DA7" s="79"/>
      <c r="DB7" s="79"/>
      <c r="DC7" s="79"/>
      <c r="DD7" s="79"/>
      <c r="DE7" s="79"/>
      <c r="DF7" s="79"/>
      <c r="DG7" s="79"/>
      <c r="DH7" s="79"/>
      <c r="DI7" s="79"/>
      <c r="DJ7" s="79"/>
      <c r="DK7" s="79"/>
      <c r="DL7" s="79"/>
      <c r="DM7" s="79"/>
      <c r="DN7" s="79"/>
      <c r="DO7" s="79"/>
      <c r="DP7" s="79"/>
      <c r="DQ7" s="79"/>
      <c r="DR7" s="79"/>
      <c r="DS7" s="79"/>
      <c r="DT7" s="79"/>
      <c r="DU7" s="79"/>
      <c r="DV7" s="79"/>
      <c r="DW7" s="79"/>
      <c r="DX7" s="79"/>
      <c r="DY7" s="79"/>
      <c r="DZ7" s="79"/>
      <c r="EA7" s="79"/>
      <c r="EB7" s="79"/>
      <c r="EC7" s="79"/>
      <c r="ED7" s="79"/>
    </row>
  </sheetData>
  <sheetProtection insertRows="0" selectLockedCells="1" autoFilter="0"/>
  <phoneticPr fontId="7" type="noConversion"/>
  <conditionalFormatting sqref="C4:ED4">
    <cfRule type="expression" dxfId="299" priority="64" stopIfTrue="1">
      <formula>AND(ISNUMBER(C4),COLUMN()&lt;COLUMN($D$1),ROW()&gt;3,COLUMN()&lt;&gt;COLUMN($DG$1),COLUMN()&lt;&gt;COLUMN($DF$1))</formula>
    </cfRule>
    <cfRule type="expression" dxfId="298" priority="65">
      <formula>AND(ISNUMBER(C4),ROW()&gt;3,COLUMN()&lt;&gt;COLUMN($DG$1),COLUMN()&lt;&gt;COLUMN($DF$1))</formula>
    </cfRule>
    <cfRule type="expression" dxfId="297" priority="66">
      <formula>AND(_xlfn.ISFORMULA(C4),ROW()&gt;3)</formula>
    </cfRule>
  </conditionalFormatting>
  <dataValidations count="5">
    <dataValidation type="whole" allowBlank="1" showInputMessage="1" showErrorMessage="1" errorTitle="Whole number expected" error="Enter estimated mandays without decimal numbers" sqref="DV4:ED4 DN4:DO4 DL4 BS4:BW4 CC4:CG4 CM4:CS4 CI4:CK4 BL4:BQ4 BY4:CA4 E4:AD4 BH4:BJ4 BE4:BF4 AX4:BC4 AF4:AI4 DH4:DJ4 DQ4:DS4 CY4:DE4 CU4 CW4 AK4:AV4" xr:uid="{F7F4348C-F121-43D7-BBFA-F3DCC9DCE773}">
      <formula1>-999999</formula1>
      <formula2>999999</formula2>
    </dataValidation>
    <dataValidation type="custom" allowBlank="1" showInputMessage="1" showErrorMessage="1" errorTitle="Calculated Column" error="Use data entry columns by expanding with [+]" sqref="D4 AE4 DT4 DP4 DM4 DK4 CX4 CT4 CL4 CH4 CB4 BX4 BR4 BK4 BG4 BD4 AW4 AJ4 DR4 CV4" xr:uid="{BF73C9FD-D957-480D-AFCD-2E24EAD1C827}">
      <formula1>LEFT(_xlfn.FORMULATEXT(D4),4)="=SUM"</formula1>
    </dataValidation>
    <dataValidation type="list" allowBlank="1" showInputMessage="1" showErrorMessage="1" errorTitle="Pct expected" error="Select a valid % from drop down" sqref="DF4:DG4" xr:uid="{6E78FC5F-EABB-4496-84D1-77FF92E9F4D4}">
      <formula1>Pcts</formula1>
    </dataValidation>
    <dataValidation type="whole" allowBlank="1" showInputMessage="1" showErrorMessage="1" errorTitle="Calculated Column" error="Use data entry columns by expanding with [+]" sqref="DS4" xr:uid="{FC5234C4-8F92-46E7-B09C-297FAED92565}">
      <formula1>-999999</formula1>
      <formula2>999999</formula2>
    </dataValidation>
    <dataValidation type="list" allowBlank="1" showInputMessage="1" showErrorMessage="1" sqref="B4" xr:uid="{3F2C2F06-7715-41B6-B414-C3CE3CE84E72}">
      <formula1>dd_CAPA</formula1>
    </dataValidation>
  </dataValidations>
  <pageMargins left="0.70866141732283472" right="0.51181102362204722" top="0.94488188976377963" bottom="0.59055118110236227" header="0.31496062992125984" footer="0.27559055118110237"/>
  <pageSetup paperSize="9" orientation="landscape" r:id="rId1"/>
  <headerFooter scaleWithDoc="0">
    <oddHeader xml:space="preserve">&amp;L&amp;9 </oddHeader>
  </headerFooter>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ECE85-B46C-4F63-AE26-23C7DCAC78B0}">
  <sheetPr>
    <tabColor theme="6"/>
    <outlinePr summaryBelow="0" summaryRight="0"/>
  </sheetPr>
  <dimension ref="B2:FN649"/>
  <sheetViews>
    <sheetView zoomScale="90" zoomScaleNormal="90" zoomScalePageLayoutView="85" workbookViewId="0">
      <selection activeCell="F10" sqref="F10"/>
    </sheetView>
  </sheetViews>
  <sheetFormatPr baseColWidth="10" defaultColWidth="2.5" defaultRowHeight="14.25" outlineLevelCol="2" x14ac:dyDescent="0.2"/>
  <cols>
    <col min="2" max="2" bestFit="true" customWidth="true" width="21.5" collapsed="false"/>
    <col min="3" max="3" bestFit="true" customWidth="true" width="12.75" collapsed="false"/>
    <col min="4" max="4" bestFit="true" customWidth="true" width="78.875" collapsed="false"/>
    <col min="5" max="5" bestFit="true" customWidth="true" width="20.75" collapsed="false"/>
    <col min="6" max="6" bestFit="true" customWidth="true" width="21.125" outlineLevel="1" collapsed="false"/>
    <col min="7" max="7" bestFit="true" customWidth="true" width="11.75" outlineLevel="1" collapsed="false"/>
    <col min="8" max="9" bestFit="true" customWidth="true" width="12.875" outlineLevel="1" collapsed="false"/>
    <col min="10" max="10" bestFit="true" customWidth="true" width="15.125" outlineLevel="1" collapsed="false"/>
    <col min="11" max="11" bestFit="true" customWidth="true" width="22.25" outlineLevel="1" collapsed="false"/>
    <col min="12" max="15" bestFit="true" customWidth="true" width="10.75" outlineLevel="1" collapsed="false"/>
    <col min="16" max="16" bestFit="true" customWidth="true" width="62.0" outlineLevel="1" collapsed="false"/>
    <col min="17" max="17" bestFit="true" customWidth="true" width="10.5" collapsed="false"/>
    <col min="18" max="19" bestFit="true" customWidth="true" width="6.25" outlineLevel="1" collapsed="false"/>
    <col min="20" max="20" bestFit="true" customWidth="true" width="6.875" outlineLevel="1" collapsed="false"/>
    <col min="21" max="21" bestFit="true" customWidth="true" width="8.75" outlineLevel="1" collapsed="false"/>
    <col min="22" max="22" bestFit="true" customWidth="true" width="7.25" outlineLevel="1" collapsed="false"/>
    <col min="23" max="25" bestFit="true" customWidth="true" width="6.25" outlineLevel="1" collapsed="false"/>
    <col min="26" max="26" bestFit="true" customWidth="true" width="10.25" outlineLevel="1" collapsed="false"/>
    <col min="27" max="27" bestFit="true" customWidth="true" width="7.875" outlineLevel="1" collapsed="false"/>
    <col min="28" max="28" bestFit="true" customWidth="true" width="8.75" outlineLevel="1" collapsed="false"/>
    <col min="29" max="31" bestFit="true" customWidth="true" width="8.25" outlineLevel="1" collapsed="false"/>
    <col min="32" max="32" bestFit="true" customWidth="true" width="16.125" outlineLevel="1" collapsed="false"/>
    <col min="33" max="33" bestFit="true" customWidth="true" width="6.25" outlineLevel="1" collapsed="false"/>
    <col min="34" max="34" bestFit="true" customWidth="true" width="10.75" outlineLevel="1" collapsed="false"/>
    <col min="35" max="35" bestFit="true" customWidth="true" width="7.0" outlineLevel="1" collapsed="false"/>
    <col min="36" max="36" bestFit="true" customWidth="true" width="10.75" outlineLevel="1" collapsed="false"/>
    <col min="37" max="37" bestFit="true" customWidth="true" width="6.25" outlineLevel="1" collapsed="false"/>
    <col min="38" max="38" bestFit="true" customWidth="true" width="10.25" outlineLevel="1" collapsed="false"/>
    <col min="39" max="39" bestFit="true" customWidth="true" width="8.75" outlineLevel="1" collapsed="false"/>
    <col min="40" max="40" bestFit="true" customWidth="true" width="6.25" outlineLevel="1" collapsed="false"/>
    <col min="41" max="41" bestFit="true" customWidth="true" width="7.125" outlineLevel="1" collapsed="false"/>
    <col min="42" max="42" bestFit="true" customWidth="true" width="7.5" outlineLevel="1" collapsed="false"/>
    <col min="43" max="43" bestFit="true" customWidth="true" width="13.5" outlineLevel="1" collapsed="false"/>
    <col min="44" max="44" bestFit="true" customWidth="true" width="12.375" collapsed="true"/>
    <col min="45" max="48" customWidth="true" hidden="true" width="7.0" outlineLevel="1" collapsed="false"/>
    <col min="49" max="49" bestFit="true" customWidth="true" width="12.75" collapsed="true"/>
    <col min="50" max="58" customWidth="true" hidden="true" width="6.25" outlineLevel="1" collapsed="false"/>
    <col min="59" max="60" customWidth="true" hidden="true" width="7.875" outlineLevel="1" collapsed="false"/>
    <col min="61" max="61" customWidth="true" hidden="true" width="6.25" outlineLevel="1" collapsed="false"/>
    <col min="62" max="62" bestFit="true" customWidth="true" width="20.375" collapsed="true"/>
    <col min="63" max="68" customWidth="true" hidden="true" width="6.125" outlineLevel="1" collapsed="false"/>
    <col min="69" max="69" bestFit="true" customWidth="true" width="17.75" collapsed="true"/>
    <col min="70" max="71" customWidth="true" hidden="true" width="7.25" outlineLevel="1" collapsed="false"/>
    <col min="72" max="72" customWidth="true" hidden="true" width="10.5" outlineLevel="1" collapsed="false"/>
    <col min="73" max="73" customWidth="true" hidden="true" width="12.125" outlineLevel="1" collapsed="false"/>
    <col min="74" max="74" customWidth="true" hidden="true" width="8.75" outlineLevel="1" collapsed="false"/>
    <col min="75" max="75" customWidth="true" hidden="true" width="12.875" outlineLevel="1" collapsed="false"/>
    <col min="76" max="76" bestFit="true" customWidth="true" width="10.25" collapsed="true"/>
    <col min="77" max="82" customWidth="true" hidden="true" width="7.0" outlineLevel="1" collapsed="false"/>
    <col min="83" max="83" bestFit="true" customWidth="true" width="15.125" collapsed="true"/>
    <col min="84" max="87" customWidth="true" hidden="true" width="7.0" outlineLevel="1" collapsed="false"/>
    <col min="88" max="88" customWidth="true" hidden="true" width="7.875" outlineLevel="1" collapsed="false"/>
    <col min="89" max="89" bestFit="true" customWidth="true" width="10.25" collapsed="true"/>
    <col min="90" max="92" customWidth="true" hidden="true" width="6.875" outlineLevel="1" collapsed="false"/>
    <col min="93" max="93" bestFit="true" customWidth="true" width="10.5" collapsed="true"/>
    <col min="94" max="98" customWidth="true" hidden="true" width="6.875" outlineLevel="1" collapsed="false"/>
    <col min="99" max="99" bestFit="true" customWidth="true" width="12.0" collapsed="true"/>
    <col min="100" max="101" customWidth="true" hidden="true" width="6.875" outlineLevel="1" collapsed="false"/>
    <col min="102" max="102" customWidth="true" hidden="true" width="7.875" outlineLevel="1" collapsed="false"/>
    <col min="103" max="103" bestFit="true" customWidth="true" width="9.75" collapsed="true"/>
    <col min="104" max="110" customWidth="true" hidden="true" width="6.875" outlineLevel="1" collapsed="false"/>
    <col min="111" max="111" bestFit="true" customWidth="true" width="16.0" collapsed="true"/>
    <col min="112" max="112" customWidth="true" hidden="true" width="9.625" outlineLevel="1" collapsed="false"/>
    <col min="113" max="113" bestFit="true" customWidth="true" width="9.75" collapsed="true"/>
    <col min="114" max="114" customWidth="true" hidden="true" width="9.625" outlineLevel="1" collapsed="false"/>
    <col min="115" max="115" bestFit="true" customWidth="true" width="14.25" collapsed="true"/>
    <col min="116" max="116" customWidth="true" hidden="true" width="9.625" outlineLevel="1" collapsed="false"/>
    <col min="117" max="120" customWidth="true" hidden="true" width="6.125" outlineLevel="1" collapsed="false"/>
    <col min="121" max="121" customWidth="true" hidden="true" width="8.0" outlineLevel="1" collapsed="false"/>
    <col min="122" max="122" customWidth="true" hidden="true" width="16.875" outlineLevel="2" collapsed="false"/>
    <col min="123" max="124" customWidth="true" hidden="true" width="10.875" outlineLevel="2" collapsed="false"/>
    <col min="125" max="126" customWidth="true" hidden="true" width="9.375" outlineLevel="2" collapsed="false"/>
    <col min="127" max="127" customWidth="true" hidden="true" width="11.25" outlineLevel="2" collapsed="false"/>
    <col min="128" max="128" bestFit="true" customWidth="true" width="16.125" collapsed="true"/>
    <col min="129" max="129" customWidth="true" hidden="true" width="9.625" outlineLevel="1" collapsed="false"/>
    <col min="130" max="130" bestFit="true" customWidth="true" width="10.75" collapsed="true"/>
    <col min="131" max="131" customWidth="true" hidden="true" width="9.625" outlineLevel="1" collapsed="false"/>
    <col min="132" max="132" bestFit="true" customWidth="true" width="10.75" collapsed="true"/>
    <col min="133" max="133" customWidth="true" hidden="true" width="9.625" outlineLevel="1" collapsed="false"/>
    <col min="134" max="134" bestFit="true" customWidth="true" width="10.75" collapsed="true"/>
    <col min="135" max="135" customWidth="true" hidden="true" width="9.625" outlineLevel="1" collapsed="false"/>
    <col min="136" max="136" bestFit="true" customWidth="true" width="9.125" collapsed="true"/>
    <col min="137" max="137" customWidth="true" hidden="true" width="15.25" outlineLevel="1" collapsed="false"/>
    <col min="138" max="138" customWidth="true" hidden="true" width="12.125" outlineLevel="1" collapsed="false"/>
    <col min="139" max="139" customWidth="true" hidden="true" width="10.0" outlineLevel="1" collapsed="false"/>
    <col min="140" max="141" customWidth="true" hidden="true" width="9.5" outlineLevel="1" collapsed="false"/>
    <col min="142" max="142" customWidth="true" hidden="true" width="9.125" outlineLevel="1" collapsed="false"/>
    <col min="143" max="143" customWidth="true" hidden="true" width="8.125" outlineLevel="1" collapsed="false"/>
    <col min="144" max="144" customWidth="true" hidden="true" width="7.0" outlineLevel="1" collapsed="false"/>
    <col min="145" max="145" customWidth="true" hidden="true" width="8.75" outlineLevel="1" collapsed="false"/>
    <col min="146" max="146" customWidth="true" hidden="true" width="8.875" outlineLevel="1" collapsed="false"/>
    <col min="147" max="147" bestFit="true" customWidth="true" width="8.875" collapsed="false"/>
    <col min="148" max="148" bestFit="true" customWidth="true" width="7.125" outlineLevel="1" collapsed="false"/>
    <col min="149" max="149" bestFit="true" customWidth="true" width="13.5" outlineLevel="1" collapsed="false"/>
    <col min="150" max="150" bestFit="true" customWidth="true" width="20.75" collapsed="true"/>
    <col min="151" max="151" customWidth="true" hidden="true" width="7.125" outlineLevel="1" collapsed="false"/>
    <col min="152" max="152" customWidth="true" hidden="true" width="8.25" outlineLevel="1" collapsed="false"/>
    <col min="153" max="153" customWidth="true" hidden="true" width="15.625" outlineLevel="1" collapsed="false"/>
    <col min="154" max="154" customWidth="true" hidden="true" width="18.875" outlineLevel="1" collapsed="false"/>
    <col min="155" max="155" bestFit="true" customWidth="true" width="27.5" collapsed="true"/>
    <col min="156" max="160" customWidth="true" hidden="true" width="6.75" outlineLevel="1" collapsed="false"/>
    <col min="161" max="163" bestFit="true" customWidth="true" width="7.125" collapsed="false"/>
    <col min="164" max="164" bestFit="true" customWidth="true" width="17.25" collapsed="false"/>
    <col min="165" max="165" bestFit="true" customWidth="true" width="7.25" collapsed="false"/>
    <col min="166" max="166" bestFit="true" customWidth="true" width="19.625" collapsed="false"/>
    <col min="167" max="167" bestFit="true" customWidth="true" width="8.75" collapsed="false"/>
    <col min="168" max="168" bestFit="true" customWidth="true" width="6.875" collapsed="false"/>
    <col min="169" max="169" bestFit="true" customWidth="true" width="9.875" collapsed="false"/>
    <col min="170" max="170" bestFit="true" customWidth="true" width="6.75" collapsed="false"/>
    <col min="171" max="171" customWidth="true" width="7.875" collapsed="false"/>
    <col min="172" max="175" bestFit="true" customWidth="true" width="7.875" collapsed="false"/>
    <col min="176" max="176" bestFit="true" customWidth="true" width="9.0" collapsed="false"/>
    <col min="177" max="177" bestFit="true" customWidth="true" width="13.375" collapsed="false"/>
    <col min="178" max="178" bestFit="true" customWidth="true" width="8.25" collapsed="false"/>
    <col min="179" max="179" bestFit="true" customWidth="true" width="9.0" collapsed="false"/>
    <col min="180" max="180" bestFit="true" customWidth="true" width="11.375" collapsed="false"/>
    <col min="181" max="181" bestFit="true" customWidth="true" width="10.375" collapsed="false"/>
    <col min="182" max="182" bestFit="true" customWidth="true" width="11.5" collapsed="false"/>
    <col min="183" max="183" bestFit="true" customWidth="true" width="11.625" collapsed="false"/>
    <col min="184" max="185" bestFit="true" customWidth="true" width="11.125" collapsed="false"/>
    <col min="186" max="186" bestFit="true" customWidth="true" width="10.625" collapsed="false"/>
    <col min="187" max="187" bestFit="true" customWidth="true" width="9.5" collapsed="false"/>
    <col min="188" max="188" bestFit="true" customWidth="true" width="8.125" collapsed="false"/>
    <col min="189" max="189" bestFit="true" customWidth="true" width="10.25" collapsed="false"/>
    <col min="190" max="190" bestFit="true" customWidth="true" width="10.0" collapsed="false"/>
    <col min="191" max="191" bestFit="true" customWidth="true" width="11.125" collapsed="false"/>
    <col min="192" max="192" bestFit="true" customWidth="true" width="9.125" collapsed="false"/>
    <col min="193" max="193" bestFit="true" customWidth="true" width="17.5" collapsed="false"/>
    <col min="194" max="194" bestFit="true" customWidth="true" width="8.0" collapsed="false"/>
    <col min="195" max="199" bestFit="true" customWidth="true" width="6.75" collapsed="false"/>
    <col min="200" max="200" bestFit="true" customWidth="true" width="6.625" collapsed="false"/>
  </cols>
  <sheetData>
    <row r="2" spans="2:170" x14ac:dyDescent="0.2">
      <c r="D2" s="61"/>
      <c r="E2" s="17"/>
      <c r="F2" s="109"/>
      <c r="G2" s="109"/>
      <c r="H2" s="109"/>
      <c r="I2" s="109"/>
      <c r="J2" s="109"/>
      <c r="K2" s="109"/>
      <c r="L2" s="109"/>
      <c r="M2" s="109"/>
      <c r="N2" s="17"/>
      <c r="O2" s="17"/>
      <c r="P2" s="19"/>
      <c r="Q2" s="61" t="s">
        <v>140</v>
      </c>
      <c r="R2" s="62">
        <f>IF(LEFT(Q6,3)="fin",IFERROR(SUMPRODUCT($DM$2:$DQ$2,$DM$5:$DQ$5)/SUM($DM$5:$DQ$5),1),IFERROR(INDEX(tRates[[k€]:[k€]],MATCH(R6,tRates[[Key (lookup)]:[Key (lookup)]],0)),"no rate"))</f>
        <v>0.51300000000000001</v>
      </c>
      <c r="S2" s="62">
        <f>IF(LEFT(R6,3)="fin",IFERROR(SUMPRODUCT($DM$2:$DQ$2,$DM$5:$DQ$5)/SUM($DM$5:$DQ$5),1),IFERROR(INDEX(tRates[[k€]:[k€]],MATCH(S6,tRates[[Key (lookup)]:[Key (lookup)]],0)),"no rate"))</f>
        <v>0.51300000000000001</v>
      </c>
      <c r="T2" s="62">
        <f>IF(LEFT(S6,3)="fin",IFERROR(SUMPRODUCT($DM$2:$DQ$2,$DM$5:$DQ$5)/SUM($DM$5:$DQ$5),1),IFERROR(INDEX(tRates[[k€]:[k€]],MATCH(T6,tRates[[Key (lookup)]:[Key (lookup)]],0)),"no rate"))</f>
        <v>0.48299999999999998</v>
      </c>
      <c r="U2" s="62">
        <f>IF(LEFT(T6,3)="fin",IFERROR(SUMPRODUCT($DM$2:$DQ$2,$DM$5:$DQ$5)/SUM($DM$5:$DQ$5),1),IFERROR(INDEX(tRates[[k€]:[k€]],MATCH(U6,tRates[[Key (lookup)]:[Key (lookup)]],0)),"no rate"))</f>
        <v>1</v>
      </c>
      <c r="V2" s="62">
        <f>IF(LEFT(U6,3)="fin",IFERROR(SUMPRODUCT($DM$2:$DQ$2,$DM$5:$DQ$5)/SUM($DM$5:$DQ$5),1),IFERROR(INDEX(tRates[[k€]:[k€]],MATCH(V6,tRates[[Key (lookup)]:[Key (lookup)]],0)),"no rate"))</f>
        <v>0.20599999999999999</v>
      </c>
      <c r="W2" s="62">
        <f>IF(LEFT(V6,3)="fin",IFERROR(SUMPRODUCT($DM$2:$DQ$2,$DM$5:$DQ$5)/SUM($DM$5:$DQ$5),1),IFERROR(INDEX(tRates[[k€]:[k€]],MATCH(W6,tRates[[Key (lookup)]:[Key (lookup)]],0)),"no rate"))</f>
        <v>0.51300000000000001</v>
      </c>
      <c r="X2" s="62">
        <f>IF(LEFT(W6,3)="fin",IFERROR(SUMPRODUCT($DM$2:$DQ$2,$DM$5:$DQ$5)/SUM($DM$5:$DQ$5),1),IFERROR(INDEX(tRates[[k€]:[k€]],MATCH(X6,tRates[[Key (lookup)]:[Key (lookup)]],0)),"no rate"))</f>
        <v>0.48699999999999999</v>
      </c>
      <c r="Y2" s="62">
        <f>IF(LEFT(X6,3)="fin",IFERROR(SUMPRODUCT($DM$2:$DQ$2,$DM$5:$DQ$5)/SUM($DM$5:$DQ$5),1),IFERROR(INDEX(tRates[[k€]:[k€]],MATCH(Y6,tRates[[Key (lookup)]:[Key (lookup)]],0)),"no rate"))</f>
        <v>0.48699999999999999</v>
      </c>
      <c r="Z2" s="62">
        <f>IF(LEFT(Y6,3)="fin",IFERROR(SUMPRODUCT($DM$2:$DQ$2,$DM$5:$DQ$5)/SUM($DM$5:$DQ$5),1),IFERROR(INDEX(tRates[[k€]:[k€]],MATCH(Z6,tRates[[Key (lookup)]:[Key (lookup)]],0)),"no rate"))</f>
        <v>0.51300000000000001</v>
      </c>
      <c r="AA2" s="62">
        <f>IF(LEFT(Z6,3)="fin",IFERROR(SUMPRODUCT($DM$2:$DQ$2,$DM$5:$DQ$5)/SUM($DM$5:$DQ$5),1),IFERROR(INDEX(tRates[[k€]:[k€]],MATCH(AA6,tRates[[Key (lookup)]:[Key (lookup)]],0)),"no rate"))</f>
        <v>0.49199999999999999</v>
      </c>
      <c r="AB2" s="62">
        <f>IF(LEFT(AA6,3)="fin",IFERROR(SUMPRODUCT($DM$2:$DQ$2,$DM$5:$DQ$5)/SUM($DM$5:$DQ$5),1),IFERROR(INDEX(tRates[[k€]:[k€]],MATCH(AB6,tRates[[Key (lookup)]:[Key (lookup)]],0)),"no rate"))</f>
        <v>0.57399999999999995</v>
      </c>
      <c r="AC2" s="62">
        <f>IF(LEFT(AB6,3)="fin",IFERROR(SUMPRODUCT($DM$2:$DQ$2,$DM$5:$DQ$5)/SUM($DM$5:$DQ$5),1),IFERROR(INDEX(tRates[[k€]:[k€]],MATCH(AC6,tRates[[Key (lookup)]:[Key (lookup)]],0)),"no rate"))</f>
        <v>0.51300000000000001</v>
      </c>
      <c r="AD2" s="62">
        <f>IF(LEFT(AC6,3)="fin",IFERROR(SUMPRODUCT($DM$2:$DQ$2,$DM$5:$DQ$5)/SUM($DM$5:$DQ$5),1),IFERROR(INDEX(tRates[[k€]:[k€]],MATCH(AD6,tRates[[Key (lookup)]:[Key (lookup)]],0)),"no rate"))</f>
        <v>0.51300000000000001</v>
      </c>
      <c r="AE2" s="62">
        <f>IF(LEFT(AD6,3)="fin",IFERROR(SUMPRODUCT($DM$2:$DQ$2,$DM$5:$DQ$5)/SUM($DM$5:$DQ$5),1),IFERROR(INDEX(tRates[[k€]:[k€]],MATCH(AE6,tRates[[Key (lookup)]:[Key (lookup)]],0)),"no rate"))</f>
        <v>0.51300000000000001</v>
      </c>
      <c r="AF2" s="62">
        <f>IF(LEFT(AE6,3)="fin",IFERROR(SUMPRODUCT($DM$2:$DQ$2,$DM$5:$DQ$5)/SUM($DM$5:$DQ$5),1),IFERROR(INDEX(tRates[[k€]:[k€]],MATCH(AF6,tRates[[Key (lookup)]:[Key (lookup)]],0)),"no rate"))</f>
        <v>0.51300000000000001</v>
      </c>
      <c r="AG2" s="62">
        <f>IF(LEFT(AF6,3)="fin",IFERROR(SUMPRODUCT($DM$2:$DQ$2,$DM$5:$DQ$5)/SUM($DM$5:$DQ$5),1),IFERROR(INDEX(tRates[[k€]:[k€]],MATCH(AG6,tRates[[Key (lookup)]:[Key (lookup)]],0)),"no rate"))</f>
        <v>0.51300000000000001</v>
      </c>
      <c r="AH2" s="62">
        <f>IF(LEFT(AG6,3)="fin",IFERROR(SUMPRODUCT($DM$2:$DQ$2,$DM$5:$DQ$5)/SUM($DM$5:$DQ$5),1),IFERROR(INDEX(tRates[[k€]:[k€]],MATCH(AH6,tRates[[Key (lookup)]:[Key (lookup)]],0)),"no rate"))</f>
        <v>0.51300000000000001</v>
      </c>
      <c r="AI2" s="62">
        <f>IF(LEFT(AH6,3)="fin",IFERROR(SUMPRODUCT($DM$2:$DQ$2,$DM$5:$DQ$5)/SUM($DM$5:$DQ$5),1),IFERROR(INDEX(tRates[[k€]:[k€]],MATCH(AI6,tRates[[Key (lookup)]:[Key (lookup)]],0)),"no rate"))</f>
        <v>0.51300000000000001</v>
      </c>
      <c r="AJ2" s="62">
        <f>IF(LEFT(AI6,3)="fin",IFERROR(SUMPRODUCT($DM$2:$DQ$2,$DM$5:$DQ$5)/SUM($DM$5:$DQ$5),1),IFERROR(INDEX(tRates[[k€]:[k€]],MATCH(AJ6,tRates[[Key (lookup)]:[Key (lookup)]],0)),"no rate"))</f>
        <v>0.51300000000000001</v>
      </c>
      <c r="AK2" s="62">
        <f>IF(LEFT(AJ6,3)="fin",IFERROR(SUMPRODUCT($DM$2:$DQ$2,$DM$5:$DQ$5)/SUM($DM$5:$DQ$5),1),IFERROR(INDEX(tRates[[k€]:[k€]],MATCH(AK6,tRates[[Key (lookup)]:[Key (lookup)]],0)),"no rate"))</f>
        <v>0.51300000000000001</v>
      </c>
      <c r="AL2" s="62">
        <f>IF(LEFT(AK6,3)="fin",IFERROR(SUMPRODUCT($DM$2:$DQ$2,$DM$5:$DQ$5)/SUM($DM$5:$DQ$5),1),IFERROR(INDEX(tRates[[k€]:[k€]],MATCH(AL6,tRates[[Key (lookup)]:[Key (lookup)]],0)),"no rate"))</f>
        <v>0.51300000000000001</v>
      </c>
      <c r="AM2" s="62">
        <f>IF(LEFT(AL6,3)="fin",IFERROR(SUMPRODUCT($DM$2:$DQ$2,$DM$5:$DQ$5)/SUM($DM$5:$DQ$5),1),IFERROR(INDEX(tRates[[k€]:[k€]],MATCH(AM6,tRates[[Key (lookup)]:[Key (lookup)]],0)),"no rate"))</f>
        <v>0.51300000000000001</v>
      </c>
      <c r="AN2" s="62">
        <f>IF(LEFT(AM6,3)="fin",IFERROR(SUMPRODUCT($DM$2:$DQ$2,$DM$5:$DQ$5)/SUM($DM$5:$DQ$5),1),IFERROR(INDEX(tRates[[k€]:[k€]],MATCH(AN6,tRates[[Key (lookup)]:[Key (lookup)]],0)),"no rate"))</f>
        <v>0.51300000000000001</v>
      </c>
      <c r="AO2" s="62">
        <f>IF(LEFT(AN6,3)="fin",IFERROR(SUMPRODUCT($DM$2:$DQ$2,$DM$5:$DQ$5)/SUM($DM$5:$DQ$5),1),IFERROR(INDEX(tRates[[k€]:[k€]],MATCH(AO6,tRates[[Key (lookup)]:[Key (lookup)]],0)),"no rate"))</f>
        <v>0.51300000000000001</v>
      </c>
      <c r="AP2" s="62">
        <f>IF(LEFT(AO6,3)="fin",IFERROR(SUMPRODUCT($DM$2:$DQ$2,$DM$5:$DQ$5)/SUM($DM$5:$DQ$5),1),IFERROR(INDEX(tRates[[k€]:[k€]],MATCH(AP6,tRates[[Key (lookup)]:[Key (lookup)]],0)),"no rate"))</f>
        <v>0.49199999999999999</v>
      </c>
      <c r="AQ2" s="62">
        <f>IF(LEFT(AP6,3)="fin",IFERROR(SUMPRODUCT($DM$2:$DQ$2,$DM$5:$DQ$5)/SUM($DM$5:$DQ$5),1),IFERROR(INDEX(tRates[[k€]:[k€]],MATCH(AQ6,tRates[[Key (lookup)]:[Key (lookup)]],0)),"no rate"))</f>
        <v>0.51300000000000001</v>
      </c>
      <c r="AR2" s="62" t="str">
        <f>IF(LEFT(AQ6,3)="fin",IFERROR(SUMPRODUCT($DM$2:$DQ$2,$DM$5:$DQ$5)/SUM($DM$5:$DQ$5),1),IFERROR(INDEX(tRates[[k€]:[k€]],MATCH(AR6,tRates[[Key (lookup)]:[Key (lookup)]],0)),"no rate"))</f>
        <v>na</v>
      </c>
      <c r="AS2" s="62">
        <f>IF(LEFT(AR6,3)="fin",IFERROR(SUMPRODUCT($DM$2:$DQ$2,$DM$5:$DQ$5)/SUM($DM$5:$DQ$5),1),IFERROR(INDEX(tRates[[k€]:[k€]],MATCH(AS6,tRates[[Key (lookup)]:[Key (lookup)]],0)),"no rate"))</f>
        <v>0.6</v>
      </c>
      <c r="AT2" s="62">
        <f>IF(LEFT(AS6,3)="fin",IFERROR(SUMPRODUCT($DM$2:$DQ$2,$DM$5:$DQ$5)/SUM($DM$5:$DQ$5),1),IFERROR(INDEX(tRates[[k€]:[k€]],MATCH(AT6,tRates[[Key (lookup)]:[Key (lookup)]],0)),"no rate"))</f>
        <v>0.48699999999999999</v>
      </c>
      <c r="AU2" s="62">
        <f>IF(LEFT(AT6,3)="fin",IFERROR(SUMPRODUCT($DM$2:$DQ$2,$DM$5:$DQ$5)/SUM($DM$5:$DQ$5),1),IFERROR(INDEX(tRates[[k€]:[k€]],MATCH(AU6,tRates[[Key (lookup)]:[Key (lookup)]],0)),"no rate"))</f>
        <v>1</v>
      </c>
      <c r="AV2" s="62">
        <f>IF(LEFT(AU6,3)="fin",IFERROR(SUMPRODUCT($DM$2:$DQ$2,$DM$5:$DQ$5)/SUM($DM$5:$DQ$5),1),IFERROR(INDEX(tRates[[k€]:[k€]],MATCH(AV6,tRates[[Key (lookup)]:[Key (lookup)]],0)),"no rate"))</f>
        <v>0.51300000000000001</v>
      </c>
      <c r="AW2" s="62" t="str">
        <f>IF(LEFT(AV6,3)="fin",IFERROR(SUMPRODUCT($DM$2:$DQ$2,$DM$5:$DQ$5)/SUM($DM$5:$DQ$5),1),IFERROR(INDEX(tRates[[k€]:[k€]],MATCH(AW6,tRates[[Key (lookup)]:[Key (lookup)]],0)),"no rate"))</f>
        <v>na</v>
      </c>
      <c r="AX2" s="62">
        <f>IF(LEFT(AW6,3)="fin",IFERROR(SUMPRODUCT($DM$2:$DQ$2,$DM$5:$DQ$5)/SUM($DM$5:$DQ$5),1),IFERROR(INDEX(tRates[[k€]:[k€]],MATCH(AX6,tRates[[Key (lookup)]:[Key (lookup)]],0)),"no rate"))</f>
        <v>0.6</v>
      </c>
      <c r="AY2" s="62">
        <f>IF(LEFT(AX6,3)="fin",IFERROR(SUMPRODUCT($DM$2:$DQ$2,$DM$5:$DQ$5)/SUM($DM$5:$DQ$5),1),IFERROR(INDEX(tRates[[k€]:[k€]],MATCH(AY6,tRates[[Key (lookup)]:[Key (lookup)]],0)),"no rate"))</f>
        <v>0.48699999999999999</v>
      </c>
      <c r="AZ2" s="62">
        <f>IF(LEFT(AY6,3)="fin",IFERROR(SUMPRODUCT($DM$2:$DQ$2,$DM$5:$DQ$5)/SUM($DM$5:$DQ$5),1),IFERROR(INDEX(tRates[[k€]:[k€]],MATCH(AZ6,tRates[[Key (lookup)]:[Key (lookup)]],0)),"no rate"))</f>
        <v>0.51300000000000001</v>
      </c>
      <c r="BA2" s="62">
        <f>IF(LEFT(AZ6,3)="fin",IFERROR(SUMPRODUCT($DM$2:$DQ$2,$DM$5:$DQ$5)/SUM($DM$5:$DQ$5),1),IFERROR(INDEX(tRates[[k€]:[k€]],MATCH(BA6,tRates[[Key (lookup)]:[Key (lookup)]],0)),"no rate"))</f>
        <v>0.57399999999999995</v>
      </c>
      <c r="BB2" s="62">
        <f>IF(LEFT(BA6,3)="fin",IFERROR(SUMPRODUCT($DM$2:$DQ$2,$DM$5:$DQ$5)/SUM($DM$5:$DQ$5),1),IFERROR(INDEX(tRates[[k€]:[k€]],MATCH(BB6,tRates[[Key (lookup)]:[Key (lookup)]],0)),"no rate"))</f>
        <v>1</v>
      </c>
      <c r="BC2" s="62">
        <f>IF(LEFT(BB6,3)="fin",IFERROR(SUMPRODUCT($DM$2:$DQ$2,$DM$5:$DQ$5)/SUM($DM$5:$DQ$5),1),IFERROR(INDEX(tRates[[k€]:[k€]],MATCH(BC6,tRates[[Key (lookup)]:[Key (lookup)]],0)),"no rate"))</f>
        <v>0.48699999999999999</v>
      </c>
      <c r="BD2" s="62">
        <f>IF(LEFT(BC6,3)="fin",IFERROR(SUMPRODUCT($DM$2:$DQ$2,$DM$5:$DQ$5)/SUM($DM$5:$DQ$5),1),IFERROR(INDEX(tRates[[k€]:[k€]],MATCH(BD6,tRates[[Key (lookup)]:[Key (lookup)]],0)),"no rate"))</f>
        <v>0.49199999999999999</v>
      </c>
      <c r="BE2" s="62">
        <f>IF(LEFT(BD6,3)="fin",IFERROR(SUMPRODUCT($DM$2:$DQ$2,$DM$5:$DQ$5)/SUM($DM$5:$DQ$5),1),IFERROR(INDEX(tRates[[k€]:[k€]],MATCH(BE6,tRates[[Key (lookup)]:[Key (lookup)]],0)),"no rate"))</f>
        <v>0.49199999999999999</v>
      </c>
      <c r="BF2" s="62">
        <f>IF(LEFT(BE6,3)="fin",IFERROR(SUMPRODUCT($DM$2:$DQ$2,$DM$5:$DQ$5)/SUM($DM$5:$DQ$5),1),IFERROR(INDEX(tRates[[k€]:[k€]],MATCH(BF6,tRates[[Key (lookup)]:[Key (lookup)]],0)),"no rate"))</f>
        <v>0.30199999999999999</v>
      </c>
      <c r="BG2" s="62">
        <f>IF(LEFT(BF6,3)="fin",IFERROR(SUMPRODUCT($DM$2:$DQ$2,$DM$5:$DQ$5)/SUM($DM$5:$DQ$5),1),IFERROR(INDEX(tRates[[k€]:[k€]],MATCH(BG6,tRates[[Key (lookup)]:[Key (lookup)]],0)),"no rate"))</f>
        <v>0.20599999999999999</v>
      </c>
      <c r="BH2" s="62">
        <f>IF(LEFT(BG6,3)="fin",IFERROR(SUMPRODUCT($DM$2:$DQ$2,$DM$5:$DQ$5)/SUM($DM$5:$DQ$5),1),IFERROR(INDEX(tRates[[k€]:[k€]],MATCH(BH6,tRates[[Key (lookup)]:[Key (lookup)]],0)),"no rate"))</f>
        <v>0.51300000000000001</v>
      </c>
      <c r="BI2" s="62">
        <f>IF(LEFT(BH6,3)="fin",IFERROR(SUMPRODUCT($DM$2:$DQ$2,$DM$5:$DQ$5)/SUM($DM$5:$DQ$5),1),IFERROR(INDEX(tRates[[k€]:[k€]],MATCH(BI6,tRates[[Key (lookup)]:[Key (lookup)]],0)),"no rate"))</f>
        <v>0.51300000000000001</v>
      </c>
      <c r="BJ2" s="62" t="str">
        <f>IF(LEFT(BI6,3)="fin",IFERROR(SUMPRODUCT($DM$2:$DQ$2,$DM$5:$DQ$5)/SUM($DM$5:$DQ$5),1),IFERROR(INDEX(tRates[[k€]:[k€]],MATCH(BJ6,tRates[[Key (lookup)]:[Key (lookup)]],0)),"no rate"))</f>
        <v>na</v>
      </c>
      <c r="BK2" s="62">
        <f>IF(LEFT(BJ6,3)="fin",IFERROR(SUMPRODUCT($DM$2:$DQ$2,$DM$5:$DQ$5)/SUM($DM$5:$DQ$5),1),IFERROR(INDEX(tRates[[k€]:[k€]],MATCH(BK6,tRates[[Key (lookup)]:[Key (lookup)]],0)),"no rate"))</f>
        <v>0.6</v>
      </c>
      <c r="BL2" s="62">
        <f>IF(LEFT(BK6,3)="fin",IFERROR(SUMPRODUCT($DM$2:$DQ$2,$DM$5:$DQ$5)/SUM($DM$5:$DQ$5),1),IFERROR(INDEX(tRates[[k€]:[k€]],MATCH(BL6,tRates[[Key (lookup)]:[Key (lookup)]],0)),"no rate"))</f>
        <v>0.48699999999999999</v>
      </c>
      <c r="BM2" s="62">
        <f>IF(LEFT(BL6,3)="fin",IFERROR(SUMPRODUCT($DM$2:$DQ$2,$DM$5:$DQ$5)/SUM($DM$5:$DQ$5),1),IFERROR(INDEX(tRates[[k€]:[k€]],MATCH(BM6,tRates[[Key (lookup)]:[Key (lookup)]],0)),"no rate"))</f>
        <v>0.51300000000000001</v>
      </c>
      <c r="BN2" s="62">
        <f>IF(LEFT(BM6,3)="fin",IFERROR(SUMPRODUCT($DM$2:$DQ$2,$DM$5:$DQ$5)/SUM($DM$5:$DQ$5),1),IFERROR(INDEX(tRates[[k€]:[k€]],MATCH(BN6,tRates[[Key (lookup)]:[Key (lookup)]],0)),"no rate"))</f>
        <v>0.51300000000000001</v>
      </c>
      <c r="BO2" s="62">
        <f>IF(LEFT(BN6,3)="fin",IFERROR(SUMPRODUCT($DM$2:$DQ$2,$DM$5:$DQ$5)/SUM($DM$5:$DQ$5),1),IFERROR(INDEX(tRates[[k€]:[k€]],MATCH(BO6,tRates[[Key (lookup)]:[Key (lookup)]],0)),"no rate"))</f>
        <v>0.51300000000000001</v>
      </c>
      <c r="BP2" s="62">
        <f>IF(LEFT(BO6,3)="fin",IFERROR(SUMPRODUCT($DM$2:$DQ$2,$DM$5:$DQ$5)/SUM($DM$5:$DQ$5),1),IFERROR(INDEX(tRates[[k€]:[k€]],MATCH(BP6,tRates[[Key (lookup)]:[Key (lookup)]],0)),"no rate"))</f>
        <v>1</v>
      </c>
      <c r="BQ2" s="62" t="str">
        <f>IF(LEFT(BP6,3)="fin",IFERROR(SUMPRODUCT($DM$2:$DQ$2,$DM$5:$DQ$5)/SUM($DM$5:$DQ$5),1),IFERROR(INDEX(tRates[[k€]:[k€]],MATCH(BQ6,tRates[[Key (lookup)]:[Key (lookup)]],0)),"no rate"))</f>
        <v>na</v>
      </c>
      <c r="BR2" s="62">
        <f>IF(LEFT(BQ6,3)="fin",IFERROR(SUMPRODUCT($DM$2:$DQ$2,$DM$5:$DQ$5)/SUM($DM$5:$DQ$5),1),IFERROR(INDEX(tRates[[k€]:[k€]],MATCH(BR6,tRates[[Key (lookup)]:[Key (lookup)]],0)),"no rate"))</f>
        <v>1</v>
      </c>
      <c r="BS2" s="62">
        <f>IF(LEFT(BR6,3)="fin",IFERROR(SUMPRODUCT($DM$2:$DQ$2,$DM$5:$DQ$5)/SUM($DM$5:$DQ$5),1),IFERROR(INDEX(tRates[[k€]:[k€]],MATCH(BS6,tRates[[Key (lookup)]:[Key (lookup)]],0)),"no rate"))</f>
        <v>0.48699999999999999</v>
      </c>
      <c r="BT2" s="62" t="str">
        <f>IF(LEFT(BS6,3)="fin",IFERROR(SUMPRODUCT($DM$2:$DQ$2,$DM$5:$DQ$5)/SUM($DM$5:$DQ$5),1),IFERROR(INDEX(tRates[[k€]:[k€]],MATCH(BT6,tRates[[Key (lookup)]:[Key (lookup)]],0)),"no rate"))</f>
        <v>na</v>
      </c>
      <c r="BU2" s="62">
        <f>IF(LEFT(BT6,3)="fin",IFERROR(SUMPRODUCT($DM$2:$DQ$2,$DM$5:$DQ$5)/SUM($DM$5:$DQ$5),1),IFERROR(INDEX(tRates[[k€]:[k€]],MATCH(BU6,tRates[[Key (lookup)]:[Key (lookup)]],0)),"no rate"))</f>
        <v>0.48699999999999999</v>
      </c>
      <c r="BV2" s="62">
        <f>IF(LEFT(BU6,3)="fin",IFERROR(SUMPRODUCT($DM$2:$DQ$2,$DM$5:$DQ$5)/SUM($DM$5:$DQ$5),1),IFERROR(INDEX(tRates[[k€]:[k€]],MATCH(BV6,tRates[[Key (lookup)]:[Key (lookup)]],0)),"no rate"))</f>
        <v>0.48699999999999999</v>
      </c>
      <c r="BW2" s="62">
        <f>IF(LEFT(BV6,3)="fin",IFERROR(SUMPRODUCT($DM$2:$DQ$2,$DM$5:$DQ$5)/SUM($DM$5:$DQ$5),1),IFERROR(INDEX(tRates[[k€]:[k€]],MATCH(BW6,tRates[[Key (lookup)]:[Key (lookup)]],0)),"no rate"))</f>
        <v>0.48699999999999999</v>
      </c>
      <c r="BX2" s="62" t="str">
        <f>IF(LEFT(BW6,3)="fin",IFERROR(SUMPRODUCT($DM$2:$DQ$2,$DM$5:$DQ$5)/SUM($DM$5:$DQ$5),1),IFERROR(INDEX(tRates[[k€]:[k€]],MATCH(BX6,tRates[[Key (lookup)]:[Key (lookup)]],0)),"no rate"))</f>
        <v>na</v>
      </c>
      <c r="BY2" s="62">
        <f>IF(LEFT(BX6,3)="fin",IFERROR(SUMPRODUCT($DM$2:$DQ$2,$DM$5:$DQ$5)/SUM($DM$5:$DQ$5),1),IFERROR(INDEX(tRates[[k€]:[k€]],MATCH(BY6,tRates[[Key (lookup)]:[Key (lookup)]],0)),"no rate"))</f>
        <v>0.6</v>
      </c>
      <c r="BZ2" s="62">
        <f>IF(LEFT(BY6,3)="fin",IFERROR(SUMPRODUCT($DM$2:$DQ$2,$DM$5:$DQ$5)/SUM($DM$5:$DQ$5),1),IFERROR(INDEX(tRates[[k€]:[k€]],MATCH(BZ6,tRates[[Key (lookup)]:[Key (lookup)]],0)),"no rate"))</f>
        <v>0.48699999999999999</v>
      </c>
      <c r="CA2" s="62">
        <f>IF(LEFT(BZ6,3)="fin",IFERROR(SUMPRODUCT($DM$2:$DQ$2,$DM$5:$DQ$5)/SUM($DM$5:$DQ$5),1),IFERROR(INDEX(tRates[[k€]:[k€]],MATCH(CA6,tRates[[Key (lookup)]:[Key (lookup)]],0)),"no rate"))</f>
        <v>0.51300000000000001</v>
      </c>
      <c r="CB2" s="62">
        <f>IF(LEFT(CA6,3)="fin",IFERROR(SUMPRODUCT($DM$2:$DQ$2,$DM$5:$DQ$5)/SUM($DM$5:$DQ$5),1),IFERROR(INDEX(tRates[[k€]:[k€]],MATCH(CB6,tRates[[Key (lookup)]:[Key (lookup)]],0)),"no rate"))</f>
        <v>0.51300000000000001</v>
      </c>
      <c r="CC2" s="62">
        <f>IF(LEFT(CB6,3)="fin",IFERROR(SUMPRODUCT($DM$2:$DQ$2,$DM$5:$DQ$5)/SUM($DM$5:$DQ$5),1),IFERROR(INDEX(tRates[[k€]:[k€]],MATCH(CC6,tRates[[Key (lookup)]:[Key (lookup)]],0)),"no rate"))</f>
        <v>0.49199999999999999</v>
      </c>
      <c r="CD2" s="62">
        <f>IF(LEFT(CC6,3)="fin",IFERROR(SUMPRODUCT($DM$2:$DQ$2,$DM$5:$DQ$5)/SUM($DM$5:$DQ$5),1),IFERROR(INDEX(tRates[[k€]:[k€]],MATCH(CD6,tRates[[Key (lookup)]:[Key (lookup)]],0)),"no rate"))</f>
        <v>0.29499999999999998</v>
      </c>
      <c r="CE2" s="62" t="str">
        <f>IF(LEFT(CD6,3)="fin",IFERROR(SUMPRODUCT($DM$2:$DQ$2,$DM$5:$DQ$5)/SUM($DM$5:$DQ$5),1),IFERROR(INDEX(tRates[[k€]:[k€]],MATCH(CE6,tRates[[Key (lookup)]:[Key (lookup)]],0)),"no rate"))</f>
        <v>na</v>
      </c>
      <c r="CF2" s="62">
        <f>IF(LEFT(CE6,3)="fin",IFERROR(SUMPRODUCT($DM$2:$DQ$2,$DM$5:$DQ$5)/SUM($DM$5:$DQ$5),1),IFERROR(INDEX(tRates[[k€]:[k€]],MATCH(CF6,tRates[[Key (lookup)]:[Key (lookup)]],0)),"no rate"))</f>
        <v>1</v>
      </c>
      <c r="CG2" s="62">
        <f>IF(LEFT(CF6,3)="fin",IFERROR(SUMPRODUCT($DM$2:$DQ$2,$DM$5:$DQ$5)/SUM($DM$5:$DQ$5),1),IFERROR(INDEX(tRates[[k€]:[k€]],MATCH(CG6,tRates[[Key (lookup)]:[Key (lookup)]],0)),"no rate"))</f>
        <v>0.57399999999999995</v>
      </c>
      <c r="CH2" s="62">
        <f>IF(LEFT(CG6,3)="fin",IFERROR(SUMPRODUCT($DM$2:$DQ$2,$DM$5:$DQ$5)/SUM($DM$5:$DQ$5),1),IFERROR(INDEX(tRates[[k€]:[k€]],MATCH(CH6,tRates[[Key (lookup)]:[Key (lookup)]],0)),"no rate"))</f>
        <v>0.57399999999999995</v>
      </c>
      <c r="CI2" s="62">
        <f>IF(LEFT(CH6,3)="fin",IFERROR(SUMPRODUCT($DM$2:$DQ$2,$DM$5:$DQ$5)/SUM($DM$5:$DQ$5),1),IFERROR(INDEX(tRates[[k€]:[k€]],MATCH(CI6,tRates[[Key (lookup)]:[Key (lookup)]],0)),"no rate"))</f>
        <v>0.30199999999999999</v>
      </c>
      <c r="CJ2" s="62">
        <f>IF(LEFT(CI6,3)="fin",IFERROR(SUMPRODUCT($DM$2:$DQ$2,$DM$5:$DQ$5)/SUM($DM$5:$DQ$5),1),IFERROR(INDEX(tRates[[k€]:[k€]],MATCH(CJ6,tRates[[Key (lookup)]:[Key (lookup)]],0)),"no rate"))</f>
        <v>0.20599999999999999</v>
      </c>
      <c r="CK2" s="62" t="str">
        <f>IF(LEFT(CJ6,3)="fin",IFERROR(SUMPRODUCT($DM$2:$DQ$2,$DM$5:$DQ$5)/SUM($DM$5:$DQ$5),1),IFERROR(INDEX(tRates[[k€]:[k€]],MATCH(CK6,tRates[[Key (lookup)]:[Key (lookup)]],0)),"no rate"))</f>
        <v>na</v>
      </c>
      <c r="CL2" s="62">
        <f>IF(LEFT(CK6,3)="fin",IFERROR(SUMPRODUCT($DM$2:$DQ$2,$DM$5:$DQ$5)/SUM($DM$5:$DQ$5),1),IFERROR(INDEX(tRates[[k€]:[k€]],MATCH(CL6,tRates[[Key (lookup)]:[Key (lookup)]],0)),"no rate"))</f>
        <v>0.6</v>
      </c>
      <c r="CM2" s="62">
        <f>IF(LEFT(CL6,3)="fin",IFERROR(SUMPRODUCT($DM$2:$DQ$2,$DM$5:$DQ$5)/SUM($DM$5:$DQ$5),1),IFERROR(INDEX(tRates[[k€]:[k€]],MATCH(CM6,tRates[[Key (lookup)]:[Key (lookup)]],0)),"no rate"))</f>
        <v>0.48699999999999999</v>
      </c>
      <c r="CN2" s="62">
        <f>IF(LEFT(CM6,3)="fin",IFERROR(SUMPRODUCT($DM$2:$DQ$2,$DM$5:$DQ$5)/SUM($DM$5:$DQ$5),1),IFERROR(INDEX(tRates[[k€]:[k€]],MATCH(CN6,tRates[[Key (lookup)]:[Key (lookup)]],0)),"no rate"))</f>
        <v>0.51300000000000001</v>
      </c>
      <c r="CO2" s="62" t="str">
        <f>IF(LEFT(CN6,3)="fin",IFERROR(SUMPRODUCT($DM$2:$DQ$2,$DM$5:$DQ$5)/SUM($DM$5:$DQ$5),1),IFERROR(INDEX(tRates[[k€]:[k€]],MATCH(CO6,tRates[[Key (lookup)]:[Key (lookup)]],0)),"no rate"))</f>
        <v>na</v>
      </c>
      <c r="CP2" s="62">
        <f>IF(LEFT(CO6,3)="fin",IFERROR(SUMPRODUCT($DM$2:$DQ$2,$DM$5:$DQ$5)/SUM($DM$5:$DQ$5),1),IFERROR(INDEX(tRates[[k€]:[k€]],MATCH(CP6,tRates[[Key (lookup)]:[Key (lookup)]],0)),"no rate"))</f>
        <v>1</v>
      </c>
      <c r="CQ2" s="62">
        <f>IF(LEFT(CP6,3)="fin",IFERROR(SUMPRODUCT($DM$2:$DQ$2,$DM$5:$DQ$5)/SUM($DM$5:$DQ$5),1),IFERROR(INDEX(tRates[[k€]:[k€]],MATCH(CQ6,tRates[[Key (lookup)]:[Key (lookup)]],0)),"no rate"))</f>
        <v>0.65600000000000003</v>
      </c>
      <c r="CR2" s="62">
        <f>IF(LEFT(CQ6,3)="fin",IFERROR(SUMPRODUCT($DM$2:$DQ$2,$DM$5:$DQ$5)/SUM($DM$5:$DQ$5),1),IFERROR(INDEX(tRates[[k€]:[k€]],MATCH(CR6,tRates[[Key (lookup)]:[Key (lookup)]],0)),"no rate"))</f>
        <v>0.57399999999999995</v>
      </c>
      <c r="CS2" s="62">
        <f>IF(LEFT(CR6,3)="fin",IFERROR(SUMPRODUCT($DM$2:$DQ$2,$DM$5:$DQ$5)/SUM($DM$5:$DQ$5),1),IFERROR(INDEX(tRates[[k€]:[k€]],MATCH(CS6,tRates[[Key (lookup)]:[Key (lookup)]],0)),"no rate"))</f>
        <v>0.57399999999999995</v>
      </c>
      <c r="CT2" s="62">
        <f>IF(LEFT(CS6,3)="fin",IFERROR(SUMPRODUCT($DM$2:$DQ$2,$DM$5:$DQ$5)/SUM($DM$5:$DQ$5),1),IFERROR(INDEX(tRates[[k€]:[k€]],MATCH(CT6,tRates[[Key (lookup)]:[Key (lookup)]],0)),"no rate"))</f>
        <v>0.30199999999999999</v>
      </c>
      <c r="CU2" s="62" t="str">
        <f>IF(LEFT(CT6,3)="fin",IFERROR(SUMPRODUCT($DM$2:$DQ$2,$DM$5:$DQ$5)/SUM($DM$5:$DQ$5),1),IFERROR(INDEX(tRates[[k€]:[k€]],MATCH(CU6,tRates[[Key (lookup)]:[Key (lookup)]],0)),"no rate"))</f>
        <v>na</v>
      </c>
      <c r="CV2" s="62">
        <f>IF(LEFT(CU6,3)="fin",IFERROR(SUMPRODUCT($DM$2:$DQ$2,$DM$5:$DQ$5)/SUM($DM$5:$DQ$5),1),IFERROR(INDEX(tRates[[k€]:[k€]],MATCH(CV6,tRates[[Key (lookup)]:[Key (lookup)]],0)),"no rate"))</f>
        <v>0.51300000000000001</v>
      </c>
      <c r="CW2" s="62">
        <f>IF(LEFT(CV6,3)="fin",IFERROR(SUMPRODUCT($DM$2:$DQ$2,$DM$5:$DQ$5)/SUM($DM$5:$DQ$5),1),IFERROR(INDEX(tRates[[k€]:[k€]],MATCH(CW6,tRates[[Key (lookup)]:[Key (lookup)]],0)),"no rate"))</f>
        <v>0.30199999999999999</v>
      </c>
      <c r="CX2" s="62">
        <f>IF(LEFT(CW6,3)="fin",IFERROR(SUMPRODUCT($DM$2:$DQ$2,$DM$5:$DQ$5)/SUM($DM$5:$DQ$5),1),IFERROR(INDEX(tRates[[k€]:[k€]],MATCH(CX6,tRates[[Key (lookup)]:[Key (lookup)]],0)),"no rate"))</f>
        <v>0.20599999999999999</v>
      </c>
      <c r="CY2" s="62" t="str">
        <f>IF(LEFT(CX6,3)="fin",IFERROR(SUMPRODUCT($DM$2:$DQ$2,$DM$5:$DQ$5)/SUM($DM$5:$DQ$5),1),IFERROR(INDEX(tRates[[k€]:[k€]],MATCH(CY6,tRates[[Key (lookup)]:[Key (lookup)]],0)),"no rate"))</f>
        <v>na</v>
      </c>
      <c r="CZ2" s="62">
        <f>IF(LEFT(CY6,3)="fin",IFERROR(SUMPRODUCT($DM$2:$DQ$2,$DM$5:$DQ$5)/SUM($DM$5:$DQ$5),1),IFERROR(INDEX(tRates[[k€]:[k€]],MATCH(CZ6,tRates[[Key (lookup)]:[Key (lookup)]],0)),"no rate"))</f>
        <v>0.6</v>
      </c>
      <c r="DA2" s="62">
        <f>IF(LEFT(CZ6,3)="fin",IFERROR(SUMPRODUCT($DM$2:$DQ$2,$DM$5:$DQ$5)/SUM($DM$5:$DQ$5),1),IFERROR(INDEX(tRates[[k€]:[k€]],MATCH(DA6,tRates[[Key (lookup)]:[Key (lookup)]],0)),"no rate"))</f>
        <v>0.51300000000000001</v>
      </c>
      <c r="DB2" s="62">
        <f>IF(LEFT(DA6,3)="fin",IFERROR(SUMPRODUCT($DM$2:$DQ$2,$DM$5:$DQ$5)/SUM($DM$5:$DQ$5),1),IFERROR(INDEX(tRates[[k€]:[k€]],MATCH(DB6,tRates[[Key (lookup)]:[Key (lookup)]],0)),"no rate"))</f>
        <v>0.51300000000000001</v>
      </c>
      <c r="DC2" s="62">
        <f>IF(LEFT(DB6,3)="fin",IFERROR(SUMPRODUCT($DM$2:$DQ$2,$DM$5:$DQ$5)/SUM($DM$5:$DQ$5),1),IFERROR(INDEX(tRates[[k€]:[k€]],MATCH(DC6,tRates[[Key (lookup)]:[Key (lookup)]],0)),"no rate"))</f>
        <v>1</v>
      </c>
      <c r="DD2" s="62" t="str">
        <f>IF(LEFT(DC6,3)="fin",IFERROR(SUMPRODUCT($DM$2:$DQ$2,$DM$5:$DQ$5)/SUM($DM$5:$DQ$5),1),IFERROR(INDEX(tRates[[k€]:[k€]],MATCH(#REF!,tRates[[Key (lookup)]:[Key (lookup)]],0)),"no rate"))</f>
        <v>no rate</v>
      </c>
      <c r="DE2" s="62" t="e">
        <f>IF(LEFT(#REF!,3)="fin",IFERROR(SUMPRODUCT($DM$2:$DQ$2,$DM$5:$DQ$5)/SUM($DM$5:$DQ$5),1),IFERROR(INDEX(tRates[[k€]:[k€]],MATCH(#REF!,tRates[[Key (lookup)]:[Key (lookup)]],0)),"no rate"))</f>
        <v>#REF!</v>
      </c>
      <c r="DF2" s="62" t="e">
        <f>IF(LEFT(#REF!,3)="fin",IFERROR(SUMPRODUCT($DM$2:$DQ$2,$DM$5:$DQ$5)/SUM($DM$5:$DQ$5),1),IFERROR(INDEX(tRates[[k€]:[k€]],MATCH(DF6,tRates[[Key (lookup)]:[Key (lookup)]],0)),"no rate"))</f>
        <v>#REF!</v>
      </c>
      <c r="DG2" s="62" t="str">
        <f>IF(LEFT(DF6,3)="fin",IFERROR(SUMPRODUCT($DM$2:$DQ$2,$DM$5:$DQ$5)/SUM($DM$5:$DQ$5),1),IFERROR(INDEX(tRates[[k€]:[k€]],MATCH(DG6,tRates[[Key (lookup)]:[Key (lookup)]],0)),"no rate"))</f>
        <v>na</v>
      </c>
      <c r="DH2" s="62">
        <f>IF(LEFT(DG6,3)="fin",IFERROR(SUMPRODUCT($DM$2:$DQ$2,$DM$5:$DQ$5)/SUM($DM$5:$DQ$5),1),IFERROR(INDEX(tRates[[k€]:[k€]],MATCH(DH6,tRates[[Key (lookup)]:[Key (lookup)]],0)),"no rate"))</f>
        <v>0.6</v>
      </c>
      <c r="DI2" s="62" t="str">
        <f>IF(LEFT(DH6,3)="fin",IFERROR(SUMPRODUCT($DM$2:$DQ$2,$DM$5:$DQ$5)/SUM($DM$5:$DQ$5),1),IFERROR(INDEX(tRates[[k€]:[k€]],MATCH(DI6,tRates[[Key (lookup)]:[Key (lookup)]],0)),"no rate"))</f>
        <v>na</v>
      </c>
      <c r="DJ2" s="62">
        <f>IF(LEFT(DI6,3)="fin",IFERROR(SUMPRODUCT($DM$2:$DQ$2,$DM$5:$DQ$5)/SUM($DM$5:$DQ$5),1),IFERROR(INDEX(tRates[[k€]:[k€]],MATCH(DJ6,tRates[[Key (lookup)]:[Key (lookup)]],0)),"no rate"))</f>
        <v>0.51300000000000001</v>
      </c>
      <c r="DK2" s="62" t="str">
        <f>IF(LEFT(DJ6,3)="fin",IFERROR(SUMPRODUCT($DM$2:$DQ$2,$DM$5:$DQ$5)/SUM($DM$5:$DQ$5),1),IFERROR(INDEX(tRates[[k€]:[k€]],MATCH(DK6,tRates[[Key (lookup)]:[Key (lookup)]],0)),"no rate"))</f>
        <v>na</v>
      </c>
      <c r="DL2" s="62">
        <f>IF(LEFT(DK6,3)="fin",IFERROR(SUMPRODUCT($DM$2:$DQ$2,$DM$5:$DQ$5)/SUM($DM$5:$DQ$5),1),IFERROR(INDEX(tRates[[k€]:[k€]],MATCH(DL6,tRates[[Key (lookup)]:[Key (lookup)]],0)),"no rate"))</f>
        <v>1.0046132252027449</v>
      </c>
      <c r="DM2" s="62">
        <f>IF(LEFT(DL6,3)="fin",IFERROR(SUMPRODUCT($DM$2:$DQ$2,$DM$5:$DQ$5)/SUM($DM$5:$DQ$5),1),IFERROR(INDEX(tRates[[k€]:[k€]],MATCH(DM6,tRates[[Key (lookup)]:[Key (lookup)]],0)),"no rate"))</f>
        <v>0.65500000000000003</v>
      </c>
      <c r="DN2" s="62">
        <f>IF(LEFT(DM6,3)="fin",IFERROR(SUMPRODUCT($DM$2:$DQ$2,$DM$5:$DQ$5)/SUM($DM$5:$DQ$5),1),IFERROR(INDEX(tRates[[k€]:[k€]],MATCH(DN6,tRates[[Key (lookup)]:[Key (lookup)]],0)),"no rate"))</f>
        <v>0.53400000000000003</v>
      </c>
      <c r="DO2" s="62">
        <f>IF(LEFT(DN6,3)="fin",IFERROR(SUMPRODUCT($DM$2:$DQ$2,$DM$5:$DQ$5)/SUM($DM$5:$DQ$5),1),IFERROR(INDEX(tRates[[k€]:[k€]],MATCH(DO6,tRates[[Key (lookup)]:[Key (lookup)]],0)),"no rate"))</f>
        <v>0.56299999999999994</v>
      </c>
      <c r="DP2" s="62">
        <f>IF(LEFT(DO6,3)="fin",IFERROR(SUMPRODUCT($DM$2:$DQ$2,$DM$5:$DQ$5)/SUM($DM$5:$DQ$5),1),IFERROR(INDEX(tRates[[k€]:[k€]],MATCH(DP6,tRates[[Key (lookup)]:[Key (lookup)]],0)),"no rate"))</f>
        <v>0.60599999999999998</v>
      </c>
      <c r="DQ2" s="62">
        <f>IF(LEFT(DP6,3)="fin",IFERROR(SUMPRODUCT($DM$2:$DQ$2,$DM$5:$DQ$5)/SUM($DM$5:$DQ$5),1),IFERROR(INDEX(tRates[[k€]:[k€]],MATCH(DQ6,tRates[[Key (lookup)]:[Key (lookup)]],0)),"no rate"))</f>
        <v>1.1339999999999999</v>
      </c>
      <c r="DR2" s="62" t="str">
        <f>IF(LEFT(DQ6,3)="fin",IFERROR(SUMPRODUCT($DM$2:$DQ$2,$DM$5:$DQ$5)/SUM($DM$5:$DQ$5),1),IFERROR(INDEX(tRates[[k€]:[k€]],MATCH(DR6,tRates[[Key (lookup)]:[Key (lookup)]],0)),"no rate"))</f>
        <v>no rate</v>
      </c>
      <c r="DS2" s="62" t="str">
        <f>IF(LEFT(DR6,3)="fin",IFERROR(SUMPRODUCT($DM$2:$DQ$2,$DM$5:$DQ$5)/SUM($DM$5:$DQ$5),1),IFERROR(INDEX(tRates[[k€]:[k€]],MATCH(DS6,tRates[[Key (lookup)]:[Key (lookup)]],0)),"no rate"))</f>
        <v>no rate</v>
      </c>
      <c r="DT2" s="62" t="str">
        <f>IF(LEFT(DS6,3)="fin",IFERROR(SUMPRODUCT($DM$2:$DQ$2,$DM$5:$DQ$5)/SUM($DM$5:$DQ$5),1),IFERROR(INDEX(tRates[[k€]:[k€]],MATCH(DT6,tRates[[Key (lookup)]:[Key (lookup)]],0)),"no rate"))</f>
        <v>no rate</v>
      </c>
      <c r="DU2" s="62" t="str">
        <f>IF(LEFT(DT6,3)="fin",IFERROR(SUMPRODUCT($DM$2:$DQ$2,$DM$5:$DQ$5)/SUM($DM$5:$DQ$5),1),IFERROR(INDEX(tRates[[k€]:[k€]],MATCH(DU6,tRates[[Key (lookup)]:[Key (lookup)]],0)),"no rate"))</f>
        <v>no rate</v>
      </c>
      <c r="DV2" s="62" t="str">
        <f>IF(LEFT(DU6,3)="fin",IFERROR(SUMPRODUCT($DM$2:$DQ$2,$DM$5:$DQ$5)/SUM($DM$5:$DQ$5),1),IFERROR(INDEX(tRates[[k€]:[k€]],MATCH(DV6,tRates[[Key (lookup)]:[Key (lookup)]],0)),"no rate"))</f>
        <v>no rate</v>
      </c>
      <c r="DW2" s="62" t="str">
        <f>IF(LEFT(DV6,3)="fin",IFERROR(SUMPRODUCT($DM$2:$DQ$2,$DM$5:$DQ$5)/SUM($DM$5:$DQ$5),1),IFERROR(INDEX(tRates[[k€]:[k€]],MATCH(DW6,tRates[[Key (lookup)]:[Key (lookup)]],0)),"no rate"))</f>
        <v>no rate</v>
      </c>
      <c r="DX2" s="62" t="str">
        <f>IF(LEFT(DW6,3)="fin",IFERROR(SUMPRODUCT($DM$2:$DQ$2,$DM$5:$DQ$5)/SUM($DM$5:$DQ$5),1),IFERROR(INDEX(tRates[[k€]:[k€]],MATCH(DX6,tRates[[Key (lookup)]:[Key (lookup)]],0)),"no rate"))</f>
        <v>na</v>
      </c>
      <c r="DY2" s="62">
        <f>IF(LEFT(DX6,3)="fin",IFERROR(SUMPRODUCT($DM$2:$DQ$2,$DM$5:$DQ$5)/SUM($DM$5:$DQ$5),1),IFERROR(INDEX(tRates[[k€]:[k€]],MATCH(DY6,tRates[[Key (lookup)]:[Key (lookup)]],0)),"no rate"))</f>
        <v>1.0249999999999999</v>
      </c>
      <c r="DZ2" s="62" t="str">
        <f>IF(LEFT(DY6,3)="fin",IFERROR(SUMPRODUCT($DM$2:$DQ$2,$DM$5:$DQ$5)/SUM($DM$5:$DQ$5),1),IFERROR(INDEX(tRates[[k€]:[k€]],MATCH(DZ6,tRates[[Key (lookup)]:[Key (lookup)]],0)),"no rate"))</f>
        <v>na</v>
      </c>
      <c r="EA2" s="62">
        <f>IF(LEFT(DZ6,3)="fin",IFERROR(SUMPRODUCT($DM$2:$DQ$2,$DM$5:$DQ$5)/SUM($DM$5:$DQ$5),1),IFERROR(INDEX(tRates[[k€]:[k€]],MATCH(EA6,tRates[[Key (lookup)]:[Key (lookup)]],0)),"no rate"))</f>
        <v>0.56899999999999995</v>
      </c>
      <c r="EB2" s="62" t="str">
        <f>IF(LEFT(EA6,3)="fin",IFERROR(SUMPRODUCT($DM$2:$DQ$2,$DM$5:$DQ$5)/SUM($DM$5:$DQ$5),1),IFERROR(INDEX(tRates[[k€]:[k€]],MATCH(EB6,tRates[[Key (lookup)]:[Key (lookup)]],0)),"no rate"))</f>
        <v>na</v>
      </c>
      <c r="EC2" s="62">
        <f>IF(LEFT(EB6,3)="fin",IFERROR(SUMPRODUCT($DM$2:$DQ$2,$DM$5:$DQ$5)/SUM($DM$5:$DQ$5),1),IFERROR(INDEX(tRates[[k€]:[k€]],MATCH(EC6,tRates[[Key (lookup)]:[Key (lookup)]],0)),"no rate"))</f>
        <v>0.56399999999999995</v>
      </c>
      <c r="ED2" s="62" t="str">
        <f>IF(LEFT(EC6,3)="fin",IFERROR(SUMPRODUCT($DM$2:$DQ$2,$DM$5:$DQ$5)/SUM($DM$5:$DQ$5),1),IFERROR(INDEX(tRates[[k€]:[k€]],MATCH(ED6,tRates[[Key (lookup)]:[Key (lookup)]],0)),"no rate"))</f>
        <v>na</v>
      </c>
      <c r="EE2" s="62">
        <f>IF(LEFT(ED6,3)="fin",IFERROR(SUMPRODUCT($DM$2:$DQ$2,$DM$5:$DQ$5)/SUM($DM$5:$DQ$5),1),IFERROR(INDEX(tRates[[k€]:[k€]],MATCH(EE6,tRates[[Key (lookup)]:[Key (lookup)]],0)),"no rate"))</f>
        <v>0.51300000000000001</v>
      </c>
      <c r="EF2" s="62" t="str">
        <f>IF(LEFT(EE6,3)="fin",IFERROR(SUMPRODUCT($DM$2:$DQ$2,$DM$5:$DQ$5)/SUM($DM$5:$DQ$5),1),IFERROR(INDEX(tRates[[k€]:[k€]],MATCH(EF6,tRates[[Key (lookup)]:[Key (lookup)]],0)),"no rate"))</f>
        <v>na</v>
      </c>
      <c r="EG2" s="62" t="str">
        <f>IF(LEFT(EF6,3)="fin",IFERROR(SUMPRODUCT($DM$2:$DQ$2,$DM$5:$DQ$5)/SUM($DM$5:$DQ$5),1),IFERROR(INDEX(tRates[[k€]:[k€]],MATCH(EG6,tRates[[Key (lookup)]:[Key (lookup)]],0)),"no rate"))</f>
        <v>no rate</v>
      </c>
      <c r="EH2" s="62">
        <f>IF(LEFT(EG6,3)="fin",IFERROR(SUMPRODUCT($DM$2:$DQ$2,$DM$5:$DQ$5)/SUM($DM$5:$DQ$5),1),IFERROR(INDEX(tRates[[k€]:[k€]],MATCH(EH6,tRates[[Key (lookup)]:[Key (lookup)]],0)),"no rate"))</f>
        <v>1.0249999999999999</v>
      </c>
      <c r="EI2" s="62">
        <f>IF(LEFT(EH6,3)="fin",IFERROR(SUMPRODUCT($DM$2:$DQ$2,$DM$5:$DQ$5)/SUM($DM$5:$DQ$5),1),IFERROR(INDEX(tRates[[k€]:[k€]],MATCH(EI6,tRates[[Key (lookup)]:[Key (lookup)]],0)),"no rate"))</f>
        <v>1.0249999999999999</v>
      </c>
      <c r="EJ2" s="62">
        <f>IF(LEFT(EI6,3)="fin",IFERROR(SUMPRODUCT($DM$2:$DQ$2,$DM$5:$DQ$5)/SUM($DM$5:$DQ$5),1),IFERROR(INDEX(tRates[[k€]:[k€]],MATCH(EJ6,tRates[[Key (lookup)]:[Key (lookup)]],0)),"no rate"))</f>
        <v>0.71799999999999997</v>
      </c>
      <c r="EK2" s="62">
        <f>IF(LEFT(EJ6,3)="fin",IFERROR(SUMPRODUCT($DM$2:$DQ$2,$DM$5:$DQ$5)/SUM($DM$5:$DQ$5),1),IFERROR(INDEX(tRates[[k€]:[k€]],MATCH(EK6,tRates[[Key (lookup)]:[Key (lookup)]],0)),"no rate"))</f>
        <v>0.48199999999999998</v>
      </c>
      <c r="EL2" s="62">
        <f>IF(LEFT(EK6,3)="fin",IFERROR(SUMPRODUCT($DM$2:$DQ$2,$DM$5:$DQ$5)/SUM($DM$5:$DQ$5),1),IFERROR(INDEX(tRates[[k€]:[k€]],MATCH(EL6,tRates[[Key (lookup)]:[Key (lookup)]],0)),"no rate"))</f>
        <v>0.29499999999999998</v>
      </c>
      <c r="EM2" s="62">
        <f>IF(LEFT(EL6,3)="fin",IFERROR(SUMPRODUCT($DM$2:$DQ$2,$DM$5:$DQ$5)/SUM($DM$5:$DQ$5),1),IFERROR(INDEX(tRates[[k€]:[k€]],MATCH(EM6,tRates[[Key (lookup)]:[Key (lookup)]],0)),"no rate"))</f>
        <v>9.4E-2</v>
      </c>
      <c r="EN2" s="62">
        <f>IF(LEFT(EM6,3)="fin",IFERROR(SUMPRODUCT($DM$2:$DQ$2,$DM$5:$DQ$5)/SUM($DM$5:$DQ$5),1),IFERROR(INDEX(tRates[[k€]:[k€]],MATCH(EN6,tRates[[Key (lookup)]:[Key (lookup)]],0)),"no rate"))</f>
        <v>9.4E-2</v>
      </c>
      <c r="EO2" s="62">
        <f>IF(LEFT(EN6,3)="fin",IFERROR(SUMPRODUCT($DM$2:$DQ$2,$DM$5:$DQ$5)/SUM($DM$5:$DQ$5),1),IFERROR(INDEX(tRates[[k€]:[k€]],MATCH(EO6,tRates[[Key (lookup)]:[Key (lookup)]],0)),"no rate"))</f>
        <v>0.20599999999999999</v>
      </c>
      <c r="EP2" s="62">
        <f>IF(LEFT(EO6,3)="fin",IFERROR(SUMPRODUCT($DM$2:$DQ$2,$DM$5:$DQ$5)/SUM($DM$5:$DQ$5),1),IFERROR(INDEX(tRates[[k€]:[k€]],MATCH(EP6,tRates[[Key (lookup)]:[Key (lookup)]],0)),"no rate"))</f>
        <v>0.19500000000000001</v>
      </c>
      <c r="EQ2" s="62" t="str">
        <f>IF(LEFT(EP6,3)="fin",IFERROR(SUMPRODUCT($DM$2:$DQ$2,$DM$5:$DQ$5)/SUM($DM$5:$DQ$5),1),IFERROR(INDEX(tRates[[k€]:[k€]],MATCH(EQ6,tRates[[Key (lookup)]:[Key (lookup)]],0)),"no rate"))</f>
        <v>no rate</v>
      </c>
      <c r="ER2" s="62" t="str">
        <f>IF(LEFT(EQ6,3)="fin",IFERROR(SUMPRODUCT($DM$2:$DQ$2,$DM$5:$DQ$5)/SUM($DM$5:$DQ$5),1),IFERROR(INDEX(tRates[[k€]:[k€]],MATCH(ER6,tRates[[Key (lookup)]:[Key (lookup)]],0)),"no rate"))</f>
        <v>no rate</v>
      </c>
      <c r="ES2" s="62" t="str">
        <f>IF(LEFT(ER6,3)="fin",IFERROR(SUMPRODUCT($DM$2:$DQ$2,$DM$5:$DQ$5)/SUM($DM$5:$DQ$5),1),IFERROR(INDEX(tRates[[k€]:[k€]],MATCH(ES6,tRates[[Key (lookup)]:[Key (lookup)]],0)),"no rate"))</f>
        <v>no rate</v>
      </c>
      <c r="ET2" s="62">
        <f>EU2</f>
        <v>0</v>
      </c>
      <c r="EU2" s="62">
        <f>EV2</f>
        <v>0</v>
      </c>
      <c r="EV2" s="62">
        <f>EW2</f>
        <v>0</v>
      </c>
      <c r="EW2" s="62">
        <f>EX2</f>
        <v>0</v>
      </c>
      <c r="EX2" s="62"/>
      <c r="EY2" s="62"/>
      <c r="EZ2" s="62"/>
      <c r="FA2" s="62"/>
      <c r="FB2" s="62"/>
      <c r="FC2" s="62"/>
      <c r="FD2" s="62"/>
      <c r="FE2" s="62"/>
      <c r="FF2" s="62"/>
      <c r="FG2" s="62"/>
      <c r="FH2" s="62"/>
      <c r="FI2" s="62"/>
      <c r="FJ2" s="62"/>
      <c r="FK2" s="62"/>
      <c r="FL2" s="62"/>
      <c r="FM2" s="62"/>
      <c r="FN2" s="62"/>
    </row>
    <row r="3" spans="2:170" x14ac:dyDescent="0.2">
      <c r="D3" s="110" t="str" cm="1">
        <f t="array" ref="D3">"total capacity: "&amp;TEXT(SUMPRODUCT(IFERROR($Q$3:$EP$3,0),(LEFT($Q$6:$EP$6,1)&lt;&gt;"(")*1),"#.##")</f>
        <v>total capacity: 1724.00</v>
      </c>
      <c r="Q3" s="111" cm="1">
        <f t="array" ref="Q3">_xlfn.IFS(Q2="no rate","",ISTEXT(Q2),SUM(R3:INDEX(R3:$ES$3,,_xlfn.AGGREGATE(15,6,(COLUMN(R3:$ES$3)-COLUMN()-1)/(LEFT(R6:$ES$6,1)&lt;&gt;"("),1))),1,INDEX('Capacity'!$2:$2,MATCH(Q6,'Capacity'!$3:$3,0))*IFERROR(INDEX(tRates[[Yearly WDs]:[Yearly WDs]],MATCH(Q6,tRates[[Key (lookup)]:[Key (lookup)]],0)),200))</f>
        <v>172400</v>
      </c>
      <c r="R3" s="111" cm="1">
        <f t="array" ref="R3">_xlfn.IFS(R2="no rate","",ISTEXT(R2),SUM(S3:INDEX(S3:$ES$3,,_xlfn.AGGREGATE(15,6,(COLUMN(S3:$ES$3)-COLUMN()-1)/(LEFT(S6:$ES$6,1)&lt;&gt;"("),1))),1,INDEX('Capacity'!$2:$2,MATCH(R6,'Capacity'!$3:$3,0))*IFERROR(INDEX(tRates[[Yearly WDs]:[Yearly WDs]],MATCH(R6,tRates[[Key (lookup)]:[Key (lookup)]],0)),200))</f>
        <v>1800</v>
      </c>
      <c r="S3" s="111" cm="1">
        <f t="array" ref="S3">_xlfn.IFS(S2="no rate","",ISTEXT(S2),SUM(T3:INDEX(T3:$ES$3,,_xlfn.AGGREGATE(15,6,(COLUMN(T3:$ES$3)-COLUMN()-1)/(LEFT(T6:$ES$6,1)&lt;&gt;"("),1))),1,INDEX('Capacity'!$2:$2,MATCH(S6,'Capacity'!$3:$3,0))*IFERROR(INDEX(tRates[[Yearly WDs]:[Yearly WDs]],MATCH(S6,tRates[[Key (lookup)]:[Key (lookup)]],0)),200))</f>
        <v>5600</v>
      </c>
      <c r="T3" s="111" cm="1">
        <f t="array" ref="T3">_xlfn.IFS(T2="no rate","",ISTEXT(T2),SUM(U3:INDEX(U3:$ES$3,,_xlfn.AGGREGATE(15,6,(COLUMN(U3:$ES$3)-COLUMN()-1)/(LEFT(U6:$ES$6,1)&lt;&gt;"("),1))),1,INDEX('Capacity'!$2:$2,MATCH(T6,'Capacity'!$3:$3,0))*IFERROR(INDEX(tRates[[Yearly WDs]:[Yearly WDs]],MATCH(T6,tRates[[Key (lookup)]:[Key (lookup)]],0)),200))</f>
        <v>19200</v>
      </c>
      <c r="U3" s="111" cm="1">
        <f t="array" ref="U3">_xlfn.IFS(U2="no rate","",ISTEXT(U2),SUM(V3:INDEX(V3:$ES$3,,_xlfn.AGGREGATE(15,6,(COLUMN(V3:$ES$3)-COLUMN()-1)/(LEFT(V6:$ES$6,1)&lt;&gt;"("),1))),1,INDEX('Capacity'!$2:$2,MATCH(U6,'Capacity'!$3:$3,0))*IFERROR(INDEX(tRates[[Yearly WDs]:[Yearly WDs]],MATCH(U6,tRates[[Key (lookup)]:[Key (lookup)]],0)),200))</f>
        <v>2800</v>
      </c>
      <c r="V3" s="111" cm="1">
        <f t="array" ref="V3">_xlfn.IFS(V2="no rate","",ISTEXT(V2),SUM(W3:INDEX(W3:$ES$3,,_xlfn.AGGREGATE(15,6,(COLUMN(W3:$ES$3)-COLUMN()-1)/(LEFT(W6:$ES$6,1)&lt;&gt;"("),1))),1,INDEX('Capacity'!$2:$2,MATCH(V6,'Capacity'!$3:$3,0))*IFERROR(INDEX(tRates[[Yearly WDs]:[Yearly WDs]],MATCH(V6,tRates[[Key (lookup)]:[Key (lookup)]],0)),200))</f>
        <v>0</v>
      </c>
      <c r="W3" s="111" cm="1">
        <f t="array" ref="W3">_xlfn.IFS(W2="no rate","",ISTEXT(W2),SUM(X3:INDEX(X3:$ES$3,,_xlfn.AGGREGATE(15,6,(COLUMN(X3:$ES$3)-COLUMN()-1)/(LEFT(X6:$ES$6,1)&lt;&gt;"("),1))),1,INDEX('Capacity'!$2:$2,MATCH(W6,'Capacity'!$3:$3,0))*IFERROR(INDEX(tRates[[Yearly WDs]:[Yearly WDs]],MATCH(W6,tRates[[Key (lookup)]:[Key (lookup)]],0)),200))</f>
        <v>24600</v>
      </c>
      <c r="X3" s="111" cm="1">
        <f t="array" ref="X3">_xlfn.IFS(X2="no rate","",ISTEXT(X2),SUM(Y3:INDEX(Y3:$ES$3,,_xlfn.AGGREGATE(15,6,(COLUMN(Y3:$ES$3)-COLUMN()-1)/(LEFT(Y6:$ES$6,1)&lt;&gt;"("),1))),1,INDEX('Capacity'!$2:$2,MATCH(X6,'Capacity'!$3:$3,0))*IFERROR(INDEX(tRates[[Yearly WDs]:[Yearly WDs]],MATCH(X6,tRates[[Key (lookup)]:[Key (lookup)]],0)),200))</f>
        <v>0</v>
      </c>
      <c r="Y3" s="111" cm="1">
        <f t="array" ref="Y3">_xlfn.IFS(Y2="no rate","",ISTEXT(Y2),SUM(Z3:INDEX(Z3:$ES$3,,_xlfn.AGGREGATE(15,6,(COLUMN(Z3:$ES$3)-COLUMN()-1)/(LEFT(Z6:$ES$6,1)&lt;&gt;"("),1))),1,INDEX('Capacity'!$2:$2,MATCH(Y6,'Capacity'!$3:$3,0))*IFERROR(INDEX(tRates[[Yearly WDs]:[Yearly WDs]],MATCH(Y6,tRates[[Key (lookup)]:[Key (lookup)]],0)),200))</f>
        <v>8200</v>
      </c>
      <c r="Z3" s="111" cm="1">
        <f t="array" ref="Z3">_xlfn.IFS(Z2="no rate","",ISTEXT(Z2),SUM(AA3:INDEX(AA3:$ES$3,,_xlfn.AGGREGATE(15,6,(COLUMN(AA3:$ES$3)-COLUMN()-1)/(LEFT(AA6:$ES$6,1)&lt;&gt;"("),1))),1,INDEX('Capacity'!$2:$2,MATCH(Z6,'Capacity'!$3:$3,0))*IFERROR(INDEX(tRates[[Yearly WDs]:[Yearly WDs]],MATCH(Z6,tRates[[Key (lookup)]:[Key (lookup)]],0)),200))</f>
        <v>5600</v>
      </c>
      <c r="AA3" s="111" cm="1">
        <f t="array" ref="AA3">_xlfn.IFS(AA2="no rate","",ISTEXT(AA2),SUM(AB3:INDEX(AB3:$ES$3,,_xlfn.AGGREGATE(15,6,(COLUMN(AB3:$ES$3)-COLUMN()-1)/(LEFT(AB6:$ES$6,1)&lt;&gt;"("),1))),1,INDEX('Capacity'!$2:$2,MATCH(AA6,'Capacity'!$3:$3,0))*IFERROR(INDEX(tRates[[Yearly WDs]:[Yearly WDs]],MATCH(AA6,tRates[[Key (lookup)]:[Key (lookup)]],0)),200))</f>
        <v>0</v>
      </c>
      <c r="AB3" s="111" cm="1">
        <f t="array" ref="AB3">_xlfn.IFS(AB2="no rate","",ISTEXT(AB2),SUM(AC3:INDEX(AC3:$ES$3,,_xlfn.AGGREGATE(15,6,(COLUMN(AC3:$ES$3)-COLUMN()-1)/(LEFT(AC6:$ES$6,1)&lt;&gt;"("),1))),1,INDEX('Capacity'!$2:$2,MATCH(AB6,'Capacity'!$3:$3,0))*IFERROR(INDEX(tRates[[Yearly WDs]:[Yearly WDs]],MATCH(AB6,tRates[[Key (lookup)]:[Key (lookup)]],0)),200))</f>
        <v>0</v>
      </c>
      <c r="AC3" s="111" cm="1">
        <f t="array" ref="AC3">_xlfn.IFS(AC2="no rate","",ISTEXT(AC2),SUM(AD3:INDEX(AD3:$ES$3,,_xlfn.AGGREGATE(15,6,(COLUMN(AD3:$ES$3)-COLUMN()-1)/(LEFT(AD6:$ES$6,1)&lt;&gt;"("),1))),1,INDEX('Capacity'!$2:$2,MATCH(AC6,'Capacity'!$3:$3,0))*IFERROR(INDEX(tRates[[Yearly WDs]:[Yearly WDs]],MATCH(AC6,tRates[[Key (lookup)]:[Key (lookup)]],0)),200))</f>
        <v>0</v>
      </c>
      <c r="AD3" s="111" cm="1">
        <f t="array" ref="AD3">_xlfn.IFS(AD2="no rate","",ISTEXT(AD2),SUM(AE3:INDEX(AE3:$ES$3,,_xlfn.AGGREGATE(15,6,(COLUMN(AE3:$ES$3)-COLUMN()-1)/(LEFT(AE6:$ES$6,1)&lt;&gt;"("),1))),1,INDEX('Capacity'!$2:$2,MATCH(AD6,'Capacity'!$3:$3,0))*IFERROR(INDEX(tRates[[Yearly WDs]:[Yearly WDs]],MATCH(AD6,tRates[[Key (lookup)]:[Key (lookup)]],0)),200))</f>
        <v>10600</v>
      </c>
      <c r="AE3" s="111" cm="1">
        <f t="array" ref="AE3">_xlfn.IFS(AE2="no rate","",ISTEXT(AE2),SUM(AF3:INDEX(AF3:$ES$3,,_xlfn.AGGREGATE(15,6,(COLUMN(AF3:$ES$3)-COLUMN()-1)/(LEFT(AF6:$ES$6,1)&lt;&gt;"("),1))),1,INDEX('Capacity'!$2:$2,MATCH(AE6,'Capacity'!$3:$3,0))*IFERROR(INDEX(tRates[[Yearly WDs]:[Yearly WDs]],MATCH(AE6,tRates[[Key (lookup)]:[Key (lookup)]],0)),200))</f>
        <v>0</v>
      </c>
      <c r="AF3" s="111" cm="1">
        <f t="array" ref="AF3">_xlfn.IFS(AF2="no rate","",ISTEXT(AF2),SUM(AG3:INDEX(AG3:$ES$3,,_xlfn.AGGREGATE(15,6,(COLUMN(AG3:$ES$3)-COLUMN()-1)/(LEFT(AG6:$ES$6,1)&lt;&gt;"("),1))),1,INDEX('Capacity'!$2:$2,MATCH(AF6,'Capacity'!$3:$3,0))*IFERROR(INDEX(tRates[[Yearly WDs]:[Yearly WDs]],MATCH(AF6,tRates[[Key (lookup)]:[Key (lookup)]],0)),200))</f>
        <v>5800</v>
      </c>
      <c r="AG3" s="111" cm="1">
        <f t="array" ref="AG3">_xlfn.IFS(AG2="no rate","",ISTEXT(AG2),SUM(AH3:INDEX(AH3:$ES$3,,_xlfn.AGGREGATE(15,6,(COLUMN(AH3:$ES$3)-COLUMN()-1)/(LEFT(AH6:$ES$6,1)&lt;&gt;"("),1))),1,INDEX('Capacity'!$2:$2,MATCH(AG6,'Capacity'!$3:$3,0))*IFERROR(INDEX(tRates[[Yearly WDs]:[Yearly WDs]],MATCH(AG6,tRates[[Key (lookup)]:[Key (lookup)]],0)),200))</f>
        <v>35400</v>
      </c>
      <c r="AH3" s="111" cm="1">
        <f t="array" ref="AH3">_xlfn.IFS(AH2="no rate","",ISTEXT(AH2),SUM(AI3:INDEX(AI3:$ES$3,,_xlfn.AGGREGATE(15,6,(COLUMN(AI3:$ES$3)-COLUMN()-1)/(LEFT(AI6:$ES$6,1)&lt;&gt;"("),1))),1,INDEX('Capacity'!$2:$2,MATCH(AH6,'Capacity'!$3:$3,0))*IFERROR(INDEX(tRates[[Yearly WDs]:[Yearly WDs]],MATCH(AH6,tRates[[Key (lookup)]:[Key (lookup)]],0)),200))</f>
        <v>2400</v>
      </c>
      <c r="AI3" s="111" cm="1">
        <f t="array" ref="AI3">_xlfn.IFS(AI2="no rate","",ISTEXT(AI2),SUM(AJ3:INDEX(AJ3:$ES$3,,_xlfn.AGGREGATE(15,6,(COLUMN(AJ3:$ES$3)-COLUMN()-1)/(LEFT(AJ6:$ES$6,1)&lt;&gt;"("),1))),1,INDEX('Capacity'!$2:$2,MATCH(AI6,'Capacity'!$3:$3,0))*IFERROR(INDEX(tRates[[Yearly WDs]:[Yearly WDs]],MATCH(AI6,tRates[[Key (lookup)]:[Key (lookup)]],0)),200))</f>
        <v>9400</v>
      </c>
      <c r="AJ3" s="111" cm="1">
        <f t="array" ref="AJ3">_xlfn.IFS(AJ2="no rate","",ISTEXT(AJ2),SUM(AK3:INDEX(AK3:$ES$3,,_xlfn.AGGREGATE(15,6,(COLUMN(AK3:$ES$3)-COLUMN()-1)/(LEFT(AK6:$ES$6,1)&lt;&gt;"("),1))),1,INDEX('Capacity'!$2:$2,MATCH(AJ6,'Capacity'!$3:$3,0))*IFERROR(INDEX(tRates[[Yearly WDs]:[Yearly WDs]],MATCH(AJ6,tRates[[Key (lookup)]:[Key (lookup)]],0)),200))</f>
        <v>3200</v>
      </c>
      <c r="AK3" s="111" cm="1">
        <f t="array" ref="AK3">_xlfn.IFS(AK2="no rate","",ISTEXT(AK2),SUM(AL3:INDEX(AL3:$ES$3,,_xlfn.AGGREGATE(15,6,(COLUMN(AL3:$ES$3)-COLUMN()-1)/(LEFT(AL6:$ES$6,1)&lt;&gt;"("),1))),1,INDEX('Capacity'!$2:$2,MATCH(AK6,'Capacity'!$3:$3,0))*IFERROR(INDEX(tRates[[Yearly WDs]:[Yearly WDs]],MATCH(AK6,tRates[[Key (lookup)]:[Key (lookup)]],0)),200))</f>
        <v>800</v>
      </c>
      <c r="AL3" s="111" cm="1">
        <f t="array" ref="AL3">_xlfn.IFS(AL2="no rate","",ISTEXT(AL2),SUM(AM3:INDEX(AM3:$ES$3,,_xlfn.AGGREGATE(15,6,(COLUMN(AM3:$ES$3)-COLUMN()-1)/(LEFT(AM6:$ES$6,1)&lt;&gt;"("),1))),1,INDEX('Capacity'!$2:$2,MATCH(AL6,'Capacity'!$3:$3,0))*IFERROR(INDEX(tRates[[Yearly WDs]:[Yearly WDs]],MATCH(AL6,tRates[[Key (lookup)]:[Key (lookup)]],0)),200))</f>
        <v>3800</v>
      </c>
      <c r="AM3" s="111" cm="1">
        <f t="array" ref="AM3">_xlfn.IFS(AM2="no rate","",ISTEXT(AM2),SUM(AN3:INDEX(AN3:$ES$3,,_xlfn.AGGREGATE(15,6,(COLUMN(AN3:$ES$3)-COLUMN()-1)/(LEFT(AN6:$ES$6,1)&lt;&gt;"("),1))),1,INDEX('Capacity'!$2:$2,MATCH(AM6,'Capacity'!$3:$3,0))*IFERROR(INDEX(tRates[[Yearly WDs]:[Yearly WDs]],MATCH(AM6,tRates[[Key (lookup)]:[Key (lookup)]],0)),200))</f>
        <v>4800</v>
      </c>
      <c r="AN3" s="111" cm="1">
        <f t="array" ref="AN3">_xlfn.IFS(AN2="no rate","",ISTEXT(AN2),SUM(AO3:INDEX(AO3:$ES$3,,_xlfn.AGGREGATE(15,6,(COLUMN(AO3:$ES$3)-COLUMN()-1)/(LEFT(AO6:$ES$6,1)&lt;&gt;"("),1))),1,INDEX('Capacity'!$2:$2,MATCH(AN6,'Capacity'!$3:$3,0))*IFERROR(INDEX(tRates[[Yearly WDs]:[Yearly WDs]],MATCH(AN6,tRates[[Key (lookup)]:[Key (lookup)]],0)),200))</f>
        <v>20200</v>
      </c>
      <c r="AO3" s="111" cm="1">
        <f t="array" ref="AO3">_xlfn.IFS(AO2="no rate","",ISTEXT(AO2),SUM(AP3:INDEX(AP3:$ES$3,,_xlfn.AGGREGATE(15,6,(COLUMN(AP3:$ES$3)-COLUMN()-1)/(LEFT(AP6:$ES$6,1)&lt;&gt;"("),1))),1,INDEX('Capacity'!$2:$2,MATCH(AO6,'Capacity'!$3:$3,0))*IFERROR(INDEX(tRates[[Yearly WDs]:[Yearly WDs]],MATCH(AO6,tRates[[Key (lookup)]:[Key (lookup)]],0)),200))</f>
        <v>8200</v>
      </c>
      <c r="AP3" s="111" cm="1">
        <f t="array" ref="AP3">_xlfn.IFS(AP2="no rate","",ISTEXT(AP2),SUM(AQ3:INDEX(AQ3:$ES$3,,_xlfn.AGGREGATE(15,6,(COLUMN(AQ3:$ES$3)-COLUMN()-1)/(LEFT(AQ6:$ES$6,1)&lt;&gt;"("),1))),1,INDEX('Capacity'!$2:$2,MATCH(AP6,'Capacity'!$3:$3,0))*IFERROR(INDEX(tRates[[Yearly WDs]:[Yearly WDs]],MATCH(AP6,tRates[[Key (lookup)]:[Key (lookup)]],0)),200))</f>
        <v>0</v>
      </c>
      <c r="AQ3" s="111" cm="1">
        <f t="array" ref="AQ3">_xlfn.IFS(AQ2="no rate","",ISTEXT(AQ2),SUM(AR3:INDEX(AR3:$ES$3,,_xlfn.AGGREGATE(15,6,(COLUMN(AR3:$ES$3)-COLUMN()-1)/(LEFT(AR6:$ES$6,1)&lt;&gt;"("),1))),1,INDEX('Capacity'!$2:$2,MATCH(AQ6,'Capacity'!$3:$3,0))*IFERROR(INDEX(tRates[[Yearly WDs]:[Yearly WDs]],MATCH(AQ6,tRates[[Key (lookup)]:[Key (lookup)]],0)),200))</f>
        <v>0</v>
      </c>
      <c r="AR3" s="111" cm="1">
        <f t="array" ref="AR3">_xlfn.IFS(AR2="no rate","",ISTEXT(AR2),SUM(AS3:INDEX(AS3:$ES$3,,_xlfn.AGGREGATE(15,6,(COLUMN(AS3:$ES$3)-COLUMN()-1)/(LEFT(AS6:$ES$6,1)&lt;&gt;"("),1))),1,INDEX('Capacity'!$2:$2,MATCH(AR6,'Capacity'!$3:$3,0))*IFERROR(INDEX(tRates[[Yearly WDs]:[Yearly WDs]],MATCH(AR6,tRates[[Key (lookup)]:[Key (lookup)]],0)),200))</f>
        <v>0</v>
      </c>
      <c r="AS3" s="111" cm="1">
        <f t="array" ref="AS3">_xlfn.IFS(AS2="no rate","",ISTEXT(AS2),SUM(AT3:INDEX(AT3:$ES$3,,_xlfn.AGGREGATE(15,6,(COLUMN(AT3:$ES$3)-COLUMN()-1)/(LEFT(AT6:$ES$6,1)&lt;&gt;"("),1))),1,INDEX('Capacity'!$2:$2,MATCH(AS6,'Capacity'!$3:$3,0))*IFERROR(INDEX(tRates[[Yearly WDs]:[Yearly WDs]],MATCH(AS6,tRates[[Key (lookup)]:[Key (lookup)]],0)),200))</f>
        <v>0</v>
      </c>
      <c r="AT3" s="111" cm="1">
        <f t="array" ref="AT3">_xlfn.IFS(AT2="no rate","",ISTEXT(AT2),SUM(AU3:INDEX(AU3:$ES$3,,_xlfn.AGGREGATE(15,6,(COLUMN(AU3:$ES$3)-COLUMN()-1)/(LEFT(AU6:$ES$6,1)&lt;&gt;"("),1))),1,INDEX('Capacity'!$2:$2,MATCH(AT6,'Capacity'!$3:$3,0))*IFERROR(INDEX(tRates[[Yearly WDs]:[Yearly WDs]],MATCH(AT6,tRates[[Key (lookup)]:[Key (lookup)]],0)),200))</f>
        <v>0</v>
      </c>
      <c r="AU3" s="111" cm="1">
        <f t="array" ref="AU3">_xlfn.IFS(AU2="no rate","",ISTEXT(AU2),SUM(AV3:INDEX(AV3:$ES$3,,_xlfn.AGGREGATE(15,6,(COLUMN(AV3:$ES$3)-COLUMN()-1)/(LEFT(AV6:$ES$6,1)&lt;&gt;"("),1))),1,INDEX('Capacity'!$2:$2,MATCH(AU6,'Capacity'!$3:$3,0))*IFERROR(INDEX(tRates[[Yearly WDs]:[Yearly WDs]],MATCH(AU6,tRates[[Key (lookup)]:[Key (lookup)]],0)),200))</f>
        <v>0</v>
      </c>
      <c r="AV3" s="111" cm="1">
        <f t="array" ref="AV3">_xlfn.IFS(AV2="no rate","",ISTEXT(AV2),SUM(AW3:INDEX(AW3:$ES$3,,_xlfn.AGGREGATE(15,6,(COLUMN(AW3:$ES$3)-COLUMN()-1)/(LEFT(AW6:$ES$6,1)&lt;&gt;"("),1))),1,INDEX('Capacity'!$2:$2,MATCH(AV6,'Capacity'!$3:$3,0))*IFERROR(INDEX(tRates[[Yearly WDs]:[Yearly WDs]],MATCH(AV6,tRates[[Key (lookup)]:[Key (lookup)]],0)),200))</f>
        <v>0</v>
      </c>
      <c r="AW3" s="111" cm="1">
        <f t="array" ref="AW3">_xlfn.IFS(AW2="no rate","",ISTEXT(AW2),SUM(AX3:INDEX(AX3:$ES$3,,_xlfn.AGGREGATE(15,6,(COLUMN(AX3:$ES$3)-COLUMN()-1)/(LEFT(AX6:$ES$6,1)&lt;&gt;"("),1))),1,INDEX('Capacity'!$2:$2,MATCH(AW6,'Capacity'!$3:$3,0))*IFERROR(INDEX(tRates[[Yearly WDs]:[Yearly WDs]],MATCH(AW6,tRates[[Key (lookup)]:[Key (lookup)]],0)),200))</f>
        <v>0</v>
      </c>
      <c r="AX3" s="111" cm="1">
        <f t="array" ref="AX3">_xlfn.IFS(AX2="no rate","",ISTEXT(AX2),SUM(AY3:INDEX(AY3:$ES$3,,_xlfn.AGGREGATE(15,6,(COLUMN(AY3:$ES$3)-COLUMN()-1)/(LEFT(AY6:$ES$6,1)&lt;&gt;"("),1))),1,INDEX('Capacity'!$2:$2,MATCH(AX6,'Capacity'!$3:$3,0))*IFERROR(INDEX(tRates[[Yearly WDs]:[Yearly WDs]],MATCH(AX6,tRates[[Key (lookup)]:[Key (lookup)]],0)),200))</f>
        <v>0</v>
      </c>
      <c r="AY3" s="111" cm="1">
        <f t="array" ref="AY3">_xlfn.IFS(AY2="no rate","",ISTEXT(AY2),SUM(AZ3:INDEX(AZ3:$ES$3,,_xlfn.AGGREGATE(15,6,(COLUMN(AZ3:$ES$3)-COLUMN()-1)/(LEFT(AZ6:$ES$6,1)&lt;&gt;"("),1))),1,INDEX('Capacity'!$2:$2,MATCH(AY6,'Capacity'!$3:$3,0))*IFERROR(INDEX(tRates[[Yearly WDs]:[Yearly WDs]],MATCH(AY6,tRates[[Key (lookup)]:[Key (lookup)]],0)),200))</f>
        <v>0</v>
      </c>
      <c r="AZ3" s="111" cm="1">
        <f t="array" ref="AZ3">_xlfn.IFS(AZ2="no rate","",ISTEXT(AZ2),SUM(BA3:INDEX(BA3:$ES$3,,_xlfn.AGGREGATE(15,6,(COLUMN(BA3:$ES$3)-COLUMN()-1)/(LEFT(BA6:$ES$6,1)&lt;&gt;"("),1))),1,INDEX('Capacity'!$2:$2,MATCH(AZ6,'Capacity'!$3:$3,0))*IFERROR(INDEX(tRates[[Yearly WDs]:[Yearly WDs]],MATCH(AZ6,tRates[[Key (lookup)]:[Key (lookup)]],0)),200))</f>
        <v>0</v>
      </c>
      <c r="BA3" s="111" cm="1">
        <f t="array" ref="BA3">_xlfn.IFS(BA2="no rate","",ISTEXT(BA2),SUM(BB3:INDEX(BB3:$ES$3,,_xlfn.AGGREGATE(15,6,(COLUMN(BB3:$ES$3)-COLUMN()-1)/(LEFT(BB6:$ES$6,1)&lt;&gt;"("),1))),1,INDEX('Capacity'!$2:$2,MATCH(BA6,'Capacity'!$3:$3,0))*IFERROR(INDEX(tRates[[Yearly WDs]:[Yearly WDs]],MATCH(BA6,tRates[[Key (lookup)]:[Key (lookup)]],0)),200))</f>
        <v>0</v>
      </c>
      <c r="BB3" s="111" cm="1">
        <f t="array" ref="BB3">_xlfn.IFS(BB2="no rate","",ISTEXT(BB2),SUM(BC3:INDEX(BC3:$ES$3,,_xlfn.AGGREGATE(15,6,(COLUMN(BC3:$ES$3)-COLUMN()-1)/(LEFT(BC6:$ES$6,1)&lt;&gt;"("),1))),1,INDEX('Capacity'!$2:$2,MATCH(BB6,'Capacity'!$3:$3,0))*IFERROR(INDEX(tRates[[Yearly WDs]:[Yearly WDs]],MATCH(BB6,tRates[[Key (lookup)]:[Key (lookup)]],0)),200))</f>
        <v>0</v>
      </c>
      <c r="BC3" s="111" cm="1">
        <f t="array" ref="BC3">_xlfn.IFS(BC2="no rate","",ISTEXT(BC2),SUM(BD3:INDEX(BD3:$ES$3,,_xlfn.AGGREGATE(15,6,(COLUMN(BD3:$ES$3)-COLUMN()-1)/(LEFT(BD6:$ES$6,1)&lt;&gt;"("),1))),1,INDEX('Capacity'!$2:$2,MATCH(BC6,'Capacity'!$3:$3,0))*IFERROR(INDEX(tRates[[Yearly WDs]:[Yearly WDs]],MATCH(BC6,tRates[[Key (lookup)]:[Key (lookup)]],0)),200))</f>
        <v>0</v>
      </c>
      <c r="BD3" s="111" cm="1">
        <f t="array" ref="BD3">_xlfn.IFS(BD2="no rate","",ISTEXT(BD2),SUM(BE3:INDEX(BE3:$ES$3,,_xlfn.AGGREGATE(15,6,(COLUMN(BE3:$ES$3)-COLUMN()-1)/(LEFT(BE6:$ES$6,1)&lt;&gt;"("),1))),1,INDEX('Capacity'!$2:$2,MATCH(BD6,'Capacity'!$3:$3,0))*IFERROR(INDEX(tRates[[Yearly WDs]:[Yearly WDs]],MATCH(BD6,tRates[[Key (lookup)]:[Key (lookup)]],0)),200))</f>
        <v>0</v>
      </c>
      <c r="BE3" s="111" cm="1">
        <f t="array" ref="BE3">_xlfn.IFS(BE2="no rate","",ISTEXT(BE2),SUM(BF3:INDEX(BF3:$ES$3,,_xlfn.AGGREGATE(15,6,(COLUMN(BF3:$ES$3)-COLUMN()-1)/(LEFT(BF6:$ES$6,1)&lt;&gt;"("),1))),1,INDEX('Capacity'!$2:$2,MATCH(BE6,'Capacity'!$3:$3,0))*IFERROR(INDEX(tRates[[Yearly WDs]:[Yearly WDs]],MATCH(BE6,tRates[[Key (lookup)]:[Key (lookup)]],0)),200))</f>
        <v>0</v>
      </c>
      <c r="BF3" s="111" cm="1">
        <f t="array" ref="BF3">_xlfn.IFS(BF2="no rate","",ISTEXT(BF2),SUM(BG3:INDEX(BG3:$ES$3,,_xlfn.AGGREGATE(15,6,(COLUMN(BG3:$ES$3)-COLUMN()-1)/(LEFT(BG6:$ES$6,1)&lt;&gt;"("),1))),1,INDEX('Capacity'!$2:$2,MATCH(BF6,'Capacity'!$3:$3,0))*IFERROR(INDEX(tRates[[Yearly WDs]:[Yearly WDs]],MATCH(BF6,tRates[[Key (lookup)]:[Key (lookup)]],0)),200))</f>
        <v>0</v>
      </c>
      <c r="BG3" s="111" cm="1">
        <f t="array" ref="BG3">_xlfn.IFS(BG2="no rate","",ISTEXT(BG2),SUM(BH3:INDEX(BH3:$ES$3,,_xlfn.AGGREGATE(15,6,(COLUMN(BH3:$ES$3)-COLUMN()-1)/(LEFT(BH6:$ES$6,1)&lt;&gt;"("),1))),1,INDEX('Capacity'!$2:$2,MATCH(BG6,'Capacity'!$3:$3,0))*IFERROR(INDEX(tRates[[Yearly WDs]:[Yearly WDs]],MATCH(BG6,tRates[[Key (lookup)]:[Key (lookup)]],0)),200))</f>
        <v>0</v>
      </c>
      <c r="BH3" s="111" cm="1">
        <f t="array" ref="BH3">_xlfn.IFS(BH2="no rate","",ISTEXT(BH2),SUM(BI3:INDEX(BI3:$ES$3,,_xlfn.AGGREGATE(15,6,(COLUMN(BI3:$ES$3)-COLUMN()-1)/(LEFT(BI6:$ES$6,1)&lt;&gt;"("),1))),1,INDEX('Capacity'!$2:$2,MATCH(BH6,'Capacity'!$3:$3,0))*IFERROR(INDEX(tRates[[Yearly WDs]:[Yearly WDs]],MATCH(BH6,tRates[[Key (lookup)]:[Key (lookup)]],0)),200))</f>
        <v>0</v>
      </c>
      <c r="BI3" s="111" cm="1">
        <f t="array" ref="BI3">_xlfn.IFS(BI2="no rate","",ISTEXT(BI2),SUM(BJ3:INDEX(BJ3:$ES$3,,_xlfn.AGGREGATE(15,6,(COLUMN(BJ3:$ES$3)-COLUMN()-1)/(LEFT(BJ6:$ES$6,1)&lt;&gt;"("),1))),1,INDEX('Capacity'!$2:$2,MATCH(BI6,'Capacity'!$3:$3,0))*IFERROR(INDEX(tRates[[Yearly WDs]:[Yearly WDs]],MATCH(BI6,tRates[[Key (lookup)]:[Key (lookup)]],0)),200))</f>
        <v>0</v>
      </c>
      <c r="BJ3" s="111" cm="1">
        <f t="array" ref="BJ3">_xlfn.IFS(BJ2="no rate","",ISTEXT(BJ2),SUM(BK3:INDEX(BK3:$ES$3,,_xlfn.AGGREGATE(15,6,(COLUMN(BK3:$ES$3)-COLUMN()-1)/(LEFT(BK6:$ES$6,1)&lt;&gt;"("),1))),1,INDEX('Capacity'!$2:$2,MATCH(BJ6,'Capacity'!$3:$3,0))*IFERROR(INDEX(tRates[[Yearly WDs]:[Yearly WDs]],MATCH(BJ6,tRates[[Key (lookup)]:[Key (lookup)]],0)),200))</f>
        <v>0</v>
      </c>
      <c r="BK3" s="111" cm="1">
        <f t="array" ref="BK3">_xlfn.IFS(BK2="no rate","",ISTEXT(BK2),SUM(BL3:INDEX(BL3:$ES$3,,_xlfn.AGGREGATE(15,6,(COLUMN(BL3:$ES$3)-COLUMN()-1)/(LEFT(BL6:$ES$6,1)&lt;&gt;"("),1))),1,INDEX('Capacity'!$2:$2,MATCH(BK6,'Capacity'!$3:$3,0))*IFERROR(INDEX(tRates[[Yearly WDs]:[Yearly WDs]],MATCH(BK6,tRates[[Key (lookup)]:[Key (lookup)]],0)),200))</f>
        <v>0</v>
      </c>
      <c r="BL3" s="111" cm="1">
        <f t="array" ref="BL3">_xlfn.IFS(BL2="no rate","",ISTEXT(BL2),SUM(BM3:INDEX(BM3:$ES$3,,_xlfn.AGGREGATE(15,6,(COLUMN(BM3:$ES$3)-COLUMN()-1)/(LEFT(BM6:$ES$6,1)&lt;&gt;"("),1))),1,INDEX('Capacity'!$2:$2,MATCH(BL6,'Capacity'!$3:$3,0))*IFERROR(INDEX(tRates[[Yearly WDs]:[Yearly WDs]],MATCH(BL6,tRates[[Key (lookup)]:[Key (lookup)]],0)),200))</f>
        <v>0</v>
      </c>
      <c r="BM3" s="111" cm="1">
        <f t="array" ref="BM3">_xlfn.IFS(BM2="no rate","",ISTEXT(BM2),SUM(BN3:INDEX(BN3:$ES$3,,_xlfn.AGGREGATE(15,6,(COLUMN(BN3:$ES$3)-COLUMN()-1)/(LEFT(BN6:$ES$6,1)&lt;&gt;"("),1))),1,INDEX('Capacity'!$2:$2,MATCH(BM6,'Capacity'!$3:$3,0))*IFERROR(INDEX(tRates[[Yearly WDs]:[Yearly WDs]],MATCH(BM6,tRates[[Key (lookup)]:[Key (lookup)]],0)),200))</f>
        <v>0</v>
      </c>
      <c r="BN3" s="111" cm="1">
        <f t="array" ref="BN3">_xlfn.IFS(BN2="no rate","",ISTEXT(BN2),SUM(BO3:INDEX(BO3:$ES$3,,_xlfn.AGGREGATE(15,6,(COLUMN(BO3:$ES$3)-COLUMN()-1)/(LEFT(BO6:$ES$6,1)&lt;&gt;"("),1))),1,INDEX('Capacity'!$2:$2,MATCH(BN6,'Capacity'!$3:$3,0))*IFERROR(INDEX(tRates[[Yearly WDs]:[Yearly WDs]],MATCH(BN6,tRates[[Key (lookup)]:[Key (lookup)]],0)),200))</f>
        <v>0</v>
      </c>
      <c r="BO3" s="111" cm="1">
        <f t="array" ref="BO3">_xlfn.IFS(BO2="no rate","",ISTEXT(BO2),SUM(BP3:INDEX(BP3:$ES$3,,_xlfn.AGGREGATE(15,6,(COLUMN(BP3:$ES$3)-COLUMN()-1)/(LEFT(BP6:$ES$6,1)&lt;&gt;"("),1))),1,INDEX('Capacity'!$2:$2,MATCH(BO6,'Capacity'!$3:$3,0))*IFERROR(INDEX(tRates[[Yearly WDs]:[Yearly WDs]],MATCH(BO6,tRates[[Key (lookup)]:[Key (lookup)]],0)),200))</f>
        <v>0</v>
      </c>
      <c r="BP3" s="111" cm="1">
        <f t="array" ref="BP3">_xlfn.IFS(BP2="no rate","",ISTEXT(BP2),SUM(BQ3:INDEX(BQ3:$ES$3,,_xlfn.AGGREGATE(15,6,(COLUMN(BQ3:$ES$3)-COLUMN()-1)/(LEFT(BQ6:$ES$6,1)&lt;&gt;"("),1))),1,INDEX('Capacity'!$2:$2,MATCH(BP6,'Capacity'!$3:$3,0))*IFERROR(INDEX(tRates[[Yearly WDs]:[Yearly WDs]],MATCH(BP6,tRates[[Key (lookup)]:[Key (lookup)]],0)),200))</f>
        <v>0</v>
      </c>
      <c r="BQ3" s="111" cm="1">
        <f t="array" ref="BQ3">_xlfn.IFS(BQ2="no rate","",ISTEXT(BQ2),SUM(BR3:INDEX(BR3:$ES$3,,_xlfn.AGGREGATE(15,6,(COLUMN(BR3:$ES$3)-COLUMN()-1)/(LEFT(BR6:$ES$6,1)&lt;&gt;"("),1))),1,INDEX('Capacity'!$2:$2,MATCH(BQ6,'Capacity'!$3:$3,0))*IFERROR(INDEX(tRates[[Yearly WDs]:[Yearly WDs]],MATCH(BQ6,tRates[[Key (lookup)]:[Key (lookup)]],0)),200))</f>
        <v>0</v>
      </c>
      <c r="BR3" s="111" cm="1">
        <f t="array" ref="BR3">_xlfn.IFS(BR2="no rate","",ISTEXT(BR2),SUM(BS3:INDEX(BS3:$ES$3,,_xlfn.AGGREGATE(15,6,(COLUMN(BS3:$ES$3)-COLUMN()-1)/(LEFT(BS6:$ES$6,1)&lt;&gt;"("),1))),1,INDEX('Capacity'!$2:$2,MATCH(BR6,'Capacity'!$3:$3,0))*IFERROR(INDEX(tRates[[Yearly WDs]:[Yearly WDs]],MATCH(BR6,tRates[[Key (lookup)]:[Key (lookup)]],0)),200))</f>
        <v>0</v>
      </c>
      <c r="BS3" s="111" cm="1">
        <f t="array" ref="BS3">_xlfn.IFS(BS2="no rate","",ISTEXT(BS2),SUM(BT3:INDEX(BT3:$ES$3,,_xlfn.AGGREGATE(15,6,(COLUMN(BT3:$ES$3)-COLUMN()-1)/(LEFT(BT6:$ES$6,1)&lt;&gt;"("),1))),1,INDEX('Capacity'!$2:$2,MATCH(BS6,'Capacity'!$3:$3,0))*IFERROR(INDEX(tRates[[Yearly WDs]:[Yearly WDs]],MATCH(BS6,tRates[[Key (lookup)]:[Key (lookup)]],0)),200))</f>
        <v>0</v>
      </c>
      <c r="BT3" s="111" cm="1">
        <f t="array" ref="BT3">_xlfn.IFS(BT2="no rate","",ISTEXT(BT2),SUM(BU3:INDEX(BU3:$ES$3,,_xlfn.AGGREGATE(15,6,(COLUMN(BU3:$ES$3)-COLUMN()-1)/(LEFT(BU6:$ES$6,1)&lt;&gt;"("),1))),1,INDEX('Capacity'!$2:$2,MATCH(BT6,'Capacity'!$3:$3,0))*IFERROR(INDEX(tRates[[Yearly WDs]:[Yearly WDs]],MATCH(BT6,tRates[[Key (lookup)]:[Key (lookup)]],0)),200))</f>
        <v>0</v>
      </c>
      <c r="BU3" s="111" cm="1">
        <f t="array" ref="BU3">_xlfn.IFS(BU2="no rate","",ISTEXT(BU2),SUM(BV3:INDEX(BV3:$ES$3,,_xlfn.AGGREGATE(15,6,(COLUMN(BV3:$ES$3)-COLUMN()-1)/(LEFT(BV6:$ES$6,1)&lt;&gt;"("),1))),1,INDEX('Capacity'!$2:$2,MATCH(BU6,'Capacity'!$3:$3,0))*IFERROR(INDEX(tRates[[Yearly WDs]:[Yearly WDs]],MATCH(BU6,tRates[[Key (lookup)]:[Key (lookup)]],0)),200))</f>
        <v>0</v>
      </c>
      <c r="BV3" s="111" cm="1">
        <f t="array" ref="BV3">_xlfn.IFS(BV2="no rate","",ISTEXT(BV2),SUM(BW3:INDEX(BW3:$ES$3,,_xlfn.AGGREGATE(15,6,(COLUMN(BW3:$ES$3)-COLUMN()-1)/(LEFT(BW6:$ES$6,1)&lt;&gt;"("),1))),1,INDEX('Capacity'!$2:$2,MATCH(BV6,'Capacity'!$3:$3,0))*IFERROR(INDEX(tRates[[Yearly WDs]:[Yearly WDs]],MATCH(BV6,tRates[[Key (lookup)]:[Key (lookup)]],0)),200))</f>
        <v>0</v>
      </c>
      <c r="BW3" s="111" cm="1">
        <f t="array" ref="BW3">_xlfn.IFS(BW2="no rate","",ISTEXT(BW2),SUM(BX3:INDEX(BX3:$ES$3,,_xlfn.AGGREGATE(15,6,(COLUMN(BX3:$ES$3)-COLUMN()-1)/(LEFT(BX6:$ES$6,1)&lt;&gt;"("),1))),1,INDEX('Capacity'!$2:$2,MATCH(BW6,'Capacity'!$3:$3,0))*IFERROR(INDEX(tRates[[Yearly WDs]:[Yearly WDs]],MATCH(BW6,tRates[[Key (lookup)]:[Key (lookup)]],0)),200))</f>
        <v>0</v>
      </c>
      <c r="BX3" s="111" cm="1">
        <f t="array" ref="BX3">_xlfn.IFS(BX2="no rate","",ISTEXT(BX2),SUM(BY3:INDEX(BY3:$ES$3,,_xlfn.AGGREGATE(15,6,(COLUMN(BY3:$ES$3)-COLUMN()-1)/(LEFT(BY6:$ES$6,1)&lt;&gt;"("),1))),1,INDEX('Capacity'!$2:$2,MATCH(BX6,'Capacity'!$3:$3,0))*IFERROR(INDEX(tRates[[Yearly WDs]:[Yearly WDs]],MATCH(BX6,tRates[[Key (lookup)]:[Key (lookup)]],0)),200))</f>
        <v>0</v>
      </c>
      <c r="BY3" s="111" cm="1">
        <f t="array" ref="BY3">_xlfn.IFS(BY2="no rate","",ISTEXT(BY2),SUM(BZ3:INDEX(BZ3:$ES$3,,_xlfn.AGGREGATE(15,6,(COLUMN(BZ3:$ES$3)-COLUMN()-1)/(LEFT(BZ6:$ES$6,1)&lt;&gt;"("),1))),1,INDEX('Capacity'!$2:$2,MATCH(BY6,'Capacity'!$3:$3,0))*IFERROR(INDEX(tRates[[Yearly WDs]:[Yearly WDs]],MATCH(BY6,tRates[[Key (lookup)]:[Key (lookup)]],0)),200))</f>
        <v>0</v>
      </c>
      <c r="BZ3" s="111" cm="1">
        <f t="array" ref="BZ3">_xlfn.IFS(BZ2="no rate","",ISTEXT(BZ2),SUM(CA3:INDEX(CA3:$ES$3,,_xlfn.AGGREGATE(15,6,(COLUMN(CA3:$ES$3)-COLUMN()-1)/(LEFT(CA6:$ES$6,1)&lt;&gt;"("),1))),1,INDEX('Capacity'!$2:$2,MATCH(BZ6,'Capacity'!$3:$3,0))*IFERROR(INDEX(tRates[[Yearly WDs]:[Yearly WDs]],MATCH(BZ6,tRates[[Key (lookup)]:[Key (lookup)]],0)),200))</f>
        <v>0</v>
      </c>
      <c r="CA3" s="111" cm="1">
        <f t="array" ref="CA3">_xlfn.IFS(CA2="no rate","",ISTEXT(CA2),SUM(CB3:INDEX(CB3:$ES$3,,_xlfn.AGGREGATE(15,6,(COLUMN(CB3:$ES$3)-COLUMN()-1)/(LEFT(CB6:$ES$6,1)&lt;&gt;"("),1))),1,INDEX('Capacity'!$2:$2,MATCH(CA6,'Capacity'!$3:$3,0))*IFERROR(INDEX(tRates[[Yearly WDs]:[Yearly WDs]],MATCH(CA6,tRates[[Key (lookup)]:[Key (lookup)]],0)),200))</f>
        <v>0</v>
      </c>
      <c r="CB3" s="111" cm="1">
        <f t="array" ref="CB3">_xlfn.IFS(CB2="no rate","",ISTEXT(CB2),SUM(CC3:INDEX(CC3:$ES$3,,_xlfn.AGGREGATE(15,6,(COLUMN(CC3:$ES$3)-COLUMN()-1)/(LEFT(CC6:$ES$6,1)&lt;&gt;"("),1))),1,INDEX('Capacity'!$2:$2,MATCH(CB6,'Capacity'!$3:$3,0))*IFERROR(INDEX(tRates[[Yearly WDs]:[Yearly WDs]],MATCH(CB6,tRates[[Key (lookup)]:[Key (lookup)]],0)),200))</f>
        <v>0</v>
      </c>
      <c r="CC3" s="111" cm="1">
        <f t="array" ref="CC3">_xlfn.IFS(CC2="no rate","",ISTEXT(CC2),SUM(CD3:INDEX(CD3:$ES$3,,_xlfn.AGGREGATE(15,6,(COLUMN(CD3:$ES$3)-COLUMN()-1)/(LEFT(CD6:$ES$6,1)&lt;&gt;"("),1))),1,INDEX('Capacity'!$2:$2,MATCH(CC6,'Capacity'!$3:$3,0))*IFERROR(INDEX(tRates[[Yearly WDs]:[Yearly WDs]],MATCH(CC6,tRates[[Key (lookup)]:[Key (lookup)]],0)),200))</f>
        <v>0</v>
      </c>
      <c r="CD3" s="111" cm="1">
        <f t="array" ref="CD3">_xlfn.IFS(CD2="no rate","",ISTEXT(CD2),SUM(CE3:INDEX(CE3:$ES$3,,_xlfn.AGGREGATE(15,6,(COLUMN(CE3:$ES$3)-COLUMN()-1)/(LEFT(CE6:$ES$6,1)&lt;&gt;"("),1))),1,INDEX('Capacity'!$2:$2,MATCH(CD6,'Capacity'!$3:$3,0))*IFERROR(INDEX(tRates[[Yearly WDs]:[Yearly WDs]],MATCH(CD6,tRates[[Key (lookup)]:[Key (lookup)]],0)),200))</f>
        <v>0</v>
      </c>
      <c r="CE3" s="111" cm="1">
        <f t="array" ref="CE3">_xlfn.IFS(CE2="no rate","",ISTEXT(CE2),SUM(CF3:INDEX(CF3:$ES$3,,_xlfn.AGGREGATE(15,6,(COLUMN(CF3:$ES$3)-COLUMN()-1)/(LEFT(CF6:$ES$6,1)&lt;&gt;"("),1))),1,INDEX('Capacity'!$2:$2,MATCH(CE6,'Capacity'!$3:$3,0))*IFERROR(INDEX(tRates[[Yearly WDs]:[Yearly WDs]],MATCH(CE6,tRates[[Key (lookup)]:[Key (lookup)]],0)),200))</f>
        <v>0</v>
      </c>
      <c r="CF3" s="111" cm="1">
        <f t="array" ref="CF3">_xlfn.IFS(CF2="no rate","",ISTEXT(CF2),SUM(CG3:INDEX(CG3:$ES$3,,_xlfn.AGGREGATE(15,6,(COLUMN(CG3:$ES$3)-COLUMN()-1)/(LEFT(CG6:$ES$6,1)&lt;&gt;"("),1))),1,INDEX('Capacity'!$2:$2,MATCH(CF6,'Capacity'!$3:$3,0))*IFERROR(INDEX(tRates[[Yearly WDs]:[Yearly WDs]],MATCH(CF6,tRates[[Key (lookup)]:[Key (lookup)]],0)),200))</f>
        <v>0</v>
      </c>
      <c r="CG3" s="111" cm="1">
        <f t="array" ref="CG3">_xlfn.IFS(CG2="no rate","",ISTEXT(CG2),SUM(CH3:INDEX(CH3:$ES$3,,_xlfn.AGGREGATE(15,6,(COLUMN(CH3:$ES$3)-COLUMN()-1)/(LEFT(CH6:$ES$6,1)&lt;&gt;"("),1))),1,INDEX('Capacity'!$2:$2,MATCH(CG6,'Capacity'!$3:$3,0))*IFERROR(INDEX(tRates[[Yearly WDs]:[Yearly WDs]],MATCH(CG6,tRates[[Key (lookup)]:[Key (lookup)]],0)),200))</f>
        <v>0</v>
      </c>
      <c r="CH3" s="111" cm="1">
        <f t="array" ref="CH3">_xlfn.IFS(CH2="no rate","",ISTEXT(CH2),SUM(CI3:INDEX(CI3:$ES$3,,_xlfn.AGGREGATE(15,6,(COLUMN(CI3:$ES$3)-COLUMN()-1)/(LEFT(CI6:$ES$6,1)&lt;&gt;"("),1))),1,INDEX('Capacity'!$2:$2,MATCH(CH6,'Capacity'!$3:$3,0))*IFERROR(INDEX(tRates[[Yearly WDs]:[Yearly WDs]],MATCH(CH6,tRates[[Key (lookup)]:[Key (lookup)]],0)),200))</f>
        <v>0</v>
      </c>
      <c r="CI3" s="111" cm="1">
        <f t="array" ref="CI3">_xlfn.IFS(CI2="no rate","",ISTEXT(CI2),SUM(CJ3:INDEX(CJ3:$ES$3,,_xlfn.AGGREGATE(15,6,(COLUMN(CJ3:$ES$3)-COLUMN()-1)/(LEFT(CJ6:$ES$6,1)&lt;&gt;"("),1))),1,INDEX('Capacity'!$2:$2,MATCH(CI6,'Capacity'!$3:$3,0))*IFERROR(INDEX(tRates[[Yearly WDs]:[Yearly WDs]],MATCH(CI6,tRates[[Key (lookup)]:[Key (lookup)]],0)),200))</f>
        <v>0</v>
      </c>
      <c r="CJ3" s="111" cm="1">
        <f t="array" ref="CJ3">_xlfn.IFS(CJ2="no rate","",ISTEXT(CJ2),SUM(CK3:INDEX(CK3:$ES$3,,_xlfn.AGGREGATE(15,6,(COLUMN(CK3:$ES$3)-COLUMN()-1)/(LEFT(CK6:$ES$6,1)&lt;&gt;"("),1))),1,INDEX('Capacity'!$2:$2,MATCH(CJ6,'Capacity'!$3:$3,0))*IFERROR(INDEX(tRates[[Yearly WDs]:[Yearly WDs]],MATCH(CJ6,tRates[[Key (lookup)]:[Key (lookup)]],0)),200))</f>
        <v>0</v>
      </c>
      <c r="CK3" s="111" cm="1">
        <f t="array" ref="CK3">_xlfn.IFS(CK2="no rate","",ISTEXT(CK2),SUM(CL3:INDEX(CL3:$ES$3,,_xlfn.AGGREGATE(15,6,(COLUMN(CL3:$ES$3)-COLUMN()-1)/(LEFT(CL6:$ES$6,1)&lt;&gt;"("),1))),1,INDEX('Capacity'!$2:$2,MATCH(CK6,'Capacity'!$3:$3,0))*IFERROR(INDEX(tRates[[Yearly WDs]:[Yearly WDs]],MATCH(CK6,tRates[[Key (lookup)]:[Key (lookup)]],0)),200))</f>
        <v>0</v>
      </c>
      <c r="CL3" s="111" cm="1">
        <f t="array" ref="CL3">_xlfn.IFS(CL2="no rate","",ISTEXT(CL2),SUM(CM3:INDEX(CM3:$ES$3,,_xlfn.AGGREGATE(15,6,(COLUMN(CM3:$ES$3)-COLUMN()-1)/(LEFT(CM6:$ES$6,1)&lt;&gt;"("),1))),1,INDEX('Capacity'!$2:$2,MATCH(CL6,'Capacity'!$3:$3,0))*IFERROR(INDEX(tRates[[Yearly WDs]:[Yearly WDs]],MATCH(CL6,tRates[[Key (lookup)]:[Key (lookup)]],0)),200))</f>
        <v>0</v>
      </c>
      <c r="CM3" s="111" cm="1">
        <f t="array" ref="CM3">_xlfn.IFS(CM2="no rate","",ISTEXT(CM2),SUM(CN3:INDEX(CN3:$ES$3,,_xlfn.AGGREGATE(15,6,(COLUMN(CN3:$ES$3)-COLUMN()-1)/(LEFT(CN6:$ES$6,1)&lt;&gt;"("),1))),1,INDEX('Capacity'!$2:$2,MATCH(CM6,'Capacity'!$3:$3,0))*IFERROR(INDEX(tRates[[Yearly WDs]:[Yearly WDs]],MATCH(CM6,tRates[[Key (lookup)]:[Key (lookup)]],0)),200))</f>
        <v>0</v>
      </c>
      <c r="CN3" s="111" cm="1">
        <f t="array" ref="CN3">_xlfn.IFS(CN2="no rate","",ISTEXT(CN2),SUM(CO3:INDEX(CO3:$ES$3,,_xlfn.AGGREGATE(15,6,(COLUMN(CO3:$ES$3)-COLUMN()-1)/(LEFT(CO6:$ES$6,1)&lt;&gt;"("),1))),1,INDEX('Capacity'!$2:$2,MATCH(CN6,'Capacity'!$3:$3,0))*IFERROR(INDEX(tRates[[Yearly WDs]:[Yearly WDs]],MATCH(CN6,tRates[[Key (lookup)]:[Key (lookup)]],0)),200))</f>
        <v>0</v>
      </c>
      <c r="CO3" s="111" cm="1">
        <f t="array" ref="CO3">_xlfn.IFS(CO2="no rate","",ISTEXT(CO2),SUM(CP3:INDEX(CP3:$ES$3,,_xlfn.AGGREGATE(15,6,(COLUMN(CP3:$ES$3)-COLUMN()-1)/(LEFT(CP6:$ES$6,1)&lt;&gt;"("),1))),1,INDEX('Capacity'!$2:$2,MATCH(CO6,'Capacity'!$3:$3,0))*IFERROR(INDEX(tRates[[Yearly WDs]:[Yearly WDs]],MATCH(CO6,tRates[[Key (lookup)]:[Key (lookup)]],0)),200))</f>
        <v>0</v>
      </c>
      <c r="CP3" s="111" cm="1">
        <f t="array" ref="CP3">_xlfn.IFS(CP2="no rate","",ISTEXT(CP2),SUM(CQ3:INDEX(CQ3:$ES$3,,_xlfn.AGGREGATE(15,6,(COLUMN(CQ3:$ES$3)-COLUMN()-1)/(LEFT(CQ6:$ES$6,1)&lt;&gt;"("),1))),1,INDEX('Capacity'!$2:$2,MATCH(CP6,'Capacity'!$3:$3,0))*IFERROR(INDEX(tRates[[Yearly WDs]:[Yearly WDs]],MATCH(CP6,tRates[[Key (lookup)]:[Key (lookup)]],0)),200))</f>
        <v>0</v>
      </c>
      <c r="CQ3" s="111" cm="1">
        <f t="array" ref="CQ3">_xlfn.IFS(CQ2="no rate","",ISTEXT(CQ2),SUM(CR3:INDEX(CR3:$ES$3,,_xlfn.AGGREGATE(15,6,(COLUMN(CR3:$ES$3)-COLUMN()-1)/(LEFT(CR6:$ES$6,1)&lt;&gt;"("),1))),1,INDEX('Capacity'!$2:$2,MATCH(CQ6,'Capacity'!$3:$3,0))*IFERROR(INDEX(tRates[[Yearly WDs]:[Yearly WDs]],MATCH(CQ6,tRates[[Key (lookup)]:[Key (lookup)]],0)),200))</f>
        <v>0</v>
      </c>
      <c r="CR3" s="111" cm="1">
        <f t="array" ref="CR3">_xlfn.IFS(CR2="no rate","",ISTEXT(CR2),SUM(CS3:INDEX(CS3:$ES$3,,_xlfn.AGGREGATE(15,6,(COLUMN(CS3:$ES$3)-COLUMN()-1)/(LEFT(CS6:$ES$6,1)&lt;&gt;"("),1))),1,INDEX('Capacity'!$2:$2,MATCH(CR6,'Capacity'!$3:$3,0))*IFERROR(INDEX(tRates[[Yearly WDs]:[Yearly WDs]],MATCH(CR6,tRates[[Key (lookup)]:[Key (lookup)]],0)),200))</f>
        <v>0</v>
      </c>
      <c r="CS3" s="111" cm="1">
        <f t="array" ref="CS3">_xlfn.IFS(CS2="no rate","",ISTEXT(CS2),SUM(CT3:INDEX(CT3:$ES$3,,_xlfn.AGGREGATE(15,6,(COLUMN(CT3:$ES$3)-COLUMN()-1)/(LEFT(CT6:$ES$6,1)&lt;&gt;"("),1))),1,INDEX('Capacity'!$2:$2,MATCH(CS6,'Capacity'!$3:$3,0))*IFERROR(INDEX(tRates[[Yearly WDs]:[Yearly WDs]],MATCH(CS6,tRates[[Key (lookup)]:[Key (lookup)]],0)),200))</f>
        <v>0</v>
      </c>
      <c r="CT3" s="111" cm="1">
        <f t="array" ref="CT3">_xlfn.IFS(CT2="no rate","",ISTEXT(CT2),SUM(CU3:INDEX(CU3:$ES$3,,_xlfn.AGGREGATE(15,6,(COLUMN(CU3:$ES$3)-COLUMN()-1)/(LEFT(CU6:$ES$6,1)&lt;&gt;"("),1))),1,INDEX('Capacity'!$2:$2,MATCH(CT6,'Capacity'!$3:$3,0))*IFERROR(INDEX(tRates[[Yearly WDs]:[Yearly WDs]],MATCH(CT6,tRates[[Key (lookup)]:[Key (lookup)]],0)),200))</f>
        <v>0</v>
      </c>
      <c r="CU3" s="111" cm="1">
        <f t="array" ref="CU3">_xlfn.IFS(CU2="no rate","",ISTEXT(CU2),SUM(CV3:INDEX(CV3:$ES$3,,_xlfn.AGGREGATE(15,6,(COLUMN(CV3:$ES$3)-COLUMN()-1)/(LEFT(CV6:$ES$6,1)&lt;&gt;"("),1))),1,INDEX('Capacity'!$2:$2,MATCH(CU6,'Capacity'!$3:$3,0))*IFERROR(INDEX(tRates[[Yearly WDs]:[Yearly WDs]],MATCH(CU6,tRates[[Key (lookup)]:[Key (lookup)]],0)),200))</f>
        <v>0</v>
      </c>
      <c r="CV3" s="111" cm="1">
        <f t="array" ref="CV3">_xlfn.IFS(CV2="no rate","",ISTEXT(CV2),SUM(CW3:INDEX(CW3:$ES$3,,_xlfn.AGGREGATE(15,6,(COLUMN(CW3:$ES$3)-COLUMN()-1)/(LEFT(CW6:$ES$6,1)&lt;&gt;"("),1))),1,INDEX('Capacity'!$2:$2,MATCH(CV6,'Capacity'!$3:$3,0))*IFERROR(INDEX(tRates[[Yearly WDs]:[Yearly WDs]],MATCH(CV6,tRates[[Key (lookup)]:[Key (lookup)]],0)),200))</f>
        <v>0</v>
      </c>
      <c r="CW3" s="111" cm="1">
        <f t="array" ref="CW3">_xlfn.IFS(CW2="no rate","",ISTEXT(CW2),SUM(CX3:INDEX(CX3:$ES$3,,_xlfn.AGGREGATE(15,6,(COLUMN(CX3:$ES$3)-COLUMN()-1)/(LEFT(CX6:$ES$6,1)&lt;&gt;"("),1))),1,INDEX('Capacity'!$2:$2,MATCH(CW6,'Capacity'!$3:$3,0))*IFERROR(INDEX(tRates[[Yearly WDs]:[Yearly WDs]],MATCH(CW6,tRates[[Key (lookup)]:[Key (lookup)]],0)),200))</f>
        <v>0</v>
      </c>
      <c r="CX3" s="111" cm="1">
        <f t="array" ref="CX3">_xlfn.IFS(CX2="no rate","",ISTEXT(CX2),SUM(CY3:INDEX(CY3:$ES$3,,_xlfn.AGGREGATE(15,6,(COLUMN(CY3:$ES$3)-COLUMN()-1)/(LEFT(CY6:$ES$6,1)&lt;&gt;"("),1))),1,INDEX('Capacity'!$2:$2,MATCH(CX6,'Capacity'!$3:$3,0))*IFERROR(INDEX(tRates[[Yearly WDs]:[Yearly WDs]],MATCH(CX6,tRates[[Key (lookup)]:[Key (lookup)]],0)),200))</f>
        <v>0</v>
      </c>
      <c r="CY3" s="111" t="e" cm="1">
        <f t="array" ref="CY3">_xlfn.IFS(CY2="no rate","",ISTEXT(CY2),SUM(CZ3:INDEX(CZ3:$ES$3,,_xlfn.AGGREGATE(15,6,(COLUMN(CZ3:$ES$3)-COLUMN()-1)/(LEFT(CZ6:$ES$6,1)&lt;&gt;"("),1))),1,INDEX('Capacity'!$2:$2,MATCH(CY6,'Capacity'!$3:$3,0))*IFERROR(INDEX(tRates[[Yearly WDs]:[Yearly WDs]],MATCH(CY6,tRates[[Key (lookup)]:[Key (lookup)]],0)),200))</f>
        <v>#REF!</v>
      </c>
      <c r="CZ3" s="111" cm="1">
        <f t="array" ref="CZ3">_xlfn.IFS(CZ2="no rate","",ISTEXT(CZ2),SUM(DA3:INDEX(DA3:$ES$3,,_xlfn.AGGREGATE(15,6,(COLUMN(DA3:$ES$3)-COLUMN()-1)/(LEFT(DA6:$ES$6,1)&lt;&gt;"("),1))),1,INDEX('Capacity'!$2:$2,MATCH(CZ6,'Capacity'!$3:$3,0))*IFERROR(INDEX(tRates[[Yearly WDs]:[Yearly WDs]],MATCH(CZ6,tRates[[Key (lookup)]:[Key (lookup)]],0)),200))</f>
        <v>0</v>
      </c>
      <c r="DA3" s="111" cm="1">
        <f t="array" ref="DA3">_xlfn.IFS(DA2="no rate","",ISTEXT(DA2),SUM(DB3:INDEX(DB3:$ES$3,,_xlfn.AGGREGATE(15,6,(COLUMN(DB3:$ES$3)-COLUMN()-1)/(LEFT(DB6:$ES$6,1)&lt;&gt;"("),1))),1,INDEX('Capacity'!$2:$2,MATCH(DA6,'Capacity'!$3:$3,0))*IFERROR(INDEX(tRates[[Yearly WDs]:[Yearly WDs]],MATCH(DA6,tRates[[Key (lookup)]:[Key (lookup)]],0)),200))</f>
        <v>0</v>
      </c>
      <c r="DB3" s="111" cm="1">
        <f t="array" ref="DB3">_xlfn.IFS(DB2="no rate","",ISTEXT(DB2),SUM(DC3:INDEX(DC3:$ES$3,,_xlfn.AGGREGATE(15,6,(COLUMN(DC3:$ES$3)-COLUMN()-1)/(LEFT(DC6:$ES$6,1)&lt;&gt;"("),1))),1,INDEX('Capacity'!$2:$2,MATCH(DB6,'Capacity'!$3:$3,0))*IFERROR(INDEX(tRates[[Yearly WDs]:[Yearly WDs]],MATCH(DB6,tRates[[Key (lookup)]:[Key (lookup)]],0)),200))</f>
        <v>0</v>
      </c>
      <c r="DC3" s="111" cm="1">
        <f t="array" ref="DC3">_xlfn.IFS(DC2="no rate","",ISTEXT(DC2),SUM(DD3:INDEX(DD3:$ES$3,,_xlfn.AGGREGATE(15,6,(COLUMN(DD3:$ES$3)-COLUMN()-1)/(LEFT(DF6:$ES$6,1)&lt;&gt;"("),1))),1,INDEX('Capacity'!$2:$2,MATCH(DC6,'Capacity'!$3:$3,0))*IFERROR(INDEX(tRates[[Yearly WDs]:[Yearly WDs]],MATCH(DC6,tRates[[Key (lookup)]:[Key (lookup)]],0)),200))</f>
        <v>0</v>
      </c>
      <c r="DD3" s="111" t="str" cm="1">
        <f t="array" ref="DD3">_xlfn.IFS(DD2="no rate","",ISTEXT(DD2),SUM(DE3:INDEX(DE3:$ES$3,,_xlfn.AGGREGATE(15,6,(COLUMN(DE3:$ES$3)-COLUMN()-1)/(LEFT(DF6:$ES$6,1)&lt;&gt;"("),1))),1,INDEX('Capacity'!$2:$2,MATCH(#REF!,'Capacity'!$3:$3,0))*IFERROR(INDEX(tRates[[Yearly WDs]:[Yearly WDs]],MATCH(#REF!,tRates[[Key (lookup)]:[Key (lookup)]],0)),200))</f>
        <v/>
      </c>
      <c r="DE3" s="111" t="e" cm="1">
        <f t="array" ref="DE3">_xlfn.IFS(DE2="no rate","",ISTEXT(DE2),SUM(DF3:INDEX(DF3:$ES$3,,_xlfn.AGGREGATE(15,6,(COLUMN(DF3:$ES$3)-COLUMN()-1)/(LEFT(DF6:$ES$6,1)&lt;&gt;"("),1))),1,INDEX('Capacity'!$2:$2,MATCH(#REF!,'Capacity'!$3:$3,0))*IFERROR(INDEX(tRates[[Yearly WDs]:[Yearly WDs]],MATCH(#REF!,tRates[[Key (lookup)]:[Key (lookup)]],0)),200))</f>
        <v>#REF!</v>
      </c>
      <c r="DF3" s="111" t="e" cm="1">
        <f t="array" ref="DF3">_xlfn.IFS(DF2="no rate","",ISTEXT(DF2),SUM(DG3:INDEX(DG3:$ES$3,,_xlfn.AGGREGATE(15,6,(COLUMN(DG3:$ES$3)-COLUMN()-1)/(LEFT(DG6:$ES$6,1)&lt;&gt;"("),1))),1,INDEX('Capacity'!$2:$2,MATCH(DF6,'Capacity'!$3:$3,0))*IFERROR(INDEX(tRates[[Yearly WDs]:[Yearly WDs]],MATCH(DF6,tRates[[Key (lookup)]:[Key (lookup)]],0)),200))</f>
        <v>#REF!</v>
      </c>
      <c r="DG3" s="111" cm="1">
        <f t="array" ref="DG3">_xlfn.IFS(DG2="no rate","",ISTEXT(DG2),SUM(DH3:INDEX(DH3:$ES$3,,_xlfn.AGGREGATE(15,6,(COLUMN(DH3:$ES$3)-COLUMN()-1)/(LEFT(DH6:$ES$6,1)&lt;&gt;"("),1))),1,INDEX('Capacity'!$2:$2,MATCH(DG6,'Capacity'!$3:$3,0))*IFERROR(INDEX(tRates[[Yearly WDs]:[Yearly WDs]],MATCH(DG6,tRates[[Key (lookup)]:[Key (lookup)]],0)),200))</f>
        <v>0</v>
      </c>
      <c r="DH3" s="111" cm="1">
        <f t="array" ref="DH3">_xlfn.IFS(DH2="no rate","",ISTEXT(DH2),SUM(DI3:INDEX(DI3:$ES$3,,_xlfn.AGGREGATE(15,6,(COLUMN(DI3:$ES$3)-COLUMN()-1)/(LEFT(DI6:$ES$6,1)&lt;&gt;"("),1))),1,INDEX('Capacity'!$2:$2,MATCH(DH6,'Capacity'!$3:$3,0))*IFERROR(INDEX(tRates[[Yearly WDs]:[Yearly WDs]],MATCH(DH6,tRates[[Key (lookup)]:[Key (lookup)]],0)),200))</f>
        <v>0</v>
      </c>
      <c r="DI3" s="111" cm="1">
        <f t="array" ref="DI3">_xlfn.IFS(DI2="no rate","",ISTEXT(DI2),SUM(DJ3:INDEX(DJ3:$ES$3,,_xlfn.AGGREGATE(15,6,(COLUMN(DJ3:$ES$3)-COLUMN()-1)/(LEFT(DJ6:$ES$6,1)&lt;&gt;"("),1))),1,INDEX('Capacity'!$2:$2,MATCH(DI6,'Capacity'!$3:$3,0))*IFERROR(INDEX(tRates[[Yearly WDs]:[Yearly WDs]],MATCH(DI6,tRates[[Key (lookup)]:[Key (lookup)]],0)),200))</f>
        <v>0</v>
      </c>
      <c r="DJ3" s="111" cm="1">
        <f t="array" ref="DJ3">_xlfn.IFS(DJ2="no rate","",ISTEXT(DJ2),SUM(DK3:INDEX(DK3:$ES$3,,_xlfn.AGGREGATE(15,6,(COLUMN(DK3:$ES$3)-COLUMN()-1)/(LEFT(DK6:$ES$6,1)&lt;&gt;"("),1))),1,INDEX('Capacity'!$2:$2,MATCH(DJ6,'Capacity'!$3:$3,0))*IFERROR(INDEX(tRates[[Yearly WDs]:[Yearly WDs]],MATCH(DJ6,tRates[[Key (lookup)]:[Key (lookup)]],0)),200))</f>
        <v>0</v>
      </c>
      <c r="DK3" s="111" cm="1">
        <f t="array" ref="DK3">_xlfn.IFS(DK2="no rate","",ISTEXT(DK2),SUM(DL3:INDEX(DL3:$ES$3,,_xlfn.AGGREGATE(15,6,(COLUMN(DL3:$ES$3)-COLUMN()-1)/(LEFT(DL6:$ES$6,1)&lt;&gt;"("),1))),1,INDEX('Capacity'!$2:$2,MATCH(DK6,'Capacity'!$3:$3,0))*IFERROR(INDEX(tRates[[Yearly WDs]:[Yearly WDs]],MATCH(DK6,tRates[[Key (lookup)]:[Key (lookup)]],0)),200))</f>
        <v>0</v>
      </c>
      <c r="DL3" s="111" cm="1">
        <f t="array" ref="DL3">_xlfn.IFS(DL2="no rate","",ISTEXT(DL2),SUM(DM3:INDEX(DM3:$ES$3,,_xlfn.AGGREGATE(15,6,(COLUMN(DM3:$ES$3)-COLUMN()-1)/(LEFT(DM6:$ES$6,1)&lt;&gt;"("),1))),1,INDEX('Capacity'!$2:$2,MATCH(DL6,'Capacity'!$3:$3,0))*IFERROR(INDEX(tRates[[Yearly WDs]:[Yearly WDs]],MATCH(DL6,tRates[[Key (lookup)]:[Key (lookup)]],0)),200))</f>
        <v>0</v>
      </c>
      <c r="DM3" s="111" cm="1">
        <f t="array" ref="DM3">_xlfn.IFS(DM2="no rate","",ISTEXT(DM2),SUM(DN3:INDEX(DN3:$ES$3,,_xlfn.AGGREGATE(15,6,(COLUMN(DN3:$ES$3)-COLUMN()-1)/(LEFT(DN6:$ES$6,1)&lt;&gt;"("),1))),1,INDEX('Capacity'!$2:$2,MATCH(DM6,'Capacity'!$3:$3,0))*IFERROR(INDEX(tRates[[Yearly WDs]:[Yearly WDs]],MATCH(DM6,tRates[[Key (lookup)]:[Key (lookup)]],0)),200))</f>
        <v>0</v>
      </c>
      <c r="DN3" s="111" cm="1">
        <f t="array" ref="DN3">_xlfn.IFS(DN2="no rate","",ISTEXT(DN2),SUM(DO3:INDEX(DO3:$ES$3,,_xlfn.AGGREGATE(15,6,(COLUMN(DO3:$ES$3)-COLUMN()-1)/(LEFT(DO6:$ES$6,1)&lt;&gt;"("),1))),1,INDEX('Capacity'!$2:$2,MATCH(DN6,'Capacity'!$3:$3,0))*IFERROR(INDEX(tRates[[Yearly WDs]:[Yearly WDs]],MATCH(DN6,tRates[[Key (lookup)]:[Key (lookup)]],0)),200))</f>
        <v>0</v>
      </c>
      <c r="DO3" s="111" cm="1">
        <f t="array" ref="DO3">_xlfn.IFS(DO2="no rate","",ISTEXT(DO2),SUM(DP3:INDEX(DP3:$ES$3,,_xlfn.AGGREGATE(15,6,(COLUMN(DP3:$ES$3)-COLUMN()-1)/(LEFT(DP6:$ES$6,1)&lt;&gt;"("),1))),1,INDEX('Capacity'!$2:$2,MATCH(DO6,'Capacity'!$3:$3,0))*IFERROR(INDEX(tRates[[Yearly WDs]:[Yearly WDs]],MATCH(DO6,tRates[[Key (lookup)]:[Key (lookup)]],0)),200))</f>
        <v>0</v>
      </c>
      <c r="DP3" s="111" cm="1">
        <f t="array" ref="DP3">_xlfn.IFS(DP2="no rate","",ISTEXT(DP2),SUM(DQ3:INDEX(DQ3:$ES$3,,_xlfn.AGGREGATE(15,6,(COLUMN(DQ3:$ES$3)-COLUMN()-1)/(LEFT(DQ6:$ES$6,1)&lt;&gt;"("),1))),1,INDEX('Capacity'!$2:$2,MATCH(DP6,'Capacity'!$3:$3,0))*IFERROR(INDEX(tRates[[Yearly WDs]:[Yearly WDs]],MATCH(DP6,tRates[[Key (lookup)]:[Key (lookup)]],0)),200))</f>
        <v>0</v>
      </c>
      <c r="DQ3" s="111" cm="1">
        <f t="array" ref="DQ3">_xlfn.IFS(DQ2="no rate","",ISTEXT(DQ2),SUM(DR3:INDEX(DR3:$ES$3,,_xlfn.AGGREGATE(15,6,(COLUMN(DR3:$ES$3)-COLUMN()-1)/(LEFT(DR6:$ES$6,1)&lt;&gt;"("),1))),1,INDEX('Capacity'!$2:$2,MATCH(DQ6,'Capacity'!$3:$3,0))*IFERROR(INDEX(tRates[[Yearly WDs]:[Yearly WDs]],MATCH(DQ6,tRates[[Key (lookup)]:[Key (lookup)]],0)),200))</f>
        <v>0</v>
      </c>
      <c r="DR3" s="111" t="str" cm="1">
        <f t="array" ref="DR3">_xlfn.IFS(DR2="no rate","",ISTEXT(DR2),SUM(DS3:INDEX(DS3:$ES$3,,_xlfn.AGGREGATE(15,6,(COLUMN(DS3:$ES$3)-COLUMN()-1)/(LEFT(DS6:$ES$6,1)&lt;&gt;"("),1))),1,INDEX('Capacity'!$2:$2,MATCH(DR6,'Capacity'!$3:$3,0))*IFERROR(INDEX(tRates[[Yearly WDs]:[Yearly WDs]],MATCH(DR6,tRates[[Key (lookup)]:[Key (lookup)]],0)),200))</f>
        <v/>
      </c>
      <c r="DS3" s="111" t="str" cm="1">
        <f t="array" ref="DS3">_xlfn.IFS(DS2="no rate","",ISTEXT(DS2),SUM(DT3:INDEX(DT3:$ES$3,,_xlfn.AGGREGATE(15,6,(COLUMN(DT3:$ES$3)-COLUMN()-1)/(LEFT(DT6:$ES$6,1)&lt;&gt;"("),1))),1,INDEX('Capacity'!$2:$2,MATCH(DS6,'Capacity'!$3:$3,0))*IFERROR(INDEX(tRates[[Yearly WDs]:[Yearly WDs]],MATCH(DS6,tRates[[Key (lookup)]:[Key (lookup)]],0)),200))</f>
        <v/>
      </c>
      <c r="DT3" s="111" t="str" cm="1">
        <f t="array" ref="DT3">_xlfn.IFS(DT2="no rate","",ISTEXT(DT2),SUM(DU3:INDEX(DU3:$ES$3,,_xlfn.AGGREGATE(15,6,(COLUMN(DU3:$ES$3)-COLUMN()-1)/(LEFT(DU6:$ES$6,1)&lt;&gt;"("),1))),1,INDEX('Capacity'!$2:$2,MATCH(DT6,'Capacity'!$3:$3,0))*IFERROR(INDEX(tRates[[Yearly WDs]:[Yearly WDs]],MATCH(DT6,tRates[[Key (lookup)]:[Key (lookup)]],0)),200))</f>
        <v/>
      </c>
      <c r="DU3" s="111" t="str" cm="1">
        <f t="array" ref="DU3">_xlfn.IFS(DU2="no rate","",ISTEXT(DU2),SUM(DV3:INDEX(DV3:$ES$3,,_xlfn.AGGREGATE(15,6,(COLUMN(DV3:$ES$3)-COLUMN()-1)/(LEFT(DV6:$ES$6,1)&lt;&gt;"("),1))),1,INDEX('Capacity'!$2:$2,MATCH(DU6,'Capacity'!$3:$3,0))*IFERROR(INDEX(tRates[[Yearly WDs]:[Yearly WDs]],MATCH(DU6,tRates[[Key (lookup)]:[Key (lookup)]],0)),200))</f>
        <v/>
      </c>
      <c r="DV3" s="111" t="str" cm="1">
        <f t="array" ref="DV3">_xlfn.IFS(DV2="no rate","",ISTEXT(DV2),SUM(DW3:INDEX(DW3:$ES$3,,_xlfn.AGGREGATE(15,6,(COLUMN(DW3:$ES$3)-COLUMN()-1)/(LEFT(DW6:$ES$6,1)&lt;&gt;"("),1))),1,INDEX('Capacity'!$2:$2,MATCH(DV6,'Capacity'!$3:$3,0))*IFERROR(INDEX(tRates[[Yearly WDs]:[Yearly WDs]],MATCH(DV6,tRates[[Key (lookup)]:[Key (lookup)]],0)),200))</f>
        <v/>
      </c>
      <c r="DW3" s="111" t="str" cm="1">
        <f t="array" ref="DW3">_xlfn.IFS(DW2="no rate","",ISTEXT(DW2),SUM(DX3:INDEX(DX3:$ES$3,,_xlfn.AGGREGATE(15,6,(COLUMN(DX3:$ES$3)-COLUMN()-1)/(LEFT(DX6:$ES$6,1)&lt;&gt;"("),1))),1,INDEX('Capacity'!$2:$2,MATCH(DW6,'Capacity'!$3:$3,0))*IFERROR(INDEX(tRates[[Yearly WDs]:[Yearly WDs]],MATCH(DW6,tRates[[Key (lookup)]:[Key (lookup)]],0)),200))</f>
        <v/>
      </c>
      <c r="DX3" s="111" cm="1">
        <f t="array" ref="DX3">_xlfn.IFS(DX2="no rate","",ISTEXT(DX2),SUM(DY3:INDEX(DY3:$ES$3,,_xlfn.AGGREGATE(15,6,(COLUMN(DY3:$ES$3)-COLUMN()-1)/(LEFT(DY6:$ES$6,1)&lt;&gt;"("),1))),1,INDEX('Capacity'!$2:$2,MATCH(DX6,'Capacity'!$3:$3,0))*IFERROR(INDEX(tRates[[Yearly WDs]:[Yearly WDs]],MATCH(DX6,tRates[[Key (lookup)]:[Key (lookup)]],0)),200))</f>
        <v>0</v>
      </c>
      <c r="DY3" s="111" cm="1">
        <f t="array" ref="DY3">_xlfn.IFS(DY2="no rate","",ISTEXT(DY2),SUM(DZ3:INDEX(DZ3:$ES$3,,_xlfn.AGGREGATE(15,6,(COLUMN(DZ3:$ES$3)-COLUMN()-1)/(LEFT(DZ6:$ES$6,1)&lt;&gt;"("),1))),1,INDEX('Capacity'!$2:$2,MATCH(DY6,'Capacity'!$3:$3,0))*IFERROR(INDEX(tRates[[Yearly WDs]:[Yearly WDs]],MATCH(DY6,tRates[[Key (lookup)]:[Key (lookup)]],0)),200))</f>
        <v>0</v>
      </c>
      <c r="DZ3" s="111" cm="1">
        <f t="array" ref="DZ3">_xlfn.IFS(DZ2="no rate","",ISTEXT(DZ2),SUM(EA3:INDEX(EA3:$ES$3,,_xlfn.AGGREGATE(15,6,(COLUMN(EA3:$ES$3)-COLUMN()-1)/(LEFT(EA6:$ES$6,1)&lt;&gt;"("),1))),1,INDEX('Capacity'!$2:$2,MATCH(DZ6,'Capacity'!$3:$3,0))*IFERROR(INDEX(tRates[[Yearly WDs]:[Yearly WDs]],MATCH(DZ6,tRates[[Key (lookup)]:[Key (lookup)]],0)),200))</f>
        <v>0</v>
      </c>
      <c r="EA3" s="111" cm="1">
        <f t="array" ref="EA3">_xlfn.IFS(EA2="no rate","",ISTEXT(EA2),SUM(EB3:INDEX(EB3:$ES$3,,_xlfn.AGGREGATE(15,6,(COLUMN(EB3:$ES$3)-COLUMN()-1)/(LEFT(EB6:$ES$6,1)&lt;&gt;"("),1))),1,INDEX('Capacity'!$2:$2,MATCH(EA6,'Capacity'!$3:$3,0))*IFERROR(INDEX(tRates[[Yearly WDs]:[Yearly WDs]],MATCH(EA6,tRates[[Key (lookup)]:[Key (lookup)]],0)),200))</f>
        <v>0</v>
      </c>
      <c r="EB3" s="111" cm="1">
        <f t="array" ref="EB3">_xlfn.IFS(EB2="no rate","",ISTEXT(EB2),SUM(EC3:INDEX(EC3:$ES$3,,_xlfn.AGGREGATE(15,6,(COLUMN(EC3:$ES$3)-COLUMN()-1)/(LEFT(EC6:$ES$6,1)&lt;&gt;"("),1))),1,INDEX('Capacity'!$2:$2,MATCH(EB6,'Capacity'!$3:$3,0))*IFERROR(INDEX(tRates[[Yearly WDs]:[Yearly WDs]],MATCH(EB6,tRates[[Key (lookup)]:[Key (lookup)]],0)),200))</f>
        <v>0</v>
      </c>
      <c r="EC3" s="111" cm="1">
        <f t="array" ref="EC3">_xlfn.IFS(EC2="no rate","",ISTEXT(EC2),SUM(ED3:INDEX(ED3:$ES$3,,_xlfn.AGGREGATE(15,6,(COLUMN(ED3:$ES$3)-COLUMN()-1)/(LEFT(ED6:$ES$6,1)&lt;&gt;"("),1))),1,INDEX('Capacity'!$2:$2,MATCH(EC6,'Capacity'!$3:$3,0))*IFERROR(INDEX(tRates[[Yearly WDs]:[Yearly WDs]],MATCH(EC6,tRates[[Key (lookup)]:[Key (lookup)]],0)),200))</f>
        <v>0</v>
      </c>
      <c r="ED3" s="111" cm="1">
        <f t="array" ref="ED3">_xlfn.IFS(ED2="no rate","",ISTEXT(ED2),SUM(EE3:INDEX(EE3:$ES$3,,_xlfn.AGGREGATE(15,6,(COLUMN(EE3:$ES$3)-COLUMN()-1)/(LEFT(EE6:$ES$6,1)&lt;&gt;"("),1))),1,INDEX('Capacity'!$2:$2,MATCH(ED6,'Capacity'!$3:$3,0))*IFERROR(INDEX(tRates[[Yearly WDs]:[Yearly WDs]],MATCH(ED6,tRates[[Key (lookup)]:[Key (lookup)]],0)),200))</f>
        <v>0</v>
      </c>
      <c r="EE3" s="111" cm="1">
        <f t="array" ref="EE3">_xlfn.IFS(EE2="no rate","",ISTEXT(EE2),SUM(EF3:INDEX(EF3:$ES$3,,_xlfn.AGGREGATE(15,6,(COLUMN(EF3:$ES$3)-COLUMN()-1)/(LEFT(EF6:$ES$6,1)&lt;&gt;"("),1))),1,INDEX('Capacity'!$2:$2,MATCH(EE6,'Capacity'!$3:$3,0))*IFERROR(INDEX(tRates[[Yearly WDs]:[Yearly WDs]],MATCH(EE6,tRates[[Key (lookup)]:[Key (lookup)]],0)),200))</f>
        <v>0</v>
      </c>
      <c r="EF3" s="111" cm="1">
        <f t="array" ref="EF3">_xlfn.IFS(EF2="no rate","",ISTEXT(EF2),SUM(EG3:INDEX(EG3:$ES$3,,_xlfn.AGGREGATE(15,6,(COLUMN(EG3:$ES$3)-COLUMN()-1)/(LEFT(EG6:$ES$6,1)&lt;&gt;"("),1))),1,INDEX('Capacity'!$2:$2,MATCH(EF6,'Capacity'!$3:$3,0))*IFERROR(INDEX(tRates[[Yearly WDs]:[Yearly WDs]],MATCH(EF6,tRates[[Key (lookup)]:[Key (lookup)]],0)),200))</f>
        <v>0</v>
      </c>
      <c r="EG3" s="111" t="str" cm="1">
        <f t="array" ref="EG3">_xlfn.IFS(EG2="no rate","",ISTEXT(EG2),SUM(EH3:INDEX(EH3:$ES$3,,_xlfn.AGGREGATE(15,6,(COLUMN(EH3:$ES$3)-COLUMN()-1)/(LEFT(EH6:$ES$6,1)&lt;&gt;"("),1))),1,INDEX('Capacity'!$2:$2,MATCH(EG6,'Capacity'!$3:$3,0))*IFERROR(INDEX(tRates[[Yearly WDs]:[Yearly WDs]],MATCH(EG6,tRates[[Key (lookup)]:[Key (lookup)]],0)),200))</f>
        <v/>
      </c>
      <c r="EH3" s="111" cm="1">
        <f t="array" ref="EH3">_xlfn.IFS(EH2="no rate","",ISTEXT(EH2),SUM(EI3:INDEX(EI3:$ES$3,,_xlfn.AGGREGATE(15,6,(COLUMN(EI3:$ES$3)-COLUMN()-1)/(LEFT(EI6:$ES$6,1)&lt;&gt;"("),1))),1,INDEX('Capacity'!$2:$2,MATCH(EH6,'Capacity'!$3:$3,0))*IFERROR(INDEX(tRates[[Yearly WDs]:[Yearly WDs]],MATCH(EH6,tRates[[Key (lookup)]:[Key (lookup)]],0)),200))</f>
        <v>0</v>
      </c>
      <c r="EI3" s="111" cm="1">
        <f t="array" ref="EI3">_xlfn.IFS(EI2="no rate","",ISTEXT(EI2),SUM(EJ3:INDEX(EJ3:$ES$3,,_xlfn.AGGREGATE(15,6,(COLUMN(EJ3:$ES$3)-COLUMN()-1)/(LEFT(EJ6:$ES$6,1)&lt;&gt;"("),1))),1,INDEX('Capacity'!$2:$2,MATCH(EI6,'Capacity'!$3:$3,0))*IFERROR(INDEX(tRates[[Yearly WDs]:[Yearly WDs]],MATCH(EI6,tRates[[Key (lookup)]:[Key (lookup)]],0)),200))</f>
        <v>0</v>
      </c>
      <c r="EJ3" s="111" cm="1">
        <f t="array" ref="EJ3">_xlfn.IFS(EJ2="no rate","",ISTEXT(EJ2),SUM(EK3:INDEX(EK3:$ES$3,,_xlfn.AGGREGATE(15,6,(COLUMN(EK3:$ES$3)-COLUMN()-1)/(LEFT(EK6:$ES$6,1)&lt;&gt;"("),1))),1,INDEX('Capacity'!$2:$2,MATCH(EJ6,'Capacity'!$3:$3,0))*IFERROR(INDEX(tRates[[Yearly WDs]:[Yearly WDs]],MATCH(EJ6,tRates[[Key (lookup)]:[Key (lookup)]],0)),200))</f>
        <v>0</v>
      </c>
      <c r="EK3" s="111" cm="1">
        <f t="array" ref="EK3">_xlfn.IFS(EK2="no rate","",ISTEXT(EK2),SUM(EL3:INDEX(EL3:$ES$3,,_xlfn.AGGREGATE(15,6,(COLUMN(EL3:$ES$3)-COLUMN()-1)/(LEFT(EL6:$ES$6,1)&lt;&gt;"("),1))),1,INDEX('Capacity'!$2:$2,MATCH(EK6,'Capacity'!$3:$3,0))*IFERROR(INDEX(tRates[[Yearly WDs]:[Yearly WDs]],MATCH(EK6,tRates[[Key (lookup)]:[Key (lookup)]],0)),200))</f>
        <v>0</v>
      </c>
      <c r="EL3" s="111" cm="1">
        <f t="array" ref="EL3">_xlfn.IFS(EL2="no rate","",ISTEXT(EL2),SUM(EM3:INDEX(EM3:$ES$3,,_xlfn.AGGREGATE(15,6,(COLUMN(EM3:$ES$3)-COLUMN()-1)/(LEFT(EM6:$ES$6,1)&lt;&gt;"("),1))),1,INDEX('Capacity'!$2:$2,MATCH(EL6,'Capacity'!$3:$3,0))*IFERROR(INDEX(tRates[[Yearly WDs]:[Yearly WDs]],MATCH(EL6,tRates[[Key (lookup)]:[Key (lookup)]],0)),200))</f>
        <v>0</v>
      </c>
      <c r="EM3" s="111" cm="1">
        <f t="array" ref="EM3">_xlfn.IFS(EM2="no rate","",ISTEXT(EM2),SUM(EN3:INDEX(EN3:$ES$3,,_xlfn.AGGREGATE(15,6,(COLUMN(EN3:$ES$3)-COLUMN()-1)/(LEFT(EN6:$ES$6,1)&lt;&gt;"("),1))),1,INDEX('Capacity'!$2:$2,MATCH(EM6,'Capacity'!$3:$3,0))*IFERROR(INDEX(tRates[[Yearly WDs]:[Yearly WDs]],MATCH(EM6,tRates[[Key (lookup)]:[Key (lookup)]],0)),200))</f>
        <v>0</v>
      </c>
      <c r="EN3" s="111" cm="1">
        <f t="array" ref="EN3">_xlfn.IFS(EN2="no rate","",ISTEXT(EN2),SUM(EO3:INDEX(EO3:$ES$3,,_xlfn.AGGREGATE(15,6,(COLUMN(EO3:$ES$3)-COLUMN()-1)/(LEFT(EO6:$ES$6,1)&lt;&gt;"("),1))),1,INDEX('Capacity'!$2:$2,MATCH(EN6,'Capacity'!$3:$3,0))*IFERROR(INDEX(tRates[[Yearly WDs]:[Yearly WDs]],MATCH(EN6,tRates[[Key (lookup)]:[Key (lookup)]],0)),200))</f>
        <v>0</v>
      </c>
      <c r="EO3" s="111" cm="1">
        <f t="array" ref="EO3">_xlfn.IFS(EO2="no rate","",ISTEXT(EO2),SUM(EP3:INDEX(EP3:$ES$3,,_xlfn.AGGREGATE(15,6,(COLUMN(EP3:$ES$3)-COLUMN()-1)/(LEFT(EP6:$ES$6,1)&lt;&gt;"("),1))),1,INDEX('Capacity'!$2:$2,MATCH(EO6,'Capacity'!$3:$3,0))*IFERROR(INDEX(tRates[[Yearly WDs]:[Yearly WDs]],MATCH(EO6,tRates[[Key (lookup)]:[Key (lookup)]],0)),200))</f>
        <v>0</v>
      </c>
      <c r="EP3" s="111" cm="1">
        <f t="array" ref="EP3">_xlfn.IFS(EP2="no rate","",ISTEXT(EP2),SUM(EQ3:INDEX(EQ3:$ES$3,,_xlfn.AGGREGATE(15,6,(COLUMN(EQ3:$ES$3)-COLUMN()-1)/(LEFT(EQ6:$ES$6,1)&lt;&gt;"("),1))),1,INDEX('Capacity'!$2:$2,MATCH(EP6,'Capacity'!$3:$3,0))*IFERROR(INDEX(tRates[[Yearly WDs]:[Yearly WDs]],MATCH(EP6,tRates[[Key (lookup)]:[Key (lookup)]],0)),200))</f>
        <v>0</v>
      </c>
      <c r="EQ3" s="111" t="str" cm="1">
        <f t="array" ref="EQ3">_xlfn.IFS(EQ2="no rate","",ISTEXT(EQ2),SUM(ER3:INDEX(ER3:$ES$3,,_xlfn.AGGREGATE(15,6,(COLUMN(ER3:$ES$3)-COLUMN()-1)/(LEFT(ER6:$ES$6,1)&lt;&gt;"("),1))),1,INDEX('Capacity'!$2:$2,MATCH(EQ6,'Capacity'!$3:$3,0))*IFERROR(INDEX(tRates[[Yearly WDs]:[Yearly WDs]],MATCH(EQ6,tRates[[Key (lookup)]:[Key (lookup)]],0)),200))</f>
        <v/>
      </c>
      <c r="ER3" s="111" t="str" cm="1">
        <f t="array" ref="ER3">_xlfn.IFS(ER2="no rate","",ISTEXT(ER2),SUM(ES3:INDEX(ES3:$ES$3,,_xlfn.AGGREGATE(15,6,(COLUMN(ES3:$ES$3)-COLUMN()-1)/(LEFT(ES6:$ES$6,1)&lt;&gt;"("),1))),1,INDEX('Capacity'!$2:$2,MATCH(ER6,'Capacity'!$3:$3,0))*IFERROR(INDEX(tRates[[Yearly WDs]:[Yearly WDs]],MATCH(ER6,tRates[[Key (lookup)]:[Key (lookup)]],0)),200))</f>
        <v/>
      </c>
      <c r="ES3" s="111" t="str" cm="1">
        <f t="array" ref="ES3">_xlfn.IFS(ES2="no rate","",ISTEXT(ES2),SUM(ET3:INDEX($ES3:ET$3,,_xlfn.AGGREGATE(15,6,(COLUMN($ES3:ET$3)-COLUMN()-1)/(LEFT($ES6:ET$6,1)&lt;&gt;"("),1))),1,INDEX('Capacity'!$2:$2,MATCH(ES6,'Capacity'!$3:$3,0))*IFERROR(INDEX(tRates[[Yearly WDs]:[Yearly WDs]],MATCH(ES6,tRates[[Key (lookup)]:[Key (lookup)]],0)),200))</f>
        <v/>
      </c>
      <c r="ET3" s="111"/>
      <c r="EU3" s="111">
        <f>'New Projects'!EV3</f>
        <v>0</v>
      </c>
      <c r="EV3" s="111">
        <f>'New Projects'!EW3</f>
        <v>0</v>
      </c>
      <c r="EW3" s="111">
        <f>'New Projects'!EX3</f>
        <v>0</v>
      </c>
      <c r="EX3" s="111"/>
      <c r="EY3" s="111"/>
      <c r="EZ3" s="111"/>
      <c r="FA3" s="111"/>
      <c r="FB3" s="111"/>
      <c r="FC3" s="111"/>
      <c r="FD3" s="111"/>
      <c r="FE3" s="111"/>
      <c r="FF3" s="111"/>
      <c r="FG3" s="111"/>
      <c r="FH3" s="111"/>
      <c r="FI3" s="111"/>
      <c r="FJ3" s="111"/>
      <c r="FK3" s="111"/>
      <c r="FL3" s="111"/>
      <c r="FM3" s="111"/>
      <c r="FN3" s="111"/>
    </row>
    <row r="4" spans="2:170" x14ac:dyDescent="0.2">
      <c r="D4" s="60" t="e" cm="1">
        <f t="array" ref="D4">"total kEUR: "&amp;TEXT(SUMPRODUCT($Q$4:$EQ$4,(LEFT($Q$6:$EQ$6,1)&lt;&gt;"(")*1)+ET4,"#.## k€")</f>
        <v>#REF!</v>
      </c>
      <c r="Q4" s="58" cm="1">
        <f t="array" ref="Q4">_xlfn.IFS(RIGHT(Q6,4)="KEUR",Q5,Q2="no rate","",ISTEXT(Q2),SUM(R4:INDEX(R4:$ES$4,,_xlfn.AGGREGATE(15,6,(COLUMN(R4:$ES$4)-COLUMN()-1)/(LEFT(R6:$ES$6,1)&lt;&gt;"("),1))),1,Q2*Q5)</f>
        <v>99619.0674</v>
      </c>
      <c r="R4" s="58" cm="1">
        <f t="array" ref="R4">_xlfn.IFS(RIGHT(R6,4)="KEUR",R5,R2="no rate","",ISTEXT(R2),SUM(S4:INDEX(S4:$ES$4,,_xlfn.AGGREGATE(15,6,(COLUMN(S4:$ES$4)-COLUMN()-1)/(LEFT(S6:$ES$6,1)&lt;&gt;"("),1))),1,R2*R5)</f>
        <v>1080.8910000000001</v>
      </c>
      <c r="S4" s="58" cm="1">
        <f t="array" ref="S4">_xlfn.IFS(RIGHT(S6,4)="KEUR",S5,S2="no rate","",ISTEXT(S2),SUM(T4:INDEX(T4:$ES$4,,_xlfn.AGGREGATE(15,6,(COLUMN(T4:$ES$4)-COLUMN()-1)/(LEFT(T6:$ES$6,1)&lt;&gt;"("),1))),1,S2*S5)</f>
        <v>2731.7249999999999</v>
      </c>
      <c r="T4" s="58" cm="1">
        <f t="array" ref="T4">_xlfn.IFS(RIGHT(T6,4)="KEUR",T5,T2="no rate","",ISTEXT(T2),SUM(U4:INDEX(U4:$ES$4,,_xlfn.AGGREGATE(15,6,(COLUMN(U4:$ES$4)-COLUMN()-1)/(LEFT(U6:$ES$6,1)&lt;&gt;"("),1))),1,T2*T5)</f>
        <v>14579.355</v>
      </c>
      <c r="U4" s="58" cm="1">
        <f t="array" ref="U4">_xlfn.IFS(RIGHT(U6,4)="KEUR",U5,U2="no rate","",ISTEXT(U2),SUM(V4:INDEX(V4:$ES$4,,_xlfn.AGGREGATE(15,6,(COLUMN(V4:$ES$4)-COLUMN()-1)/(LEFT(V6:$ES$6,1)&lt;&gt;"("),1))),1,U2*U5)</f>
        <v>2952</v>
      </c>
      <c r="V4" s="58" cm="1">
        <f t="array" ref="V4">_xlfn.IFS(RIGHT(V6,4)="KEUR",V5,V2="no rate","",ISTEXT(V2),SUM(W4:INDEX(W4:$ES$4,,_xlfn.AGGREGATE(15,6,(COLUMN(W4:$ES$4)-COLUMN()-1)/(LEFT(W6:$ES$6,1)&lt;&gt;"("),1))),1,V2*V5)</f>
        <v>0</v>
      </c>
      <c r="W4" s="58" cm="1">
        <f t="array" ref="W4">_xlfn.IFS(RIGHT(W6,4)="KEUR",W5,W2="no rate","",ISTEXT(W2),SUM(X4:INDEX(X4:$ES$4,,_xlfn.AGGREGATE(15,6,(COLUMN(X4:$ES$4)-COLUMN()-1)/(LEFT(X6:$ES$6,1)&lt;&gt;"("),1))),1,W2*W5)</f>
        <v>12442.815000000001</v>
      </c>
      <c r="X4" s="58" cm="1">
        <f t="array" ref="X4">_xlfn.IFS(RIGHT(X6,4)="KEUR",X5,X2="no rate","",ISTEXT(X2),SUM(Y4:INDEX(Y4:$ES$4,,_xlfn.AGGREGATE(15,6,(COLUMN(Y4:$ES$4)-COLUMN()-1)/(LEFT(Y6:$ES$6,1)&lt;&gt;"("),1))),1,X2*X5)</f>
        <v>0</v>
      </c>
      <c r="Y4" s="58" cm="1">
        <f t="array" ref="Y4">_xlfn.IFS(RIGHT(Y6,4)="KEUR",Y5,Y2="no rate","",ISTEXT(Y2),SUM(Z4:INDEX(Z4:$ES$4,,_xlfn.AGGREGATE(15,6,(COLUMN(Z4:$ES$4)-COLUMN()-1)/(LEFT(Z6:$ES$6,1)&lt;&gt;"("),1))),1,Y2*Y5)</f>
        <v>5566.41</v>
      </c>
      <c r="Z4" s="58" cm="1">
        <f t="array" ref="Z4">_xlfn.IFS(RIGHT(Z6,4)="KEUR",Z5,Z2="no rate","",ISTEXT(Z2),SUM(AA4:INDEX(AA4:$ES$4,,_xlfn.AGGREGATE(15,6,(COLUMN(AA4:$ES$4)-COLUMN()-1)/(LEFT(AA6:$ES$6,1)&lt;&gt;"("),1))),1,Z2*Z5)</f>
        <v>3103.1370000000002</v>
      </c>
      <c r="AA4" s="58" cm="1">
        <f t="array" ref="AA4">_xlfn.IFS(RIGHT(AA6,4)="KEUR",AA5,AA2="no rate","",ISTEXT(AA2),SUM(AB4:INDEX(AB4:$ES$4,,_xlfn.AGGREGATE(15,6,(COLUMN(AB4:$ES$4)-COLUMN()-1)/(LEFT(AB6:$ES$6,1)&lt;&gt;"("),1))),1,AA2*AA5)</f>
        <v>246</v>
      </c>
      <c r="AB4" s="58" cm="1">
        <f t="array" ref="AB4">_xlfn.IFS(RIGHT(AB6,4)="KEUR",AB5,AB2="no rate","",ISTEXT(AB2),SUM(AC4:INDEX(AC4:$ES$4,,_xlfn.AGGREGATE(15,6,(COLUMN(AC4:$ES$4)-COLUMN()-1)/(LEFT(AC6:$ES$6,1)&lt;&gt;"("),1))),1,AB2*AB5)</f>
        <v>0</v>
      </c>
      <c r="AC4" s="58" cm="1">
        <f t="array" ref="AC4">_xlfn.IFS(RIGHT(AC6,4)="KEUR",AC5,AC2="no rate","",ISTEXT(AC2),SUM(AD4:INDEX(AD4:$ES$4,,_xlfn.AGGREGATE(15,6,(COLUMN(AD4:$ES$4)-COLUMN()-1)/(LEFT(AD6:$ES$6,1)&lt;&gt;"("),1))),1,AC2*AC5)</f>
        <v>0</v>
      </c>
      <c r="AD4" s="58" cm="1">
        <f t="array" ref="AD4">_xlfn.IFS(RIGHT(AD6,4)="KEUR",AD5,AD2="no rate","",ISTEXT(AD2),SUM(AE4:INDEX(AE4:$ES$4,,_xlfn.AGGREGATE(15,6,(COLUMN(AE4:$ES$4)-COLUMN()-1)/(LEFT(AE6:$ES$6,1)&lt;&gt;"("),1))),1,AD2*AD5)</f>
        <v>5458.32</v>
      </c>
      <c r="AE4" s="58" cm="1">
        <f t="array" ref="AE4">_xlfn.IFS(RIGHT(AE6,4)="KEUR",AE5,AE2="no rate","",ISTEXT(AE2),SUM(AF4:INDEX(AF4:$ES$4,,_xlfn.AGGREGATE(15,6,(COLUMN(AF4:$ES$4)-COLUMN()-1)/(LEFT(AF6:$ES$6,1)&lt;&gt;"("),1))),1,AE2*AE5)</f>
        <v>0</v>
      </c>
      <c r="AF4" s="58" cm="1">
        <f t="array" ref="AF4">_xlfn.IFS(RIGHT(AF6,4)="KEUR",AF5,AF2="no rate","",ISTEXT(AF2),SUM(AG4:INDEX(AG4:$ES$4,,_xlfn.AGGREGATE(15,6,(COLUMN(AG4:$ES$4)-COLUMN()-1)/(LEFT(AG6:$ES$6,1)&lt;&gt;"("),1))),1,AF2*AF5)</f>
        <v>2987.4555</v>
      </c>
      <c r="AG4" s="58" cm="1">
        <f t="array" ref="AG4">_xlfn.IFS(RIGHT(AG6,4)="KEUR",AG5,AG2="no rate","",ISTEXT(AG2),SUM(AH4:INDEX(AH4:$ES$4,,_xlfn.AGGREGATE(15,6,(COLUMN(AH4:$ES$4)-COLUMN()-1)/(LEFT(AH6:$ES$6,1)&lt;&gt;"("),1))),1,AG2*AG5)</f>
        <v>19128.590099999994</v>
      </c>
      <c r="AH4" s="58" cm="1">
        <f t="array" ref="AH4">_xlfn.IFS(RIGHT(AH6,4)="KEUR",AH5,AH2="no rate","",ISTEXT(AH2),SUM(AI4:INDEX(AI4:$ES$4,,_xlfn.AGGREGATE(15,6,(COLUMN(AI4:$ES$4)-COLUMN()-1)/(LEFT(AI6:$ES$6,1)&lt;&gt;"("),1))),1,AH2*AH5)</f>
        <v>1128.6000000000001</v>
      </c>
      <c r="AI4" s="58" cm="1">
        <f t="array" ref="AI4">_xlfn.IFS(RIGHT(AI6,4)="KEUR",AI5,AI2="no rate","",ISTEXT(AI2),SUM(AJ4:INDEX(AJ4:$ES$4,,_xlfn.AGGREGATE(15,6,(COLUMN(AJ4:$ES$4)-COLUMN()-1)/(LEFT(AJ6:$ES$6,1)&lt;&gt;"("),1))),1,AI2*AI5)</f>
        <v>5017.1400000000003</v>
      </c>
      <c r="AJ4" s="58" cm="1">
        <f t="array" ref="AJ4">_xlfn.IFS(RIGHT(AJ6,4)="KEUR",AJ5,AJ2="no rate","",ISTEXT(AJ2),SUM(AK4:INDEX(AK4:$ES$4,,_xlfn.AGGREGATE(15,6,(COLUMN(AK4:$ES$4)-COLUMN()-1)/(LEFT(AK6:$ES$6,1)&lt;&gt;"("),1))),1,AJ2*AJ5)</f>
        <v>1987.3620000000001</v>
      </c>
      <c r="AK4" s="58" cm="1">
        <f t="array" ref="AK4">_xlfn.IFS(RIGHT(AK6,4)="KEUR",AK5,AK2="no rate","",ISTEXT(AK2),SUM(AL4:INDEX(AL4:$ES$4,,_xlfn.AGGREGATE(15,6,(COLUMN(AL4:$ES$4)-COLUMN()-1)/(LEFT(AL6:$ES$6,1)&lt;&gt;"("),1))),1,AK2*AK5)</f>
        <v>802.84500000000003</v>
      </c>
      <c r="AL4" s="58" cm="1">
        <f t="array" ref="AL4">_xlfn.IFS(RIGHT(AL6,4)="KEUR",AL5,AL2="no rate","",ISTEXT(AL2),SUM(AM4:INDEX(AM4:$ES$4,,_xlfn.AGGREGATE(15,6,(COLUMN(AM4:$ES$4)-COLUMN()-1)/(LEFT(AM6:$ES$6,1)&lt;&gt;"("),1))),1,AL2*AL5)</f>
        <v>1792.9349999999999</v>
      </c>
      <c r="AM4" s="58" cm="1">
        <f t="array" ref="AM4">_xlfn.IFS(RIGHT(AM6,4)="KEUR",AM5,AM2="no rate","",ISTEXT(AM2),SUM(AN4:INDEX(AN4:$ES$4,,_xlfn.AGGREGATE(15,6,(COLUMN(AN4:$ES$4)-COLUMN()-1)/(LEFT(AN6:$ES$6,1)&lt;&gt;"("),1))),1,AM2*AM5)</f>
        <v>2975.4</v>
      </c>
      <c r="AN4" s="58" cm="1">
        <f t="array" ref="AN4">_xlfn.IFS(RIGHT(AN6,4)="KEUR",AN5,AN2="no rate","",ISTEXT(AN2),SUM(AO4:INDEX(AO4:$ES$4,,_xlfn.AGGREGATE(15,6,(COLUMN(AO4:$ES$4)-COLUMN()-1)/(LEFT(AO6:$ES$6,1)&lt;&gt;"("),1))),1,AN2*AN5)</f>
        <v>11477.862000000001</v>
      </c>
      <c r="AO4" s="58" cm="1">
        <f t="array" ref="AO4">_xlfn.IFS(RIGHT(AO6,4)="KEUR",AO5,AO2="no rate","",ISTEXT(AO2),SUM(AP4:INDEX(AP4:$ES$4,,_xlfn.AGGREGATE(15,6,(COLUMN(AP4:$ES$4)-COLUMN()-1)/(LEFT(AP6:$ES$6,1)&lt;&gt;"("),1))),1,AO2*AO5)</f>
        <v>4160.2248</v>
      </c>
      <c r="AP4" s="58" cm="1">
        <f t="array" ref="AP4">_xlfn.IFS(RIGHT(AP6,4)="KEUR",AP5,AP2="no rate","",ISTEXT(AP2),SUM(AQ4:INDEX(AQ4:$ES$4,,_xlfn.AGGREGATE(15,6,(COLUMN(AQ4:$ES$4)-COLUMN()-1)/(LEFT(AQ6:$ES$6,1)&lt;&gt;"("),1))),1,AP2*AP5)</f>
        <v>0</v>
      </c>
      <c r="AQ4" s="58" cm="1">
        <f t="array" ref="AQ4">_xlfn.IFS(RIGHT(AQ6,4)="KEUR",AQ5,AQ2="no rate","",ISTEXT(AQ2),SUM(AR4:INDEX(AR4:$ES$4,,_xlfn.AGGREGATE(15,6,(COLUMN(AR4:$ES$4)-COLUMN()-1)/(LEFT(AR6:$ES$6,1)&lt;&gt;"("),1))),1,AQ2*AQ5)</f>
        <v>0</v>
      </c>
      <c r="AR4" s="58" cm="1">
        <f t="array" ref="AR4">_xlfn.IFS(RIGHT(AR6,4)="KEUR",AR5,AR2="no rate","",ISTEXT(AR2),SUM(AS4:INDEX(AS4:$ES$4,,_xlfn.AGGREGATE(15,6,(COLUMN(AS4:$ES$4)-COLUMN()-1)/(LEFT(AS6:$ES$6,1)&lt;&gt;"("),1))),1,AR2*AR5)</f>
        <v>192</v>
      </c>
      <c r="AS4" s="58" cm="1">
        <f t="array" ref="AS4">_xlfn.IFS(RIGHT(AS6,4)="KEUR",AS5,AS2="no rate","",ISTEXT(AS2),SUM(AT4:INDEX(AT4:$ES$4,,_xlfn.AGGREGATE(15,6,(COLUMN(AT4:$ES$4)-COLUMN()-1)/(LEFT(AT6:$ES$6,1)&lt;&gt;"("),1))),1,AS2*AS5)</f>
        <v>192</v>
      </c>
      <c r="AT4" s="58" cm="1">
        <f t="array" ref="AT4">_xlfn.IFS(RIGHT(AT6,4)="KEUR",AT5,AT2="no rate","",ISTEXT(AT2),SUM(AU4:INDEX(AU4:$ES$4,,_xlfn.AGGREGATE(15,6,(COLUMN(AU4:$ES$4)-COLUMN()-1)/(LEFT(AU6:$ES$6,1)&lt;&gt;"("),1))),1,AT2*AT5)</f>
        <v>0</v>
      </c>
      <c r="AU4" s="58" cm="1">
        <f t="array" ref="AU4">_xlfn.IFS(RIGHT(AU6,4)="KEUR",AU5,AU2="no rate","",ISTEXT(AU2),SUM(AV4:INDEX(AV4:$ES$4,,_xlfn.AGGREGATE(15,6,(COLUMN(AV4:$ES$4)-COLUMN()-1)/(LEFT(AV6:$ES$6,1)&lt;&gt;"("),1))),1,AU2*AU5)</f>
        <v>0</v>
      </c>
      <c r="AV4" s="58" cm="1">
        <f t="array" ref="AV4">_xlfn.IFS(RIGHT(AV6,4)="KEUR",AV5,AV2="no rate","",ISTEXT(AV2),SUM(AW4:INDEX(AW4:$ES$4,,_xlfn.AGGREGATE(15,6,(COLUMN(AW4:$ES$4)-COLUMN()-1)/(LEFT(AW6:$ES$6,1)&lt;&gt;"("),1))),1,AV2*AV5)</f>
        <v>0</v>
      </c>
      <c r="AW4" s="58" cm="1">
        <f t="array" ref="AW4">_xlfn.IFS(RIGHT(AW6,4)="KEUR",AW5,AW2="no rate","",ISTEXT(AW2),SUM(AX4:INDEX(AX4:$ES$4,,_xlfn.AGGREGATE(15,6,(COLUMN(AX4:$ES$4)-COLUMN()-1)/(LEFT(AX6:$ES$6,1)&lt;&gt;"("),1))),1,AW2*AW5)</f>
        <v>330</v>
      </c>
      <c r="AX4" s="58" cm="1">
        <f t="array" ref="AX4">_xlfn.IFS(RIGHT(AX6,4)="KEUR",AX5,AX2="no rate","",ISTEXT(AX2),SUM(AY4:INDEX(AY4:$ES$4,,_xlfn.AGGREGATE(15,6,(COLUMN(AY4:$ES$4)-COLUMN()-1)/(LEFT(AY6:$ES$6,1)&lt;&gt;"("),1))),1,AX2*AX5)</f>
        <v>330</v>
      </c>
      <c r="AY4" s="58" cm="1">
        <f t="array" ref="AY4">_xlfn.IFS(RIGHT(AY6,4)="KEUR",AY5,AY2="no rate","",ISTEXT(AY2),SUM(AZ4:INDEX(AZ4:$ES$4,,_xlfn.AGGREGATE(15,6,(COLUMN(AZ4:$ES$4)-COLUMN()-1)/(LEFT(AZ6:$ES$6,1)&lt;&gt;"("),1))),1,AY2*AY5)</f>
        <v>0</v>
      </c>
      <c r="AZ4" s="58" cm="1">
        <f t="array" ref="AZ4">_xlfn.IFS(RIGHT(AZ6,4)="KEUR",AZ5,AZ2="no rate","",ISTEXT(AZ2),SUM(BA4:INDEX(BA4:$ES$4,,_xlfn.AGGREGATE(15,6,(COLUMN(BA4:$ES$4)-COLUMN()-1)/(LEFT(BA6:$ES$6,1)&lt;&gt;"("),1))),1,AZ2*AZ5)</f>
        <v>0</v>
      </c>
      <c r="BA4" s="58" cm="1">
        <f t="array" ref="BA4">_xlfn.IFS(RIGHT(BA6,4)="KEUR",BA5,BA2="no rate","",ISTEXT(BA2),SUM(BB4:INDEX(BB4:$ES$4,,_xlfn.AGGREGATE(15,6,(COLUMN(BB4:$ES$4)-COLUMN()-1)/(LEFT(BB6:$ES$6,1)&lt;&gt;"("),1))),1,BA2*BA5)</f>
        <v>0</v>
      </c>
      <c r="BB4" s="58" cm="1">
        <f t="array" ref="BB4">_xlfn.IFS(RIGHT(BB6,4)="KEUR",BB5,BB2="no rate","",ISTEXT(BB2),SUM(BC4:INDEX(BC4:$ES$4,,_xlfn.AGGREGATE(15,6,(COLUMN(BC4:$ES$4)-COLUMN()-1)/(LEFT(BC6:$ES$6,1)&lt;&gt;"("),1))),1,BB2*BB5)</f>
        <v>0</v>
      </c>
      <c r="BC4" s="58" cm="1">
        <f t="array" ref="BC4">_xlfn.IFS(RIGHT(BC6,4)="KEUR",BC5,BC2="no rate","",ISTEXT(BC2),SUM(BD4:INDEX(BD4:$ES$4,,_xlfn.AGGREGATE(15,6,(COLUMN(BD4:$ES$4)-COLUMN()-1)/(LEFT(BD6:$ES$6,1)&lt;&gt;"("),1))),1,BC2*BC5)</f>
        <v>0</v>
      </c>
      <c r="BD4" s="58" cm="1">
        <f t="array" ref="BD4">_xlfn.IFS(RIGHT(BD6,4)="KEUR",BD5,BD2="no rate","",ISTEXT(BD2),SUM(BE4:INDEX(BE4:$ES$4,,_xlfn.AGGREGATE(15,6,(COLUMN(BE4:$ES$4)-COLUMN()-1)/(LEFT(BE6:$ES$6,1)&lt;&gt;"("),1))),1,BD2*BD5)</f>
        <v>0</v>
      </c>
      <c r="BE4" s="58" cm="1">
        <f t="array" ref="BE4">_xlfn.IFS(RIGHT(BE6,4)="KEUR",BE5,BE2="no rate","",ISTEXT(BE2),SUM(BG4:INDEX(BG4:$ES$4,,_xlfn.AGGREGATE(15,6,(COLUMN(BG4:$ES$4)-COLUMN()-1)/(LEFT(BG6:$ES$6,1)&lt;&gt;"("),1))),1,BE2*BE5)</f>
        <v>0</v>
      </c>
      <c r="BF4" s="58" cm="1">
        <f t="array" ref="BF4">_xlfn.IFS(RIGHT(BF6,4)="KEUR",BF5,BF2="no rate","",ISTEXT(BF2),SUM(BH4:INDEX(BH4:$ES$4,,_xlfn.AGGREGATE(15,6,(COLUMN(BH4:$ES$4)-COLUMN()-1)/(LEFT(BH6:$ES$6,1)&lt;&gt;"("),1))),1,BF2*BF5)</f>
        <v>0</v>
      </c>
      <c r="BG4" s="58" cm="1">
        <f t="array" ref="BG4">_xlfn.IFS(RIGHT(BG6,4)="KEUR",BG5,BG2="no rate","",ISTEXT(BG2),SUM(BI4:INDEX(BI4:$ES$4,,_xlfn.AGGREGATE(15,6,(COLUMN(BI4:$ES$4)-COLUMN()-1)/(LEFT(BI6:$ES$6,1)&lt;&gt;"("),1))),1,BG2*BG5)</f>
        <v>0</v>
      </c>
      <c r="BH4" s="58" cm="1">
        <f t="array" ref="BH4">_xlfn.IFS(RIGHT(BH6,4)="KEUR",BH5,BH2="no rate","",ISTEXT(BH2),SUM(BJ4:INDEX(BJ4:$ES$4,,_xlfn.AGGREGATE(15,6,(COLUMN(BJ4:$ES$4)-COLUMN()-1)/(LEFT(BJ6:$ES$6,1)&lt;&gt;"("),1))),1,BH2*BH5)</f>
        <v>0</v>
      </c>
      <c r="BI4" s="58" cm="1">
        <f t="array" ref="BI4">_xlfn.IFS(RIGHT(BI6,4)="KEUR",BI5,BI2="no rate","",ISTEXT(BI2),SUM(BK4:INDEX(BK4:$ES$4,,_xlfn.AGGREGATE(15,6,(COLUMN(BK4:$ES$4)-COLUMN()-1)/(LEFT(BK6:$ES$6,1)&lt;&gt;"("),1))),1,BI2*BI5)</f>
        <v>0</v>
      </c>
      <c r="BJ4" s="58" cm="1">
        <f t="array" ref="BJ4">_xlfn.IFS(RIGHT(BJ6,4)="KEUR",BJ5,BJ2="no rate","",ISTEXT(BJ2),SUM(BK4:INDEX(BK4:$ES$4,,_xlfn.AGGREGATE(15,6,(COLUMN(BK4:$ES$4)-COLUMN()-1)/(LEFT(BK6:$ES$6,1)&lt;&gt;"("),1))),1,BJ2*BJ5)</f>
        <v>0</v>
      </c>
      <c r="BK4" s="58" cm="1">
        <f t="array" ref="BK4">_xlfn.IFS(RIGHT(BK6,4)="KEUR",BK5,BK2="no rate","",ISTEXT(BK2),SUM(BL4:INDEX(BL4:$ES$4,,_xlfn.AGGREGATE(15,6,(COLUMN(BL4:$ES$4)-COLUMN()-1)/(LEFT(BL6:$ES$6,1)&lt;&gt;"("),1))),1,BK2*BK5)</f>
        <v>0</v>
      </c>
      <c r="BL4" s="58" cm="1">
        <f t="array" ref="BL4">_xlfn.IFS(RIGHT(BL6,4)="KEUR",BL5,BL2="no rate","",ISTEXT(BL2),SUM(BP4:INDEX(BP4:$ES$4,,_xlfn.AGGREGATE(15,6,(COLUMN(BP4:$ES$4)-COLUMN()-1)/(LEFT(BP6:$ES$6,1)&lt;&gt;"("),1))),1,BL2*BL5)</f>
        <v>0</v>
      </c>
      <c r="BM4" s="58" cm="1">
        <f t="array" ref="BM4">_xlfn.IFS(RIGHT(BM6,4)="KEUR",BM5,BM2="no rate","",ISTEXT(BM2),SUM(BQ4:INDEX(BQ4:$ES$4,,_xlfn.AGGREGATE(15,6,(COLUMN(BQ4:$ES$4)-COLUMN()-1)/(LEFT(BQ6:$ES$6,1)&lt;&gt;"("),1))),1,BM2*BM5)</f>
        <v>0</v>
      </c>
      <c r="BN4" s="58" cm="1">
        <f t="array" ref="BN4">_xlfn.IFS(RIGHT(BN6,4)="KEUR",BN5,BN2="no rate","",ISTEXT(BN2),SUM(BR4:INDEX(BR4:$ES$4,,_xlfn.AGGREGATE(15,6,(COLUMN(BR4:$ES$4)-COLUMN()-1)/(LEFT(BR6:$ES$6,1)&lt;&gt;"("),1))),1,BN2*BN5)</f>
        <v>0</v>
      </c>
      <c r="BO4" s="58" cm="1">
        <f t="array" ref="BO4">_xlfn.IFS(RIGHT(BO6,4)="KEUR",BO5,BO2="no rate","",ISTEXT(BO2),SUM(BS4:INDEX(BS4:$ES$4,,_xlfn.AGGREGATE(15,6,(COLUMN(BS4:$ES$4)-COLUMN()-1)/(LEFT(BS6:$ES$6,1)&lt;&gt;"("),1))),1,BO2*BO5)</f>
        <v>0</v>
      </c>
      <c r="BP4" s="58" cm="1">
        <f t="array" ref="BP4">_xlfn.IFS(RIGHT(BP6,4)="KEUR",BP5,BP2="no rate","",ISTEXT(BP2),SUM(BT4:INDEX(BT4:$ES$4,,_xlfn.AGGREGATE(15,6,(COLUMN(BT4:$ES$4)-COLUMN()-1)/(LEFT(BT6:$ES$6,1)&lt;&gt;"("),1))),1,BP2*BP5)</f>
        <v>0</v>
      </c>
      <c r="BQ4" s="58" cm="1">
        <f t="array" ref="BQ4">_xlfn.IFS(RIGHT(BQ6,4)="KEUR",BQ5,BQ2="no rate","",ISTEXT(BQ2),SUM(BR4:INDEX(BR4:$ES$4,,_xlfn.AGGREGATE(15,6,(COLUMN(BR4:$ES$4)-COLUMN()-1)/(LEFT(BR6:$ES$6,1)&lt;&gt;"("),1))),1,BQ2*BQ5)</f>
        <v>0</v>
      </c>
      <c r="BR4" s="58" cm="1">
        <f t="array" ref="BR4">_xlfn.IFS(RIGHT(BR6,4)="KEUR",BR5,BR2="no rate","",ISTEXT(BR2),SUM(BS4:INDEX(BS4:$ES$4,,_xlfn.AGGREGATE(15,6,(COLUMN(BS4:$ES$4)-COLUMN()-1)/(LEFT(BS6:$ES$6,1)&lt;&gt;"("),1))),1,BR2*BR5)</f>
        <v>0</v>
      </c>
      <c r="BS4" s="58" cm="1">
        <f t="array" ref="BS4">_xlfn.IFS(RIGHT(BS6,4)="KEUR",BS5,BS2="no rate","",ISTEXT(BS2),SUM(BT4:INDEX(BT4:$ES$4,,_xlfn.AGGREGATE(15,6,(COLUMN(BT4:$ES$4)-COLUMN()-1)/(LEFT(BT6:$ES$6,1)&lt;&gt;"("),1))),1,BS2*BS5)</f>
        <v>0</v>
      </c>
      <c r="BT4" s="58" cm="1">
        <f t="array" ref="BT4">_xlfn.IFS(RIGHT(BT6,4)="KEUR",BT5,BT2="no rate","",ISTEXT(BT2),SUM(BU4:INDEX(BU4:$ES$4,,_xlfn.AGGREGATE(15,6,(COLUMN(BU4:$ES$4)-COLUMN()-1)/(LEFT(BU6:$ES$6,1)&lt;&gt;"("),1))),1,BT2*BT5)</f>
        <v>1655.8</v>
      </c>
      <c r="BU4" s="58" cm="1">
        <f t="array" ref="BU4">_xlfn.IFS(RIGHT(BU6,4)="KEUR",BU5,BU2="no rate","",ISTEXT(BU2),SUM(BV4:INDEX(BV4:$ES$4,,_xlfn.AGGREGATE(15,6,(COLUMN(BV4:$ES$4)-COLUMN()-1)/(LEFT(BV6:$ES$6,1)&lt;&gt;"("),1))),1,BU2*BU5)</f>
        <v>1655.8</v>
      </c>
      <c r="BV4" s="58" cm="1">
        <f t="array" ref="BV4">_xlfn.IFS(RIGHT(BV6,4)="KEUR",BV5,BV2="no rate","",ISTEXT(BV2),SUM(BW4:INDEX(BW4:$ES$4,,_xlfn.AGGREGATE(15,6,(COLUMN(BW4:$ES$4)-COLUMN()-1)/(LEFT(BW6:$ES$6,1)&lt;&gt;"("),1))),1,BV2*BV5)</f>
        <v>0</v>
      </c>
      <c r="BW4" s="58" cm="1">
        <f t="array" ref="BW4">_xlfn.IFS(RIGHT(BW6,4)="KEUR",BW5,BW2="no rate","",ISTEXT(BW2),SUM(BX4:INDEX(BX4:$ES$4,,_xlfn.AGGREGATE(15,6,(COLUMN(BX4:$ES$4)-COLUMN()-1)/(LEFT(BX6:$ES$6,1)&lt;&gt;"("),1))),1,BW2*BW5)</f>
        <v>0</v>
      </c>
      <c r="BX4" s="58" cm="1">
        <f t="array" ref="BX4">_xlfn.IFS(RIGHT(BX6,4)="KEUR",BX5,BX2="no rate","",ISTEXT(BX2),SUM(BY4:INDEX(BY4:$ES$4,,_xlfn.AGGREGATE(15,6,(COLUMN(BY4:$ES$4)-COLUMN()-1)/(LEFT(BY6:$ES$6,1)&lt;&gt;"("),1))),1,BX2*BX5)</f>
        <v>97.969999999999985</v>
      </c>
      <c r="BY4" s="58" cm="1">
        <f t="array" ref="BY4">_xlfn.IFS(RIGHT(BY6,4)="KEUR",BY5,BY2="no rate","",ISTEXT(BY2),SUM(BZ4:INDEX(BZ4:$ES$4,,_xlfn.AGGREGATE(15,6,(COLUMN(BZ4:$ES$4)-COLUMN()-1)/(LEFT(BZ6:$ES$6,1)&lt;&gt;"("),1))),1,BY2*BY5)</f>
        <v>14.399999999999999</v>
      </c>
      <c r="BZ4" s="58" cm="1">
        <f t="array" ref="BZ4">_xlfn.IFS(RIGHT(BZ6,4)="KEUR",BZ5,BZ2="no rate","",ISTEXT(BZ2),SUM(CA4:INDEX(CA4:$ES$4,,_xlfn.AGGREGATE(15,6,(COLUMN(CA4:$ES$4)-COLUMN()-1)/(LEFT(CA6:$ES$6,1)&lt;&gt;"("),1))),1,BZ2*BZ5)</f>
        <v>68.179999999999993</v>
      </c>
      <c r="CA4" s="58" cm="1">
        <f t="array" ref="CA4">_xlfn.IFS(RIGHT(CA6,4)="KEUR",CA5,CA2="no rate","",ISTEXT(CA2),SUM(CB4:INDEX(CB4:$ES$4,,_xlfn.AGGREGATE(15,6,(COLUMN(CB4:$ES$4)-COLUMN()-1)/(LEFT(CB6:$ES$6,1)&lt;&gt;"("),1))),1,CA2*CA5)</f>
        <v>0</v>
      </c>
      <c r="CB4" s="58" cm="1">
        <f t="array" ref="CB4">_xlfn.IFS(RIGHT(CB6,4)="KEUR",CB5,CB2="no rate","",ISTEXT(CB2),SUM(CC4:INDEX(CC4:$ES$4,,_xlfn.AGGREGATE(15,6,(COLUMN(CC4:$ES$4)-COLUMN()-1)/(LEFT(CC6:$ES$6,1)&lt;&gt;"("),1))),1,CB2*CB5)</f>
        <v>15.39</v>
      </c>
      <c r="CC4" s="58" cm="1">
        <f t="array" ref="CC4">_xlfn.IFS(RIGHT(CC6,4)="KEUR",CC5,CC2="no rate","",ISTEXT(CC2),SUM(CD4:INDEX(CD4:$ES$4,,_xlfn.AGGREGATE(15,6,(COLUMN(CD4:$ES$4)-COLUMN()-1)/(LEFT(CD6:$ES$6,1)&lt;&gt;"("),1))),1,CC2*CC5)</f>
        <v>0</v>
      </c>
      <c r="CD4" s="58" cm="1">
        <f t="array" ref="CD4">_xlfn.IFS(RIGHT(CD6,4)="KEUR",CD5,CD2="no rate","",ISTEXT(CD2),SUM(CE4:INDEX(CE4:$ES$4,,_xlfn.AGGREGATE(15,6,(COLUMN(CE4:$ES$4)-COLUMN()-1)/(LEFT(CE6:$ES$6,1)&lt;&gt;"("),1))),1,CD2*CD5)</f>
        <v>0</v>
      </c>
      <c r="CE4" s="58" cm="1">
        <f t="array" ref="CE4">_xlfn.IFS(RIGHT(CE6,4)="KEUR",CE5,CE2="no rate","",ISTEXT(CE2),SUM(CF4:INDEX(CF4:$ES$4,,_xlfn.AGGREGATE(15,6,(COLUMN(CF4:$ES$4)-COLUMN()-1)/(LEFT(CF6:$ES$6,1)&lt;&gt;"("),1))),1,CE2*CE5)</f>
        <v>0</v>
      </c>
      <c r="CF4" s="58" cm="1">
        <f t="array" ref="CF4">_xlfn.IFS(RIGHT(CF6,4)="KEUR",CF5,CF2="no rate","",ISTEXT(CF2),SUM(CG4:INDEX(CG4:$ES$4,,_xlfn.AGGREGATE(15,6,(COLUMN(CG4:$ES$4)-COLUMN()-1)/(LEFT(CG6:$ES$6,1)&lt;&gt;"("),1))),1,CF2*CF5)</f>
        <v>0</v>
      </c>
      <c r="CG4" s="58" cm="1">
        <f t="array" ref="CG4">_xlfn.IFS(RIGHT(CG6,4)="KEUR",CG5,CG2="no rate","",ISTEXT(CG2),SUM(CH4:INDEX(CH4:$ES$4,,_xlfn.AGGREGATE(15,6,(COLUMN(CH4:$ES$4)-COLUMN()-1)/(LEFT(CH6:$ES$6,1)&lt;&gt;"("),1))),1,CG2*CG5)</f>
        <v>0</v>
      </c>
      <c r="CH4" s="58" cm="1">
        <f t="array" ref="CH4">_xlfn.IFS(RIGHT(CH6,4)="KEUR",CH5,CH2="no rate","",ISTEXT(CH2),SUM(CI4:INDEX(CI4:$ES$4,,_xlfn.AGGREGATE(15,6,(COLUMN(CI4:$ES$4)-COLUMN()-1)/(LEFT(CI6:$ES$6,1)&lt;&gt;"("),1))),1,CH2*CH5)</f>
        <v>0</v>
      </c>
      <c r="CI4" s="58" cm="1">
        <f t="array" ref="CI4">_xlfn.IFS(RIGHT(CI6,4)="KEUR",CI5,CI2="no rate","",ISTEXT(CI2),SUM(CJ4:INDEX(CJ4:$ES$4,,_xlfn.AGGREGATE(15,6,(COLUMN(CJ4:$ES$4)-COLUMN()-1)/(LEFT(CJ6:$ES$6,1)&lt;&gt;"("),1))),1,CI2*CI5)</f>
        <v>0</v>
      </c>
      <c r="CJ4" s="58" cm="1">
        <f t="array" ref="CJ4">_xlfn.IFS(RIGHT(CJ6,4)="KEUR",CJ5,CJ2="no rate","",ISTEXT(CJ2),SUM(CK4:INDEX(CK4:$ES$4,,_xlfn.AGGREGATE(15,6,(COLUMN(CK4:$ES$4)-COLUMN()-1)/(LEFT(CK6:$ES$6,1)&lt;&gt;"("),1))),1,CJ2*CJ5)</f>
        <v>0</v>
      </c>
      <c r="CK4" s="58" cm="1">
        <f t="array" ref="CK4">_xlfn.IFS(RIGHT(CK6,4)="KEUR",CK5,CK2="no rate","",ISTEXT(CK2),SUM(CL4:INDEX(CL4:$ES$4,,_xlfn.AGGREGATE(15,6,(COLUMN(CL4:$ES$4)-COLUMN()-1)/(LEFT(CL6:$ES$6,1)&lt;&gt;"("),1))),1,CK2*CK5)</f>
        <v>36.6</v>
      </c>
      <c r="CL4" s="58" cm="1">
        <f t="array" ref="CL4">_xlfn.IFS(RIGHT(CL6,4)="KEUR",CL5,CL2="no rate","",ISTEXT(CL2),SUM(CM4:INDEX(CM4:$ES$4,,_xlfn.AGGREGATE(15,6,(COLUMN(CM4:$ES$4)-COLUMN()-1)/(LEFT(CM6:$ES$6,1)&lt;&gt;"("),1))),1,CL2*CL5)</f>
        <v>36.6</v>
      </c>
      <c r="CM4" s="58" cm="1">
        <f t="array" ref="CM4">_xlfn.IFS(RIGHT(CM6,4)="KEUR",CM5,CM2="no rate","",ISTEXT(CM2),SUM(CN4:INDEX(CN4:$ES$4,,_xlfn.AGGREGATE(15,6,(COLUMN(CN4:$ES$4)-COLUMN()-1)/(LEFT(CN6:$ES$6,1)&lt;&gt;"("),1))),1,CM2*CM5)</f>
        <v>0</v>
      </c>
      <c r="CN4" s="58" cm="1">
        <f t="array" ref="CN4">_xlfn.IFS(RIGHT(CN6,4)="KEUR",CN5,CN2="no rate","",ISTEXT(CN2),SUM(CO4:INDEX(CO4:$ES$4,,_xlfn.AGGREGATE(15,6,(COLUMN(CO4:$ES$4)-COLUMN()-1)/(LEFT(CO6:$ES$6,1)&lt;&gt;"("),1))),1,CN2*CN5)</f>
        <v>0</v>
      </c>
      <c r="CO4" s="58" cm="1">
        <f t="array" ref="CO4">_xlfn.IFS(RIGHT(CO6,4)="KEUR",CO5,CO2="no rate","",ISTEXT(CO2),SUM(CP4:INDEX(CP4:$ES$4,,_xlfn.AGGREGATE(15,6,(COLUMN(CP4:$ES$4)-COLUMN()-1)/(LEFT(CP6:$ES$6,1)&lt;&gt;"("),1))),1,CO2*CO5)</f>
        <v>18</v>
      </c>
      <c r="CP4" s="58" cm="1">
        <f t="array" ref="CP4">_xlfn.IFS(RIGHT(CP6,4)="KEUR",CP5,CP2="no rate","",ISTEXT(CP2),SUM(CQ4:INDEX(CQ4:$ES$4,,_xlfn.AGGREGATE(15,6,(COLUMN(CQ4:$ES$4)-COLUMN()-1)/(LEFT(CQ6:$ES$6,1)&lt;&gt;"("),1))),1,CP2*CP5)</f>
        <v>18</v>
      </c>
      <c r="CQ4" s="58" cm="1">
        <f t="array" ref="CQ4">_xlfn.IFS(RIGHT(CQ6,4)="KEUR",CQ5,CQ2="no rate","",ISTEXT(CQ2),SUM(CR4:INDEX(CR4:$ES$4,,_xlfn.AGGREGATE(15,6,(COLUMN(CR4:$ES$4)-COLUMN()-1)/(LEFT(CR6:$ES$6,1)&lt;&gt;"("),1))),1,CQ2*CQ5)</f>
        <v>0</v>
      </c>
      <c r="CR4" s="58" cm="1">
        <f t="array" ref="CR4">_xlfn.IFS(RIGHT(CR6,4)="KEUR",CR5,CR2="no rate","",ISTEXT(CR2),SUM(CS4:INDEX(CS4:$ES$4,,_xlfn.AGGREGATE(15,6,(COLUMN(CS4:$ES$4)-COLUMN()-1)/(LEFT(CS6:$ES$6,1)&lt;&gt;"("),1))),1,CR2*CR5)</f>
        <v>0</v>
      </c>
      <c r="CS4" s="58" cm="1">
        <f t="array" ref="CS4">_xlfn.IFS(RIGHT(CS6,4)="KEUR",CS5,CS2="no rate","",ISTEXT(CS2),SUM(CT4:INDEX(CT4:$ES$4,,_xlfn.AGGREGATE(15,6,(COLUMN(CT4:$ES$4)-COLUMN()-1)/(LEFT(CT6:$ES$6,1)&lt;&gt;"("),1))),1,CS2*CS5)</f>
        <v>0</v>
      </c>
      <c r="CT4" s="58" cm="1">
        <f t="array" ref="CT4">_xlfn.IFS(RIGHT(CT6,4)="KEUR",CT5,CT2="no rate","",ISTEXT(CT2),SUM(CU4:INDEX(CU4:$ES$4,,_xlfn.AGGREGATE(15,6,(COLUMN(CU4:$ES$4)-COLUMN()-1)/(LEFT(CU6:$ES$6,1)&lt;&gt;"("),1))),1,CT2*CT5)</f>
        <v>0</v>
      </c>
      <c r="CU4" s="58" cm="1">
        <f t="array" ref="CU4">_xlfn.IFS(RIGHT(CU6,4)="KEUR",CU5,CU2="no rate","",ISTEXT(CU2),SUM(CV4:INDEX(CV4:$ES$4,,_xlfn.AGGREGATE(15,6,(COLUMN(CV4:$ES$4)-COLUMN()-1)/(LEFT(CV6:$ES$6,1)&lt;&gt;"("),1))),1,CU2*CU5)</f>
        <v>0</v>
      </c>
      <c r="CV4" s="58" cm="1">
        <f t="array" ref="CV4">_xlfn.IFS(RIGHT(CV6,4)="KEUR",CV5,CV2="no rate","",ISTEXT(CV2),SUM(CW4:INDEX(CW4:$ES$4,,_xlfn.AGGREGATE(15,6,(COLUMN(CW4:$ES$4)-COLUMN()-1)/(LEFT(CW6:$ES$6,1)&lt;&gt;"("),1))),1,CV2*CV5)</f>
        <v>0</v>
      </c>
      <c r="CW4" s="58" cm="1">
        <f t="array" ref="CW4">_xlfn.IFS(RIGHT(CW6,4)="KEUR",CW5,CW2="no rate","",ISTEXT(CW2),SUM(CX4:INDEX(CX4:$ES$4,,_xlfn.AGGREGATE(15,6,(COLUMN(CX4:$ES$4)-COLUMN()-1)/(LEFT(CX6:$ES$6,1)&lt;&gt;"("),1))),1,CW2*CW5)</f>
        <v>0</v>
      </c>
      <c r="CX4" s="58" cm="1">
        <f t="array" ref="CX4">_xlfn.IFS(RIGHT(CX6,4)="KEUR",CX5,CX2="no rate","",ISTEXT(CX2),SUM(CY4:INDEX(CY4:$ES$4,,_xlfn.AGGREGATE(15,6,(COLUMN(CY4:$ES$4)-COLUMN()-1)/(LEFT(CY6:$ES$6,1)&lt;&gt;"("),1))),1,CX2*CX5)</f>
        <v>0</v>
      </c>
      <c r="CY4" s="58" t="e" cm="1">
        <f t="array" ref="CY4">_xlfn.IFS(RIGHT(CY6,4)="KEUR",CY5,CY2="no rate","",ISTEXT(CY2),SUM(CZ4:INDEX(CZ4:$ES$4,,_xlfn.AGGREGATE(15,6,(COLUMN(CZ4:$ES$4)-COLUMN()-1)/(LEFT(CZ6:$ES$6,1)&lt;&gt;"("),1))),1,CY2*CY5)</f>
        <v>#REF!</v>
      </c>
      <c r="CZ4" s="58" cm="1">
        <f t="array" ref="CZ4">_xlfn.IFS(RIGHT(CZ6,4)="KEUR",CZ5,CZ2="no rate","",ISTEXT(CZ2),SUM(DA4:INDEX(DA4:$ES$4,,_xlfn.AGGREGATE(15,6,(COLUMN(DA4:$ES$4)-COLUMN()-1)/(LEFT(DA6:$ES$6,1)&lt;&gt;"("),1))),1,CZ2*CZ5)</f>
        <v>0</v>
      </c>
      <c r="DA4" s="58" cm="1">
        <f t="array" ref="DA4">_xlfn.IFS(RIGHT(DA6,4)="KEUR",DA5,DA2="no rate","",ISTEXT(DA2),SUM(DB4:INDEX(DB4:$ES$4,,_xlfn.AGGREGATE(15,6,(COLUMN(DB4:$ES$4)-COLUMN()-1)/(LEFT(DB6:$ES$6,1)&lt;&gt;"("),1))),1,DA2*DA5)</f>
        <v>0</v>
      </c>
      <c r="DB4" s="58" cm="1">
        <f t="array" ref="DB4">_xlfn.IFS(RIGHT(DB6,4)="KEUR",DB5,DB2="no rate","",ISTEXT(DB2),SUM(DC4:INDEX(DC4:$ES$4,,_xlfn.AGGREGATE(15,6,(COLUMN(DC4:$ES$4)-COLUMN()-1)/(LEFT(DC6:$ES$6,1)&lt;&gt;"("),1))),1,DB2*DB5)</f>
        <v>0</v>
      </c>
      <c r="DC4" s="58" cm="1">
        <f t="array" ref="DC4">_xlfn.IFS(RIGHT(DC6,4)="KEUR",DC5,DC2="no rate","",ISTEXT(DC2),SUM(DD4:INDEX(DD4:$ES$4,,_xlfn.AGGREGATE(15,6,(COLUMN(DD4:$ES$4)-COLUMN()-1)/(LEFT(DF6:$ES$6,1)&lt;&gt;"("),1))),1,DC2*DC5)</f>
        <v>0</v>
      </c>
      <c r="DD4" s="58" t="e" cm="1">
        <f t="array" ref="DD4">_xlfn.IFS(RIGHT(#REF!,4)="KEUR",DD5,DD2="no rate","",ISTEXT(DD2),SUM(DE4:INDEX(DE4:$ES$4,,_xlfn.AGGREGATE(15,6,(COLUMN(DE4:$ES$4)-COLUMN()-1)/(LEFT(DF6:$ES$6,1)&lt;&gt;"("),1))),1,DD2*DD5)</f>
        <v>#REF!</v>
      </c>
      <c r="DE4" s="58" t="e" cm="1">
        <f t="array" ref="DE4">_xlfn.IFS(RIGHT(#REF!,4)="KEUR",DE5,DE2="no rate","",ISTEXT(DE2),SUM(DF4:INDEX(DF4:$ES$4,,_xlfn.AGGREGATE(15,6,(COLUMN(DF4:$ES$4)-COLUMN()-1)/(LEFT(DF6:$ES$6,1)&lt;&gt;"("),1))),1,DE2*DE5)</f>
        <v>#REF!</v>
      </c>
      <c r="DF4" s="58" t="e" cm="1">
        <f t="array" ref="DF4">_xlfn.IFS(RIGHT(DF6,4)="KEUR",DF5,DF2="no rate","",ISTEXT(DF2),SUM(DG4:INDEX(DG4:$ES$4,,_xlfn.AGGREGATE(15,6,(COLUMN(DG4:$ES$4)-COLUMN()-1)/(LEFT(DG6:$ES$6,1)&lt;&gt;"("),1))),1,DF2*DF5)</f>
        <v>#REF!</v>
      </c>
      <c r="DG4" s="58" cm="1">
        <f t="array" ref="DG4">_xlfn.IFS(RIGHT(DG6,4)="KEUR",DG5,DG2="no rate","",ISTEXT(DG2),SUM(DH4:INDEX(DH4:$ES$4,,_xlfn.AGGREGATE(15,6,(COLUMN(DH4:$ES$4)-COLUMN()-1)/(LEFT(DH6:$ES$6,1)&lt;&gt;"("),1))),1,DG2*DG5)</f>
        <v>3513.2999999999997</v>
      </c>
      <c r="DH4" s="58" cm="1">
        <f t="array" ref="DH4">_xlfn.IFS(RIGHT(DH6,4)="KEUR",DH5,DH2="no rate","",ISTEXT(DH2),SUM(DI4:INDEX(DI4:$ES$4,,_xlfn.AGGREGATE(15,6,(COLUMN(DI4:$ES$4)-COLUMN()-1)/(LEFT(DI6:$ES$6,1)&lt;&gt;"("),1))),1,DH2*DH5)</f>
        <v>3513.2999999999997</v>
      </c>
      <c r="DI4" s="58" cm="1">
        <f t="array" ref="DI4">_xlfn.IFS(RIGHT(DI6,4)="KEUR",DI5,DI2="no rate","",ISTEXT(DI2),SUM(DJ4:INDEX(DJ4:$ES$4,,_xlfn.AGGREGATE(15,6,(COLUMN(DJ4:$ES$4)-COLUMN()-1)/(LEFT(DJ6:$ES$6,1)&lt;&gt;"("),1))),1,DI2*DI5)</f>
        <v>0</v>
      </c>
      <c r="DJ4" s="58" cm="1">
        <f t="array" ref="DJ4">_xlfn.IFS(RIGHT(DJ6,4)="KEUR",DJ5,DJ2="no rate","",ISTEXT(DJ2),SUM(DK4:INDEX(DK4:$ES$4,,_xlfn.AGGREGATE(15,6,(COLUMN(DK4:$ES$4)-COLUMN()-1)/(LEFT(DK6:$ES$6,1)&lt;&gt;"("),1))),1,DJ2*DJ5)</f>
        <v>0</v>
      </c>
      <c r="DK4" s="58" cm="1">
        <f t="array" ref="DK4">_xlfn.IFS(RIGHT(DK6,4)="KEUR",DK5,DK2="no rate","",ISTEXT(DK2),SUM(DL4:INDEX(DL4:$ES$4,,_xlfn.AGGREGATE(15,6,(COLUMN(DL4:$ES$4)-COLUMN()-1)/(LEFT(DL6:$ES$6,1)&lt;&gt;"("),1))),1,DK2*DK5)</f>
        <v>1610.395</v>
      </c>
      <c r="DL4" s="58" cm="1">
        <f t="array" ref="DL4">_xlfn.IFS(RIGHT(DL6,4)="KEUR",DL5,DL2="no rate","",ISTEXT(DL2),SUM(DM4:INDEX(DM4:$ES$4,,_xlfn.AGGREGATE(15,6,(COLUMN(DM4:$ES$4)-COLUMN()-1)/(LEFT(DM6:$ES$6,1)&lt;&gt;"("),1))),1,DL2*DL5)</f>
        <v>0</v>
      </c>
      <c r="DM4" s="58" cm="1">
        <f t="array" ref="DM4">_xlfn.IFS(RIGHT(DM6,4)="KEUR",DM5,DM2="no rate","",ISTEXT(DM2),SUM(DN4:INDEX(DN4:$ES$4,,_xlfn.AGGREGATE(15,6,(COLUMN(DN4:$ES$4)-COLUMN()-1)/(LEFT(DN6:$ES$6,1)&lt;&gt;"("),1))),1,DM2*DM5)</f>
        <v>283.61500000000001</v>
      </c>
      <c r="DN4" s="58" cm="1">
        <f t="array" ref="DN4">_xlfn.IFS(RIGHT(DN6,4)="KEUR",DN5,DN2="no rate","",ISTEXT(DN2),SUM(DO4:INDEX(DO4:$ES$4,,_xlfn.AGGREGATE(15,6,(COLUMN(DO4:$ES$4)-COLUMN()-1)/(LEFT(DO6:$ES$6,1)&lt;&gt;"("),1))),1,DN2*DN5)</f>
        <v>0</v>
      </c>
      <c r="DO4" s="58" cm="1">
        <f t="array" ref="DO4">_xlfn.IFS(RIGHT(DO6,4)="KEUR",DO5,DO2="no rate","",ISTEXT(DO2),SUM(DP4:INDEX(DP4:$ES$4,,_xlfn.AGGREGATE(15,6,(COLUMN(DP4:$ES$4)-COLUMN()-1)/(LEFT(DP6:$ES$6,1)&lt;&gt;"("),1))),1,DO2*DO5)</f>
        <v>0</v>
      </c>
      <c r="DP4" s="58" cm="1">
        <f t="array" ref="DP4">_xlfn.IFS(RIGHT(DP6,4)="KEUR",DP5,DP2="no rate","",ISTEXT(DP2),SUM(DQ4:INDEX(DQ4:$ES$4,,_xlfn.AGGREGATE(15,6,(COLUMN(DQ4:$ES$4)-COLUMN()-1)/(LEFT(DQ6:$ES$6,1)&lt;&gt;"("),1))),1,DP2*DP5)</f>
        <v>0</v>
      </c>
      <c r="DQ4" s="58" cm="1">
        <f t="array" ref="DQ4">_xlfn.IFS(RIGHT(DQ6,4)="KEUR",DQ5,DQ2="no rate","",ISTEXT(DQ2),SUM(DR4:INDEX(DR4:$ES$4,,_xlfn.AGGREGATE(15,6,(COLUMN(DR4:$ES$4)-COLUMN()-1)/(LEFT(DR6:$ES$6,1)&lt;&gt;"("),1))),1,DQ2*DQ5)</f>
        <v>1326.78</v>
      </c>
      <c r="DR4" s="58" t="str" cm="1">
        <f t="array" ref="DR4">_xlfn.IFS(RIGHT(DR6,4)="KEUR",DR5,DR2="no rate","",ISTEXT(DR2),SUM(DS4:INDEX(DS4:$ES$4,,_xlfn.AGGREGATE(15,6,(COLUMN(DS4:$ES$4)-COLUMN()-1)/(LEFT(DS6:$ES$6,1)&lt;&gt;"("),1))),1,DR2*DR5)</f>
        <v/>
      </c>
      <c r="DS4" s="58" t="str" cm="1">
        <f t="array" ref="DS4">_xlfn.IFS(RIGHT(DS6,4)="KEUR",DS5,DS2="no rate","",ISTEXT(DS2),SUM(DT4:INDEX(DT4:$ES$4,,_xlfn.AGGREGATE(15,6,(COLUMN(DT4:$ES$4)-COLUMN()-1)/(LEFT(DT6:$ES$6,1)&lt;&gt;"("),1))),1,DS2*DS5)</f>
        <v/>
      </c>
      <c r="DT4" s="58" t="str" cm="1">
        <f t="array" ref="DT4">_xlfn.IFS(RIGHT(DT6,4)="KEUR",DT5,DT2="no rate","",ISTEXT(DT2),SUM(DU4:INDEX(DU4:$ES$4,,_xlfn.AGGREGATE(15,6,(COLUMN(DU4:$ES$4)-COLUMN()-1)/(LEFT(DU6:$ES$6,1)&lt;&gt;"("),1))),1,DT2*DT5)</f>
        <v/>
      </c>
      <c r="DU4" s="58" t="str" cm="1">
        <f t="array" ref="DU4">_xlfn.IFS(RIGHT(DU6,4)="KEUR",DU5,DU2="no rate","",ISTEXT(DU2),SUM(DV4:INDEX(DV4:$ES$4,,_xlfn.AGGREGATE(15,6,(COLUMN(DV4:$ES$4)-COLUMN()-1)/(LEFT(DV6:$ES$6,1)&lt;&gt;"("),1))),1,DU2*DU5)</f>
        <v/>
      </c>
      <c r="DV4" s="58" t="str" cm="1">
        <f t="array" ref="DV4">_xlfn.IFS(RIGHT(DV6,4)="KEUR",DV5,DV2="no rate","",ISTEXT(DV2),SUM(DW4:INDEX(DW4:$ES$4,,_xlfn.AGGREGATE(15,6,(COLUMN(DW4:$ES$4)-COLUMN()-1)/(LEFT(DW6:$ES$6,1)&lt;&gt;"("),1))),1,DV2*DV5)</f>
        <v/>
      </c>
      <c r="DW4" s="58" t="str" cm="1">
        <f t="array" ref="DW4">_xlfn.IFS(RIGHT(DW6,4)="KEUR",DW5,DW2="no rate","",ISTEXT(DW2),SUM(DX4:INDEX(DX4:$ES$4,,_xlfn.AGGREGATE(15,6,(COLUMN(DX4:$ES$4)-COLUMN()-1)/(LEFT(DX6:$ES$6,1)&lt;&gt;"("),1))),1,DW2*DW5)</f>
        <v/>
      </c>
      <c r="DX4" s="58" cm="1">
        <f t="array" ref="DX4">_xlfn.IFS(RIGHT(DX6,4)="KEUR",DX5,DX2="no rate","",ISTEXT(DX2),SUM(DY4:INDEX(DY4:$ES$4,,_xlfn.AGGREGATE(15,6,(COLUMN(DY4:$ES$4)-COLUMN()-1)/(LEFT(DY6:$ES$6,1)&lt;&gt;"("),1))),1,DX2*DX5)</f>
        <v>0</v>
      </c>
      <c r="DY4" s="58" cm="1">
        <f t="array" ref="DY4">_xlfn.IFS(RIGHT(DY6,4)="KEUR",DY5,DY2="no rate","",ISTEXT(DY2),SUM(DZ4:INDEX(DZ4:$ES$4,,_xlfn.AGGREGATE(15,6,(COLUMN(DZ4:$ES$4)-COLUMN()-1)/(LEFT(DZ6:$ES$6,1)&lt;&gt;"("),1))),1,DY2*DY5)</f>
        <v>0</v>
      </c>
      <c r="DZ4" s="58" cm="1">
        <f t="array" ref="DZ4">_xlfn.IFS(RIGHT(DZ6,4)="KEUR",DZ5,DZ2="no rate","",ISTEXT(DZ2),SUM(EA4:INDEX(EA4:$ES$4,,_xlfn.AGGREGATE(15,6,(COLUMN(EA4:$ES$4)-COLUMN()-1)/(LEFT(EA6:$ES$6,1)&lt;&gt;"("),1))),1,DZ2*DZ5)</f>
        <v>0</v>
      </c>
      <c r="EA4" s="58" cm="1">
        <f t="array" ref="EA4">_xlfn.IFS(RIGHT(EA6,4)="KEUR",EA5,EA2="no rate","",ISTEXT(EA2),SUM(EB4:INDEX(EB4:$ES$4,,_xlfn.AGGREGATE(15,6,(COLUMN(EB4:$ES$4)-COLUMN()-1)/(LEFT(EB6:$ES$6,1)&lt;&gt;"("),1))),1,EA2*EA5)</f>
        <v>0</v>
      </c>
      <c r="EB4" s="58" cm="1">
        <f t="array" ref="EB4">_xlfn.IFS(RIGHT(EB6,4)="KEUR",EB5,EB2="no rate","",ISTEXT(EB2),SUM(EC4:INDEX(EC4:$ES$4,,_xlfn.AGGREGATE(15,6,(COLUMN(EC4:$ES$4)-COLUMN()-1)/(LEFT(EC6:$ES$6,1)&lt;&gt;"("),1))),1,EB2*EB5)</f>
        <v>0</v>
      </c>
      <c r="EC4" s="58" cm="1">
        <f t="array" ref="EC4">_xlfn.IFS(RIGHT(EC6,4)="KEUR",EC5,EC2="no rate","",ISTEXT(EC2),SUM(ED4:INDEX(ED4:$ES$4,,_xlfn.AGGREGATE(15,6,(COLUMN(ED4:$ES$4)-COLUMN()-1)/(LEFT(ED6:$ES$6,1)&lt;&gt;"("),1))),1,EC2*EC5)</f>
        <v>0</v>
      </c>
      <c r="ED4" s="58" cm="1">
        <f t="array" ref="ED4">_xlfn.IFS(RIGHT(ED6,4)="KEUR",ED5,ED2="no rate","",ISTEXT(ED2),SUM(EE4:INDEX(EE4:$ES$4,,_xlfn.AGGREGATE(15,6,(COLUMN(EE4:$ES$4)-COLUMN()-1)/(LEFT(EE6:$ES$6,1)&lt;&gt;"("),1))),1,ED2*ED5)</f>
        <v>0</v>
      </c>
      <c r="EE4" s="58" cm="1">
        <f t="array" ref="EE4">_xlfn.IFS(RIGHT(EE6,4)="KEUR",EE5,EE2="no rate","",ISTEXT(EE2),SUM(EF4:INDEX(EF4:$ES$4,,_xlfn.AGGREGATE(15,6,(COLUMN(EF4:$ES$4)-COLUMN()-1)/(LEFT(EF6:$ES$6,1)&lt;&gt;"("),1))),1,EE2*EE5)</f>
        <v>0</v>
      </c>
      <c r="EF4" s="58" cm="1">
        <f t="array" ref="EF4">_xlfn.IFS(RIGHT(EF6,4)="KEUR",EF5,EF2="no rate","",ISTEXT(EF2),SUM(EG4:INDEX(EG4:$ES$4,,_xlfn.AGGREGATE(15,6,(COLUMN(EG4:$ES$4)-COLUMN()-1)/(LEFT(EG6:$ES$6,1)&lt;&gt;"("),1))),1,EF2*EF5)</f>
        <v>351</v>
      </c>
      <c r="EG4" s="58" t="str" cm="1">
        <f t="array" ref="EG4">_xlfn.IFS(RIGHT(EG6,4)="KEUR",EG5,EG2="no rate","",ISTEXT(EG2),SUM(EH4:INDEX(EH4:$ES$4,,_xlfn.AGGREGATE(15,6,(COLUMN(EH4:$ES$4)-COLUMN()-1)/(LEFT(EH6:$ES$6,1)&lt;&gt;"("),1))),1,EG2*EG5)</f>
        <v/>
      </c>
      <c r="EH4" s="58" cm="1">
        <f t="array" ref="EH4">_xlfn.IFS(RIGHT(EH6,4)="KEUR",EH5,EH2="no rate","",ISTEXT(EH2),SUM(EI4:INDEX(EI4:$ES$4,,_xlfn.AGGREGATE(15,6,(COLUMN(EI4:$ES$4)-COLUMN()-1)/(LEFT(EI6:$ES$6,1)&lt;&gt;"("),1))),1,EH2*EH5)</f>
        <v>0</v>
      </c>
      <c r="EI4" s="58" cm="1">
        <f t="array" ref="EI4">_xlfn.IFS(RIGHT(EI6,4)="KEUR",EI5,EI2="no rate","",ISTEXT(EI2),SUM(EJ4:INDEX(EJ4:$ES$4,,_xlfn.AGGREGATE(15,6,(COLUMN(EJ4:$ES$4)-COLUMN()-1)/(LEFT(EJ6:$ES$6,1)&lt;&gt;"("),1))),1,EI2*EI5)</f>
        <v>0</v>
      </c>
      <c r="EJ4" s="58" cm="1">
        <f t="array" ref="EJ4">_xlfn.IFS(RIGHT(EJ6,4)="KEUR",EJ5,EJ2="no rate","",ISTEXT(EJ2),SUM(EK4:INDEX(EK4:$ES$4,,_xlfn.AGGREGATE(15,6,(COLUMN(EK4:$ES$4)-COLUMN()-1)/(LEFT(EK6:$ES$6,1)&lt;&gt;"("),1))),1,EJ2*EJ5)</f>
        <v>0</v>
      </c>
      <c r="EK4" s="58" cm="1">
        <f t="array" ref="EK4">_xlfn.IFS(RIGHT(EK6,4)="KEUR",EK5,EK2="no rate","",ISTEXT(EK2),SUM(EL4:INDEX(EL4:$ES$4,,_xlfn.AGGREGATE(15,6,(COLUMN(EL4:$ES$4)-COLUMN()-1)/(LEFT(EL6:$ES$6,1)&lt;&gt;"("),1))),1,EK2*EK5)</f>
        <v>0</v>
      </c>
      <c r="EL4" s="58" cm="1">
        <f t="array" ref="EL4">_xlfn.IFS(RIGHT(EL6,4)="KEUR",EL5,EL2="no rate","",ISTEXT(EL2),SUM(EM4:INDEX(EM4:$ES$4,,_xlfn.AGGREGATE(15,6,(COLUMN(EM4:$ES$4)-COLUMN()-1)/(LEFT(EM6:$ES$6,1)&lt;&gt;"("),1))),1,EL2*EL5)</f>
        <v>0</v>
      </c>
      <c r="EM4" s="58" cm="1">
        <f t="array" ref="EM4">_xlfn.IFS(RIGHT(EM6,4)="KEUR",EM5,EM2="no rate","",ISTEXT(EM2),SUM(EN4:INDEX(EN4:$ES$4,,_xlfn.AGGREGATE(15,6,(COLUMN(EN4:$ES$4)-COLUMN()-1)/(LEFT(EN6:$ES$6,1)&lt;&gt;"("),1))),1,EM2*EM5)</f>
        <v>0</v>
      </c>
      <c r="EN4" s="58" cm="1">
        <f t="array" ref="EN4">_xlfn.IFS(RIGHT(EN6,4)="KEUR",EN5,EN2="no rate","",ISTEXT(EN2),SUM(EO4:INDEX(EO4:$ES$4,,_xlfn.AGGREGATE(15,6,(COLUMN(EO4:$ES$4)-COLUMN()-1)/(LEFT(EO6:$ES$6,1)&lt;&gt;"("),1))),1,EN2*EN5)</f>
        <v>0</v>
      </c>
      <c r="EO4" s="58" cm="1">
        <f t="array" ref="EO4">_xlfn.IFS(RIGHT(EO6,4)="KEUR",EO5,EO2="no rate","",ISTEXT(EO2),SUM(EP4:INDEX(EP4:$ES$4,,_xlfn.AGGREGATE(15,6,(COLUMN(EP4:$ES$4)-COLUMN()-1)/(LEFT(EP6:$ES$6,1)&lt;&gt;"("),1))),1,EO2*EO5)</f>
        <v>0</v>
      </c>
      <c r="EP4" s="58" cm="1">
        <f t="array" ref="EP4">_xlfn.IFS(RIGHT(EP6,4)="KEUR",EP5,EP2="no rate","",ISTEXT(EP2),SUM(EQ4:INDEX(EQ4:$ES$4,,_xlfn.AGGREGATE(15,6,(COLUMN(EQ4:$ES$4)-COLUMN()-1)/(LEFT(EQ6:$ES$6,1)&lt;&gt;"("),1))),1,EP2*EP5)</f>
        <v>351</v>
      </c>
      <c r="EQ4" s="58" cm="1">
        <f t="array" ref="EQ4">_xlfn.IFS(RIGHT(EQ6,4)="KEUR",EQ5,EQ2="no rate","",ISTEXT(EQ2),SUM(ER4:INDEX(ER4:$ES$4,,_xlfn.AGGREGATE(15,6,(COLUMN(ER4:$ES$4)-COLUMN()-1)/(LEFT(ER6:$ES$6,1)&lt;&gt;"("),1))),1,EQ2*EQ5)</f>
        <v>6378</v>
      </c>
      <c r="ER4" s="58" cm="1">
        <f t="array" ref="ER4">_xlfn.IFS(RIGHT(ER6,4)="KEUR",ER5,ER2="no rate","",ISTEXT(ER2),SUM(ES4:INDEX(ES4:$ES$4,,_xlfn.AGGREGATE(15,6,(COLUMN(ES4:$ES$4)-COLUMN()-1)/(LEFT(ES6:$ES$6,1)&lt;&gt;"("),1))),1,ER2*ER5)</f>
        <v>6378</v>
      </c>
      <c r="ES4" s="58"/>
      <c r="ET4" s="58">
        <f>SUM(EU4:EW4)</f>
        <v>0</v>
      </c>
      <c r="EU4" s="58">
        <f>EU2*EU5</f>
        <v>0</v>
      </c>
      <c r="EV4" s="58">
        <f t="shared" ref="EV4:EW4" si="0">EV2*EV5</f>
        <v>0</v>
      </c>
      <c r="EW4" s="58">
        <f t="shared" si="0"/>
        <v>0</v>
      </c>
      <c r="EX4" s="58"/>
      <c r="EY4" s="58"/>
      <c r="EZ4" s="58"/>
      <c r="FA4" s="58"/>
      <c r="FB4" s="58"/>
      <c r="FC4" s="58"/>
      <c r="FD4" s="58"/>
      <c r="FE4" s="58"/>
      <c r="FF4" s="58"/>
      <c r="FG4" s="58"/>
      <c r="FH4" s="58"/>
      <c r="FI4" s="58"/>
      <c r="FJ4" s="58"/>
      <c r="FK4" s="58"/>
      <c r="FL4" s="58"/>
      <c r="FM4" s="58"/>
      <c r="FN4" s="58"/>
    </row>
    <row r="5" spans="2:170" x14ac:dyDescent="0.2">
      <c r="D5" s="110" t="e" cm="1">
        <f t="array" ref="D5">"total mds: "&amp;TEXT(SUMPRODUCT($Q$5:$EP$5,(LEFT($Q$6:$EP$6,1)&lt;&gt;"(")*1)+ET5,"#.##")</f>
        <v>#REF!</v>
      </c>
      <c r="Q5" s="111">
        <f>_xlfn.AGGREGATE(9,3,Consolidated[Acceptance
Internal
All entities])/IF(RIGHT(Q6,4)="(K€)",Q2,1)</f>
        <v>193751.80000000005</v>
      </c>
      <c r="R5" s="111">
        <f>_xlfn.AGGREGATE(9,3,Consolidated[(ACC)
ARG
Sub1])/IF(RIGHT(R6,4)="(K€)",R2,1)</f>
        <v>2107</v>
      </c>
      <c r="S5" s="111">
        <f>_xlfn.AGGREGATE(9,3,Consolidated[(ACC)
AUS
IPP])/IF(RIGHT(S6,4)="(K€)",S2,1)</f>
        <v>5325</v>
      </c>
      <c r="T5" s="111">
        <f>_xlfn.AGGREGATE(9,3,Consolidated[(ACC)
BEL
WLOC])/IF(RIGHT(T6,4)="(K€)",T2,1)</f>
        <v>30185</v>
      </c>
      <c r="U5" s="111">
        <f>_xlfn.AGGREGATE(9,3,Consolidated[(ACC)
CHE
Saferpay])/IF(RIGHT(U6,4)="(K€)",U2,1)</f>
        <v>2952</v>
      </c>
      <c r="V5" s="111">
        <f>_xlfn.AGGREGATE(9,3,Consolidated[(ACC)
CZE
GoPay])/IF(RIGHT(V6,4)="(K€)",V2,1)</f>
        <v>0</v>
      </c>
      <c r="W5" s="111">
        <f>_xlfn.AGGREGATE(9,3,Consolidated[(ACC)
FRA
AXIS])/IF(RIGHT(W6,4)="(K€)",W2,1)</f>
        <v>24255</v>
      </c>
      <c r="X5" s="111">
        <f>_xlfn.AGGREGATE(9,3,Consolidated[(ACC)
FRA
SACC])/IF(RIGHT(X6,4)="(K€)",X2,1)</f>
        <v>0</v>
      </c>
      <c r="Y5" s="111">
        <f>_xlfn.AGGREGATE(9,3,Consolidated[(ACC)
FRA
SIPS])/IF(RIGHT(Y6,4)="(K€)",Y2,1)</f>
        <v>11430</v>
      </c>
      <c r="Z5" s="111">
        <f>_xlfn.AGGREGATE(9,3,Consolidated[(ACC)
FRA
Back-Office])/IF(RIGHT(Z6,4)="(K€)",Z2,1)</f>
        <v>6049</v>
      </c>
      <c r="AA5" s="111">
        <f>_xlfn.AGGREGATE(9,3,Consolidated[(ACC)
GER
Payone])/IF(RIGHT(AA6,4)="(K€)",AA2,1)</f>
        <v>500</v>
      </c>
      <c r="AB5" s="111">
        <f>_xlfn.AGGREGATE(9,3,Consolidated[(ACC)
AUT
Payunity])/IF(RIGHT(AB6,4)="(K€)",AB2,1)</f>
        <v>0</v>
      </c>
      <c r="AC5" s="111">
        <f>_xlfn.AGGREGATE(9,3,Consolidated[(ACC)
GRC
Cardlink])/IF(RIGHT(AC6,4)="(K€)",AC2,1)</f>
        <v>0</v>
      </c>
      <c r="AD5" s="111">
        <f>_xlfn.AGGREGATE(9,3,Consolidated[(ACC)
IND
India TP])/IF(RIGHT(AD6,4)="(K€)",AD2,1)</f>
        <v>10640</v>
      </c>
      <c r="AE5" s="111">
        <f>_xlfn.AGGREGATE(9,3,Consolidated[(ACC)
ITA
Axxepta])/IF(RIGHT(AE6,4)="(K€)",AE2,1)</f>
        <v>0</v>
      </c>
      <c r="AF5" s="111">
        <f>_xlfn.AGGREGATE(9,3,Consolidated[(ACC)
NAR
Beanstream / Roam])/IF(RIGHT(AF6,4)="(K€)",AF2,1)</f>
        <v>5823.5</v>
      </c>
      <c r="AG5" s="111">
        <f>_xlfn.AGGREGATE(9,3,Consolidated[(ACC)
NLD
GC])/IF(RIGHT(AG6,4)="(K€)",AG2,1)</f>
        <v>37287.69999999999</v>
      </c>
      <c r="AH5" s="111">
        <f>_xlfn.AGGREGATE(9,3,Consolidated[(ACC)
SPA
Connexflow])/IF(RIGHT(AH6,4)="(K€)",AH2,1)</f>
        <v>2200</v>
      </c>
      <c r="AI5" s="111">
        <f>_xlfn.AGGREGATE(9,3,Consolidated[(ACC)
SPA
CSACT])/IF(RIGHT(AI6,4)="(K€)",AI2,1)</f>
        <v>9780</v>
      </c>
      <c r="AJ5" s="111">
        <f>_xlfn.AGGREGATE(9,3,Consolidated[(ACC)
SWE
BB Samport])/IF(RIGHT(AJ6,4)="(K€)",AJ2,1)</f>
        <v>3874</v>
      </c>
      <c r="AK5" s="111">
        <f>_xlfn.AGGREGATE(9,3,Consolidated[(ACC)
SWE
BOL])/IF(RIGHT(AK6,4)="(K€)",AK2,1)</f>
        <v>1565</v>
      </c>
      <c r="AL5" s="111">
        <f>_xlfn.AGGREGATE(9,3,Consolidated[(ACC)
SWE
Back-Office])/IF(RIGHT(AL6,4)="(K€)",AL2,1)</f>
        <v>3495</v>
      </c>
      <c r="AM5" s="111">
        <f>_xlfn.AGGREGATE(9,3,Consolidated[(ACC)
SWE
Devcode])/IF(RIGHT(AM6,4)="(K€)",AM2,1)</f>
        <v>5800</v>
      </c>
      <c r="AN5" s="111">
        <f>_xlfn.AGGREGATE(9,3,Consolidated[(ACC)
SWE
OCH])/IF(RIGHT(AN6,4)="(K€)",AN2,1)</f>
        <v>22374</v>
      </c>
      <c r="AO5" s="111">
        <f>_xlfn.AGGREGATE(9,3,Consolidated[(ACC)
SWE
WOPA])/IF(RIGHT(AO6,4)="(K€)",AO2,1)</f>
        <v>8109.6</v>
      </c>
      <c r="AP5" s="111">
        <f>_xlfn.AGGREGATE(9,3,Consolidated[(ACC)
GER
cCredit])/IF(RIGHT(AP6,4)="(K€)",AP2,1)</f>
        <v>0</v>
      </c>
      <c r="AQ5" s="111">
        <f>_xlfn.AGGREGATE(9,3,Consolidated[(ACC)
ALL
 Shared services])/IF(RIGHT(AQ6,4)="(K€)",AQ2,1)</f>
        <v>0</v>
      </c>
      <c r="AR5" s="111">
        <f>_xlfn.AGGREGATE(9,3,Consolidated[Com Acquiring
Internal
all entities])/IF(RIGHT(AR6,4)="(K€)",AR2,1)</f>
        <v>320</v>
      </c>
      <c r="AS5" s="111">
        <f>_xlfn.AGGREGATE(9,3,Consolidated[(CAQ)
BEL
WL])/IF(RIGHT(AS6,4)="(K€)",AS2,1)</f>
        <v>320</v>
      </c>
      <c r="AT5" s="111">
        <f>_xlfn.AGGREGATE(9,3,Consolidated[(CAQ)
FRA
WL])/IF(RIGHT(AT6,4)="(K€)",AT2,1)</f>
        <v>0</v>
      </c>
      <c r="AU5" s="111">
        <f>_xlfn.AGGREGATE(9,3,Consolidated[(CAQ)
CHE
SPS])/IF(RIGHT(AU6,4)="(K€)",AU2,1)</f>
        <v>0</v>
      </c>
      <c r="AV5" s="111">
        <f>_xlfn.AGGREGATE(9,3,Consolidated[(CAQ)
ALL
BB])/IF(RIGHT(AV6,4)="(K€)",AV2,1)</f>
        <v>0</v>
      </c>
      <c r="AW5" s="111">
        <f>_xlfn.AGGREGATE(9,3,Consolidated[Digital Services
Internal
all entities])/IF(RIGHT(AW6,4)="(K€)",AW2,1)</f>
        <v>550</v>
      </c>
      <c r="AX5" s="111">
        <f>_xlfn.AGGREGATE(9,3,Consolidated[(DIG)
BEL
WL])/IF(RIGHT(AX6,4)="(K€)",AX2,1)</f>
        <v>550</v>
      </c>
      <c r="AY5" s="111">
        <f>_xlfn.AGGREGATE(9,3,Consolidated[(DIG)
FRA
WL])/IF(RIGHT(AY6,4)="(K€)",AY2,1)</f>
        <v>0</v>
      </c>
      <c r="AZ5" s="111">
        <f>_xlfn.AGGREGATE(9,3,Consolidated[(DIG)
NLD
WL])/IF(RIGHT(AZ6,4)="(K€)",AZ2,1)</f>
        <v>0</v>
      </c>
      <c r="BA5" s="111">
        <f>_xlfn.AGGREGATE(9,3,Consolidated[(DIG)
AUT
SPS])/IF(RIGHT(BA6,4)="(K€)",BA2,1)</f>
        <v>0</v>
      </c>
      <c r="BB5" s="111">
        <f>_xlfn.AGGREGATE(9,3,Consolidated[(DIG)
CHE
SPS])/IF(RIGHT(BB6,4)="(K€)",BB2,1)</f>
        <v>0</v>
      </c>
      <c r="BC5" s="111">
        <f>_xlfn.AGGREGATE(9,3,Consolidated[(DIG)
FRA
ING])/IF(RIGHT(BC6,4)="(K€)",BC2,1)</f>
        <v>0</v>
      </c>
      <c r="BD5" s="111">
        <f>_xlfn.AGGREGATE(9,3,Consolidated[(DIG)
GER
WL])/IF(RIGHT(BD6,4)="(K€)",BD2,1)</f>
        <v>0</v>
      </c>
      <c r="BE5" s="111">
        <f>_xlfn.AGGREGATE(9,3,Consolidated[(DIG)
GER
SPS])/IF(RIGHT(BE6,4)="(K€)",BE2,1)</f>
        <v>0</v>
      </c>
      <c r="BF5" s="111">
        <f>_xlfn.AGGREGATE(9,3,Consolidated[(DIG)
POL
SPS])/IF(RIGHT(BF6,4)="(K€)",BF2,1)</f>
        <v>0</v>
      </c>
      <c r="BG5" s="111">
        <f>_xlfn.AGGREGATE(9,3,Consolidated[(DIG)
CZE
Cataps])/IF(RIGHT(BG6,4)="(K€)",BG2,1)</f>
        <v>0</v>
      </c>
      <c r="BH5" s="111">
        <f>_xlfn.AGGREGATE(9,3,Consolidated[(DIG)
AUS
WL])/IF(RIGHT(BH6,4)="(K€)",BH2,1)</f>
        <v>0</v>
      </c>
      <c r="BI5" s="111">
        <f>_xlfn.AGGREGATE(9,3,Consolidated[(DIG)
NLD
ING])/IF(RIGHT(BI6,4)="(K€)",BI2,1)</f>
        <v>0</v>
      </c>
      <c r="BJ5" s="111">
        <f>_xlfn.AGGREGATE(9,3,Consolidated[E2E Architects &amp; Programs
Internal
all entities])/IF(RIGHT(BJ6,4)="(K€)",BJ2,1)</f>
        <v>0</v>
      </c>
      <c r="BK5" s="111">
        <f>_xlfn.AGGREGATE(9,3,Consolidated[(E2E)
BEL
WL])/IF(RIGHT(BK6,4)="(K€)",BK2,1)</f>
        <v>0</v>
      </c>
      <c r="BL5" s="111">
        <f>_xlfn.AGGREGATE(9,3,Consolidated[(E2E)
FRA
WL])/IF(RIGHT(BL6,4)="(K€)",BL2,1)</f>
        <v>0</v>
      </c>
      <c r="BM5" s="111">
        <f>_xlfn.AGGREGATE(9,3,Consolidated[(E2E)
NLD
WL])/IF(RIGHT(BM6,4)="(K€)",BM2,1)</f>
        <v>0</v>
      </c>
      <c r="BN5" s="111">
        <f>_xlfn.AGGREGATE(9,3,Consolidated[(E2E)
SPA
WL])/IF(RIGHT(BN6,4)="(K€)",BN2,1)</f>
        <v>0</v>
      </c>
      <c r="BO5" s="111">
        <f>_xlfn.AGGREGATE(9,3,Consolidated[(E2E)
XXX
WL])/IF(RIGHT(BO6,4)="(K€)",BO2,1)</f>
        <v>0</v>
      </c>
      <c r="BP5" s="111">
        <f>_xlfn.AGGREGATE(9,3,Consolidated[(E2E)
CHE
SPS])/IF(RIGHT(BP6,4)="(K€)",BP2,1)</f>
        <v>0</v>
      </c>
      <c r="BQ5" s="111">
        <f>_xlfn.AGGREGATE(9,3,Consolidated[Chief Merchant Officer
Internal
all entities])/IF(RIGHT(BQ6,4)="(K€)",BQ2,1)</f>
        <v>0</v>
      </c>
      <c r="BR5" s="111">
        <f>_xlfn.AGGREGATE(9,3,Consolidated[(CMO)
CHE
SPS])/IF(RIGHT(BR6,4)="(K€)",BR2,1)</f>
        <v>0</v>
      </c>
      <c r="BS5" s="111">
        <f>_xlfn.AGGREGATE(9,3,Consolidated[(CMO)
FRA
WL])/IF(RIGHT(BS6,4)="(K€)",BS2,1)</f>
        <v>0</v>
      </c>
      <c r="BT5" s="111">
        <f>_xlfn.AGGREGATE(9,3,Consolidated[COO SACC
Internal
all entities])/IF(RIGHT(BT6,4)="(K€)",BT2,1)</f>
        <v>3400</v>
      </c>
      <c r="BU5" s="111">
        <f>_xlfn.AGGREGATE(9,3,Consolidated[(SAC)
FRA
ex Terminals])/IF(RIGHT(BU6,4)="(K€)",BU2,1)</f>
        <v>3400</v>
      </c>
      <c r="BV5" s="111">
        <f>_xlfn.AGGREGATE(9,3,Consolidated[(SAC)
FRA
ex Omni Ch.])/IF(RIGHT(BV6,4)="(K€)",BV2,1)</f>
        <v>0</v>
      </c>
      <c r="BW5" s="111">
        <f>_xlfn.AGGREGATE(9,3,Consolidated[(SAC)
FRA
Ex Operations])/IF(RIGHT(BW6,4)="(K€)",BW2,1)</f>
        <v>0</v>
      </c>
      <c r="BX5" s="111">
        <f>_xlfn.AGGREGATE(9,3,Consolidated[COO PTM
Internal
WL entities])/IF(RIGHT(BX6,4)="(K€)",BX2,1)</f>
        <v>194</v>
      </c>
      <c r="BY5" s="111">
        <f>_xlfn.AGGREGATE(9,3,Consolidated[(PTM)
BEL
WL])/IF(RIGHT(BY6,4)="(K€)",BY2,1)</f>
        <v>24</v>
      </c>
      <c r="BZ5" s="111">
        <f>_xlfn.AGGREGATE(9,3,Consolidated[(PTM)
FRA
WL])/IF(RIGHT(BZ6,4)="(K€)",BZ2,1)</f>
        <v>140</v>
      </c>
      <c r="CA5" s="111">
        <f>_xlfn.AGGREGATE(9,3,Consolidated[(PTM)
NLD
WL])/IF(RIGHT(CA6,4)="(K€)",CA2,1)</f>
        <v>0</v>
      </c>
      <c r="CB5" s="111">
        <f>_xlfn.AGGREGATE(9,3,Consolidated[(PTM)
SWE
WL])/IF(RIGHT(CB6,4)="(K€)",CB2,1)</f>
        <v>30</v>
      </c>
      <c r="CC5" s="111">
        <f>_xlfn.AGGREGATE(9,3,Consolidated[(PTM)
GER
WL])/IF(RIGHT(CC6,4)="(K€)",CC2,1)</f>
        <v>0</v>
      </c>
      <c r="CD5" s="111">
        <f>_xlfn.AGGREGATE(9,3,Consolidated[(PTM)
BRA
WL])/IF(RIGHT(CD6,4)="(K€)",CD2,1)</f>
        <v>0</v>
      </c>
      <c r="CE5" s="111">
        <f>_xlfn.AGGREGATE(9,3,Consolidated[COO PTM
Internal
SPS/Other entities])/IF(RIGHT(CE6,4)="(K€)",CE2,1)</f>
        <v>0</v>
      </c>
      <c r="CF5" s="111">
        <f>_xlfn.AGGREGATE(9,3,Consolidated[(PTM)
CHE
SPS])/IF(RIGHT(CF6,4)="(K€)",CF2,1)</f>
        <v>0</v>
      </c>
      <c r="CG5" s="111">
        <f>_xlfn.AGGREGATE(9,3,Consolidated[(PTM)
AUT
SPS])/IF(RIGHT(CG6,4)="(K€)",CG2,1)</f>
        <v>0</v>
      </c>
      <c r="CH5" s="111">
        <f>_xlfn.AGGREGATE(9,3,Consolidated[(PTM)
GER
SPS])/IF(RIGHT(CH6,4)="(K€)",CH2,1)</f>
        <v>0</v>
      </c>
      <c r="CI5" s="111">
        <f>_xlfn.AGGREGATE(9,3,Consolidated[(PTM)
POL
SPS])/IF(RIGHT(CI6,4)="(K€)",CI2,1)</f>
        <v>0</v>
      </c>
      <c r="CJ5" s="111">
        <f>_xlfn.AGGREGATE(9,3,Consolidated[(PTM)
CZE
Cataps])/IF(RIGHT(CJ6,4)="(K€)",CJ2,1)</f>
        <v>0</v>
      </c>
      <c r="CK5" s="111">
        <f>_xlfn.AGGREGATE(9,3,Consolidated[COO CS
Internal
WL entities])/IF(RIGHT(CK6,4)="(K€)",CK2,1)</f>
        <v>61</v>
      </c>
      <c r="CL5" s="111">
        <f>_xlfn.AGGREGATE(9,3,Consolidated[(CCS)
BEL
WL])/IF(RIGHT(CL6,4)="(K€)",CL2,1)</f>
        <v>61</v>
      </c>
      <c r="CM5" s="111">
        <f>_xlfn.AGGREGATE(9,3,Consolidated[(CCS)
FRA
WL])/IF(RIGHT(CM6,4)="(K€)",CM2,1)</f>
        <v>0</v>
      </c>
      <c r="CN5" s="111">
        <f>_xlfn.AGGREGATE(9,3,Consolidated[(CCS)
NLD
WL])/IF(RIGHT(CN6,4)="(K€)",CN2,1)</f>
        <v>0</v>
      </c>
      <c r="CO5" s="111">
        <f>_xlfn.AGGREGATE(9,3,Consolidated[COO CS
Internal
SPS entities])/IF(RIGHT(CO6,4)="(K€)",CO2,1)</f>
        <v>18</v>
      </c>
      <c r="CP5" s="111">
        <f>_xlfn.AGGREGATE(9,3,Consolidated[(CCS)
CHE
SPS])/IF(RIGHT(CP6,4)="(K€)",CP2,1)</f>
        <v>18</v>
      </c>
      <c r="CQ5" s="111">
        <f>_xlfn.AGGREGATE(9,3,Consolidated[(CCS)
LUX
SPS])/IF(RIGHT(CQ6,4)="(K€)",CQ2,1)</f>
        <v>0</v>
      </c>
      <c r="CR5" s="111">
        <f>_xlfn.AGGREGATE(9,3,Consolidated[(CCS)
AUT
SPS])/IF(RIGHT(CR6,4)="(K€)",CR2,1)</f>
        <v>0</v>
      </c>
      <c r="CS5" s="111">
        <f>_xlfn.AGGREGATE(9,3,Consolidated[(CCS)
GER
SPS])/IF(RIGHT(CS6,4)="(K€)",CS2,1)</f>
        <v>0</v>
      </c>
      <c r="CT5" s="111">
        <f>_xlfn.AGGREGATE(9,3,Consolidated[(CCS)
POL
SPS])/IF(RIGHT(CT6,4)="(K€)",CT2,1)</f>
        <v>0</v>
      </c>
      <c r="CU5" s="111">
        <f>_xlfn.AGGREGATE(9,3,Consolidated[COO CS
Internal
Other entities])/IF(RIGHT(CU6,4)="(K€)",CU2,1)</f>
        <v>0</v>
      </c>
      <c r="CV5" s="111">
        <f>_xlfn.AGGREGATE(9,3,Consolidated[(CCS)
NLD
PSQ])/IF(RIGHT(CV6,4)="(K€)",CV2,1)</f>
        <v>0</v>
      </c>
      <c r="CW5" s="111">
        <f>_xlfn.AGGREGATE(9,3,Consolidated[(CCS)
POL
PSQ])/IF(RIGHT(CW6,4)="(K€)",CW2,1)</f>
        <v>0</v>
      </c>
      <c r="CX5" s="111">
        <f>_xlfn.AGGREGATE(9,3,Consolidated[(CCS)
CZE
Cataps])/IF(RIGHT(CX6,4)="(K€)",CX2,1)</f>
        <v>0</v>
      </c>
      <c r="CY5" s="111">
        <f>_xlfn.AGGREGATE(9,3,Consolidated[COO BSA
Internal
all entities])/IF(RIGHT(CY6,4)="(K€)",CY2,1)</f>
        <v>0</v>
      </c>
      <c r="CZ5" s="111">
        <f>_xlfn.AGGREGATE(9,3,Consolidated[(BSA)
BEL
WL])/IF(RIGHT(CZ6,4)="(K€)",CZ2,1)</f>
        <v>0</v>
      </c>
      <c r="DA5" s="111">
        <f>_xlfn.AGGREGATE(9,3,Consolidated[(BSA)
AUS
WL])/IF(RIGHT(DA6,4)="(K€)",DA2,1)</f>
        <v>0</v>
      </c>
      <c r="DB5" s="111">
        <f>_xlfn.AGGREGATE(9,3,Consolidated[(BSA)
NLD
WL])/IF(RIGHT(DB6,4)="(K€)",DB2,1)</f>
        <v>0</v>
      </c>
      <c r="DC5" s="111">
        <f>_xlfn.AGGREGATE(9,3,Consolidated[(BSA)
CHE
SPS])/IF(RIGHT(DC6,4)="(K€)",DC2,1)</f>
        <v>0</v>
      </c>
      <c r="DD5" s="111" t="e">
        <f>_xlfn.AGGREGATE(9,3,#REF!)/IF(RIGHT(#REF!,4)="(K€)",DD2,1)</f>
        <v>#REF!</v>
      </c>
      <c r="DE5" s="111" t="e">
        <f>_xlfn.AGGREGATE(9,3,#REF!)/IF(RIGHT(#REF!,4)="(K€)",DE2,1)</f>
        <v>#REF!</v>
      </c>
      <c r="DF5" s="111">
        <f>_xlfn.AGGREGATE(9,3,Consolidated[(BSA)
GER])/IF(RIGHT(DF6,4)="(K€)",DF2,1)</f>
        <v>0</v>
      </c>
      <c r="DG5" s="111">
        <f>_xlfn.AGGREGATE(9,3,Consolidated[Chief Market Officer
Internal
all entities])/IF(RIGHT(DG6,4)="(K€)",DG2,1)</f>
        <v>5855.5</v>
      </c>
      <c r="DH5" s="111">
        <f>_xlfn.AGGREGATE(9,3,Consolidated[(CMA)
All
any entity])/IF(RIGHT(DH6,4)="(K€)",DH2,1)</f>
        <v>5855.5</v>
      </c>
      <c r="DI5" s="111">
        <f>_xlfn.AGGREGATE(9,3,Consolidated[GTM FI
Internal
all entities])/IF(RIGHT(DI6,4)="(K€)",DI2,1)</f>
        <v>0</v>
      </c>
      <c r="DJ5" s="111">
        <f>_xlfn.AGGREGATE(9,3,Consolidated[(GTM)
All
any entity])/IF(RIGHT(DJ6,4)="(K€)",DJ2,1)</f>
        <v>0</v>
      </c>
      <c r="DK5" s="111">
        <f>_xlfn.AGGREGATE(9,3,Consolidated[Financial Services
Outsourced
all entities])/IF(RIGHT(DK6,4)="(K€)",DK2,1)</f>
        <v>1603</v>
      </c>
      <c r="DL5" s="111">
        <f>_xlfn.AGGREGATE(9,3,Consolidated[(FIS)
All
any entity])/IF(RIGHT(DL6,4)="(K€)",DL2,1)</f>
        <v>0</v>
      </c>
      <c r="DM5" s="111">
        <f>_xlfn.AGGREGATE(9,3,Consolidated[(FIS)
BEL
eWL])/IF(RIGHT(DM6,4)="(K€)",DM2,1)</f>
        <v>433</v>
      </c>
      <c r="DN5" s="111">
        <f>_xlfn.AGGREGATE(9,3,Consolidated[(FIS)
FRA
eWL])/IF(RIGHT(DN6,4)="(K€)",DN2,1)</f>
        <v>0</v>
      </c>
      <c r="DO5" s="111">
        <f>_xlfn.AGGREGATE(9,3,Consolidated[(FIS)
NLD
eWL])/IF(RIGHT(DO6,4)="(K€)",DO2,1)</f>
        <v>0</v>
      </c>
      <c r="DP5" s="111">
        <f>_xlfn.AGGREGATE(9,3,Consolidated[(FIS)
GER
eWL])/IF(RIGHT(DP6,4)="(K€)",DP2,1)</f>
        <v>0</v>
      </c>
      <c r="DQ5" s="111">
        <f>_xlfn.AGGREGATE(9,3,Consolidated[(FIS)
CHE
SPS FS])/IF(RIGHT(DQ6,4)="(K€)",DQ2,1)</f>
        <v>1170</v>
      </c>
      <c r="DR5" s="111">
        <f>_xlfn.AGGREGATE(9,3,Consolidated[(FIS)
SPS Split (26%) BEL])/IF(RIGHT(DR6,4)="(K€)",DR2,1)</f>
        <v>305</v>
      </c>
      <c r="DS5" s="111">
        <f>_xlfn.AGGREGATE(9,3,Consolidated[(FIS)
SPS % Split
FO])/IF(RIGHT(DS6,4)="(K€)",DS2,1)</f>
        <v>0</v>
      </c>
      <c r="DT5" s="111">
        <f>_xlfn.AGGREGATE(9,3,Consolidated[(FIS)
SPS % Split
BO])/IF(RIGHT(DT6,4)="(K€)",DT2,1)</f>
        <v>0</v>
      </c>
      <c r="DU5" s="111">
        <f>_xlfn.AGGREGATE(9,3,Consolidated[(FIS)
SPS Split
FO (calc)])/IF(RIGHT(DU6,4)="(K€)",DU2,1)</f>
        <v>0</v>
      </c>
      <c r="DV5" s="111">
        <f>_xlfn.AGGREGATE(9,3,Consolidated[(FIS)
SPS Split
BO (calc)])/IF(RIGHT(DV6,4)="(K€)",DV2,1)</f>
        <v>0</v>
      </c>
      <c r="DW5" s="111">
        <f>_xlfn.AGGREGATE(9,3,Consolidated[(FIS)
SPS Split
DaMa (calc)])/IF(RIGHT(DW6,4)="(K€)",DW2,1)</f>
        <v>865</v>
      </c>
      <c r="DX5" s="111">
        <f>_xlfn.AGGREGATE(9,3,Consolidated[Production Services
Outsourced
all entities])/IF(RIGHT(DX6,4)="(K€)",DX2,1)</f>
        <v>0</v>
      </c>
      <c r="DY5" s="111">
        <f>_xlfn.AGGREGATE(9,3,Consolidated[(PRD)
ALL
any entity])/IF(RIGHT(DY6,4)="(K€)",DY2,1)</f>
        <v>0</v>
      </c>
      <c r="DZ5" s="111">
        <f>_xlfn.AGGREGATE(9,3,Consolidated[TSS
Outsourced 
all entities])/IF(RIGHT(DZ6,4)="(K€)",DZ2,1)</f>
        <v>0</v>
      </c>
      <c r="EA5" s="111">
        <f>_xlfn.AGGREGATE(9,3,Consolidated[(TSS)
ALL
any entity])/IF(RIGHT(EA6,4)="(K€)",EA2,1)</f>
        <v>0</v>
      </c>
      <c r="EB5" s="111">
        <f>_xlfn.AGGREGATE(9,3,Consolidated[MTS
Outsourced
all entities])/IF(RIGHT(EB6,4)="(K€)",EB2,1)</f>
        <v>0</v>
      </c>
      <c r="EC5" s="111">
        <f>_xlfn.AGGREGATE(9,3,Consolidated[(MTS)
ALL
any entity])/IF(RIGHT(EC6,4)="(K€)",EC2,1)</f>
        <v>0</v>
      </c>
      <c r="ED5" s="111">
        <f>_xlfn.AGGREGATE(9,3,Consolidated[Payone
Outsourced
all entities])/IF(RIGHT(ED6,4)="(K€)",ED2,1)</f>
        <v>0</v>
      </c>
      <c r="EE5" s="111">
        <f>_xlfn.AGGREGATE(9,3,Consolidated[(Payone)
ALL
any entity])/IF(RIGHT(EE6,4)="(K€)",EE2,1)</f>
        <v>0</v>
      </c>
      <c r="EF5" s="111">
        <f>_xlfn.AGGREGATE(9,3,Consolidated[Cash Out
OPEX
Suppliers])/IF(RIGHT(EF6,4)="(K€)",EF2,1)</f>
        <v>1800</v>
      </c>
      <c r="EG5" s="111">
        <f>_xlfn.AGGREGATE(9,3,Consolidated[(OPX) 
Supplier Name(s)])/IF(RIGHT(EG6,4)="(K€)",EG2,1)</f>
        <v>0</v>
      </c>
      <c r="EH5" s="111">
        <f>_xlfn.AGGREGATE(9,3,Consolidated[(OPX)
All SubCo
Fix price (K€)])/IF(RIGHT(EH6,4)="(K€)",EH2,1)</f>
        <v>0</v>
      </c>
      <c r="EI5" s="111">
        <f>_xlfn.AGGREGATE(9,3,Consolidated[(OPX)
All Subco
T&amp;M 1000])/IF(RIGHT(EI6,4)="(K€)",EI2,1)</f>
        <v>0</v>
      </c>
      <c r="EJ5" s="111">
        <f>_xlfn.AGGREGATE(9,3,Consolidated[(OPX)
All Subco
T&amp;M 700])/IF(RIGHT(EJ6,4)="(K€)",EJ2,1)</f>
        <v>0</v>
      </c>
      <c r="EK5" s="111">
        <f>_xlfn.AGGREGATE(9,3,Consolidated[(OPX)
All Subco
T&amp;M 470])/IF(RIGHT(EK6,4)="(K€)",EK2,1)</f>
        <v>0</v>
      </c>
      <c r="EL5" s="111">
        <f>_xlfn.AGGREGATE(9,3,Consolidated[(OPX)
MAR
Morocco])/IF(RIGHT(EL6,4)="(K€)",EL2,1)</f>
        <v>0</v>
      </c>
      <c r="EM5" s="111">
        <f>_xlfn.AGGREGATE(9,3,Consolidated[(OPX)
IND
Cybage])/IF(RIGHT(EM6,4)="(K€)",EM2,1)</f>
        <v>0</v>
      </c>
      <c r="EN5" s="111">
        <f>_xlfn.AGGREGATE(9,3,Consolidated[(OPX)
IND
India])/IF(RIGHT(EN6,4)="(K€)",EN2,1)</f>
        <v>0</v>
      </c>
      <c r="EO5" s="111">
        <f>_xlfn.AGGREGATE(9,3,Consolidated[(OPX)
BUL
Bulgaria])/IF(RIGHT(EO6,4)="(K€)",EO2,1)</f>
        <v>0</v>
      </c>
      <c r="EP5" s="111">
        <f>_xlfn.AGGREGATE(9,3,Consolidated[(OPX)
ARM
Armenia])/IF(RIGHT(EP6,4)="(K€)",EP2,1)</f>
        <v>1800</v>
      </c>
      <c r="EQ5" s="111">
        <f>_xlfn.AGGREGATE(9,3,Consolidated[Cash Out
CAPEX
KEUR])/IF(RIGHT(EQ6,4)="(K€)",EQ2,1)</f>
        <v>6378</v>
      </c>
      <c r="ER5" s="111">
        <f>_xlfn.AGGREGATE(9,3,Consolidated[(CPX) 
CAPEX
kEUR])/IF(RIGHT(ER6,4)="(K€)",ER2,1)</f>
        <v>6378</v>
      </c>
      <c r="ES5" s="111"/>
      <c r="ET5" s="111">
        <f>_xlfn.AGGREGATE(9,3,Consolidated[Non MS/Not listed Entities])/IF(RIGHT(ET6,4)="(K€)",ET2,1)</f>
        <v>0</v>
      </c>
      <c r="EU5" s="111">
        <f>_xlfn.AGGREGATE(9,3,Consolidated[(NMS)
ALL
Direct])/IF(RIGHT(EU6,4)="(K€)",EU2,1)</f>
        <v>0</v>
      </c>
      <c r="EV5" s="111">
        <f>_xlfn.AGGREGATE(9,3,Consolidated[(NMS)
ALL
Indirect])/IF(RIGHT(EV6,4)="(K€)",EV2,1)</f>
        <v>0</v>
      </c>
      <c r="EW5" s="111">
        <f>_xlfn.AGGREGATE(9,3,Consolidated[(NMS)
Non listed entities])/IF(RIGHT(EW6,4)="(K€)",EW2,1)</f>
        <v>0</v>
      </c>
      <c r="EX5" s="111"/>
      <c r="EY5" s="111"/>
      <c r="EZ5" s="111"/>
      <c r="FA5" s="111"/>
      <c r="FB5" s="111"/>
      <c r="FC5" s="111"/>
      <c r="FD5" s="111"/>
      <c r="FE5" s="111"/>
      <c r="FF5" s="111"/>
      <c r="FG5" s="111"/>
      <c r="FH5" s="111"/>
      <c r="FI5" s="111"/>
      <c r="FJ5" s="111"/>
      <c r="FK5" s="111"/>
      <c r="FL5" s="111"/>
      <c r="FM5" s="111"/>
      <c r="FN5" s="111"/>
    </row>
    <row r="6" spans="2:170" s="67" customFormat="1" ht="96" x14ac:dyDescent="0.2">
      <c r="B6" s="67" t="s">
        <v>142</v>
      </c>
      <c r="C6" s="67" t="s">
        <v>143</v>
      </c>
      <c r="D6" s="67" t="s">
        <v>144</v>
      </c>
      <c r="E6" s="67" t="s">
        <v>6</v>
      </c>
      <c r="F6" s="67" t="s">
        <v>145</v>
      </c>
      <c r="G6" s="67" t="s">
        <v>146</v>
      </c>
      <c r="H6" s="67" t="s">
        <v>45</v>
      </c>
      <c r="I6" s="67" t="s">
        <v>38</v>
      </c>
      <c r="J6" s="67" t="s">
        <v>63</v>
      </c>
      <c r="K6" s="67" t="s">
        <v>148</v>
      </c>
      <c r="L6" s="67" t="s">
        <v>149</v>
      </c>
      <c r="M6" s="67" t="s">
        <v>150</v>
      </c>
      <c r="N6" s="67" t="s">
        <v>151</v>
      </c>
      <c r="O6" s="67" t="s">
        <v>152</v>
      </c>
      <c r="P6" s="67" t="s">
        <v>153</v>
      </c>
      <c r="Q6" s="13" t="s">
        <v>154</v>
      </c>
      <c r="R6" s="14" t="s">
        <v>155</v>
      </c>
      <c r="S6" s="14" t="s">
        <v>156</v>
      </c>
      <c r="T6" s="14" t="s">
        <v>157</v>
      </c>
      <c r="U6" s="14" t="s">
        <v>158</v>
      </c>
      <c r="V6" s="14" t="s">
        <v>159</v>
      </c>
      <c r="W6" s="14" t="s">
        <v>160</v>
      </c>
      <c r="X6" s="14" t="s">
        <v>161</v>
      </c>
      <c r="Y6" s="14" t="s">
        <v>162</v>
      </c>
      <c r="Z6" s="14" t="s">
        <v>163</v>
      </c>
      <c r="AA6" s="14" t="s">
        <v>164</v>
      </c>
      <c r="AB6" s="14" t="s">
        <v>165</v>
      </c>
      <c r="AC6" s="14" t="s">
        <v>166</v>
      </c>
      <c r="AD6" s="14" t="s">
        <v>167</v>
      </c>
      <c r="AE6" s="14" t="s">
        <v>168</v>
      </c>
      <c r="AF6" s="14" t="s">
        <v>169</v>
      </c>
      <c r="AG6" s="14" t="s">
        <v>170</v>
      </c>
      <c r="AH6" s="14" t="s">
        <v>171</v>
      </c>
      <c r="AI6" s="14" t="s">
        <v>172</v>
      </c>
      <c r="AJ6" s="14" t="s">
        <v>173</v>
      </c>
      <c r="AK6" s="14" t="s">
        <v>174</v>
      </c>
      <c r="AL6" s="14" t="s">
        <v>175</v>
      </c>
      <c r="AM6" s="14" t="s">
        <v>176</v>
      </c>
      <c r="AN6" s="14" t="s">
        <v>177</v>
      </c>
      <c r="AO6" s="14" t="s">
        <v>178</v>
      </c>
      <c r="AP6" s="14" t="s">
        <v>179</v>
      </c>
      <c r="AQ6" s="14" t="s">
        <v>180</v>
      </c>
      <c r="AR6" s="12" t="s">
        <v>181</v>
      </c>
      <c r="AS6" s="14" t="s">
        <v>182</v>
      </c>
      <c r="AT6" s="14" t="s">
        <v>183</v>
      </c>
      <c r="AU6" s="14" t="s">
        <v>184</v>
      </c>
      <c r="AV6" s="14" t="s">
        <v>185</v>
      </c>
      <c r="AW6" s="12" t="s">
        <v>186</v>
      </c>
      <c r="AX6" s="14" t="s">
        <v>187</v>
      </c>
      <c r="AY6" s="14" t="s">
        <v>188</v>
      </c>
      <c r="AZ6" s="14" t="s">
        <v>189</v>
      </c>
      <c r="BA6" s="14" t="s">
        <v>190</v>
      </c>
      <c r="BB6" s="14" t="s">
        <v>191</v>
      </c>
      <c r="BC6" s="14" t="s">
        <v>192</v>
      </c>
      <c r="BD6" s="14" t="s">
        <v>193</v>
      </c>
      <c r="BE6" s="14" t="s">
        <v>194</v>
      </c>
      <c r="BF6" s="14" t="s">
        <v>195</v>
      </c>
      <c r="BG6" s="14" t="s">
        <v>196</v>
      </c>
      <c r="BH6" s="14" t="s">
        <v>197</v>
      </c>
      <c r="BI6" s="14" t="s">
        <v>198</v>
      </c>
      <c r="BJ6" s="12" t="s">
        <v>199</v>
      </c>
      <c r="BK6" s="14" t="s">
        <v>200</v>
      </c>
      <c r="BL6" s="14" t="s">
        <v>201</v>
      </c>
      <c r="BM6" s="14" t="s">
        <v>202</v>
      </c>
      <c r="BN6" s="14" t="s">
        <v>203</v>
      </c>
      <c r="BO6" s="14" t="s">
        <v>204</v>
      </c>
      <c r="BP6" s="14" t="s">
        <v>205</v>
      </c>
      <c r="BQ6" s="13" t="s">
        <v>206</v>
      </c>
      <c r="BR6" s="14" t="s">
        <v>207</v>
      </c>
      <c r="BS6" s="14" t="s">
        <v>208</v>
      </c>
      <c r="BT6" s="13" t="s">
        <v>209</v>
      </c>
      <c r="BU6" s="14" t="s">
        <v>210</v>
      </c>
      <c r="BV6" s="14" t="s">
        <v>211</v>
      </c>
      <c r="BW6" s="14" t="s">
        <v>212</v>
      </c>
      <c r="BX6" s="13" t="s">
        <v>213</v>
      </c>
      <c r="BY6" s="14" t="s">
        <v>214</v>
      </c>
      <c r="BZ6" s="14" t="s">
        <v>215</v>
      </c>
      <c r="CA6" s="14" t="s">
        <v>216</v>
      </c>
      <c r="CB6" s="14" t="s">
        <v>217</v>
      </c>
      <c r="CC6" s="14" t="s">
        <v>218</v>
      </c>
      <c r="CD6" s="14" t="s">
        <v>219</v>
      </c>
      <c r="CE6" s="13" t="s">
        <v>220</v>
      </c>
      <c r="CF6" s="14" t="s">
        <v>221</v>
      </c>
      <c r="CG6" s="14" t="s">
        <v>222</v>
      </c>
      <c r="CH6" s="14" t="s">
        <v>223</v>
      </c>
      <c r="CI6" s="14" t="s">
        <v>224</v>
      </c>
      <c r="CJ6" s="14" t="s">
        <v>225</v>
      </c>
      <c r="CK6" s="13" t="s">
        <v>226</v>
      </c>
      <c r="CL6" s="14" t="s">
        <v>227</v>
      </c>
      <c r="CM6" s="14" t="s">
        <v>228</v>
      </c>
      <c r="CN6" s="14" t="s">
        <v>229</v>
      </c>
      <c r="CO6" s="13" t="s">
        <v>230</v>
      </c>
      <c r="CP6" s="14" t="s">
        <v>231</v>
      </c>
      <c r="CQ6" s="14" t="s">
        <v>232</v>
      </c>
      <c r="CR6" s="14" t="s">
        <v>233</v>
      </c>
      <c r="CS6" s="14" t="s">
        <v>234</v>
      </c>
      <c r="CT6" s="14" t="s">
        <v>235</v>
      </c>
      <c r="CU6" s="13" t="s">
        <v>236</v>
      </c>
      <c r="CV6" s="14" t="s">
        <v>237</v>
      </c>
      <c r="CW6" s="14" t="s">
        <v>238</v>
      </c>
      <c r="CX6" s="14" t="s">
        <v>239</v>
      </c>
      <c r="CY6" s="13" t="s">
        <v>240</v>
      </c>
      <c r="CZ6" s="14" t="s">
        <v>241</v>
      </c>
      <c r="DA6" s="14" t="s">
        <v>242</v>
      </c>
      <c r="DB6" s="14" t="s">
        <v>243</v>
      </c>
      <c r="DC6" s="14" t="s">
        <v>244</v>
      </c>
      <c r="DD6" t="s">
        <v>245</v>
      </c>
      <c r="DE6" t="s">
        <v>246</v>
      </c>
      <c r="DF6" s="14" t="s">
        <v>247</v>
      </c>
      <c r="DG6" s="13" t="s">
        <v>248</v>
      </c>
      <c r="DH6" s="14" t="s">
        <v>249</v>
      </c>
      <c r="DI6" s="13" t="s">
        <v>250</v>
      </c>
      <c r="DJ6" s="14" t="s">
        <v>251</v>
      </c>
      <c r="DK6" s="15" t="s">
        <v>252</v>
      </c>
      <c r="DL6" s="16" t="s">
        <v>253</v>
      </c>
      <c r="DM6" s="16" t="s">
        <v>254</v>
      </c>
      <c r="DN6" s="16" t="s">
        <v>255</v>
      </c>
      <c r="DO6" s="16" t="s">
        <v>256</v>
      </c>
      <c r="DP6" s="16" t="s">
        <v>257</v>
      </c>
      <c r="DQ6" s="16" t="s">
        <v>258</v>
      </c>
      <c r="DR6" s="46" t="s">
        <v>259</v>
      </c>
      <c r="DS6" s="46" t="s">
        <v>260</v>
      </c>
      <c r="DT6" s="46" t="s">
        <v>261</v>
      </c>
      <c r="DU6" s="46" t="s">
        <v>262</v>
      </c>
      <c r="DV6" s="46" t="s">
        <v>263</v>
      </c>
      <c r="DW6" s="46" t="s">
        <v>264</v>
      </c>
      <c r="DX6" s="15" t="s">
        <v>265</v>
      </c>
      <c r="DY6" s="16" t="s">
        <v>266</v>
      </c>
      <c r="DZ6" s="15" t="s">
        <v>267</v>
      </c>
      <c r="EA6" s="16" t="s">
        <v>269</v>
      </c>
      <c r="EB6" s="15" t="s">
        <v>270</v>
      </c>
      <c r="EC6" s="16" t="s">
        <v>271</v>
      </c>
      <c r="ED6" s="15" t="s">
        <v>272</v>
      </c>
      <c r="EE6" s="16" t="s">
        <v>273</v>
      </c>
      <c r="EF6" s="21" t="s">
        <v>274</v>
      </c>
      <c r="EG6" s="22" t="s">
        <v>275</v>
      </c>
      <c r="EH6" s="22" t="s">
        <v>1595</v>
      </c>
      <c r="EI6" s="22" t="s">
        <v>277</v>
      </c>
      <c r="EJ6" s="22" t="s">
        <v>278</v>
      </c>
      <c r="EK6" s="22" t="s">
        <v>279</v>
      </c>
      <c r="EL6" s="22" t="s">
        <v>280</v>
      </c>
      <c r="EM6" s="22" t="s">
        <v>281</v>
      </c>
      <c r="EN6" s="22" t="s">
        <v>282</v>
      </c>
      <c r="EO6" s="22" t="s">
        <v>283</v>
      </c>
      <c r="EP6" s="22" t="s">
        <v>284</v>
      </c>
      <c r="EQ6" s="23" t="s">
        <v>285</v>
      </c>
      <c r="ER6" s="112" t="s">
        <v>286</v>
      </c>
      <c r="ES6" s="112" t="s">
        <v>287</v>
      </c>
      <c r="ET6" s="113" t="s">
        <v>288</v>
      </c>
      <c r="EU6" s="114" t="s">
        <v>289</v>
      </c>
      <c r="EV6" s="114" t="s">
        <v>290</v>
      </c>
      <c r="EW6" s="114" t="s">
        <v>291</v>
      </c>
      <c r="EX6" s="114" t="s">
        <v>292</v>
      </c>
      <c r="EY6" s="67" t="s">
        <v>293</v>
      </c>
      <c r="EZ6" s="67" t="s">
        <v>294</v>
      </c>
      <c r="FA6" s="67" t="s">
        <v>295</v>
      </c>
      <c r="FB6" s="67" t="s">
        <v>716</v>
      </c>
      <c r="FC6" s="67" t="s">
        <v>717</v>
      </c>
      <c r="FD6" s="67" t="s">
        <v>718</v>
      </c>
      <c r="FE6" s="67" t="s">
        <v>719</v>
      </c>
      <c r="FF6" s="67" t="s">
        <v>720</v>
      </c>
      <c r="FG6" s="67" t="s">
        <v>721</v>
      </c>
      <c r="FH6" s="67" t="s">
        <v>1531</v>
      </c>
      <c r="FI6" s="67" t="s">
        <v>1596</v>
      </c>
    </row>
    <row r="7" spans="2:170" s="67" customFormat="1" x14ac:dyDescent="0.2">
      <c r="B7" s="67" t="s">
        <v>296</v>
      </c>
      <c r="C7" s="67" t="s">
        <v>296</v>
      </c>
      <c r="D7" s="67" t="s">
        <v>297</v>
      </c>
      <c r="E7" s="67" t="s">
        <v>23</v>
      </c>
      <c r="F7" s="67" t="s">
        <v>766</v>
      </c>
      <c r="G7" s="67" t="s">
        <v>1597</v>
      </c>
      <c r="I7" s="67" t="s">
        <v>41</v>
      </c>
      <c r="J7" s="67" t="s">
        <v>68</v>
      </c>
      <c r="K7" s="67" t="s">
        <v>1059</v>
      </c>
      <c r="L7" s="67" t="s">
        <v>767</v>
      </c>
      <c r="M7" s="67" t="s">
        <v>752</v>
      </c>
      <c r="N7" s="67" t="s">
        <v>1598</v>
      </c>
      <c r="O7" s="67" t="s">
        <v>1599</v>
      </c>
      <c r="P7" s="67" t="s">
        <v>298</v>
      </c>
      <c r="Q7" s="67">
        <v>1405</v>
      </c>
      <c r="R7" s="67">
        <v>0</v>
      </c>
      <c r="S7" s="67">
        <v>0</v>
      </c>
      <c r="T7" s="67">
        <v>0</v>
      </c>
      <c r="U7" s="67">
        <v>0</v>
      </c>
      <c r="V7" s="67">
        <v>0</v>
      </c>
      <c r="W7" s="67">
        <v>0</v>
      </c>
      <c r="X7" s="67">
        <v>0</v>
      </c>
      <c r="Y7" s="67">
        <v>0</v>
      </c>
      <c r="Z7" s="67">
        <v>0</v>
      </c>
      <c r="AA7" s="67">
        <v>0</v>
      </c>
      <c r="AB7" s="67">
        <v>0</v>
      </c>
      <c r="AC7" s="67">
        <v>0</v>
      </c>
      <c r="AD7" s="67">
        <v>0</v>
      </c>
      <c r="AE7" s="67">
        <v>0</v>
      </c>
      <c r="AF7" s="67">
        <v>0</v>
      </c>
      <c r="AG7" s="67">
        <v>1405</v>
      </c>
      <c r="AH7" s="67">
        <v>0</v>
      </c>
      <c r="AI7" s="67">
        <v>0</v>
      </c>
      <c r="AJ7" s="67">
        <v>0</v>
      </c>
      <c r="AK7" s="67">
        <v>0</v>
      </c>
      <c r="AL7" s="67">
        <v>0</v>
      </c>
      <c r="AM7" s="67">
        <v>0</v>
      </c>
      <c r="AN7" s="67">
        <v>0</v>
      </c>
      <c r="AO7" s="67">
        <v>0</v>
      </c>
      <c r="AP7" s="67">
        <v>0</v>
      </c>
      <c r="AQ7" s="67">
        <v>0</v>
      </c>
      <c r="AR7" s="67">
        <v>0</v>
      </c>
      <c r="AS7" s="67">
        <v>0</v>
      </c>
      <c r="AW7" s="67">
        <v>0</v>
      </c>
      <c r="AX7" s="67">
        <v>0</v>
      </c>
      <c r="BF7"/>
      <c r="BJ7" s="67">
        <v>0</v>
      </c>
      <c r="BM7"/>
      <c r="BN7"/>
      <c r="BO7"/>
      <c r="BQ7" s="67">
        <v>0</v>
      </c>
      <c r="BT7" s="67">
        <v>0</v>
      </c>
      <c r="BW7" s="67">
        <v>0</v>
      </c>
      <c r="BX7" s="67">
        <v>0</v>
      </c>
      <c r="BY7" s="67">
        <v>0</v>
      </c>
      <c r="BZ7" s="67">
        <v>0</v>
      </c>
      <c r="CB7" s="67">
        <v>0</v>
      </c>
      <c r="CE7" s="67">
        <v>0</v>
      </c>
      <c r="CF7" s="67">
        <v>0</v>
      </c>
      <c r="CK7" s="67">
        <v>0</v>
      </c>
      <c r="CL7" s="67">
        <v>0</v>
      </c>
      <c r="CO7" s="67">
        <v>0</v>
      </c>
      <c r="CP7" s="67">
        <v>0</v>
      </c>
      <c r="CU7" s="67">
        <v>0</v>
      </c>
      <c r="CY7" s="67">
        <v>0</v>
      </c>
      <c r="DD7"/>
      <c r="DE7"/>
      <c r="DG7" s="67">
        <v>0</v>
      </c>
      <c r="DH7" s="67">
        <v>0</v>
      </c>
      <c r="DI7" s="67">
        <v>0</v>
      </c>
      <c r="DK7" s="67">
        <v>50</v>
      </c>
      <c r="DM7" s="67">
        <v>25</v>
      </c>
      <c r="DQ7" s="67">
        <v>25</v>
      </c>
      <c r="DR7" s="67">
        <v>7</v>
      </c>
      <c r="DU7" s="67">
        <v>0</v>
      </c>
      <c r="DV7" s="67">
        <v>0</v>
      </c>
      <c r="DW7" s="67">
        <v>18</v>
      </c>
      <c r="DX7" s="67">
        <v>0</v>
      </c>
      <c r="DZ7" s="67">
        <v>0</v>
      </c>
      <c r="EB7" s="67">
        <v>0</v>
      </c>
      <c r="ED7" s="67">
        <v>0</v>
      </c>
      <c r="EE7" s="67">
        <v>0</v>
      </c>
      <c r="EF7" s="67">
        <v>0</v>
      </c>
      <c r="EP7" s="67">
        <v>0</v>
      </c>
      <c r="EQ7" s="67">
        <v>0</v>
      </c>
      <c r="ER7" s="67">
        <v>0</v>
      </c>
      <c r="ET7">
        <v>0</v>
      </c>
      <c r="EU7"/>
      <c r="EV7"/>
      <c r="EW7"/>
      <c r="FA7" s="67">
        <v>1455</v>
      </c>
      <c r="FI7" s="67" t="s">
        <v>1600</v>
      </c>
    </row>
    <row r="8" spans="2:170" ht="24" x14ac:dyDescent="0.2">
      <c r="B8" s="67" t="s">
        <v>299</v>
      </c>
      <c r="C8" s="67" t="s">
        <v>299</v>
      </c>
      <c r="D8" s="67" t="s">
        <v>300</v>
      </c>
      <c r="E8" s="67" t="s">
        <v>13</v>
      </c>
      <c r="F8" s="67" t="s">
        <v>766</v>
      </c>
      <c r="G8" s="67" t="s">
        <v>1597</v>
      </c>
      <c r="H8" s="67"/>
      <c r="I8" s="67" t="s">
        <v>41</v>
      </c>
      <c r="J8" s="67" t="s">
        <v>68</v>
      </c>
      <c r="K8" s="67" t="s">
        <v>1059</v>
      </c>
      <c r="L8" s="67" t="s">
        <v>767</v>
      </c>
      <c r="M8" s="67" t="s">
        <v>752</v>
      </c>
      <c r="N8" s="67" t="s">
        <v>1601</v>
      </c>
      <c r="O8" s="67" t="s">
        <v>1599</v>
      </c>
      <c r="P8" s="67"/>
      <c r="Q8" s="67">
        <v>300</v>
      </c>
      <c r="R8" s="67">
        <v>0</v>
      </c>
      <c r="S8" s="67">
        <v>0</v>
      </c>
      <c r="T8" s="67">
        <v>0</v>
      </c>
      <c r="U8" s="67">
        <v>0</v>
      </c>
      <c r="V8" s="67">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300</v>
      </c>
      <c r="AO8" s="67">
        <v>0</v>
      </c>
      <c r="AP8" s="67">
        <v>0</v>
      </c>
      <c r="AQ8" s="67">
        <v>0</v>
      </c>
      <c r="AR8" s="67">
        <v>0</v>
      </c>
      <c r="AS8" s="67">
        <v>0</v>
      </c>
      <c r="AT8" s="67"/>
      <c r="AU8" s="67"/>
      <c r="AV8" s="67"/>
      <c r="AW8" s="67">
        <v>0</v>
      </c>
      <c r="AX8" s="67">
        <v>0</v>
      </c>
      <c r="AY8" s="67"/>
      <c r="AZ8" s="67"/>
      <c r="BA8" s="67"/>
      <c r="BB8" s="67"/>
      <c r="BC8" s="67"/>
      <c r="BD8" s="67"/>
      <c r="BE8" s="67"/>
      <c r="BG8" s="67"/>
      <c r="BH8" s="67"/>
      <c r="BI8" s="67"/>
      <c r="BJ8" s="67">
        <v>0</v>
      </c>
      <c r="BK8" s="67"/>
      <c r="BL8" s="67"/>
      <c r="BP8" s="67"/>
      <c r="BQ8" s="67">
        <v>0</v>
      </c>
      <c r="BR8" s="67"/>
      <c r="BS8" s="67"/>
      <c r="BT8" s="67">
        <v>0</v>
      </c>
      <c r="BU8" s="67"/>
      <c r="BV8" s="67"/>
      <c r="BW8" s="67">
        <v>0</v>
      </c>
      <c r="BX8" s="67">
        <v>0</v>
      </c>
      <c r="BY8" s="67">
        <v>0</v>
      </c>
      <c r="BZ8" s="67">
        <v>0</v>
      </c>
      <c r="CA8" s="67"/>
      <c r="CB8" s="67">
        <v>0</v>
      </c>
      <c r="CC8" s="67"/>
      <c r="CD8" s="67"/>
      <c r="CE8" s="67">
        <v>0</v>
      </c>
      <c r="CF8" s="67">
        <v>0</v>
      </c>
      <c r="CG8" s="67"/>
      <c r="CH8" s="67"/>
      <c r="CI8" s="67"/>
      <c r="CJ8" s="67"/>
      <c r="CK8" s="67">
        <v>0</v>
      </c>
      <c r="CL8" s="67">
        <v>0</v>
      </c>
      <c r="CM8" s="67"/>
      <c r="CN8" s="67"/>
      <c r="CO8" s="67">
        <v>0</v>
      </c>
      <c r="CP8" s="67">
        <v>0</v>
      </c>
      <c r="CQ8" s="67"/>
      <c r="CR8" s="67"/>
      <c r="CS8" s="67"/>
      <c r="CT8" s="67"/>
      <c r="CU8" s="67">
        <v>0</v>
      </c>
      <c r="CV8" s="67"/>
      <c r="CW8" s="67"/>
      <c r="CX8" s="67"/>
      <c r="CY8" s="67">
        <v>0</v>
      </c>
      <c r="CZ8" s="67"/>
      <c r="DA8" s="67"/>
      <c r="DB8" s="67"/>
      <c r="DC8" s="67"/>
      <c r="DF8" s="67"/>
      <c r="DG8" s="67">
        <v>0</v>
      </c>
      <c r="DH8" s="67">
        <v>0</v>
      </c>
      <c r="DI8" s="67">
        <v>0</v>
      </c>
      <c r="DJ8" s="67"/>
      <c r="DK8" s="67">
        <v>0</v>
      </c>
      <c r="DL8" s="67">
        <v>0</v>
      </c>
      <c r="DM8" s="67">
        <v>0</v>
      </c>
      <c r="DN8" s="67"/>
      <c r="DO8" s="67"/>
      <c r="DP8" s="67"/>
      <c r="DQ8" s="67">
        <v>0</v>
      </c>
      <c r="DR8" s="67">
        <v>0</v>
      </c>
      <c r="DS8" s="67"/>
      <c r="DT8" s="67"/>
      <c r="DU8" s="67">
        <v>0</v>
      </c>
      <c r="DV8" s="67">
        <v>0</v>
      </c>
      <c r="DW8" s="67">
        <v>0</v>
      </c>
      <c r="DX8" s="67">
        <v>0</v>
      </c>
      <c r="DY8" s="67"/>
      <c r="DZ8" s="67">
        <v>0</v>
      </c>
      <c r="EA8" s="67"/>
      <c r="EB8" s="67">
        <v>0</v>
      </c>
      <c r="EC8" s="67"/>
      <c r="ED8" s="67">
        <v>0</v>
      </c>
      <c r="EE8" s="67"/>
      <c r="EF8" s="67">
        <v>0</v>
      </c>
      <c r="EG8" s="67"/>
      <c r="EH8" s="67"/>
      <c r="EI8" s="67"/>
      <c r="EJ8" s="67"/>
      <c r="EK8" s="67"/>
      <c r="EL8" s="67"/>
      <c r="EM8" s="67"/>
      <c r="EN8" s="67"/>
      <c r="EO8" s="67"/>
      <c r="EP8" s="67">
        <v>0</v>
      </c>
      <c r="EQ8" s="67">
        <v>0</v>
      </c>
      <c r="ER8" s="67">
        <v>0</v>
      </c>
      <c r="ES8" s="67"/>
      <c r="ET8">
        <v>0</v>
      </c>
      <c r="EX8" s="67"/>
      <c r="EY8" s="67"/>
      <c r="EZ8" s="67"/>
      <c r="FA8" s="67">
        <v>300</v>
      </c>
      <c r="FB8" s="67"/>
      <c r="FC8" s="67"/>
      <c r="FD8" s="67"/>
      <c r="FE8" s="67"/>
      <c r="FF8" s="67"/>
      <c r="FG8" s="67"/>
      <c r="FH8" s="67"/>
      <c r="FI8" s="67" t="s">
        <v>1600</v>
      </c>
    </row>
    <row r="9" spans="2:170" ht="24" x14ac:dyDescent="0.2">
      <c r="B9" s="67" t="s">
        <v>301</v>
      </c>
      <c r="C9" s="67" t="s">
        <v>301</v>
      </c>
      <c r="D9" s="67" t="s">
        <v>302</v>
      </c>
      <c r="E9" s="67" t="s">
        <v>13</v>
      </c>
      <c r="F9" s="67" t="s">
        <v>766</v>
      </c>
      <c r="G9" s="67" t="s">
        <v>1597</v>
      </c>
      <c r="H9" s="67"/>
      <c r="I9" s="67" t="s">
        <v>41</v>
      </c>
      <c r="J9" s="67" t="s">
        <v>68</v>
      </c>
      <c r="K9" s="67" t="s">
        <v>1059</v>
      </c>
      <c r="L9" s="67" t="s">
        <v>767</v>
      </c>
      <c r="M9" s="67" t="s">
        <v>752</v>
      </c>
      <c r="N9" s="67" t="s">
        <v>1598</v>
      </c>
      <c r="O9" s="67" t="s">
        <v>1599</v>
      </c>
      <c r="P9" s="67" t="s">
        <v>298</v>
      </c>
      <c r="Q9" s="67">
        <v>1320</v>
      </c>
      <c r="R9" s="67">
        <v>0</v>
      </c>
      <c r="S9" s="67">
        <v>0</v>
      </c>
      <c r="T9" s="67">
        <v>0</v>
      </c>
      <c r="U9" s="67">
        <v>0</v>
      </c>
      <c r="V9" s="67">
        <v>0</v>
      </c>
      <c r="W9" s="67">
        <v>0</v>
      </c>
      <c r="X9" s="67">
        <v>0</v>
      </c>
      <c r="Y9" s="67">
        <v>0</v>
      </c>
      <c r="Z9" s="67">
        <v>0</v>
      </c>
      <c r="AA9" s="67">
        <v>0</v>
      </c>
      <c r="AB9" s="67">
        <v>0</v>
      </c>
      <c r="AC9" s="67">
        <v>0</v>
      </c>
      <c r="AD9" s="67">
        <v>0</v>
      </c>
      <c r="AE9" s="67">
        <v>0</v>
      </c>
      <c r="AF9" s="67">
        <v>0</v>
      </c>
      <c r="AG9" s="67">
        <v>1070</v>
      </c>
      <c r="AH9" s="67">
        <v>0</v>
      </c>
      <c r="AI9" s="67">
        <v>0</v>
      </c>
      <c r="AJ9" s="67">
        <v>0</v>
      </c>
      <c r="AK9" s="67">
        <v>0</v>
      </c>
      <c r="AL9" s="67">
        <v>0</v>
      </c>
      <c r="AM9" s="67">
        <v>0</v>
      </c>
      <c r="AN9" s="67">
        <v>250</v>
      </c>
      <c r="AO9" s="67">
        <v>0</v>
      </c>
      <c r="AP9" s="67">
        <v>0</v>
      </c>
      <c r="AQ9" s="67">
        <v>0</v>
      </c>
      <c r="AR9" s="67">
        <v>0</v>
      </c>
      <c r="AS9" s="67">
        <v>0</v>
      </c>
      <c r="AT9" s="67"/>
      <c r="AU9" s="67"/>
      <c r="AV9" s="67"/>
      <c r="AW9" s="67">
        <v>0</v>
      </c>
      <c r="AX9" s="67">
        <v>0</v>
      </c>
      <c r="AY9" s="67"/>
      <c r="AZ9" s="67"/>
      <c r="BA9" s="67"/>
      <c r="BB9" s="67"/>
      <c r="BC9" s="67"/>
      <c r="BD9" s="67"/>
      <c r="BE9" s="67"/>
      <c r="BG9" s="67"/>
      <c r="BH9" s="67"/>
      <c r="BI9" s="67"/>
      <c r="BJ9" s="67">
        <v>0</v>
      </c>
      <c r="BK9" s="67"/>
      <c r="BL9" s="67"/>
      <c r="BP9" s="67"/>
      <c r="BQ9" s="67">
        <v>0</v>
      </c>
      <c r="BR9" s="67"/>
      <c r="BS9" s="67"/>
      <c r="BT9" s="67">
        <v>0</v>
      </c>
      <c r="BU9" s="67"/>
      <c r="BV9" s="67"/>
      <c r="BW9" s="67">
        <v>0</v>
      </c>
      <c r="BX9" s="67">
        <v>0</v>
      </c>
      <c r="BY9" s="67">
        <v>0</v>
      </c>
      <c r="BZ9" s="67">
        <v>0</v>
      </c>
      <c r="CA9" s="67"/>
      <c r="CB9" s="67">
        <v>0</v>
      </c>
      <c r="CC9" s="67"/>
      <c r="CD9" s="67"/>
      <c r="CE9" s="67">
        <v>0</v>
      </c>
      <c r="CF9" s="67">
        <v>0</v>
      </c>
      <c r="CG9" s="67"/>
      <c r="CH9" s="67"/>
      <c r="CI9" s="67"/>
      <c r="CJ9" s="67"/>
      <c r="CK9" s="67">
        <v>0</v>
      </c>
      <c r="CL9" s="67">
        <v>0</v>
      </c>
      <c r="CM9" s="67"/>
      <c r="CN9" s="67"/>
      <c r="CO9" s="67">
        <v>0</v>
      </c>
      <c r="CP9" s="67">
        <v>0</v>
      </c>
      <c r="CQ9" s="67"/>
      <c r="CR9" s="67"/>
      <c r="CS9" s="67"/>
      <c r="CT9" s="67"/>
      <c r="CU9" s="67">
        <v>0</v>
      </c>
      <c r="CV9" s="67"/>
      <c r="CW9" s="67"/>
      <c r="CX9" s="67"/>
      <c r="CY9" s="67">
        <v>0</v>
      </c>
      <c r="CZ9" s="67"/>
      <c r="DA9" s="67"/>
      <c r="DB9" s="67"/>
      <c r="DC9" s="67"/>
      <c r="DF9" s="67"/>
      <c r="DG9" s="67">
        <v>880</v>
      </c>
      <c r="DH9" s="67">
        <v>880</v>
      </c>
      <c r="DI9" s="67">
        <v>0</v>
      </c>
      <c r="DJ9" s="67"/>
      <c r="DK9" s="67">
        <v>133</v>
      </c>
      <c r="DL9" s="67"/>
      <c r="DM9" s="67">
        <v>133</v>
      </c>
      <c r="DN9" s="67"/>
      <c r="DO9" s="67"/>
      <c r="DP9" s="67"/>
      <c r="DQ9" s="67">
        <v>0</v>
      </c>
      <c r="DR9" s="67">
        <v>0</v>
      </c>
      <c r="DS9" s="67"/>
      <c r="DT9" s="67"/>
      <c r="DU9" s="67">
        <v>0</v>
      </c>
      <c r="DV9" s="67">
        <v>0</v>
      </c>
      <c r="DW9" s="67">
        <v>0</v>
      </c>
      <c r="DX9" s="67">
        <v>0</v>
      </c>
      <c r="DY9" s="67"/>
      <c r="DZ9" s="67">
        <v>0</v>
      </c>
      <c r="EA9" s="67"/>
      <c r="EB9" s="67">
        <v>0</v>
      </c>
      <c r="EC9" s="67"/>
      <c r="ED9" s="67">
        <v>0</v>
      </c>
      <c r="EE9" s="67"/>
      <c r="EF9" s="67">
        <v>0</v>
      </c>
      <c r="EG9" s="67"/>
      <c r="EH9" s="67"/>
      <c r="EI9" s="67"/>
      <c r="EJ9" s="67"/>
      <c r="EK9" s="67"/>
      <c r="EL9" s="67"/>
      <c r="EM9" s="67"/>
      <c r="EN9" s="67"/>
      <c r="EO9" s="67"/>
      <c r="EP9" s="67">
        <v>0</v>
      </c>
      <c r="EQ9" s="67">
        <v>0</v>
      </c>
      <c r="ER9" s="67">
        <v>0</v>
      </c>
      <c r="ES9" s="67"/>
      <c r="ET9">
        <v>0</v>
      </c>
      <c r="EX9" s="67"/>
      <c r="EY9" s="67"/>
      <c r="EZ9" s="67"/>
      <c r="FA9" s="67">
        <v>2333</v>
      </c>
      <c r="FB9" s="67"/>
      <c r="FC9" s="67"/>
      <c r="FD9" s="67"/>
      <c r="FE9" s="67"/>
      <c r="FF9" s="67"/>
      <c r="FG9" s="67"/>
      <c r="FH9" s="67"/>
      <c r="FI9" s="67" t="s">
        <v>1600</v>
      </c>
    </row>
    <row r="10" spans="2:170" ht="24" x14ac:dyDescent="0.2">
      <c r="B10" s="67" t="s">
        <v>303</v>
      </c>
      <c r="C10" s="67" t="s">
        <v>303</v>
      </c>
      <c r="D10" s="67" t="s">
        <v>304</v>
      </c>
      <c r="E10" s="67" t="s">
        <v>13</v>
      </c>
      <c r="F10" s="67" t="s">
        <v>766</v>
      </c>
      <c r="G10" s="67" t="s">
        <v>1597</v>
      </c>
      <c r="H10" s="67"/>
      <c r="I10" s="67" t="s">
        <v>41</v>
      </c>
      <c r="J10" s="67" t="s">
        <v>68</v>
      </c>
      <c r="K10" s="67" t="s">
        <v>1059</v>
      </c>
      <c r="L10" s="67" t="s">
        <v>767</v>
      </c>
      <c r="M10" s="67" t="s">
        <v>752</v>
      </c>
      <c r="N10" s="67" t="s">
        <v>1598</v>
      </c>
      <c r="O10" s="67" t="s">
        <v>1599</v>
      </c>
      <c r="P10" s="67"/>
      <c r="Q10" s="67">
        <v>605</v>
      </c>
      <c r="R10" s="67">
        <v>0</v>
      </c>
      <c r="S10" s="67">
        <v>0</v>
      </c>
      <c r="T10" s="67">
        <v>0</v>
      </c>
      <c r="U10" s="67">
        <v>0</v>
      </c>
      <c r="V10" s="67">
        <v>0</v>
      </c>
      <c r="W10" s="67">
        <v>0</v>
      </c>
      <c r="X10" s="67">
        <v>0</v>
      </c>
      <c r="Y10" s="67">
        <v>0</v>
      </c>
      <c r="Z10" s="67">
        <v>0</v>
      </c>
      <c r="AA10" s="67">
        <v>0</v>
      </c>
      <c r="AB10" s="67">
        <v>0</v>
      </c>
      <c r="AC10" s="67">
        <v>0</v>
      </c>
      <c r="AD10" s="67">
        <v>0</v>
      </c>
      <c r="AE10" s="67">
        <v>0</v>
      </c>
      <c r="AF10" s="67">
        <v>0</v>
      </c>
      <c r="AG10" s="67">
        <v>480</v>
      </c>
      <c r="AH10" s="67">
        <v>0</v>
      </c>
      <c r="AI10" s="67">
        <v>0</v>
      </c>
      <c r="AJ10" s="67">
        <v>0</v>
      </c>
      <c r="AK10" s="67">
        <v>0</v>
      </c>
      <c r="AL10" s="67">
        <v>0</v>
      </c>
      <c r="AM10" s="67">
        <v>0</v>
      </c>
      <c r="AN10" s="67">
        <v>125</v>
      </c>
      <c r="AO10" s="67">
        <v>0</v>
      </c>
      <c r="AP10" s="67">
        <v>0</v>
      </c>
      <c r="AQ10" s="67">
        <v>0</v>
      </c>
      <c r="AR10" s="67">
        <v>0</v>
      </c>
      <c r="AS10" s="67">
        <v>0</v>
      </c>
      <c r="AT10" s="67"/>
      <c r="AU10" s="67"/>
      <c r="AV10" s="67"/>
      <c r="AW10" s="67">
        <v>0</v>
      </c>
      <c r="AX10" s="67">
        <v>0</v>
      </c>
      <c r="AY10" s="67"/>
      <c r="AZ10" s="67"/>
      <c r="BA10" s="67"/>
      <c r="BB10" s="67"/>
      <c r="BC10" s="67"/>
      <c r="BD10" s="67"/>
      <c r="BE10" s="67"/>
      <c r="BG10" s="67"/>
      <c r="BH10" s="67"/>
      <c r="BI10" s="67"/>
      <c r="BJ10" s="67">
        <v>0</v>
      </c>
      <c r="BK10" s="67"/>
      <c r="BL10" s="67"/>
      <c r="BP10" s="67"/>
      <c r="BQ10" s="67">
        <v>0</v>
      </c>
      <c r="BR10" s="67"/>
      <c r="BS10" s="67"/>
      <c r="BT10" s="67">
        <v>0</v>
      </c>
      <c r="BU10" s="67"/>
      <c r="BV10" s="67"/>
      <c r="BW10" s="67">
        <v>0</v>
      </c>
      <c r="BX10" s="67">
        <v>0</v>
      </c>
      <c r="BY10" s="67">
        <v>0</v>
      </c>
      <c r="BZ10" s="67">
        <v>0</v>
      </c>
      <c r="CA10" s="67"/>
      <c r="CB10" s="67">
        <v>0</v>
      </c>
      <c r="CC10" s="67"/>
      <c r="CD10" s="67"/>
      <c r="CE10" s="67">
        <v>0</v>
      </c>
      <c r="CF10" s="67">
        <v>0</v>
      </c>
      <c r="CG10" s="67"/>
      <c r="CH10" s="67"/>
      <c r="CI10" s="67"/>
      <c r="CJ10" s="67"/>
      <c r="CK10" s="67">
        <v>0</v>
      </c>
      <c r="CL10" s="67">
        <v>0</v>
      </c>
      <c r="CM10" s="67"/>
      <c r="CN10" s="67"/>
      <c r="CO10" s="67">
        <v>0</v>
      </c>
      <c r="CP10" s="67">
        <v>0</v>
      </c>
      <c r="CQ10" s="67"/>
      <c r="CR10" s="67"/>
      <c r="CS10" s="67"/>
      <c r="CT10" s="67"/>
      <c r="CU10" s="67">
        <v>0</v>
      </c>
      <c r="CV10" s="67"/>
      <c r="CW10" s="67"/>
      <c r="CX10" s="67"/>
      <c r="CY10" s="67">
        <v>0</v>
      </c>
      <c r="CZ10" s="67"/>
      <c r="DA10" s="67"/>
      <c r="DB10" s="67"/>
      <c r="DC10" s="67"/>
      <c r="DF10" s="67"/>
      <c r="DG10" s="67">
        <v>150</v>
      </c>
      <c r="DH10" s="67">
        <v>150</v>
      </c>
      <c r="DI10" s="67">
        <v>0</v>
      </c>
      <c r="DJ10" s="67"/>
      <c r="DK10" s="67">
        <v>0</v>
      </c>
      <c r="DL10" s="67">
        <v>0</v>
      </c>
      <c r="DM10" s="67">
        <v>0</v>
      </c>
      <c r="DN10" s="67"/>
      <c r="DO10" s="67"/>
      <c r="DP10" s="67"/>
      <c r="DQ10" s="67">
        <v>0</v>
      </c>
      <c r="DR10" s="67">
        <v>0</v>
      </c>
      <c r="DS10" s="67"/>
      <c r="DT10" s="67"/>
      <c r="DU10" s="67">
        <v>0</v>
      </c>
      <c r="DV10" s="67">
        <v>0</v>
      </c>
      <c r="DW10" s="67">
        <v>0</v>
      </c>
      <c r="DX10" s="67">
        <v>0</v>
      </c>
      <c r="DY10" s="67"/>
      <c r="DZ10" s="67">
        <v>0</v>
      </c>
      <c r="EA10" s="67"/>
      <c r="EB10" s="67">
        <v>0</v>
      </c>
      <c r="EC10" s="67"/>
      <c r="ED10" s="67">
        <v>0</v>
      </c>
      <c r="EE10" s="67"/>
      <c r="EF10" s="67">
        <v>0</v>
      </c>
      <c r="EG10" s="67"/>
      <c r="EH10" s="67"/>
      <c r="EI10" s="67"/>
      <c r="EJ10" s="67"/>
      <c r="EK10" s="67"/>
      <c r="EL10" s="67"/>
      <c r="EM10" s="67"/>
      <c r="EN10" s="67"/>
      <c r="EO10" s="67"/>
      <c r="EP10" s="67">
        <v>0</v>
      </c>
      <c r="EQ10" s="67">
        <v>0</v>
      </c>
      <c r="ER10" s="67">
        <v>0</v>
      </c>
      <c r="ES10" s="67"/>
      <c r="ET10">
        <v>0</v>
      </c>
      <c r="EX10" s="67"/>
      <c r="EY10" s="67"/>
      <c r="EZ10" s="67"/>
      <c r="FA10" s="67">
        <v>755</v>
      </c>
      <c r="FB10" s="67"/>
      <c r="FC10" s="67"/>
      <c r="FD10" s="67"/>
      <c r="FE10" s="67"/>
      <c r="FF10" s="67"/>
      <c r="FG10" s="67"/>
      <c r="FH10" s="67"/>
      <c r="FI10" s="67" t="s">
        <v>1600</v>
      </c>
    </row>
    <row r="11" spans="2:170" x14ac:dyDescent="0.2">
      <c r="B11" s="67" t="s">
        <v>305</v>
      </c>
      <c r="C11" s="67" t="s">
        <v>1602</v>
      </c>
      <c r="D11" s="67" t="s">
        <v>306</v>
      </c>
      <c r="E11" s="67" t="s">
        <v>732</v>
      </c>
      <c r="F11" s="67" t="s">
        <v>810</v>
      </c>
      <c r="G11" s="67" t="s">
        <v>1597</v>
      </c>
      <c r="H11" s="67"/>
      <c r="I11" s="67" t="s">
        <v>41</v>
      </c>
      <c r="J11" s="67" t="s">
        <v>71</v>
      </c>
      <c r="K11" s="67" t="s">
        <v>1603</v>
      </c>
      <c r="L11" s="67" t="s">
        <v>787</v>
      </c>
      <c r="M11" s="67" t="s">
        <v>752</v>
      </c>
      <c r="N11" s="67" t="s">
        <v>1604</v>
      </c>
      <c r="O11" s="67" t="s">
        <v>1605</v>
      </c>
      <c r="P11" s="67"/>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67">
        <v>0</v>
      </c>
      <c r="AQ11" s="67">
        <v>0</v>
      </c>
      <c r="AR11" s="67">
        <v>0</v>
      </c>
      <c r="AS11" s="67">
        <v>0</v>
      </c>
      <c r="AT11" s="67"/>
      <c r="AU11" s="67"/>
      <c r="AV11" s="67"/>
      <c r="AW11" s="67">
        <v>0</v>
      </c>
      <c r="AX11" s="67">
        <v>0</v>
      </c>
      <c r="AY11" s="67"/>
      <c r="AZ11" s="67"/>
      <c r="BA11" s="67"/>
      <c r="BB11" s="67"/>
      <c r="BC11" s="67"/>
      <c r="BD11" s="67"/>
      <c r="BE11" s="67"/>
      <c r="BG11" s="67"/>
      <c r="BH11" s="67"/>
      <c r="BI11" s="67"/>
      <c r="BJ11" s="67">
        <v>0</v>
      </c>
      <c r="BK11" s="67"/>
      <c r="BL11" s="67"/>
      <c r="BP11" s="67"/>
      <c r="BQ11" s="67">
        <v>0</v>
      </c>
      <c r="BR11" s="67"/>
      <c r="BS11" s="67"/>
      <c r="BT11" s="67">
        <v>0</v>
      </c>
      <c r="BU11" s="67"/>
      <c r="BV11" s="67"/>
      <c r="BW11" s="67">
        <v>0</v>
      </c>
      <c r="BX11" s="67">
        <v>0</v>
      </c>
      <c r="BY11" s="67">
        <v>0</v>
      </c>
      <c r="BZ11" s="67">
        <v>0</v>
      </c>
      <c r="CA11" s="67"/>
      <c r="CB11" s="67">
        <v>0</v>
      </c>
      <c r="CC11" s="67"/>
      <c r="CD11" s="67"/>
      <c r="CE11" s="67">
        <v>0</v>
      </c>
      <c r="CF11" s="67">
        <v>0</v>
      </c>
      <c r="CG11" s="67"/>
      <c r="CH11" s="67"/>
      <c r="CI11" s="67"/>
      <c r="CJ11" s="67"/>
      <c r="CK11" s="67">
        <v>0</v>
      </c>
      <c r="CL11" s="67">
        <v>0</v>
      </c>
      <c r="CM11" s="67"/>
      <c r="CN11" s="67"/>
      <c r="CO11" s="67">
        <v>0</v>
      </c>
      <c r="CP11" s="67">
        <v>0</v>
      </c>
      <c r="CQ11" s="67"/>
      <c r="CR11" s="67"/>
      <c r="CS11" s="67"/>
      <c r="CT11" s="67"/>
      <c r="CU11" s="67">
        <v>0</v>
      </c>
      <c r="CV11" s="67"/>
      <c r="CW11" s="67"/>
      <c r="CX11" s="67"/>
      <c r="CY11" s="67">
        <v>0</v>
      </c>
      <c r="CZ11" s="67"/>
      <c r="DA11" s="67"/>
      <c r="DB11" s="67"/>
      <c r="DC11" s="67"/>
      <c r="DF11" s="67"/>
      <c r="DG11" s="67">
        <v>0</v>
      </c>
      <c r="DH11" s="67">
        <v>0</v>
      </c>
      <c r="DI11" s="67">
        <v>0</v>
      </c>
      <c r="DJ11" s="67"/>
      <c r="DK11" s="67">
        <v>0</v>
      </c>
      <c r="DL11" s="67">
        <v>0</v>
      </c>
      <c r="DM11" s="67">
        <v>0</v>
      </c>
      <c r="DN11" s="67"/>
      <c r="DO11" s="67"/>
      <c r="DP11" s="67"/>
      <c r="DQ11" s="67">
        <v>0</v>
      </c>
      <c r="DR11" s="67">
        <v>0</v>
      </c>
      <c r="DS11" s="67"/>
      <c r="DT11" s="67"/>
      <c r="DU11" s="67">
        <v>0</v>
      </c>
      <c r="DV11" s="67">
        <v>0</v>
      </c>
      <c r="DW11" s="67">
        <v>0</v>
      </c>
      <c r="DX11" s="67">
        <v>0</v>
      </c>
      <c r="DY11" s="67"/>
      <c r="DZ11" s="67">
        <v>0</v>
      </c>
      <c r="EA11" s="67"/>
      <c r="EB11" s="67">
        <v>0</v>
      </c>
      <c r="EC11" s="67"/>
      <c r="ED11" s="67">
        <v>0</v>
      </c>
      <c r="EE11" s="67"/>
      <c r="EF11" s="67">
        <v>0</v>
      </c>
      <c r="EG11" s="67"/>
      <c r="EH11" s="67"/>
      <c r="EI11" s="67"/>
      <c r="EJ11" s="67"/>
      <c r="EK11" s="67"/>
      <c r="EL11" s="67"/>
      <c r="EM11" s="67"/>
      <c r="EN11" s="67"/>
      <c r="EO11" s="67"/>
      <c r="EP11" s="67">
        <v>0</v>
      </c>
      <c r="EQ11" s="67">
        <v>0</v>
      </c>
      <c r="ER11" s="67">
        <v>0</v>
      </c>
      <c r="ES11" s="67"/>
      <c r="ET11">
        <v>0</v>
      </c>
      <c r="EX11" s="67"/>
      <c r="EY11" s="67"/>
      <c r="EZ11" s="67"/>
      <c r="FA11" s="67">
        <v>0</v>
      </c>
      <c r="FB11" s="67"/>
      <c r="FC11" s="67"/>
      <c r="FD11" s="67"/>
      <c r="FE11" s="67"/>
      <c r="FF11" s="67"/>
      <c r="FG11" s="67"/>
      <c r="FH11" s="67"/>
      <c r="FI11" s="67" t="s">
        <v>1600</v>
      </c>
    </row>
    <row r="12" spans="2:170" ht="24" x14ac:dyDescent="0.2">
      <c r="B12" s="67" t="s">
        <v>307</v>
      </c>
      <c r="C12" s="67" t="s">
        <v>307</v>
      </c>
      <c r="D12" s="67" t="s">
        <v>308</v>
      </c>
      <c r="E12" s="67" t="s">
        <v>13</v>
      </c>
      <c r="F12" s="67" t="s">
        <v>766</v>
      </c>
      <c r="G12" s="67" t="s">
        <v>1597</v>
      </c>
      <c r="H12" s="67"/>
      <c r="I12" s="67" t="s">
        <v>41</v>
      </c>
      <c r="J12" s="67" t="s">
        <v>68</v>
      </c>
      <c r="K12" s="67" t="s">
        <v>1059</v>
      </c>
      <c r="L12" s="67" t="s">
        <v>767</v>
      </c>
      <c r="M12" s="67" t="s">
        <v>752</v>
      </c>
      <c r="N12" s="67" t="s">
        <v>1598</v>
      </c>
      <c r="O12" s="67" t="s">
        <v>1599</v>
      </c>
      <c r="P12" s="67"/>
      <c r="Q12" s="67">
        <v>160</v>
      </c>
      <c r="R12" s="67">
        <v>0</v>
      </c>
      <c r="S12" s="67">
        <v>0</v>
      </c>
      <c r="T12" s="67">
        <v>0</v>
      </c>
      <c r="U12" s="67">
        <v>0</v>
      </c>
      <c r="V12" s="67">
        <v>0</v>
      </c>
      <c r="W12" s="67">
        <v>0</v>
      </c>
      <c r="X12" s="67">
        <v>0</v>
      </c>
      <c r="Y12" s="67">
        <v>0</v>
      </c>
      <c r="Z12" s="67">
        <v>0</v>
      </c>
      <c r="AA12" s="67">
        <v>0</v>
      </c>
      <c r="AB12" s="67">
        <v>0</v>
      </c>
      <c r="AC12" s="67">
        <v>0</v>
      </c>
      <c r="AD12" s="67">
        <v>0</v>
      </c>
      <c r="AE12" s="67">
        <v>0</v>
      </c>
      <c r="AF12" s="67">
        <v>0</v>
      </c>
      <c r="AG12" s="67">
        <v>160</v>
      </c>
      <c r="AH12" s="67">
        <v>0</v>
      </c>
      <c r="AI12" s="67">
        <v>0</v>
      </c>
      <c r="AJ12" s="67">
        <v>0</v>
      </c>
      <c r="AK12" s="67">
        <v>0</v>
      </c>
      <c r="AL12" s="67">
        <v>0</v>
      </c>
      <c r="AM12" s="67">
        <v>0</v>
      </c>
      <c r="AN12" s="67">
        <v>0</v>
      </c>
      <c r="AO12" s="67">
        <v>0</v>
      </c>
      <c r="AP12" s="67">
        <v>0</v>
      </c>
      <c r="AQ12" s="67">
        <v>0</v>
      </c>
      <c r="AR12" s="67">
        <v>0</v>
      </c>
      <c r="AS12" s="67">
        <v>0</v>
      </c>
      <c r="AT12" s="67"/>
      <c r="AU12" s="67"/>
      <c r="AV12" s="67"/>
      <c r="AW12" s="67">
        <v>0</v>
      </c>
      <c r="AX12" s="67">
        <v>0</v>
      </c>
      <c r="AY12" s="67"/>
      <c r="AZ12" s="67"/>
      <c r="BA12" s="67"/>
      <c r="BB12" s="67"/>
      <c r="BC12" s="67"/>
      <c r="BD12" s="67"/>
      <c r="BE12" s="67"/>
      <c r="BG12" s="67"/>
      <c r="BH12" s="67"/>
      <c r="BI12" s="67"/>
      <c r="BJ12" s="67">
        <v>0</v>
      </c>
      <c r="BK12" s="67"/>
      <c r="BL12" s="67"/>
      <c r="BP12" s="67"/>
      <c r="BQ12" s="67">
        <v>0</v>
      </c>
      <c r="BR12" s="67"/>
      <c r="BS12" s="67"/>
      <c r="BT12" s="67">
        <v>0</v>
      </c>
      <c r="BU12" s="67"/>
      <c r="BV12" s="67"/>
      <c r="BW12" s="67">
        <v>0</v>
      </c>
      <c r="BX12" s="67">
        <v>0</v>
      </c>
      <c r="BY12" s="67">
        <v>0</v>
      </c>
      <c r="BZ12" s="67">
        <v>0</v>
      </c>
      <c r="CA12" s="67"/>
      <c r="CB12" s="67">
        <v>0</v>
      </c>
      <c r="CC12" s="67"/>
      <c r="CD12" s="67"/>
      <c r="CE12" s="67">
        <v>0</v>
      </c>
      <c r="CF12" s="67">
        <v>0</v>
      </c>
      <c r="CG12" s="67"/>
      <c r="CH12" s="67"/>
      <c r="CI12" s="67"/>
      <c r="CJ12" s="67"/>
      <c r="CK12" s="67">
        <v>0</v>
      </c>
      <c r="CL12" s="67">
        <v>0</v>
      </c>
      <c r="CM12" s="67"/>
      <c r="CN12" s="67"/>
      <c r="CO12" s="67">
        <v>0</v>
      </c>
      <c r="CP12" s="67">
        <v>0</v>
      </c>
      <c r="CQ12" s="67"/>
      <c r="CR12" s="67"/>
      <c r="CS12" s="67"/>
      <c r="CT12" s="67"/>
      <c r="CU12" s="67">
        <v>0</v>
      </c>
      <c r="CV12" s="67"/>
      <c r="CW12" s="67"/>
      <c r="CX12" s="67"/>
      <c r="CY12" s="67">
        <v>0</v>
      </c>
      <c r="CZ12" s="67"/>
      <c r="DA12" s="67"/>
      <c r="DB12" s="67"/>
      <c r="DC12" s="67"/>
      <c r="DF12" s="67"/>
      <c r="DG12" s="67">
        <v>0</v>
      </c>
      <c r="DH12" s="67">
        <v>0</v>
      </c>
      <c r="DI12" s="67">
        <v>0</v>
      </c>
      <c r="DJ12" s="67"/>
      <c r="DK12" s="67">
        <v>0</v>
      </c>
      <c r="DL12" s="67">
        <v>0</v>
      </c>
      <c r="DM12" s="67">
        <v>0</v>
      </c>
      <c r="DN12" s="67"/>
      <c r="DO12" s="67"/>
      <c r="DP12" s="67"/>
      <c r="DQ12" s="67">
        <v>0</v>
      </c>
      <c r="DR12" s="67">
        <v>0</v>
      </c>
      <c r="DS12" s="67"/>
      <c r="DT12" s="67"/>
      <c r="DU12" s="67">
        <v>0</v>
      </c>
      <c r="DV12" s="67">
        <v>0</v>
      </c>
      <c r="DW12" s="67">
        <v>0</v>
      </c>
      <c r="DX12" s="67">
        <v>0</v>
      </c>
      <c r="DY12" s="67"/>
      <c r="DZ12" s="67">
        <v>0</v>
      </c>
      <c r="EA12" s="67"/>
      <c r="EB12" s="67">
        <v>0</v>
      </c>
      <c r="EC12" s="67"/>
      <c r="ED12" s="67">
        <v>0</v>
      </c>
      <c r="EE12" s="67"/>
      <c r="EF12" s="67">
        <v>0</v>
      </c>
      <c r="EG12" s="67"/>
      <c r="EH12" s="67"/>
      <c r="EI12" s="67"/>
      <c r="EJ12" s="67"/>
      <c r="EK12" s="67"/>
      <c r="EL12" s="67"/>
      <c r="EM12" s="67"/>
      <c r="EN12" s="67"/>
      <c r="EO12" s="67"/>
      <c r="EP12" s="67">
        <v>0</v>
      </c>
      <c r="EQ12" s="67">
        <v>0</v>
      </c>
      <c r="ER12" s="67">
        <v>0</v>
      </c>
      <c r="ES12" s="67"/>
      <c r="ET12">
        <v>0</v>
      </c>
      <c r="EX12" s="67"/>
      <c r="EY12" s="67"/>
      <c r="EZ12" s="67"/>
      <c r="FA12" s="67">
        <v>160</v>
      </c>
      <c r="FB12" s="67"/>
      <c r="FC12" s="67"/>
      <c r="FD12" s="67"/>
      <c r="FE12" s="67"/>
      <c r="FF12" s="67"/>
      <c r="FG12" s="67"/>
      <c r="FH12" s="67"/>
      <c r="FI12" s="67" t="s">
        <v>1600</v>
      </c>
    </row>
    <row r="13" spans="2:170" ht="24" x14ac:dyDescent="0.2">
      <c r="B13" s="67" t="s">
        <v>309</v>
      </c>
      <c r="C13" s="67" t="s">
        <v>309</v>
      </c>
      <c r="D13" s="67" t="s">
        <v>310</v>
      </c>
      <c r="E13" s="67" t="s">
        <v>13</v>
      </c>
      <c r="F13" s="67" t="s">
        <v>766</v>
      </c>
      <c r="G13" s="67" t="s">
        <v>1597</v>
      </c>
      <c r="H13" s="67"/>
      <c r="I13" s="67" t="s">
        <v>41</v>
      </c>
      <c r="J13" s="67" t="s">
        <v>68</v>
      </c>
      <c r="K13" s="67" t="s">
        <v>1059</v>
      </c>
      <c r="L13" s="67" t="s">
        <v>767</v>
      </c>
      <c r="M13" s="67" t="s">
        <v>752</v>
      </c>
      <c r="N13" s="67" t="s">
        <v>1598</v>
      </c>
      <c r="O13" s="67" t="s">
        <v>1606</v>
      </c>
      <c r="P13" s="67"/>
      <c r="Q13" s="67">
        <v>920</v>
      </c>
      <c r="R13" s="67">
        <v>0</v>
      </c>
      <c r="S13" s="67">
        <v>0</v>
      </c>
      <c r="T13" s="67">
        <v>0</v>
      </c>
      <c r="U13" s="67">
        <v>0</v>
      </c>
      <c r="V13" s="67">
        <v>0</v>
      </c>
      <c r="W13" s="67">
        <v>0</v>
      </c>
      <c r="X13" s="67">
        <v>0</v>
      </c>
      <c r="Y13" s="67">
        <v>0</v>
      </c>
      <c r="Z13" s="67">
        <v>0</v>
      </c>
      <c r="AA13" s="67">
        <v>0</v>
      </c>
      <c r="AB13" s="67">
        <v>0</v>
      </c>
      <c r="AC13" s="67">
        <v>0</v>
      </c>
      <c r="AD13" s="67">
        <v>0</v>
      </c>
      <c r="AE13" s="67">
        <v>0</v>
      </c>
      <c r="AF13" s="67">
        <v>0</v>
      </c>
      <c r="AG13" s="67">
        <v>920</v>
      </c>
      <c r="AH13" s="67">
        <v>0</v>
      </c>
      <c r="AI13" s="67">
        <v>0</v>
      </c>
      <c r="AJ13" s="67">
        <v>0</v>
      </c>
      <c r="AK13" s="67">
        <v>0</v>
      </c>
      <c r="AL13" s="67">
        <v>0</v>
      </c>
      <c r="AM13" s="67">
        <v>0</v>
      </c>
      <c r="AN13" s="67">
        <v>0</v>
      </c>
      <c r="AO13" s="67">
        <v>0</v>
      </c>
      <c r="AP13" s="67">
        <v>0</v>
      </c>
      <c r="AQ13" s="67">
        <v>0</v>
      </c>
      <c r="AR13" s="67">
        <v>0</v>
      </c>
      <c r="AS13" s="67">
        <v>0</v>
      </c>
      <c r="AT13" s="67"/>
      <c r="AU13" s="67"/>
      <c r="AV13" s="67"/>
      <c r="AW13" s="67">
        <v>0</v>
      </c>
      <c r="AX13" s="67">
        <v>0</v>
      </c>
      <c r="AY13" s="67"/>
      <c r="AZ13" s="67"/>
      <c r="BA13" s="67"/>
      <c r="BB13" s="67"/>
      <c r="BC13" s="67"/>
      <c r="BD13" s="67"/>
      <c r="BE13" s="67"/>
      <c r="BG13" s="67"/>
      <c r="BH13" s="67"/>
      <c r="BI13" s="67"/>
      <c r="BJ13" s="67">
        <v>0</v>
      </c>
      <c r="BK13" s="67"/>
      <c r="BL13" s="67"/>
      <c r="BP13" s="67"/>
      <c r="BQ13" s="67">
        <v>0</v>
      </c>
      <c r="BR13" s="67"/>
      <c r="BS13" s="67"/>
      <c r="BT13" s="67">
        <v>0</v>
      </c>
      <c r="BU13" s="67"/>
      <c r="BV13" s="67"/>
      <c r="BW13" s="67">
        <v>0</v>
      </c>
      <c r="BX13" s="67">
        <v>0</v>
      </c>
      <c r="BY13" s="67">
        <v>0</v>
      </c>
      <c r="BZ13" s="67">
        <v>0</v>
      </c>
      <c r="CA13" s="67"/>
      <c r="CB13" s="67">
        <v>0</v>
      </c>
      <c r="CC13" s="67"/>
      <c r="CD13" s="67"/>
      <c r="CE13" s="67">
        <v>0</v>
      </c>
      <c r="CF13" s="67">
        <v>0</v>
      </c>
      <c r="CG13" s="67"/>
      <c r="CH13" s="67"/>
      <c r="CI13" s="67"/>
      <c r="CJ13" s="67"/>
      <c r="CK13" s="67">
        <v>0</v>
      </c>
      <c r="CL13" s="67">
        <v>0</v>
      </c>
      <c r="CM13" s="67"/>
      <c r="CN13" s="67"/>
      <c r="CO13" s="67">
        <v>0</v>
      </c>
      <c r="CP13" s="67">
        <v>0</v>
      </c>
      <c r="CQ13" s="67"/>
      <c r="CR13" s="67"/>
      <c r="CS13" s="67"/>
      <c r="CT13" s="67"/>
      <c r="CU13" s="67">
        <v>0</v>
      </c>
      <c r="CV13" s="67"/>
      <c r="CW13" s="67"/>
      <c r="CX13" s="67"/>
      <c r="CY13" s="67">
        <v>0</v>
      </c>
      <c r="CZ13" s="67"/>
      <c r="DA13" s="67"/>
      <c r="DB13" s="67"/>
      <c r="DC13" s="67"/>
      <c r="DF13" s="67"/>
      <c r="DG13" s="67">
        <v>20</v>
      </c>
      <c r="DH13" s="67">
        <v>20</v>
      </c>
      <c r="DI13" s="67">
        <v>0</v>
      </c>
      <c r="DJ13" s="67"/>
      <c r="DK13" s="67">
        <v>0</v>
      </c>
      <c r="DL13" s="67">
        <v>0</v>
      </c>
      <c r="DM13" s="67">
        <v>0</v>
      </c>
      <c r="DN13" s="67"/>
      <c r="DO13" s="67"/>
      <c r="DP13" s="67"/>
      <c r="DQ13" s="67">
        <v>0</v>
      </c>
      <c r="DR13" s="67">
        <v>0</v>
      </c>
      <c r="DS13" s="67"/>
      <c r="DT13" s="67"/>
      <c r="DU13" s="67">
        <v>0</v>
      </c>
      <c r="DV13" s="67">
        <v>0</v>
      </c>
      <c r="DW13" s="67">
        <v>0</v>
      </c>
      <c r="DX13" s="67">
        <v>0</v>
      </c>
      <c r="DY13" s="67"/>
      <c r="DZ13" s="67">
        <v>0</v>
      </c>
      <c r="EA13" s="67"/>
      <c r="EB13" s="67">
        <v>0</v>
      </c>
      <c r="EC13" s="67"/>
      <c r="ED13" s="67">
        <v>0</v>
      </c>
      <c r="EE13" s="67"/>
      <c r="EF13" s="67">
        <v>0</v>
      </c>
      <c r="EG13" s="67"/>
      <c r="EH13" s="67"/>
      <c r="EI13" s="67"/>
      <c r="EJ13" s="67"/>
      <c r="EK13" s="67"/>
      <c r="EL13" s="67"/>
      <c r="EM13" s="67"/>
      <c r="EN13" s="67"/>
      <c r="EO13" s="67"/>
      <c r="EP13" s="67">
        <v>0</v>
      </c>
      <c r="EQ13" s="67">
        <v>0</v>
      </c>
      <c r="ER13" s="67">
        <v>0</v>
      </c>
      <c r="ES13" s="67"/>
      <c r="ET13">
        <v>0</v>
      </c>
      <c r="EX13" s="67"/>
      <c r="EY13" s="67"/>
      <c r="EZ13" s="67"/>
      <c r="FA13" s="67">
        <v>940</v>
      </c>
      <c r="FB13" s="67"/>
      <c r="FC13" s="67"/>
      <c r="FD13" s="67"/>
      <c r="FE13" s="67"/>
      <c r="FF13" s="67"/>
      <c r="FG13" s="67"/>
      <c r="FH13" s="67"/>
      <c r="FI13" s="67" t="s">
        <v>1600</v>
      </c>
    </row>
    <row r="14" spans="2:170" ht="24" x14ac:dyDescent="0.2">
      <c r="B14" s="67" t="s">
        <v>311</v>
      </c>
      <c r="C14" s="67" t="s">
        <v>311</v>
      </c>
      <c r="D14" s="67" t="s">
        <v>312</v>
      </c>
      <c r="E14" s="67" t="s">
        <v>13</v>
      </c>
      <c r="F14" s="67" t="s">
        <v>766</v>
      </c>
      <c r="G14" s="67" t="s">
        <v>1597</v>
      </c>
      <c r="H14" s="67"/>
      <c r="I14" s="67" t="s">
        <v>41</v>
      </c>
      <c r="J14" s="67" t="s">
        <v>68</v>
      </c>
      <c r="K14" s="67" t="s">
        <v>1059</v>
      </c>
      <c r="L14" s="67" t="s">
        <v>767</v>
      </c>
      <c r="M14" s="67" t="s">
        <v>752</v>
      </c>
      <c r="N14" s="67" t="s">
        <v>1607</v>
      </c>
      <c r="O14" s="67" t="s">
        <v>1599</v>
      </c>
      <c r="P14" s="67" t="s">
        <v>298</v>
      </c>
      <c r="Q14" s="67">
        <v>500</v>
      </c>
      <c r="R14" s="67">
        <v>0</v>
      </c>
      <c r="S14" s="67">
        <v>0</v>
      </c>
      <c r="T14" s="67">
        <v>0</v>
      </c>
      <c r="U14" s="67">
        <v>0</v>
      </c>
      <c r="V14" s="67">
        <v>0</v>
      </c>
      <c r="W14" s="67">
        <v>0</v>
      </c>
      <c r="X14" s="67">
        <v>0</v>
      </c>
      <c r="Y14" s="67">
        <v>0</v>
      </c>
      <c r="Z14" s="67">
        <v>0</v>
      </c>
      <c r="AA14" s="67">
        <v>0</v>
      </c>
      <c r="AB14" s="67">
        <v>0</v>
      </c>
      <c r="AC14" s="67">
        <v>0</v>
      </c>
      <c r="AD14" s="67">
        <v>0</v>
      </c>
      <c r="AE14" s="67">
        <v>0</v>
      </c>
      <c r="AF14" s="67">
        <v>0</v>
      </c>
      <c r="AG14" s="67">
        <v>500</v>
      </c>
      <c r="AH14" s="67">
        <v>0</v>
      </c>
      <c r="AI14" s="67">
        <v>0</v>
      </c>
      <c r="AJ14" s="67">
        <v>0</v>
      </c>
      <c r="AK14" s="67">
        <v>0</v>
      </c>
      <c r="AL14" s="67">
        <v>0</v>
      </c>
      <c r="AM14" s="67">
        <v>0</v>
      </c>
      <c r="AN14" s="67">
        <v>0</v>
      </c>
      <c r="AO14" s="67">
        <v>0</v>
      </c>
      <c r="AP14" s="67">
        <v>0</v>
      </c>
      <c r="AQ14" s="67">
        <v>0</v>
      </c>
      <c r="AR14" s="67">
        <v>0</v>
      </c>
      <c r="AS14" s="67">
        <v>0</v>
      </c>
      <c r="AT14" s="67"/>
      <c r="AU14" s="67"/>
      <c r="AV14" s="67"/>
      <c r="AW14" s="67">
        <v>0</v>
      </c>
      <c r="AX14" s="67">
        <v>0</v>
      </c>
      <c r="AY14" s="67"/>
      <c r="AZ14" s="67"/>
      <c r="BA14" s="67"/>
      <c r="BB14" s="67"/>
      <c r="BC14" s="67"/>
      <c r="BD14" s="67"/>
      <c r="BE14" s="67"/>
      <c r="BG14" s="67"/>
      <c r="BH14" s="67"/>
      <c r="BI14" s="67"/>
      <c r="BJ14" s="67">
        <v>0</v>
      </c>
      <c r="BK14" s="67"/>
      <c r="BL14" s="67"/>
      <c r="BP14" s="67"/>
      <c r="BQ14" s="67">
        <v>0</v>
      </c>
      <c r="BR14" s="67"/>
      <c r="BS14" s="67"/>
      <c r="BT14" s="67">
        <v>0</v>
      </c>
      <c r="BU14" s="67"/>
      <c r="BV14" s="67"/>
      <c r="BW14" s="67">
        <v>0</v>
      </c>
      <c r="BX14" s="67">
        <v>0</v>
      </c>
      <c r="BY14" s="67">
        <v>0</v>
      </c>
      <c r="BZ14" s="67">
        <v>0</v>
      </c>
      <c r="CA14" s="67"/>
      <c r="CB14" s="67">
        <v>0</v>
      </c>
      <c r="CC14" s="67"/>
      <c r="CD14" s="67"/>
      <c r="CE14" s="67">
        <v>0</v>
      </c>
      <c r="CF14" s="67">
        <v>0</v>
      </c>
      <c r="CG14" s="67"/>
      <c r="CH14" s="67"/>
      <c r="CI14" s="67"/>
      <c r="CJ14" s="67"/>
      <c r="CK14" s="67">
        <v>0</v>
      </c>
      <c r="CL14" s="67">
        <v>0</v>
      </c>
      <c r="CM14" s="67"/>
      <c r="CN14" s="67"/>
      <c r="CO14" s="67">
        <v>0</v>
      </c>
      <c r="CP14" s="67">
        <v>0</v>
      </c>
      <c r="CQ14" s="67"/>
      <c r="CR14" s="67"/>
      <c r="CS14" s="67"/>
      <c r="CT14" s="67"/>
      <c r="CU14" s="67">
        <v>0</v>
      </c>
      <c r="CV14" s="67"/>
      <c r="CW14" s="67"/>
      <c r="CX14" s="67"/>
      <c r="CY14" s="67">
        <v>0</v>
      </c>
      <c r="CZ14" s="67"/>
      <c r="DA14" s="67"/>
      <c r="DB14" s="67"/>
      <c r="DC14" s="67"/>
      <c r="DF14" s="67"/>
      <c r="DG14" s="67">
        <v>0</v>
      </c>
      <c r="DH14" s="67">
        <v>0</v>
      </c>
      <c r="DI14" s="67">
        <v>0</v>
      </c>
      <c r="DJ14" s="67"/>
      <c r="DK14" s="67">
        <v>200</v>
      </c>
      <c r="DL14" s="67"/>
      <c r="DM14" s="67">
        <v>100</v>
      </c>
      <c r="DN14" s="67"/>
      <c r="DO14" s="67"/>
      <c r="DP14" s="67"/>
      <c r="DQ14" s="67">
        <v>100</v>
      </c>
      <c r="DR14" s="67">
        <v>26</v>
      </c>
      <c r="DS14" s="67"/>
      <c r="DT14" s="67"/>
      <c r="DU14" s="67">
        <v>0</v>
      </c>
      <c r="DV14" s="67">
        <v>0</v>
      </c>
      <c r="DW14" s="67">
        <v>74</v>
      </c>
      <c r="DX14" s="67">
        <v>0</v>
      </c>
      <c r="DY14" s="67"/>
      <c r="DZ14" s="67">
        <v>0</v>
      </c>
      <c r="EA14" s="67"/>
      <c r="EB14" s="67">
        <v>0</v>
      </c>
      <c r="EC14" s="67"/>
      <c r="ED14" s="67">
        <v>0</v>
      </c>
      <c r="EE14" s="67"/>
      <c r="EF14" s="67">
        <v>0</v>
      </c>
      <c r="EG14" s="67"/>
      <c r="EH14" s="67"/>
      <c r="EI14" s="67"/>
      <c r="EJ14" s="67"/>
      <c r="EK14" s="67"/>
      <c r="EL14" s="67"/>
      <c r="EM14" s="67"/>
      <c r="EN14" s="67"/>
      <c r="EO14" s="67"/>
      <c r="EP14" s="67">
        <v>0</v>
      </c>
      <c r="EQ14" s="67">
        <v>0</v>
      </c>
      <c r="ER14" s="67">
        <v>0</v>
      </c>
      <c r="ES14" s="67"/>
      <c r="ET14">
        <v>0</v>
      </c>
      <c r="EX14" s="67"/>
      <c r="EY14" s="67"/>
      <c r="EZ14" s="67"/>
      <c r="FA14" s="67">
        <v>700</v>
      </c>
      <c r="FB14" s="67"/>
      <c r="FC14" s="67"/>
      <c r="FD14" s="67"/>
      <c r="FE14" s="67"/>
      <c r="FF14" s="67"/>
      <c r="FG14" s="67"/>
      <c r="FH14" s="67"/>
      <c r="FI14" s="67" t="s">
        <v>1600</v>
      </c>
    </row>
    <row r="15" spans="2:170" ht="24" x14ac:dyDescent="0.2">
      <c r="B15" s="67" t="s">
        <v>313</v>
      </c>
      <c r="C15" s="67" t="s">
        <v>313</v>
      </c>
      <c r="D15" s="67" t="s">
        <v>314</v>
      </c>
      <c r="E15" s="67" t="s">
        <v>13</v>
      </c>
      <c r="F15" s="67" t="s">
        <v>766</v>
      </c>
      <c r="G15" s="67" t="s">
        <v>1597</v>
      </c>
      <c r="H15" s="67"/>
      <c r="I15" s="67" t="s">
        <v>41</v>
      </c>
      <c r="J15" s="67" t="s">
        <v>68</v>
      </c>
      <c r="K15" s="67" t="s">
        <v>1059</v>
      </c>
      <c r="L15" s="67" t="s">
        <v>767</v>
      </c>
      <c r="M15" s="67" t="s">
        <v>752</v>
      </c>
      <c r="N15" s="67" t="s">
        <v>1607</v>
      </c>
      <c r="O15" s="67" t="s">
        <v>1608</v>
      </c>
      <c r="P15" s="67"/>
      <c r="Q15" s="67">
        <v>920</v>
      </c>
      <c r="R15" s="67">
        <v>0</v>
      </c>
      <c r="S15" s="67">
        <v>0</v>
      </c>
      <c r="T15" s="67">
        <v>0</v>
      </c>
      <c r="U15" s="67">
        <v>0</v>
      </c>
      <c r="V15" s="67">
        <v>0</v>
      </c>
      <c r="W15" s="67">
        <v>0</v>
      </c>
      <c r="X15" s="67">
        <v>0</v>
      </c>
      <c r="Y15" s="67">
        <v>0</v>
      </c>
      <c r="Z15" s="67">
        <v>0</v>
      </c>
      <c r="AA15" s="67">
        <v>0</v>
      </c>
      <c r="AB15" s="67">
        <v>0</v>
      </c>
      <c r="AC15" s="67">
        <v>0</v>
      </c>
      <c r="AD15" s="67">
        <v>0</v>
      </c>
      <c r="AE15" s="67">
        <v>0</v>
      </c>
      <c r="AF15" s="67">
        <v>0</v>
      </c>
      <c r="AG15" s="67">
        <v>920</v>
      </c>
      <c r="AH15" s="67">
        <v>0</v>
      </c>
      <c r="AI15" s="67">
        <v>0</v>
      </c>
      <c r="AJ15" s="67">
        <v>0</v>
      </c>
      <c r="AK15" s="67">
        <v>0</v>
      </c>
      <c r="AL15" s="67">
        <v>0</v>
      </c>
      <c r="AM15" s="67">
        <v>0</v>
      </c>
      <c r="AN15" s="67">
        <v>0</v>
      </c>
      <c r="AO15" s="67">
        <v>0</v>
      </c>
      <c r="AP15" s="67">
        <v>0</v>
      </c>
      <c r="AQ15" s="67">
        <v>0</v>
      </c>
      <c r="AR15" s="67">
        <v>0</v>
      </c>
      <c r="AS15" s="67">
        <v>0</v>
      </c>
      <c r="AT15" s="67"/>
      <c r="AU15" s="67"/>
      <c r="AV15" s="67"/>
      <c r="AW15" s="67">
        <v>0</v>
      </c>
      <c r="AX15" s="67">
        <v>0</v>
      </c>
      <c r="AY15" s="67"/>
      <c r="AZ15" s="67"/>
      <c r="BA15" s="67"/>
      <c r="BB15" s="67"/>
      <c r="BC15" s="67"/>
      <c r="BD15" s="67"/>
      <c r="BE15" s="67"/>
      <c r="BG15" s="67"/>
      <c r="BH15" s="67"/>
      <c r="BI15" s="67"/>
      <c r="BJ15" s="67">
        <v>0</v>
      </c>
      <c r="BK15" s="67"/>
      <c r="BL15" s="67"/>
      <c r="BP15" s="67"/>
      <c r="BQ15" s="67">
        <v>0</v>
      </c>
      <c r="BR15" s="67"/>
      <c r="BS15" s="67"/>
      <c r="BT15" s="67">
        <v>0</v>
      </c>
      <c r="BU15" s="67"/>
      <c r="BV15" s="67"/>
      <c r="BW15" s="67">
        <v>0</v>
      </c>
      <c r="BX15" s="67">
        <v>0</v>
      </c>
      <c r="BY15" s="67">
        <v>0</v>
      </c>
      <c r="BZ15" s="67">
        <v>0</v>
      </c>
      <c r="CA15" s="67"/>
      <c r="CB15" s="67">
        <v>0</v>
      </c>
      <c r="CC15" s="67"/>
      <c r="CD15" s="67"/>
      <c r="CE15" s="67">
        <v>0</v>
      </c>
      <c r="CF15" s="67">
        <v>0</v>
      </c>
      <c r="CG15" s="67"/>
      <c r="CH15" s="67"/>
      <c r="CI15" s="67"/>
      <c r="CJ15" s="67"/>
      <c r="CK15" s="67">
        <v>0</v>
      </c>
      <c r="CL15" s="67">
        <v>0</v>
      </c>
      <c r="CM15" s="67"/>
      <c r="CN15" s="67"/>
      <c r="CO15" s="67">
        <v>0</v>
      </c>
      <c r="CP15" s="67">
        <v>0</v>
      </c>
      <c r="CQ15" s="67"/>
      <c r="CR15" s="67"/>
      <c r="CS15" s="67"/>
      <c r="CT15" s="67"/>
      <c r="CU15" s="67">
        <v>0</v>
      </c>
      <c r="CV15" s="67"/>
      <c r="CW15" s="67"/>
      <c r="CX15" s="67"/>
      <c r="CY15" s="67">
        <v>0</v>
      </c>
      <c r="CZ15" s="67"/>
      <c r="DA15" s="67"/>
      <c r="DB15" s="67"/>
      <c r="DC15" s="67"/>
      <c r="DF15" s="67"/>
      <c r="DG15" s="67">
        <v>0</v>
      </c>
      <c r="DH15" s="67">
        <v>0</v>
      </c>
      <c r="DI15" s="67">
        <v>0</v>
      </c>
      <c r="DJ15" s="67"/>
      <c r="DK15" s="67">
        <v>0</v>
      </c>
      <c r="DL15" s="67">
        <v>0</v>
      </c>
      <c r="DM15" s="67">
        <v>0</v>
      </c>
      <c r="DN15" s="67"/>
      <c r="DO15" s="67"/>
      <c r="DP15" s="67"/>
      <c r="DQ15" s="67">
        <v>0</v>
      </c>
      <c r="DR15" s="67">
        <v>0</v>
      </c>
      <c r="DS15" s="67"/>
      <c r="DT15" s="67"/>
      <c r="DU15" s="67">
        <v>0</v>
      </c>
      <c r="DV15" s="67">
        <v>0</v>
      </c>
      <c r="DW15" s="67">
        <v>0</v>
      </c>
      <c r="DX15" s="67">
        <v>0</v>
      </c>
      <c r="DY15" s="67"/>
      <c r="DZ15" s="67">
        <v>0</v>
      </c>
      <c r="EA15" s="67"/>
      <c r="EB15" s="67">
        <v>0</v>
      </c>
      <c r="EC15" s="67"/>
      <c r="ED15" s="67">
        <v>0</v>
      </c>
      <c r="EE15" s="67"/>
      <c r="EF15" s="67">
        <v>0</v>
      </c>
      <c r="EG15" s="67"/>
      <c r="EH15" s="67"/>
      <c r="EI15" s="67"/>
      <c r="EJ15" s="67"/>
      <c r="EK15" s="67"/>
      <c r="EL15" s="67"/>
      <c r="EM15" s="67"/>
      <c r="EN15" s="67"/>
      <c r="EO15" s="67"/>
      <c r="EP15" s="67">
        <v>0</v>
      </c>
      <c r="EQ15" s="67">
        <v>0</v>
      </c>
      <c r="ER15" s="67">
        <v>0</v>
      </c>
      <c r="ES15" s="67"/>
      <c r="ET15">
        <v>0</v>
      </c>
      <c r="EX15" s="67"/>
      <c r="EY15" s="67"/>
      <c r="EZ15" s="67"/>
      <c r="FA15" s="67">
        <v>920</v>
      </c>
      <c r="FB15" s="67"/>
      <c r="FC15" s="67"/>
      <c r="FD15" s="67"/>
      <c r="FE15" s="67"/>
      <c r="FF15" s="67"/>
      <c r="FG15" s="67"/>
      <c r="FH15" s="67"/>
      <c r="FI15" s="67" t="s">
        <v>1600</v>
      </c>
    </row>
    <row r="16" spans="2:170" ht="24" x14ac:dyDescent="0.2">
      <c r="B16" s="67" t="s">
        <v>315</v>
      </c>
      <c r="C16" s="67" t="s">
        <v>315</v>
      </c>
      <c r="D16" s="67" t="s">
        <v>316</v>
      </c>
      <c r="E16" s="67" t="s">
        <v>13</v>
      </c>
      <c r="F16" s="67" t="s">
        <v>898</v>
      </c>
      <c r="G16" s="67" t="s">
        <v>1597</v>
      </c>
      <c r="H16" s="67"/>
      <c r="I16" s="67" t="s">
        <v>41</v>
      </c>
      <c r="J16" s="67" t="s">
        <v>71</v>
      </c>
      <c r="K16" s="67" t="s">
        <v>1609</v>
      </c>
      <c r="L16" s="67" t="s">
        <v>779</v>
      </c>
      <c r="M16" s="67" t="s">
        <v>752</v>
      </c>
      <c r="N16" s="67" t="s">
        <v>1607</v>
      </c>
      <c r="O16" s="67" t="s">
        <v>1599</v>
      </c>
      <c r="P16" s="67"/>
      <c r="Q16" s="67">
        <v>50</v>
      </c>
      <c r="R16" s="67">
        <v>0</v>
      </c>
      <c r="S16" s="67">
        <v>0</v>
      </c>
      <c r="T16" s="67">
        <v>0</v>
      </c>
      <c r="U16" s="67">
        <v>0</v>
      </c>
      <c r="V16" s="67">
        <v>0</v>
      </c>
      <c r="W16" s="67">
        <v>0</v>
      </c>
      <c r="X16" s="67">
        <v>0</v>
      </c>
      <c r="Y16" s="67">
        <v>0</v>
      </c>
      <c r="Z16" s="67">
        <v>0</v>
      </c>
      <c r="AA16" s="67">
        <v>0</v>
      </c>
      <c r="AB16" s="67">
        <v>0</v>
      </c>
      <c r="AC16" s="67">
        <v>0</v>
      </c>
      <c r="AD16" s="67">
        <v>0</v>
      </c>
      <c r="AE16" s="67">
        <v>0</v>
      </c>
      <c r="AF16" s="67">
        <v>0</v>
      </c>
      <c r="AG16" s="67">
        <v>0</v>
      </c>
      <c r="AH16" s="67">
        <v>0</v>
      </c>
      <c r="AI16" s="67">
        <v>50</v>
      </c>
      <c r="AJ16" s="67">
        <v>0</v>
      </c>
      <c r="AK16" s="67">
        <v>0</v>
      </c>
      <c r="AL16" s="67">
        <v>0</v>
      </c>
      <c r="AM16" s="67">
        <v>0</v>
      </c>
      <c r="AN16" s="67">
        <v>0</v>
      </c>
      <c r="AO16" s="67">
        <v>0</v>
      </c>
      <c r="AP16" s="67">
        <v>0</v>
      </c>
      <c r="AQ16" s="67">
        <v>0</v>
      </c>
      <c r="AR16" s="67">
        <v>0</v>
      </c>
      <c r="AS16" s="67">
        <v>0</v>
      </c>
      <c r="AT16" s="67"/>
      <c r="AU16" s="67"/>
      <c r="AV16" s="67"/>
      <c r="AW16" s="67">
        <v>0</v>
      </c>
      <c r="AX16" s="67">
        <v>0</v>
      </c>
      <c r="AY16" s="67"/>
      <c r="AZ16" s="67"/>
      <c r="BA16" s="67"/>
      <c r="BB16" s="67"/>
      <c r="BC16" s="67"/>
      <c r="BD16" s="67"/>
      <c r="BE16" s="67"/>
      <c r="BG16" s="67"/>
      <c r="BH16" s="67"/>
      <c r="BI16" s="67"/>
      <c r="BJ16" s="67">
        <v>0</v>
      </c>
      <c r="BK16" s="67"/>
      <c r="BL16" s="67"/>
      <c r="BP16" s="67"/>
      <c r="BQ16" s="67">
        <v>0</v>
      </c>
      <c r="BR16" s="67"/>
      <c r="BS16" s="67"/>
      <c r="BT16" s="67">
        <v>0</v>
      </c>
      <c r="BU16" s="67"/>
      <c r="BV16" s="67"/>
      <c r="BW16" s="67">
        <v>0</v>
      </c>
      <c r="BX16" s="67">
        <v>0</v>
      </c>
      <c r="BY16" s="67">
        <v>0</v>
      </c>
      <c r="BZ16" s="67">
        <v>0</v>
      </c>
      <c r="CA16" s="67"/>
      <c r="CB16" s="67">
        <v>0</v>
      </c>
      <c r="CC16" s="67"/>
      <c r="CD16" s="67"/>
      <c r="CE16" s="67">
        <v>0</v>
      </c>
      <c r="CF16" s="67">
        <v>0</v>
      </c>
      <c r="CG16" s="67"/>
      <c r="CH16" s="67"/>
      <c r="CI16" s="67"/>
      <c r="CJ16" s="67"/>
      <c r="CK16" s="67">
        <v>0</v>
      </c>
      <c r="CL16" s="67">
        <v>0</v>
      </c>
      <c r="CM16" s="67"/>
      <c r="CN16" s="67"/>
      <c r="CO16" s="67">
        <v>0</v>
      </c>
      <c r="CP16" s="67">
        <v>0</v>
      </c>
      <c r="CQ16" s="67"/>
      <c r="CR16" s="67"/>
      <c r="CS16" s="67"/>
      <c r="CT16" s="67"/>
      <c r="CU16" s="67">
        <v>0</v>
      </c>
      <c r="CV16" s="67"/>
      <c r="CW16" s="67"/>
      <c r="CX16" s="67"/>
      <c r="CY16" s="67">
        <v>0</v>
      </c>
      <c r="CZ16" s="67"/>
      <c r="DA16" s="67"/>
      <c r="DB16" s="67"/>
      <c r="DC16" s="67"/>
      <c r="DF16" s="67"/>
      <c r="DG16" s="67">
        <v>0</v>
      </c>
      <c r="DH16" s="67">
        <v>0</v>
      </c>
      <c r="DI16" s="67">
        <v>0</v>
      </c>
      <c r="DJ16" s="67"/>
      <c r="DK16" s="67">
        <v>0</v>
      </c>
      <c r="DL16" s="67">
        <v>0</v>
      </c>
      <c r="DM16" s="67">
        <v>0</v>
      </c>
      <c r="DN16" s="67"/>
      <c r="DO16" s="67"/>
      <c r="DP16" s="67"/>
      <c r="DQ16" s="67">
        <v>0</v>
      </c>
      <c r="DR16" s="67">
        <v>0</v>
      </c>
      <c r="DS16" s="67"/>
      <c r="DT16" s="67"/>
      <c r="DU16" s="67">
        <v>0</v>
      </c>
      <c r="DV16" s="67">
        <v>0</v>
      </c>
      <c r="DW16" s="67">
        <v>0</v>
      </c>
      <c r="DX16" s="67">
        <v>0</v>
      </c>
      <c r="DY16" s="67"/>
      <c r="DZ16" s="67">
        <v>0</v>
      </c>
      <c r="EA16" s="67"/>
      <c r="EB16" s="67">
        <v>0</v>
      </c>
      <c r="EC16" s="67"/>
      <c r="ED16" s="67">
        <v>0</v>
      </c>
      <c r="EE16" s="67"/>
      <c r="EF16" s="67">
        <v>0</v>
      </c>
      <c r="EG16" s="67"/>
      <c r="EH16" s="67"/>
      <c r="EI16" s="67"/>
      <c r="EJ16" s="67"/>
      <c r="EK16" s="67"/>
      <c r="EL16" s="67"/>
      <c r="EM16" s="67"/>
      <c r="EN16" s="67"/>
      <c r="EO16" s="67"/>
      <c r="EP16" s="67">
        <v>0</v>
      </c>
      <c r="EQ16" s="67">
        <v>0</v>
      </c>
      <c r="ER16" s="67">
        <v>0</v>
      </c>
      <c r="ES16" s="67"/>
      <c r="ET16">
        <v>0</v>
      </c>
      <c r="EX16" s="67"/>
      <c r="EY16" s="67"/>
      <c r="EZ16" s="67"/>
      <c r="FA16" s="67">
        <v>50</v>
      </c>
      <c r="FB16" s="67"/>
      <c r="FC16" s="67"/>
      <c r="FD16" s="67"/>
      <c r="FE16" s="67"/>
      <c r="FF16" s="67"/>
      <c r="FG16" s="67"/>
      <c r="FH16" s="67"/>
      <c r="FI16" s="67" t="s">
        <v>1600</v>
      </c>
    </row>
    <row r="17" spans="2:165" x14ac:dyDescent="0.2">
      <c r="B17" s="67" t="s">
        <v>317</v>
      </c>
      <c r="C17" s="67" t="s">
        <v>317</v>
      </c>
      <c r="D17" s="67" t="s">
        <v>318</v>
      </c>
      <c r="E17" s="67" t="s">
        <v>23</v>
      </c>
      <c r="F17" s="67" t="s">
        <v>766</v>
      </c>
      <c r="G17" s="67" t="s">
        <v>1597</v>
      </c>
      <c r="H17" s="67"/>
      <c r="I17" s="67" t="s">
        <v>43</v>
      </c>
      <c r="J17" s="67" t="s">
        <v>68</v>
      </c>
      <c r="K17" s="67" t="s">
        <v>1059</v>
      </c>
      <c r="L17" s="67" t="s">
        <v>767</v>
      </c>
      <c r="M17" s="67" t="s">
        <v>752</v>
      </c>
      <c r="N17" s="67" t="s">
        <v>1604</v>
      </c>
      <c r="O17" s="67" t="s">
        <v>1599</v>
      </c>
      <c r="P17" s="67"/>
      <c r="Q17" s="67">
        <v>575</v>
      </c>
      <c r="R17" s="67">
        <v>0</v>
      </c>
      <c r="S17" s="67">
        <v>0</v>
      </c>
      <c r="T17" s="67">
        <v>0</v>
      </c>
      <c r="U17" s="67">
        <v>0</v>
      </c>
      <c r="V17" s="67">
        <v>0</v>
      </c>
      <c r="W17" s="67">
        <v>0</v>
      </c>
      <c r="X17" s="67">
        <v>0</v>
      </c>
      <c r="Y17" s="67">
        <v>0</v>
      </c>
      <c r="Z17" s="67">
        <v>0</v>
      </c>
      <c r="AA17" s="67">
        <v>0</v>
      </c>
      <c r="AB17" s="67">
        <v>0</v>
      </c>
      <c r="AC17" s="67">
        <v>0</v>
      </c>
      <c r="AD17" s="67">
        <v>0</v>
      </c>
      <c r="AE17" s="67">
        <v>0</v>
      </c>
      <c r="AF17" s="67">
        <v>0</v>
      </c>
      <c r="AG17" s="67">
        <v>325</v>
      </c>
      <c r="AH17" s="67">
        <v>0</v>
      </c>
      <c r="AI17" s="67">
        <v>0</v>
      </c>
      <c r="AJ17" s="67">
        <v>0</v>
      </c>
      <c r="AK17" s="67">
        <v>0</v>
      </c>
      <c r="AL17" s="67">
        <v>0</v>
      </c>
      <c r="AM17" s="67">
        <v>0</v>
      </c>
      <c r="AN17" s="67">
        <v>250</v>
      </c>
      <c r="AO17" s="67">
        <v>0</v>
      </c>
      <c r="AP17" s="67">
        <v>0</v>
      </c>
      <c r="AQ17" s="67">
        <v>0</v>
      </c>
      <c r="AR17" s="67">
        <v>0</v>
      </c>
      <c r="AS17" s="67">
        <v>0</v>
      </c>
      <c r="AT17" s="67"/>
      <c r="AU17" s="67"/>
      <c r="AV17" s="67"/>
      <c r="AW17" s="67">
        <v>0</v>
      </c>
      <c r="AX17" s="67">
        <v>0</v>
      </c>
      <c r="AY17" s="67"/>
      <c r="AZ17" s="67"/>
      <c r="BA17" s="67"/>
      <c r="BB17" s="67"/>
      <c r="BC17" s="67"/>
      <c r="BD17" s="67"/>
      <c r="BE17" s="67"/>
      <c r="BG17" s="67"/>
      <c r="BH17" s="67"/>
      <c r="BI17" s="67"/>
      <c r="BJ17" s="67">
        <v>0</v>
      </c>
      <c r="BK17" s="67"/>
      <c r="BL17" s="67"/>
      <c r="BP17" s="67"/>
      <c r="BQ17" s="67">
        <v>0</v>
      </c>
      <c r="BR17" s="67"/>
      <c r="BS17" s="67"/>
      <c r="BT17" s="67">
        <v>0</v>
      </c>
      <c r="BU17" s="67"/>
      <c r="BV17" s="67"/>
      <c r="BW17" s="67">
        <v>0</v>
      </c>
      <c r="BX17" s="67">
        <v>0</v>
      </c>
      <c r="BY17" s="67">
        <v>0</v>
      </c>
      <c r="BZ17" s="67">
        <v>0</v>
      </c>
      <c r="CA17" s="67"/>
      <c r="CB17" s="67">
        <v>0</v>
      </c>
      <c r="CC17" s="67"/>
      <c r="CD17" s="67"/>
      <c r="CE17" s="67">
        <v>0</v>
      </c>
      <c r="CF17" s="67">
        <v>0</v>
      </c>
      <c r="CG17" s="67"/>
      <c r="CH17" s="67"/>
      <c r="CI17" s="67"/>
      <c r="CJ17" s="67"/>
      <c r="CK17" s="67">
        <v>0</v>
      </c>
      <c r="CL17" s="67">
        <v>0</v>
      </c>
      <c r="CM17" s="67"/>
      <c r="CN17" s="67"/>
      <c r="CO17" s="67">
        <v>0</v>
      </c>
      <c r="CP17" s="67">
        <v>0</v>
      </c>
      <c r="CQ17" s="67"/>
      <c r="CR17" s="67"/>
      <c r="CS17" s="67"/>
      <c r="CT17" s="67"/>
      <c r="CU17" s="67">
        <v>0</v>
      </c>
      <c r="CV17" s="67"/>
      <c r="CW17" s="67"/>
      <c r="CX17" s="67"/>
      <c r="CY17" s="67">
        <v>0</v>
      </c>
      <c r="CZ17" s="67"/>
      <c r="DA17" s="67"/>
      <c r="DB17" s="67"/>
      <c r="DC17" s="67"/>
      <c r="DF17" s="67"/>
      <c r="DG17" s="67">
        <v>0</v>
      </c>
      <c r="DH17" s="67">
        <v>0</v>
      </c>
      <c r="DI17" s="67">
        <v>0</v>
      </c>
      <c r="DJ17" s="67"/>
      <c r="DK17" s="67">
        <v>0</v>
      </c>
      <c r="DL17" s="67">
        <v>0</v>
      </c>
      <c r="DM17" s="67">
        <v>0</v>
      </c>
      <c r="DN17" s="67"/>
      <c r="DO17" s="67"/>
      <c r="DP17" s="67"/>
      <c r="DQ17" s="67">
        <v>0</v>
      </c>
      <c r="DR17" s="67">
        <v>0</v>
      </c>
      <c r="DS17" s="67"/>
      <c r="DT17" s="67"/>
      <c r="DU17" s="67">
        <v>0</v>
      </c>
      <c r="DV17" s="67">
        <v>0</v>
      </c>
      <c r="DW17" s="67">
        <v>0</v>
      </c>
      <c r="DX17" s="67">
        <v>0</v>
      </c>
      <c r="DY17" s="67"/>
      <c r="DZ17" s="67">
        <v>0</v>
      </c>
      <c r="EA17" s="67"/>
      <c r="EB17" s="67">
        <v>0</v>
      </c>
      <c r="EC17" s="67"/>
      <c r="ED17" s="67">
        <v>0</v>
      </c>
      <c r="EE17" s="67"/>
      <c r="EF17" s="67">
        <v>0</v>
      </c>
      <c r="EG17" s="67"/>
      <c r="EH17" s="67"/>
      <c r="EI17" s="67"/>
      <c r="EJ17" s="67"/>
      <c r="EK17" s="67"/>
      <c r="EL17" s="67"/>
      <c r="EM17" s="67"/>
      <c r="EN17" s="67"/>
      <c r="EO17" s="67"/>
      <c r="EP17" s="67">
        <v>0</v>
      </c>
      <c r="EQ17" s="67">
        <v>0</v>
      </c>
      <c r="ER17" s="67">
        <v>0</v>
      </c>
      <c r="ES17" s="67"/>
      <c r="ET17">
        <v>0</v>
      </c>
      <c r="EX17" s="67"/>
      <c r="EY17" s="67"/>
      <c r="EZ17" s="67"/>
      <c r="FA17" s="67">
        <v>575</v>
      </c>
      <c r="FB17" s="67"/>
      <c r="FC17" s="67"/>
      <c r="FD17" s="67"/>
      <c r="FE17" s="67"/>
      <c r="FF17" s="67"/>
      <c r="FG17" s="67"/>
      <c r="FH17" s="67"/>
      <c r="FI17" s="67" t="s">
        <v>1600</v>
      </c>
    </row>
    <row r="18" spans="2:165" x14ac:dyDescent="0.2">
      <c r="B18" s="67" t="s">
        <v>319</v>
      </c>
      <c r="C18" s="67" t="s">
        <v>319</v>
      </c>
      <c r="D18" s="67" t="s">
        <v>320</v>
      </c>
      <c r="E18" s="67" t="s">
        <v>23</v>
      </c>
      <c r="F18" s="67" t="s">
        <v>984</v>
      </c>
      <c r="G18" s="67" t="s">
        <v>1597</v>
      </c>
      <c r="H18" s="67"/>
      <c r="I18" s="67" t="s">
        <v>43</v>
      </c>
      <c r="J18" s="67" t="s">
        <v>64</v>
      </c>
      <c r="K18" s="67" t="s">
        <v>985</v>
      </c>
      <c r="L18" s="67" t="s">
        <v>934</v>
      </c>
      <c r="M18" s="67" t="s">
        <v>752</v>
      </c>
      <c r="N18" s="67" t="s">
        <v>1598</v>
      </c>
      <c r="O18" s="67" t="s">
        <v>1610</v>
      </c>
      <c r="P18" s="67"/>
      <c r="Q18" s="67">
        <v>250</v>
      </c>
      <c r="R18" s="67">
        <v>0</v>
      </c>
      <c r="S18" s="67">
        <v>250</v>
      </c>
      <c r="T18" s="67">
        <v>0</v>
      </c>
      <c r="U18" s="67">
        <v>0</v>
      </c>
      <c r="V18" s="67">
        <v>0</v>
      </c>
      <c r="W18" s="67">
        <v>0</v>
      </c>
      <c r="X18" s="67">
        <v>0</v>
      </c>
      <c r="Y18" s="67">
        <v>0</v>
      </c>
      <c r="Z18" s="67">
        <v>0</v>
      </c>
      <c r="AA18" s="67">
        <v>0</v>
      </c>
      <c r="AB18" s="67">
        <v>0</v>
      </c>
      <c r="AC18" s="67">
        <v>0</v>
      </c>
      <c r="AD18" s="67">
        <v>0</v>
      </c>
      <c r="AE18" s="67">
        <v>0</v>
      </c>
      <c r="AF18" s="67">
        <v>0</v>
      </c>
      <c r="AG18" s="67">
        <v>0</v>
      </c>
      <c r="AH18" s="67">
        <v>0</v>
      </c>
      <c r="AI18" s="67">
        <v>0</v>
      </c>
      <c r="AJ18" s="67">
        <v>0</v>
      </c>
      <c r="AK18" s="67">
        <v>0</v>
      </c>
      <c r="AL18" s="67">
        <v>0</v>
      </c>
      <c r="AM18" s="67">
        <v>0</v>
      </c>
      <c r="AN18" s="67">
        <v>0</v>
      </c>
      <c r="AO18" s="67">
        <v>0</v>
      </c>
      <c r="AP18" s="67">
        <v>0</v>
      </c>
      <c r="AQ18" s="67">
        <v>0</v>
      </c>
      <c r="AR18" s="67">
        <v>0</v>
      </c>
      <c r="AS18" s="67">
        <v>0</v>
      </c>
      <c r="AT18" s="67"/>
      <c r="AU18" s="67"/>
      <c r="AV18" s="67"/>
      <c r="AW18" s="67">
        <v>0</v>
      </c>
      <c r="AX18" s="67">
        <v>0</v>
      </c>
      <c r="AY18" s="67"/>
      <c r="AZ18" s="67"/>
      <c r="BA18" s="67"/>
      <c r="BB18" s="67"/>
      <c r="BC18" s="67"/>
      <c r="BD18" s="67"/>
      <c r="BE18" s="67"/>
      <c r="BG18" s="67"/>
      <c r="BH18" s="67"/>
      <c r="BI18" s="67"/>
      <c r="BJ18" s="67">
        <v>0</v>
      </c>
      <c r="BK18" s="67"/>
      <c r="BL18" s="67"/>
      <c r="BP18" s="67"/>
      <c r="BQ18" s="67">
        <v>0</v>
      </c>
      <c r="BR18" s="67"/>
      <c r="BS18" s="67"/>
      <c r="BT18" s="67">
        <v>0</v>
      </c>
      <c r="BU18" s="67"/>
      <c r="BV18" s="67"/>
      <c r="BW18" s="67">
        <v>0</v>
      </c>
      <c r="BX18" s="67">
        <v>0</v>
      </c>
      <c r="BY18" s="67">
        <v>0</v>
      </c>
      <c r="BZ18" s="67">
        <v>0</v>
      </c>
      <c r="CA18" s="67"/>
      <c r="CB18" s="67">
        <v>0</v>
      </c>
      <c r="CC18" s="67"/>
      <c r="CD18" s="67"/>
      <c r="CE18" s="67">
        <v>0</v>
      </c>
      <c r="CF18" s="67">
        <v>0</v>
      </c>
      <c r="CG18" s="67"/>
      <c r="CH18" s="67"/>
      <c r="CI18" s="67"/>
      <c r="CJ18" s="67"/>
      <c r="CK18" s="67">
        <v>0</v>
      </c>
      <c r="CL18" s="67">
        <v>0</v>
      </c>
      <c r="CM18" s="67"/>
      <c r="CN18" s="67"/>
      <c r="CO18" s="67">
        <v>0</v>
      </c>
      <c r="CP18" s="67">
        <v>0</v>
      </c>
      <c r="CQ18" s="67"/>
      <c r="CR18" s="67"/>
      <c r="CS18" s="67"/>
      <c r="CT18" s="67"/>
      <c r="CU18" s="67">
        <v>0</v>
      </c>
      <c r="CV18" s="67"/>
      <c r="CW18" s="67"/>
      <c r="CX18" s="67"/>
      <c r="CY18" s="67">
        <v>0</v>
      </c>
      <c r="CZ18" s="67"/>
      <c r="DA18" s="67"/>
      <c r="DB18" s="67"/>
      <c r="DC18" s="67"/>
      <c r="DF18" s="67"/>
      <c r="DG18" s="67">
        <v>0</v>
      </c>
      <c r="DH18" s="67">
        <v>0</v>
      </c>
      <c r="DI18" s="67">
        <v>0</v>
      </c>
      <c r="DJ18" s="67"/>
      <c r="DK18" s="67">
        <v>0</v>
      </c>
      <c r="DL18" s="67">
        <v>0</v>
      </c>
      <c r="DM18" s="67">
        <v>0</v>
      </c>
      <c r="DN18" s="67"/>
      <c r="DO18" s="67"/>
      <c r="DP18" s="67"/>
      <c r="DQ18" s="67">
        <v>0</v>
      </c>
      <c r="DR18" s="67">
        <v>0</v>
      </c>
      <c r="DS18" s="67"/>
      <c r="DT18" s="67"/>
      <c r="DU18" s="67">
        <v>0</v>
      </c>
      <c r="DV18" s="67">
        <v>0</v>
      </c>
      <c r="DW18" s="67">
        <v>0</v>
      </c>
      <c r="DX18" s="67">
        <v>0</v>
      </c>
      <c r="DY18" s="67"/>
      <c r="DZ18" s="67">
        <v>0</v>
      </c>
      <c r="EA18" s="67"/>
      <c r="EB18" s="67">
        <v>0</v>
      </c>
      <c r="EC18" s="67"/>
      <c r="ED18" s="67">
        <v>0</v>
      </c>
      <c r="EE18" s="67"/>
      <c r="EF18" s="67">
        <v>0</v>
      </c>
      <c r="EG18" s="67"/>
      <c r="EH18" s="67"/>
      <c r="EI18" s="67"/>
      <c r="EJ18" s="67"/>
      <c r="EK18" s="67"/>
      <c r="EL18" s="67"/>
      <c r="EM18" s="67"/>
      <c r="EN18" s="67"/>
      <c r="EO18" s="67"/>
      <c r="EP18" s="67">
        <v>0</v>
      </c>
      <c r="EQ18" s="67">
        <v>0</v>
      </c>
      <c r="ER18" s="67">
        <v>0</v>
      </c>
      <c r="ES18" s="67"/>
      <c r="ET18">
        <v>0</v>
      </c>
      <c r="EX18" s="67"/>
      <c r="EY18" s="67"/>
      <c r="EZ18" s="67"/>
      <c r="FA18" s="67">
        <v>250</v>
      </c>
      <c r="FB18" s="67"/>
      <c r="FC18" s="67"/>
      <c r="FD18" s="67"/>
      <c r="FE18" s="67"/>
      <c r="FF18" s="67"/>
      <c r="FG18" s="67"/>
      <c r="FH18" s="67"/>
      <c r="FI18" s="67" t="s">
        <v>1600</v>
      </c>
    </row>
    <row r="19" spans="2:165" x14ac:dyDescent="0.2">
      <c r="B19" s="67" t="s">
        <v>321</v>
      </c>
      <c r="C19" s="67" t="s">
        <v>321</v>
      </c>
      <c r="D19" s="67" t="s">
        <v>322</v>
      </c>
      <c r="E19" s="67" t="s">
        <v>23</v>
      </c>
      <c r="F19" s="67" t="s">
        <v>984</v>
      </c>
      <c r="G19" s="67" t="s">
        <v>1597</v>
      </c>
      <c r="H19" s="67"/>
      <c r="I19" s="67" t="s">
        <v>43</v>
      </c>
      <c r="J19" s="67" t="s">
        <v>64</v>
      </c>
      <c r="K19" s="67" t="s">
        <v>985</v>
      </c>
      <c r="L19" s="67" t="s">
        <v>934</v>
      </c>
      <c r="M19" s="67" t="s">
        <v>752</v>
      </c>
      <c r="N19" s="67" t="s">
        <v>1607</v>
      </c>
      <c r="O19" s="67" t="s">
        <v>1599</v>
      </c>
      <c r="P19" s="67"/>
      <c r="Q19" s="67">
        <v>375</v>
      </c>
      <c r="R19" s="67">
        <v>0</v>
      </c>
      <c r="S19" s="67">
        <v>375</v>
      </c>
      <c r="T19" s="67">
        <v>0</v>
      </c>
      <c r="U19" s="67">
        <v>0</v>
      </c>
      <c r="V19" s="67">
        <v>0</v>
      </c>
      <c r="W19" s="67">
        <v>0</v>
      </c>
      <c r="X19" s="67">
        <v>0</v>
      </c>
      <c r="Y19" s="67">
        <v>0</v>
      </c>
      <c r="Z19" s="67">
        <v>0</v>
      </c>
      <c r="AA19" s="67">
        <v>0</v>
      </c>
      <c r="AB19" s="67">
        <v>0</v>
      </c>
      <c r="AC19" s="67">
        <v>0</v>
      </c>
      <c r="AD19" s="67">
        <v>0</v>
      </c>
      <c r="AE19" s="67">
        <v>0</v>
      </c>
      <c r="AF19" s="67">
        <v>0</v>
      </c>
      <c r="AG19" s="67">
        <v>0</v>
      </c>
      <c r="AH19" s="67">
        <v>0</v>
      </c>
      <c r="AI19" s="67">
        <v>0</v>
      </c>
      <c r="AJ19" s="67">
        <v>0</v>
      </c>
      <c r="AK19" s="67">
        <v>0</v>
      </c>
      <c r="AL19" s="67">
        <v>0</v>
      </c>
      <c r="AM19" s="67">
        <v>0</v>
      </c>
      <c r="AN19" s="67">
        <v>0</v>
      </c>
      <c r="AO19" s="67">
        <v>0</v>
      </c>
      <c r="AP19" s="67">
        <v>0</v>
      </c>
      <c r="AQ19" s="67">
        <v>0</v>
      </c>
      <c r="AR19" s="67">
        <v>0</v>
      </c>
      <c r="AS19" s="67">
        <v>0</v>
      </c>
      <c r="AT19" s="67"/>
      <c r="AU19" s="67"/>
      <c r="AV19" s="67"/>
      <c r="AW19" s="67">
        <v>0</v>
      </c>
      <c r="AX19" s="67">
        <v>0</v>
      </c>
      <c r="AY19" s="67"/>
      <c r="AZ19" s="67"/>
      <c r="BA19" s="67"/>
      <c r="BB19" s="67"/>
      <c r="BC19" s="67"/>
      <c r="BD19" s="67"/>
      <c r="BE19" s="67"/>
      <c r="BG19" s="67"/>
      <c r="BH19" s="67"/>
      <c r="BI19" s="67"/>
      <c r="BJ19" s="67">
        <v>0</v>
      </c>
      <c r="BK19" s="67"/>
      <c r="BL19" s="67"/>
      <c r="BP19" s="67"/>
      <c r="BQ19" s="67">
        <v>0</v>
      </c>
      <c r="BR19" s="67"/>
      <c r="BS19" s="67"/>
      <c r="BT19" s="67">
        <v>0</v>
      </c>
      <c r="BU19" s="67"/>
      <c r="BV19" s="67"/>
      <c r="BW19" s="67">
        <v>0</v>
      </c>
      <c r="BX19" s="67">
        <v>0</v>
      </c>
      <c r="BY19" s="67">
        <v>0</v>
      </c>
      <c r="BZ19" s="67">
        <v>0</v>
      </c>
      <c r="CA19" s="67"/>
      <c r="CB19" s="67">
        <v>0</v>
      </c>
      <c r="CC19" s="67"/>
      <c r="CD19" s="67"/>
      <c r="CE19" s="67">
        <v>0</v>
      </c>
      <c r="CF19" s="67">
        <v>0</v>
      </c>
      <c r="CG19" s="67"/>
      <c r="CH19" s="67"/>
      <c r="CI19" s="67"/>
      <c r="CJ19" s="67"/>
      <c r="CK19" s="67">
        <v>0</v>
      </c>
      <c r="CL19" s="67">
        <v>0</v>
      </c>
      <c r="CM19" s="67"/>
      <c r="CN19" s="67"/>
      <c r="CO19" s="67">
        <v>0</v>
      </c>
      <c r="CP19" s="67">
        <v>0</v>
      </c>
      <c r="CQ19" s="67"/>
      <c r="CR19" s="67"/>
      <c r="CS19" s="67"/>
      <c r="CT19" s="67"/>
      <c r="CU19" s="67">
        <v>0</v>
      </c>
      <c r="CV19" s="67"/>
      <c r="CW19" s="67"/>
      <c r="CX19" s="67"/>
      <c r="CY19" s="67">
        <v>0</v>
      </c>
      <c r="CZ19" s="67"/>
      <c r="DA19" s="67"/>
      <c r="DB19" s="67"/>
      <c r="DC19" s="67"/>
      <c r="DF19" s="67"/>
      <c r="DG19" s="67">
        <v>0</v>
      </c>
      <c r="DH19" s="67">
        <v>0</v>
      </c>
      <c r="DI19" s="67">
        <v>0</v>
      </c>
      <c r="DJ19" s="67"/>
      <c r="DK19" s="67">
        <v>0</v>
      </c>
      <c r="DL19" s="67">
        <v>0</v>
      </c>
      <c r="DM19" s="67">
        <v>0</v>
      </c>
      <c r="DN19" s="67"/>
      <c r="DO19" s="67"/>
      <c r="DP19" s="67"/>
      <c r="DQ19" s="67">
        <v>0</v>
      </c>
      <c r="DR19" s="67">
        <v>0</v>
      </c>
      <c r="DS19" s="67"/>
      <c r="DT19" s="67"/>
      <c r="DU19" s="67">
        <v>0</v>
      </c>
      <c r="DV19" s="67">
        <v>0</v>
      </c>
      <c r="DW19" s="67">
        <v>0</v>
      </c>
      <c r="DX19" s="67">
        <v>0</v>
      </c>
      <c r="DY19" s="67"/>
      <c r="DZ19" s="67">
        <v>0</v>
      </c>
      <c r="EA19" s="67"/>
      <c r="EB19" s="67">
        <v>0</v>
      </c>
      <c r="EC19" s="67"/>
      <c r="ED19" s="67">
        <v>0</v>
      </c>
      <c r="EE19" s="67"/>
      <c r="EF19" s="67">
        <v>0</v>
      </c>
      <c r="EG19" s="67"/>
      <c r="EH19" s="67"/>
      <c r="EI19" s="67"/>
      <c r="EJ19" s="67"/>
      <c r="EK19" s="67"/>
      <c r="EL19" s="67"/>
      <c r="EM19" s="67"/>
      <c r="EN19" s="67"/>
      <c r="EO19" s="67"/>
      <c r="EP19" s="67">
        <v>0</v>
      </c>
      <c r="EQ19" s="67">
        <v>0</v>
      </c>
      <c r="ER19" s="67">
        <v>0</v>
      </c>
      <c r="ES19" s="67"/>
      <c r="ET19">
        <v>0</v>
      </c>
      <c r="EX19" s="67"/>
      <c r="EY19" s="67"/>
      <c r="EZ19" s="67"/>
      <c r="FA19" s="67">
        <v>375</v>
      </c>
      <c r="FB19" s="67"/>
      <c r="FC19" s="67"/>
      <c r="FD19" s="67"/>
      <c r="FE19" s="67"/>
      <c r="FF19" s="67"/>
      <c r="FG19" s="67"/>
      <c r="FH19" s="67"/>
      <c r="FI19" s="67" t="s">
        <v>1600</v>
      </c>
    </row>
    <row r="20" spans="2:165" ht="24" x14ac:dyDescent="0.2">
      <c r="B20" s="67" t="s">
        <v>323</v>
      </c>
      <c r="C20" s="67" t="s">
        <v>323</v>
      </c>
      <c r="D20" s="67" t="s">
        <v>324</v>
      </c>
      <c r="E20" s="67" t="s">
        <v>13</v>
      </c>
      <c r="F20" s="67" t="s">
        <v>984</v>
      </c>
      <c r="G20" s="67" t="s">
        <v>1597</v>
      </c>
      <c r="H20" s="67"/>
      <c r="I20" s="67" t="s">
        <v>22</v>
      </c>
      <c r="J20" s="67" t="s">
        <v>64</v>
      </c>
      <c r="K20" s="67" t="s">
        <v>985</v>
      </c>
      <c r="L20" s="67" t="s">
        <v>934</v>
      </c>
      <c r="M20" s="67" t="s">
        <v>752</v>
      </c>
      <c r="N20" s="67" t="s">
        <v>1598</v>
      </c>
      <c r="O20" s="67" t="s">
        <v>1608</v>
      </c>
      <c r="P20" s="67"/>
      <c r="Q20" s="67">
        <v>550</v>
      </c>
      <c r="R20" s="67">
        <v>0</v>
      </c>
      <c r="S20" s="67">
        <v>550</v>
      </c>
      <c r="T20" s="67">
        <v>0</v>
      </c>
      <c r="U20" s="67">
        <v>0</v>
      </c>
      <c r="V20" s="67">
        <v>0</v>
      </c>
      <c r="W20" s="67">
        <v>0</v>
      </c>
      <c r="X20" s="67">
        <v>0</v>
      </c>
      <c r="Y20" s="67">
        <v>0</v>
      </c>
      <c r="Z20" s="67">
        <v>0</v>
      </c>
      <c r="AA20" s="67">
        <v>0</v>
      </c>
      <c r="AB20" s="67">
        <v>0</v>
      </c>
      <c r="AC20" s="67">
        <v>0</v>
      </c>
      <c r="AD20" s="67">
        <v>0</v>
      </c>
      <c r="AE20" s="67">
        <v>0</v>
      </c>
      <c r="AF20" s="67">
        <v>0</v>
      </c>
      <c r="AG20" s="67">
        <v>0</v>
      </c>
      <c r="AH20" s="67">
        <v>0</v>
      </c>
      <c r="AI20" s="67">
        <v>0</v>
      </c>
      <c r="AJ20" s="67">
        <v>0</v>
      </c>
      <c r="AK20" s="67">
        <v>0</v>
      </c>
      <c r="AL20" s="67">
        <v>0</v>
      </c>
      <c r="AM20" s="67">
        <v>0</v>
      </c>
      <c r="AN20" s="67">
        <v>0</v>
      </c>
      <c r="AO20" s="67">
        <v>0</v>
      </c>
      <c r="AP20" s="67">
        <v>0</v>
      </c>
      <c r="AQ20" s="67">
        <v>0</v>
      </c>
      <c r="AR20" s="67">
        <v>0</v>
      </c>
      <c r="AS20" s="67">
        <v>0</v>
      </c>
      <c r="AT20" s="67"/>
      <c r="AU20" s="67"/>
      <c r="AV20" s="67"/>
      <c r="AW20" s="67">
        <v>0</v>
      </c>
      <c r="AX20" s="67">
        <v>0</v>
      </c>
      <c r="AY20" s="67"/>
      <c r="AZ20" s="67"/>
      <c r="BA20" s="67"/>
      <c r="BB20" s="67"/>
      <c r="BC20" s="67"/>
      <c r="BD20" s="67"/>
      <c r="BE20" s="67"/>
      <c r="BG20" s="67"/>
      <c r="BH20" s="67"/>
      <c r="BI20" s="67"/>
      <c r="BJ20" s="67">
        <v>0</v>
      </c>
      <c r="BK20" s="67"/>
      <c r="BL20" s="67"/>
      <c r="BP20" s="67"/>
      <c r="BQ20" s="67">
        <v>0</v>
      </c>
      <c r="BR20" s="67"/>
      <c r="BS20" s="67"/>
      <c r="BT20" s="67">
        <v>0</v>
      </c>
      <c r="BU20" s="67"/>
      <c r="BV20" s="67"/>
      <c r="BW20" s="67">
        <v>0</v>
      </c>
      <c r="BX20" s="67">
        <v>0</v>
      </c>
      <c r="BY20" s="67">
        <v>0</v>
      </c>
      <c r="BZ20" s="67">
        <v>0</v>
      </c>
      <c r="CA20" s="67"/>
      <c r="CB20" s="67">
        <v>0</v>
      </c>
      <c r="CC20" s="67"/>
      <c r="CD20" s="67"/>
      <c r="CE20" s="67">
        <v>0</v>
      </c>
      <c r="CF20" s="67">
        <v>0</v>
      </c>
      <c r="CG20" s="67"/>
      <c r="CH20" s="67"/>
      <c r="CI20" s="67"/>
      <c r="CJ20" s="67"/>
      <c r="CK20" s="67">
        <v>0</v>
      </c>
      <c r="CL20" s="67">
        <v>0</v>
      </c>
      <c r="CM20" s="67"/>
      <c r="CN20" s="67"/>
      <c r="CO20" s="67">
        <v>0</v>
      </c>
      <c r="CP20" s="67">
        <v>0</v>
      </c>
      <c r="CQ20" s="67"/>
      <c r="CR20" s="67"/>
      <c r="CS20" s="67"/>
      <c r="CT20" s="67"/>
      <c r="CU20" s="67">
        <v>0</v>
      </c>
      <c r="CV20" s="67"/>
      <c r="CW20" s="67"/>
      <c r="CX20" s="67"/>
      <c r="CY20" s="67">
        <v>0</v>
      </c>
      <c r="CZ20" s="67"/>
      <c r="DA20" s="67"/>
      <c r="DB20" s="67"/>
      <c r="DC20" s="67"/>
      <c r="DF20" s="67"/>
      <c r="DG20" s="67">
        <v>0</v>
      </c>
      <c r="DH20" s="67">
        <v>0</v>
      </c>
      <c r="DI20" s="67">
        <v>0</v>
      </c>
      <c r="DJ20" s="67"/>
      <c r="DK20" s="67">
        <v>0</v>
      </c>
      <c r="DL20" s="67">
        <v>0</v>
      </c>
      <c r="DM20" s="67">
        <v>0</v>
      </c>
      <c r="DN20" s="67"/>
      <c r="DO20" s="67"/>
      <c r="DP20" s="67"/>
      <c r="DQ20" s="67">
        <v>0</v>
      </c>
      <c r="DR20" s="67">
        <v>0</v>
      </c>
      <c r="DS20" s="67"/>
      <c r="DT20" s="67"/>
      <c r="DU20" s="67">
        <v>0</v>
      </c>
      <c r="DV20" s="67">
        <v>0</v>
      </c>
      <c r="DW20" s="67">
        <v>0</v>
      </c>
      <c r="DX20" s="67">
        <v>0</v>
      </c>
      <c r="DY20" s="67"/>
      <c r="DZ20" s="67">
        <v>0</v>
      </c>
      <c r="EA20" s="67"/>
      <c r="EB20" s="67">
        <v>0</v>
      </c>
      <c r="EC20" s="67"/>
      <c r="ED20" s="67">
        <v>0</v>
      </c>
      <c r="EE20" s="67"/>
      <c r="EF20" s="67">
        <v>0</v>
      </c>
      <c r="EG20" s="67"/>
      <c r="EH20" s="67"/>
      <c r="EI20" s="67"/>
      <c r="EJ20" s="67"/>
      <c r="EK20" s="67"/>
      <c r="EL20" s="67"/>
      <c r="EM20" s="67"/>
      <c r="EN20" s="67"/>
      <c r="EO20" s="67"/>
      <c r="EP20" s="67">
        <v>0</v>
      </c>
      <c r="EQ20" s="67">
        <v>0</v>
      </c>
      <c r="ER20" s="67">
        <v>0</v>
      </c>
      <c r="ES20" s="67"/>
      <c r="ET20">
        <v>0</v>
      </c>
      <c r="EX20" s="67"/>
      <c r="EY20" s="67"/>
      <c r="EZ20" s="67"/>
      <c r="FA20" s="67">
        <v>550</v>
      </c>
      <c r="FB20" s="67"/>
      <c r="FC20" s="67"/>
      <c r="FD20" s="67"/>
      <c r="FE20" s="67"/>
      <c r="FF20" s="67"/>
      <c r="FG20" s="67"/>
      <c r="FH20" s="67"/>
      <c r="FI20" s="67" t="s">
        <v>1600</v>
      </c>
    </row>
    <row r="21" spans="2:165" ht="24" x14ac:dyDescent="0.2">
      <c r="B21" s="67" t="s">
        <v>325</v>
      </c>
      <c r="C21" s="67" t="s">
        <v>325</v>
      </c>
      <c r="D21" s="67" t="s">
        <v>326</v>
      </c>
      <c r="E21" s="67" t="s">
        <v>13</v>
      </c>
      <c r="F21" s="67" t="s">
        <v>984</v>
      </c>
      <c r="G21" s="67" t="s">
        <v>1597</v>
      </c>
      <c r="H21" s="67"/>
      <c r="I21" s="67" t="s">
        <v>22</v>
      </c>
      <c r="J21" s="67" t="s">
        <v>64</v>
      </c>
      <c r="K21" s="67" t="s">
        <v>985</v>
      </c>
      <c r="L21" s="67" t="s">
        <v>934</v>
      </c>
      <c r="M21" s="67" t="s">
        <v>752</v>
      </c>
      <c r="N21" s="67" t="s">
        <v>1601</v>
      </c>
      <c r="O21" s="67" t="s">
        <v>1599</v>
      </c>
      <c r="P21" s="67"/>
      <c r="Q21" s="67">
        <v>680</v>
      </c>
      <c r="R21" s="67">
        <v>0</v>
      </c>
      <c r="S21" s="67">
        <v>680</v>
      </c>
      <c r="T21" s="67">
        <v>0</v>
      </c>
      <c r="U21" s="67">
        <v>0</v>
      </c>
      <c r="V21" s="67">
        <v>0</v>
      </c>
      <c r="W21" s="67">
        <v>0</v>
      </c>
      <c r="X21" s="67">
        <v>0</v>
      </c>
      <c r="Y21" s="67">
        <v>0</v>
      </c>
      <c r="Z21" s="67">
        <v>0</v>
      </c>
      <c r="AA21" s="67">
        <v>0</v>
      </c>
      <c r="AB21" s="67">
        <v>0</v>
      </c>
      <c r="AC21" s="67">
        <v>0</v>
      </c>
      <c r="AD21" s="67">
        <v>0</v>
      </c>
      <c r="AE21" s="67">
        <v>0</v>
      </c>
      <c r="AF21" s="67">
        <v>0</v>
      </c>
      <c r="AG21" s="67">
        <v>0</v>
      </c>
      <c r="AH21" s="67">
        <v>0</v>
      </c>
      <c r="AI21" s="67">
        <v>0</v>
      </c>
      <c r="AJ21" s="67">
        <v>0</v>
      </c>
      <c r="AK21" s="67">
        <v>0</v>
      </c>
      <c r="AL21" s="67">
        <v>0</v>
      </c>
      <c r="AM21" s="67">
        <v>0</v>
      </c>
      <c r="AN21" s="67">
        <v>0</v>
      </c>
      <c r="AO21" s="67">
        <v>0</v>
      </c>
      <c r="AP21" s="67">
        <v>0</v>
      </c>
      <c r="AQ21" s="67">
        <v>0</v>
      </c>
      <c r="AR21" s="67">
        <v>0</v>
      </c>
      <c r="AS21" s="67">
        <v>0</v>
      </c>
      <c r="AT21" s="67"/>
      <c r="AU21" s="67"/>
      <c r="AV21" s="67"/>
      <c r="AW21" s="67">
        <v>0</v>
      </c>
      <c r="AX21" s="67">
        <v>0</v>
      </c>
      <c r="AY21" s="67"/>
      <c r="AZ21" s="67"/>
      <c r="BA21" s="67"/>
      <c r="BB21" s="67"/>
      <c r="BC21" s="67"/>
      <c r="BD21" s="67"/>
      <c r="BE21" s="67"/>
      <c r="BG21" s="67"/>
      <c r="BH21" s="67"/>
      <c r="BI21" s="67"/>
      <c r="BJ21" s="67">
        <v>0</v>
      </c>
      <c r="BK21" s="67"/>
      <c r="BL21" s="67"/>
      <c r="BP21" s="67"/>
      <c r="BQ21" s="67">
        <v>0</v>
      </c>
      <c r="BR21" s="67"/>
      <c r="BS21" s="67"/>
      <c r="BT21" s="67">
        <v>0</v>
      </c>
      <c r="BU21" s="67"/>
      <c r="BV21" s="67"/>
      <c r="BW21" s="67">
        <v>0</v>
      </c>
      <c r="BX21" s="67">
        <v>0</v>
      </c>
      <c r="BY21" s="67">
        <v>0</v>
      </c>
      <c r="BZ21" s="67">
        <v>0</v>
      </c>
      <c r="CA21" s="67"/>
      <c r="CB21" s="67">
        <v>0</v>
      </c>
      <c r="CC21" s="67"/>
      <c r="CD21" s="67"/>
      <c r="CE21" s="67">
        <v>0</v>
      </c>
      <c r="CF21" s="67">
        <v>0</v>
      </c>
      <c r="CG21" s="67"/>
      <c r="CH21" s="67"/>
      <c r="CI21" s="67"/>
      <c r="CJ21" s="67"/>
      <c r="CK21" s="67">
        <v>0</v>
      </c>
      <c r="CL21" s="67">
        <v>0</v>
      </c>
      <c r="CM21" s="67"/>
      <c r="CN21" s="67"/>
      <c r="CO21" s="67">
        <v>0</v>
      </c>
      <c r="CP21" s="67">
        <v>0</v>
      </c>
      <c r="CQ21" s="67"/>
      <c r="CR21" s="67"/>
      <c r="CS21" s="67"/>
      <c r="CT21" s="67"/>
      <c r="CU21" s="67">
        <v>0</v>
      </c>
      <c r="CV21" s="67"/>
      <c r="CW21" s="67"/>
      <c r="CX21" s="67"/>
      <c r="CY21" s="67">
        <v>0</v>
      </c>
      <c r="CZ21" s="67"/>
      <c r="DA21" s="67"/>
      <c r="DB21" s="67"/>
      <c r="DC21" s="67"/>
      <c r="DF21" s="67"/>
      <c r="DG21" s="67">
        <v>0</v>
      </c>
      <c r="DH21" s="67">
        <v>0</v>
      </c>
      <c r="DI21" s="67">
        <v>0</v>
      </c>
      <c r="DJ21" s="67"/>
      <c r="DK21" s="67">
        <v>0</v>
      </c>
      <c r="DL21" s="67">
        <v>0</v>
      </c>
      <c r="DM21" s="67">
        <v>0</v>
      </c>
      <c r="DN21" s="67"/>
      <c r="DO21" s="67"/>
      <c r="DP21" s="67"/>
      <c r="DQ21" s="67">
        <v>0</v>
      </c>
      <c r="DR21" s="67">
        <v>0</v>
      </c>
      <c r="DS21" s="67"/>
      <c r="DT21" s="67"/>
      <c r="DU21" s="67">
        <v>0</v>
      </c>
      <c r="DV21" s="67">
        <v>0</v>
      </c>
      <c r="DW21" s="67">
        <v>0</v>
      </c>
      <c r="DX21" s="67">
        <v>0</v>
      </c>
      <c r="DY21" s="67"/>
      <c r="DZ21" s="67">
        <v>0</v>
      </c>
      <c r="EA21" s="67"/>
      <c r="EB21" s="67">
        <v>0</v>
      </c>
      <c r="EC21" s="67"/>
      <c r="ED21" s="67">
        <v>0</v>
      </c>
      <c r="EE21" s="67"/>
      <c r="EF21" s="67">
        <v>0</v>
      </c>
      <c r="EG21" s="67"/>
      <c r="EH21" s="67"/>
      <c r="EI21" s="67"/>
      <c r="EJ21" s="67"/>
      <c r="EK21" s="67"/>
      <c r="EL21" s="67"/>
      <c r="EM21" s="67"/>
      <c r="EN21" s="67"/>
      <c r="EO21" s="67"/>
      <c r="EP21" s="67">
        <v>0</v>
      </c>
      <c r="EQ21" s="67">
        <v>0</v>
      </c>
      <c r="ER21" s="67">
        <v>0</v>
      </c>
      <c r="ES21" s="67"/>
      <c r="ET21">
        <v>0</v>
      </c>
      <c r="EX21" s="67"/>
      <c r="EY21" s="67"/>
      <c r="EZ21" s="67"/>
      <c r="FA21" s="67">
        <v>680</v>
      </c>
      <c r="FB21" s="67"/>
      <c r="FC21" s="67"/>
      <c r="FD21" s="67"/>
      <c r="FE21" s="67"/>
      <c r="FF21" s="67"/>
      <c r="FG21" s="67"/>
      <c r="FH21" s="67"/>
      <c r="FI21" s="67" t="s">
        <v>1600</v>
      </c>
    </row>
    <row r="22" spans="2:165" ht="24" x14ac:dyDescent="0.2">
      <c r="B22" s="67" t="s">
        <v>327</v>
      </c>
      <c r="C22" s="67" t="s">
        <v>327</v>
      </c>
      <c r="D22" s="67" t="s">
        <v>328</v>
      </c>
      <c r="E22" s="67" t="s">
        <v>13</v>
      </c>
      <c r="F22" s="67" t="s">
        <v>984</v>
      </c>
      <c r="G22" s="67" t="s">
        <v>1597</v>
      </c>
      <c r="H22" s="67"/>
      <c r="I22" s="67" t="s">
        <v>41</v>
      </c>
      <c r="J22" s="67" t="s">
        <v>64</v>
      </c>
      <c r="K22" s="67" t="s">
        <v>985</v>
      </c>
      <c r="L22" s="67" t="s">
        <v>934</v>
      </c>
      <c r="M22" s="67" t="s">
        <v>752</v>
      </c>
      <c r="N22" s="67" t="s">
        <v>1598</v>
      </c>
      <c r="O22" s="67" t="s">
        <v>1606</v>
      </c>
      <c r="P22" s="67"/>
      <c r="Q22" s="67">
        <v>180</v>
      </c>
      <c r="R22" s="67">
        <v>0</v>
      </c>
      <c r="S22" s="67">
        <v>180</v>
      </c>
      <c r="T22" s="67">
        <v>0</v>
      </c>
      <c r="U22" s="67">
        <v>0</v>
      </c>
      <c r="V22" s="67">
        <v>0</v>
      </c>
      <c r="W22" s="67">
        <v>0</v>
      </c>
      <c r="X22" s="67">
        <v>0</v>
      </c>
      <c r="Y22" s="67">
        <v>0</v>
      </c>
      <c r="Z22" s="67">
        <v>0</v>
      </c>
      <c r="AA22" s="67">
        <v>0</v>
      </c>
      <c r="AB22" s="67">
        <v>0</v>
      </c>
      <c r="AC22" s="67">
        <v>0</v>
      </c>
      <c r="AD22" s="67">
        <v>0</v>
      </c>
      <c r="AE22" s="67">
        <v>0</v>
      </c>
      <c r="AF22" s="67">
        <v>0</v>
      </c>
      <c r="AG22" s="67">
        <v>0</v>
      </c>
      <c r="AH22" s="67">
        <v>0</v>
      </c>
      <c r="AI22" s="67">
        <v>0</v>
      </c>
      <c r="AJ22" s="67">
        <v>0</v>
      </c>
      <c r="AK22" s="67">
        <v>0</v>
      </c>
      <c r="AL22" s="67">
        <v>0</v>
      </c>
      <c r="AM22" s="67">
        <v>0</v>
      </c>
      <c r="AN22" s="67">
        <v>0</v>
      </c>
      <c r="AO22" s="67">
        <v>0</v>
      </c>
      <c r="AP22" s="67">
        <v>0</v>
      </c>
      <c r="AQ22" s="67">
        <v>0</v>
      </c>
      <c r="AR22" s="67">
        <v>0</v>
      </c>
      <c r="AS22" s="67">
        <v>0</v>
      </c>
      <c r="AT22" s="67"/>
      <c r="AU22" s="67"/>
      <c r="AV22" s="67"/>
      <c r="AW22" s="67">
        <v>0</v>
      </c>
      <c r="AX22" s="67">
        <v>0</v>
      </c>
      <c r="AY22" s="67"/>
      <c r="AZ22" s="67"/>
      <c r="BA22" s="67"/>
      <c r="BB22" s="67"/>
      <c r="BC22" s="67"/>
      <c r="BD22" s="67"/>
      <c r="BE22" s="67"/>
      <c r="BG22" s="67"/>
      <c r="BH22" s="67"/>
      <c r="BI22" s="67"/>
      <c r="BJ22" s="67">
        <v>0</v>
      </c>
      <c r="BK22" s="67"/>
      <c r="BL22" s="67"/>
      <c r="BP22" s="67"/>
      <c r="BQ22" s="67">
        <v>0</v>
      </c>
      <c r="BR22" s="67"/>
      <c r="BS22" s="67"/>
      <c r="BT22" s="67">
        <v>0</v>
      </c>
      <c r="BU22" s="67"/>
      <c r="BV22" s="67"/>
      <c r="BW22" s="67">
        <v>0</v>
      </c>
      <c r="BX22" s="67">
        <v>0</v>
      </c>
      <c r="BY22" s="67">
        <v>0</v>
      </c>
      <c r="BZ22" s="67">
        <v>0</v>
      </c>
      <c r="CA22" s="67"/>
      <c r="CB22" s="67">
        <v>0</v>
      </c>
      <c r="CC22" s="67"/>
      <c r="CD22" s="67"/>
      <c r="CE22" s="67">
        <v>0</v>
      </c>
      <c r="CF22" s="67">
        <v>0</v>
      </c>
      <c r="CG22" s="67"/>
      <c r="CH22" s="67"/>
      <c r="CI22" s="67"/>
      <c r="CJ22" s="67"/>
      <c r="CK22" s="67">
        <v>0</v>
      </c>
      <c r="CL22" s="67">
        <v>0</v>
      </c>
      <c r="CM22" s="67"/>
      <c r="CN22" s="67"/>
      <c r="CO22" s="67">
        <v>0</v>
      </c>
      <c r="CP22" s="67">
        <v>0</v>
      </c>
      <c r="CQ22" s="67"/>
      <c r="CR22" s="67"/>
      <c r="CS22" s="67"/>
      <c r="CT22" s="67"/>
      <c r="CU22" s="67">
        <v>0</v>
      </c>
      <c r="CV22" s="67"/>
      <c r="CW22" s="67"/>
      <c r="CX22" s="67"/>
      <c r="CY22" s="67">
        <v>0</v>
      </c>
      <c r="CZ22" s="67"/>
      <c r="DA22" s="67"/>
      <c r="DB22" s="67"/>
      <c r="DC22" s="67"/>
      <c r="DF22" s="67"/>
      <c r="DG22" s="67">
        <v>0</v>
      </c>
      <c r="DH22" s="67">
        <v>0</v>
      </c>
      <c r="DI22" s="67">
        <v>0</v>
      </c>
      <c r="DJ22" s="67"/>
      <c r="DK22" s="67">
        <v>0</v>
      </c>
      <c r="DL22" s="67">
        <v>0</v>
      </c>
      <c r="DM22" s="67">
        <v>0</v>
      </c>
      <c r="DN22" s="67"/>
      <c r="DO22" s="67"/>
      <c r="DP22" s="67"/>
      <c r="DQ22" s="67">
        <v>0</v>
      </c>
      <c r="DR22" s="67">
        <v>0</v>
      </c>
      <c r="DS22" s="67"/>
      <c r="DT22" s="67"/>
      <c r="DU22" s="67">
        <v>0</v>
      </c>
      <c r="DV22" s="67">
        <v>0</v>
      </c>
      <c r="DW22" s="67">
        <v>0</v>
      </c>
      <c r="DX22" s="67">
        <v>0</v>
      </c>
      <c r="DY22" s="67"/>
      <c r="DZ22" s="67">
        <v>0</v>
      </c>
      <c r="EA22" s="67"/>
      <c r="EB22" s="67">
        <v>0</v>
      </c>
      <c r="EC22" s="67"/>
      <c r="ED22" s="67">
        <v>0</v>
      </c>
      <c r="EE22" s="67"/>
      <c r="EF22" s="67">
        <v>0</v>
      </c>
      <c r="EG22" s="67"/>
      <c r="EH22" s="67"/>
      <c r="EI22" s="67"/>
      <c r="EJ22" s="67"/>
      <c r="EK22" s="67"/>
      <c r="EL22" s="67"/>
      <c r="EM22" s="67"/>
      <c r="EN22" s="67"/>
      <c r="EO22" s="67"/>
      <c r="EP22" s="67">
        <v>0</v>
      </c>
      <c r="EQ22" s="67">
        <v>0</v>
      </c>
      <c r="ER22" s="67">
        <v>0</v>
      </c>
      <c r="ES22" s="67"/>
      <c r="ET22">
        <v>0</v>
      </c>
      <c r="EX22" s="67"/>
      <c r="EY22" s="67"/>
      <c r="EZ22" s="67"/>
      <c r="FA22" s="67">
        <v>180</v>
      </c>
      <c r="FB22" s="67"/>
      <c r="FC22" s="67"/>
      <c r="FD22" s="67"/>
      <c r="FE22" s="67"/>
      <c r="FF22" s="67"/>
      <c r="FG22" s="67"/>
      <c r="FH22" s="67"/>
      <c r="FI22" s="67" t="s">
        <v>1600</v>
      </c>
    </row>
    <row r="23" spans="2:165" x14ac:dyDescent="0.2">
      <c r="B23" s="67"/>
      <c r="C23" s="67" t="s">
        <v>1611</v>
      </c>
      <c r="D23" s="67" t="s">
        <v>329</v>
      </c>
      <c r="E23" s="67" t="s">
        <v>305</v>
      </c>
      <c r="F23" s="67" t="s">
        <v>305</v>
      </c>
      <c r="G23" s="67" t="s">
        <v>1597</v>
      </c>
      <c r="H23" s="67"/>
      <c r="I23" s="67" t="s">
        <v>305</v>
      </c>
      <c r="J23" s="67" t="s">
        <v>305</v>
      </c>
      <c r="K23" s="67" t="s">
        <v>305</v>
      </c>
      <c r="L23" s="67" t="s">
        <v>787</v>
      </c>
      <c r="M23" s="67" t="s">
        <v>752</v>
      </c>
      <c r="N23" s="67" t="s">
        <v>305</v>
      </c>
      <c r="O23" s="67" t="s">
        <v>305</v>
      </c>
      <c r="P23" s="67"/>
      <c r="Q23" s="67">
        <v>0</v>
      </c>
      <c r="R23" s="67">
        <v>0</v>
      </c>
      <c r="S23" s="67">
        <v>0</v>
      </c>
      <c r="T23" s="67">
        <v>0</v>
      </c>
      <c r="U23" s="67">
        <v>0</v>
      </c>
      <c r="V23" s="67">
        <v>0</v>
      </c>
      <c r="W23" s="67">
        <v>0</v>
      </c>
      <c r="X23" s="67">
        <v>0</v>
      </c>
      <c r="Y23" s="67">
        <v>0</v>
      </c>
      <c r="Z23" s="67">
        <v>0</v>
      </c>
      <c r="AA23" s="67">
        <v>0</v>
      </c>
      <c r="AB23" s="67">
        <v>0</v>
      </c>
      <c r="AC23" s="67">
        <v>0</v>
      </c>
      <c r="AD23" s="67">
        <v>0</v>
      </c>
      <c r="AE23" s="67">
        <v>0</v>
      </c>
      <c r="AF23" s="67">
        <v>0</v>
      </c>
      <c r="AG23" s="67">
        <v>0</v>
      </c>
      <c r="AH23" s="67">
        <v>0</v>
      </c>
      <c r="AI23" s="67">
        <v>0</v>
      </c>
      <c r="AJ23" s="67">
        <v>0</v>
      </c>
      <c r="AK23" s="67">
        <v>0</v>
      </c>
      <c r="AL23" s="67">
        <v>0</v>
      </c>
      <c r="AM23" s="67">
        <v>0</v>
      </c>
      <c r="AN23" s="67">
        <v>0</v>
      </c>
      <c r="AO23" s="67">
        <v>0</v>
      </c>
      <c r="AP23" s="67">
        <v>0</v>
      </c>
      <c r="AQ23" s="67">
        <v>0</v>
      </c>
      <c r="AR23" s="67">
        <v>0</v>
      </c>
      <c r="AS23" s="67">
        <v>0</v>
      </c>
      <c r="AT23" s="67"/>
      <c r="AU23" s="67"/>
      <c r="AV23" s="67"/>
      <c r="AW23" s="67">
        <v>0</v>
      </c>
      <c r="AX23" s="67">
        <v>0</v>
      </c>
      <c r="AY23" s="67"/>
      <c r="AZ23" s="67"/>
      <c r="BA23" s="67"/>
      <c r="BB23" s="67"/>
      <c r="BC23" s="67"/>
      <c r="BD23" s="67"/>
      <c r="BE23" s="67"/>
      <c r="BG23" s="67"/>
      <c r="BH23" s="67"/>
      <c r="BI23" s="67"/>
      <c r="BJ23" s="67">
        <v>0</v>
      </c>
      <c r="BK23" s="67"/>
      <c r="BL23" s="67"/>
      <c r="BP23" s="67"/>
      <c r="BQ23" s="67">
        <v>0</v>
      </c>
      <c r="BR23" s="67"/>
      <c r="BS23" s="67"/>
      <c r="BT23" s="67">
        <v>0</v>
      </c>
      <c r="BU23" s="67"/>
      <c r="BV23" s="67"/>
      <c r="BW23" s="67">
        <v>0</v>
      </c>
      <c r="BX23" s="67">
        <v>0</v>
      </c>
      <c r="BY23" s="67">
        <v>0</v>
      </c>
      <c r="BZ23" s="67">
        <v>0</v>
      </c>
      <c r="CA23" s="67"/>
      <c r="CB23" s="67">
        <v>0</v>
      </c>
      <c r="CC23" s="67"/>
      <c r="CD23" s="67"/>
      <c r="CE23" s="67">
        <v>0</v>
      </c>
      <c r="CF23" s="67">
        <v>0</v>
      </c>
      <c r="CG23" s="67"/>
      <c r="CH23" s="67"/>
      <c r="CI23" s="67"/>
      <c r="CJ23" s="67"/>
      <c r="CK23" s="67">
        <v>0</v>
      </c>
      <c r="CL23" s="67">
        <v>0</v>
      </c>
      <c r="CM23" s="67"/>
      <c r="CN23" s="67"/>
      <c r="CO23" s="67">
        <v>0</v>
      </c>
      <c r="CP23" s="67">
        <v>0</v>
      </c>
      <c r="CQ23" s="67"/>
      <c r="CR23" s="67"/>
      <c r="CS23" s="67"/>
      <c r="CT23" s="67"/>
      <c r="CU23" s="67">
        <v>0</v>
      </c>
      <c r="CV23" s="67"/>
      <c r="CW23" s="67"/>
      <c r="CX23" s="67"/>
      <c r="CY23" s="67">
        <v>0</v>
      </c>
      <c r="CZ23" s="67"/>
      <c r="DA23" s="67"/>
      <c r="DB23" s="67"/>
      <c r="DC23" s="67"/>
      <c r="DF23" s="67"/>
      <c r="DG23" s="67">
        <v>0</v>
      </c>
      <c r="DH23" s="67">
        <v>0</v>
      </c>
      <c r="DI23" s="67">
        <v>0</v>
      </c>
      <c r="DJ23" s="67"/>
      <c r="DK23" s="67">
        <v>0</v>
      </c>
      <c r="DL23" s="67">
        <v>0</v>
      </c>
      <c r="DM23" s="67">
        <v>0</v>
      </c>
      <c r="DN23" s="67"/>
      <c r="DO23" s="67"/>
      <c r="DP23" s="67"/>
      <c r="DQ23" s="67">
        <v>0</v>
      </c>
      <c r="DR23" s="67">
        <v>0</v>
      </c>
      <c r="DS23" s="67"/>
      <c r="DT23" s="67"/>
      <c r="DU23" s="67">
        <v>0</v>
      </c>
      <c r="DV23" s="67">
        <v>0</v>
      </c>
      <c r="DW23" s="67">
        <v>0</v>
      </c>
      <c r="DX23" s="67">
        <v>0</v>
      </c>
      <c r="DY23" s="67"/>
      <c r="DZ23" s="67">
        <v>0</v>
      </c>
      <c r="EA23" s="67"/>
      <c r="EB23" s="67">
        <v>0</v>
      </c>
      <c r="EC23" s="67"/>
      <c r="ED23" s="67">
        <v>0</v>
      </c>
      <c r="EE23" s="67"/>
      <c r="EF23" s="67">
        <v>0</v>
      </c>
      <c r="EG23" s="67"/>
      <c r="EH23" s="67"/>
      <c r="EI23" s="67"/>
      <c r="EJ23" s="67"/>
      <c r="EK23" s="67"/>
      <c r="EL23" s="67"/>
      <c r="EM23" s="67"/>
      <c r="EN23" s="67"/>
      <c r="EO23" s="67"/>
      <c r="EP23" s="67">
        <v>0</v>
      </c>
      <c r="EQ23" s="67">
        <v>0</v>
      </c>
      <c r="ER23" s="67">
        <v>0</v>
      </c>
      <c r="ES23" s="67"/>
      <c r="ET23">
        <v>0</v>
      </c>
      <c r="EX23" s="67"/>
      <c r="EY23" s="67"/>
      <c r="EZ23" s="67"/>
      <c r="FA23" s="67">
        <v>0</v>
      </c>
      <c r="FB23" s="67"/>
      <c r="FC23" s="67"/>
      <c r="FD23" s="67"/>
      <c r="FE23" s="67"/>
      <c r="FF23" s="67"/>
      <c r="FG23" s="67"/>
      <c r="FH23" s="67"/>
      <c r="FI23" s="67" t="s">
        <v>1600</v>
      </c>
    </row>
    <row r="24" spans="2:165" x14ac:dyDescent="0.2">
      <c r="B24" s="67"/>
      <c r="C24" s="67" t="s">
        <v>1612</v>
      </c>
      <c r="D24" s="67" t="s">
        <v>330</v>
      </c>
      <c r="E24" s="67" t="s">
        <v>305</v>
      </c>
      <c r="F24" s="67">
        <v>0</v>
      </c>
      <c r="G24" s="67" t="s">
        <v>1597</v>
      </c>
      <c r="H24" s="67"/>
      <c r="I24" s="67" t="s">
        <v>41</v>
      </c>
      <c r="J24" s="67">
        <v>0</v>
      </c>
      <c r="K24" s="67">
        <v>0</v>
      </c>
      <c r="L24" s="67" t="s">
        <v>787</v>
      </c>
      <c r="M24" s="67" t="s">
        <v>752</v>
      </c>
      <c r="N24" s="67" t="s">
        <v>1604</v>
      </c>
      <c r="O24" s="67" t="s">
        <v>1605</v>
      </c>
      <c r="P24" s="67"/>
      <c r="Q24" s="67">
        <v>0</v>
      </c>
      <c r="R24" s="67">
        <v>0</v>
      </c>
      <c r="S24" s="67">
        <v>0</v>
      </c>
      <c r="T24" s="67">
        <v>0</v>
      </c>
      <c r="U24" s="67">
        <v>0</v>
      </c>
      <c r="V24" s="67">
        <v>0</v>
      </c>
      <c r="W24" s="67">
        <v>0</v>
      </c>
      <c r="X24" s="67">
        <v>0</v>
      </c>
      <c r="Y24" s="67">
        <v>0</v>
      </c>
      <c r="Z24" s="67">
        <v>0</v>
      </c>
      <c r="AA24" s="67">
        <v>0</v>
      </c>
      <c r="AB24" s="67">
        <v>0</v>
      </c>
      <c r="AC24" s="67">
        <v>0</v>
      </c>
      <c r="AD24" s="67">
        <v>0</v>
      </c>
      <c r="AE24" s="67">
        <v>0</v>
      </c>
      <c r="AF24" s="67">
        <v>0</v>
      </c>
      <c r="AG24" s="67">
        <v>0</v>
      </c>
      <c r="AH24" s="67">
        <v>0</v>
      </c>
      <c r="AI24" s="67">
        <v>0</v>
      </c>
      <c r="AJ24" s="67">
        <v>0</v>
      </c>
      <c r="AK24" s="67">
        <v>0</v>
      </c>
      <c r="AL24" s="67">
        <v>0</v>
      </c>
      <c r="AM24" s="67">
        <v>0</v>
      </c>
      <c r="AN24" s="67">
        <v>0</v>
      </c>
      <c r="AO24" s="67">
        <v>0</v>
      </c>
      <c r="AP24" s="67">
        <v>0</v>
      </c>
      <c r="AQ24" s="67">
        <v>0</v>
      </c>
      <c r="AR24" s="67">
        <v>0</v>
      </c>
      <c r="AS24" s="67">
        <v>0</v>
      </c>
      <c r="AT24" s="67"/>
      <c r="AU24" s="67"/>
      <c r="AV24" s="67"/>
      <c r="AW24" s="67">
        <v>0</v>
      </c>
      <c r="AX24" s="67">
        <v>0</v>
      </c>
      <c r="AY24" s="67"/>
      <c r="AZ24" s="67"/>
      <c r="BA24" s="67"/>
      <c r="BB24" s="67"/>
      <c r="BC24" s="67"/>
      <c r="BD24" s="67"/>
      <c r="BE24" s="67"/>
      <c r="BG24" s="67"/>
      <c r="BH24" s="67"/>
      <c r="BI24" s="67"/>
      <c r="BJ24" s="67">
        <v>0</v>
      </c>
      <c r="BK24" s="67"/>
      <c r="BL24" s="67"/>
      <c r="BP24" s="67"/>
      <c r="BQ24" s="67">
        <v>0</v>
      </c>
      <c r="BR24" s="67"/>
      <c r="BS24" s="67"/>
      <c r="BT24" s="67">
        <v>0</v>
      </c>
      <c r="BU24" s="67"/>
      <c r="BV24" s="67"/>
      <c r="BW24" s="67">
        <v>0</v>
      </c>
      <c r="BX24" s="67">
        <v>0</v>
      </c>
      <c r="BY24" s="67">
        <v>0</v>
      </c>
      <c r="BZ24" s="67">
        <v>0</v>
      </c>
      <c r="CA24" s="67"/>
      <c r="CB24" s="67">
        <v>0</v>
      </c>
      <c r="CC24" s="67"/>
      <c r="CD24" s="67"/>
      <c r="CE24" s="67">
        <v>0</v>
      </c>
      <c r="CF24" s="67">
        <v>0</v>
      </c>
      <c r="CG24" s="67"/>
      <c r="CH24" s="67"/>
      <c r="CI24" s="67"/>
      <c r="CJ24" s="67"/>
      <c r="CK24" s="67">
        <v>0</v>
      </c>
      <c r="CL24" s="67">
        <v>0</v>
      </c>
      <c r="CM24" s="67"/>
      <c r="CN24" s="67"/>
      <c r="CO24" s="67">
        <v>0</v>
      </c>
      <c r="CP24" s="67">
        <v>0</v>
      </c>
      <c r="CQ24" s="67"/>
      <c r="CR24" s="67"/>
      <c r="CS24" s="67"/>
      <c r="CT24" s="67"/>
      <c r="CU24" s="67">
        <v>0</v>
      </c>
      <c r="CV24" s="67"/>
      <c r="CW24" s="67"/>
      <c r="CX24" s="67"/>
      <c r="CY24" s="67">
        <v>0</v>
      </c>
      <c r="CZ24" s="67"/>
      <c r="DA24" s="67"/>
      <c r="DB24" s="67"/>
      <c r="DC24" s="67"/>
      <c r="DF24" s="67"/>
      <c r="DG24" s="67">
        <v>0</v>
      </c>
      <c r="DH24" s="67">
        <v>0</v>
      </c>
      <c r="DI24" s="67">
        <v>0</v>
      </c>
      <c r="DJ24" s="67"/>
      <c r="DK24" s="67">
        <v>0</v>
      </c>
      <c r="DL24" s="67">
        <v>0</v>
      </c>
      <c r="DM24" s="67">
        <v>0</v>
      </c>
      <c r="DN24" s="67"/>
      <c r="DO24" s="67"/>
      <c r="DP24" s="67"/>
      <c r="DQ24" s="67">
        <v>0</v>
      </c>
      <c r="DR24" s="67">
        <v>0</v>
      </c>
      <c r="DS24" s="67"/>
      <c r="DT24" s="67"/>
      <c r="DU24" s="67">
        <v>0</v>
      </c>
      <c r="DV24" s="67">
        <v>0</v>
      </c>
      <c r="DW24" s="67">
        <v>0</v>
      </c>
      <c r="DX24" s="67">
        <v>0</v>
      </c>
      <c r="DY24" s="67"/>
      <c r="DZ24" s="67">
        <v>0</v>
      </c>
      <c r="EA24" s="67"/>
      <c r="EB24" s="67">
        <v>0</v>
      </c>
      <c r="EC24" s="67"/>
      <c r="ED24" s="67">
        <v>0</v>
      </c>
      <c r="EE24" s="67"/>
      <c r="EF24" s="67">
        <v>0</v>
      </c>
      <c r="EG24" s="67"/>
      <c r="EH24" s="67"/>
      <c r="EI24" s="67"/>
      <c r="EJ24" s="67"/>
      <c r="EK24" s="67"/>
      <c r="EL24" s="67"/>
      <c r="EM24" s="67"/>
      <c r="EN24" s="67"/>
      <c r="EO24" s="67"/>
      <c r="EP24" s="67">
        <v>0</v>
      </c>
      <c r="EQ24" s="67">
        <v>241</v>
      </c>
      <c r="ER24" s="67">
        <v>241</v>
      </c>
      <c r="ES24" s="67"/>
      <c r="ET24">
        <v>0</v>
      </c>
      <c r="EX24" s="67"/>
      <c r="EY24" s="67"/>
      <c r="EZ24" s="67"/>
      <c r="FA24" s="67">
        <v>0</v>
      </c>
      <c r="FB24" s="67"/>
      <c r="FC24" s="67"/>
      <c r="FD24" s="67"/>
      <c r="FE24" s="67"/>
      <c r="FF24" s="67"/>
      <c r="FG24" s="67"/>
      <c r="FH24" s="67"/>
      <c r="FI24" s="67" t="s">
        <v>1600</v>
      </c>
    </row>
    <row r="25" spans="2:165" ht="24" x14ac:dyDescent="0.2">
      <c r="B25" s="67" t="s">
        <v>331</v>
      </c>
      <c r="C25" s="67" t="s">
        <v>331</v>
      </c>
      <c r="D25" s="67" t="s">
        <v>332</v>
      </c>
      <c r="E25" s="67" t="s">
        <v>13</v>
      </c>
      <c r="F25" s="67" t="s">
        <v>984</v>
      </c>
      <c r="G25" s="67" t="s">
        <v>1597</v>
      </c>
      <c r="H25" s="67"/>
      <c r="I25" s="67" t="s">
        <v>22</v>
      </c>
      <c r="J25" s="67" t="s">
        <v>64</v>
      </c>
      <c r="K25" s="67" t="s">
        <v>985</v>
      </c>
      <c r="L25" s="67" t="s">
        <v>934</v>
      </c>
      <c r="M25" s="67" t="s">
        <v>752</v>
      </c>
      <c r="N25" s="67" t="s">
        <v>1598</v>
      </c>
      <c r="O25" s="67" t="s">
        <v>1610</v>
      </c>
      <c r="P25" s="67"/>
      <c r="Q25" s="67">
        <v>100</v>
      </c>
      <c r="R25" s="67">
        <v>0</v>
      </c>
      <c r="S25" s="67">
        <v>100</v>
      </c>
      <c r="T25" s="67">
        <v>0</v>
      </c>
      <c r="U25" s="67">
        <v>0</v>
      </c>
      <c r="V25" s="67">
        <v>0</v>
      </c>
      <c r="W25" s="67">
        <v>0</v>
      </c>
      <c r="X25" s="67">
        <v>0</v>
      </c>
      <c r="Y25" s="67">
        <v>0</v>
      </c>
      <c r="Z25" s="67">
        <v>0</v>
      </c>
      <c r="AA25" s="67">
        <v>0</v>
      </c>
      <c r="AB25" s="67">
        <v>0</v>
      </c>
      <c r="AC25" s="67">
        <v>0</v>
      </c>
      <c r="AD25" s="67">
        <v>0</v>
      </c>
      <c r="AE25" s="67">
        <v>0</v>
      </c>
      <c r="AF25" s="67">
        <v>0</v>
      </c>
      <c r="AG25" s="67">
        <v>0</v>
      </c>
      <c r="AH25" s="67">
        <v>0</v>
      </c>
      <c r="AI25" s="67">
        <v>0</v>
      </c>
      <c r="AJ25" s="67">
        <v>0</v>
      </c>
      <c r="AK25" s="67">
        <v>0</v>
      </c>
      <c r="AL25" s="67">
        <v>0</v>
      </c>
      <c r="AM25" s="67">
        <v>0</v>
      </c>
      <c r="AN25" s="67">
        <v>0</v>
      </c>
      <c r="AO25" s="67">
        <v>0</v>
      </c>
      <c r="AP25" s="67">
        <v>0</v>
      </c>
      <c r="AQ25" s="67">
        <v>0</v>
      </c>
      <c r="AR25" s="67">
        <v>0</v>
      </c>
      <c r="AS25" s="67">
        <v>0</v>
      </c>
      <c r="AT25" s="67"/>
      <c r="AU25" s="67"/>
      <c r="AV25" s="67"/>
      <c r="AW25" s="67">
        <v>0</v>
      </c>
      <c r="AX25" s="67">
        <v>0</v>
      </c>
      <c r="AY25" s="67"/>
      <c r="AZ25" s="67"/>
      <c r="BA25" s="67"/>
      <c r="BB25" s="67"/>
      <c r="BC25" s="67"/>
      <c r="BD25" s="67"/>
      <c r="BE25" s="67"/>
      <c r="BG25" s="67"/>
      <c r="BH25" s="67"/>
      <c r="BI25" s="67"/>
      <c r="BJ25" s="67">
        <v>0</v>
      </c>
      <c r="BK25" s="67"/>
      <c r="BL25" s="67"/>
      <c r="BP25" s="67"/>
      <c r="BQ25" s="67">
        <v>0</v>
      </c>
      <c r="BR25" s="67"/>
      <c r="BS25" s="67"/>
      <c r="BT25" s="67">
        <v>0</v>
      </c>
      <c r="BU25" s="67"/>
      <c r="BV25" s="67"/>
      <c r="BW25" s="67">
        <v>0</v>
      </c>
      <c r="BX25" s="67">
        <v>0</v>
      </c>
      <c r="BY25" s="67">
        <v>0</v>
      </c>
      <c r="BZ25" s="67">
        <v>0</v>
      </c>
      <c r="CA25" s="67"/>
      <c r="CB25" s="67">
        <v>0</v>
      </c>
      <c r="CC25" s="67"/>
      <c r="CD25" s="67"/>
      <c r="CE25" s="67">
        <v>0</v>
      </c>
      <c r="CF25" s="67">
        <v>0</v>
      </c>
      <c r="CG25" s="67"/>
      <c r="CH25" s="67"/>
      <c r="CI25" s="67"/>
      <c r="CJ25" s="67"/>
      <c r="CK25" s="67">
        <v>0</v>
      </c>
      <c r="CL25" s="67">
        <v>0</v>
      </c>
      <c r="CM25" s="67"/>
      <c r="CN25" s="67"/>
      <c r="CO25" s="67">
        <v>0</v>
      </c>
      <c r="CP25" s="67">
        <v>0</v>
      </c>
      <c r="CQ25" s="67"/>
      <c r="CR25" s="67"/>
      <c r="CS25" s="67"/>
      <c r="CT25" s="67"/>
      <c r="CU25" s="67">
        <v>0</v>
      </c>
      <c r="CV25" s="67"/>
      <c r="CW25" s="67"/>
      <c r="CX25" s="67"/>
      <c r="CY25" s="67">
        <v>0</v>
      </c>
      <c r="CZ25" s="67"/>
      <c r="DA25" s="67"/>
      <c r="DB25" s="67"/>
      <c r="DC25" s="67"/>
      <c r="DF25" s="67"/>
      <c r="DG25" s="67">
        <v>0</v>
      </c>
      <c r="DH25" s="67">
        <v>0</v>
      </c>
      <c r="DI25" s="67">
        <v>0</v>
      </c>
      <c r="DJ25" s="67"/>
      <c r="DK25" s="67">
        <v>0</v>
      </c>
      <c r="DL25" s="67">
        <v>0</v>
      </c>
      <c r="DM25" s="67">
        <v>0</v>
      </c>
      <c r="DN25" s="67"/>
      <c r="DO25" s="67"/>
      <c r="DP25" s="67"/>
      <c r="DQ25" s="67">
        <v>0</v>
      </c>
      <c r="DR25" s="67">
        <v>0</v>
      </c>
      <c r="DS25" s="67"/>
      <c r="DT25" s="67"/>
      <c r="DU25" s="67">
        <v>0</v>
      </c>
      <c r="DV25" s="67">
        <v>0</v>
      </c>
      <c r="DW25" s="67">
        <v>0</v>
      </c>
      <c r="DX25" s="67">
        <v>0</v>
      </c>
      <c r="DY25" s="67"/>
      <c r="DZ25" s="67">
        <v>0</v>
      </c>
      <c r="EA25" s="67"/>
      <c r="EB25" s="67">
        <v>0</v>
      </c>
      <c r="EC25" s="67"/>
      <c r="ED25" s="67">
        <v>0</v>
      </c>
      <c r="EE25" s="67"/>
      <c r="EF25" s="67">
        <v>0</v>
      </c>
      <c r="EG25" s="67"/>
      <c r="EH25" s="67"/>
      <c r="EI25" s="67"/>
      <c r="EJ25" s="67"/>
      <c r="EK25" s="67"/>
      <c r="EL25" s="67"/>
      <c r="EM25" s="67"/>
      <c r="EN25" s="67"/>
      <c r="EO25" s="67"/>
      <c r="EP25" s="67">
        <v>0</v>
      </c>
      <c r="EQ25" s="67">
        <v>0</v>
      </c>
      <c r="ER25" s="67">
        <v>0</v>
      </c>
      <c r="ES25" s="67"/>
      <c r="ET25">
        <v>0</v>
      </c>
      <c r="EX25" s="67"/>
      <c r="EY25" s="67"/>
      <c r="EZ25" s="67"/>
      <c r="FA25" s="67">
        <v>100</v>
      </c>
      <c r="FB25" s="67"/>
      <c r="FC25" s="67"/>
      <c r="FD25" s="67"/>
      <c r="FE25" s="67"/>
      <c r="FF25" s="67"/>
      <c r="FG25" s="67"/>
      <c r="FH25" s="67"/>
      <c r="FI25" s="67" t="s">
        <v>1600</v>
      </c>
    </row>
    <row r="26" spans="2:165" ht="24" x14ac:dyDescent="0.2">
      <c r="B26" s="67" t="s">
        <v>333</v>
      </c>
      <c r="C26" s="67" t="s">
        <v>333</v>
      </c>
      <c r="D26" s="67" t="s">
        <v>334</v>
      </c>
      <c r="E26" s="67" t="s">
        <v>889</v>
      </c>
      <c r="F26" s="67" t="s">
        <v>984</v>
      </c>
      <c r="G26" s="67" t="s">
        <v>1597</v>
      </c>
      <c r="H26" s="67"/>
      <c r="I26" s="67" t="s">
        <v>43</v>
      </c>
      <c r="J26" s="67" t="s">
        <v>64</v>
      </c>
      <c r="K26" s="67" t="s">
        <v>985</v>
      </c>
      <c r="L26" s="67" t="s">
        <v>934</v>
      </c>
      <c r="M26" s="67" t="s">
        <v>752</v>
      </c>
      <c r="N26" s="67" t="s">
        <v>1598</v>
      </c>
      <c r="O26" s="67" t="s">
        <v>1599</v>
      </c>
      <c r="P26" s="67"/>
      <c r="Q26" s="67">
        <v>640</v>
      </c>
      <c r="R26" s="67">
        <v>0</v>
      </c>
      <c r="S26" s="67">
        <v>640</v>
      </c>
      <c r="T26" s="67">
        <v>0</v>
      </c>
      <c r="U26" s="67">
        <v>0</v>
      </c>
      <c r="V26" s="67">
        <v>0</v>
      </c>
      <c r="W26" s="67">
        <v>0</v>
      </c>
      <c r="X26" s="67">
        <v>0</v>
      </c>
      <c r="Y26" s="67">
        <v>0</v>
      </c>
      <c r="Z26" s="67">
        <v>0</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67">
        <v>0</v>
      </c>
      <c r="AQ26" s="67">
        <v>0</v>
      </c>
      <c r="AR26" s="67">
        <v>0</v>
      </c>
      <c r="AS26" s="67">
        <v>0</v>
      </c>
      <c r="AT26" s="67"/>
      <c r="AU26" s="67"/>
      <c r="AV26" s="67"/>
      <c r="AW26" s="67">
        <v>0</v>
      </c>
      <c r="AX26" s="67">
        <v>0</v>
      </c>
      <c r="AY26" s="67"/>
      <c r="AZ26" s="67"/>
      <c r="BA26" s="67"/>
      <c r="BB26" s="67"/>
      <c r="BC26" s="67"/>
      <c r="BD26" s="67"/>
      <c r="BE26" s="67"/>
      <c r="BG26" s="67"/>
      <c r="BH26" s="67"/>
      <c r="BI26" s="67"/>
      <c r="BJ26" s="67">
        <v>0</v>
      </c>
      <c r="BK26" s="67"/>
      <c r="BL26" s="67"/>
      <c r="BP26" s="67"/>
      <c r="BQ26" s="67">
        <v>0</v>
      </c>
      <c r="BR26" s="67"/>
      <c r="BS26" s="67"/>
      <c r="BT26" s="67">
        <v>0</v>
      </c>
      <c r="BU26" s="67"/>
      <c r="BV26" s="67"/>
      <c r="BW26" s="67">
        <v>0</v>
      </c>
      <c r="BX26" s="67">
        <v>0</v>
      </c>
      <c r="BY26" s="67">
        <v>0</v>
      </c>
      <c r="BZ26" s="67">
        <v>0</v>
      </c>
      <c r="CA26" s="67"/>
      <c r="CB26" s="67">
        <v>0</v>
      </c>
      <c r="CC26" s="67"/>
      <c r="CD26" s="67"/>
      <c r="CE26" s="67">
        <v>0</v>
      </c>
      <c r="CF26" s="67">
        <v>0</v>
      </c>
      <c r="CG26" s="67"/>
      <c r="CH26" s="67"/>
      <c r="CI26" s="67"/>
      <c r="CJ26" s="67"/>
      <c r="CK26" s="67">
        <v>0</v>
      </c>
      <c r="CL26" s="67">
        <v>0</v>
      </c>
      <c r="CM26" s="67"/>
      <c r="CN26" s="67"/>
      <c r="CO26" s="67">
        <v>0</v>
      </c>
      <c r="CP26" s="67">
        <v>0</v>
      </c>
      <c r="CQ26" s="67"/>
      <c r="CR26" s="67"/>
      <c r="CS26" s="67"/>
      <c r="CT26" s="67"/>
      <c r="CU26" s="67">
        <v>0</v>
      </c>
      <c r="CV26" s="67"/>
      <c r="CW26" s="67"/>
      <c r="CX26" s="67"/>
      <c r="CY26" s="67">
        <v>0</v>
      </c>
      <c r="CZ26" s="67"/>
      <c r="DA26" s="67"/>
      <c r="DB26" s="67"/>
      <c r="DC26" s="67"/>
      <c r="DF26" s="67"/>
      <c r="DG26" s="67">
        <v>0</v>
      </c>
      <c r="DH26" s="67">
        <v>0</v>
      </c>
      <c r="DI26" s="67">
        <v>0</v>
      </c>
      <c r="DJ26" s="67"/>
      <c r="DK26" s="67">
        <v>0</v>
      </c>
      <c r="DL26" s="67">
        <v>0</v>
      </c>
      <c r="DM26" s="67">
        <v>0</v>
      </c>
      <c r="DN26" s="67"/>
      <c r="DO26" s="67"/>
      <c r="DP26" s="67"/>
      <c r="DQ26" s="67">
        <v>0</v>
      </c>
      <c r="DR26" s="67">
        <v>0</v>
      </c>
      <c r="DS26" s="67"/>
      <c r="DT26" s="67"/>
      <c r="DU26" s="67">
        <v>0</v>
      </c>
      <c r="DV26" s="67">
        <v>0</v>
      </c>
      <c r="DW26" s="67">
        <v>0</v>
      </c>
      <c r="DX26" s="67">
        <v>0</v>
      </c>
      <c r="DY26" s="67"/>
      <c r="DZ26" s="67">
        <v>0</v>
      </c>
      <c r="EA26" s="67"/>
      <c r="EB26" s="67">
        <v>0</v>
      </c>
      <c r="EC26" s="67"/>
      <c r="ED26" s="67">
        <v>0</v>
      </c>
      <c r="EE26" s="67"/>
      <c r="EF26" s="67">
        <v>0</v>
      </c>
      <c r="EG26" s="67"/>
      <c r="EH26" s="67"/>
      <c r="EI26" s="67"/>
      <c r="EJ26" s="67"/>
      <c r="EK26" s="67"/>
      <c r="EL26" s="67"/>
      <c r="EM26" s="67"/>
      <c r="EN26" s="67"/>
      <c r="EO26" s="67"/>
      <c r="EP26" s="67">
        <v>0</v>
      </c>
      <c r="EQ26" s="67">
        <v>0</v>
      </c>
      <c r="ER26" s="67">
        <v>0</v>
      </c>
      <c r="ES26" s="67"/>
      <c r="ET26">
        <v>0</v>
      </c>
      <c r="EX26" s="67"/>
      <c r="EY26" s="67"/>
      <c r="EZ26" s="67"/>
      <c r="FA26" s="67">
        <v>640</v>
      </c>
      <c r="FB26" s="67"/>
      <c r="FC26" s="67"/>
      <c r="FD26" s="67"/>
      <c r="FE26" s="67"/>
      <c r="FF26" s="67"/>
      <c r="FG26" s="67"/>
      <c r="FH26" s="67"/>
      <c r="FI26" s="67" t="s">
        <v>1600</v>
      </c>
    </row>
    <row r="27" spans="2:165" x14ac:dyDescent="0.2">
      <c r="B27" s="67" t="s">
        <v>335</v>
      </c>
      <c r="C27" s="67" t="s">
        <v>335</v>
      </c>
      <c r="D27" s="67" t="s">
        <v>336</v>
      </c>
      <c r="E27" s="67" t="s">
        <v>35</v>
      </c>
      <c r="F27" s="67" t="s">
        <v>984</v>
      </c>
      <c r="G27" s="67" t="s">
        <v>1597</v>
      </c>
      <c r="H27" s="67"/>
      <c r="I27" s="67" t="s">
        <v>43</v>
      </c>
      <c r="J27" s="67" t="s">
        <v>64</v>
      </c>
      <c r="K27" s="67" t="s">
        <v>985</v>
      </c>
      <c r="L27" s="67" t="s">
        <v>934</v>
      </c>
      <c r="M27" s="67" t="s">
        <v>752</v>
      </c>
      <c r="N27" s="67" t="s">
        <v>1598</v>
      </c>
      <c r="O27" s="67" t="s">
        <v>1606</v>
      </c>
      <c r="P27" s="67"/>
      <c r="Q27" s="67">
        <v>50</v>
      </c>
      <c r="R27" s="67">
        <v>0</v>
      </c>
      <c r="S27" s="67">
        <v>50</v>
      </c>
      <c r="T27" s="67">
        <v>0</v>
      </c>
      <c r="U27" s="67">
        <v>0</v>
      </c>
      <c r="V27" s="67">
        <v>0</v>
      </c>
      <c r="W27" s="67">
        <v>0</v>
      </c>
      <c r="X27" s="67">
        <v>0</v>
      </c>
      <c r="Y27" s="67">
        <v>0</v>
      </c>
      <c r="Z27" s="67">
        <v>0</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67">
        <v>0</v>
      </c>
      <c r="AQ27" s="67">
        <v>0</v>
      </c>
      <c r="AR27" s="67">
        <v>0</v>
      </c>
      <c r="AS27" s="67">
        <v>0</v>
      </c>
      <c r="AT27" s="67"/>
      <c r="AU27" s="67"/>
      <c r="AV27" s="67"/>
      <c r="AW27" s="67">
        <v>0</v>
      </c>
      <c r="AX27" s="67">
        <v>0</v>
      </c>
      <c r="AY27" s="67"/>
      <c r="AZ27" s="67"/>
      <c r="BA27" s="67"/>
      <c r="BB27" s="67"/>
      <c r="BC27" s="67"/>
      <c r="BD27" s="67"/>
      <c r="BE27" s="67"/>
      <c r="BG27" s="67"/>
      <c r="BH27" s="67"/>
      <c r="BI27" s="67"/>
      <c r="BJ27" s="67">
        <v>0</v>
      </c>
      <c r="BK27" s="67"/>
      <c r="BL27" s="67"/>
      <c r="BP27" s="67"/>
      <c r="BQ27" s="67">
        <v>0</v>
      </c>
      <c r="BR27" s="67"/>
      <c r="BS27" s="67"/>
      <c r="BT27" s="67">
        <v>0</v>
      </c>
      <c r="BU27" s="67"/>
      <c r="BV27" s="67"/>
      <c r="BW27" s="67">
        <v>0</v>
      </c>
      <c r="BX27" s="67">
        <v>0</v>
      </c>
      <c r="BY27" s="67">
        <v>0</v>
      </c>
      <c r="BZ27" s="67">
        <v>0</v>
      </c>
      <c r="CA27" s="67"/>
      <c r="CB27" s="67">
        <v>0</v>
      </c>
      <c r="CC27" s="67"/>
      <c r="CD27" s="67"/>
      <c r="CE27" s="67">
        <v>0</v>
      </c>
      <c r="CF27" s="67">
        <v>0</v>
      </c>
      <c r="CG27" s="67"/>
      <c r="CH27" s="67"/>
      <c r="CI27" s="67"/>
      <c r="CJ27" s="67"/>
      <c r="CK27" s="67">
        <v>0</v>
      </c>
      <c r="CL27" s="67">
        <v>0</v>
      </c>
      <c r="CM27" s="67"/>
      <c r="CN27" s="67"/>
      <c r="CO27" s="67">
        <v>0</v>
      </c>
      <c r="CP27" s="67">
        <v>0</v>
      </c>
      <c r="CQ27" s="67"/>
      <c r="CR27" s="67"/>
      <c r="CS27" s="67"/>
      <c r="CT27" s="67"/>
      <c r="CU27" s="67">
        <v>0</v>
      </c>
      <c r="CV27" s="67"/>
      <c r="CW27" s="67"/>
      <c r="CX27" s="67"/>
      <c r="CY27" s="67">
        <v>0</v>
      </c>
      <c r="CZ27" s="67"/>
      <c r="DA27" s="67"/>
      <c r="DB27" s="67"/>
      <c r="DC27" s="67"/>
      <c r="DF27" s="67"/>
      <c r="DG27" s="67">
        <v>0</v>
      </c>
      <c r="DH27" s="67">
        <v>0</v>
      </c>
      <c r="DI27" s="67">
        <v>0</v>
      </c>
      <c r="DJ27" s="67"/>
      <c r="DK27" s="67">
        <v>0</v>
      </c>
      <c r="DL27" s="67">
        <v>0</v>
      </c>
      <c r="DM27" s="67">
        <v>0</v>
      </c>
      <c r="DN27" s="67"/>
      <c r="DO27" s="67"/>
      <c r="DP27" s="67"/>
      <c r="DQ27" s="67">
        <v>0</v>
      </c>
      <c r="DR27" s="67">
        <v>0</v>
      </c>
      <c r="DS27" s="67"/>
      <c r="DT27" s="67"/>
      <c r="DU27" s="67">
        <v>0</v>
      </c>
      <c r="DV27" s="67">
        <v>0</v>
      </c>
      <c r="DW27" s="67">
        <v>0</v>
      </c>
      <c r="DX27" s="67">
        <v>0</v>
      </c>
      <c r="DY27" s="67"/>
      <c r="DZ27" s="67">
        <v>0</v>
      </c>
      <c r="EA27" s="67"/>
      <c r="EB27" s="67">
        <v>0</v>
      </c>
      <c r="EC27" s="67"/>
      <c r="ED27" s="67">
        <v>0</v>
      </c>
      <c r="EE27" s="67"/>
      <c r="EF27" s="67">
        <v>0</v>
      </c>
      <c r="EG27" s="67"/>
      <c r="EH27" s="67"/>
      <c r="EI27" s="67"/>
      <c r="EJ27" s="67"/>
      <c r="EK27" s="67"/>
      <c r="EL27" s="67"/>
      <c r="EM27" s="67"/>
      <c r="EN27" s="67"/>
      <c r="EO27" s="67"/>
      <c r="EP27" s="67">
        <v>0</v>
      </c>
      <c r="EQ27" s="67">
        <v>0</v>
      </c>
      <c r="ER27" s="67">
        <v>0</v>
      </c>
      <c r="ES27" s="67"/>
      <c r="ET27">
        <v>0</v>
      </c>
      <c r="EX27" s="67"/>
      <c r="EY27" s="67"/>
      <c r="EZ27" s="67"/>
      <c r="FA27" s="67">
        <v>50</v>
      </c>
      <c r="FB27" s="67"/>
      <c r="FC27" s="67"/>
      <c r="FD27" s="67"/>
      <c r="FE27" s="67"/>
      <c r="FF27" s="67"/>
      <c r="FG27" s="67"/>
      <c r="FH27" s="67"/>
      <c r="FI27" s="67" t="s">
        <v>1600</v>
      </c>
    </row>
    <row r="28" spans="2:165" ht="24" x14ac:dyDescent="0.2">
      <c r="B28" s="67" t="s">
        <v>305</v>
      </c>
      <c r="C28" s="67" t="s">
        <v>1613</v>
      </c>
      <c r="D28" s="67" t="s">
        <v>337</v>
      </c>
      <c r="E28" s="67" t="s">
        <v>13</v>
      </c>
      <c r="F28" s="67" t="s">
        <v>1284</v>
      </c>
      <c r="G28" s="67" t="s">
        <v>1614</v>
      </c>
      <c r="H28" s="67"/>
      <c r="I28" s="67" t="s">
        <v>22</v>
      </c>
      <c r="J28" s="67" t="s">
        <v>64</v>
      </c>
      <c r="K28" s="67" t="s">
        <v>1232</v>
      </c>
      <c r="L28" s="67" t="s">
        <v>787</v>
      </c>
      <c r="M28" s="67" t="s">
        <v>1615</v>
      </c>
      <c r="N28" s="67" t="s">
        <v>1598</v>
      </c>
      <c r="O28" s="67" t="s">
        <v>1610</v>
      </c>
      <c r="P28" s="67"/>
      <c r="Q28" s="67">
        <v>0</v>
      </c>
      <c r="R28" s="67">
        <v>0</v>
      </c>
      <c r="S28" s="67">
        <v>0</v>
      </c>
      <c r="T28" s="67">
        <v>0</v>
      </c>
      <c r="U28" s="67">
        <v>0</v>
      </c>
      <c r="V28" s="67">
        <v>0</v>
      </c>
      <c r="W28" s="67">
        <v>0</v>
      </c>
      <c r="X28" s="67">
        <v>0</v>
      </c>
      <c r="Y28" s="67">
        <v>0</v>
      </c>
      <c r="Z28" s="67">
        <v>0</v>
      </c>
      <c r="AA28" s="67">
        <v>0</v>
      </c>
      <c r="AB28" s="67">
        <v>0</v>
      </c>
      <c r="AC28" s="67">
        <v>0</v>
      </c>
      <c r="AD28" s="67">
        <v>0</v>
      </c>
      <c r="AE28" s="67">
        <v>0</v>
      </c>
      <c r="AF28" s="67">
        <v>0</v>
      </c>
      <c r="AG28" s="67">
        <v>0</v>
      </c>
      <c r="AH28" s="67">
        <v>0</v>
      </c>
      <c r="AI28" s="67">
        <v>0</v>
      </c>
      <c r="AJ28" s="67">
        <v>0</v>
      </c>
      <c r="AK28" s="67">
        <v>0</v>
      </c>
      <c r="AL28" s="67">
        <v>0</v>
      </c>
      <c r="AM28" s="67">
        <v>0</v>
      </c>
      <c r="AN28" s="67">
        <v>0</v>
      </c>
      <c r="AO28" s="67">
        <v>0</v>
      </c>
      <c r="AP28" s="67">
        <v>0</v>
      </c>
      <c r="AQ28" s="67">
        <v>0</v>
      </c>
      <c r="AR28" s="67">
        <v>0</v>
      </c>
      <c r="AS28" s="67">
        <v>0</v>
      </c>
      <c r="AT28" s="67"/>
      <c r="AU28" s="67"/>
      <c r="AV28" s="67"/>
      <c r="AW28" s="67">
        <v>0</v>
      </c>
      <c r="AX28" s="67">
        <v>0</v>
      </c>
      <c r="AY28" s="67"/>
      <c r="AZ28" s="67"/>
      <c r="BA28" s="67"/>
      <c r="BB28" s="67"/>
      <c r="BC28" s="67"/>
      <c r="BD28" s="67"/>
      <c r="BE28" s="67"/>
      <c r="BG28" s="67"/>
      <c r="BH28" s="67"/>
      <c r="BI28" s="67"/>
      <c r="BJ28" s="67">
        <v>0</v>
      </c>
      <c r="BK28" s="67"/>
      <c r="BL28" s="67"/>
      <c r="BP28" s="67"/>
      <c r="BQ28" s="67">
        <v>0</v>
      </c>
      <c r="BR28" s="67"/>
      <c r="BS28" s="67"/>
      <c r="BT28" s="67">
        <v>0</v>
      </c>
      <c r="BU28" s="67"/>
      <c r="BV28" s="67"/>
      <c r="BW28" s="67">
        <v>0</v>
      </c>
      <c r="BX28" s="67">
        <v>0</v>
      </c>
      <c r="BY28" s="67">
        <v>0</v>
      </c>
      <c r="BZ28" s="67">
        <v>0</v>
      </c>
      <c r="CA28" s="67"/>
      <c r="CB28" s="67">
        <v>0</v>
      </c>
      <c r="CC28" s="67"/>
      <c r="CD28" s="67"/>
      <c r="CE28" s="67">
        <v>0</v>
      </c>
      <c r="CF28" s="67">
        <v>0</v>
      </c>
      <c r="CG28" s="67"/>
      <c r="CH28" s="67"/>
      <c r="CI28" s="67"/>
      <c r="CJ28" s="67"/>
      <c r="CK28" s="67">
        <v>0</v>
      </c>
      <c r="CL28" s="67">
        <v>0</v>
      </c>
      <c r="CM28" s="67"/>
      <c r="CN28" s="67"/>
      <c r="CO28" s="67">
        <v>0</v>
      </c>
      <c r="CP28" s="67">
        <v>0</v>
      </c>
      <c r="CQ28" s="67"/>
      <c r="CR28" s="67"/>
      <c r="CS28" s="67"/>
      <c r="CT28" s="67"/>
      <c r="CU28" s="67">
        <v>0</v>
      </c>
      <c r="CV28" s="67"/>
      <c r="CW28" s="67"/>
      <c r="CX28" s="67"/>
      <c r="CY28" s="67">
        <v>0</v>
      </c>
      <c r="CZ28" s="67"/>
      <c r="DA28" s="67"/>
      <c r="DB28" s="67"/>
      <c r="DC28" s="67"/>
      <c r="DF28" s="67"/>
      <c r="DG28" s="67">
        <v>0</v>
      </c>
      <c r="DH28" s="67">
        <v>0</v>
      </c>
      <c r="DI28" s="67">
        <v>0</v>
      </c>
      <c r="DJ28" s="67"/>
      <c r="DK28" s="67">
        <v>0</v>
      </c>
      <c r="DL28" s="67">
        <v>0</v>
      </c>
      <c r="DM28" s="67">
        <v>0</v>
      </c>
      <c r="DN28" s="67"/>
      <c r="DO28" s="67"/>
      <c r="DP28" s="67"/>
      <c r="DQ28" s="67">
        <v>0</v>
      </c>
      <c r="DR28" s="67">
        <v>0</v>
      </c>
      <c r="DS28" s="67"/>
      <c r="DT28" s="67"/>
      <c r="DU28" s="67">
        <v>0</v>
      </c>
      <c r="DV28" s="67">
        <v>0</v>
      </c>
      <c r="DW28" s="67">
        <v>0</v>
      </c>
      <c r="DX28" s="67">
        <v>0</v>
      </c>
      <c r="DY28" s="67"/>
      <c r="DZ28" s="67">
        <v>0</v>
      </c>
      <c r="EA28" s="67"/>
      <c r="EB28" s="67">
        <v>0</v>
      </c>
      <c r="EC28" s="67"/>
      <c r="ED28" s="67">
        <v>0</v>
      </c>
      <c r="EE28" s="67"/>
      <c r="EF28" s="67">
        <v>0</v>
      </c>
      <c r="EG28" s="67"/>
      <c r="EH28" s="67"/>
      <c r="EI28" s="67"/>
      <c r="EJ28" s="67"/>
      <c r="EK28" s="67"/>
      <c r="EL28" s="67"/>
      <c r="EM28" s="67"/>
      <c r="EN28" s="67"/>
      <c r="EO28" s="67"/>
      <c r="EP28" s="67">
        <v>0</v>
      </c>
      <c r="EQ28" s="67">
        <v>0</v>
      </c>
      <c r="ER28" s="67">
        <v>0</v>
      </c>
      <c r="ES28" s="67"/>
      <c r="ET28">
        <v>0</v>
      </c>
      <c r="EX28" s="67"/>
      <c r="EY28" s="67"/>
      <c r="EZ28" s="67"/>
      <c r="FA28" s="67">
        <v>0</v>
      </c>
      <c r="FB28" s="67"/>
      <c r="FC28" s="67"/>
      <c r="FD28" s="67"/>
      <c r="FE28" s="67"/>
      <c r="FF28" s="67"/>
      <c r="FG28" s="67"/>
      <c r="FH28" s="67"/>
      <c r="FI28" s="67" t="s">
        <v>1600</v>
      </c>
    </row>
    <row r="29" spans="2:165" ht="24" x14ac:dyDescent="0.2">
      <c r="B29" s="67" t="s">
        <v>305</v>
      </c>
      <c r="C29" s="67" t="s">
        <v>1616</v>
      </c>
      <c r="D29" s="67" t="s">
        <v>338</v>
      </c>
      <c r="E29" s="67" t="s">
        <v>13</v>
      </c>
      <c r="F29" s="67" t="s">
        <v>1284</v>
      </c>
      <c r="G29" s="67" t="s">
        <v>1614</v>
      </c>
      <c r="H29" s="67"/>
      <c r="I29" s="67" t="s">
        <v>22</v>
      </c>
      <c r="J29" s="67" t="s">
        <v>64</v>
      </c>
      <c r="K29" s="67" t="s">
        <v>1617</v>
      </c>
      <c r="L29" s="67" t="s">
        <v>787</v>
      </c>
      <c r="M29" s="67" t="s">
        <v>1615</v>
      </c>
      <c r="N29" s="67" t="s">
        <v>1598</v>
      </c>
      <c r="O29" s="67" t="s">
        <v>1606</v>
      </c>
      <c r="P29" s="67"/>
      <c r="Q29" s="67">
        <v>0</v>
      </c>
      <c r="R29" s="67">
        <v>0</v>
      </c>
      <c r="S29" s="67">
        <v>0</v>
      </c>
      <c r="T29" s="67">
        <v>0</v>
      </c>
      <c r="U29" s="67">
        <v>0</v>
      </c>
      <c r="V29" s="67">
        <v>0</v>
      </c>
      <c r="W29" s="67">
        <v>0</v>
      </c>
      <c r="X29" s="67">
        <v>0</v>
      </c>
      <c r="Y29" s="67">
        <v>0</v>
      </c>
      <c r="Z29" s="67">
        <v>0</v>
      </c>
      <c r="AA29" s="67">
        <v>0</v>
      </c>
      <c r="AB29" s="67">
        <v>0</v>
      </c>
      <c r="AC29" s="67">
        <v>0</v>
      </c>
      <c r="AD29" s="67">
        <v>0</v>
      </c>
      <c r="AE29" s="67">
        <v>0</v>
      </c>
      <c r="AF29" s="67">
        <v>0</v>
      </c>
      <c r="AG29" s="67">
        <v>0</v>
      </c>
      <c r="AH29" s="67">
        <v>0</v>
      </c>
      <c r="AI29" s="67">
        <v>0</v>
      </c>
      <c r="AJ29" s="67">
        <v>0</v>
      </c>
      <c r="AK29" s="67">
        <v>0</v>
      </c>
      <c r="AL29" s="67">
        <v>0</v>
      </c>
      <c r="AM29" s="67">
        <v>0</v>
      </c>
      <c r="AN29" s="67">
        <v>0</v>
      </c>
      <c r="AO29" s="67">
        <v>0</v>
      </c>
      <c r="AP29" s="67">
        <v>0</v>
      </c>
      <c r="AQ29" s="67">
        <v>0</v>
      </c>
      <c r="AR29" s="67">
        <v>0</v>
      </c>
      <c r="AS29" s="67">
        <v>0</v>
      </c>
      <c r="AT29" s="67"/>
      <c r="AU29" s="67"/>
      <c r="AV29" s="67"/>
      <c r="AW29" s="67">
        <v>0</v>
      </c>
      <c r="AX29" s="67">
        <v>0</v>
      </c>
      <c r="AY29" s="67"/>
      <c r="AZ29" s="67"/>
      <c r="BA29" s="67"/>
      <c r="BB29" s="67"/>
      <c r="BC29" s="67"/>
      <c r="BD29" s="67"/>
      <c r="BE29" s="67"/>
      <c r="BG29" s="67"/>
      <c r="BH29" s="67"/>
      <c r="BI29" s="67"/>
      <c r="BJ29" s="67">
        <v>0</v>
      </c>
      <c r="BK29" s="67"/>
      <c r="BL29" s="67"/>
      <c r="BP29" s="67"/>
      <c r="BQ29" s="67">
        <v>0</v>
      </c>
      <c r="BR29" s="67"/>
      <c r="BS29" s="67"/>
      <c r="BT29" s="67">
        <v>0</v>
      </c>
      <c r="BU29" s="67"/>
      <c r="BV29" s="67"/>
      <c r="BW29" s="67">
        <v>0</v>
      </c>
      <c r="BX29" s="67">
        <v>0</v>
      </c>
      <c r="BY29" s="67">
        <v>0</v>
      </c>
      <c r="BZ29" s="67">
        <v>0</v>
      </c>
      <c r="CA29" s="67"/>
      <c r="CB29" s="67">
        <v>0</v>
      </c>
      <c r="CC29" s="67"/>
      <c r="CD29" s="67"/>
      <c r="CE29" s="67">
        <v>0</v>
      </c>
      <c r="CF29" s="67">
        <v>0</v>
      </c>
      <c r="CG29" s="67"/>
      <c r="CH29" s="67"/>
      <c r="CI29" s="67"/>
      <c r="CJ29" s="67"/>
      <c r="CK29" s="67">
        <v>0</v>
      </c>
      <c r="CL29" s="67">
        <v>0</v>
      </c>
      <c r="CM29" s="67"/>
      <c r="CN29" s="67"/>
      <c r="CO29" s="67">
        <v>0</v>
      </c>
      <c r="CP29" s="67">
        <v>0</v>
      </c>
      <c r="CQ29" s="67"/>
      <c r="CR29" s="67"/>
      <c r="CS29" s="67"/>
      <c r="CT29" s="67"/>
      <c r="CU29" s="67">
        <v>0</v>
      </c>
      <c r="CV29" s="67"/>
      <c r="CW29" s="67"/>
      <c r="CX29" s="67"/>
      <c r="CY29" s="67">
        <v>0</v>
      </c>
      <c r="CZ29" s="67"/>
      <c r="DA29" s="67"/>
      <c r="DB29" s="67"/>
      <c r="DC29" s="67"/>
      <c r="DF29" s="67"/>
      <c r="DG29" s="67">
        <v>0</v>
      </c>
      <c r="DH29" s="67">
        <v>0</v>
      </c>
      <c r="DI29" s="67">
        <v>0</v>
      </c>
      <c r="DJ29" s="67"/>
      <c r="DK29" s="67">
        <v>0</v>
      </c>
      <c r="DL29" s="67">
        <v>0</v>
      </c>
      <c r="DM29" s="67">
        <v>0</v>
      </c>
      <c r="DN29" s="67"/>
      <c r="DO29" s="67"/>
      <c r="DP29" s="67"/>
      <c r="DQ29" s="67">
        <v>0</v>
      </c>
      <c r="DR29" s="67">
        <v>0</v>
      </c>
      <c r="DS29" s="67"/>
      <c r="DT29" s="67"/>
      <c r="DU29" s="67">
        <v>0</v>
      </c>
      <c r="DV29" s="67">
        <v>0</v>
      </c>
      <c r="DW29" s="67">
        <v>0</v>
      </c>
      <c r="DX29" s="67">
        <v>0</v>
      </c>
      <c r="DY29" s="67"/>
      <c r="DZ29" s="67">
        <v>0</v>
      </c>
      <c r="EA29" s="67"/>
      <c r="EB29" s="67">
        <v>0</v>
      </c>
      <c r="EC29" s="67"/>
      <c r="ED29" s="67">
        <v>0</v>
      </c>
      <c r="EE29" s="67"/>
      <c r="EF29" s="67">
        <v>0</v>
      </c>
      <c r="EG29" s="67"/>
      <c r="EH29" s="67"/>
      <c r="EI29" s="67"/>
      <c r="EJ29" s="67"/>
      <c r="EK29" s="67"/>
      <c r="EL29" s="67"/>
      <c r="EM29" s="67"/>
      <c r="EN29" s="67"/>
      <c r="EO29" s="67"/>
      <c r="EP29" s="67">
        <v>0</v>
      </c>
      <c r="EQ29" s="67">
        <v>0</v>
      </c>
      <c r="ER29" s="67">
        <v>0</v>
      </c>
      <c r="ES29" s="67"/>
      <c r="ET29">
        <v>0</v>
      </c>
      <c r="EX29" s="67"/>
      <c r="EY29" s="67"/>
      <c r="EZ29" s="67"/>
      <c r="FA29" s="67">
        <v>0</v>
      </c>
      <c r="FB29" s="67"/>
      <c r="FC29" s="67"/>
      <c r="FD29" s="67"/>
      <c r="FE29" s="67"/>
      <c r="FF29" s="67"/>
      <c r="FG29" s="67"/>
      <c r="FH29" s="67"/>
      <c r="FI29" s="67" t="s">
        <v>1600</v>
      </c>
    </row>
    <row r="30" spans="2:165" ht="24" x14ac:dyDescent="0.2">
      <c r="B30" s="67" t="s">
        <v>339</v>
      </c>
      <c r="C30" s="67" t="s">
        <v>339</v>
      </c>
      <c r="D30" s="67" t="s">
        <v>340</v>
      </c>
      <c r="E30" s="67" t="s">
        <v>13</v>
      </c>
      <c r="F30" s="67" t="s">
        <v>1618</v>
      </c>
      <c r="G30" s="67" t="s">
        <v>1597</v>
      </c>
      <c r="H30" s="67"/>
      <c r="I30" s="67" t="s">
        <v>41</v>
      </c>
      <c r="J30" s="67" t="s">
        <v>71</v>
      </c>
      <c r="K30" s="67" t="s">
        <v>839</v>
      </c>
      <c r="L30" s="67" t="s">
        <v>767</v>
      </c>
      <c r="M30" s="67" t="s">
        <v>752</v>
      </c>
      <c r="N30" s="67" t="s">
        <v>1598</v>
      </c>
      <c r="O30" s="67" t="s">
        <v>1610</v>
      </c>
      <c r="P30" s="67"/>
      <c r="Q30" s="67">
        <v>100</v>
      </c>
      <c r="R30" s="67">
        <v>0</v>
      </c>
      <c r="S30" s="67">
        <v>0</v>
      </c>
      <c r="T30" s="67">
        <v>0</v>
      </c>
      <c r="U30" s="67">
        <v>0</v>
      </c>
      <c r="V30" s="67">
        <v>0</v>
      </c>
      <c r="W30" s="67">
        <v>0</v>
      </c>
      <c r="X30" s="67">
        <v>0</v>
      </c>
      <c r="Y30" s="67">
        <v>0</v>
      </c>
      <c r="Z30" s="67">
        <v>0</v>
      </c>
      <c r="AA30" s="67">
        <v>0</v>
      </c>
      <c r="AB30" s="67">
        <v>0</v>
      </c>
      <c r="AC30" s="67">
        <v>0</v>
      </c>
      <c r="AD30" s="67">
        <v>0</v>
      </c>
      <c r="AE30" s="67">
        <v>0</v>
      </c>
      <c r="AF30" s="67">
        <v>0</v>
      </c>
      <c r="AG30" s="67">
        <v>0</v>
      </c>
      <c r="AH30" s="67">
        <v>0</v>
      </c>
      <c r="AI30" s="67">
        <v>0</v>
      </c>
      <c r="AJ30" s="67">
        <v>0</v>
      </c>
      <c r="AK30" s="67">
        <v>0</v>
      </c>
      <c r="AL30" s="67">
        <v>100</v>
      </c>
      <c r="AM30" s="67">
        <v>0</v>
      </c>
      <c r="AN30" s="67">
        <v>0</v>
      </c>
      <c r="AO30" s="67">
        <v>0</v>
      </c>
      <c r="AP30" s="67">
        <v>0</v>
      </c>
      <c r="AQ30" s="67">
        <v>0</v>
      </c>
      <c r="AR30" s="67">
        <v>0</v>
      </c>
      <c r="AS30" s="67">
        <v>0</v>
      </c>
      <c r="AT30" s="67"/>
      <c r="AU30" s="67"/>
      <c r="AV30" s="67"/>
      <c r="AW30" s="67">
        <v>0</v>
      </c>
      <c r="AX30" s="67">
        <v>0</v>
      </c>
      <c r="AY30" s="67"/>
      <c r="AZ30" s="67"/>
      <c r="BA30" s="67"/>
      <c r="BB30" s="67"/>
      <c r="BC30" s="67"/>
      <c r="BD30" s="67"/>
      <c r="BE30" s="67"/>
      <c r="BG30" s="67"/>
      <c r="BH30" s="67"/>
      <c r="BI30" s="67"/>
      <c r="BJ30" s="67">
        <v>0</v>
      </c>
      <c r="BK30" s="67"/>
      <c r="BL30" s="67"/>
      <c r="BP30" s="67"/>
      <c r="BQ30" s="67">
        <v>0</v>
      </c>
      <c r="BR30" s="67"/>
      <c r="BS30" s="67"/>
      <c r="BT30" s="67">
        <v>0</v>
      </c>
      <c r="BU30" s="67"/>
      <c r="BV30" s="67"/>
      <c r="BW30" s="67">
        <v>0</v>
      </c>
      <c r="BX30" s="67">
        <v>0</v>
      </c>
      <c r="BY30" s="67">
        <v>0</v>
      </c>
      <c r="BZ30" s="67">
        <v>0</v>
      </c>
      <c r="CA30" s="67"/>
      <c r="CB30" s="67">
        <v>0</v>
      </c>
      <c r="CC30" s="67"/>
      <c r="CD30" s="67"/>
      <c r="CE30" s="67">
        <v>0</v>
      </c>
      <c r="CF30" s="67">
        <v>0</v>
      </c>
      <c r="CG30" s="67"/>
      <c r="CH30" s="67"/>
      <c r="CI30" s="67"/>
      <c r="CJ30" s="67"/>
      <c r="CK30" s="67">
        <v>0</v>
      </c>
      <c r="CL30" s="67">
        <v>0</v>
      </c>
      <c r="CM30" s="67"/>
      <c r="CN30" s="67"/>
      <c r="CO30" s="67">
        <v>0</v>
      </c>
      <c r="CP30" s="67">
        <v>0</v>
      </c>
      <c r="CQ30" s="67"/>
      <c r="CR30" s="67"/>
      <c r="CS30" s="67"/>
      <c r="CT30" s="67"/>
      <c r="CU30" s="67">
        <v>0</v>
      </c>
      <c r="CV30" s="67"/>
      <c r="CW30" s="67"/>
      <c r="CX30" s="67"/>
      <c r="CY30" s="67">
        <v>0</v>
      </c>
      <c r="CZ30" s="67"/>
      <c r="DA30" s="67"/>
      <c r="DB30" s="67"/>
      <c r="DC30" s="67"/>
      <c r="DF30" s="67"/>
      <c r="DG30" s="67">
        <v>20</v>
      </c>
      <c r="DH30" s="67">
        <v>20</v>
      </c>
      <c r="DI30" s="67">
        <v>0</v>
      </c>
      <c r="DJ30" s="67"/>
      <c r="DK30" s="67">
        <v>0</v>
      </c>
      <c r="DL30" s="67">
        <v>0</v>
      </c>
      <c r="DM30" s="67">
        <v>0</v>
      </c>
      <c r="DN30" s="67"/>
      <c r="DO30" s="67"/>
      <c r="DP30" s="67"/>
      <c r="DQ30" s="67">
        <v>0</v>
      </c>
      <c r="DR30" s="67">
        <v>0</v>
      </c>
      <c r="DS30" s="67"/>
      <c r="DT30" s="67"/>
      <c r="DU30" s="67">
        <v>0</v>
      </c>
      <c r="DV30" s="67">
        <v>0</v>
      </c>
      <c r="DW30" s="67">
        <v>0</v>
      </c>
      <c r="DX30" s="67">
        <v>0</v>
      </c>
      <c r="DY30" s="67"/>
      <c r="DZ30" s="67">
        <v>0</v>
      </c>
      <c r="EA30" s="67"/>
      <c r="EB30" s="67">
        <v>0</v>
      </c>
      <c r="EC30" s="67"/>
      <c r="ED30" s="67">
        <v>0</v>
      </c>
      <c r="EE30" s="67"/>
      <c r="EF30" s="67">
        <v>0</v>
      </c>
      <c r="EG30" s="67"/>
      <c r="EH30" s="67"/>
      <c r="EI30" s="67"/>
      <c r="EJ30" s="67"/>
      <c r="EK30" s="67"/>
      <c r="EL30" s="67"/>
      <c r="EM30" s="67"/>
      <c r="EN30" s="67"/>
      <c r="EO30" s="67"/>
      <c r="EP30" s="67">
        <v>0</v>
      </c>
      <c r="EQ30" s="67">
        <v>0</v>
      </c>
      <c r="ER30" s="67">
        <v>0</v>
      </c>
      <c r="ES30" s="67"/>
      <c r="ET30">
        <v>0</v>
      </c>
      <c r="EX30" s="67"/>
      <c r="EY30" s="67"/>
      <c r="EZ30" s="67"/>
      <c r="FA30" s="67">
        <v>120</v>
      </c>
      <c r="FB30" s="67"/>
      <c r="FC30" s="67"/>
      <c r="FD30" s="67"/>
      <c r="FE30" s="67"/>
      <c r="FF30" s="67"/>
      <c r="FG30" s="67"/>
      <c r="FH30" s="67"/>
      <c r="FI30" s="67" t="s">
        <v>1600</v>
      </c>
    </row>
    <row r="31" spans="2:165" ht="24" x14ac:dyDescent="0.2">
      <c r="B31" s="67" t="s">
        <v>305</v>
      </c>
      <c r="C31" s="67" t="s">
        <v>1619</v>
      </c>
      <c r="D31" s="67" t="s">
        <v>341</v>
      </c>
      <c r="E31" s="67" t="s">
        <v>13</v>
      </c>
      <c r="F31" s="67" t="s">
        <v>1284</v>
      </c>
      <c r="G31" s="67" t="s">
        <v>1614</v>
      </c>
      <c r="H31" s="67"/>
      <c r="I31" s="67" t="s">
        <v>22</v>
      </c>
      <c r="J31" s="67" t="s">
        <v>64</v>
      </c>
      <c r="K31" s="67" t="s">
        <v>985</v>
      </c>
      <c r="L31" s="67" t="s">
        <v>787</v>
      </c>
      <c r="M31" s="67" t="s">
        <v>1615</v>
      </c>
      <c r="N31" s="67" t="s">
        <v>1601</v>
      </c>
      <c r="O31" s="67" t="s">
        <v>1606</v>
      </c>
      <c r="P31" s="67"/>
      <c r="Q31" s="67">
        <v>0</v>
      </c>
      <c r="R31" s="67">
        <v>0</v>
      </c>
      <c r="S31" s="67">
        <v>0</v>
      </c>
      <c r="T31" s="67">
        <v>0</v>
      </c>
      <c r="U31" s="67">
        <v>0</v>
      </c>
      <c r="V31" s="67">
        <v>0</v>
      </c>
      <c r="W31" s="67">
        <v>0</v>
      </c>
      <c r="X31" s="67">
        <v>0</v>
      </c>
      <c r="Y31" s="67">
        <v>0</v>
      </c>
      <c r="Z31" s="67">
        <v>0</v>
      </c>
      <c r="AA31" s="67">
        <v>0</v>
      </c>
      <c r="AB31" s="67">
        <v>0</v>
      </c>
      <c r="AC31" s="67">
        <v>0</v>
      </c>
      <c r="AD31" s="67">
        <v>0</v>
      </c>
      <c r="AE31" s="67">
        <v>0</v>
      </c>
      <c r="AF31" s="67">
        <v>0</v>
      </c>
      <c r="AG31" s="67">
        <v>0</v>
      </c>
      <c r="AH31" s="67">
        <v>0</v>
      </c>
      <c r="AI31" s="67">
        <v>0</v>
      </c>
      <c r="AJ31" s="67">
        <v>0</v>
      </c>
      <c r="AK31" s="67">
        <v>0</v>
      </c>
      <c r="AL31" s="67">
        <v>0</v>
      </c>
      <c r="AM31" s="67">
        <v>0</v>
      </c>
      <c r="AN31" s="67">
        <v>0</v>
      </c>
      <c r="AO31" s="67">
        <v>0</v>
      </c>
      <c r="AP31" s="67">
        <v>0</v>
      </c>
      <c r="AQ31" s="67">
        <v>0</v>
      </c>
      <c r="AR31" s="67">
        <v>0</v>
      </c>
      <c r="AS31" s="67">
        <v>0</v>
      </c>
      <c r="AT31" s="67"/>
      <c r="AU31" s="67"/>
      <c r="AV31" s="67"/>
      <c r="AW31" s="67">
        <v>0</v>
      </c>
      <c r="AX31" s="67">
        <v>0</v>
      </c>
      <c r="AY31" s="67"/>
      <c r="AZ31" s="67"/>
      <c r="BA31" s="67"/>
      <c r="BB31" s="67"/>
      <c r="BC31" s="67"/>
      <c r="BD31" s="67"/>
      <c r="BE31" s="67"/>
      <c r="BG31" s="67"/>
      <c r="BH31" s="67"/>
      <c r="BI31" s="67"/>
      <c r="BJ31" s="67">
        <v>0</v>
      </c>
      <c r="BK31" s="67"/>
      <c r="BL31" s="67"/>
      <c r="BP31" s="67"/>
      <c r="BQ31" s="67">
        <v>0</v>
      </c>
      <c r="BR31" s="67"/>
      <c r="BS31" s="67"/>
      <c r="BT31" s="67">
        <v>0</v>
      </c>
      <c r="BU31" s="67"/>
      <c r="BV31" s="67"/>
      <c r="BW31" s="67">
        <v>0</v>
      </c>
      <c r="BX31" s="67">
        <v>0</v>
      </c>
      <c r="BY31" s="67">
        <v>0</v>
      </c>
      <c r="BZ31" s="67">
        <v>0</v>
      </c>
      <c r="CA31" s="67"/>
      <c r="CB31" s="67">
        <v>0</v>
      </c>
      <c r="CC31" s="67"/>
      <c r="CD31" s="67"/>
      <c r="CE31" s="67">
        <v>0</v>
      </c>
      <c r="CF31" s="67">
        <v>0</v>
      </c>
      <c r="CG31" s="67"/>
      <c r="CH31" s="67"/>
      <c r="CI31" s="67"/>
      <c r="CJ31" s="67"/>
      <c r="CK31" s="67">
        <v>0</v>
      </c>
      <c r="CL31" s="67">
        <v>0</v>
      </c>
      <c r="CM31" s="67"/>
      <c r="CN31" s="67"/>
      <c r="CO31" s="67">
        <v>0</v>
      </c>
      <c r="CP31" s="67">
        <v>0</v>
      </c>
      <c r="CQ31" s="67"/>
      <c r="CR31" s="67"/>
      <c r="CS31" s="67"/>
      <c r="CT31" s="67"/>
      <c r="CU31" s="67">
        <v>0</v>
      </c>
      <c r="CV31" s="67"/>
      <c r="CW31" s="67"/>
      <c r="CX31" s="67"/>
      <c r="CY31" s="67">
        <v>0</v>
      </c>
      <c r="CZ31" s="67"/>
      <c r="DA31" s="67"/>
      <c r="DB31" s="67"/>
      <c r="DC31" s="67"/>
      <c r="DF31" s="67"/>
      <c r="DG31" s="67">
        <v>0</v>
      </c>
      <c r="DH31" s="67">
        <v>0</v>
      </c>
      <c r="DI31" s="67">
        <v>0</v>
      </c>
      <c r="DJ31" s="67"/>
      <c r="DK31" s="67">
        <v>0</v>
      </c>
      <c r="DL31" s="67">
        <v>0</v>
      </c>
      <c r="DM31" s="67">
        <v>0</v>
      </c>
      <c r="DN31" s="67"/>
      <c r="DO31" s="67"/>
      <c r="DP31" s="67"/>
      <c r="DQ31" s="67">
        <v>0</v>
      </c>
      <c r="DR31" s="67">
        <v>0</v>
      </c>
      <c r="DS31" s="67"/>
      <c r="DT31" s="67"/>
      <c r="DU31" s="67">
        <v>0</v>
      </c>
      <c r="DV31" s="67">
        <v>0</v>
      </c>
      <c r="DW31" s="67">
        <v>0</v>
      </c>
      <c r="DX31" s="67">
        <v>0</v>
      </c>
      <c r="DY31" s="67"/>
      <c r="DZ31" s="67">
        <v>0</v>
      </c>
      <c r="EA31" s="67"/>
      <c r="EB31" s="67">
        <v>0</v>
      </c>
      <c r="EC31" s="67"/>
      <c r="ED31" s="67">
        <v>0</v>
      </c>
      <c r="EE31" s="67"/>
      <c r="EF31" s="67">
        <v>0</v>
      </c>
      <c r="EG31" s="67"/>
      <c r="EH31" s="67"/>
      <c r="EI31" s="67"/>
      <c r="EJ31" s="67"/>
      <c r="EK31" s="67"/>
      <c r="EL31" s="67"/>
      <c r="EM31" s="67"/>
      <c r="EN31" s="67"/>
      <c r="EO31" s="67"/>
      <c r="EP31" s="67">
        <v>0</v>
      </c>
      <c r="EQ31" s="67">
        <v>0</v>
      </c>
      <c r="ER31" s="67">
        <v>0</v>
      </c>
      <c r="ES31" s="67"/>
      <c r="ET31">
        <v>0</v>
      </c>
      <c r="EX31" s="67"/>
      <c r="EY31" s="67"/>
      <c r="EZ31" s="67"/>
      <c r="FA31" s="67">
        <v>0</v>
      </c>
      <c r="FB31" s="67"/>
      <c r="FC31" s="67"/>
      <c r="FD31" s="67"/>
      <c r="FE31" s="67"/>
      <c r="FF31" s="67"/>
      <c r="FG31" s="67"/>
      <c r="FH31" s="67"/>
      <c r="FI31" s="67" t="s">
        <v>1600</v>
      </c>
    </row>
    <row r="32" spans="2:165" ht="24" x14ac:dyDescent="0.2">
      <c r="B32" s="67" t="s">
        <v>342</v>
      </c>
      <c r="C32" s="67" t="s">
        <v>342</v>
      </c>
      <c r="D32" s="67" t="s">
        <v>343</v>
      </c>
      <c r="E32" s="67" t="s">
        <v>13</v>
      </c>
      <c r="F32" s="67" t="s">
        <v>766</v>
      </c>
      <c r="G32" s="67" t="s">
        <v>1597</v>
      </c>
      <c r="H32" s="67"/>
      <c r="I32" s="67" t="s">
        <v>41</v>
      </c>
      <c r="J32" s="67" t="s">
        <v>68</v>
      </c>
      <c r="K32" s="67" t="s">
        <v>1059</v>
      </c>
      <c r="L32" s="67" t="s">
        <v>767</v>
      </c>
      <c r="M32" s="67" t="s">
        <v>752</v>
      </c>
      <c r="N32" s="67" t="s">
        <v>1607</v>
      </c>
      <c r="O32" s="67" t="s">
        <v>1608</v>
      </c>
      <c r="P32" s="67"/>
      <c r="Q32" s="67">
        <v>480</v>
      </c>
      <c r="R32" s="67">
        <v>0</v>
      </c>
      <c r="S32" s="67">
        <v>0</v>
      </c>
      <c r="T32" s="67">
        <v>0</v>
      </c>
      <c r="U32" s="67">
        <v>0</v>
      </c>
      <c r="V32" s="67">
        <v>0</v>
      </c>
      <c r="W32" s="67">
        <v>0</v>
      </c>
      <c r="X32" s="67">
        <v>0</v>
      </c>
      <c r="Y32" s="67">
        <v>0</v>
      </c>
      <c r="Z32" s="67">
        <v>0</v>
      </c>
      <c r="AA32" s="67">
        <v>0</v>
      </c>
      <c r="AB32" s="67">
        <v>0</v>
      </c>
      <c r="AC32" s="67">
        <v>0</v>
      </c>
      <c r="AD32" s="67">
        <v>0</v>
      </c>
      <c r="AE32" s="67">
        <v>0</v>
      </c>
      <c r="AF32" s="67">
        <v>0</v>
      </c>
      <c r="AG32" s="67">
        <v>480</v>
      </c>
      <c r="AH32" s="67">
        <v>0</v>
      </c>
      <c r="AI32" s="67">
        <v>0</v>
      </c>
      <c r="AJ32" s="67">
        <v>0</v>
      </c>
      <c r="AK32" s="67">
        <v>0</v>
      </c>
      <c r="AL32" s="67">
        <v>0</v>
      </c>
      <c r="AM32" s="67">
        <v>0</v>
      </c>
      <c r="AN32" s="67">
        <v>0</v>
      </c>
      <c r="AO32" s="67">
        <v>0</v>
      </c>
      <c r="AP32" s="67">
        <v>0</v>
      </c>
      <c r="AQ32" s="67">
        <v>0</v>
      </c>
      <c r="AR32" s="67">
        <v>0</v>
      </c>
      <c r="AS32" s="67">
        <v>0</v>
      </c>
      <c r="AT32" s="67"/>
      <c r="AU32" s="67"/>
      <c r="AV32" s="67"/>
      <c r="AW32" s="67">
        <v>0</v>
      </c>
      <c r="AX32" s="67">
        <v>0</v>
      </c>
      <c r="AY32" s="67"/>
      <c r="AZ32" s="67"/>
      <c r="BA32" s="67"/>
      <c r="BB32" s="67"/>
      <c r="BC32" s="67"/>
      <c r="BD32" s="67"/>
      <c r="BE32" s="67"/>
      <c r="BG32" s="67"/>
      <c r="BH32" s="67"/>
      <c r="BI32" s="67"/>
      <c r="BJ32" s="67">
        <v>0</v>
      </c>
      <c r="BK32" s="67"/>
      <c r="BL32" s="67"/>
      <c r="BP32" s="67"/>
      <c r="BQ32" s="67">
        <v>0</v>
      </c>
      <c r="BR32" s="67"/>
      <c r="BS32" s="67"/>
      <c r="BT32" s="67">
        <v>0</v>
      </c>
      <c r="BU32" s="67"/>
      <c r="BV32" s="67"/>
      <c r="BW32" s="67">
        <v>0</v>
      </c>
      <c r="BX32" s="67">
        <v>0</v>
      </c>
      <c r="BY32" s="67">
        <v>0</v>
      </c>
      <c r="BZ32" s="67">
        <v>0</v>
      </c>
      <c r="CA32" s="67"/>
      <c r="CB32" s="67">
        <v>0</v>
      </c>
      <c r="CC32" s="67"/>
      <c r="CD32" s="67"/>
      <c r="CE32" s="67">
        <v>0</v>
      </c>
      <c r="CF32" s="67">
        <v>0</v>
      </c>
      <c r="CG32" s="67"/>
      <c r="CH32" s="67"/>
      <c r="CI32" s="67"/>
      <c r="CJ32" s="67"/>
      <c r="CK32" s="67">
        <v>0</v>
      </c>
      <c r="CL32" s="67">
        <v>0</v>
      </c>
      <c r="CM32" s="67"/>
      <c r="CN32" s="67"/>
      <c r="CO32" s="67">
        <v>0</v>
      </c>
      <c r="CP32" s="67">
        <v>0</v>
      </c>
      <c r="CQ32" s="67"/>
      <c r="CR32" s="67"/>
      <c r="CS32" s="67"/>
      <c r="CT32" s="67"/>
      <c r="CU32" s="67">
        <v>0</v>
      </c>
      <c r="CV32" s="67"/>
      <c r="CW32" s="67"/>
      <c r="CX32" s="67"/>
      <c r="CY32" s="67">
        <v>0</v>
      </c>
      <c r="CZ32" s="67"/>
      <c r="DA32" s="67"/>
      <c r="DB32" s="67"/>
      <c r="DC32" s="67"/>
      <c r="DF32" s="67"/>
      <c r="DG32" s="67">
        <v>0</v>
      </c>
      <c r="DH32" s="67">
        <v>0</v>
      </c>
      <c r="DI32" s="67">
        <v>0</v>
      </c>
      <c r="DJ32" s="67"/>
      <c r="DK32" s="67">
        <v>0</v>
      </c>
      <c r="DL32" s="67">
        <v>0</v>
      </c>
      <c r="DM32" s="67">
        <v>0</v>
      </c>
      <c r="DN32" s="67"/>
      <c r="DO32" s="67"/>
      <c r="DP32" s="67"/>
      <c r="DQ32" s="67">
        <v>0</v>
      </c>
      <c r="DR32" s="67">
        <v>0</v>
      </c>
      <c r="DS32" s="67"/>
      <c r="DT32" s="67"/>
      <c r="DU32" s="67">
        <v>0</v>
      </c>
      <c r="DV32" s="67">
        <v>0</v>
      </c>
      <c r="DW32" s="67">
        <v>0</v>
      </c>
      <c r="DX32" s="67">
        <v>0</v>
      </c>
      <c r="DY32" s="67"/>
      <c r="DZ32" s="67">
        <v>0</v>
      </c>
      <c r="EA32" s="67"/>
      <c r="EB32" s="67">
        <v>0</v>
      </c>
      <c r="EC32" s="67"/>
      <c r="ED32" s="67">
        <v>0</v>
      </c>
      <c r="EE32" s="67"/>
      <c r="EF32" s="67">
        <v>0</v>
      </c>
      <c r="EG32" s="67"/>
      <c r="EH32" s="67"/>
      <c r="EI32" s="67"/>
      <c r="EJ32" s="67"/>
      <c r="EK32" s="67"/>
      <c r="EL32" s="67"/>
      <c r="EM32" s="67"/>
      <c r="EN32" s="67"/>
      <c r="EO32" s="67"/>
      <c r="EP32" s="67">
        <v>0</v>
      </c>
      <c r="EQ32" s="67">
        <v>0</v>
      </c>
      <c r="ER32" s="67">
        <v>0</v>
      </c>
      <c r="ES32" s="67"/>
      <c r="ET32">
        <v>0</v>
      </c>
      <c r="EX32" s="67"/>
      <c r="EY32" s="67"/>
      <c r="EZ32" s="67"/>
      <c r="FA32" s="67">
        <v>480</v>
      </c>
      <c r="FB32" s="67"/>
      <c r="FC32" s="67"/>
      <c r="FD32" s="67"/>
      <c r="FE32" s="67"/>
      <c r="FF32" s="67"/>
      <c r="FG32" s="67"/>
      <c r="FH32" s="67"/>
      <c r="FI32" s="67" t="s">
        <v>1600</v>
      </c>
    </row>
    <row r="33" spans="2:165" x14ac:dyDescent="0.2">
      <c r="B33" s="67" t="s">
        <v>305</v>
      </c>
      <c r="C33" s="67" t="s">
        <v>1620</v>
      </c>
      <c r="D33" s="67" t="s">
        <v>344</v>
      </c>
      <c r="E33" s="67" t="s">
        <v>305</v>
      </c>
      <c r="F33" s="67" t="s">
        <v>305</v>
      </c>
      <c r="G33" s="67" t="s">
        <v>345</v>
      </c>
      <c r="H33" s="67"/>
      <c r="I33" s="67" t="s">
        <v>305</v>
      </c>
      <c r="J33" s="67" t="s">
        <v>305</v>
      </c>
      <c r="K33" s="67" t="s">
        <v>305</v>
      </c>
      <c r="L33" s="67" t="s">
        <v>787</v>
      </c>
      <c r="M33" s="67" t="s">
        <v>752</v>
      </c>
      <c r="N33" s="67" t="s">
        <v>305</v>
      </c>
      <c r="O33" s="67" t="s">
        <v>305</v>
      </c>
      <c r="P33" s="67" t="s">
        <v>346</v>
      </c>
      <c r="Q33" s="67">
        <v>0</v>
      </c>
      <c r="R33" s="67">
        <v>0</v>
      </c>
      <c r="S33" s="67">
        <v>0</v>
      </c>
      <c r="T33" s="67">
        <v>0</v>
      </c>
      <c r="U33" s="67">
        <v>0</v>
      </c>
      <c r="V33" s="67">
        <v>0</v>
      </c>
      <c r="W33" s="67">
        <v>0</v>
      </c>
      <c r="X33" s="67">
        <v>0</v>
      </c>
      <c r="Y33" s="67">
        <v>0</v>
      </c>
      <c r="Z33" s="67">
        <v>0</v>
      </c>
      <c r="AA33" s="67">
        <v>0</v>
      </c>
      <c r="AB33" s="67">
        <v>0</v>
      </c>
      <c r="AC33" s="67">
        <v>0</v>
      </c>
      <c r="AD33" s="67">
        <v>0</v>
      </c>
      <c r="AE33" s="67">
        <v>0</v>
      </c>
      <c r="AF33" s="67">
        <v>0</v>
      </c>
      <c r="AG33" s="67">
        <v>0</v>
      </c>
      <c r="AH33" s="67">
        <v>0</v>
      </c>
      <c r="AI33" s="67">
        <v>0</v>
      </c>
      <c r="AJ33" s="67">
        <v>0</v>
      </c>
      <c r="AK33" s="67">
        <v>0</v>
      </c>
      <c r="AL33" s="67">
        <v>0</v>
      </c>
      <c r="AM33" s="67">
        <v>0</v>
      </c>
      <c r="AN33" s="67">
        <v>0</v>
      </c>
      <c r="AO33" s="67">
        <v>0</v>
      </c>
      <c r="AP33" s="67">
        <v>0</v>
      </c>
      <c r="AQ33" s="67">
        <v>0</v>
      </c>
      <c r="AR33" s="67">
        <v>0</v>
      </c>
      <c r="AS33" s="67">
        <v>0</v>
      </c>
      <c r="AT33" s="67"/>
      <c r="AU33" s="67"/>
      <c r="AV33" s="67"/>
      <c r="AW33" s="67">
        <v>0</v>
      </c>
      <c r="AX33" s="67">
        <v>0</v>
      </c>
      <c r="AY33" s="67"/>
      <c r="AZ33" s="67"/>
      <c r="BA33" s="67"/>
      <c r="BB33" s="67"/>
      <c r="BC33" s="67"/>
      <c r="BD33" s="67"/>
      <c r="BE33" s="67"/>
      <c r="BG33" s="67"/>
      <c r="BH33" s="67"/>
      <c r="BI33" s="67"/>
      <c r="BJ33" s="67">
        <v>0</v>
      </c>
      <c r="BK33" s="67"/>
      <c r="BL33" s="67"/>
      <c r="BP33" s="67"/>
      <c r="BQ33" s="67">
        <v>0</v>
      </c>
      <c r="BR33" s="67"/>
      <c r="BS33" s="67"/>
      <c r="BT33" s="67">
        <v>0</v>
      </c>
      <c r="BU33" s="67"/>
      <c r="BV33" s="67"/>
      <c r="BW33" s="67">
        <v>0</v>
      </c>
      <c r="BX33" s="67">
        <v>0</v>
      </c>
      <c r="BY33" s="67">
        <v>0</v>
      </c>
      <c r="BZ33" s="67">
        <v>0</v>
      </c>
      <c r="CA33" s="67"/>
      <c r="CB33" s="67">
        <v>0</v>
      </c>
      <c r="CC33" s="67"/>
      <c r="CD33" s="67"/>
      <c r="CE33" s="67">
        <v>0</v>
      </c>
      <c r="CF33" s="67">
        <v>0</v>
      </c>
      <c r="CG33" s="67"/>
      <c r="CH33" s="67"/>
      <c r="CI33" s="67"/>
      <c r="CJ33" s="67"/>
      <c r="CK33" s="67">
        <v>0</v>
      </c>
      <c r="CL33" s="67">
        <v>0</v>
      </c>
      <c r="CM33" s="67"/>
      <c r="CN33" s="67"/>
      <c r="CO33" s="67">
        <v>0</v>
      </c>
      <c r="CP33" s="67">
        <v>0</v>
      </c>
      <c r="CQ33" s="67"/>
      <c r="CR33" s="67"/>
      <c r="CS33" s="67"/>
      <c r="CT33" s="67"/>
      <c r="CU33" s="67">
        <v>0</v>
      </c>
      <c r="CV33" s="67"/>
      <c r="CW33" s="67"/>
      <c r="CX33" s="67"/>
      <c r="CY33" s="67">
        <v>0</v>
      </c>
      <c r="CZ33" s="67"/>
      <c r="DA33" s="67"/>
      <c r="DB33" s="67"/>
      <c r="DC33" s="67"/>
      <c r="DF33" s="67"/>
      <c r="DG33" s="67">
        <v>0</v>
      </c>
      <c r="DH33" s="67">
        <v>0</v>
      </c>
      <c r="DI33" s="67">
        <v>0</v>
      </c>
      <c r="DJ33" s="67"/>
      <c r="DK33" s="67">
        <v>0</v>
      </c>
      <c r="DL33" s="67">
        <v>0</v>
      </c>
      <c r="DM33" s="67">
        <v>0</v>
      </c>
      <c r="DN33" s="67"/>
      <c r="DO33" s="67"/>
      <c r="DP33" s="67"/>
      <c r="DQ33" s="67">
        <v>0</v>
      </c>
      <c r="DR33" s="67">
        <v>0</v>
      </c>
      <c r="DS33" s="67"/>
      <c r="DT33" s="67"/>
      <c r="DU33" s="67">
        <v>0</v>
      </c>
      <c r="DV33" s="67">
        <v>0</v>
      </c>
      <c r="DW33" s="67">
        <v>0</v>
      </c>
      <c r="DX33" s="67">
        <v>0</v>
      </c>
      <c r="DY33" s="67"/>
      <c r="DZ33" s="67">
        <v>0</v>
      </c>
      <c r="EA33" s="67"/>
      <c r="EB33" s="67">
        <v>0</v>
      </c>
      <c r="EC33" s="67"/>
      <c r="ED33" s="67">
        <v>0</v>
      </c>
      <c r="EE33" s="67"/>
      <c r="EF33" s="67">
        <v>0</v>
      </c>
      <c r="EG33" s="67"/>
      <c r="EH33" s="67"/>
      <c r="EI33" s="67"/>
      <c r="EJ33" s="67"/>
      <c r="EK33" s="67"/>
      <c r="EL33" s="67"/>
      <c r="EM33" s="67"/>
      <c r="EN33" s="67"/>
      <c r="EO33" s="67"/>
      <c r="EP33" s="67">
        <v>0</v>
      </c>
      <c r="EQ33" s="67">
        <v>0</v>
      </c>
      <c r="ER33" s="67">
        <v>0</v>
      </c>
      <c r="ES33" s="67"/>
      <c r="ET33">
        <v>0</v>
      </c>
      <c r="EX33" s="67"/>
      <c r="EY33" s="67"/>
      <c r="EZ33" s="67"/>
      <c r="FA33" s="67">
        <v>0</v>
      </c>
      <c r="FB33" s="67"/>
      <c r="FC33" s="67"/>
      <c r="FD33" s="67"/>
      <c r="FE33" s="67"/>
      <c r="FF33" s="67"/>
      <c r="FG33" s="67"/>
      <c r="FH33" s="67"/>
      <c r="FI33" s="67" t="s">
        <v>1600</v>
      </c>
    </row>
    <row r="34" spans="2:165" ht="24" x14ac:dyDescent="0.2">
      <c r="B34" s="67" t="s">
        <v>305</v>
      </c>
      <c r="C34" s="67" t="s">
        <v>1621</v>
      </c>
      <c r="D34" s="67" t="s">
        <v>347</v>
      </c>
      <c r="E34" s="67" t="s">
        <v>13</v>
      </c>
      <c r="F34" s="67" t="s">
        <v>1241</v>
      </c>
      <c r="G34" s="67" t="s">
        <v>345</v>
      </c>
      <c r="H34" s="67"/>
      <c r="I34" s="67" t="s">
        <v>41</v>
      </c>
      <c r="J34" s="67" t="s">
        <v>74</v>
      </c>
      <c r="K34" s="67" t="s">
        <v>1622</v>
      </c>
      <c r="L34" s="67" t="s">
        <v>787</v>
      </c>
      <c r="M34" s="67" t="s">
        <v>752</v>
      </c>
      <c r="N34" s="67" t="s">
        <v>1604</v>
      </c>
      <c r="O34" s="67" t="s">
        <v>1605</v>
      </c>
      <c r="P34" s="67" t="s">
        <v>346</v>
      </c>
      <c r="Q34" s="67">
        <v>0</v>
      </c>
      <c r="R34" s="67">
        <v>0</v>
      </c>
      <c r="S34" s="67">
        <v>0</v>
      </c>
      <c r="T34" s="67">
        <v>0</v>
      </c>
      <c r="U34" s="67">
        <v>0</v>
      </c>
      <c r="V34" s="67">
        <v>0</v>
      </c>
      <c r="W34" s="67">
        <v>0</v>
      </c>
      <c r="X34" s="67">
        <v>0</v>
      </c>
      <c r="Y34" s="67">
        <v>0</v>
      </c>
      <c r="Z34" s="67">
        <v>0</v>
      </c>
      <c r="AA34" s="67">
        <v>0</v>
      </c>
      <c r="AB34" s="67">
        <v>0</v>
      </c>
      <c r="AC34" s="67">
        <v>0</v>
      </c>
      <c r="AD34" s="67">
        <v>0</v>
      </c>
      <c r="AE34" s="67">
        <v>0</v>
      </c>
      <c r="AF34" s="67">
        <v>0</v>
      </c>
      <c r="AG34" s="67">
        <v>0</v>
      </c>
      <c r="AH34" s="67">
        <v>0</v>
      </c>
      <c r="AI34" s="67">
        <v>0</v>
      </c>
      <c r="AJ34" s="67">
        <v>0</v>
      </c>
      <c r="AK34" s="67">
        <v>0</v>
      </c>
      <c r="AL34" s="67">
        <v>0</v>
      </c>
      <c r="AM34" s="67">
        <v>0</v>
      </c>
      <c r="AN34" s="67">
        <v>0</v>
      </c>
      <c r="AO34" s="67">
        <v>0</v>
      </c>
      <c r="AP34" s="67">
        <v>0</v>
      </c>
      <c r="AQ34" s="67">
        <v>0</v>
      </c>
      <c r="AR34" s="67">
        <v>0</v>
      </c>
      <c r="AS34" s="67">
        <v>0</v>
      </c>
      <c r="AT34" s="67"/>
      <c r="AU34" s="67"/>
      <c r="AV34" s="67"/>
      <c r="AW34" s="67">
        <v>0</v>
      </c>
      <c r="AX34" s="67">
        <v>0</v>
      </c>
      <c r="AY34" s="67"/>
      <c r="AZ34" s="67"/>
      <c r="BA34" s="67"/>
      <c r="BB34" s="67"/>
      <c r="BC34" s="67"/>
      <c r="BD34" s="67"/>
      <c r="BE34" s="67"/>
      <c r="BG34" s="67"/>
      <c r="BH34" s="67"/>
      <c r="BI34" s="67"/>
      <c r="BJ34" s="67">
        <v>0</v>
      </c>
      <c r="BK34" s="67"/>
      <c r="BL34" s="67"/>
      <c r="BP34" s="67"/>
      <c r="BQ34" s="67">
        <v>0</v>
      </c>
      <c r="BR34" s="67"/>
      <c r="BS34" s="67"/>
      <c r="BT34" s="67">
        <v>0</v>
      </c>
      <c r="BU34" s="67"/>
      <c r="BV34" s="67"/>
      <c r="BW34" s="67">
        <v>0</v>
      </c>
      <c r="BX34" s="67">
        <v>0</v>
      </c>
      <c r="BY34" s="67">
        <v>0</v>
      </c>
      <c r="BZ34" s="67">
        <v>0</v>
      </c>
      <c r="CA34" s="67"/>
      <c r="CB34" s="67">
        <v>0</v>
      </c>
      <c r="CC34" s="67"/>
      <c r="CD34" s="67"/>
      <c r="CE34" s="67">
        <v>0</v>
      </c>
      <c r="CF34" s="67">
        <v>0</v>
      </c>
      <c r="CG34" s="67"/>
      <c r="CH34" s="67"/>
      <c r="CI34" s="67"/>
      <c r="CJ34" s="67"/>
      <c r="CK34" s="67">
        <v>0</v>
      </c>
      <c r="CL34" s="67">
        <v>0</v>
      </c>
      <c r="CM34" s="67"/>
      <c r="CN34" s="67"/>
      <c r="CO34" s="67">
        <v>0</v>
      </c>
      <c r="CP34" s="67">
        <v>0</v>
      </c>
      <c r="CQ34" s="67"/>
      <c r="CR34" s="67"/>
      <c r="CS34" s="67"/>
      <c r="CT34" s="67"/>
      <c r="CU34" s="67">
        <v>0</v>
      </c>
      <c r="CV34" s="67"/>
      <c r="CW34" s="67"/>
      <c r="CX34" s="67"/>
      <c r="CY34" s="67">
        <v>0</v>
      </c>
      <c r="CZ34" s="67"/>
      <c r="DA34" s="67"/>
      <c r="DB34" s="67"/>
      <c r="DC34" s="67"/>
      <c r="DF34" s="67"/>
      <c r="DG34" s="67">
        <v>0</v>
      </c>
      <c r="DH34" s="67">
        <v>0</v>
      </c>
      <c r="DI34" s="67">
        <v>0</v>
      </c>
      <c r="DJ34" s="67"/>
      <c r="DK34" s="67">
        <v>0</v>
      </c>
      <c r="DL34" s="67">
        <v>0</v>
      </c>
      <c r="DM34" s="67">
        <v>0</v>
      </c>
      <c r="DN34" s="67"/>
      <c r="DO34" s="67"/>
      <c r="DP34" s="67"/>
      <c r="DQ34" s="67">
        <v>0</v>
      </c>
      <c r="DR34" s="67">
        <v>0</v>
      </c>
      <c r="DS34" s="67"/>
      <c r="DT34" s="67"/>
      <c r="DU34" s="67">
        <v>0</v>
      </c>
      <c r="DV34" s="67">
        <v>0</v>
      </c>
      <c r="DW34" s="67">
        <v>0</v>
      </c>
      <c r="DX34" s="67">
        <v>0</v>
      </c>
      <c r="DY34" s="67"/>
      <c r="DZ34" s="67">
        <v>0</v>
      </c>
      <c r="EA34" s="67"/>
      <c r="EB34" s="67">
        <v>0</v>
      </c>
      <c r="EC34" s="67"/>
      <c r="ED34" s="67">
        <v>0</v>
      </c>
      <c r="EE34" s="67"/>
      <c r="EF34" s="67">
        <v>0</v>
      </c>
      <c r="EG34" s="67"/>
      <c r="EH34" s="67"/>
      <c r="EI34" s="67"/>
      <c r="EJ34" s="67"/>
      <c r="EK34" s="67"/>
      <c r="EL34" s="67"/>
      <c r="EM34" s="67"/>
      <c r="EN34" s="67"/>
      <c r="EO34" s="67"/>
      <c r="EP34" s="67">
        <v>0</v>
      </c>
      <c r="EQ34" s="67">
        <v>0</v>
      </c>
      <c r="ER34" s="67">
        <v>0</v>
      </c>
      <c r="ES34" s="67"/>
      <c r="ET34">
        <v>0</v>
      </c>
      <c r="EX34" s="67"/>
      <c r="EY34" s="67"/>
      <c r="EZ34" s="67"/>
      <c r="FA34" s="67">
        <v>0</v>
      </c>
      <c r="FB34" s="67"/>
      <c r="FC34" s="67"/>
      <c r="FD34" s="67"/>
      <c r="FE34" s="67"/>
      <c r="FF34" s="67"/>
      <c r="FG34" s="67"/>
      <c r="FH34" s="67"/>
      <c r="FI34" s="67" t="s">
        <v>1600</v>
      </c>
    </row>
    <row r="35" spans="2:165" x14ac:dyDescent="0.2">
      <c r="B35" s="67" t="s">
        <v>305</v>
      </c>
      <c r="C35" s="67" t="s">
        <v>1623</v>
      </c>
      <c r="D35" s="67" t="s">
        <v>348</v>
      </c>
      <c r="E35" s="67" t="s">
        <v>305</v>
      </c>
      <c r="F35" s="67" t="s">
        <v>305</v>
      </c>
      <c r="G35" s="67" t="s">
        <v>345</v>
      </c>
      <c r="H35" s="67"/>
      <c r="I35" s="67" t="s">
        <v>305</v>
      </c>
      <c r="J35" s="67" t="s">
        <v>305</v>
      </c>
      <c r="K35" s="67" t="s">
        <v>305</v>
      </c>
      <c r="L35" s="67" t="s">
        <v>787</v>
      </c>
      <c r="M35" s="67" t="s">
        <v>752</v>
      </c>
      <c r="N35" s="67" t="s">
        <v>305</v>
      </c>
      <c r="O35" s="67" t="s">
        <v>305</v>
      </c>
      <c r="P35" s="67" t="s">
        <v>346</v>
      </c>
      <c r="Q35" s="67">
        <v>0</v>
      </c>
      <c r="R35" s="67">
        <v>0</v>
      </c>
      <c r="S35" s="67">
        <v>0</v>
      </c>
      <c r="T35" s="67">
        <v>0</v>
      </c>
      <c r="U35" s="67">
        <v>0</v>
      </c>
      <c r="V35" s="67">
        <v>0</v>
      </c>
      <c r="W35" s="67">
        <v>0</v>
      </c>
      <c r="X35" s="67">
        <v>0</v>
      </c>
      <c r="Y35" s="67">
        <v>0</v>
      </c>
      <c r="Z35" s="67">
        <v>0</v>
      </c>
      <c r="AA35" s="67">
        <v>0</v>
      </c>
      <c r="AB35" s="67">
        <v>0</v>
      </c>
      <c r="AC35" s="67">
        <v>0</v>
      </c>
      <c r="AD35" s="67">
        <v>0</v>
      </c>
      <c r="AE35" s="67">
        <v>0</v>
      </c>
      <c r="AF35" s="67">
        <v>0</v>
      </c>
      <c r="AG35" s="67">
        <v>0</v>
      </c>
      <c r="AH35" s="67">
        <v>0</v>
      </c>
      <c r="AI35" s="67">
        <v>0</v>
      </c>
      <c r="AJ35" s="67">
        <v>0</v>
      </c>
      <c r="AK35" s="67">
        <v>0</v>
      </c>
      <c r="AL35" s="67">
        <v>0</v>
      </c>
      <c r="AM35" s="67">
        <v>0</v>
      </c>
      <c r="AN35" s="67">
        <v>0</v>
      </c>
      <c r="AO35" s="67">
        <v>0</v>
      </c>
      <c r="AP35" s="67">
        <v>0</v>
      </c>
      <c r="AQ35" s="67">
        <v>0</v>
      </c>
      <c r="AR35" s="67">
        <v>0</v>
      </c>
      <c r="AS35" s="67">
        <v>0</v>
      </c>
      <c r="AT35" s="67"/>
      <c r="AU35" s="67"/>
      <c r="AV35" s="67"/>
      <c r="AW35" s="67">
        <v>0</v>
      </c>
      <c r="AX35" s="67">
        <v>0</v>
      </c>
      <c r="AY35" s="67"/>
      <c r="AZ35" s="67"/>
      <c r="BA35" s="67"/>
      <c r="BB35" s="67"/>
      <c r="BC35" s="67"/>
      <c r="BD35" s="67"/>
      <c r="BE35" s="67"/>
      <c r="BG35" s="67"/>
      <c r="BH35" s="67"/>
      <c r="BI35" s="67"/>
      <c r="BJ35" s="67">
        <v>0</v>
      </c>
      <c r="BK35" s="67"/>
      <c r="BL35" s="67"/>
      <c r="BP35" s="67"/>
      <c r="BQ35" s="67">
        <v>0</v>
      </c>
      <c r="BR35" s="67"/>
      <c r="BS35" s="67"/>
      <c r="BT35" s="67">
        <v>0</v>
      </c>
      <c r="BU35" s="67"/>
      <c r="BV35" s="67"/>
      <c r="BW35" s="67">
        <v>0</v>
      </c>
      <c r="BX35" s="67">
        <v>0</v>
      </c>
      <c r="BY35" s="67">
        <v>0</v>
      </c>
      <c r="BZ35" s="67">
        <v>0</v>
      </c>
      <c r="CA35" s="67"/>
      <c r="CB35" s="67">
        <v>0</v>
      </c>
      <c r="CC35" s="67"/>
      <c r="CD35" s="67"/>
      <c r="CE35" s="67">
        <v>0</v>
      </c>
      <c r="CF35" s="67">
        <v>0</v>
      </c>
      <c r="CG35" s="67"/>
      <c r="CH35" s="67"/>
      <c r="CI35" s="67"/>
      <c r="CJ35" s="67"/>
      <c r="CK35" s="67">
        <v>0</v>
      </c>
      <c r="CL35" s="67">
        <v>0</v>
      </c>
      <c r="CM35" s="67"/>
      <c r="CN35" s="67"/>
      <c r="CO35" s="67">
        <v>0</v>
      </c>
      <c r="CP35" s="67">
        <v>0</v>
      </c>
      <c r="CQ35" s="67"/>
      <c r="CR35" s="67"/>
      <c r="CS35" s="67"/>
      <c r="CT35" s="67"/>
      <c r="CU35" s="67">
        <v>0</v>
      </c>
      <c r="CV35" s="67"/>
      <c r="CW35" s="67"/>
      <c r="CX35" s="67"/>
      <c r="CY35" s="67">
        <v>0</v>
      </c>
      <c r="CZ35" s="67"/>
      <c r="DA35" s="67"/>
      <c r="DB35" s="67"/>
      <c r="DC35" s="67"/>
      <c r="DF35" s="67"/>
      <c r="DG35" s="67">
        <v>0</v>
      </c>
      <c r="DH35" s="67">
        <v>0</v>
      </c>
      <c r="DI35" s="67">
        <v>0</v>
      </c>
      <c r="DJ35" s="67"/>
      <c r="DK35" s="67">
        <v>0</v>
      </c>
      <c r="DL35" s="67">
        <v>0</v>
      </c>
      <c r="DM35" s="67">
        <v>0</v>
      </c>
      <c r="DN35" s="67"/>
      <c r="DO35" s="67"/>
      <c r="DP35" s="67"/>
      <c r="DQ35" s="67">
        <v>0</v>
      </c>
      <c r="DR35" s="67">
        <v>0</v>
      </c>
      <c r="DS35" s="67"/>
      <c r="DT35" s="67"/>
      <c r="DU35" s="67">
        <v>0</v>
      </c>
      <c r="DV35" s="67">
        <v>0</v>
      </c>
      <c r="DW35" s="67">
        <v>0</v>
      </c>
      <c r="DX35" s="67">
        <v>0</v>
      </c>
      <c r="DY35" s="67"/>
      <c r="DZ35" s="67">
        <v>0</v>
      </c>
      <c r="EA35" s="67"/>
      <c r="EB35" s="67">
        <v>0</v>
      </c>
      <c r="EC35" s="67"/>
      <c r="ED35" s="67">
        <v>0</v>
      </c>
      <c r="EE35" s="67"/>
      <c r="EF35" s="67">
        <v>0</v>
      </c>
      <c r="EG35" s="67"/>
      <c r="EH35" s="67"/>
      <c r="EI35" s="67"/>
      <c r="EJ35" s="67"/>
      <c r="EK35" s="67"/>
      <c r="EL35" s="67"/>
      <c r="EM35" s="67"/>
      <c r="EN35" s="67"/>
      <c r="EO35" s="67"/>
      <c r="EP35" s="67">
        <v>0</v>
      </c>
      <c r="EQ35" s="67">
        <v>0</v>
      </c>
      <c r="ER35" s="67">
        <v>0</v>
      </c>
      <c r="ES35" s="67"/>
      <c r="ET35">
        <v>0</v>
      </c>
      <c r="EX35" s="67"/>
      <c r="EY35" s="67"/>
      <c r="EZ35" s="67"/>
      <c r="FA35" s="67">
        <v>0</v>
      </c>
      <c r="FB35" s="67"/>
      <c r="FC35" s="67"/>
      <c r="FD35" s="67"/>
      <c r="FE35" s="67"/>
      <c r="FF35" s="67"/>
      <c r="FG35" s="67"/>
      <c r="FH35" s="67"/>
      <c r="FI35" s="67" t="s">
        <v>1600</v>
      </c>
    </row>
    <row r="36" spans="2:165" x14ac:dyDescent="0.2">
      <c r="B36" s="67" t="s">
        <v>349</v>
      </c>
      <c r="C36" s="67" t="s">
        <v>349</v>
      </c>
      <c r="D36" s="67" t="s">
        <v>350</v>
      </c>
      <c r="E36" s="67" t="s">
        <v>23</v>
      </c>
      <c r="F36" s="67" t="s">
        <v>810</v>
      </c>
      <c r="G36" s="67" t="s">
        <v>1597</v>
      </c>
      <c r="H36" s="67"/>
      <c r="I36" s="67" t="s">
        <v>43</v>
      </c>
      <c r="J36" s="67" t="s">
        <v>71</v>
      </c>
      <c r="K36" s="67" t="s">
        <v>811</v>
      </c>
      <c r="L36" s="67" t="s">
        <v>779</v>
      </c>
      <c r="M36" s="67" t="s">
        <v>752</v>
      </c>
      <c r="N36" s="67" t="s">
        <v>1598</v>
      </c>
      <c r="O36" s="67" t="s">
        <v>1599</v>
      </c>
      <c r="P36" s="67"/>
      <c r="Q36" s="67">
        <v>1060</v>
      </c>
      <c r="R36" s="67">
        <v>0</v>
      </c>
      <c r="S36" s="67">
        <v>0</v>
      </c>
      <c r="T36" s="67">
        <v>0</v>
      </c>
      <c r="U36" s="67">
        <v>0</v>
      </c>
      <c r="V36" s="67">
        <v>0</v>
      </c>
      <c r="W36" s="67">
        <v>630</v>
      </c>
      <c r="X36" s="67">
        <v>0</v>
      </c>
      <c r="Y36" s="67">
        <v>0</v>
      </c>
      <c r="Z36" s="67">
        <v>0</v>
      </c>
      <c r="AA36" s="67">
        <v>0</v>
      </c>
      <c r="AB36" s="67">
        <v>0</v>
      </c>
      <c r="AC36" s="67">
        <v>0</v>
      </c>
      <c r="AD36" s="67">
        <v>0</v>
      </c>
      <c r="AE36" s="67">
        <v>0</v>
      </c>
      <c r="AF36" s="67">
        <v>0</v>
      </c>
      <c r="AG36" s="67">
        <v>0</v>
      </c>
      <c r="AH36" s="67">
        <v>0</v>
      </c>
      <c r="AI36" s="67">
        <v>430</v>
      </c>
      <c r="AJ36" s="67">
        <v>0</v>
      </c>
      <c r="AK36" s="67">
        <v>0</v>
      </c>
      <c r="AL36" s="67">
        <v>0</v>
      </c>
      <c r="AM36" s="67">
        <v>0</v>
      </c>
      <c r="AN36" s="67">
        <v>0</v>
      </c>
      <c r="AO36" s="67">
        <v>0</v>
      </c>
      <c r="AP36" s="67">
        <v>0</v>
      </c>
      <c r="AQ36" s="67">
        <v>0</v>
      </c>
      <c r="AR36" s="67">
        <v>0</v>
      </c>
      <c r="AS36" s="67">
        <v>0</v>
      </c>
      <c r="AT36" s="67"/>
      <c r="AU36" s="67"/>
      <c r="AV36" s="67"/>
      <c r="AW36" s="67">
        <v>0</v>
      </c>
      <c r="AX36" s="67">
        <v>0</v>
      </c>
      <c r="AY36" s="67"/>
      <c r="AZ36" s="67"/>
      <c r="BA36" s="67"/>
      <c r="BB36" s="67"/>
      <c r="BC36" s="67"/>
      <c r="BD36" s="67"/>
      <c r="BE36" s="67"/>
      <c r="BG36" s="67"/>
      <c r="BH36" s="67"/>
      <c r="BI36" s="67"/>
      <c r="BJ36" s="67">
        <v>0</v>
      </c>
      <c r="BK36" s="67"/>
      <c r="BL36" s="67"/>
      <c r="BP36" s="67"/>
      <c r="BQ36" s="67">
        <v>0</v>
      </c>
      <c r="BR36" s="67"/>
      <c r="BS36" s="67"/>
      <c r="BT36" s="67">
        <v>0</v>
      </c>
      <c r="BU36" s="67"/>
      <c r="BV36" s="67"/>
      <c r="BW36" s="67">
        <v>0</v>
      </c>
      <c r="BX36" s="67">
        <v>0</v>
      </c>
      <c r="BY36" s="67">
        <v>0</v>
      </c>
      <c r="BZ36" s="67">
        <v>0</v>
      </c>
      <c r="CA36" s="67"/>
      <c r="CB36" s="67">
        <v>0</v>
      </c>
      <c r="CC36" s="67"/>
      <c r="CD36" s="67"/>
      <c r="CE36" s="67">
        <v>0</v>
      </c>
      <c r="CF36" s="67">
        <v>0</v>
      </c>
      <c r="CG36" s="67"/>
      <c r="CH36" s="67"/>
      <c r="CI36" s="67"/>
      <c r="CJ36" s="67"/>
      <c r="CK36" s="67">
        <v>0</v>
      </c>
      <c r="CL36" s="67">
        <v>0</v>
      </c>
      <c r="CM36" s="67"/>
      <c r="CN36" s="67"/>
      <c r="CO36" s="67">
        <v>0</v>
      </c>
      <c r="CP36" s="67">
        <v>0</v>
      </c>
      <c r="CQ36" s="67"/>
      <c r="CR36" s="67"/>
      <c r="CS36" s="67"/>
      <c r="CT36" s="67"/>
      <c r="CU36" s="67">
        <v>0</v>
      </c>
      <c r="CV36" s="67"/>
      <c r="CW36" s="67"/>
      <c r="CX36" s="67"/>
      <c r="CY36" s="67">
        <v>0</v>
      </c>
      <c r="CZ36" s="67"/>
      <c r="DA36" s="67"/>
      <c r="DB36" s="67"/>
      <c r="DC36" s="67"/>
      <c r="DF36" s="67"/>
      <c r="DG36" s="67">
        <v>0</v>
      </c>
      <c r="DH36" s="67">
        <v>0</v>
      </c>
      <c r="DI36" s="67">
        <v>0</v>
      </c>
      <c r="DJ36" s="67"/>
      <c r="DK36" s="67">
        <v>0</v>
      </c>
      <c r="DL36" s="67">
        <v>0</v>
      </c>
      <c r="DM36" s="67">
        <v>0</v>
      </c>
      <c r="DN36" s="67"/>
      <c r="DO36" s="67"/>
      <c r="DP36" s="67"/>
      <c r="DQ36" s="67">
        <v>0</v>
      </c>
      <c r="DR36" s="67">
        <v>0</v>
      </c>
      <c r="DS36" s="67"/>
      <c r="DT36" s="67"/>
      <c r="DU36" s="67">
        <v>0</v>
      </c>
      <c r="DV36" s="67">
        <v>0</v>
      </c>
      <c r="DW36" s="67">
        <v>0</v>
      </c>
      <c r="DX36" s="67">
        <v>0</v>
      </c>
      <c r="DY36" s="67"/>
      <c r="DZ36" s="67">
        <v>0</v>
      </c>
      <c r="EA36" s="67"/>
      <c r="EB36" s="67">
        <v>0</v>
      </c>
      <c r="EC36" s="67"/>
      <c r="ED36" s="67">
        <v>0</v>
      </c>
      <c r="EE36" s="67"/>
      <c r="EF36" s="67">
        <v>0</v>
      </c>
      <c r="EG36" s="67"/>
      <c r="EH36" s="67"/>
      <c r="EI36" s="67"/>
      <c r="EJ36" s="67"/>
      <c r="EK36" s="67"/>
      <c r="EL36" s="67"/>
      <c r="EM36" s="67"/>
      <c r="EN36" s="67"/>
      <c r="EO36" s="67"/>
      <c r="EP36" s="67">
        <v>0</v>
      </c>
      <c r="EQ36" s="67">
        <v>0</v>
      </c>
      <c r="ER36" s="67">
        <v>0</v>
      </c>
      <c r="ES36" s="67"/>
      <c r="ET36">
        <v>0</v>
      </c>
      <c r="EX36" s="67"/>
      <c r="EY36" s="67"/>
      <c r="EZ36" s="67"/>
      <c r="FA36" s="67">
        <v>1060</v>
      </c>
      <c r="FB36" s="67"/>
      <c r="FC36" s="67"/>
      <c r="FD36" s="67"/>
      <c r="FE36" s="67"/>
      <c r="FF36" s="67"/>
      <c r="FG36" s="67"/>
      <c r="FH36" s="67"/>
      <c r="FI36" s="67" t="s">
        <v>1600</v>
      </c>
    </row>
    <row r="37" spans="2:165" x14ac:dyDescent="0.2">
      <c r="B37" s="67" t="s">
        <v>351</v>
      </c>
      <c r="C37" s="67" t="s">
        <v>351</v>
      </c>
      <c r="D37" s="67" t="s">
        <v>352</v>
      </c>
      <c r="E37" s="67" t="s">
        <v>23</v>
      </c>
      <c r="F37" s="67" t="s">
        <v>810</v>
      </c>
      <c r="G37" s="67" t="s">
        <v>1597</v>
      </c>
      <c r="H37" s="67"/>
      <c r="I37" s="67" t="s">
        <v>43</v>
      </c>
      <c r="J37" s="67" t="s">
        <v>71</v>
      </c>
      <c r="K37" s="67" t="s">
        <v>811</v>
      </c>
      <c r="L37" s="67" t="s">
        <v>779</v>
      </c>
      <c r="M37" s="67" t="s">
        <v>752</v>
      </c>
      <c r="N37" s="67" t="s">
        <v>1598</v>
      </c>
      <c r="O37" s="67" t="s">
        <v>1599</v>
      </c>
      <c r="P37" s="67"/>
      <c r="Q37" s="67">
        <v>1450</v>
      </c>
      <c r="R37" s="67">
        <v>0</v>
      </c>
      <c r="S37" s="67">
        <v>0</v>
      </c>
      <c r="T37" s="67">
        <v>0</v>
      </c>
      <c r="U37" s="67">
        <v>0</v>
      </c>
      <c r="V37" s="67">
        <v>0</v>
      </c>
      <c r="W37" s="67">
        <v>1450</v>
      </c>
      <c r="X37" s="67">
        <v>0</v>
      </c>
      <c r="Y37" s="67">
        <v>0</v>
      </c>
      <c r="Z37" s="67">
        <v>0</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67">
        <v>0</v>
      </c>
      <c r="AQ37" s="67">
        <v>0</v>
      </c>
      <c r="AR37" s="67">
        <v>0</v>
      </c>
      <c r="AS37" s="67">
        <v>0</v>
      </c>
      <c r="AT37" s="67"/>
      <c r="AU37" s="67"/>
      <c r="AV37" s="67"/>
      <c r="AW37" s="67">
        <v>0</v>
      </c>
      <c r="AX37" s="67">
        <v>0</v>
      </c>
      <c r="AY37" s="67"/>
      <c r="AZ37" s="67"/>
      <c r="BA37" s="67"/>
      <c r="BB37" s="67"/>
      <c r="BC37" s="67"/>
      <c r="BD37" s="67"/>
      <c r="BE37" s="67"/>
      <c r="BG37" s="67"/>
      <c r="BH37" s="67"/>
      <c r="BI37" s="67"/>
      <c r="BJ37" s="67">
        <v>0</v>
      </c>
      <c r="BK37" s="67"/>
      <c r="BL37" s="67"/>
      <c r="BP37" s="67"/>
      <c r="BQ37" s="67">
        <v>0</v>
      </c>
      <c r="BR37" s="67"/>
      <c r="BS37" s="67"/>
      <c r="BT37" s="67">
        <v>0</v>
      </c>
      <c r="BU37" s="67"/>
      <c r="BV37" s="67"/>
      <c r="BW37" s="67">
        <v>0</v>
      </c>
      <c r="BX37" s="67">
        <v>0</v>
      </c>
      <c r="BY37" s="67">
        <v>0</v>
      </c>
      <c r="BZ37" s="67">
        <v>0</v>
      </c>
      <c r="CA37" s="67"/>
      <c r="CB37" s="67">
        <v>0</v>
      </c>
      <c r="CC37" s="67"/>
      <c r="CD37" s="67"/>
      <c r="CE37" s="67">
        <v>0</v>
      </c>
      <c r="CF37" s="67">
        <v>0</v>
      </c>
      <c r="CG37" s="67"/>
      <c r="CH37" s="67"/>
      <c r="CI37" s="67"/>
      <c r="CJ37" s="67"/>
      <c r="CK37" s="67">
        <v>0</v>
      </c>
      <c r="CL37" s="67">
        <v>0</v>
      </c>
      <c r="CM37" s="67"/>
      <c r="CN37" s="67"/>
      <c r="CO37" s="67">
        <v>0</v>
      </c>
      <c r="CP37" s="67">
        <v>0</v>
      </c>
      <c r="CQ37" s="67"/>
      <c r="CR37" s="67"/>
      <c r="CS37" s="67"/>
      <c r="CT37" s="67"/>
      <c r="CU37" s="67">
        <v>0</v>
      </c>
      <c r="CV37" s="67"/>
      <c r="CW37" s="67"/>
      <c r="CX37" s="67"/>
      <c r="CY37" s="67">
        <v>0</v>
      </c>
      <c r="CZ37" s="67"/>
      <c r="DA37" s="67"/>
      <c r="DB37" s="67"/>
      <c r="DC37" s="67"/>
      <c r="DF37" s="67"/>
      <c r="DG37" s="67">
        <v>0</v>
      </c>
      <c r="DH37" s="67">
        <v>0</v>
      </c>
      <c r="DI37" s="67">
        <v>0</v>
      </c>
      <c r="DJ37" s="67"/>
      <c r="DK37" s="67">
        <v>0</v>
      </c>
      <c r="DL37" s="67">
        <v>0</v>
      </c>
      <c r="DM37" s="67">
        <v>0</v>
      </c>
      <c r="DN37" s="67"/>
      <c r="DO37" s="67"/>
      <c r="DP37" s="67"/>
      <c r="DQ37" s="67">
        <v>0</v>
      </c>
      <c r="DR37" s="67">
        <v>0</v>
      </c>
      <c r="DS37" s="67"/>
      <c r="DT37" s="67"/>
      <c r="DU37" s="67">
        <v>0</v>
      </c>
      <c r="DV37" s="67">
        <v>0</v>
      </c>
      <c r="DW37" s="67">
        <v>0</v>
      </c>
      <c r="DX37" s="67">
        <v>0</v>
      </c>
      <c r="DY37" s="67"/>
      <c r="DZ37" s="67">
        <v>0</v>
      </c>
      <c r="EA37" s="67"/>
      <c r="EB37" s="67">
        <v>0</v>
      </c>
      <c r="EC37" s="67"/>
      <c r="ED37" s="67">
        <v>0</v>
      </c>
      <c r="EE37" s="67"/>
      <c r="EF37" s="67">
        <v>0</v>
      </c>
      <c r="EG37" s="67"/>
      <c r="EH37" s="67"/>
      <c r="EI37" s="67"/>
      <c r="EJ37" s="67"/>
      <c r="EK37" s="67"/>
      <c r="EL37" s="67"/>
      <c r="EM37" s="67"/>
      <c r="EN37" s="67"/>
      <c r="EO37" s="67"/>
      <c r="EP37" s="67">
        <v>0</v>
      </c>
      <c r="EQ37" s="67">
        <v>0</v>
      </c>
      <c r="ER37" s="67">
        <v>0</v>
      </c>
      <c r="ES37" s="67"/>
      <c r="ET37">
        <v>0</v>
      </c>
      <c r="EX37" s="67"/>
      <c r="EY37" s="67"/>
      <c r="EZ37" s="67"/>
      <c r="FA37" s="67">
        <v>1450</v>
      </c>
      <c r="FB37" s="67"/>
      <c r="FC37" s="67"/>
      <c r="FD37" s="67"/>
      <c r="FE37" s="67"/>
      <c r="FF37" s="67"/>
      <c r="FG37" s="67"/>
      <c r="FH37" s="67"/>
      <c r="FI37" s="67" t="s">
        <v>1600</v>
      </c>
    </row>
    <row r="38" spans="2:165" x14ac:dyDescent="0.2">
      <c r="B38" s="67" t="s">
        <v>353</v>
      </c>
      <c r="C38" s="67" t="s">
        <v>353</v>
      </c>
      <c r="D38" s="67" t="s">
        <v>354</v>
      </c>
      <c r="E38" s="67" t="s">
        <v>23</v>
      </c>
      <c r="F38" s="67" t="s">
        <v>810</v>
      </c>
      <c r="G38" s="67" t="s">
        <v>1597</v>
      </c>
      <c r="H38" s="67"/>
      <c r="I38" s="67" t="s">
        <v>43</v>
      </c>
      <c r="J38" s="67" t="s">
        <v>71</v>
      </c>
      <c r="K38" s="67" t="s">
        <v>1624</v>
      </c>
      <c r="L38" s="67" t="s">
        <v>779</v>
      </c>
      <c r="M38" s="67" t="s">
        <v>752</v>
      </c>
      <c r="N38" s="67" t="s">
        <v>1598</v>
      </c>
      <c r="O38" s="67" t="s">
        <v>1599</v>
      </c>
      <c r="P38" s="67"/>
      <c r="Q38" s="67">
        <v>90</v>
      </c>
      <c r="R38" s="67">
        <v>0</v>
      </c>
      <c r="S38" s="67">
        <v>0</v>
      </c>
      <c r="T38" s="67">
        <v>0</v>
      </c>
      <c r="U38" s="67">
        <v>0</v>
      </c>
      <c r="V38" s="67">
        <v>0</v>
      </c>
      <c r="W38" s="67">
        <v>90</v>
      </c>
      <c r="X38" s="67">
        <v>0</v>
      </c>
      <c r="Y38" s="67">
        <v>0</v>
      </c>
      <c r="Z38" s="67">
        <v>0</v>
      </c>
      <c r="AA38" s="67">
        <v>0</v>
      </c>
      <c r="AB38" s="67">
        <v>0</v>
      </c>
      <c r="AC38" s="67">
        <v>0</v>
      </c>
      <c r="AD38" s="67">
        <v>0</v>
      </c>
      <c r="AE38" s="67">
        <v>0</v>
      </c>
      <c r="AF38" s="67">
        <v>0</v>
      </c>
      <c r="AG38" s="67">
        <v>0</v>
      </c>
      <c r="AH38" s="67">
        <v>0</v>
      </c>
      <c r="AI38" s="67">
        <v>0</v>
      </c>
      <c r="AJ38" s="67">
        <v>0</v>
      </c>
      <c r="AK38" s="67">
        <v>0</v>
      </c>
      <c r="AL38" s="67">
        <v>0</v>
      </c>
      <c r="AM38" s="67">
        <v>0</v>
      </c>
      <c r="AN38" s="67">
        <v>0</v>
      </c>
      <c r="AO38" s="67">
        <v>0</v>
      </c>
      <c r="AP38" s="67">
        <v>0</v>
      </c>
      <c r="AQ38" s="67">
        <v>0</v>
      </c>
      <c r="AR38" s="67">
        <v>0</v>
      </c>
      <c r="AS38" s="67">
        <v>0</v>
      </c>
      <c r="AT38" s="67"/>
      <c r="AU38" s="67"/>
      <c r="AV38" s="67"/>
      <c r="AW38" s="67">
        <v>0</v>
      </c>
      <c r="AX38" s="67">
        <v>0</v>
      </c>
      <c r="AY38" s="67"/>
      <c r="AZ38" s="67"/>
      <c r="BA38" s="67"/>
      <c r="BB38" s="67"/>
      <c r="BC38" s="67"/>
      <c r="BD38" s="67"/>
      <c r="BE38" s="67"/>
      <c r="BG38" s="67"/>
      <c r="BH38" s="67"/>
      <c r="BI38" s="67"/>
      <c r="BJ38" s="67">
        <v>0</v>
      </c>
      <c r="BK38" s="67"/>
      <c r="BL38" s="67"/>
      <c r="BP38" s="67"/>
      <c r="BQ38" s="67">
        <v>0</v>
      </c>
      <c r="BR38" s="67"/>
      <c r="BS38" s="67"/>
      <c r="BT38" s="67">
        <v>0</v>
      </c>
      <c r="BU38" s="67"/>
      <c r="BV38" s="67"/>
      <c r="BW38" s="67">
        <v>0</v>
      </c>
      <c r="BX38" s="67">
        <v>0</v>
      </c>
      <c r="BY38" s="67">
        <v>0</v>
      </c>
      <c r="BZ38" s="67">
        <v>0</v>
      </c>
      <c r="CA38" s="67"/>
      <c r="CB38" s="67">
        <v>0</v>
      </c>
      <c r="CC38" s="67"/>
      <c r="CD38" s="67"/>
      <c r="CE38" s="67">
        <v>0</v>
      </c>
      <c r="CF38" s="67">
        <v>0</v>
      </c>
      <c r="CG38" s="67"/>
      <c r="CH38" s="67"/>
      <c r="CI38" s="67"/>
      <c r="CJ38" s="67"/>
      <c r="CK38" s="67">
        <v>0</v>
      </c>
      <c r="CL38" s="67">
        <v>0</v>
      </c>
      <c r="CM38" s="67"/>
      <c r="CN38" s="67"/>
      <c r="CO38" s="67">
        <v>0</v>
      </c>
      <c r="CP38" s="67">
        <v>0</v>
      </c>
      <c r="CQ38" s="67"/>
      <c r="CR38" s="67"/>
      <c r="CS38" s="67"/>
      <c r="CT38" s="67"/>
      <c r="CU38" s="67">
        <v>0</v>
      </c>
      <c r="CV38" s="67"/>
      <c r="CW38" s="67"/>
      <c r="CX38" s="67"/>
      <c r="CY38" s="67">
        <v>0</v>
      </c>
      <c r="CZ38" s="67"/>
      <c r="DA38" s="67"/>
      <c r="DB38" s="67"/>
      <c r="DC38" s="67"/>
      <c r="DF38" s="67"/>
      <c r="DG38" s="67">
        <v>0</v>
      </c>
      <c r="DH38" s="67">
        <v>0</v>
      </c>
      <c r="DI38" s="67">
        <v>0</v>
      </c>
      <c r="DJ38" s="67"/>
      <c r="DK38" s="67">
        <v>0</v>
      </c>
      <c r="DL38" s="67">
        <v>0</v>
      </c>
      <c r="DM38" s="67">
        <v>0</v>
      </c>
      <c r="DN38" s="67"/>
      <c r="DO38" s="67"/>
      <c r="DP38" s="67"/>
      <c r="DQ38" s="67">
        <v>0</v>
      </c>
      <c r="DR38" s="67">
        <v>0</v>
      </c>
      <c r="DS38" s="67"/>
      <c r="DT38" s="67"/>
      <c r="DU38" s="67">
        <v>0</v>
      </c>
      <c r="DV38" s="67">
        <v>0</v>
      </c>
      <c r="DW38" s="67">
        <v>0</v>
      </c>
      <c r="DX38" s="67">
        <v>0</v>
      </c>
      <c r="DY38" s="67"/>
      <c r="DZ38" s="67">
        <v>0</v>
      </c>
      <c r="EA38" s="67"/>
      <c r="EB38" s="67">
        <v>0</v>
      </c>
      <c r="EC38" s="67"/>
      <c r="ED38" s="67">
        <v>0</v>
      </c>
      <c r="EE38" s="67"/>
      <c r="EF38" s="67">
        <v>0</v>
      </c>
      <c r="EG38" s="67"/>
      <c r="EH38" s="67"/>
      <c r="EI38" s="67"/>
      <c r="EJ38" s="67"/>
      <c r="EK38" s="67"/>
      <c r="EL38" s="67"/>
      <c r="EM38" s="67"/>
      <c r="EN38" s="67"/>
      <c r="EO38" s="67"/>
      <c r="EP38" s="67">
        <v>0</v>
      </c>
      <c r="EQ38" s="67">
        <v>0</v>
      </c>
      <c r="ER38" s="67">
        <v>0</v>
      </c>
      <c r="ES38" s="67"/>
      <c r="ET38">
        <v>0</v>
      </c>
      <c r="EX38" s="67"/>
      <c r="EY38" s="67"/>
      <c r="EZ38" s="67"/>
      <c r="FA38" s="67">
        <v>90</v>
      </c>
      <c r="FB38" s="67"/>
      <c r="FC38" s="67"/>
      <c r="FD38" s="67"/>
      <c r="FE38" s="67"/>
      <c r="FF38" s="67"/>
      <c r="FG38" s="67"/>
      <c r="FH38" s="67"/>
      <c r="FI38" s="67" t="s">
        <v>1600</v>
      </c>
    </row>
    <row r="39" spans="2:165" x14ac:dyDescent="0.2">
      <c r="B39" s="67" t="s">
        <v>305</v>
      </c>
      <c r="C39" s="67" t="s">
        <v>1625</v>
      </c>
      <c r="D39" s="67" t="s">
        <v>355</v>
      </c>
      <c r="E39" s="67" t="s">
        <v>23</v>
      </c>
      <c r="F39" s="67" t="s">
        <v>810</v>
      </c>
      <c r="G39" s="67" t="s">
        <v>1597</v>
      </c>
      <c r="H39" s="67"/>
      <c r="I39" s="67" t="s">
        <v>43</v>
      </c>
      <c r="J39" s="67" t="s">
        <v>71</v>
      </c>
      <c r="K39" s="67" t="s">
        <v>811</v>
      </c>
      <c r="L39" s="67" t="s">
        <v>779</v>
      </c>
      <c r="M39" s="67" t="s">
        <v>752</v>
      </c>
      <c r="N39" s="67" t="s">
        <v>1601</v>
      </c>
      <c r="O39" s="67" t="s">
        <v>1599</v>
      </c>
      <c r="P39" s="67"/>
      <c r="Q39" s="67">
        <v>0</v>
      </c>
      <c r="R39" s="67">
        <v>0</v>
      </c>
      <c r="S39" s="67">
        <v>0</v>
      </c>
      <c r="T39" s="67">
        <v>0</v>
      </c>
      <c r="U39" s="67">
        <v>0</v>
      </c>
      <c r="V39" s="67">
        <v>0</v>
      </c>
      <c r="W39" s="67">
        <v>0</v>
      </c>
      <c r="X39" s="67">
        <v>0</v>
      </c>
      <c r="Y39" s="67">
        <v>0</v>
      </c>
      <c r="Z39" s="67">
        <v>0</v>
      </c>
      <c r="AA39" s="67">
        <v>0</v>
      </c>
      <c r="AB39" s="67">
        <v>0</v>
      </c>
      <c r="AC39" s="67">
        <v>0</v>
      </c>
      <c r="AD39" s="67">
        <v>0</v>
      </c>
      <c r="AE39" s="67">
        <v>0</v>
      </c>
      <c r="AF39" s="67">
        <v>0</v>
      </c>
      <c r="AG39" s="67">
        <v>0</v>
      </c>
      <c r="AH39" s="67">
        <v>0</v>
      </c>
      <c r="AI39" s="67">
        <v>0</v>
      </c>
      <c r="AJ39" s="67">
        <v>0</v>
      </c>
      <c r="AK39" s="67">
        <v>0</v>
      </c>
      <c r="AL39" s="67">
        <v>0</v>
      </c>
      <c r="AM39" s="67">
        <v>0</v>
      </c>
      <c r="AN39" s="67">
        <v>0</v>
      </c>
      <c r="AO39" s="67">
        <v>0</v>
      </c>
      <c r="AP39" s="67">
        <v>0</v>
      </c>
      <c r="AQ39" s="67">
        <v>0</v>
      </c>
      <c r="AR39" s="67">
        <v>0</v>
      </c>
      <c r="AS39" s="67">
        <v>0</v>
      </c>
      <c r="AT39" s="67"/>
      <c r="AU39" s="67"/>
      <c r="AV39" s="67"/>
      <c r="AW39" s="67">
        <v>0</v>
      </c>
      <c r="AX39" s="67">
        <v>0</v>
      </c>
      <c r="AY39" s="67"/>
      <c r="AZ39" s="67"/>
      <c r="BA39" s="67"/>
      <c r="BB39" s="67"/>
      <c r="BC39" s="67"/>
      <c r="BD39" s="67"/>
      <c r="BE39" s="67"/>
      <c r="BG39" s="67"/>
      <c r="BH39" s="67"/>
      <c r="BI39" s="67"/>
      <c r="BJ39" s="67">
        <v>0</v>
      </c>
      <c r="BK39" s="67"/>
      <c r="BL39" s="67"/>
      <c r="BP39" s="67"/>
      <c r="BQ39" s="67">
        <v>0</v>
      </c>
      <c r="BR39" s="67"/>
      <c r="BS39" s="67"/>
      <c r="BT39" s="67">
        <v>0</v>
      </c>
      <c r="BU39" s="67"/>
      <c r="BV39" s="67"/>
      <c r="BW39" s="67">
        <v>0</v>
      </c>
      <c r="BX39" s="67">
        <v>0</v>
      </c>
      <c r="BY39" s="67">
        <v>0</v>
      </c>
      <c r="BZ39" s="67">
        <v>0</v>
      </c>
      <c r="CA39" s="67"/>
      <c r="CB39" s="67">
        <v>0</v>
      </c>
      <c r="CC39" s="67"/>
      <c r="CD39" s="67"/>
      <c r="CE39" s="67">
        <v>0</v>
      </c>
      <c r="CF39" s="67">
        <v>0</v>
      </c>
      <c r="CG39" s="67"/>
      <c r="CH39" s="67"/>
      <c r="CI39" s="67"/>
      <c r="CJ39" s="67"/>
      <c r="CK39" s="67">
        <v>0</v>
      </c>
      <c r="CL39" s="67">
        <v>0</v>
      </c>
      <c r="CM39" s="67"/>
      <c r="CN39" s="67"/>
      <c r="CO39" s="67">
        <v>0</v>
      </c>
      <c r="CP39" s="67">
        <v>0</v>
      </c>
      <c r="CQ39" s="67"/>
      <c r="CR39" s="67"/>
      <c r="CS39" s="67"/>
      <c r="CT39" s="67"/>
      <c r="CU39" s="67">
        <v>0</v>
      </c>
      <c r="CV39" s="67"/>
      <c r="CW39" s="67"/>
      <c r="CX39" s="67"/>
      <c r="CY39" s="67">
        <v>0</v>
      </c>
      <c r="CZ39" s="67"/>
      <c r="DA39" s="67"/>
      <c r="DB39" s="67"/>
      <c r="DC39" s="67"/>
      <c r="DF39" s="67"/>
      <c r="DG39" s="67">
        <v>0</v>
      </c>
      <c r="DH39" s="67">
        <v>0</v>
      </c>
      <c r="DI39" s="67">
        <v>0</v>
      </c>
      <c r="DJ39" s="67"/>
      <c r="DK39" s="67">
        <v>0</v>
      </c>
      <c r="DL39" s="67">
        <v>0</v>
      </c>
      <c r="DM39" s="67">
        <v>0</v>
      </c>
      <c r="DN39" s="67"/>
      <c r="DO39" s="67"/>
      <c r="DP39" s="67"/>
      <c r="DQ39" s="67">
        <v>0</v>
      </c>
      <c r="DR39" s="67">
        <v>0</v>
      </c>
      <c r="DS39" s="67"/>
      <c r="DT39" s="67"/>
      <c r="DU39" s="67">
        <v>0</v>
      </c>
      <c r="DV39" s="67">
        <v>0</v>
      </c>
      <c r="DW39" s="67">
        <v>0</v>
      </c>
      <c r="DX39" s="67">
        <v>0</v>
      </c>
      <c r="DY39" s="67"/>
      <c r="DZ39" s="67">
        <v>0</v>
      </c>
      <c r="EA39" s="67"/>
      <c r="EB39" s="67">
        <v>0</v>
      </c>
      <c r="EC39" s="67"/>
      <c r="ED39" s="67">
        <v>0</v>
      </c>
      <c r="EE39" s="67"/>
      <c r="EF39" s="67">
        <v>0</v>
      </c>
      <c r="EG39" s="67"/>
      <c r="EH39" s="67"/>
      <c r="EI39" s="67"/>
      <c r="EJ39" s="67"/>
      <c r="EK39" s="67"/>
      <c r="EL39" s="67"/>
      <c r="EM39" s="67"/>
      <c r="EN39" s="67"/>
      <c r="EO39" s="67"/>
      <c r="EP39" s="67">
        <v>0</v>
      </c>
      <c r="EQ39" s="67">
        <v>0</v>
      </c>
      <c r="ER39" s="67">
        <v>0</v>
      </c>
      <c r="ES39" s="67"/>
      <c r="ET39">
        <v>0</v>
      </c>
      <c r="EX39" s="67"/>
      <c r="EY39" s="67"/>
      <c r="EZ39" s="67"/>
      <c r="FA39" s="67">
        <v>0</v>
      </c>
      <c r="FB39" s="67"/>
      <c r="FC39" s="67"/>
      <c r="FD39" s="67"/>
      <c r="FE39" s="67"/>
      <c r="FF39" s="67"/>
      <c r="FG39" s="67"/>
      <c r="FH39" s="67"/>
      <c r="FI39" s="67" t="s">
        <v>1600</v>
      </c>
    </row>
    <row r="40" spans="2:165" ht="24" x14ac:dyDescent="0.2">
      <c r="B40" s="67" t="s">
        <v>356</v>
      </c>
      <c r="C40" s="67" t="s">
        <v>356</v>
      </c>
      <c r="D40" s="67" t="s">
        <v>357</v>
      </c>
      <c r="E40" s="67" t="s">
        <v>13</v>
      </c>
      <c r="F40" s="67" t="s">
        <v>810</v>
      </c>
      <c r="G40" s="67" t="s">
        <v>1597</v>
      </c>
      <c r="H40" s="67"/>
      <c r="I40" s="67" t="s">
        <v>41</v>
      </c>
      <c r="J40" s="67" t="s">
        <v>71</v>
      </c>
      <c r="K40" s="67" t="s">
        <v>811</v>
      </c>
      <c r="L40" s="67" t="s">
        <v>779</v>
      </c>
      <c r="M40" s="67" t="s">
        <v>752</v>
      </c>
      <c r="N40" s="67" t="s">
        <v>1598</v>
      </c>
      <c r="O40" s="67" t="s">
        <v>1599</v>
      </c>
      <c r="P40" s="67"/>
      <c r="Q40" s="67">
        <v>1915</v>
      </c>
      <c r="R40" s="67">
        <v>0</v>
      </c>
      <c r="S40" s="67">
        <v>0</v>
      </c>
      <c r="T40" s="67">
        <v>0</v>
      </c>
      <c r="U40" s="67">
        <v>0</v>
      </c>
      <c r="V40" s="67">
        <v>0</v>
      </c>
      <c r="W40" s="67">
        <v>1590</v>
      </c>
      <c r="X40" s="67">
        <v>0</v>
      </c>
      <c r="Y40" s="67">
        <v>0</v>
      </c>
      <c r="Z40" s="67">
        <v>0</v>
      </c>
      <c r="AA40" s="67">
        <v>0</v>
      </c>
      <c r="AB40" s="67">
        <v>0</v>
      </c>
      <c r="AC40" s="67">
        <v>0</v>
      </c>
      <c r="AD40" s="67">
        <v>0</v>
      </c>
      <c r="AE40" s="67">
        <v>0</v>
      </c>
      <c r="AF40" s="67">
        <v>0</v>
      </c>
      <c r="AG40" s="67">
        <v>0</v>
      </c>
      <c r="AH40" s="67">
        <v>0</v>
      </c>
      <c r="AI40" s="67">
        <v>325</v>
      </c>
      <c r="AJ40" s="67">
        <v>0</v>
      </c>
      <c r="AK40" s="67">
        <v>0</v>
      </c>
      <c r="AL40" s="67">
        <v>0</v>
      </c>
      <c r="AM40" s="67">
        <v>0</v>
      </c>
      <c r="AN40" s="67">
        <v>0</v>
      </c>
      <c r="AO40" s="67">
        <v>0</v>
      </c>
      <c r="AP40" s="67">
        <v>0</v>
      </c>
      <c r="AQ40" s="67">
        <v>0</v>
      </c>
      <c r="AR40" s="67">
        <v>0</v>
      </c>
      <c r="AS40" s="67">
        <v>0</v>
      </c>
      <c r="AT40" s="67"/>
      <c r="AU40" s="67"/>
      <c r="AV40" s="67"/>
      <c r="AW40" s="67">
        <v>0</v>
      </c>
      <c r="AX40" s="67">
        <v>0</v>
      </c>
      <c r="AY40" s="67"/>
      <c r="AZ40" s="67"/>
      <c r="BA40" s="67"/>
      <c r="BB40" s="67"/>
      <c r="BC40" s="67"/>
      <c r="BD40" s="67"/>
      <c r="BE40" s="67"/>
      <c r="BG40" s="67"/>
      <c r="BH40" s="67"/>
      <c r="BI40" s="67"/>
      <c r="BJ40" s="67">
        <v>0</v>
      </c>
      <c r="BK40" s="67"/>
      <c r="BL40" s="67"/>
      <c r="BP40" s="67"/>
      <c r="BQ40" s="67">
        <v>0</v>
      </c>
      <c r="BR40" s="67"/>
      <c r="BS40" s="67"/>
      <c r="BT40" s="67">
        <v>0</v>
      </c>
      <c r="BU40" s="67"/>
      <c r="BV40" s="67"/>
      <c r="BW40" s="67">
        <v>0</v>
      </c>
      <c r="BX40" s="67">
        <v>0</v>
      </c>
      <c r="BY40" s="67">
        <v>0</v>
      </c>
      <c r="BZ40" s="67">
        <v>0</v>
      </c>
      <c r="CA40" s="67"/>
      <c r="CB40" s="67">
        <v>0</v>
      </c>
      <c r="CC40" s="67"/>
      <c r="CD40" s="67"/>
      <c r="CE40" s="67">
        <v>0</v>
      </c>
      <c r="CF40" s="67">
        <v>0</v>
      </c>
      <c r="CG40" s="67"/>
      <c r="CH40" s="67"/>
      <c r="CI40" s="67"/>
      <c r="CJ40" s="67"/>
      <c r="CK40" s="67">
        <v>0</v>
      </c>
      <c r="CL40" s="67">
        <v>0</v>
      </c>
      <c r="CM40" s="67"/>
      <c r="CN40" s="67"/>
      <c r="CO40" s="67">
        <v>0</v>
      </c>
      <c r="CP40" s="67">
        <v>0</v>
      </c>
      <c r="CQ40" s="67"/>
      <c r="CR40" s="67"/>
      <c r="CS40" s="67"/>
      <c r="CT40" s="67"/>
      <c r="CU40" s="67">
        <v>0</v>
      </c>
      <c r="CV40" s="67"/>
      <c r="CW40" s="67"/>
      <c r="CX40" s="67"/>
      <c r="CY40" s="67">
        <v>0</v>
      </c>
      <c r="CZ40" s="67"/>
      <c r="DA40" s="67"/>
      <c r="DB40" s="67"/>
      <c r="DC40" s="67"/>
      <c r="DF40" s="67"/>
      <c r="DG40" s="67">
        <v>0</v>
      </c>
      <c r="DH40" s="67">
        <v>0</v>
      </c>
      <c r="DI40" s="67">
        <v>0</v>
      </c>
      <c r="DJ40" s="67"/>
      <c r="DK40" s="67">
        <v>0</v>
      </c>
      <c r="DL40" s="67">
        <v>0</v>
      </c>
      <c r="DM40" s="67">
        <v>0</v>
      </c>
      <c r="DN40" s="67"/>
      <c r="DO40" s="67"/>
      <c r="DP40" s="67"/>
      <c r="DQ40" s="67">
        <v>0</v>
      </c>
      <c r="DR40" s="67">
        <v>0</v>
      </c>
      <c r="DS40" s="67"/>
      <c r="DT40" s="67"/>
      <c r="DU40" s="67">
        <v>0</v>
      </c>
      <c r="DV40" s="67">
        <v>0</v>
      </c>
      <c r="DW40" s="67">
        <v>0</v>
      </c>
      <c r="DX40" s="67">
        <v>0</v>
      </c>
      <c r="DY40" s="67"/>
      <c r="DZ40" s="67">
        <v>0</v>
      </c>
      <c r="EA40" s="67"/>
      <c r="EB40" s="67">
        <v>0</v>
      </c>
      <c r="EC40" s="67"/>
      <c r="ED40" s="67">
        <v>0</v>
      </c>
      <c r="EE40" s="67"/>
      <c r="EF40" s="67">
        <v>0</v>
      </c>
      <c r="EG40" s="67"/>
      <c r="EH40" s="67"/>
      <c r="EI40" s="67"/>
      <c r="EJ40" s="67"/>
      <c r="EK40" s="67"/>
      <c r="EL40" s="67"/>
      <c r="EM40" s="67"/>
      <c r="EN40" s="67"/>
      <c r="EO40" s="67"/>
      <c r="EP40" s="67">
        <v>0</v>
      </c>
      <c r="EQ40" s="67">
        <v>0</v>
      </c>
      <c r="ER40" s="67">
        <v>0</v>
      </c>
      <c r="ES40" s="67"/>
      <c r="ET40">
        <v>0</v>
      </c>
      <c r="EX40" s="67"/>
      <c r="EY40" s="67"/>
      <c r="EZ40" s="67"/>
      <c r="FA40" s="67">
        <v>1915</v>
      </c>
      <c r="FB40" s="67"/>
      <c r="FC40" s="67"/>
      <c r="FD40" s="67"/>
      <c r="FE40" s="67"/>
      <c r="FF40" s="67"/>
      <c r="FG40" s="67"/>
      <c r="FH40" s="67"/>
      <c r="FI40" s="67" t="s">
        <v>1600</v>
      </c>
    </row>
    <row r="41" spans="2:165" x14ac:dyDescent="0.2">
      <c r="B41" s="67" t="s">
        <v>305</v>
      </c>
      <c r="C41" s="67" t="s">
        <v>1626</v>
      </c>
      <c r="D41" s="67" t="s">
        <v>358</v>
      </c>
      <c r="E41" s="67" t="s">
        <v>305</v>
      </c>
      <c r="F41" s="67" t="s">
        <v>305</v>
      </c>
      <c r="G41" s="67" t="s">
        <v>1597</v>
      </c>
      <c r="H41" s="67"/>
      <c r="I41" s="67" t="s">
        <v>305</v>
      </c>
      <c r="J41" s="67" t="s">
        <v>305</v>
      </c>
      <c r="K41" s="67" t="s">
        <v>305</v>
      </c>
      <c r="L41" s="67" t="s">
        <v>787</v>
      </c>
      <c r="M41" s="67" t="s">
        <v>752</v>
      </c>
      <c r="N41" s="67" t="s">
        <v>305</v>
      </c>
      <c r="O41" s="67" t="s">
        <v>305</v>
      </c>
      <c r="P41" s="67"/>
      <c r="Q41" s="67">
        <v>0</v>
      </c>
      <c r="R41" s="67">
        <v>0</v>
      </c>
      <c r="S41" s="67">
        <v>0</v>
      </c>
      <c r="T41" s="67">
        <v>0</v>
      </c>
      <c r="U41" s="67">
        <v>0</v>
      </c>
      <c r="V41" s="67">
        <v>0</v>
      </c>
      <c r="W41" s="67">
        <v>0</v>
      </c>
      <c r="X41" s="67">
        <v>0</v>
      </c>
      <c r="Y41" s="67">
        <v>0</v>
      </c>
      <c r="Z41" s="67">
        <v>0</v>
      </c>
      <c r="AA41" s="67">
        <v>0</v>
      </c>
      <c r="AB41" s="67">
        <v>0</v>
      </c>
      <c r="AC41" s="67">
        <v>0</v>
      </c>
      <c r="AD41" s="67">
        <v>0</v>
      </c>
      <c r="AE41" s="67">
        <v>0</v>
      </c>
      <c r="AF41" s="67">
        <v>0</v>
      </c>
      <c r="AG41" s="67">
        <v>0</v>
      </c>
      <c r="AH41" s="67">
        <v>0</v>
      </c>
      <c r="AI41" s="67">
        <v>0</v>
      </c>
      <c r="AJ41" s="67">
        <v>0</v>
      </c>
      <c r="AK41" s="67">
        <v>0</v>
      </c>
      <c r="AL41" s="67">
        <v>0</v>
      </c>
      <c r="AM41" s="67">
        <v>0</v>
      </c>
      <c r="AN41" s="67">
        <v>0</v>
      </c>
      <c r="AO41" s="67">
        <v>0</v>
      </c>
      <c r="AP41" s="67">
        <v>0</v>
      </c>
      <c r="AQ41" s="67">
        <v>0</v>
      </c>
      <c r="AR41" s="67">
        <v>0</v>
      </c>
      <c r="AS41" s="67">
        <v>0</v>
      </c>
      <c r="AT41" s="67"/>
      <c r="AU41" s="67"/>
      <c r="AV41" s="67"/>
      <c r="AW41" s="67">
        <v>0</v>
      </c>
      <c r="AX41" s="67">
        <v>0</v>
      </c>
      <c r="AY41" s="67"/>
      <c r="AZ41" s="67"/>
      <c r="BA41" s="67"/>
      <c r="BB41" s="67"/>
      <c r="BC41" s="67"/>
      <c r="BD41" s="67"/>
      <c r="BE41" s="67"/>
      <c r="BG41" s="67"/>
      <c r="BH41" s="67"/>
      <c r="BI41" s="67"/>
      <c r="BJ41" s="67">
        <v>0</v>
      </c>
      <c r="BK41" s="67"/>
      <c r="BL41" s="67"/>
      <c r="BP41" s="67"/>
      <c r="BQ41" s="67">
        <v>0</v>
      </c>
      <c r="BR41" s="67"/>
      <c r="BS41" s="67"/>
      <c r="BT41" s="67">
        <v>0</v>
      </c>
      <c r="BU41" s="67"/>
      <c r="BV41" s="67"/>
      <c r="BW41" s="67">
        <v>0</v>
      </c>
      <c r="BX41" s="67">
        <v>0</v>
      </c>
      <c r="BY41" s="67">
        <v>0</v>
      </c>
      <c r="BZ41" s="67">
        <v>0</v>
      </c>
      <c r="CA41" s="67"/>
      <c r="CB41" s="67">
        <v>0</v>
      </c>
      <c r="CC41" s="67"/>
      <c r="CD41" s="67"/>
      <c r="CE41" s="67">
        <v>0</v>
      </c>
      <c r="CF41" s="67">
        <v>0</v>
      </c>
      <c r="CG41" s="67"/>
      <c r="CH41" s="67"/>
      <c r="CI41" s="67"/>
      <c r="CJ41" s="67"/>
      <c r="CK41" s="67">
        <v>0</v>
      </c>
      <c r="CL41" s="67">
        <v>0</v>
      </c>
      <c r="CM41" s="67"/>
      <c r="CN41" s="67"/>
      <c r="CO41" s="67">
        <v>0</v>
      </c>
      <c r="CP41" s="67">
        <v>0</v>
      </c>
      <c r="CQ41" s="67"/>
      <c r="CR41" s="67"/>
      <c r="CS41" s="67"/>
      <c r="CT41" s="67"/>
      <c r="CU41" s="67">
        <v>0</v>
      </c>
      <c r="CV41" s="67"/>
      <c r="CW41" s="67"/>
      <c r="CX41" s="67"/>
      <c r="CY41" s="67">
        <v>0</v>
      </c>
      <c r="CZ41" s="67"/>
      <c r="DA41" s="67"/>
      <c r="DB41" s="67"/>
      <c r="DC41" s="67"/>
      <c r="DF41" s="67"/>
      <c r="DG41" s="67">
        <v>0</v>
      </c>
      <c r="DH41" s="67">
        <v>0</v>
      </c>
      <c r="DI41" s="67">
        <v>0</v>
      </c>
      <c r="DJ41" s="67"/>
      <c r="DK41" s="67">
        <v>0</v>
      </c>
      <c r="DL41" s="67">
        <v>0</v>
      </c>
      <c r="DM41" s="67">
        <v>0</v>
      </c>
      <c r="DN41" s="67"/>
      <c r="DO41" s="67"/>
      <c r="DP41" s="67"/>
      <c r="DQ41" s="67">
        <v>0</v>
      </c>
      <c r="DR41" s="67">
        <v>0</v>
      </c>
      <c r="DS41" s="67"/>
      <c r="DT41" s="67"/>
      <c r="DU41" s="67">
        <v>0</v>
      </c>
      <c r="DV41" s="67">
        <v>0</v>
      </c>
      <c r="DW41" s="67">
        <v>0</v>
      </c>
      <c r="DX41" s="67">
        <v>0</v>
      </c>
      <c r="DY41" s="67"/>
      <c r="DZ41" s="67">
        <v>0</v>
      </c>
      <c r="EA41" s="67"/>
      <c r="EB41" s="67">
        <v>0</v>
      </c>
      <c r="EC41" s="67"/>
      <c r="ED41" s="67">
        <v>0</v>
      </c>
      <c r="EE41" s="67"/>
      <c r="EF41" s="67">
        <v>0</v>
      </c>
      <c r="EG41" s="67"/>
      <c r="EH41" s="67"/>
      <c r="EI41" s="67"/>
      <c r="EJ41" s="67"/>
      <c r="EK41" s="67"/>
      <c r="EL41" s="67"/>
      <c r="EM41" s="67"/>
      <c r="EN41" s="67"/>
      <c r="EO41" s="67"/>
      <c r="EP41" s="67">
        <v>0</v>
      </c>
      <c r="EQ41" s="67">
        <v>0</v>
      </c>
      <c r="ER41" s="67">
        <v>0</v>
      </c>
      <c r="ES41" s="67"/>
      <c r="ET41">
        <v>0</v>
      </c>
      <c r="EX41" s="67"/>
      <c r="EY41" s="67"/>
      <c r="EZ41" s="67"/>
      <c r="FA41" s="67">
        <v>0</v>
      </c>
      <c r="FB41" s="67"/>
      <c r="FC41" s="67"/>
      <c r="FD41" s="67"/>
      <c r="FE41" s="67"/>
      <c r="FF41" s="67"/>
      <c r="FG41" s="67"/>
      <c r="FH41" s="67"/>
      <c r="FI41" s="67" t="s">
        <v>1600</v>
      </c>
    </row>
    <row r="42" spans="2:165" x14ac:dyDescent="0.2">
      <c r="B42" s="67" t="s">
        <v>305</v>
      </c>
      <c r="C42" s="67" t="s">
        <v>1627</v>
      </c>
      <c r="D42" s="67" t="s">
        <v>359</v>
      </c>
      <c r="E42" s="67" t="s">
        <v>305</v>
      </c>
      <c r="F42" s="67" t="s">
        <v>305</v>
      </c>
      <c r="G42" s="67" t="s">
        <v>1597</v>
      </c>
      <c r="H42" s="67"/>
      <c r="I42" s="67" t="s">
        <v>305</v>
      </c>
      <c r="J42" s="67" t="s">
        <v>305</v>
      </c>
      <c r="K42" s="67" t="s">
        <v>305</v>
      </c>
      <c r="L42" s="67" t="s">
        <v>787</v>
      </c>
      <c r="M42" s="67" t="s">
        <v>752</v>
      </c>
      <c r="N42" s="67" t="s">
        <v>305</v>
      </c>
      <c r="O42" s="67" t="s">
        <v>305</v>
      </c>
      <c r="P42" s="67"/>
      <c r="Q42" s="67">
        <v>0</v>
      </c>
      <c r="R42" s="67">
        <v>0</v>
      </c>
      <c r="S42" s="67">
        <v>0</v>
      </c>
      <c r="T42" s="67">
        <v>0</v>
      </c>
      <c r="U42" s="67">
        <v>0</v>
      </c>
      <c r="V42" s="67">
        <v>0</v>
      </c>
      <c r="W42" s="67">
        <v>0</v>
      </c>
      <c r="X42" s="67">
        <v>0</v>
      </c>
      <c r="Y42" s="67">
        <v>0</v>
      </c>
      <c r="Z42" s="67">
        <v>0</v>
      </c>
      <c r="AA42" s="67">
        <v>0</v>
      </c>
      <c r="AB42" s="67">
        <v>0</v>
      </c>
      <c r="AC42" s="67">
        <v>0</v>
      </c>
      <c r="AD42" s="67">
        <v>0</v>
      </c>
      <c r="AE42" s="67">
        <v>0</v>
      </c>
      <c r="AF42" s="67">
        <v>0</v>
      </c>
      <c r="AG42" s="67">
        <v>0</v>
      </c>
      <c r="AH42" s="67">
        <v>0</v>
      </c>
      <c r="AI42" s="67">
        <v>0</v>
      </c>
      <c r="AJ42" s="67">
        <v>0</v>
      </c>
      <c r="AK42" s="67">
        <v>0</v>
      </c>
      <c r="AL42" s="67">
        <v>0</v>
      </c>
      <c r="AM42" s="67">
        <v>0</v>
      </c>
      <c r="AN42" s="67">
        <v>0</v>
      </c>
      <c r="AO42" s="67">
        <v>0</v>
      </c>
      <c r="AP42" s="67">
        <v>0</v>
      </c>
      <c r="AQ42" s="67">
        <v>0</v>
      </c>
      <c r="AR42" s="67">
        <v>0</v>
      </c>
      <c r="AS42" s="67">
        <v>0</v>
      </c>
      <c r="AT42" s="67"/>
      <c r="AU42" s="67"/>
      <c r="AV42" s="67"/>
      <c r="AW42" s="67">
        <v>0</v>
      </c>
      <c r="AX42" s="67">
        <v>0</v>
      </c>
      <c r="AY42" s="67"/>
      <c r="AZ42" s="67"/>
      <c r="BA42" s="67"/>
      <c r="BB42" s="67"/>
      <c r="BC42" s="67"/>
      <c r="BD42" s="67"/>
      <c r="BE42" s="67"/>
      <c r="BG42" s="67"/>
      <c r="BH42" s="67"/>
      <c r="BI42" s="67"/>
      <c r="BJ42" s="67">
        <v>0</v>
      </c>
      <c r="BK42" s="67"/>
      <c r="BL42" s="67"/>
      <c r="BP42" s="67"/>
      <c r="BQ42" s="67">
        <v>0</v>
      </c>
      <c r="BR42" s="67"/>
      <c r="BS42" s="67"/>
      <c r="BT42" s="67">
        <v>0</v>
      </c>
      <c r="BU42" s="67"/>
      <c r="BV42" s="67"/>
      <c r="BW42" s="67">
        <v>0</v>
      </c>
      <c r="BX42" s="67">
        <v>0</v>
      </c>
      <c r="BY42" s="67">
        <v>0</v>
      </c>
      <c r="BZ42" s="67">
        <v>0</v>
      </c>
      <c r="CA42" s="67"/>
      <c r="CB42" s="67">
        <v>0</v>
      </c>
      <c r="CC42" s="67"/>
      <c r="CD42" s="67"/>
      <c r="CE42" s="67">
        <v>0</v>
      </c>
      <c r="CF42" s="67">
        <v>0</v>
      </c>
      <c r="CG42" s="67"/>
      <c r="CH42" s="67"/>
      <c r="CI42" s="67"/>
      <c r="CJ42" s="67"/>
      <c r="CK42" s="67">
        <v>0</v>
      </c>
      <c r="CL42" s="67">
        <v>0</v>
      </c>
      <c r="CM42" s="67"/>
      <c r="CN42" s="67"/>
      <c r="CO42" s="67">
        <v>0</v>
      </c>
      <c r="CP42" s="67">
        <v>0</v>
      </c>
      <c r="CQ42" s="67"/>
      <c r="CR42" s="67"/>
      <c r="CS42" s="67"/>
      <c r="CT42" s="67"/>
      <c r="CU42" s="67">
        <v>0</v>
      </c>
      <c r="CV42" s="67"/>
      <c r="CW42" s="67"/>
      <c r="CX42" s="67"/>
      <c r="CY42" s="67">
        <v>0</v>
      </c>
      <c r="CZ42" s="67"/>
      <c r="DA42" s="67"/>
      <c r="DB42" s="67"/>
      <c r="DC42" s="67"/>
      <c r="DF42" s="67"/>
      <c r="DG42" s="67">
        <v>0</v>
      </c>
      <c r="DH42" s="67">
        <v>0</v>
      </c>
      <c r="DI42" s="67">
        <v>0</v>
      </c>
      <c r="DJ42" s="67"/>
      <c r="DK42" s="67">
        <v>0</v>
      </c>
      <c r="DL42" s="67">
        <v>0</v>
      </c>
      <c r="DM42" s="67">
        <v>0</v>
      </c>
      <c r="DN42" s="67"/>
      <c r="DO42" s="67"/>
      <c r="DP42" s="67"/>
      <c r="DQ42" s="67">
        <v>0</v>
      </c>
      <c r="DR42" s="67">
        <v>0</v>
      </c>
      <c r="DS42" s="67"/>
      <c r="DT42" s="67"/>
      <c r="DU42" s="67">
        <v>0</v>
      </c>
      <c r="DV42" s="67">
        <v>0</v>
      </c>
      <c r="DW42" s="67">
        <v>0</v>
      </c>
      <c r="DX42" s="67">
        <v>0</v>
      </c>
      <c r="DY42" s="67"/>
      <c r="DZ42" s="67">
        <v>0</v>
      </c>
      <c r="EA42" s="67"/>
      <c r="EB42" s="67">
        <v>0</v>
      </c>
      <c r="EC42" s="67"/>
      <c r="ED42" s="67">
        <v>0</v>
      </c>
      <c r="EE42" s="67"/>
      <c r="EF42" s="67">
        <v>0</v>
      </c>
      <c r="EG42" s="67"/>
      <c r="EH42" s="67"/>
      <c r="EI42" s="67"/>
      <c r="EJ42" s="67"/>
      <c r="EK42" s="67"/>
      <c r="EL42" s="67"/>
      <c r="EM42" s="67"/>
      <c r="EN42" s="67"/>
      <c r="EO42" s="67"/>
      <c r="EP42" s="67">
        <v>0</v>
      </c>
      <c r="EQ42" s="67">
        <v>0</v>
      </c>
      <c r="ER42" s="67">
        <v>0</v>
      </c>
      <c r="ES42" s="67"/>
      <c r="ET42">
        <v>0</v>
      </c>
      <c r="EX42" s="67"/>
      <c r="EY42" s="67"/>
      <c r="EZ42" s="67"/>
      <c r="FA42" s="67">
        <v>0</v>
      </c>
      <c r="FB42" s="67"/>
      <c r="FC42" s="67"/>
      <c r="FD42" s="67"/>
      <c r="FE42" s="67"/>
      <c r="FF42" s="67"/>
      <c r="FG42" s="67"/>
      <c r="FH42" s="67"/>
      <c r="FI42" s="67" t="s">
        <v>1600</v>
      </c>
    </row>
    <row r="43" spans="2:165" ht="24" x14ac:dyDescent="0.2">
      <c r="B43" s="67" t="s">
        <v>360</v>
      </c>
      <c r="C43" s="67" t="s">
        <v>360</v>
      </c>
      <c r="D43" s="67" t="s">
        <v>361</v>
      </c>
      <c r="E43" s="67" t="s">
        <v>13</v>
      </c>
      <c r="F43" s="67" t="s">
        <v>810</v>
      </c>
      <c r="G43" s="67" t="s">
        <v>1597</v>
      </c>
      <c r="H43" s="67"/>
      <c r="I43" s="67" t="s">
        <v>41</v>
      </c>
      <c r="J43" s="67" t="s">
        <v>71</v>
      </c>
      <c r="K43" s="67" t="s">
        <v>811</v>
      </c>
      <c r="L43" s="67" t="s">
        <v>779</v>
      </c>
      <c r="M43" s="67" t="s">
        <v>752</v>
      </c>
      <c r="N43" s="67" t="s">
        <v>1598</v>
      </c>
      <c r="O43" s="67" t="s">
        <v>1599</v>
      </c>
      <c r="P43" s="67"/>
      <c r="Q43" s="67">
        <v>300</v>
      </c>
      <c r="R43" s="67">
        <v>0</v>
      </c>
      <c r="S43" s="67">
        <v>0</v>
      </c>
      <c r="T43" s="67">
        <v>0</v>
      </c>
      <c r="U43" s="67">
        <v>0</v>
      </c>
      <c r="V43" s="67">
        <v>0</v>
      </c>
      <c r="W43" s="67">
        <v>300</v>
      </c>
      <c r="X43" s="67">
        <v>0</v>
      </c>
      <c r="Y43" s="67">
        <v>0</v>
      </c>
      <c r="Z43" s="67">
        <v>0</v>
      </c>
      <c r="AA43" s="67">
        <v>0</v>
      </c>
      <c r="AB43" s="67">
        <v>0</v>
      </c>
      <c r="AC43" s="67">
        <v>0</v>
      </c>
      <c r="AD43" s="67">
        <v>0</v>
      </c>
      <c r="AE43" s="67">
        <v>0</v>
      </c>
      <c r="AF43" s="67">
        <v>0</v>
      </c>
      <c r="AG43" s="67">
        <v>0</v>
      </c>
      <c r="AH43" s="67">
        <v>0</v>
      </c>
      <c r="AI43" s="67">
        <v>0</v>
      </c>
      <c r="AJ43" s="67">
        <v>0</v>
      </c>
      <c r="AK43" s="67">
        <v>0</v>
      </c>
      <c r="AL43" s="67">
        <v>0</v>
      </c>
      <c r="AM43" s="67">
        <v>0</v>
      </c>
      <c r="AN43" s="67">
        <v>0</v>
      </c>
      <c r="AO43" s="67">
        <v>0</v>
      </c>
      <c r="AP43" s="67">
        <v>0</v>
      </c>
      <c r="AQ43" s="67">
        <v>0</v>
      </c>
      <c r="AR43" s="67">
        <v>0</v>
      </c>
      <c r="AS43" s="67">
        <v>0</v>
      </c>
      <c r="AT43" s="67"/>
      <c r="AU43" s="67"/>
      <c r="AV43" s="67"/>
      <c r="AW43" s="67">
        <v>0</v>
      </c>
      <c r="AX43" s="67">
        <v>0</v>
      </c>
      <c r="AY43" s="67"/>
      <c r="AZ43" s="67"/>
      <c r="BA43" s="67"/>
      <c r="BB43" s="67"/>
      <c r="BC43" s="67"/>
      <c r="BD43" s="67"/>
      <c r="BE43" s="67"/>
      <c r="BG43" s="67"/>
      <c r="BH43" s="67"/>
      <c r="BI43" s="67"/>
      <c r="BJ43" s="67">
        <v>0</v>
      </c>
      <c r="BK43" s="67"/>
      <c r="BL43" s="67"/>
      <c r="BP43" s="67"/>
      <c r="BQ43" s="67">
        <v>0</v>
      </c>
      <c r="BR43" s="67"/>
      <c r="BS43" s="67"/>
      <c r="BT43" s="67">
        <v>0</v>
      </c>
      <c r="BU43" s="67"/>
      <c r="BV43" s="67"/>
      <c r="BW43" s="67">
        <v>0</v>
      </c>
      <c r="BX43" s="67">
        <v>0</v>
      </c>
      <c r="BY43" s="67">
        <v>0</v>
      </c>
      <c r="BZ43" s="67">
        <v>0</v>
      </c>
      <c r="CA43" s="67"/>
      <c r="CB43" s="67">
        <v>0</v>
      </c>
      <c r="CC43" s="67"/>
      <c r="CD43" s="67"/>
      <c r="CE43" s="67">
        <v>0</v>
      </c>
      <c r="CF43" s="67">
        <v>0</v>
      </c>
      <c r="CG43" s="67"/>
      <c r="CH43" s="67"/>
      <c r="CI43" s="67"/>
      <c r="CJ43" s="67"/>
      <c r="CK43" s="67">
        <v>0</v>
      </c>
      <c r="CL43" s="67">
        <v>0</v>
      </c>
      <c r="CM43" s="67"/>
      <c r="CN43" s="67"/>
      <c r="CO43" s="67">
        <v>0</v>
      </c>
      <c r="CP43" s="67">
        <v>0</v>
      </c>
      <c r="CQ43" s="67"/>
      <c r="CR43" s="67"/>
      <c r="CS43" s="67"/>
      <c r="CT43" s="67"/>
      <c r="CU43" s="67">
        <v>0</v>
      </c>
      <c r="CV43" s="67"/>
      <c r="CW43" s="67"/>
      <c r="CX43" s="67"/>
      <c r="CY43" s="67">
        <v>0</v>
      </c>
      <c r="CZ43" s="67"/>
      <c r="DA43" s="67"/>
      <c r="DB43" s="67"/>
      <c r="DC43" s="67"/>
      <c r="DF43" s="67"/>
      <c r="DG43" s="67">
        <v>0</v>
      </c>
      <c r="DH43" s="67">
        <v>0</v>
      </c>
      <c r="DI43" s="67">
        <v>0</v>
      </c>
      <c r="DJ43" s="67"/>
      <c r="DK43" s="67">
        <v>0</v>
      </c>
      <c r="DL43" s="67">
        <v>0</v>
      </c>
      <c r="DM43" s="67">
        <v>0</v>
      </c>
      <c r="DN43" s="67"/>
      <c r="DO43" s="67"/>
      <c r="DP43" s="67"/>
      <c r="DQ43" s="67">
        <v>0</v>
      </c>
      <c r="DR43" s="67">
        <v>0</v>
      </c>
      <c r="DS43" s="67"/>
      <c r="DT43" s="67"/>
      <c r="DU43" s="67">
        <v>0</v>
      </c>
      <c r="DV43" s="67">
        <v>0</v>
      </c>
      <c r="DW43" s="67">
        <v>0</v>
      </c>
      <c r="DX43" s="67">
        <v>0</v>
      </c>
      <c r="DY43" s="67"/>
      <c r="DZ43" s="67">
        <v>0</v>
      </c>
      <c r="EA43" s="67"/>
      <c r="EB43" s="67">
        <v>0</v>
      </c>
      <c r="EC43" s="67"/>
      <c r="ED43" s="67">
        <v>0</v>
      </c>
      <c r="EE43" s="67"/>
      <c r="EF43" s="67">
        <v>0</v>
      </c>
      <c r="EG43" s="67"/>
      <c r="EH43" s="67"/>
      <c r="EI43" s="67"/>
      <c r="EJ43" s="67"/>
      <c r="EK43" s="67"/>
      <c r="EL43" s="67"/>
      <c r="EM43" s="67"/>
      <c r="EN43" s="67"/>
      <c r="EO43" s="67"/>
      <c r="EP43" s="67">
        <v>0</v>
      </c>
      <c r="EQ43" s="67">
        <v>0</v>
      </c>
      <c r="ER43" s="67">
        <v>0</v>
      </c>
      <c r="ES43" s="67"/>
      <c r="ET43">
        <v>0</v>
      </c>
      <c r="EX43" s="67"/>
      <c r="EY43" s="67"/>
      <c r="EZ43" s="67"/>
      <c r="FA43" s="67">
        <v>300</v>
      </c>
      <c r="FB43" s="67"/>
      <c r="FC43" s="67"/>
      <c r="FD43" s="67"/>
      <c r="FE43" s="67"/>
      <c r="FF43" s="67"/>
      <c r="FG43" s="67"/>
      <c r="FH43" s="67"/>
      <c r="FI43" s="67" t="s">
        <v>1600</v>
      </c>
    </row>
    <row r="44" spans="2:165" x14ac:dyDescent="0.2">
      <c r="B44" s="67" t="s">
        <v>362</v>
      </c>
      <c r="C44" s="67" t="s">
        <v>362</v>
      </c>
      <c r="D44" s="67" t="s">
        <v>363</v>
      </c>
      <c r="E44" s="67" t="s">
        <v>35</v>
      </c>
      <c r="F44" s="67" t="s">
        <v>810</v>
      </c>
      <c r="G44" s="67" t="s">
        <v>1597</v>
      </c>
      <c r="H44" s="67"/>
      <c r="I44" s="67" t="s">
        <v>41</v>
      </c>
      <c r="J44" s="67" t="s">
        <v>71</v>
      </c>
      <c r="K44" s="67" t="s">
        <v>811</v>
      </c>
      <c r="L44" s="67" t="s">
        <v>779</v>
      </c>
      <c r="M44" s="67" t="s">
        <v>752</v>
      </c>
      <c r="N44" s="67" t="s">
        <v>1598</v>
      </c>
      <c r="O44" s="67" t="s">
        <v>1599</v>
      </c>
      <c r="P44" s="67"/>
      <c r="Q44" s="67">
        <v>200</v>
      </c>
      <c r="R44" s="67">
        <v>0</v>
      </c>
      <c r="S44" s="67">
        <v>0</v>
      </c>
      <c r="T44" s="67">
        <v>0</v>
      </c>
      <c r="U44" s="67">
        <v>0</v>
      </c>
      <c r="V44" s="67">
        <v>0</v>
      </c>
      <c r="W44" s="67">
        <v>200</v>
      </c>
      <c r="X44" s="67">
        <v>0</v>
      </c>
      <c r="Y44" s="67">
        <v>0</v>
      </c>
      <c r="Z44" s="67">
        <v>0</v>
      </c>
      <c r="AA44" s="67">
        <v>0</v>
      </c>
      <c r="AB44" s="67">
        <v>0</v>
      </c>
      <c r="AC44" s="67">
        <v>0</v>
      </c>
      <c r="AD44" s="67">
        <v>0</v>
      </c>
      <c r="AE44" s="67">
        <v>0</v>
      </c>
      <c r="AF44" s="67">
        <v>0</v>
      </c>
      <c r="AG44" s="67">
        <v>0</v>
      </c>
      <c r="AH44" s="67">
        <v>0</v>
      </c>
      <c r="AI44" s="67">
        <v>0</v>
      </c>
      <c r="AJ44" s="67">
        <v>0</v>
      </c>
      <c r="AK44" s="67">
        <v>0</v>
      </c>
      <c r="AL44" s="67">
        <v>0</v>
      </c>
      <c r="AM44" s="67">
        <v>0</v>
      </c>
      <c r="AN44" s="67">
        <v>0</v>
      </c>
      <c r="AO44" s="67">
        <v>0</v>
      </c>
      <c r="AP44" s="67">
        <v>0</v>
      </c>
      <c r="AQ44" s="67">
        <v>0</v>
      </c>
      <c r="AR44" s="67">
        <v>0</v>
      </c>
      <c r="AS44" s="67">
        <v>0</v>
      </c>
      <c r="AT44" s="67"/>
      <c r="AU44" s="67"/>
      <c r="AV44" s="67"/>
      <c r="AW44" s="67">
        <v>0</v>
      </c>
      <c r="AX44" s="67">
        <v>0</v>
      </c>
      <c r="AY44" s="67"/>
      <c r="AZ44" s="67"/>
      <c r="BA44" s="67"/>
      <c r="BB44" s="67"/>
      <c r="BC44" s="67"/>
      <c r="BD44" s="67"/>
      <c r="BE44" s="67"/>
      <c r="BG44" s="67"/>
      <c r="BH44" s="67"/>
      <c r="BI44" s="67"/>
      <c r="BJ44" s="67">
        <v>0</v>
      </c>
      <c r="BK44" s="67"/>
      <c r="BL44" s="67"/>
      <c r="BP44" s="67"/>
      <c r="BQ44" s="67">
        <v>0</v>
      </c>
      <c r="BR44" s="67"/>
      <c r="BS44" s="67"/>
      <c r="BT44" s="67">
        <v>0</v>
      </c>
      <c r="BU44" s="67"/>
      <c r="BV44" s="67"/>
      <c r="BW44" s="67">
        <v>0</v>
      </c>
      <c r="BX44" s="67">
        <v>0</v>
      </c>
      <c r="BY44" s="67">
        <v>0</v>
      </c>
      <c r="BZ44" s="67">
        <v>0</v>
      </c>
      <c r="CA44" s="67"/>
      <c r="CB44" s="67">
        <v>0</v>
      </c>
      <c r="CC44" s="67"/>
      <c r="CD44" s="67"/>
      <c r="CE44" s="67">
        <v>0</v>
      </c>
      <c r="CF44" s="67">
        <v>0</v>
      </c>
      <c r="CG44" s="67"/>
      <c r="CH44" s="67"/>
      <c r="CI44" s="67"/>
      <c r="CJ44" s="67"/>
      <c r="CK44" s="67">
        <v>0</v>
      </c>
      <c r="CL44" s="67">
        <v>0</v>
      </c>
      <c r="CM44" s="67"/>
      <c r="CN44" s="67"/>
      <c r="CO44" s="67">
        <v>0</v>
      </c>
      <c r="CP44" s="67">
        <v>0</v>
      </c>
      <c r="CQ44" s="67"/>
      <c r="CR44" s="67"/>
      <c r="CS44" s="67"/>
      <c r="CT44" s="67"/>
      <c r="CU44" s="67">
        <v>0</v>
      </c>
      <c r="CV44" s="67"/>
      <c r="CW44" s="67"/>
      <c r="CX44" s="67"/>
      <c r="CY44" s="67">
        <v>0</v>
      </c>
      <c r="CZ44" s="67"/>
      <c r="DA44" s="67"/>
      <c r="DB44" s="67"/>
      <c r="DC44" s="67"/>
      <c r="DF44" s="67"/>
      <c r="DG44" s="67">
        <v>0</v>
      </c>
      <c r="DH44" s="67">
        <v>0</v>
      </c>
      <c r="DI44" s="67">
        <v>0</v>
      </c>
      <c r="DJ44" s="67"/>
      <c r="DK44" s="67">
        <v>0</v>
      </c>
      <c r="DL44" s="67">
        <v>0</v>
      </c>
      <c r="DM44" s="67">
        <v>0</v>
      </c>
      <c r="DN44" s="67"/>
      <c r="DO44" s="67"/>
      <c r="DP44" s="67"/>
      <c r="DQ44" s="67">
        <v>0</v>
      </c>
      <c r="DR44" s="67">
        <v>0</v>
      </c>
      <c r="DS44" s="67"/>
      <c r="DT44" s="67"/>
      <c r="DU44" s="67">
        <v>0</v>
      </c>
      <c r="DV44" s="67">
        <v>0</v>
      </c>
      <c r="DW44" s="67">
        <v>0</v>
      </c>
      <c r="DX44" s="67">
        <v>0</v>
      </c>
      <c r="DY44" s="67"/>
      <c r="DZ44" s="67">
        <v>0</v>
      </c>
      <c r="EA44" s="67"/>
      <c r="EB44" s="67">
        <v>0</v>
      </c>
      <c r="EC44" s="67"/>
      <c r="ED44" s="67">
        <v>0</v>
      </c>
      <c r="EE44" s="67"/>
      <c r="EF44" s="67">
        <v>0</v>
      </c>
      <c r="EG44" s="67"/>
      <c r="EH44" s="67"/>
      <c r="EI44" s="67"/>
      <c r="EJ44" s="67"/>
      <c r="EK44" s="67"/>
      <c r="EL44" s="67"/>
      <c r="EM44" s="67"/>
      <c r="EN44" s="67"/>
      <c r="EO44" s="67"/>
      <c r="EP44" s="67">
        <v>0</v>
      </c>
      <c r="EQ44" s="67">
        <v>0</v>
      </c>
      <c r="ER44" s="67">
        <v>0</v>
      </c>
      <c r="ES44" s="67"/>
      <c r="ET44">
        <v>0</v>
      </c>
      <c r="EX44" s="67"/>
      <c r="EY44" s="67"/>
      <c r="EZ44" s="67"/>
      <c r="FA44" s="67">
        <v>200</v>
      </c>
      <c r="FB44" s="67"/>
      <c r="FC44" s="67"/>
      <c r="FD44" s="67"/>
      <c r="FE44" s="67"/>
      <c r="FF44" s="67"/>
      <c r="FG44" s="67"/>
      <c r="FH44" s="67"/>
      <c r="FI44" s="67" t="s">
        <v>1600</v>
      </c>
    </row>
    <row r="45" spans="2:165" x14ac:dyDescent="0.2">
      <c r="B45" s="67" t="s">
        <v>305</v>
      </c>
      <c r="C45" s="67" t="s">
        <v>1628</v>
      </c>
      <c r="D45" s="67" t="s">
        <v>364</v>
      </c>
      <c r="E45" s="67" t="s">
        <v>305</v>
      </c>
      <c r="F45" s="67" t="s">
        <v>305</v>
      </c>
      <c r="G45" s="67" t="s">
        <v>1597</v>
      </c>
      <c r="H45" s="67"/>
      <c r="I45" s="67" t="s">
        <v>305</v>
      </c>
      <c r="J45" s="67" t="s">
        <v>305</v>
      </c>
      <c r="K45" s="67" t="s">
        <v>305</v>
      </c>
      <c r="L45" s="67" t="s">
        <v>787</v>
      </c>
      <c r="M45" s="67" t="s">
        <v>752</v>
      </c>
      <c r="N45" s="67" t="s">
        <v>305</v>
      </c>
      <c r="O45" s="67" t="s">
        <v>305</v>
      </c>
      <c r="P45" s="67"/>
      <c r="Q45" s="67">
        <v>0</v>
      </c>
      <c r="R45" s="67">
        <v>0</v>
      </c>
      <c r="S45" s="67">
        <v>0</v>
      </c>
      <c r="T45" s="67">
        <v>0</v>
      </c>
      <c r="U45" s="67">
        <v>0</v>
      </c>
      <c r="V45" s="67">
        <v>0</v>
      </c>
      <c r="W45" s="67">
        <v>0</v>
      </c>
      <c r="X45" s="67">
        <v>0</v>
      </c>
      <c r="Y45" s="67">
        <v>0</v>
      </c>
      <c r="Z45" s="67">
        <v>0</v>
      </c>
      <c r="AA45" s="67">
        <v>0</v>
      </c>
      <c r="AB45" s="67">
        <v>0</v>
      </c>
      <c r="AC45" s="67">
        <v>0</v>
      </c>
      <c r="AD45" s="67">
        <v>0</v>
      </c>
      <c r="AE45" s="67">
        <v>0</v>
      </c>
      <c r="AF45" s="67">
        <v>0</v>
      </c>
      <c r="AG45" s="67">
        <v>0</v>
      </c>
      <c r="AH45" s="67">
        <v>0</v>
      </c>
      <c r="AI45" s="67">
        <v>0</v>
      </c>
      <c r="AJ45" s="67">
        <v>0</v>
      </c>
      <c r="AK45" s="67">
        <v>0</v>
      </c>
      <c r="AL45" s="67">
        <v>0</v>
      </c>
      <c r="AM45" s="67">
        <v>0</v>
      </c>
      <c r="AN45" s="67">
        <v>0</v>
      </c>
      <c r="AO45" s="67">
        <v>0</v>
      </c>
      <c r="AP45" s="67">
        <v>0</v>
      </c>
      <c r="AQ45" s="67">
        <v>0</v>
      </c>
      <c r="AR45" s="67">
        <v>0</v>
      </c>
      <c r="AS45" s="67">
        <v>0</v>
      </c>
      <c r="AT45" s="67"/>
      <c r="AU45" s="67"/>
      <c r="AV45" s="67"/>
      <c r="AW45" s="67">
        <v>0</v>
      </c>
      <c r="AX45" s="67">
        <v>0</v>
      </c>
      <c r="AY45" s="67"/>
      <c r="AZ45" s="67"/>
      <c r="BA45" s="67"/>
      <c r="BB45" s="67"/>
      <c r="BC45" s="67"/>
      <c r="BD45" s="67"/>
      <c r="BE45" s="67"/>
      <c r="BG45" s="67"/>
      <c r="BH45" s="67"/>
      <c r="BI45" s="67"/>
      <c r="BJ45" s="67">
        <v>0</v>
      </c>
      <c r="BK45" s="67"/>
      <c r="BL45" s="67"/>
      <c r="BP45" s="67"/>
      <c r="BQ45" s="67">
        <v>0</v>
      </c>
      <c r="BR45" s="67"/>
      <c r="BS45" s="67"/>
      <c r="BT45" s="67">
        <v>0</v>
      </c>
      <c r="BU45" s="67"/>
      <c r="BV45" s="67"/>
      <c r="BW45" s="67">
        <v>0</v>
      </c>
      <c r="BX45" s="67">
        <v>0</v>
      </c>
      <c r="BY45" s="67">
        <v>0</v>
      </c>
      <c r="BZ45" s="67">
        <v>0</v>
      </c>
      <c r="CA45" s="67"/>
      <c r="CB45" s="67">
        <v>0</v>
      </c>
      <c r="CC45" s="67"/>
      <c r="CD45" s="67"/>
      <c r="CE45" s="67">
        <v>0</v>
      </c>
      <c r="CF45" s="67">
        <v>0</v>
      </c>
      <c r="CG45" s="67"/>
      <c r="CH45" s="67"/>
      <c r="CI45" s="67"/>
      <c r="CJ45" s="67"/>
      <c r="CK45" s="67">
        <v>0</v>
      </c>
      <c r="CL45" s="67">
        <v>0</v>
      </c>
      <c r="CM45" s="67"/>
      <c r="CN45" s="67"/>
      <c r="CO45" s="67">
        <v>0</v>
      </c>
      <c r="CP45" s="67">
        <v>0</v>
      </c>
      <c r="CQ45" s="67"/>
      <c r="CR45" s="67"/>
      <c r="CS45" s="67"/>
      <c r="CT45" s="67"/>
      <c r="CU45" s="67">
        <v>0</v>
      </c>
      <c r="CV45" s="67"/>
      <c r="CW45" s="67"/>
      <c r="CX45" s="67"/>
      <c r="CY45" s="67">
        <v>0</v>
      </c>
      <c r="CZ45" s="67"/>
      <c r="DA45" s="67"/>
      <c r="DB45" s="67"/>
      <c r="DC45" s="67"/>
      <c r="DF45" s="67"/>
      <c r="DG45" s="67">
        <v>0</v>
      </c>
      <c r="DH45" s="67">
        <v>0</v>
      </c>
      <c r="DI45" s="67">
        <v>0</v>
      </c>
      <c r="DJ45" s="67"/>
      <c r="DK45" s="67">
        <v>0</v>
      </c>
      <c r="DL45" s="67">
        <v>0</v>
      </c>
      <c r="DM45" s="67">
        <v>0</v>
      </c>
      <c r="DN45" s="67"/>
      <c r="DO45" s="67"/>
      <c r="DP45" s="67"/>
      <c r="DQ45" s="67">
        <v>0</v>
      </c>
      <c r="DR45" s="67">
        <v>0</v>
      </c>
      <c r="DS45" s="67"/>
      <c r="DT45" s="67"/>
      <c r="DU45" s="67">
        <v>0</v>
      </c>
      <c r="DV45" s="67">
        <v>0</v>
      </c>
      <c r="DW45" s="67">
        <v>0</v>
      </c>
      <c r="DX45" s="67">
        <v>0</v>
      </c>
      <c r="DY45" s="67"/>
      <c r="DZ45" s="67">
        <v>0</v>
      </c>
      <c r="EA45" s="67"/>
      <c r="EB45" s="67">
        <v>0</v>
      </c>
      <c r="EC45" s="67"/>
      <c r="ED45" s="67">
        <v>0</v>
      </c>
      <c r="EE45" s="67"/>
      <c r="EF45" s="67">
        <v>0</v>
      </c>
      <c r="EG45" s="67"/>
      <c r="EH45" s="67"/>
      <c r="EI45" s="67"/>
      <c r="EJ45" s="67"/>
      <c r="EK45" s="67"/>
      <c r="EL45" s="67"/>
      <c r="EM45" s="67"/>
      <c r="EN45" s="67"/>
      <c r="EO45" s="67"/>
      <c r="EP45" s="67">
        <v>0</v>
      </c>
      <c r="EQ45" s="67">
        <v>0</v>
      </c>
      <c r="ER45" s="67">
        <v>0</v>
      </c>
      <c r="ES45" s="67"/>
      <c r="ET45">
        <v>0</v>
      </c>
      <c r="EX45" s="67"/>
      <c r="EY45" s="67"/>
      <c r="EZ45" s="67"/>
      <c r="FA45" s="67">
        <v>0</v>
      </c>
      <c r="FB45" s="67"/>
      <c r="FC45" s="67"/>
      <c r="FD45" s="67"/>
      <c r="FE45" s="67"/>
      <c r="FF45" s="67"/>
      <c r="FG45" s="67"/>
      <c r="FH45" s="67"/>
      <c r="FI45" s="67" t="s">
        <v>1600</v>
      </c>
    </row>
    <row r="46" spans="2:165" x14ac:dyDescent="0.2">
      <c r="B46" s="67"/>
      <c r="C46" s="67" t="s">
        <v>1629</v>
      </c>
      <c r="D46" s="67" t="s">
        <v>365</v>
      </c>
      <c r="E46" s="67" t="s">
        <v>305</v>
      </c>
      <c r="F46" s="67">
        <v>0</v>
      </c>
      <c r="G46" s="67" t="s">
        <v>1597</v>
      </c>
      <c r="H46" s="67"/>
      <c r="I46" s="67" t="s">
        <v>41</v>
      </c>
      <c r="J46" s="67" t="s">
        <v>68</v>
      </c>
      <c r="K46" s="67" t="s">
        <v>771</v>
      </c>
      <c r="L46" s="67" t="s">
        <v>787</v>
      </c>
      <c r="M46" s="67" t="s">
        <v>752</v>
      </c>
      <c r="N46" s="67" t="s">
        <v>1604</v>
      </c>
      <c r="O46" s="67" t="s">
        <v>1605</v>
      </c>
      <c r="P46" s="67"/>
      <c r="Q46" s="67">
        <v>0</v>
      </c>
      <c r="R46" s="67">
        <v>0</v>
      </c>
      <c r="S46" s="67">
        <v>0</v>
      </c>
      <c r="T46" s="67">
        <v>0</v>
      </c>
      <c r="U46" s="67">
        <v>0</v>
      </c>
      <c r="V46" s="67">
        <v>0</v>
      </c>
      <c r="W46" s="67">
        <v>0</v>
      </c>
      <c r="X46" s="67">
        <v>0</v>
      </c>
      <c r="Y46" s="67">
        <v>0</v>
      </c>
      <c r="Z46" s="67">
        <v>0</v>
      </c>
      <c r="AA46" s="67">
        <v>0</v>
      </c>
      <c r="AB46" s="67">
        <v>0</v>
      </c>
      <c r="AC46" s="67">
        <v>0</v>
      </c>
      <c r="AD46" s="67">
        <v>0</v>
      </c>
      <c r="AE46" s="67">
        <v>0</v>
      </c>
      <c r="AF46" s="67">
        <v>0</v>
      </c>
      <c r="AG46" s="67">
        <v>0</v>
      </c>
      <c r="AH46" s="67">
        <v>0</v>
      </c>
      <c r="AI46" s="67">
        <v>0</v>
      </c>
      <c r="AJ46" s="67">
        <v>0</v>
      </c>
      <c r="AK46" s="67">
        <v>0</v>
      </c>
      <c r="AL46" s="67">
        <v>0</v>
      </c>
      <c r="AM46" s="67">
        <v>0</v>
      </c>
      <c r="AN46" s="67">
        <v>0</v>
      </c>
      <c r="AO46" s="67">
        <v>0</v>
      </c>
      <c r="AP46" s="67">
        <v>0</v>
      </c>
      <c r="AQ46" s="67">
        <v>0</v>
      </c>
      <c r="AR46" s="67">
        <v>0</v>
      </c>
      <c r="AS46" s="67">
        <v>0</v>
      </c>
      <c r="AT46" s="67"/>
      <c r="AU46" s="67"/>
      <c r="AV46" s="67"/>
      <c r="AW46" s="67">
        <v>0</v>
      </c>
      <c r="AX46" s="67">
        <v>0</v>
      </c>
      <c r="AY46" s="67"/>
      <c r="AZ46" s="67"/>
      <c r="BA46" s="67"/>
      <c r="BB46" s="67"/>
      <c r="BC46" s="67"/>
      <c r="BD46" s="67"/>
      <c r="BE46" s="67"/>
      <c r="BG46" s="67"/>
      <c r="BH46" s="67"/>
      <c r="BI46" s="67"/>
      <c r="BJ46" s="67">
        <v>0</v>
      </c>
      <c r="BK46" s="67"/>
      <c r="BL46" s="67"/>
      <c r="BP46" s="67"/>
      <c r="BQ46" s="67">
        <v>0</v>
      </c>
      <c r="BR46" s="67"/>
      <c r="BS46" s="67"/>
      <c r="BT46" s="67">
        <v>0</v>
      </c>
      <c r="BU46" s="67"/>
      <c r="BV46" s="67"/>
      <c r="BW46" s="67">
        <v>0</v>
      </c>
      <c r="BX46" s="67">
        <v>0</v>
      </c>
      <c r="BY46" s="67">
        <v>0</v>
      </c>
      <c r="BZ46" s="67">
        <v>0</v>
      </c>
      <c r="CA46" s="67"/>
      <c r="CB46" s="67">
        <v>0</v>
      </c>
      <c r="CC46" s="67"/>
      <c r="CD46" s="67"/>
      <c r="CE46" s="67">
        <v>0</v>
      </c>
      <c r="CF46" s="67">
        <v>0</v>
      </c>
      <c r="CG46" s="67"/>
      <c r="CH46" s="67"/>
      <c r="CI46" s="67"/>
      <c r="CJ46" s="67"/>
      <c r="CK46" s="67">
        <v>0</v>
      </c>
      <c r="CL46" s="67">
        <v>0</v>
      </c>
      <c r="CM46" s="67"/>
      <c r="CN46" s="67"/>
      <c r="CO46" s="67">
        <v>0</v>
      </c>
      <c r="CP46" s="67">
        <v>0</v>
      </c>
      <c r="CQ46" s="67"/>
      <c r="CR46" s="67"/>
      <c r="CS46" s="67"/>
      <c r="CT46" s="67"/>
      <c r="CU46" s="67">
        <v>0</v>
      </c>
      <c r="CV46" s="67"/>
      <c r="CW46" s="67"/>
      <c r="CX46" s="67"/>
      <c r="CY46" s="67">
        <v>0</v>
      </c>
      <c r="CZ46" s="67"/>
      <c r="DA46" s="67"/>
      <c r="DB46" s="67"/>
      <c r="DC46" s="67"/>
      <c r="DF46" s="67"/>
      <c r="DG46" s="67">
        <v>0</v>
      </c>
      <c r="DH46" s="67">
        <v>0</v>
      </c>
      <c r="DI46" s="67">
        <v>0</v>
      </c>
      <c r="DJ46" s="67"/>
      <c r="DK46" s="67">
        <v>0</v>
      </c>
      <c r="DL46" s="67">
        <v>0</v>
      </c>
      <c r="DM46" s="67">
        <v>0</v>
      </c>
      <c r="DN46" s="67"/>
      <c r="DO46" s="67"/>
      <c r="DP46" s="67"/>
      <c r="DQ46" s="67">
        <v>0</v>
      </c>
      <c r="DR46" s="67">
        <v>0</v>
      </c>
      <c r="DS46" s="67"/>
      <c r="DT46" s="67"/>
      <c r="DU46" s="67">
        <v>0</v>
      </c>
      <c r="DV46" s="67">
        <v>0</v>
      </c>
      <c r="DW46" s="67">
        <v>0</v>
      </c>
      <c r="DX46" s="67">
        <v>0</v>
      </c>
      <c r="DY46" s="67"/>
      <c r="DZ46" s="67">
        <v>0</v>
      </c>
      <c r="EA46" s="67"/>
      <c r="EB46" s="67">
        <v>0</v>
      </c>
      <c r="EC46" s="67"/>
      <c r="ED46" s="67">
        <v>0</v>
      </c>
      <c r="EE46" s="67"/>
      <c r="EF46" s="67">
        <v>0</v>
      </c>
      <c r="EG46" s="67"/>
      <c r="EH46" s="67"/>
      <c r="EI46" s="67"/>
      <c r="EJ46" s="67"/>
      <c r="EK46" s="67"/>
      <c r="EL46" s="67"/>
      <c r="EM46" s="67"/>
      <c r="EN46" s="67"/>
      <c r="EO46" s="67"/>
      <c r="EP46" s="67">
        <v>0</v>
      </c>
      <c r="EQ46" s="67">
        <v>330</v>
      </c>
      <c r="ER46" s="67">
        <v>330</v>
      </c>
      <c r="ES46" s="67"/>
      <c r="ET46">
        <v>0</v>
      </c>
      <c r="EX46" s="67"/>
      <c r="EY46" s="67"/>
      <c r="EZ46" s="67"/>
      <c r="FA46" s="67">
        <v>0</v>
      </c>
      <c r="FB46" s="67"/>
      <c r="FC46" s="67"/>
      <c r="FD46" s="67"/>
      <c r="FE46" s="67"/>
      <c r="FF46" s="67"/>
      <c r="FG46" s="67"/>
      <c r="FH46" s="67"/>
      <c r="FI46" s="67" t="s">
        <v>1600</v>
      </c>
    </row>
    <row r="47" spans="2:165" x14ac:dyDescent="0.2">
      <c r="B47" s="67"/>
      <c r="C47" s="67" t="s">
        <v>1630</v>
      </c>
      <c r="D47" s="67" t="s">
        <v>366</v>
      </c>
      <c r="E47" s="67" t="s">
        <v>305</v>
      </c>
      <c r="F47" s="67">
        <v>0</v>
      </c>
      <c r="G47" s="67" t="s">
        <v>1597</v>
      </c>
      <c r="H47" s="67"/>
      <c r="I47" s="67" t="s">
        <v>41</v>
      </c>
      <c r="J47" s="67" t="s">
        <v>68</v>
      </c>
      <c r="K47" s="67" t="s">
        <v>771</v>
      </c>
      <c r="L47" s="67" t="s">
        <v>787</v>
      </c>
      <c r="M47" s="67" t="s">
        <v>752</v>
      </c>
      <c r="N47" s="67" t="s">
        <v>1604</v>
      </c>
      <c r="O47" s="67" t="s">
        <v>1605</v>
      </c>
      <c r="P47" s="67"/>
      <c r="Q47" s="67">
        <v>0</v>
      </c>
      <c r="R47" s="67">
        <v>0</v>
      </c>
      <c r="S47" s="67">
        <v>0</v>
      </c>
      <c r="T47" s="67">
        <v>0</v>
      </c>
      <c r="U47" s="67">
        <v>0</v>
      </c>
      <c r="V47" s="67">
        <v>0</v>
      </c>
      <c r="W47" s="67">
        <v>0</v>
      </c>
      <c r="X47" s="67">
        <v>0</v>
      </c>
      <c r="Y47" s="67">
        <v>0</v>
      </c>
      <c r="Z47" s="67">
        <v>0</v>
      </c>
      <c r="AA47" s="67">
        <v>0</v>
      </c>
      <c r="AB47" s="67">
        <v>0</v>
      </c>
      <c r="AC47" s="67">
        <v>0</v>
      </c>
      <c r="AD47" s="67">
        <v>0</v>
      </c>
      <c r="AE47" s="67">
        <v>0</v>
      </c>
      <c r="AF47" s="67">
        <v>0</v>
      </c>
      <c r="AG47" s="67">
        <v>0</v>
      </c>
      <c r="AH47" s="67">
        <v>0</v>
      </c>
      <c r="AI47" s="67">
        <v>0</v>
      </c>
      <c r="AJ47" s="67">
        <v>0</v>
      </c>
      <c r="AK47" s="67">
        <v>0</v>
      </c>
      <c r="AL47" s="67">
        <v>0</v>
      </c>
      <c r="AM47" s="67">
        <v>0</v>
      </c>
      <c r="AN47" s="67">
        <v>0</v>
      </c>
      <c r="AO47" s="67">
        <v>0</v>
      </c>
      <c r="AP47" s="67">
        <v>0</v>
      </c>
      <c r="AQ47" s="67">
        <v>0</v>
      </c>
      <c r="AR47" s="67">
        <v>0</v>
      </c>
      <c r="AS47" s="67">
        <v>0</v>
      </c>
      <c r="AT47" s="67"/>
      <c r="AU47" s="67"/>
      <c r="AV47" s="67"/>
      <c r="AW47" s="67">
        <v>0</v>
      </c>
      <c r="AX47" s="67">
        <v>0</v>
      </c>
      <c r="AY47" s="67"/>
      <c r="AZ47" s="67"/>
      <c r="BA47" s="67"/>
      <c r="BB47" s="67"/>
      <c r="BC47" s="67"/>
      <c r="BD47" s="67"/>
      <c r="BE47" s="67"/>
      <c r="BG47" s="67"/>
      <c r="BH47" s="67"/>
      <c r="BI47" s="67"/>
      <c r="BJ47" s="67">
        <v>0</v>
      </c>
      <c r="BK47" s="67"/>
      <c r="BL47" s="67"/>
      <c r="BP47" s="67"/>
      <c r="BQ47" s="67">
        <v>0</v>
      </c>
      <c r="BR47" s="67"/>
      <c r="BS47" s="67"/>
      <c r="BT47" s="67">
        <v>0</v>
      </c>
      <c r="BU47" s="67"/>
      <c r="BV47" s="67"/>
      <c r="BW47" s="67">
        <v>0</v>
      </c>
      <c r="BX47" s="67">
        <v>0</v>
      </c>
      <c r="BY47" s="67">
        <v>0</v>
      </c>
      <c r="BZ47" s="67">
        <v>0</v>
      </c>
      <c r="CA47" s="67"/>
      <c r="CB47" s="67">
        <v>0</v>
      </c>
      <c r="CC47" s="67"/>
      <c r="CD47" s="67"/>
      <c r="CE47" s="67">
        <v>0</v>
      </c>
      <c r="CF47" s="67">
        <v>0</v>
      </c>
      <c r="CG47" s="67"/>
      <c r="CH47" s="67"/>
      <c r="CI47" s="67"/>
      <c r="CJ47" s="67"/>
      <c r="CK47" s="67">
        <v>0</v>
      </c>
      <c r="CL47" s="67">
        <v>0</v>
      </c>
      <c r="CM47" s="67"/>
      <c r="CN47" s="67"/>
      <c r="CO47" s="67">
        <v>0</v>
      </c>
      <c r="CP47" s="67">
        <v>0</v>
      </c>
      <c r="CQ47" s="67"/>
      <c r="CR47" s="67"/>
      <c r="CS47" s="67"/>
      <c r="CT47" s="67"/>
      <c r="CU47" s="67">
        <v>0</v>
      </c>
      <c r="CV47" s="67"/>
      <c r="CW47" s="67"/>
      <c r="CX47" s="67"/>
      <c r="CY47" s="67">
        <v>0</v>
      </c>
      <c r="CZ47" s="67"/>
      <c r="DA47" s="67"/>
      <c r="DB47" s="67"/>
      <c r="DC47" s="67"/>
      <c r="DF47" s="67"/>
      <c r="DG47" s="67">
        <v>0</v>
      </c>
      <c r="DH47" s="67">
        <v>0</v>
      </c>
      <c r="DI47" s="67">
        <v>0</v>
      </c>
      <c r="DJ47" s="67"/>
      <c r="DK47" s="67">
        <v>0</v>
      </c>
      <c r="DL47" s="67">
        <v>0</v>
      </c>
      <c r="DM47" s="67">
        <v>0</v>
      </c>
      <c r="DN47" s="67"/>
      <c r="DO47" s="67"/>
      <c r="DP47" s="67"/>
      <c r="DQ47" s="67">
        <v>0</v>
      </c>
      <c r="DR47" s="67">
        <v>0</v>
      </c>
      <c r="DS47" s="67"/>
      <c r="DT47" s="67"/>
      <c r="DU47" s="67">
        <v>0</v>
      </c>
      <c r="DV47" s="67">
        <v>0</v>
      </c>
      <c r="DW47" s="67">
        <v>0</v>
      </c>
      <c r="DX47" s="67">
        <v>0</v>
      </c>
      <c r="DY47" s="67"/>
      <c r="DZ47" s="67">
        <v>0</v>
      </c>
      <c r="EA47" s="67"/>
      <c r="EB47" s="67">
        <v>0</v>
      </c>
      <c r="EC47" s="67"/>
      <c r="ED47" s="67">
        <v>0</v>
      </c>
      <c r="EE47" s="67"/>
      <c r="EF47" s="67">
        <v>0</v>
      </c>
      <c r="EG47" s="67"/>
      <c r="EH47" s="67"/>
      <c r="EI47" s="67"/>
      <c r="EJ47" s="67"/>
      <c r="EK47" s="67"/>
      <c r="EL47" s="67"/>
      <c r="EM47" s="67"/>
      <c r="EN47" s="67"/>
      <c r="EO47" s="67"/>
      <c r="EP47" s="67">
        <v>0</v>
      </c>
      <c r="EQ47" s="67">
        <v>120</v>
      </c>
      <c r="ER47" s="67">
        <v>120</v>
      </c>
      <c r="ES47" s="67"/>
      <c r="ET47">
        <v>0</v>
      </c>
      <c r="EX47" s="67"/>
      <c r="EY47" s="67"/>
      <c r="EZ47" s="67"/>
      <c r="FA47" s="67">
        <v>0</v>
      </c>
      <c r="FB47" s="67"/>
      <c r="FC47" s="67"/>
      <c r="FD47" s="67"/>
      <c r="FE47" s="67"/>
      <c r="FF47" s="67"/>
      <c r="FG47" s="67"/>
      <c r="FH47" s="67"/>
      <c r="FI47" s="67" t="s">
        <v>1600</v>
      </c>
    </row>
    <row r="48" spans="2:165" x14ac:dyDescent="0.2">
      <c r="B48" s="67" t="s">
        <v>367</v>
      </c>
      <c r="C48" s="67" t="s">
        <v>367</v>
      </c>
      <c r="D48" s="67" t="s">
        <v>368</v>
      </c>
      <c r="E48" s="67" t="s">
        <v>35</v>
      </c>
      <c r="F48" s="67" t="s">
        <v>766</v>
      </c>
      <c r="G48" s="67" t="s">
        <v>1597</v>
      </c>
      <c r="H48" s="67"/>
      <c r="I48" s="67" t="s">
        <v>43</v>
      </c>
      <c r="J48" s="67" t="s">
        <v>68</v>
      </c>
      <c r="K48" s="67" t="s">
        <v>1567</v>
      </c>
      <c r="L48" s="67" t="s">
        <v>767</v>
      </c>
      <c r="M48" s="67" t="s">
        <v>752</v>
      </c>
      <c r="N48" s="67" t="s">
        <v>1598</v>
      </c>
      <c r="O48" s="67" t="s">
        <v>1599</v>
      </c>
      <c r="P48" s="67"/>
      <c r="Q48" s="67">
        <v>859.5</v>
      </c>
      <c r="R48" s="67">
        <v>0</v>
      </c>
      <c r="S48" s="67">
        <v>0</v>
      </c>
      <c r="T48" s="67">
        <v>0</v>
      </c>
      <c r="U48" s="67">
        <v>0</v>
      </c>
      <c r="V48" s="67">
        <v>0</v>
      </c>
      <c r="W48" s="67">
        <v>0</v>
      </c>
      <c r="X48" s="67">
        <v>0</v>
      </c>
      <c r="Y48" s="67">
        <v>0</v>
      </c>
      <c r="Z48" s="67">
        <v>0</v>
      </c>
      <c r="AA48" s="67">
        <v>0</v>
      </c>
      <c r="AB48" s="67">
        <v>0</v>
      </c>
      <c r="AC48" s="67">
        <v>0</v>
      </c>
      <c r="AD48" s="67">
        <v>0</v>
      </c>
      <c r="AE48" s="67">
        <v>0</v>
      </c>
      <c r="AF48" s="67">
        <v>0</v>
      </c>
      <c r="AG48" s="67">
        <v>859.5</v>
      </c>
      <c r="AH48" s="67">
        <v>0</v>
      </c>
      <c r="AI48" s="67">
        <v>0</v>
      </c>
      <c r="AJ48" s="67">
        <v>0</v>
      </c>
      <c r="AK48" s="67">
        <v>0</v>
      </c>
      <c r="AL48" s="67">
        <v>0</v>
      </c>
      <c r="AM48" s="67">
        <v>0</v>
      </c>
      <c r="AN48" s="67">
        <v>0</v>
      </c>
      <c r="AO48" s="67">
        <v>0</v>
      </c>
      <c r="AP48" s="67">
        <v>0</v>
      </c>
      <c r="AQ48" s="67">
        <v>0</v>
      </c>
      <c r="AR48" s="67">
        <v>0</v>
      </c>
      <c r="AS48" s="67">
        <v>0</v>
      </c>
      <c r="AT48" s="67"/>
      <c r="AU48" s="67"/>
      <c r="AV48" s="67"/>
      <c r="AW48" s="67">
        <v>0</v>
      </c>
      <c r="AX48" s="67">
        <v>0</v>
      </c>
      <c r="AY48" s="67"/>
      <c r="AZ48" s="67"/>
      <c r="BA48" s="67"/>
      <c r="BB48" s="67"/>
      <c r="BC48" s="67"/>
      <c r="BD48" s="67"/>
      <c r="BE48" s="67"/>
      <c r="BG48" s="67"/>
      <c r="BH48" s="67"/>
      <c r="BI48" s="67"/>
      <c r="BJ48" s="67">
        <v>0</v>
      </c>
      <c r="BK48" s="67"/>
      <c r="BL48" s="67"/>
      <c r="BP48" s="67"/>
      <c r="BQ48" s="67">
        <v>0</v>
      </c>
      <c r="BR48" s="67"/>
      <c r="BS48" s="67"/>
      <c r="BT48" s="67">
        <v>0</v>
      </c>
      <c r="BU48" s="67"/>
      <c r="BV48" s="67"/>
      <c r="BW48" s="67">
        <v>0</v>
      </c>
      <c r="BX48" s="67">
        <v>0</v>
      </c>
      <c r="BY48" s="67">
        <v>0</v>
      </c>
      <c r="BZ48" s="67">
        <v>0</v>
      </c>
      <c r="CA48" s="67"/>
      <c r="CB48" s="67">
        <v>0</v>
      </c>
      <c r="CC48" s="67"/>
      <c r="CD48" s="67"/>
      <c r="CE48" s="67">
        <v>0</v>
      </c>
      <c r="CF48" s="67">
        <v>0</v>
      </c>
      <c r="CG48" s="67"/>
      <c r="CH48" s="67"/>
      <c r="CI48" s="67"/>
      <c r="CJ48" s="67"/>
      <c r="CK48" s="67">
        <v>0</v>
      </c>
      <c r="CL48" s="67">
        <v>0</v>
      </c>
      <c r="CM48" s="67"/>
      <c r="CN48" s="67"/>
      <c r="CO48" s="67">
        <v>0</v>
      </c>
      <c r="CP48" s="67">
        <v>0</v>
      </c>
      <c r="CQ48" s="67"/>
      <c r="CR48" s="67"/>
      <c r="CS48" s="67"/>
      <c r="CT48" s="67"/>
      <c r="CU48" s="67">
        <v>0</v>
      </c>
      <c r="CV48" s="67"/>
      <c r="CW48" s="67"/>
      <c r="CX48" s="67"/>
      <c r="CY48" s="67">
        <v>0</v>
      </c>
      <c r="CZ48" s="67"/>
      <c r="DA48" s="67"/>
      <c r="DB48" s="67"/>
      <c r="DC48" s="67"/>
      <c r="DF48" s="67"/>
      <c r="DG48" s="67">
        <v>0</v>
      </c>
      <c r="DH48" s="67">
        <v>0</v>
      </c>
      <c r="DI48" s="67">
        <v>0</v>
      </c>
      <c r="DJ48" s="67"/>
      <c r="DK48" s="67">
        <v>0</v>
      </c>
      <c r="DL48" s="67">
        <v>0</v>
      </c>
      <c r="DM48" s="67">
        <v>0</v>
      </c>
      <c r="DN48" s="67"/>
      <c r="DO48" s="67"/>
      <c r="DP48" s="67"/>
      <c r="DQ48" s="67">
        <v>0</v>
      </c>
      <c r="DR48" s="67">
        <v>0</v>
      </c>
      <c r="DS48" s="67"/>
      <c r="DT48" s="67"/>
      <c r="DU48" s="67">
        <v>0</v>
      </c>
      <c r="DV48" s="67">
        <v>0</v>
      </c>
      <c r="DW48" s="67">
        <v>0</v>
      </c>
      <c r="DX48" s="67">
        <v>0</v>
      </c>
      <c r="DY48" s="67"/>
      <c r="DZ48" s="67">
        <v>0</v>
      </c>
      <c r="EA48" s="67"/>
      <c r="EB48" s="67">
        <v>0</v>
      </c>
      <c r="EC48" s="67"/>
      <c r="ED48" s="67">
        <v>0</v>
      </c>
      <c r="EE48" s="67"/>
      <c r="EF48" s="67">
        <v>0</v>
      </c>
      <c r="EG48" s="67"/>
      <c r="EH48" s="67"/>
      <c r="EI48" s="67"/>
      <c r="EJ48" s="67"/>
      <c r="EK48" s="67"/>
      <c r="EL48" s="67"/>
      <c r="EM48" s="67"/>
      <c r="EN48" s="67"/>
      <c r="EO48" s="67"/>
      <c r="EP48" s="67">
        <v>0</v>
      </c>
      <c r="EQ48" s="67">
        <v>0</v>
      </c>
      <c r="ER48" s="67">
        <v>0</v>
      </c>
      <c r="ES48" s="67"/>
      <c r="ET48">
        <v>0</v>
      </c>
      <c r="EX48" s="67"/>
      <c r="EY48" s="67"/>
      <c r="EZ48" s="67"/>
      <c r="FA48" s="67">
        <v>859.5</v>
      </c>
      <c r="FB48" s="67"/>
      <c r="FC48" s="67"/>
      <c r="FD48" s="67"/>
      <c r="FE48" s="67"/>
      <c r="FF48" s="67"/>
      <c r="FG48" s="67"/>
      <c r="FH48" s="67"/>
      <c r="FI48" s="67" t="s">
        <v>1600</v>
      </c>
    </row>
    <row r="49" spans="2:165" x14ac:dyDescent="0.2">
      <c r="B49" s="67" t="s">
        <v>369</v>
      </c>
      <c r="C49" s="67" t="s">
        <v>369</v>
      </c>
      <c r="D49" s="67" t="s">
        <v>370</v>
      </c>
      <c r="E49" s="67" t="s">
        <v>35</v>
      </c>
      <c r="F49" s="67" t="s">
        <v>766</v>
      </c>
      <c r="G49" s="67" t="s">
        <v>1597</v>
      </c>
      <c r="H49" s="67"/>
      <c r="I49" s="67" t="s">
        <v>43</v>
      </c>
      <c r="J49" s="67" t="s">
        <v>68</v>
      </c>
      <c r="K49" s="67" t="s">
        <v>1567</v>
      </c>
      <c r="L49" s="67" t="s">
        <v>767</v>
      </c>
      <c r="M49" s="67" t="s">
        <v>752</v>
      </c>
      <c r="N49" s="67" t="s">
        <v>1598</v>
      </c>
      <c r="O49" s="67" t="s">
        <v>1599</v>
      </c>
      <c r="P49" s="67"/>
      <c r="Q49" s="67">
        <v>1031.4000000000001</v>
      </c>
      <c r="R49" s="67">
        <v>0</v>
      </c>
      <c r="S49" s="67">
        <v>0</v>
      </c>
      <c r="T49" s="67">
        <v>0</v>
      </c>
      <c r="U49" s="67">
        <v>0</v>
      </c>
      <c r="V49" s="67">
        <v>0</v>
      </c>
      <c r="W49" s="67">
        <v>0</v>
      </c>
      <c r="X49" s="67">
        <v>0</v>
      </c>
      <c r="Y49" s="67">
        <v>0</v>
      </c>
      <c r="Z49" s="67">
        <v>0</v>
      </c>
      <c r="AA49" s="67">
        <v>0</v>
      </c>
      <c r="AB49" s="67">
        <v>0</v>
      </c>
      <c r="AC49" s="67">
        <v>0</v>
      </c>
      <c r="AD49" s="67">
        <v>0</v>
      </c>
      <c r="AE49" s="67">
        <v>0</v>
      </c>
      <c r="AF49" s="67">
        <v>0</v>
      </c>
      <c r="AG49" s="67">
        <v>1031.4000000000001</v>
      </c>
      <c r="AH49" s="67">
        <v>0</v>
      </c>
      <c r="AI49" s="67">
        <v>0</v>
      </c>
      <c r="AJ49" s="67">
        <v>0</v>
      </c>
      <c r="AK49" s="67">
        <v>0</v>
      </c>
      <c r="AL49" s="67">
        <v>0</v>
      </c>
      <c r="AM49" s="67">
        <v>0</v>
      </c>
      <c r="AN49" s="67">
        <v>0</v>
      </c>
      <c r="AO49" s="67">
        <v>0</v>
      </c>
      <c r="AP49" s="67">
        <v>0</v>
      </c>
      <c r="AQ49" s="67">
        <v>0</v>
      </c>
      <c r="AR49" s="67">
        <v>0</v>
      </c>
      <c r="AS49" s="67">
        <v>0</v>
      </c>
      <c r="AT49" s="67"/>
      <c r="AU49" s="67"/>
      <c r="AV49" s="67"/>
      <c r="AW49" s="67">
        <v>0</v>
      </c>
      <c r="AX49" s="67">
        <v>0</v>
      </c>
      <c r="AY49" s="67"/>
      <c r="AZ49" s="67"/>
      <c r="BA49" s="67"/>
      <c r="BB49" s="67"/>
      <c r="BC49" s="67"/>
      <c r="BD49" s="67"/>
      <c r="BE49" s="67"/>
      <c r="BG49" s="67"/>
      <c r="BH49" s="67"/>
      <c r="BI49" s="67"/>
      <c r="BJ49" s="67">
        <v>0</v>
      </c>
      <c r="BK49" s="67"/>
      <c r="BL49" s="67"/>
      <c r="BP49" s="67"/>
      <c r="BQ49" s="67">
        <v>0</v>
      </c>
      <c r="BR49" s="67"/>
      <c r="BS49" s="67"/>
      <c r="BT49" s="67">
        <v>0</v>
      </c>
      <c r="BU49" s="67"/>
      <c r="BV49" s="67"/>
      <c r="BW49" s="67">
        <v>0</v>
      </c>
      <c r="BX49" s="67">
        <v>0</v>
      </c>
      <c r="BY49" s="67">
        <v>0</v>
      </c>
      <c r="BZ49" s="67">
        <v>0</v>
      </c>
      <c r="CA49" s="67"/>
      <c r="CB49" s="67">
        <v>0</v>
      </c>
      <c r="CC49" s="67"/>
      <c r="CD49" s="67"/>
      <c r="CE49" s="67">
        <v>0</v>
      </c>
      <c r="CF49" s="67">
        <v>0</v>
      </c>
      <c r="CG49" s="67"/>
      <c r="CH49" s="67"/>
      <c r="CI49" s="67"/>
      <c r="CJ49" s="67"/>
      <c r="CK49" s="67">
        <v>0</v>
      </c>
      <c r="CL49" s="67">
        <v>0</v>
      </c>
      <c r="CM49" s="67"/>
      <c r="CN49" s="67"/>
      <c r="CO49" s="67">
        <v>0</v>
      </c>
      <c r="CP49" s="67">
        <v>0</v>
      </c>
      <c r="CQ49" s="67"/>
      <c r="CR49" s="67"/>
      <c r="CS49" s="67"/>
      <c r="CT49" s="67"/>
      <c r="CU49" s="67">
        <v>0</v>
      </c>
      <c r="CV49" s="67"/>
      <c r="CW49" s="67"/>
      <c r="CX49" s="67"/>
      <c r="CY49" s="67">
        <v>0</v>
      </c>
      <c r="CZ49" s="67"/>
      <c r="DA49" s="67"/>
      <c r="DB49" s="67"/>
      <c r="DC49" s="67"/>
      <c r="DF49" s="67"/>
      <c r="DG49" s="67">
        <v>0</v>
      </c>
      <c r="DH49" s="67">
        <v>0</v>
      </c>
      <c r="DI49" s="67">
        <v>0</v>
      </c>
      <c r="DJ49" s="67"/>
      <c r="DK49" s="67">
        <v>0</v>
      </c>
      <c r="DL49" s="67">
        <v>0</v>
      </c>
      <c r="DM49" s="67">
        <v>0</v>
      </c>
      <c r="DN49" s="67"/>
      <c r="DO49" s="67"/>
      <c r="DP49" s="67"/>
      <c r="DQ49" s="67">
        <v>0</v>
      </c>
      <c r="DR49" s="67">
        <v>0</v>
      </c>
      <c r="DS49" s="67"/>
      <c r="DT49" s="67"/>
      <c r="DU49" s="67">
        <v>0</v>
      </c>
      <c r="DV49" s="67">
        <v>0</v>
      </c>
      <c r="DW49" s="67">
        <v>0</v>
      </c>
      <c r="DX49" s="67">
        <v>0</v>
      </c>
      <c r="DY49" s="67"/>
      <c r="DZ49" s="67">
        <v>0</v>
      </c>
      <c r="EA49" s="67"/>
      <c r="EB49" s="67">
        <v>0</v>
      </c>
      <c r="EC49" s="67"/>
      <c r="ED49" s="67">
        <v>0</v>
      </c>
      <c r="EE49" s="67"/>
      <c r="EF49" s="67">
        <v>0</v>
      </c>
      <c r="EG49" s="67"/>
      <c r="EH49" s="67"/>
      <c r="EI49" s="67"/>
      <c r="EJ49" s="67"/>
      <c r="EK49" s="67"/>
      <c r="EL49" s="67"/>
      <c r="EM49" s="67"/>
      <c r="EN49" s="67"/>
      <c r="EO49" s="67"/>
      <c r="EP49" s="67">
        <v>0</v>
      </c>
      <c r="EQ49" s="67">
        <v>0</v>
      </c>
      <c r="ER49" s="67">
        <v>0</v>
      </c>
      <c r="ES49" s="67"/>
      <c r="ET49">
        <v>0</v>
      </c>
      <c r="EX49" s="67"/>
      <c r="EY49" s="67"/>
      <c r="EZ49" s="67"/>
      <c r="FA49" s="67">
        <v>1031.4000000000001</v>
      </c>
      <c r="FB49" s="67"/>
      <c r="FC49" s="67"/>
      <c r="FD49" s="67"/>
      <c r="FE49" s="67"/>
      <c r="FF49" s="67"/>
      <c r="FG49" s="67"/>
      <c r="FH49" s="67"/>
      <c r="FI49" s="67" t="s">
        <v>1600</v>
      </c>
    </row>
    <row r="50" spans="2:165" x14ac:dyDescent="0.2">
      <c r="B50" s="67" t="s">
        <v>305</v>
      </c>
      <c r="C50" s="67" t="s">
        <v>1631</v>
      </c>
      <c r="D50" s="67" t="s">
        <v>368</v>
      </c>
      <c r="E50" s="67" t="s">
        <v>305</v>
      </c>
      <c r="F50" s="67" t="s">
        <v>305</v>
      </c>
      <c r="G50" s="67" t="s">
        <v>1597</v>
      </c>
      <c r="H50" s="67"/>
      <c r="I50" s="67" t="s">
        <v>305</v>
      </c>
      <c r="J50" s="67" t="s">
        <v>305</v>
      </c>
      <c r="K50" s="67" t="s">
        <v>305</v>
      </c>
      <c r="L50" s="67" t="s">
        <v>787</v>
      </c>
      <c r="M50" s="67" t="s">
        <v>752</v>
      </c>
      <c r="N50" s="67" t="s">
        <v>305</v>
      </c>
      <c r="O50" s="67" t="s">
        <v>305</v>
      </c>
      <c r="P50" s="67"/>
      <c r="Q50" s="67">
        <v>0</v>
      </c>
      <c r="R50" s="67">
        <v>0</v>
      </c>
      <c r="S50" s="67">
        <v>0</v>
      </c>
      <c r="T50" s="67">
        <v>0</v>
      </c>
      <c r="U50" s="67">
        <v>0</v>
      </c>
      <c r="V50" s="67">
        <v>0</v>
      </c>
      <c r="W50" s="67">
        <v>0</v>
      </c>
      <c r="X50" s="67">
        <v>0</v>
      </c>
      <c r="Y50" s="67">
        <v>0</v>
      </c>
      <c r="Z50" s="67">
        <v>0</v>
      </c>
      <c r="AA50" s="67">
        <v>0</v>
      </c>
      <c r="AB50" s="67">
        <v>0</v>
      </c>
      <c r="AC50" s="67">
        <v>0</v>
      </c>
      <c r="AD50" s="67">
        <v>0</v>
      </c>
      <c r="AE50" s="67">
        <v>0</v>
      </c>
      <c r="AF50" s="67">
        <v>0</v>
      </c>
      <c r="AG50" s="67">
        <v>0</v>
      </c>
      <c r="AH50" s="67">
        <v>0</v>
      </c>
      <c r="AI50" s="67">
        <v>0</v>
      </c>
      <c r="AJ50" s="67">
        <v>0</v>
      </c>
      <c r="AK50" s="67">
        <v>0</v>
      </c>
      <c r="AL50" s="67">
        <v>0</v>
      </c>
      <c r="AM50" s="67">
        <v>0</v>
      </c>
      <c r="AN50" s="67">
        <v>0</v>
      </c>
      <c r="AO50" s="67">
        <v>0</v>
      </c>
      <c r="AP50" s="67">
        <v>0</v>
      </c>
      <c r="AQ50" s="67">
        <v>0</v>
      </c>
      <c r="AR50" s="67">
        <v>0</v>
      </c>
      <c r="AS50" s="67">
        <v>0</v>
      </c>
      <c r="AT50" s="67"/>
      <c r="AU50" s="67"/>
      <c r="AV50" s="67"/>
      <c r="AW50" s="67">
        <v>0</v>
      </c>
      <c r="AX50" s="67">
        <v>0</v>
      </c>
      <c r="AY50" s="67"/>
      <c r="AZ50" s="67"/>
      <c r="BA50" s="67"/>
      <c r="BB50" s="67"/>
      <c r="BC50" s="67"/>
      <c r="BD50" s="67"/>
      <c r="BE50" s="67"/>
      <c r="BG50" s="67"/>
      <c r="BH50" s="67"/>
      <c r="BI50" s="67"/>
      <c r="BJ50" s="67">
        <v>0</v>
      </c>
      <c r="BK50" s="67"/>
      <c r="BL50" s="67"/>
      <c r="BP50" s="67"/>
      <c r="BQ50" s="67">
        <v>0</v>
      </c>
      <c r="BR50" s="67"/>
      <c r="BS50" s="67"/>
      <c r="BT50" s="67">
        <v>0</v>
      </c>
      <c r="BU50" s="67"/>
      <c r="BV50" s="67"/>
      <c r="BW50" s="67">
        <v>0</v>
      </c>
      <c r="BX50" s="67">
        <v>0</v>
      </c>
      <c r="BY50" s="67">
        <v>0</v>
      </c>
      <c r="BZ50" s="67">
        <v>0</v>
      </c>
      <c r="CA50" s="67"/>
      <c r="CB50" s="67">
        <v>0</v>
      </c>
      <c r="CC50" s="67"/>
      <c r="CD50" s="67"/>
      <c r="CE50" s="67">
        <v>0</v>
      </c>
      <c r="CF50" s="67">
        <v>0</v>
      </c>
      <c r="CG50" s="67"/>
      <c r="CH50" s="67"/>
      <c r="CI50" s="67"/>
      <c r="CJ50" s="67"/>
      <c r="CK50" s="67">
        <v>0</v>
      </c>
      <c r="CL50" s="67">
        <v>0</v>
      </c>
      <c r="CM50" s="67"/>
      <c r="CN50" s="67"/>
      <c r="CO50" s="67">
        <v>0</v>
      </c>
      <c r="CP50" s="67">
        <v>0</v>
      </c>
      <c r="CQ50" s="67"/>
      <c r="CR50" s="67"/>
      <c r="CS50" s="67"/>
      <c r="CT50" s="67"/>
      <c r="CU50" s="67">
        <v>0</v>
      </c>
      <c r="CV50" s="67"/>
      <c r="CW50" s="67"/>
      <c r="CX50" s="67"/>
      <c r="CY50" s="67">
        <v>0</v>
      </c>
      <c r="CZ50" s="67"/>
      <c r="DA50" s="67"/>
      <c r="DB50" s="67"/>
      <c r="DC50" s="67"/>
      <c r="DF50" s="67"/>
      <c r="DG50" s="67">
        <v>0</v>
      </c>
      <c r="DH50" s="67">
        <v>0</v>
      </c>
      <c r="DI50" s="67">
        <v>0</v>
      </c>
      <c r="DJ50" s="67"/>
      <c r="DK50" s="67">
        <v>0</v>
      </c>
      <c r="DL50" s="67">
        <v>0</v>
      </c>
      <c r="DM50" s="67">
        <v>0</v>
      </c>
      <c r="DN50" s="67"/>
      <c r="DO50" s="67"/>
      <c r="DP50" s="67"/>
      <c r="DQ50" s="67">
        <v>0</v>
      </c>
      <c r="DR50" s="67">
        <v>0</v>
      </c>
      <c r="DS50" s="67"/>
      <c r="DT50" s="67"/>
      <c r="DU50" s="67">
        <v>0</v>
      </c>
      <c r="DV50" s="67">
        <v>0</v>
      </c>
      <c r="DW50" s="67">
        <v>0</v>
      </c>
      <c r="DX50" s="67">
        <v>0</v>
      </c>
      <c r="DY50" s="67"/>
      <c r="DZ50" s="67">
        <v>0</v>
      </c>
      <c r="EA50" s="67"/>
      <c r="EB50" s="67">
        <v>0</v>
      </c>
      <c r="EC50" s="67"/>
      <c r="ED50" s="67">
        <v>0</v>
      </c>
      <c r="EE50" s="67"/>
      <c r="EF50" s="67">
        <v>0</v>
      </c>
      <c r="EG50" s="67"/>
      <c r="EH50" s="67"/>
      <c r="EI50" s="67"/>
      <c r="EJ50" s="67"/>
      <c r="EK50" s="67"/>
      <c r="EL50" s="67"/>
      <c r="EM50" s="67"/>
      <c r="EN50" s="67"/>
      <c r="EO50" s="67"/>
      <c r="EP50" s="67">
        <v>0</v>
      </c>
      <c r="EQ50" s="67">
        <v>0</v>
      </c>
      <c r="ER50" s="67">
        <v>0</v>
      </c>
      <c r="ES50" s="67"/>
      <c r="ET50">
        <v>0</v>
      </c>
      <c r="EX50" s="67"/>
      <c r="EY50" s="67"/>
      <c r="EZ50" s="67"/>
      <c r="FA50" s="67">
        <v>0</v>
      </c>
      <c r="FB50" s="67"/>
      <c r="FC50" s="67"/>
      <c r="FD50" s="67"/>
      <c r="FE50" s="67"/>
      <c r="FF50" s="67"/>
      <c r="FG50" s="67"/>
      <c r="FH50" s="67"/>
      <c r="FI50" s="67" t="s">
        <v>1600</v>
      </c>
    </row>
    <row r="51" spans="2:165" x14ac:dyDescent="0.2">
      <c r="B51" s="67" t="s">
        <v>305</v>
      </c>
      <c r="C51" s="67" t="s">
        <v>1632</v>
      </c>
      <c r="D51" s="67" t="s">
        <v>371</v>
      </c>
      <c r="E51" s="67" t="s">
        <v>305</v>
      </c>
      <c r="F51" s="67" t="s">
        <v>305</v>
      </c>
      <c r="G51" s="67" t="s">
        <v>1597</v>
      </c>
      <c r="H51" s="67"/>
      <c r="I51" s="67" t="s">
        <v>305</v>
      </c>
      <c r="J51" s="67" t="s">
        <v>305</v>
      </c>
      <c r="K51" s="67" t="s">
        <v>305</v>
      </c>
      <c r="L51" s="67" t="s">
        <v>787</v>
      </c>
      <c r="M51" s="67" t="s">
        <v>752</v>
      </c>
      <c r="N51" s="67" t="s">
        <v>305</v>
      </c>
      <c r="O51" s="67" t="s">
        <v>305</v>
      </c>
      <c r="P51" s="67"/>
      <c r="Q51" s="67">
        <v>0</v>
      </c>
      <c r="R51" s="67">
        <v>0</v>
      </c>
      <c r="S51" s="67">
        <v>0</v>
      </c>
      <c r="T51" s="67">
        <v>0</v>
      </c>
      <c r="U51" s="67">
        <v>0</v>
      </c>
      <c r="V51" s="67">
        <v>0</v>
      </c>
      <c r="W51" s="67">
        <v>0</v>
      </c>
      <c r="X51" s="67">
        <v>0</v>
      </c>
      <c r="Y51" s="67">
        <v>0</v>
      </c>
      <c r="Z51" s="67">
        <v>0</v>
      </c>
      <c r="AA51" s="67">
        <v>0</v>
      </c>
      <c r="AB51" s="67">
        <v>0</v>
      </c>
      <c r="AC51" s="67">
        <v>0</v>
      </c>
      <c r="AD51" s="67">
        <v>0</v>
      </c>
      <c r="AE51" s="67">
        <v>0</v>
      </c>
      <c r="AF51" s="67">
        <v>0</v>
      </c>
      <c r="AG51" s="67">
        <v>0</v>
      </c>
      <c r="AH51" s="67">
        <v>0</v>
      </c>
      <c r="AI51" s="67">
        <v>0</v>
      </c>
      <c r="AJ51" s="67">
        <v>0</v>
      </c>
      <c r="AK51" s="67">
        <v>0</v>
      </c>
      <c r="AL51" s="67">
        <v>0</v>
      </c>
      <c r="AM51" s="67">
        <v>0</v>
      </c>
      <c r="AN51" s="67">
        <v>0</v>
      </c>
      <c r="AO51" s="67">
        <v>0</v>
      </c>
      <c r="AP51" s="67">
        <v>0</v>
      </c>
      <c r="AQ51" s="67">
        <v>0</v>
      </c>
      <c r="AR51" s="67">
        <v>0</v>
      </c>
      <c r="AS51" s="67">
        <v>0</v>
      </c>
      <c r="AT51" s="67"/>
      <c r="AU51" s="67"/>
      <c r="AV51" s="67"/>
      <c r="AW51" s="67">
        <v>0</v>
      </c>
      <c r="AX51" s="67">
        <v>0</v>
      </c>
      <c r="AY51" s="67"/>
      <c r="AZ51" s="67"/>
      <c r="BA51" s="67"/>
      <c r="BB51" s="67"/>
      <c r="BC51" s="67"/>
      <c r="BD51" s="67"/>
      <c r="BE51" s="67"/>
      <c r="BG51" s="67"/>
      <c r="BH51" s="67"/>
      <c r="BI51" s="67"/>
      <c r="BJ51" s="67">
        <v>0</v>
      </c>
      <c r="BK51" s="67"/>
      <c r="BL51" s="67"/>
      <c r="BP51" s="67"/>
      <c r="BQ51" s="67">
        <v>0</v>
      </c>
      <c r="BR51" s="67"/>
      <c r="BS51" s="67"/>
      <c r="BT51" s="67">
        <v>0</v>
      </c>
      <c r="BU51" s="67"/>
      <c r="BV51" s="67"/>
      <c r="BW51" s="67">
        <v>0</v>
      </c>
      <c r="BX51" s="67">
        <v>0</v>
      </c>
      <c r="BY51" s="67">
        <v>0</v>
      </c>
      <c r="BZ51" s="67">
        <v>0</v>
      </c>
      <c r="CA51" s="67"/>
      <c r="CB51" s="67">
        <v>0</v>
      </c>
      <c r="CC51" s="67"/>
      <c r="CD51" s="67"/>
      <c r="CE51" s="67">
        <v>0</v>
      </c>
      <c r="CF51" s="67">
        <v>0</v>
      </c>
      <c r="CG51" s="67"/>
      <c r="CH51" s="67"/>
      <c r="CI51" s="67"/>
      <c r="CJ51" s="67"/>
      <c r="CK51" s="67">
        <v>0</v>
      </c>
      <c r="CL51" s="67">
        <v>0</v>
      </c>
      <c r="CM51" s="67"/>
      <c r="CN51" s="67"/>
      <c r="CO51" s="67">
        <v>0</v>
      </c>
      <c r="CP51" s="67">
        <v>0</v>
      </c>
      <c r="CQ51" s="67"/>
      <c r="CR51" s="67"/>
      <c r="CS51" s="67"/>
      <c r="CT51" s="67"/>
      <c r="CU51" s="67">
        <v>0</v>
      </c>
      <c r="CV51" s="67"/>
      <c r="CW51" s="67"/>
      <c r="CX51" s="67"/>
      <c r="CY51" s="67">
        <v>0</v>
      </c>
      <c r="CZ51" s="67"/>
      <c r="DA51" s="67"/>
      <c r="DB51" s="67"/>
      <c r="DC51" s="67"/>
      <c r="DF51" s="67"/>
      <c r="DG51" s="67">
        <v>0</v>
      </c>
      <c r="DH51" s="67">
        <v>0</v>
      </c>
      <c r="DI51" s="67">
        <v>0</v>
      </c>
      <c r="DJ51" s="67"/>
      <c r="DK51" s="67">
        <v>0</v>
      </c>
      <c r="DL51" s="67">
        <v>0</v>
      </c>
      <c r="DM51" s="67">
        <v>0</v>
      </c>
      <c r="DN51" s="67"/>
      <c r="DO51" s="67"/>
      <c r="DP51" s="67"/>
      <c r="DQ51" s="67">
        <v>0</v>
      </c>
      <c r="DR51" s="67">
        <v>0</v>
      </c>
      <c r="DS51" s="67"/>
      <c r="DT51" s="67"/>
      <c r="DU51" s="67">
        <v>0</v>
      </c>
      <c r="DV51" s="67">
        <v>0</v>
      </c>
      <c r="DW51" s="67">
        <v>0</v>
      </c>
      <c r="DX51" s="67">
        <v>0</v>
      </c>
      <c r="DY51" s="67"/>
      <c r="DZ51" s="67">
        <v>0</v>
      </c>
      <c r="EA51" s="67"/>
      <c r="EB51" s="67">
        <v>0</v>
      </c>
      <c r="EC51" s="67"/>
      <c r="ED51" s="67">
        <v>0</v>
      </c>
      <c r="EE51" s="67"/>
      <c r="EF51" s="67">
        <v>0</v>
      </c>
      <c r="EG51" s="67"/>
      <c r="EH51" s="67"/>
      <c r="EI51" s="67"/>
      <c r="EJ51" s="67"/>
      <c r="EK51" s="67"/>
      <c r="EL51" s="67"/>
      <c r="EM51" s="67"/>
      <c r="EN51" s="67"/>
      <c r="EO51" s="67"/>
      <c r="EP51" s="67">
        <v>0</v>
      </c>
      <c r="EQ51" s="67">
        <v>0</v>
      </c>
      <c r="ER51" s="67">
        <v>0</v>
      </c>
      <c r="ES51" s="67"/>
      <c r="ET51">
        <v>0</v>
      </c>
      <c r="EX51" s="67"/>
      <c r="EY51" s="67"/>
      <c r="EZ51" s="67"/>
      <c r="FA51" s="67">
        <v>0</v>
      </c>
      <c r="FB51" s="67"/>
      <c r="FC51" s="67"/>
      <c r="FD51" s="67"/>
      <c r="FE51" s="67"/>
      <c r="FF51" s="67"/>
      <c r="FG51" s="67"/>
      <c r="FH51" s="67"/>
      <c r="FI51" s="67" t="s">
        <v>1600</v>
      </c>
    </row>
    <row r="52" spans="2:165" ht="24" x14ac:dyDescent="0.2">
      <c r="B52" s="67" t="s">
        <v>305</v>
      </c>
      <c r="C52" s="67" t="s">
        <v>1633</v>
      </c>
      <c r="D52" s="67" t="s">
        <v>372</v>
      </c>
      <c r="E52" s="67" t="s">
        <v>889</v>
      </c>
      <c r="F52" s="67" t="s">
        <v>810</v>
      </c>
      <c r="G52" s="67" t="s">
        <v>1597</v>
      </c>
      <c r="H52" s="67"/>
      <c r="I52" s="67" t="s">
        <v>41</v>
      </c>
      <c r="J52" s="67" t="s">
        <v>71</v>
      </c>
      <c r="K52" s="67" t="s">
        <v>1603</v>
      </c>
      <c r="L52" s="67" t="s">
        <v>787</v>
      </c>
      <c r="M52" s="67" t="s">
        <v>752</v>
      </c>
      <c r="N52" s="67" t="s">
        <v>1604</v>
      </c>
      <c r="O52" s="67" t="s">
        <v>1605</v>
      </c>
      <c r="P52" s="67"/>
      <c r="Q52" s="67">
        <v>0</v>
      </c>
      <c r="R52" s="67">
        <v>0</v>
      </c>
      <c r="S52" s="67">
        <v>0</v>
      </c>
      <c r="T52" s="67">
        <v>0</v>
      </c>
      <c r="U52" s="67">
        <v>0</v>
      </c>
      <c r="V52" s="67">
        <v>0</v>
      </c>
      <c r="W52" s="67">
        <v>0</v>
      </c>
      <c r="X52" s="67">
        <v>0</v>
      </c>
      <c r="Y52" s="67">
        <v>0</v>
      </c>
      <c r="Z52" s="67">
        <v>0</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67">
        <v>0</v>
      </c>
      <c r="AQ52" s="67">
        <v>0</v>
      </c>
      <c r="AR52" s="67">
        <v>0</v>
      </c>
      <c r="AS52" s="67">
        <v>0</v>
      </c>
      <c r="AT52" s="67"/>
      <c r="AU52" s="67"/>
      <c r="AV52" s="67"/>
      <c r="AW52" s="67">
        <v>0</v>
      </c>
      <c r="AX52" s="67">
        <v>0</v>
      </c>
      <c r="AY52" s="67"/>
      <c r="AZ52" s="67"/>
      <c r="BA52" s="67"/>
      <c r="BB52" s="67"/>
      <c r="BC52" s="67"/>
      <c r="BD52" s="67"/>
      <c r="BE52" s="67"/>
      <c r="BG52" s="67"/>
      <c r="BH52" s="67"/>
      <c r="BI52" s="67"/>
      <c r="BJ52" s="67">
        <v>0</v>
      </c>
      <c r="BK52" s="67"/>
      <c r="BL52" s="67"/>
      <c r="BP52" s="67"/>
      <c r="BQ52" s="67">
        <v>0</v>
      </c>
      <c r="BR52" s="67"/>
      <c r="BS52" s="67"/>
      <c r="BT52" s="67">
        <v>0</v>
      </c>
      <c r="BU52" s="67"/>
      <c r="BV52" s="67"/>
      <c r="BW52" s="67">
        <v>0</v>
      </c>
      <c r="BX52" s="67">
        <v>0</v>
      </c>
      <c r="BY52" s="67">
        <v>0</v>
      </c>
      <c r="BZ52" s="67">
        <v>0</v>
      </c>
      <c r="CA52" s="67"/>
      <c r="CB52" s="67">
        <v>0</v>
      </c>
      <c r="CC52" s="67"/>
      <c r="CD52" s="67"/>
      <c r="CE52" s="67">
        <v>0</v>
      </c>
      <c r="CF52" s="67">
        <v>0</v>
      </c>
      <c r="CG52" s="67"/>
      <c r="CH52" s="67"/>
      <c r="CI52" s="67"/>
      <c r="CJ52" s="67"/>
      <c r="CK52" s="67">
        <v>0</v>
      </c>
      <c r="CL52" s="67">
        <v>0</v>
      </c>
      <c r="CM52" s="67"/>
      <c r="CN52" s="67"/>
      <c r="CO52" s="67">
        <v>0</v>
      </c>
      <c r="CP52" s="67">
        <v>0</v>
      </c>
      <c r="CQ52" s="67"/>
      <c r="CR52" s="67"/>
      <c r="CS52" s="67"/>
      <c r="CT52" s="67"/>
      <c r="CU52" s="67">
        <v>0</v>
      </c>
      <c r="CV52" s="67"/>
      <c r="CW52" s="67"/>
      <c r="CX52" s="67"/>
      <c r="CY52" s="67">
        <v>0</v>
      </c>
      <c r="CZ52" s="67"/>
      <c r="DA52" s="67"/>
      <c r="DB52" s="67"/>
      <c r="DC52" s="67"/>
      <c r="DF52" s="67"/>
      <c r="DG52" s="67">
        <v>0</v>
      </c>
      <c r="DH52" s="67">
        <v>0</v>
      </c>
      <c r="DI52" s="67">
        <v>0</v>
      </c>
      <c r="DJ52" s="67"/>
      <c r="DK52" s="67">
        <v>0</v>
      </c>
      <c r="DL52" s="67">
        <v>0</v>
      </c>
      <c r="DM52" s="67">
        <v>0</v>
      </c>
      <c r="DN52" s="67"/>
      <c r="DO52" s="67"/>
      <c r="DP52" s="67"/>
      <c r="DQ52" s="67">
        <v>0</v>
      </c>
      <c r="DR52" s="67">
        <v>0</v>
      </c>
      <c r="DS52" s="67"/>
      <c r="DT52" s="67"/>
      <c r="DU52" s="67">
        <v>0</v>
      </c>
      <c r="DV52" s="67">
        <v>0</v>
      </c>
      <c r="DW52" s="67">
        <v>0</v>
      </c>
      <c r="DX52" s="67">
        <v>0</v>
      </c>
      <c r="DY52" s="67"/>
      <c r="DZ52" s="67">
        <v>0</v>
      </c>
      <c r="EA52" s="67"/>
      <c r="EB52" s="67">
        <v>0</v>
      </c>
      <c r="EC52" s="67"/>
      <c r="ED52" s="67">
        <v>0</v>
      </c>
      <c r="EE52" s="67"/>
      <c r="EF52" s="67">
        <v>0</v>
      </c>
      <c r="EG52" s="67"/>
      <c r="EH52" s="67"/>
      <c r="EI52" s="67"/>
      <c r="EJ52" s="67"/>
      <c r="EK52" s="67"/>
      <c r="EL52" s="67"/>
      <c r="EM52" s="67"/>
      <c r="EN52" s="67"/>
      <c r="EO52" s="67"/>
      <c r="EP52" s="67">
        <v>0</v>
      </c>
      <c r="EQ52" s="67">
        <v>0</v>
      </c>
      <c r="ER52" s="67">
        <v>0</v>
      </c>
      <c r="ES52" s="67"/>
      <c r="ET52">
        <v>0</v>
      </c>
      <c r="EX52" s="67"/>
      <c r="EY52" s="67"/>
      <c r="EZ52" s="67"/>
      <c r="FA52" s="67">
        <v>0</v>
      </c>
      <c r="FB52" s="67"/>
      <c r="FC52" s="67"/>
      <c r="FD52" s="67"/>
      <c r="FE52" s="67"/>
      <c r="FF52" s="67"/>
      <c r="FG52" s="67"/>
      <c r="FH52" s="67"/>
      <c r="FI52" s="67" t="s">
        <v>1600</v>
      </c>
    </row>
    <row r="53" spans="2:165" x14ac:dyDescent="0.2">
      <c r="B53" s="67" t="s">
        <v>373</v>
      </c>
      <c r="C53" s="67" t="s">
        <v>373</v>
      </c>
      <c r="D53" s="67" t="s">
        <v>374</v>
      </c>
      <c r="E53" s="67" t="s">
        <v>23</v>
      </c>
      <c r="F53" s="67" t="s">
        <v>984</v>
      </c>
      <c r="G53" s="67" t="s">
        <v>1597</v>
      </c>
      <c r="H53" s="67"/>
      <c r="I53" s="67" t="s">
        <v>43</v>
      </c>
      <c r="J53" s="67" t="s">
        <v>64</v>
      </c>
      <c r="K53" s="67" t="s">
        <v>985</v>
      </c>
      <c r="L53" s="67" t="s">
        <v>934</v>
      </c>
      <c r="M53" s="67" t="s">
        <v>752</v>
      </c>
      <c r="N53" s="67" t="s">
        <v>1604</v>
      </c>
      <c r="O53" s="67" t="s">
        <v>1599</v>
      </c>
      <c r="P53" s="67"/>
      <c r="Q53" s="67">
        <v>40</v>
      </c>
      <c r="R53" s="67">
        <v>0</v>
      </c>
      <c r="S53" s="67">
        <v>40</v>
      </c>
      <c r="T53" s="67">
        <v>0</v>
      </c>
      <c r="U53" s="67">
        <v>0</v>
      </c>
      <c r="V53" s="67">
        <v>0</v>
      </c>
      <c r="W53" s="67">
        <v>0</v>
      </c>
      <c r="X53" s="67">
        <v>0</v>
      </c>
      <c r="Y53" s="67">
        <v>0</v>
      </c>
      <c r="Z53" s="67">
        <v>0</v>
      </c>
      <c r="AA53" s="67">
        <v>0</v>
      </c>
      <c r="AB53" s="67">
        <v>0</v>
      </c>
      <c r="AC53" s="67">
        <v>0</v>
      </c>
      <c r="AD53" s="67">
        <v>0</v>
      </c>
      <c r="AE53" s="67">
        <v>0</v>
      </c>
      <c r="AF53" s="67">
        <v>0</v>
      </c>
      <c r="AG53" s="67">
        <v>0</v>
      </c>
      <c r="AH53" s="67">
        <v>0</v>
      </c>
      <c r="AI53" s="67">
        <v>0</v>
      </c>
      <c r="AJ53" s="67">
        <v>0</v>
      </c>
      <c r="AK53" s="67">
        <v>0</v>
      </c>
      <c r="AL53" s="67">
        <v>0</v>
      </c>
      <c r="AM53" s="67">
        <v>0</v>
      </c>
      <c r="AN53" s="67">
        <v>0</v>
      </c>
      <c r="AO53" s="67">
        <v>0</v>
      </c>
      <c r="AP53" s="67">
        <v>0</v>
      </c>
      <c r="AQ53" s="67">
        <v>0</v>
      </c>
      <c r="AR53" s="67">
        <v>0</v>
      </c>
      <c r="AS53" s="67">
        <v>0</v>
      </c>
      <c r="AT53" s="67"/>
      <c r="AU53" s="67"/>
      <c r="AV53" s="67"/>
      <c r="AW53" s="67">
        <v>0</v>
      </c>
      <c r="AX53" s="67">
        <v>0</v>
      </c>
      <c r="AY53" s="67"/>
      <c r="AZ53" s="67"/>
      <c r="BA53" s="67"/>
      <c r="BB53" s="67"/>
      <c r="BC53" s="67"/>
      <c r="BD53" s="67"/>
      <c r="BE53" s="67"/>
      <c r="BG53" s="67"/>
      <c r="BH53" s="67"/>
      <c r="BI53" s="67"/>
      <c r="BJ53" s="67">
        <v>0</v>
      </c>
      <c r="BK53" s="67"/>
      <c r="BL53" s="67"/>
      <c r="BP53" s="67"/>
      <c r="BQ53" s="67">
        <v>0</v>
      </c>
      <c r="BR53" s="67"/>
      <c r="BS53" s="67"/>
      <c r="BT53" s="67">
        <v>0</v>
      </c>
      <c r="BU53" s="67"/>
      <c r="BV53" s="67"/>
      <c r="BW53" s="67">
        <v>0</v>
      </c>
      <c r="BX53" s="67">
        <v>0</v>
      </c>
      <c r="BY53" s="67">
        <v>0</v>
      </c>
      <c r="BZ53" s="67">
        <v>0</v>
      </c>
      <c r="CA53" s="67"/>
      <c r="CB53" s="67">
        <v>0</v>
      </c>
      <c r="CC53" s="67"/>
      <c r="CD53" s="67"/>
      <c r="CE53" s="67">
        <v>0</v>
      </c>
      <c r="CF53" s="67">
        <v>0</v>
      </c>
      <c r="CG53" s="67"/>
      <c r="CH53" s="67"/>
      <c r="CI53" s="67"/>
      <c r="CJ53" s="67"/>
      <c r="CK53" s="67">
        <v>0</v>
      </c>
      <c r="CL53" s="67">
        <v>0</v>
      </c>
      <c r="CM53" s="67"/>
      <c r="CN53" s="67"/>
      <c r="CO53" s="67">
        <v>0</v>
      </c>
      <c r="CP53" s="67">
        <v>0</v>
      </c>
      <c r="CQ53" s="67"/>
      <c r="CR53" s="67"/>
      <c r="CS53" s="67"/>
      <c r="CT53" s="67"/>
      <c r="CU53" s="67">
        <v>0</v>
      </c>
      <c r="CV53" s="67"/>
      <c r="CW53" s="67"/>
      <c r="CX53" s="67"/>
      <c r="CY53" s="67">
        <v>0</v>
      </c>
      <c r="CZ53" s="67"/>
      <c r="DA53" s="67"/>
      <c r="DB53" s="67"/>
      <c r="DC53" s="67"/>
      <c r="DF53" s="67"/>
      <c r="DG53" s="67">
        <v>0</v>
      </c>
      <c r="DH53" s="67">
        <v>0</v>
      </c>
      <c r="DI53" s="67">
        <v>0</v>
      </c>
      <c r="DJ53" s="67"/>
      <c r="DK53" s="67">
        <v>0</v>
      </c>
      <c r="DL53" s="67">
        <v>0</v>
      </c>
      <c r="DM53" s="67">
        <v>0</v>
      </c>
      <c r="DN53" s="67"/>
      <c r="DO53" s="67"/>
      <c r="DP53" s="67"/>
      <c r="DQ53" s="67">
        <v>0</v>
      </c>
      <c r="DR53" s="67">
        <v>0</v>
      </c>
      <c r="DS53" s="67"/>
      <c r="DT53" s="67"/>
      <c r="DU53" s="67">
        <v>0</v>
      </c>
      <c r="DV53" s="67">
        <v>0</v>
      </c>
      <c r="DW53" s="67">
        <v>0</v>
      </c>
      <c r="DX53" s="67">
        <v>0</v>
      </c>
      <c r="DY53" s="67"/>
      <c r="DZ53" s="67">
        <v>0</v>
      </c>
      <c r="EA53" s="67"/>
      <c r="EB53" s="67">
        <v>0</v>
      </c>
      <c r="EC53" s="67"/>
      <c r="ED53" s="67">
        <v>0</v>
      </c>
      <c r="EE53" s="67"/>
      <c r="EF53" s="67">
        <v>0</v>
      </c>
      <c r="EG53" s="67"/>
      <c r="EH53" s="67"/>
      <c r="EI53" s="67"/>
      <c r="EJ53" s="67"/>
      <c r="EK53" s="67"/>
      <c r="EL53" s="67"/>
      <c r="EM53" s="67"/>
      <c r="EN53" s="67"/>
      <c r="EO53" s="67"/>
      <c r="EP53" s="67">
        <v>0</v>
      </c>
      <c r="EQ53" s="67">
        <v>0</v>
      </c>
      <c r="ER53" s="67">
        <v>0</v>
      </c>
      <c r="ES53" s="67"/>
      <c r="ET53">
        <v>0</v>
      </c>
      <c r="EX53" s="67"/>
      <c r="EY53" s="67"/>
      <c r="EZ53" s="67"/>
      <c r="FA53" s="67">
        <v>40</v>
      </c>
      <c r="FB53" s="67"/>
      <c r="FC53" s="67"/>
      <c r="FD53" s="67"/>
      <c r="FE53" s="67"/>
      <c r="FF53" s="67"/>
      <c r="FG53" s="67"/>
      <c r="FH53" s="67"/>
      <c r="FI53" s="67" t="s">
        <v>1600</v>
      </c>
    </row>
    <row r="54" spans="2:165" x14ac:dyDescent="0.2">
      <c r="B54" s="67" t="s">
        <v>375</v>
      </c>
      <c r="C54" s="67" t="s">
        <v>375</v>
      </c>
      <c r="D54" s="67" t="s">
        <v>376</v>
      </c>
      <c r="E54" s="67" t="s">
        <v>732</v>
      </c>
      <c r="F54" s="67" t="s">
        <v>1241</v>
      </c>
      <c r="G54" s="67" t="s">
        <v>1597</v>
      </c>
      <c r="H54" s="67"/>
      <c r="I54" s="67" t="s">
        <v>41</v>
      </c>
      <c r="J54" s="67" t="s">
        <v>68</v>
      </c>
      <c r="K54" s="67" t="s">
        <v>1559</v>
      </c>
      <c r="L54" s="67" t="s">
        <v>767</v>
      </c>
      <c r="M54" s="67" t="s">
        <v>752</v>
      </c>
      <c r="N54" s="67" t="s">
        <v>1598</v>
      </c>
      <c r="O54" s="67" t="s">
        <v>1599</v>
      </c>
      <c r="P54" s="67"/>
      <c r="Q54" s="67">
        <v>2800</v>
      </c>
      <c r="R54" s="67">
        <v>0</v>
      </c>
      <c r="S54" s="67">
        <v>0</v>
      </c>
      <c r="T54" s="67">
        <v>0</v>
      </c>
      <c r="U54" s="67">
        <v>0</v>
      </c>
      <c r="V54" s="67">
        <v>0</v>
      </c>
      <c r="W54" s="67">
        <v>0</v>
      </c>
      <c r="X54" s="67">
        <v>0</v>
      </c>
      <c r="Y54" s="67">
        <v>0</v>
      </c>
      <c r="Z54" s="67">
        <v>0</v>
      </c>
      <c r="AA54" s="67">
        <v>0</v>
      </c>
      <c r="AB54" s="67">
        <v>0</v>
      </c>
      <c r="AC54" s="67">
        <v>0</v>
      </c>
      <c r="AD54" s="67">
        <v>0</v>
      </c>
      <c r="AE54" s="67">
        <v>0</v>
      </c>
      <c r="AF54" s="67">
        <v>0</v>
      </c>
      <c r="AG54" s="67">
        <v>0</v>
      </c>
      <c r="AH54" s="67">
        <v>0</v>
      </c>
      <c r="AI54" s="67">
        <v>0</v>
      </c>
      <c r="AJ54" s="67">
        <v>0</v>
      </c>
      <c r="AK54" s="67">
        <v>0</v>
      </c>
      <c r="AL54" s="67">
        <v>0</v>
      </c>
      <c r="AM54" s="67">
        <v>2800</v>
      </c>
      <c r="AN54" s="67">
        <v>0</v>
      </c>
      <c r="AO54" s="67">
        <v>0</v>
      </c>
      <c r="AP54" s="67">
        <v>0</v>
      </c>
      <c r="AQ54" s="67">
        <v>0</v>
      </c>
      <c r="AR54" s="67">
        <v>0</v>
      </c>
      <c r="AS54" s="67">
        <v>0</v>
      </c>
      <c r="AT54" s="67"/>
      <c r="AU54" s="67"/>
      <c r="AV54" s="67"/>
      <c r="AW54" s="67">
        <v>0</v>
      </c>
      <c r="AX54" s="67">
        <v>0</v>
      </c>
      <c r="AY54" s="67"/>
      <c r="AZ54" s="67"/>
      <c r="BA54" s="67"/>
      <c r="BB54" s="67"/>
      <c r="BC54" s="67"/>
      <c r="BD54" s="67"/>
      <c r="BE54" s="67"/>
      <c r="BG54" s="67"/>
      <c r="BH54" s="67"/>
      <c r="BI54" s="67"/>
      <c r="BJ54" s="67">
        <v>0</v>
      </c>
      <c r="BK54" s="67"/>
      <c r="BL54" s="67"/>
      <c r="BP54" s="67"/>
      <c r="BQ54" s="67">
        <v>0</v>
      </c>
      <c r="BR54" s="67"/>
      <c r="BS54" s="67"/>
      <c r="BT54" s="67">
        <v>0</v>
      </c>
      <c r="BU54" s="67"/>
      <c r="BV54" s="67"/>
      <c r="BW54" s="67">
        <v>0</v>
      </c>
      <c r="BX54" s="67">
        <v>0</v>
      </c>
      <c r="BY54" s="67">
        <v>0</v>
      </c>
      <c r="BZ54" s="67">
        <v>0</v>
      </c>
      <c r="CA54" s="67"/>
      <c r="CB54" s="67">
        <v>0</v>
      </c>
      <c r="CC54" s="67"/>
      <c r="CD54" s="67"/>
      <c r="CE54" s="67">
        <v>0</v>
      </c>
      <c r="CF54" s="67">
        <v>0</v>
      </c>
      <c r="CG54" s="67"/>
      <c r="CH54" s="67"/>
      <c r="CI54" s="67"/>
      <c r="CJ54" s="67"/>
      <c r="CK54" s="67">
        <v>0</v>
      </c>
      <c r="CL54" s="67">
        <v>0</v>
      </c>
      <c r="CM54" s="67"/>
      <c r="CN54" s="67"/>
      <c r="CO54" s="67">
        <v>0</v>
      </c>
      <c r="CP54" s="67">
        <v>0</v>
      </c>
      <c r="CQ54" s="67"/>
      <c r="CR54" s="67"/>
      <c r="CS54" s="67"/>
      <c r="CT54" s="67"/>
      <c r="CU54" s="67">
        <v>0</v>
      </c>
      <c r="CV54" s="67"/>
      <c r="CW54" s="67"/>
      <c r="CX54" s="67"/>
      <c r="CY54" s="67">
        <v>0</v>
      </c>
      <c r="CZ54" s="67"/>
      <c r="DA54" s="67"/>
      <c r="DB54" s="67"/>
      <c r="DC54" s="67"/>
      <c r="DF54" s="67"/>
      <c r="DG54" s="67">
        <v>0</v>
      </c>
      <c r="DH54" s="67">
        <v>0</v>
      </c>
      <c r="DI54" s="67">
        <v>0</v>
      </c>
      <c r="DJ54" s="67"/>
      <c r="DK54" s="67">
        <v>0</v>
      </c>
      <c r="DL54" s="67">
        <v>0</v>
      </c>
      <c r="DM54" s="67">
        <v>0</v>
      </c>
      <c r="DN54" s="67"/>
      <c r="DO54" s="67"/>
      <c r="DP54" s="67"/>
      <c r="DQ54" s="67">
        <v>0</v>
      </c>
      <c r="DR54" s="67">
        <v>0</v>
      </c>
      <c r="DS54" s="67"/>
      <c r="DT54" s="67"/>
      <c r="DU54" s="67">
        <v>0</v>
      </c>
      <c r="DV54" s="67">
        <v>0</v>
      </c>
      <c r="DW54" s="67">
        <v>0</v>
      </c>
      <c r="DX54" s="67">
        <v>0</v>
      </c>
      <c r="DY54" s="67"/>
      <c r="DZ54" s="67">
        <v>0</v>
      </c>
      <c r="EA54" s="67"/>
      <c r="EB54" s="67">
        <v>0</v>
      </c>
      <c r="EC54" s="67"/>
      <c r="ED54" s="67">
        <v>0</v>
      </c>
      <c r="EE54" s="67"/>
      <c r="EF54" s="67">
        <v>0</v>
      </c>
      <c r="EG54" s="67"/>
      <c r="EH54" s="67"/>
      <c r="EI54" s="67"/>
      <c r="EJ54" s="67"/>
      <c r="EK54" s="67"/>
      <c r="EL54" s="67"/>
      <c r="EM54" s="67"/>
      <c r="EN54" s="67"/>
      <c r="EO54" s="67"/>
      <c r="EP54" s="67">
        <v>0</v>
      </c>
      <c r="EQ54" s="67">
        <v>0</v>
      </c>
      <c r="ER54" s="67">
        <v>0</v>
      </c>
      <c r="ES54" s="67"/>
      <c r="ET54">
        <v>0</v>
      </c>
      <c r="EX54" s="67"/>
      <c r="EY54" s="67"/>
      <c r="EZ54" s="67"/>
      <c r="FA54" s="67">
        <v>2800</v>
      </c>
      <c r="FB54" s="67"/>
      <c r="FC54" s="67"/>
      <c r="FD54" s="67"/>
      <c r="FE54" s="67"/>
      <c r="FF54" s="67"/>
      <c r="FG54" s="67"/>
      <c r="FH54" s="67"/>
      <c r="FI54" s="67" t="s">
        <v>1600</v>
      </c>
    </row>
    <row r="55" spans="2:165" x14ac:dyDescent="0.2">
      <c r="B55" s="67"/>
      <c r="C55" s="67" t="s">
        <v>1634</v>
      </c>
      <c r="D55" s="67" t="s">
        <v>377</v>
      </c>
      <c r="E55" s="67" t="s">
        <v>305</v>
      </c>
      <c r="F55" s="67" t="s">
        <v>305</v>
      </c>
      <c r="G55" s="67" t="s">
        <v>1597</v>
      </c>
      <c r="H55" s="67"/>
      <c r="I55" s="67" t="s">
        <v>305</v>
      </c>
      <c r="J55" s="67" t="s">
        <v>305</v>
      </c>
      <c r="K55" s="67" t="s">
        <v>305</v>
      </c>
      <c r="L55" s="67" t="s">
        <v>787</v>
      </c>
      <c r="M55" s="67" t="s">
        <v>752</v>
      </c>
      <c r="N55" s="67" t="s">
        <v>305</v>
      </c>
      <c r="O55" s="67" t="s">
        <v>305</v>
      </c>
      <c r="P55" s="67"/>
      <c r="Q55" s="67">
        <v>0</v>
      </c>
      <c r="R55" s="67">
        <v>0</v>
      </c>
      <c r="S55" s="67">
        <v>0</v>
      </c>
      <c r="T55" s="67">
        <v>0</v>
      </c>
      <c r="U55" s="67">
        <v>0</v>
      </c>
      <c r="V55" s="67">
        <v>0</v>
      </c>
      <c r="W55" s="67">
        <v>0</v>
      </c>
      <c r="X55" s="67">
        <v>0</v>
      </c>
      <c r="Y55" s="67">
        <v>0</v>
      </c>
      <c r="Z55" s="67">
        <v>0</v>
      </c>
      <c r="AA55" s="67">
        <v>0</v>
      </c>
      <c r="AB55" s="67">
        <v>0</v>
      </c>
      <c r="AC55" s="67">
        <v>0</v>
      </c>
      <c r="AD55" s="67">
        <v>0</v>
      </c>
      <c r="AE55" s="67">
        <v>0</v>
      </c>
      <c r="AF55" s="67">
        <v>0</v>
      </c>
      <c r="AG55" s="67">
        <v>0</v>
      </c>
      <c r="AH55" s="67">
        <v>0</v>
      </c>
      <c r="AI55" s="67">
        <v>0</v>
      </c>
      <c r="AJ55" s="67">
        <v>0</v>
      </c>
      <c r="AK55" s="67">
        <v>0</v>
      </c>
      <c r="AL55" s="67">
        <v>0</v>
      </c>
      <c r="AM55" s="67">
        <v>0</v>
      </c>
      <c r="AN55" s="67">
        <v>0</v>
      </c>
      <c r="AO55" s="67">
        <v>0</v>
      </c>
      <c r="AP55" s="67">
        <v>0</v>
      </c>
      <c r="AQ55" s="67">
        <v>0</v>
      </c>
      <c r="AR55" s="67">
        <v>0</v>
      </c>
      <c r="AS55" s="67">
        <v>0</v>
      </c>
      <c r="AT55" s="67"/>
      <c r="AU55" s="67"/>
      <c r="AV55" s="67"/>
      <c r="AW55" s="67">
        <v>0</v>
      </c>
      <c r="AX55" s="67">
        <v>0</v>
      </c>
      <c r="AY55" s="67"/>
      <c r="AZ55" s="67"/>
      <c r="BA55" s="67"/>
      <c r="BB55" s="67"/>
      <c r="BC55" s="67"/>
      <c r="BD55" s="67"/>
      <c r="BE55" s="67"/>
      <c r="BG55" s="67"/>
      <c r="BH55" s="67"/>
      <c r="BI55" s="67"/>
      <c r="BJ55" s="67">
        <v>0</v>
      </c>
      <c r="BK55" s="67"/>
      <c r="BL55" s="67"/>
      <c r="BP55" s="67"/>
      <c r="BQ55" s="67">
        <v>0</v>
      </c>
      <c r="BR55" s="67"/>
      <c r="BS55" s="67"/>
      <c r="BT55" s="67">
        <v>0</v>
      </c>
      <c r="BU55" s="67"/>
      <c r="BV55" s="67"/>
      <c r="BW55" s="67">
        <v>0</v>
      </c>
      <c r="BX55" s="67">
        <v>0</v>
      </c>
      <c r="BY55" s="67">
        <v>0</v>
      </c>
      <c r="BZ55" s="67">
        <v>0</v>
      </c>
      <c r="CA55" s="67"/>
      <c r="CB55" s="67">
        <v>0</v>
      </c>
      <c r="CC55" s="67"/>
      <c r="CD55" s="67"/>
      <c r="CE55" s="67">
        <v>0</v>
      </c>
      <c r="CF55" s="67">
        <v>0</v>
      </c>
      <c r="CG55" s="67"/>
      <c r="CH55" s="67"/>
      <c r="CI55" s="67"/>
      <c r="CJ55" s="67"/>
      <c r="CK55" s="67">
        <v>0</v>
      </c>
      <c r="CL55" s="67">
        <v>0</v>
      </c>
      <c r="CM55" s="67"/>
      <c r="CN55" s="67"/>
      <c r="CO55" s="67">
        <v>0</v>
      </c>
      <c r="CP55" s="67">
        <v>0</v>
      </c>
      <c r="CQ55" s="67"/>
      <c r="CR55" s="67"/>
      <c r="CS55" s="67"/>
      <c r="CT55" s="67"/>
      <c r="CU55" s="67">
        <v>0</v>
      </c>
      <c r="CV55" s="67"/>
      <c r="CW55" s="67"/>
      <c r="CX55" s="67"/>
      <c r="CY55" s="67">
        <v>0</v>
      </c>
      <c r="CZ55" s="67"/>
      <c r="DA55" s="67"/>
      <c r="DB55" s="67"/>
      <c r="DC55" s="67"/>
      <c r="DF55" s="67"/>
      <c r="DG55" s="67">
        <v>0</v>
      </c>
      <c r="DH55" s="67">
        <v>0</v>
      </c>
      <c r="DI55" s="67">
        <v>0</v>
      </c>
      <c r="DJ55" s="67"/>
      <c r="DK55" s="67">
        <v>0</v>
      </c>
      <c r="DL55" s="67">
        <v>0</v>
      </c>
      <c r="DM55" s="67">
        <v>0</v>
      </c>
      <c r="DN55" s="67"/>
      <c r="DO55" s="67"/>
      <c r="DP55" s="67"/>
      <c r="DQ55" s="67">
        <v>0</v>
      </c>
      <c r="DR55" s="67">
        <v>0</v>
      </c>
      <c r="DS55" s="67"/>
      <c r="DT55" s="67"/>
      <c r="DU55" s="67">
        <v>0</v>
      </c>
      <c r="DV55" s="67">
        <v>0</v>
      </c>
      <c r="DW55" s="67">
        <v>0</v>
      </c>
      <c r="DX55" s="67">
        <v>0</v>
      </c>
      <c r="DY55" s="67"/>
      <c r="DZ55" s="67">
        <v>0</v>
      </c>
      <c r="EA55" s="67"/>
      <c r="EB55" s="67">
        <v>0</v>
      </c>
      <c r="EC55" s="67"/>
      <c r="ED55" s="67">
        <v>0</v>
      </c>
      <c r="EE55" s="67"/>
      <c r="EF55" s="67">
        <v>0</v>
      </c>
      <c r="EG55" s="67"/>
      <c r="EH55" s="67"/>
      <c r="EI55" s="67"/>
      <c r="EJ55" s="67"/>
      <c r="EK55" s="67"/>
      <c r="EL55" s="67"/>
      <c r="EM55" s="67"/>
      <c r="EN55" s="67"/>
      <c r="EO55" s="67"/>
      <c r="EP55" s="67">
        <v>0</v>
      </c>
      <c r="EQ55" s="67">
        <v>0</v>
      </c>
      <c r="ER55" s="67">
        <v>0</v>
      </c>
      <c r="ES55" s="67"/>
      <c r="ET55">
        <v>0</v>
      </c>
      <c r="EX55" s="67"/>
      <c r="EY55" s="67"/>
      <c r="EZ55" s="67"/>
      <c r="FA55" s="67">
        <v>0</v>
      </c>
      <c r="FB55" s="67"/>
      <c r="FC55" s="67"/>
      <c r="FD55" s="67"/>
      <c r="FE55" s="67"/>
      <c r="FF55" s="67"/>
      <c r="FG55" s="67"/>
      <c r="FH55" s="67"/>
      <c r="FI55" s="67" t="s">
        <v>1600</v>
      </c>
    </row>
    <row r="56" spans="2:165" x14ac:dyDescent="0.2">
      <c r="B56" s="67"/>
      <c r="C56" s="67" t="s">
        <v>1635</v>
      </c>
      <c r="D56" s="67" t="s">
        <v>378</v>
      </c>
      <c r="E56" s="67" t="s">
        <v>305</v>
      </c>
      <c r="F56" s="67" t="s">
        <v>305</v>
      </c>
      <c r="G56" s="67" t="s">
        <v>1597</v>
      </c>
      <c r="H56" s="67"/>
      <c r="I56" s="67" t="s">
        <v>305</v>
      </c>
      <c r="J56" s="67" t="s">
        <v>305</v>
      </c>
      <c r="K56" s="67" t="s">
        <v>305</v>
      </c>
      <c r="L56" s="67" t="s">
        <v>787</v>
      </c>
      <c r="M56" s="67" t="s">
        <v>752</v>
      </c>
      <c r="N56" s="67" t="s">
        <v>305</v>
      </c>
      <c r="O56" s="67" t="s">
        <v>305</v>
      </c>
      <c r="P56" s="67"/>
      <c r="Q56" s="67">
        <v>0</v>
      </c>
      <c r="R56" s="67">
        <v>0</v>
      </c>
      <c r="S56" s="67">
        <v>0</v>
      </c>
      <c r="T56" s="67">
        <v>0</v>
      </c>
      <c r="U56" s="67">
        <v>0</v>
      </c>
      <c r="V56" s="67">
        <v>0</v>
      </c>
      <c r="W56" s="67">
        <v>0</v>
      </c>
      <c r="X56" s="67">
        <v>0</v>
      </c>
      <c r="Y56" s="67">
        <v>0</v>
      </c>
      <c r="Z56" s="67">
        <v>0</v>
      </c>
      <c r="AA56" s="67">
        <v>0</v>
      </c>
      <c r="AB56" s="67">
        <v>0</v>
      </c>
      <c r="AC56" s="67">
        <v>0</v>
      </c>
      <c r="AD56" s="67">
        <v>0</v>
      </c>
      <c r="AE56" s="67">
        <v>0</v>
      </c>
      <c r="AF56" s="67">
        <v>0</v>
      </c>
      <c r="AG56" s="67">
        <v>0</v>
      </c>
      <c r="AH56" s="67">
        <v>0</v>
      </c>
      <c r="AI56" s="67">
        <v>0</v>
      </c>
      <c r="AJ56" s="67">
        <v>0</v>
      </c>
      <c r="AK56" s="67">
        <v>0</v>
      </c>
      <c r="AL56" s="67">
        <v>0</v>
      </c>
      <c r="AM56" s="67">
        <v>0</v>
      </c>
      <c r="AN56" s="67">
        <v>0</v>
      </c>
      <c r="AO56" s="67">
        <v>0</v>
      </c>
      <c r="AP56" s="67">
        <v>0</v>
      </c>
      <c r="AQ56" s="67">
        <v>0</v>
      </c>
      <c r="AR56" s="67">
        <v>0</v>
      </c>
      <c r="AS56" s="67">
        <v>0</v>
      </c>
      <c r="AT56" s="67"/>
      <c r="AU56" s="67"/>
      <c r="AV56" s="67"/>
      <c r="AW56" s="67">
        <v>0</v>
      </c>
      <c r="AX56" s="67">
        <v>0</v>
      </c>
      <c r="AY56" s="67"/>
      <c r="AZ56" s="67"/>
      <c r="BA56" s="67"/>
      <c r="BB56" s="67"/>
      <c r="BC56" s="67"/>
      <c r="BD56" s="67"/>
      <c r="BE56" s="67"/>
      <c r="BG56" s="67"/>
      <c r="BH56" s="67"/>
      <c r="BI56" s="67"/>
      <c r="BJ56" s="67">
        <v>0</v>
      </c>
      <c r="BK56" s="67"/>
      <c r="BL56" s="67"/>
      <c r="BP56" s="67"/>
      <c r="BQ56" s="67">
        <v>0</v>
      </c>
      <c r="BR56" s="67"/>
      <c r="BS56" s="67"/>
      <c r="BT56" s="67">
        <v>0</v>
      </c>
      <c r="BU56" s="67"/>
      <c r="BV56" s="67"/>
      <c r="BW56" s="67">
        <v>0</v>
      </c>
      <c r="BX56" s="67">
        <v>0</v>
      </c>
      <c r="BY56" s="67">
        <v>0</v>
      </c>
      <c r="BZ56" s="67">
        <v>0</v>
      </c>
      <c r="CA56" s="67"/>
      <c r="CB56" s="67">
        <v>0</v>
      </c>
      <c r="CC56" s="67"/>
      <c r="CD56" s="67"/>
      <c r="CE56" s="67">
        <v>0</v>
      </c>
      <c r="CF56" s="67">
        <v>0</v>
      </c>
      <c r="CG56" s="67"/>
      <c r="CH56" s="67"/>
      <c r="CI56" s="67"/>
      <c r="CJ56" s="67"/>
      <c r="CK56" s="67">
        <v>0</v>
      </c>
      <c r="CL56" s="67">
        <v>0</v>
      </c>
      <c r="CM56" s="67"/>
      <c r="CN56" s="67"/>
      <c r="CO56" s="67">
        <v>0</v>
      </c>
      <c r="CP56" s="67">
        <v>0</v>
      </c>
      <c r="CQ56" s="67"/>
      <c r="CR56" s="67"/>
      <c r="CS56" s="67"/>
      <c r="CT56" s="67"/>
      <c r="CU56" s="67">
        <v>0</v>
      </c>
      <c r="CV56" s="67"/>
      <c r="CW56" s="67"/>
      <c r="CX56" s="67"/>
      <c r="CY56" s="67">
        <v>0</v>
      </c>
      <c r="CZ56" s="67"/>
      <c r="DA56" s="67"/>
      <c r="DB56" s="67"/>
      <c r="DC56" s="67"/>
      <c r="DF56" s="67"/>
      <c r="DG56" s="67">
        <v>0</v>
      </c>
      <c r="DH56" s="67">
        <v>0</v>
      </c>
      <c r="DI56" s="67">
        <v>0</v>
      </c>
      <c r="DJ56" s="67"/>
      <c r="DK56" s="67">
        <v>0</v>
      </c>
      <c r="DL56" s="67">
        <v>0</v>
      </c>
      <c r="DM56" s="67">
        <v>0</v>
      </c>
      <c r="DN56" s="67"/>
      <c r="DO56" s="67"/>
      <c r="DP56" s="67"/>
      <c r="DQ56" s="67">
        <v>0</v>
      </c>
      <c r="DR56" s="67">
        <v>0</v>
      </c>
      <c r="DS56" s="67"/>
      <c r="DT56" s="67"/>
      <c r="DU56" s="67">
        <v>0</v>
      </c>
      <c r="DV56" s="67">
        <v>0</v>
      </c>
      <c r="DW56" s="67">
        <v>0</v>
      </c>
      <c r="DX56" s="67">
        <v>0</v>
      </c>
      <c r="DY56" s="67"/>
      <c r="DZ56" s="67">
        <v>0</v>
      </c>
      <c r="EA56" s="67"/>
      <c r="EB56" s="67">
        <v>0</v>
      </c>
      <c r="EC56" s="67"/>
      <c r="ED56" s="67">
        <v>0</v>
      </c>
      <c r="EE56" s="67"/>
      <c r="EF56" s="67">
        <v>0</v>
      </c>
      <c r="EG56" s="67"/>
      <c r="EH56" s="67"/>
      <c r="EI56" s="67"/>
      <c r="EJ56" s="67"/>
      <c r="EK56" s="67"/>
      <c r="EL56" s="67"/>
      <c r="EM56" s="67"/>
      <c r="EN56" s="67"/>
      <c r="EO56" s="67"/>
      <c r="EP56" s="67">
        <v>0</v>
      </c>
      <c r="EQ56" s="67">
        <v>0</v>
      </c>
      <c r="ER56" s="67">
        <v>0</v>
      </c>
      <c r="ES56" s="67"/>
      <c r="ET56">
        <v>0</v>
      </c>
      <c r="EX56" s="67"/>
      <c r="EY56" s="67"/>
      <c r="EZ56" s="67"/>
      <c r="FA56" s="67">
        <v>0</v>
      </c>
      <c r="FB56" s="67"/>
      <c r="FC56" s="67"/>
      <c r="FD56" s="67"/>
      <c r="FE56" s="67"/>
      <c r="FF56" s="67"/>
      <c r="FG56" s="67"/>
      <c r="FH56" s="67"/>
      <c r="FI56" s="67" t="s">
        <v>1600</v>
      </c>
    </row>
    <row r="57" spans="2:165" x14ac:dyDescent="0.2">
      <c r="B57" s="67"/>
      <c r="C57" s="67" t="s">
        <v>1636</v>
      </c>
      <c r="D57" s="67" t="s">
        <v>379</v>
      </c>
      <c r="E57" s="67" t="s">
        <v>305</v>
      </c>
      <c r="F57" s="67" t="s">
        <v>766</v>
      </c>
      <c r="G57" s="67" t="s">
        <v>1597</v>
      </c>
      <c r="H57" s="67"/>
      <c r="I57" s="67" t="s">
        <v>41</v>
      </c>
      <c r="J57" s="67" t="s">
        <v>68</v>
      </c>
      <c r="K57" s="67" t="s">
        <v>1059</v>
      </c>
      <c r="L57" s="67" t="s">
        <v>767</v>
      </c>
      <c r="M57" s="67" t="s">
        <v>752</v>
      </c>
      <c r="N57" s="67" t="s">
        <v>1601</v>
      </c>
      <c r="O57" s="67" t="s">
        <v>1599</v>
      </c>
      <c r="P57" s="67"/>
      <c r="Q57" s="67">
        <v>380</v>
      </c>
      <c r="R57" s="67">
        <v>0</v>
      </c>
      <c r="S57" s="67">
        <v>0</v>
      </c>
      <c r="T57" s="67">
        <v>0</v>
      </c>
      <c r="U57" s="67">
        <v>0</v>
      </c>
      <c r="V57" s="67">
        <v>0</v>
      </c>
      <c r="W57" s="67">
        <v>0</v>
      </c>
      <c r="X57" s="67">
        <v>0</v>
      </c>
      <c r="Y57" s="67">
        <v>0</v>
      </c>
      <c r="Z57" s="67">
        <v>0</v>
      </c>
      <c r="AA57" s="67">
        <v>0</v>
      </c>
      <c r="AB57" s="67">
        <v>0</v>
      </c>
      <c r="AC57" s="67">
        <v>0</v>
      </c>
      <c r="AD57" s="67">
        <v>0</v>
      </c>
      <c r="AE57" s="67">
        <v>0</v>
      </c>
      <c r="AF57" s="67">
        <v>0</v>
      </c>
      <c r="AG57" s="67">
        <v>380</v>
      </c>
      <c r="AH57" s="67">
        <v>0</v>
      </c>
      <c r="AI57" s="67">
        <v>0</v>
      </c>
      <c r="AJ57" s="67">
        <v>0</v>
      </c>
      <c r="AK57" s="67">
        <v>0</v>
      </c>
      <c r="AL57" s="67">
        <v>0</v>
      </c>
      <c r="AM57" s="67">
        <v>0</v>
      </c>
      <c r="AN57" s="67">
        <v>0</v>
      </c>
      <c r="AO57" s="67">
        <v>0</v>
      </c>
      <c r="AP57" s="67">
        <v>0</v>
      </c>
      <c r="AQ57" s="67">
        <v>0</v>
      </c>
      <c r="AR57" s="67">
        <v>0</v>
      </c>
      <c r="AS57" s="67">
        <v>0</v>
      </c>
      <c r="AT57" s="67"/>
      <c r="AU57" s="67"/>
      <c r="AV57" s="67"/>
      <c r="AW57" s="67">
        <v>0</v>
      </c>
      <c r="AX57" s="67">
        <v>0</v>
      </c>
      <c r="AY57" s="67"/>
      <c r="AZ57" s="67"/>
      <c r="BA57" s="67"/>
      <c r="BB57" s="67"/>
      <c r="BC57" s="67"/>
      <c r="BD57" s="67"/>
      <c r="BE57" s="67"/>
      <c r="BG57" s="67"/>
      <c r="BH57" s="67"/>
      <c r="BI57" s="67"/>
      <c r="BJ57" s="67">
        <v>0</v>
      </c>
      <c r="BK57" s="67"/>
      <c r="BL57" s="67"/>
      <c r="BP57" s="67"/>
      <c r="BQ57" s="67">
        <v>0</v>
      </c>
      <c r="BR57" s="67"/>
      <c r="BS57" s="67"/>
      <c r="BT57" s="67">
        <v>0</v>
      </c>
      <c r="BU57" s="67"/>
      <c r="BV57" s="67"/>
      <c r="BW57" s="67">
        <v>0</v>
      </c>
      <c r="BX57" s="67">
        <v>0</v>
      </c>
      <c r="BY57" s="67">
        <v>0</v>
      </c>
      <c r="BZ57" s="67">
        <v>0</v>
      </c>
      <c r="CA57" s="67"/>
      <c r="CB57" s="67">
        <v>0</v>
      </c>
      <c r="CC57" s="67"/>
      <c r="CD57" s="67"/>
      <c r="CE57" s="67">
        <v>0</v>
      </c>
      <c r="CF57" s="67">
        <v>0</v>
      </c>
      <c r="CG57" s="67"/>
      <c r="CH57" s="67"/>
      <c r="CI57" s="67"/>
      <c r="CJ57" s="67"/>
      <c r="CK57" s="67">
        <v>0</v>
      </c>
      <c r="CL57" s="67">
        <v>0</v>
      </c>
      <c r="CM57" s="67"/>
      <c r="CN57" s="67"/>
      <c r="CO57" s="67">
        <v>0</v>
      </c>
      <c r="CP57" s="67">
        <v>0</v>
      </c>
      <c r="CQ57" s="67"/>
      <c r="CR57" s="67"/>
      <c r="CS57" s="67"/>
      <c r="CT57" s="67"/>
      <c r="CU57" s="67">
        <v>0</v>
      </c>
      <c r="CV57" s="67"/>
      <c r="CW57" s="67"/>
      <c r="CX57" s="67"/>
      <c r="CY57" s="67">
        <v>0</v>
      </c>
      <c r="CZ57" s="67"/>
      <c r="DA57" s="67"/>
      <c r="DB57" s="67"/>
      <c r="DC57" s="67"/>
      <c r="DF57" s="67"/>
      <c r="DG57" s="67">
        <v>0</v>
      </c>
      <c r="DH57" s="67">
        <v>0</v>
      </c>
      <c r="DI57" s="67">
        <v>0</v>
      </c>
      <c r="DJ57" s="67"/>
      <c r="DK57" s="67">
        <v>0</v>
      </c>
      <c r="DL57" s="67">
        <v>0</v>
      </c>
      <c r="DM57" s="67">
        <v>0</v>
      </c>
      <c r="DN57" s="67"/>
      <c r="DO57" s="67"/>
      <c r="DP57" s="67"/>
      <c r="DQ57" s="67">
        <v>0</v>
      </c>
      <c r="DR57" s="67">
        <v>0</v>
      </c>
      <c r="DS57" s="67"/>
      <c r="DT57" s="67"/>
      <c r="DU57" s="67">
        <v>0</v>
      </c>
      <c r="DV57" s="67">
        <v>0</v>
      </c>
      <c r="DW57" s="67">
        <v>0</v>
      </c>
      <c r="DX57" s="67">
        <v>0</v>
      </c>
      <c r="DY57" s="67"/>
      <c r="DZ57" s="67">
        <v>0</v>
      </c>
      <c r="EA57" s="67"/>
      <c r="EB57" s="67">
        <v>0</v>
      </c>
      <c r="EC57" s="67"/>
      <c r="ED57" s="67">
        <v>0</v>
      </c>
      <c r="EE57" s="67"/>
      <c r="EF57" s="67">
        <v>0</v>
      </c>
      <c r="EG57" s="67"/>
      <c r="EH57" s="67"/>
      <c r="EI57" s="67"/>
      <c r="EJ57" s="67"/>
      <c r="EK57" s="67"/>
      <c r="EL57" s="67"/>
      <c r="EM57" s="67"/>
      <c r="EN57" s="67"/>
      <c r="EO57" s="67"/>
      <c r="EP57" s="67">
        <v>0</v>
      </c>
      <c r="EQ57" s="67">
        <v>0</v>
      </c>
      <c r="ER57" s="67">
        <v>0</v>
      </c>
      <c r="ES57" s="67"/>
      <c r="ET57">
        <v>0</v>
      </c>
      <c r="EX57" s="67"/>
      <c r="EY57" s="67"/>
      <c r="EZ57" s="67"/>
      <c r="FA57" s="67">
        <v>380</v>
      </c>
      <c r="FB57" s="67"/>
      <c r="FC57" s="67"/>
      <c r="FD57" s="67"/>
      <c r="FE57" s="67"/>
      <c r="FF57" s="67"/>
      <c r="FG57" s="67"/>
      <c r="FH57" s="67"/>
      <c r="FI57" s="67" t="s">
        <v>1600</v>
      </c>
    </row>
    <row r="58" spans="2:165" ht="24" x14ac:dyDescent="0.2">
      <c r="B58" s="67" t="s">
        <v>380</v>
      </c>
      <c r="C58" s="67" t="s">
        <v>380</v>
      </c>
      <c r="D58" s="67" t="s">
        <v>381</v>
      </c>
      <c r="E58" s="67" t="s">
        <v>13</v>
      </c>
      <c r="F58" s="67" t="s">
        <v>810</v>
      </c>
      <c r="G58" s="67" t="s">
        <v>1597</v>
      </c>
      <c r="H58" s="67"/>
      <c r="I58" s="67" t="s">
        <v>41</v>
      </c>
      <c r="J58" s="67" t="s">
        <v>71</v>
      </c>
      <c r="K58" s="67" t="s">
        <v>811</v>
      </c>
      <c r="L58" s="67" t="s">
        <v>779</v>
      </c>
      <c r="M58" s="67" t="s">
        <v>752</v>
      </c>
      <c r="N58" s="67" t="s">
        <v>1598</v>
      </c>
      <c r="O58" s="67" t="s">
        <v>1599</v>
      </c>
      <c r="P58" s="67"/>
      <c r="Q58" s="67">
        <v>890</v>
      </c>
      <c r="R58" s="67">
        <v>0</v>
      </c>
      <c r="S58" s="67">
        <v>0</v>
      </c>
      <c r="T58" s="67">
        <v>0</v>
      </c>
      <c r="U58" s="67">
        <v>0</v>
      </c>
      <c r="V58" s="67">
        <v>0</v>
      </c>
      <c r="W58" s="67">
        <v>890</v>
      </c>
      <c r="X58" s="67">
        <v>0</v>
      </c>
      <c r="Y58" s="67">
        <v>0</v>
      </c>
      <c r="Z58" s="67">
        <v>0</v>
      </c>
      <c r="AA58" s="67">
        <v>0</v>
      </c>
      <c r="AB58" s="67">
        <v>0</v>
      </c>
      <c r="AC58" s="67">
        <v>0</v>
      </c>
      <c r="AD58" s="67">
        <v>0</v>
      </c>
      <c r="AE58" s="67">
        <v>0</v>
      </c>
      <c r="AF58" s="67">
        <v>0</v>
      </c>
      <c r="AG58" s="67">
        <v>0</v>
      </c>
      <c r="AH58" s="67">
        <v>0</v>
      </c>
      <c r="AI58" s="67">
        <v>0</v>
      </c>
      <c r="AJ58" s="67">
        <v>0</v>
      </c>
      <c r="AK58" s="67">
        <v>0</v>
      </c>
      <c r="AL58" s="67">
        <v>0</v>
      </c>
      <c r="AM58" s="67">
        <v>0</v>
      </c>
      <c r="AN58" s="67">
        <v>0</v>
      </c>
      <c r="AO58" s="67">
        <v>0</v>
      </c>
      <c r="AP58" s="67">
        <v>0</v>
      </c>
      <c r="AQ58" s="67">
        <v>0</v>
      </c>
      <c r="AR58" s="67">
        <v>0</v>
      </c>
      <c r="AS58" s="67">
        <v>0</v>
      </c>
      <c r="AT58" s="67"/>
      <c r="AU58" s="67"/>
      <c r="AV58" s="67"/>
      <c r="AW58" s="67">
        <v>0</v>
      </c>
      <c r="AX58" s="67">
        <v>0</v>
      </c>
      <c r="AY58" s="67"/>
      <c r="AZ58" s="67"/>
      <c r="BA58" s="67"/>
      <c r="BB58" s="67"/>
      <c r="BC58" s="67"/>
      <c r="BD58" s="67"/>
      <c r="BE58" s="67"/>
      <c r="BG58" s="67"/>
      <c r="BH58" s="67"/>
      <c r="BI58" s="67"/>
      <c r="BJ58" s="67">
        <v>0</v>
      </c>
      <c r="BK58" s="67"/>
      <c r="BL58" s="67"/>
      <c r="BP58" s="67"/>
      <c r="BQ58" s="67">
        <v>0</v>
      </c>
      <c r="BR58" s="67"/>
      <c r="BS58" s="67"/>
      <c r="BT58" s="67">
        <v>0</v>
      </c>
      <c r="BU58" s="67"/>
      <c r="BV58" s="67"/>
      <c r="BW58" s="67">
        <v>0</v>
      </c>
      <c r="BX58" s="67">
        <v>0</v>
      </c>
      <c r="BY58" s="67">
        <v>0</v>
      </c>
      <c r="BZ58" s="67">
        <v>0</v>
      </c>
      <c r="CA58" s="67"/>
      <c r="CB58" s="67">
        <v>0</v>
      </c>
      <c r="CC58" s="67"/>
      <c r="CD58" s="67"/>
      <c r="CE58" s="67">
        <v>0</v>
      </c>
      <c r="CF58" s="67">
        <v>0</v>
      </c>
      <c r="CG58" s="67"/>
      <c r="CH58" s="67"/>
      <c r="CI58" s="67"/>
      <c r="CJ58" s="67"/>
      <c r="CK58" s="67">
        <v>0</v>
      </c>
      <c r="CL58" s="67">
        <v>0</v>
      </c>
      <c r="CM58" s="67"/>
      <c r="CN58" s="67"/>
      <c r="CO58" s="67">
        <v>0</v>
      </c>
      <c r="CP58" s="67">
        <v>0</v>
      </c>
      <c r="CQ58" s="67"/>
      <c r="CR58" s="67"/>
      <c r="CS58" s="67"/>
      <c r="CT58" s="67"/>
      <c r="CU58" s="67">
        <v>0</v>
      </c>
      <c r="CV58" s="67"/>
      <c r="CW58" s="67"/>
      <c r="CX58" s="67"/>
      <c r="CY58" s="67">
        <v>0</v>
      </c>
      <c r="CZ58" s="67"/>
      <c r="DA58" s="67"/>
      <c r="DB58" s="67"/>
      <c r="DC58" s="67"/>
      <c r="DF58" s="67"/>
      <c r="DG58" s="67">
        <v>0</v>
      </c>
      <c r="DH58" s="67">
        <v>0</v>
      </c>
      <c r="DI58" s="67">
        <v>0</v>
      </c>
      <c r="DJ58" s="67"/>
      <c r="DK58" s="67">
        <v>0</v>
      </c>
      <c r="DL58" s="67">
        <v>0</v>
      </c>
      <c r="DM58" s="67">
        <v>0</v>
      </c>
      <c r="DN58" s="67"/>
      <c r="DO58" s="67"/>
      <c r="DP58" s="67"/>
      <c r="DQ58" s="67">
        <v>0</v>
      </c>
      <c r="DR58" s="67">
        <v>0</v>
      </c>
      <c r="DS58" s="67"/>
      <c r="DT58" s="67"/>
      <c r="DU58" s="67">
        <v>0</v>
      </c>
      <c r="DV58" s="67">
        <v>0</v>
      </c>
      <c r="DW58" s="67">
        <v>0</v>
      </c>
      <c r="DX58" s="67">
        <v>0</v>
      </c>
      <c r="DY58" s="67"/>
      <c r="DZ58" s="67">
        <v>0</v>
      </c>
      <c r="EA58" s="67"/>
      <c r="EB58" s="67">
        <v>0</v>
      </c>
      <c r="EC58" s="67"/>
      <c r="ED58" s="67">
        <v>0</v>
      </c>
      <c r="EE58" s="67"/>
      <c r="EF58" s="67">
        <v>0</v>
      </c>
      <c r="EG58" s="67"/>
      <c r="EH58" s="67"/>
      <c r="EI58" s="67"/>
      <c r="EJ58" s="67"/>
      <c r="EK58" s="67"/>
      <c r="EL58" s="67"/>
      <c r="EM58" s="67"/>
      <c r="EN58" s="67"/>
      <c r="EO58" s="67"/>
      <c r="EP58" s="67">
        <v>0</v>
      </c>
      <c r="EQ58" s="67">
        <v>0</v>
      </c>
      <c r="ER58" s="67">
        <v>0</v>
      </c>
      <c r="ES58" s="67"/>
      <c r="ET58">
        <v>0</v>
      </c>
      <c r="EX58" s="67"/>
      <c r="EY58" s="67"/>
      <c r="EZ58" s="67"/>
      <c r="FA58" s="67">
        <v>890</v>
      </c>
      <c r="FB58" s="67"/>
      <c r="FC58" s="67"/>
      <c r="FD58" s="67"/>
      <c r="FE58" s="67"/>
      <c r="FF58" s="67"/>
      <c r="FG58" s="67"/>
      <c r="FH58" s="67"/>
      <c r="FI58" s="67" t="s">
        <v>1600</v>
      </c>
    </row>
    <row r="59" spans="2:165" ht="24" x14ac:dyDescent="0.2">
      <c r="B59" s="67" t="s">
        <v>382</v>
      </c>
      <c r="C59" s="67" t="s">
        <v>382</v>
      </c>
      <c r="D59" s="67" t="s">
        <v>383</v>
      </c>
      <c r="E59" s="67" t="s">
        <v>13</v>
      </c>
      <c r="F59" s="67" t="s">
        <v>766</v>
      </c>
      <c r="G59" s="67" t="s">
        <v>1597</v>
      </c>
      <c r="H59" s="67"/>
      <c r="I59" s="67" t="s">
        <v>41</v>
      </c>
      <c r="J59" s="67" t="s">
        <v>68</v>
      </c>
      <c r="K59" s="67" t="s">
        <v>1059</v>
      </c>
      <c r="L59" s="67" t="s">
        <v>767</v>
      </c>
      <c r="M59" s="67" t="s">
        <v>752</v>
      </c>
      <c r="N59" s="67" t="s">
        <v>1598</v>
      </c>
      <c r="O59" s="67" t="s">
        <v>1599</v>
      </c>
      <c r="P59" s="67"/>
      <c r="Q59" s="67">
        <v>0</v>
      </c>
      <c r="R59" s="67">
        <v>0</v>
      </c>
      <c r="S59" s="67">
        <v>0</v>
      </c>
      <c r="T59" s="67">
        <v>0</v>
      </c>
      <c r="U59" s="67">
        <v>0</v>
      </c>
      <c r="V59" s="67">
        <v>0</v>
      </c>
      <c r="W59" s="67">
        <v>0</v>
      </c>
      <c r="X59" s="67">
        <v>0</v>
      </c>
      <c r="Y59" s="67">
        <v>0</v>
      </c>
      <c r="Z59" s="67">
        <v>0</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67">
        <v>0</v>
      </c>
      <c r="AQ59" s="67">
        <v>0</v>
      </c>
      <c r="AR59" s="67">
        <v>0</v>
      </c>
      <c r="AS59" s="67">
        <v>0</v>
      </c>
      <c r="AT59" s="67"/>
      <c r="AU59" s="67"/>
      <c r="AV59" s="67"/>
      <c r="AW59" s="67">
        <v>0</v>
      </c>
      <c r="AX59" s="67">
        <v>0</v>
      </c>
      <c r="AY59" s="67"/>
      <c r="AZ59" s="67"/>
      <c r="BA59" s="67"/>
      <c r="BB59" s="67"/>
      <c r="BC59" s="67"/>
      <c r="BD59" s="67"/>
      <c r="BE59" s="67"/>
      <c r="BG59" s="67"/>
      <c r="BH59" s="67"/>
      <c r="BI59" s="67"/>
      <c r="BJ59" s="67">
        <v>0</v>
      </c>
      <c r="BK59" s="67"/>
      <c r="BL59" s="67"/>
      <c r="BP59" s="67"/>
      <c r="BQ59" s="67">
        <v>0</v>
      </c>
      <c r="BR59" s="67"/>
      <c r="BS59" s="67"/>
      <c r="BT59" s="67">
        <v>0</v>
      </c>
      <c r="BU59" s="67"/>
      <c r="BV59" s="67"/>
      <c r="BW59" s="67">
        <v>0</v>
      </c>
      <c r="BX59" s="67">
        <v>0</v>
      </c>
      <c r="BY59" s="67">
        <v>0</v>
      </c>
      <c r="BZ59" s="67">
        <v>0</v>
      </c>
      <c r="CA59" s="67"/>
      <c r="CB59" s="67">
        <v>0</v>
      </c>
      <c r="CC59" s="67"/>
      <c r="CD59" s="67"/>
      <c r="CE59" s="67">
        <v>0</v>
      </c>
      <c r="CF59" s="67">
        <v>0</v>
      </c>
      <c r="CG59" s="67"/>
      <c r="CH59" s="67"/>
      <c r="CI59" s="67"/>
      <c r="CJ59" s="67"/>
      <c r="CK59" s="67">
        <v>0</v>
      </c>
      <c r="CL59" s="67">
        <v>0</v>
      </c>
      <c r="CM59" s="67"/>
      <c r="CN59" s="67"/>
      <c r="CO59" s="67">
        <v>0</v>
      </c>
      <c r="CP59" s="67">
        <v>0</v>
      </c>
      <c r="CQ59" s="67"/>
      <c r="CR59" s="67"/>
      <c r="CS59" s="67"/>
      <c r="CT59" s="67"/>
      <c r="CU59" s="67">
        <v>0</v>
      </c>
      <c r="CV59" s="67"/>
      <c r="CW59" s="67"/>
      <c r="CX59" s="67"/>
      <c r="CY59" s="67">
        <v>0</v>
      </c>
      <c r="CZ59" s="67"/>
      <c r="DA59" s="67"/>
      <c r="DB59" s="67"/>
      <c r="DC59" s="67"/>
      <c r="DF59" s="67"/>
      <c r="DG59" s="67">
        <v>0</v>
      </c>
      <c r="DH59" s="67">
        <v>0</v>
      </c>
      <c r="DI59" s="67">
        <v>0</v>
      </c>
      <c r="DJ59" s="67"/>
      <c r="DK59" s="67">
        <v>0</v>
      </c>
      <c r="DL59" s="67">
        <v>0</v>
      </c>
      <c r="DM59" s="67">
        <v>0</v>
      </c>
      <c r="DN59" s="67"/>
      <c r="DO59" s="67"/>
      <c r="DP59" s="67"/>
      <c r="DQ59" s="67">
        <v>0</v>
      </c>
      <c r="DR59" s="67">
        <v>0</v>
      </c>
      <c r="DS59" s="67"/>
      <c r="DT59" s="67"/>
      <c r="DU59" s="67">
        <v>0</v>
      </c>
      <c r="DV59" s="67">
        <v>0</v>
      </c>
      <c r="DW59" s="67">
        <v>0</v>
      </c>
      <c r="DX59" s="67">
        <v>0</v>
      </c>
      <c r="DY59" s="67"/>
      <c r="DZ59" s="67">
        <v>0</v>
      </c>
      <c r="EA59" s="67"/>
      <c r="EB59" s="67">
        <v>0</v>
      </c>
      <c r="EC59" s="67"/>
      <c r="ED59" s="67">
        <v>0</v>
      </c>
      <c r="EE59" s="67"/>
      <c r="EF59" s="67">
        <v>0</v>
      </c>
      <c r="EG59" s="67"/>
      <c r="EH59" s="67"/>
      <c r="EI59" s="67"/>
      <c r="EJ59" s="67"/>
      <c r="EK59" s="67"/>
      <c r="EL59" s="67"/>
      <c r="EM59" s="67"/>
      <c r="EN59" s="67"/>
      <c r="EO59" s="67"/>
      <c r="EP59" s="67">
        <v>0</v>
      </c>
      <c r="EQ59" s="67">
        <v>300</v>
      </c>
      <c r="ER59" s="67">
        <v>300</v>
      </c>
      <c r="ES59" s="67"/>
      <c r="ET59">
        <v>0</v>
      </c>
      <c r="EX59" s="67"/>
      <c r="EY59" s="67"/>
      <c r="EZ59" s="67"/>
      <c r="FA59" s="67">
        <v>0</v>
      </c>
      <c r="FB59" s="67"/>
      <c r="FC59" s="67"/>
      <c r="FD59" s="67"/>
      <c r="FE59" s="67"/>
      <c r="FF59" s="67"/>
      <c r="FG59" s="67"/>
      <c r="FH59" s="67"/>
      <c r="FI59" s="67" t="s">
        <v>1600</v>
      </c>
    </row>
    <row r="60" spans="2:165" x14ac:dyDescent="0.2">
      <c r="B60" s="67" t="s">
        <v>305</v>
      </c>
      <c r="C60" s="67" t="s">
        <v>1637</v>
      </c>
      <c r="D60" s="67" t="s">
        <v>384</v>
      </c>
      <c r="E60" s="67" t="s">
        <v>305</v>
      </c>
      <c r="F60" s="67" t="s">
        <v>1109</v>
      </c>
      <c r="G60" s="67" t="s">
        <v>1597</v>
      </c>
      <c r="H60" s="67"/>
      <c r="I60" s="67" t="s">
        <v>41</v>
      </c>
      <c r="J60" s="67" t="s">
        <v>68</v>
      </c>
      <c r="K60" s="67" t="s">
        <v>1638</v>
      </c>
      <c r="L60" s="67" t="s">
        <v>751</v>
      </c>
      <c r="M60" s="67" t="s">
        <v>752</v>
      </c>
      <c r="N60" s="67" t="s">
        <v>1604</v>
      </c>
      <c r="O60" s="67" t="s">
        <v>1605</v>
      </c>
      <c r="P60" s="67"/>
      <c r="Q60" s="67">
        <v>0</v>
      </c>
      <c r="R60" s="67">
        <v>0</v>
      </c>
      <c r="S60" s="67">
        <v>0</v>
      </c>
      <c r="T60" s="67">
        <v>0</v>
      </c>
      <c r="U60" s="67">
        <v>0</v>
      </c>
      <c r="V60" s="67">
        <v>0</v>
      </c>
      <c r="W60" s="67">
        <v>0</v>
      </c>
      <c r="X60" s="67">
        <v>0</v>
      </c>
      <c r="Y60" s="67">
        <v>0</v>
      </c>
      <c r="Z60" s="67">
        <v>0</v>
      </c>
      <c r="AA60" s="67">
        <v>0</v>
      </c>
      <c r="AB60" s="67">
        <v>0</v>
      </c>
      <c r="AC60" s="67">
        <v>0</v>
      </c>
      <c r="AD60" s="67">
        <v>0</v>
      </c>
      <c r="AE60" s="67">
        <v>0</v>
      </c>
      <c r="AF60" s="67">
        <v>0</v>
      </c>
      <c r="AG60" s="67">
        <v>0</v>
      </c>
      <c r="AH60" s="67">
        <v>0</v>
      </c>
      <c r="AI60" s="67">
        <v>0</v>
      </c>
      <c r="AJ60" s="67">
        <v>0</v>
      </c>
      <c r="AK60" s="67">
        <v>0</v>
      </c>
      <c r="AL60" s="67">
        <v>0</v>
      </c>
      <c r="AM60" s="67">
        <v>0</v>
      </c>
      <c r="AN60" s="67">
        <v>0</v>
      </c>
      <c r="AO60" s="67">
        <v>0</v>
      </c>
      <c r="AP60" s="67">
        <v>0</v>
      </c>
      <c r="AQ60" s="67">
        <v>0</v>
      </c>
      <c r="AR60" s="67">
        <v>0</v>
      </c>
      <c r="AS60" s="67">
        <v>0</v>
      </c>
      <c r="AT60" s="67"/>
      <c r="AU60" s="67"/>
      <c r="AV60" s="67"/>
      <c r="AW60" s="67">
        <v>0</v>
      </c>
      <c r="AX60" s="67">
        <v>0</v>
      </c>
      <c r="AY60" s="67"/>
      <c r="AZ60" s="67"/>
      <c r="BA60" s="67"/>
      <c r="BB60" s="67"/>
      <c r="BC60" s="67"/>
      <c r="BD60" s="67"/>
      <c r="BE60" s="67"/>
      <c r="BG60" s="67"/>
      <c r="BH60" s="67"/>
      <c r="BI60" s="67"/>
      <c r="BJ60" s="67">
        <v>0</v>
      </c>
      <c r="BK60" s="67"/>
      <c r="BL60" s="67"/>
      <c r="BP60" s="67"/>
      <c r="BQ60" s="67">
        <v>0</v>
      </c>
      <c r="BR60" s="67"/>
      <c r="BS60" s="67"/>
      <c r="BT60" s="67">
        <v>0</v>
      </c>
      <c r="BU60" s="67"/>
      <c r="BV60" s="67"/>
      <c r="BW60" s="67">
        <v>0</v>
      </c>
      <c r="BX60" s="67">
        <v>0</v>
      </c>
      <c r="BY60" s="67">
        <v>0</v>
      </c>
      <c r="BZ60" s="67">
        <v>0</v>
      </c>
      <c r="CA60" s="67"/>
      <c r="CB60" s="67">
        <v>0</v>
      </c>
      <c r="CC60" s="67"/>
      <c r="CD60" s="67"/>
      <c r="CE60" s="67">
        <v>0</v>
      </c>
      <c r="CF60" s="67">
        <v>0</v>
      </c>
      <c r="CG60" s="67"/>
      <c r="CH60" s="67"/>
      <c r="CI60" s="67"/>
      <c r="CJ60" s="67"/>
      <c r="CK60" s="67">
        <v>0</v>
      </c>
      <c r="CL60" s="67">
        <v>0</v>
      </c>
      <c r="CM60" s="67"/>
      <c r="CN60" s="67"/>
      <c r="CO60" s="67">
        <v>0</v>
      </c>
      <c r="CP60" s="67">
        <v>0</v>
      </c>
      <c r="CQ60" s="67"/>
      <c r="CR60" s="67"/>
      <c r="CS60" s="67"/>
      <c r="CT60" s="67"/>
      <c r="CU60" s="67">
        <v>0</v>
      </c>
      <c r="CV60" s="67"/>
      <c r="CW60" s="67"/>
      <c r="CX60" s="67"/>
      <c r="CY60" s="67">
        <v>0</v>
      </c>
      <c r="CZ60" s="67"/>
      <c r="DA60" s="67"/>
      <c r="DB60" s="67"/>
      <c r="DC60" s="67"/>
      <c r="DF60" s="67"/>
      <c r="DG60" s="67">
        <v>0</v>
      </c>
      <c r="DH60" s="67">
        <v>0</v>
      </c>
      <c r="DI60" s="67">
        <v>0</v>
      </c>
      <c r="DJ60" s="67"/>
      <c r="DK60" s="67">
        <v>0</v>
      </c>
      <c r="DL60" s="67">
        <v>0</v>
      </c>
      <c r="DM60" s="67">
        <v>0</v>
      </c>
      <c r="DN60" s="67"/>
      <c r="DO60" s="67"/>
      <c r="DP60" s="67"/>
      <c r="DQ60" s="67">
        <v>0</v>
      </c>
      <c r="DR60" s="67">
        <v>0</v>
      </c>
      <c r="DS60" s="67"/>
      <c r="DT60" s="67"/>
      <c r="DU60" s="67">
        <v>0</v>
      </c>
      <c r="DV60" s="67">
        <v>0</v>
      </c>
      <c r="DW60" s="67">
        <v>0</v>
      </c>
      <c r="DX60" s="67">
        <v>0</v>
      </c>
      <c r="DY60" s="67"/>
      <c r="DZ60" s="67">
        <v>0</v>
      </c>
      <c r="EA60" s="67"/>
      <c r="EB60" s="67">
        <v>0</v>
      </c>
      <c r="EC60" s="67"/>
      <c r="ED60" s="67">
        <v>0</v>
      </c>
      <c r="EE60" s="67"/>
      <c r="EF60" s="67">
        <v>0</v>
      </c>
      <c r="EG60" s="67"/>
      <c r="EH60" s="67"/>
      <c r="EI60" s="67"/>
      <c r="EJ60" s="67"/>
      <c r="EK60" s="67"/>
      <c r="EL60" s="67"/>
      <c r="EM60" s="67"/>
      <c r="EN60" s="67"/>
      <c r="EO60" s="67"/>
      <c r="EP60" s="67">
        <v>0</v>
      </c>
      <c r="EQ60" s="67">
        <v>0</v>
      </c>
      <c r="ER60" s="67">
        <v>0</v>
      </c>
      <c r="ES60" s="67"/>
      <c r="ET60">
        <v>0</v>
      </c>
      <c r="EX60" s="67"/>
      <c r="EY60" s="67"/>
      <c r="EZ60" s="67"/>
      <c r="FA60" s="67">
        <v>0</v>
      </c>
      <c r="FB60" s="67"/>
      <c r="FC60" s="67"/>
      <c r="FD60" s="67"/>
      <c r="FE60" s="67"/>
      <c r="FF60" s="67"/>
      <c r="FG60" s="67"/>
      <c r="FH60" s="67"/>
      <c r="FI60" s="67" t="s">
        <v>1600</v>
      </c>
    </row>
    <row r="61" spans="2:165" ht="24" x14ac:dyDescent="0.2">
      <c r="B61" s="67" t="s">
        <v>385</v>
      </c>
      <c r="C61" s="67" t="s">
        <v>385</v>
      </c>
      <c r="D61" s="67" t="s">
        <v>386</v>
      </c>
      <c r="E61" s="67" t="s">
        <v>13</v>
      </c>
      <c r="F61" s="67" t="s">
        <v>933</v>
      </c>
      <c r="G61" s="67" t="s">
        <v>1597</v>
      </c>
      <c r="H61" s="67"/>
      <c r="I61" s="67" t="s">
        <v>41</v>
      </c>
      <c r="J61" s="67" t="s">
        <v>64</v>
      </c>
      <c r="K61" s="67" t="s">
        <v>1639</v>
      </c>
      <c r="L61" s="67" t="s">
        <v>787</v>
      </c>
      <c r="M61" s="67" t="s">
        <v>752</v>
      </c>
      <c r="N61" s="67" t="s">
        <v>1598</v>
      </c>
      <c r="O61" s="67" t="s">
        <v>1599</v>
      </c>
      <c r="P61" s="67"/>
      <c r="Q61" s="67">
        <v>452</v>
      </c>
      <c r="R61" s="67">
        <v>0</v>
      </c>
      <c r="S61" s="67">
        <v>0</v>
      </c>
      <c r="T61" s="67">
        <v>0</v>
      </c>
      <c r="U61" s="67">
        <v>0</v>
      </c>
      <c r="V61" s="67">
        <v>0</v>
      </c>
      <c r="W61" s="67">
        <v>0</v>
      </c>
      <c r="X61" s="67">
        <v>0</v>
      </c>
      <c r="Y61" s="67">
        <v>0</v>
      </c>
      <c r="Z61" s="67">
        <v>0</v>
      </c>
      <c r="AA61" s="67">
        <v>0</v>
      </c>
      <c r="AB61" s="67">
        <v>0</v>
      </c>
      <c r="AC61" s="67">
        <v>0</v>
      </c>
      <c r="AD61" s="67">
        <v>0</v>
      </c>
      <c r="AE61" s="67">
        <v>0</v>
      </c>
      <c r="AF61" s="67">
        <v>452</v>
      </c>
      <c r="AG61" s="67">
        <v>0</v>
      </c>
      <c r="AH61" s="67">
        <v>0</v>
      </c>
      <c r="AI61" s="67">
        <v>0</v>
      </c>
      <c r="AJ61" s="67">
        <v>0</v>
      </c>
      <c r="AK61" s="67">
        <v>0</v>
      </c>
      <c r="AL61" s="67">
        <v>0</v>
      </c>
      <c r="AM61" s="67">
        <v>0</v>
      </c>
      <c r="AN61" s="67">
        <v>0</v>
      </c>
      <c r="AO61" s="67">
        <v>0</v>
      </c>
      <c r="AP61" s="67">
        <v>0</v>
      </c>
      <c r="AQ61" s="67">
        <v>0</v>
      </c>
      <c r="AR61" s="67">
        <v>0</v>
      </c>
      <c r="AS61" s="67">
        <v>0</v>
      </c>
      <c r="AT61" s="67"/>
      <c r="AU61" s="67"/>
      <c r="AV61" s="67"/>
      <c r="AW61" s="67">
        <v>0</v>
      </c>
      <c r="AX61" s="67">
        <v>0</v>
      </c>
      <c r="AY61" s="67"/>
      <c r="AZ61" s="67"/>
      <c r="BA61" s="67"/>
      <c r="BB61" s="67"/>
      <c r="BC61" s="67"/>
      <c r="BD61" s="67"/>
      <c r="BE61" s="67"/>
      <c r="BG61" s="67"/>
      <c r="BH61" s="67"/>
      <c r="BI61" s="67"/>
      <c r="BJ61" s="67">
        <v>0</v>
      </c>
      <c r="BK61" s="67"/>
      <c r="BL61" s="67"/>
      <c r="BP61" s="67"/>
      <c r="BQ61" s="67">
        <v>0</v>
      </c>
      <c r="BR61" s="67"/>
      <c r="BS61" s="67"/>
      <c r="BT61" s="67">
        <v>0</v>
      </c>
      <c r="BU61" s="67"/>
      <c r="BV61" s="67"/>
      <c r="BW61" s="67">
        <v>0</v>
      </c>
      <c r="BX61" s="67">
        <v>0</v>
      </c>
      <c r="BY61" s="67">
        <v>0</v>
      </c>
      <c r="BZ61" s="67">
        <v>0</v>
      </c>
      <c r="CA61" s="67"/>
      <c r="CB61" s="67">
        <v>0</v>
      </c>
      <c r="CC61" s="67"/>
      <c r="CD61" s="67"/>
      <c r="CE61" s="67">
        <v>0</v>
      </c>
      <c r="CF61" s="67">
        <v>0</v>
      </c>
      <c r="CG61" s="67"/>
      <c r="CH61" s="67"/>
      <c r="CI61" s="67"/>
      <c r="CJ61" s="67"/>
      <c r="CK61" s="67">
        <v>0</v>
      </c>
      <c r="CL61" s="67">
        <v>0</v>
      </c>
      <c r="CM61" s="67"/>
      <c r="CN61" s="67"/>
      <c r="CO61" s="67">
        <v>0</v>
      </c>
      <c r="CP61" s="67">
        <v>0</v>
      </c>
      <c r="CQ61" s="67"/>
      <c r="CR61" s="67"/>
      <c r="CS61" s="67"/>
      <c r="CT61" s="67"/>
      <c r="CU61" s="67">
        <v>0</v>
      </c>
      <c r="CV61" s="67"/>
      <c r="CW61" s="67"/>
      <c r="CX61" s="67"/>
      <c r="CY61" s="67">
        <v>0</v>
      </c>
      <c r="CZ61" s="67"/>
      <c r="DA61" s="67"/>
      <c r="DB61" s="67"/>
      <c r="DC61" s="67"/>
      <c r="DF61" s="67"/>
      <c r="DG61" s="67">
        <v>0</v>
      </c>
      <c r="DH61" s="67">
        <v>0</v>
      </c>
      <c r="DI61" s="67">
        <v>0</v>
      </c>
      <c r="DJ61" s="67"/>
      <c r="DK61" s="67">
        <v>0</v>
      </c>
      <c r="DL61" s="67">
        <v>0</v>
      </c>
      <c r="DM61" s="67">
        <v>0</v>
      </c>
      <c r="DN61" s="67"/>
      <c r="DO61" s="67"/>
      <c r="DP61" s="67"/>
      <c r="DQ61" s="67">
        <v>0</v>
      </c>
      <c r="DR61" s="67">
        <v>0</v>
      </c>
      <c r="DS61" s="67"/>
      <c r="DT61" s="67"/>
      <c r="DU61" s="67">
        <v>0</v>
      </c>
      <c r="DV61" s="67">
        <v>0</v>
      </c>
      <c r="DW61" s="67">
        <v>0</v>
      </c>
      <c r="DX61" s="67">
        <v>0</v>
      </c>
      <c r="DY61" s="67"/>
      <c r="DZ61" s="67">
        <v>0</v>
      </c>
      <c r="EA61" s="67"/>
      <c r="EB61" s="67">
        <v>0</v>
      </c>
      <c r="EC61" s="67"/>
      <c r="ED61" s="67">
        <v>0</v>
      </c>
      <c r="EE61" s="67"/>
      <c r="EF61" s="67">
        <v>0</v>
      </c>
      <c r="EG61" s="67"/>
      <c r="EH61" s="67"/>
      <c r="EI61" s="67"/>
      <c r="EJ61" s="67"/>
      <c r="EK61" s="67"/>
      <c r="EL61" s="67"/>
      <c r="EM61" s="67"/>
      <c r="EN61" s="67"/>
      <c r="EO61" s="67"/>
      <c r="EP61" s="67">
        <v>0</v>
      </c>
      <c r="EQ61" s="67">
        <v>0</v>
      </c>
      <c r="ER61" s="67">
        <v>0</v>
      </c>
      <c r="ES61" s="67"/>
      <c r="ET61">
        <v>0</v>
      </c>
      <c r="EX61" s="67"/>
      <c r="EY61" s="67"/>
      <c r="EZ61" s="67"/>
      <c r="FA61" s="67">
        <v>452</v>
      </c>
      <c r="FB61" s="67"/>
      <c r="FC61" s="67"/>
      <c r="FD61" s="67"/>
      <c r="FE61" s="67"/>
      <c r="FF61" s="67"/>
      <c r="FG61" s="67"/>
      <c r="FH61" s="67"/>
      <c r="FI61" s="67" t="s">
        <v>1600</v>
      </c>
    </row>
    <row r="62" spans="2:165" ht="24" x14ac:dyDescent="0.2">
      <c r="B62" s="67" t="s">
        <v>387</v>
      </c>
      <c r="C62" s="67" t="s">
        <v>387</v>
      </c>
      <c r="D62" s="67" t="s">
        <v>388</v>
      </c>
      <c r="E62" s="67" t="s">
        <v>13</v>
      </c>
      <c r="F62" s="67" t="s">
        <v>933</v>
      </c>
      <c r="G62" s="67" t="s">
        <v>1597</v>
      </c>
      <c r="H62" s="67"/>
      <c r="I62" s="67" t="s">
        <v>41</v>
      </c>
      <c r="J62" s="67" t="s">
        <v>64</v>
      </c>
      <c r="K62" s="67" t="s">
        <v>1639</v>
      </c>
      <c r="L62" s="67" t="s">
        <v>787</v>
      </c>
      <c r="M62" s="67" t="s">
        <v>752</v>
      </c>
      <c r="N62" s="67" t="s">
        <v>1598</v>
      </c>
      <c r="O62" s="67" t="s">
        <v>1599</v>
      </c>
      <c r="P62" s="67"/>
      <c r="Q62" s="67">
        <v>704.00000000000011</v>
      </c>
      <c r="R62" s="67">
        <v>0</v>
      </c>
      <c r="S62" s="67">
        <v>0</v>
      </c>
      <c r="T62" s="67">
        <v>0</v>
      </c>
      <c r="U62" s="67">
        <v>0</v>
      </c>
      <c r="V62" s="67">
        <v>0</v>
      </c>
      <c r="W62" s="67">
        <v>0</v>
      </c>
      <c r="X62" s="67">
        <v>0</v>
      </c>
      <c r="Y62" s="67">
        <v>0</v>
      </c>
      <c r="Z62" s="67">
        <v>0</v>
      </c>
      <c r="AA62" s="67">
        <v>0</v>
      </c>
      <c r="AB62" s="67">
        <v>0</v>
      </c>
      <c r="AC62" s="67">
        <v>0</v>
      </c>
      <c r="AD62" s="67">
        <v>0</v>
      </c>
      <c r="AE62" s="67">
        <v>0</v>
      </c>
      <c r="AF62" s="67">
        <v>704.00000000000011</v>
      </c>
      <c r="AG62" s="67">
        <v>0</v>
      </c>
      <c r="AH62" s="67">
        <v>0</v>
      </c>
      <c r="AI62" s="67">
        <v>0</v>
      </c>
      <c r="AJ62" s="67">
        <v>0</v>
      </c>
      <c r="AK62" s="67">
        <v>0</v>
      </c>
      <c r="AL62" s="67">
        <v>0</v>
      </c>
      <c r="AM62" s="67">
        <v>0</v>
      </c>
      <c r="AN62" s="67">
        <v>0</v>
      </c>
      <c r="AO62" s="67">
        <v>0</v>
      </c>
      <c r="AP62" s="67">
        <v>0</v>
      </c>
      <c r="AQ62" s="67">
        <v>0</v>
      </c>
      <c r="AR62" s="67">
        <v>0</v>
      </c>
      <c r="AS62" s="67">
        <v>0</v>
      </c>
      <c r="AT62" s="67"/>
      <c r="AU62" s="67"/>
      <c r="AV62" s="67"/>
      <c r="AW62" s="67">
        <v>0</v>
      </c>
      <c r="AX62" s="67">
        <v>0</v>
      </c>
      <c r="AY62" s="67"/>
      <c r="AZ62" s="67"/>
      <c r="BA62" s="67"/>
      <c r="BB62" s="67"/>
      <c r="BC62" s="67"/>
      <c r="BD62" s="67"/>
      <c r="BE62" s="67"/>
      <c r="BG62" s="67"/>
      <c r="BH62" s="67"/>
      <c r="BI62" s="67"/>
      <c r="BJ62" s="67">
        <v>0</v>
      </c>
      <c r="BK62" s="67"/>
      <c r="BL62" s="67"/>
      <c r="BP62" s="67"/>
      <c r="BQ62" s="67">
        <v>0</v>
      </c>
      <c r="BR62" s="67"/>
      <c r="BS62" s="67"/>
      <c r="BT62" s="67">
        <v>0</v>
      </c>
      <c r="BU62" s="67"/>
      <c r="BV62" s="67"/>
      <c r="BW62" s="67">
        <v>0</v>
      </c>
      <c r="BX62" s="67">
        <v>0</v>
      </c>
      <c r="BY62" s="67">
        <v>0</v>
      </c>
      <c r="BZ62" s="67">
        <v>0</v>
      </c>
      <c r="CA62" s="67"/>
      <c r="CB62" s="67">
        <v>0</v>
      </c>
      <c r="CC62" s="67"/>
      <c r="CD62" s="67"/>
      <c r="CE62" s="67">
        <v>0</v>
      </c>
      <c r="CF62" s="67">
        <v>0</v>
      </c>
      <c r="CG62" s="67"/>
      <c r="CH62" s="67"/>
      <c r="CI62" s="67"/>
      <c r="CJ62" s="67"/>
      <c r="CK62" s="67">
        <v>0</v>
      </c>
      <c r="CL62" s="67">
        <v>0</v>
      </c>
      <c r="CM62" s="67"/>
      <c r="CN62" s="67"/>
      <c r="CO62" s="67">
        <v>0</v>
      </c>
      <c r="CP62" s="67">
        <v>0</v>
      </c>
      <c r="CQ62" s="67"/>
      <c r="CR62" s="67"/>
      <c r="CS62" s="67"/>
      <c r="CT62" s="67"/>
      <c r="CU62" s="67">
        <v>0</v>
      </c>
      <c r="CV62" s="67"/>
      <c r="CW62" s="67"/>
      <c r="CX62" s="67"/>
      <c r="CY62" s="67">
        <v>0</v>
      </c>
      <c r="CZ62" s="67"/>
      <c r="DA62" s="67"/>
      <c r="DB62" s="67"/>
      <c r="DC62" s="67"/>
      <c r="DF62" s="67"/>
      <c r="DG62" s="67">
        <v>0</v>
      </c>
      <c r="DH62" s="67">
        <v>0</v>
      </c>
      <c r="DI62" s="67">
        <v>0</v>
      </c>
      <c r="DJ62" s="67"/>
      <c r="DK62" s="67">
        <v>0</v>
      </c>
      <c r="DL62" s="67">
        <v>0</v>
      </c>
      <c r="DM62" s="67">
        <v>0</v>
      </c>
      <c r="DN62" s="67"/>
      <c r="DO62" s="67"/>
      <c r="DP62" s="67"/>
      <c r="DQ62" s="67">
        <v>0</v>
      </c>
      <c r="DR62" s="67">
        <v>0</v>
      </c>
      <c r="DS62" s="67"/>
      <c r="DT62" s="67"/>
      <c r="DU62" s="67">
        <v>0</v>
      </c>
      <c r="DV62" s="67">
        <v>0</v>
      </c>
      <c r="DW62" s="67">
        <v>0</v>
      </c>
      <c r="DX62" s="67">
        <v>0</v>
      </c>
      <c r="DY62" s="67"/>
      <c r="DZ62" s="67">
        <v>0</v>
      </c>
      <c r="EA62" s="67"/>
      <c r="EB62" s="67">
        <v>0</v>
      </c>
      <c r="EC62" s="67"/>
      <c r="ED62" s="67">
        <v>0</v>
      </c>
      <c r="EE62" s="67"/>
      <c r="EF62" s="67">
        <v>0</v>
      </c>
      <c r="EG62" s="67"/>
      <c r="EH62" s="67"/>
      <c r="EI62" s="67"/>
      <c r="EJ62" s="67"/>
      <c r="EK62" s="67"/>
      <c r="EL62" s="67"/>
      <c r="EM62" s="67"/>
      <c r="EN62" s="67"/>
      <c r="EO62" s="67"/>
      <c r="EP62" s="67">
        <v>0</v>
      </c>
      <c r="EQ62" s="67">
        <v>0</v>
      </c>
      <c r="ER62" s="67">
        <v>0</v>
      </c>
      <c r="ES62" s="67"/>
      <c r="ET62">
        <v>0</v>
      </c>
      <c r="EX62" s="67"/>
      <c r="EY62" s="67"/>
      <c r="EZ62" s="67"/>
      <c r="FA62" s="67">
        <v>704.00000000000011</v>
      </c>
      <c r="FB62" s="67"/>
      <c r="FC62" s="67"/>
      <c r="FD62" s="67"/>
      <c r="FE62" s="67"/>
      <c r="FF62" s="67"/>
      <c r="FG62" s="67"/>
      <c r="FH62" s="67"/>
      <c r="FI62" s="67" t="s">
        <v>1600</v>
      </c>
    </row>
    <row r="63" spans="2:165" ht="24" x14ac:dyDescent="0.2">
      <c r="B63" s="67" t="s">
        <v>389</v>
      </c>
      <c r="C63" s="67" t="s">
        <v>389</v>
      </c>
      <c r="D63" s="67" t="s">
        <v>390</v>
      </c>
      <c r="E63" s="67" t="s">
        <v>13</v>
      </c>
      <c r="F63" s="67" t="s">
        <v>933</v>
      </c>
      <c r="G63" s="67" t="s">
        <v>1597</v>
      </c>
      <c r="H63" s="67"/>
      <c r="I63" s="67" t="s">
        <v>22</v>
      </c>
      <c r="J63" s="67" t="s">
        <v>64</v>
      </c>
      <c r="K63" s="67" t="s">
        <v>1639</v>
      </c>
      <c r="L63" s="67" t="s">
        <v>787</v>
      </c>
      <c r="M63" s="67" t="s">
        <v>752</v>
      </c>
      <c r="N63" s="67" t="s">
        <v>1598</v>
      </c>
      <c r="O63" s="67" t="s">
        <v>1599</v>
      </c>
      <c r="P63" s="67"/>
      <c r="Q63" s="67">
        <v>652</v>
      </c>
      <c r="R63" s="67">
        <v>0</v>
      </c>
      <c r="S63" s="67">
        <v>0</v>
      </c>
      <c r="T63" s="67">
        <v>0</v>
      </c>
      <c r="U63" s="67">
        <v>0</v>
      </c>
      <c r="V63" s="67">
        <v>0</v>
      </c>
      <c r="W63" s="67">
        <v>0</v>
      </c>
      <c r="X63" s="67">
        <v>0</v>
      </c>
      <c r="Y63" s="67">
        <v>0</v>
      </c>
      <c r="Z63" s="67">
        <v>0</v>
      </c>
      <c r="AA63" s="67">
        <v>0</v>
      </c>
      <c r="AB63" s="67">
        <v>0</v>
      </c>
      <c r="AC63" s="67">
        <v>0</v>
      </c>
      <c r="AD63" s="67">
        <v>0</v>
      </c>
      <c r="AE63" s="67">
        <v>0</v>
      </c>
      <c r="AF63" s="67">
        <v>652</v>
      </c>
      <c r="AG63" s="67">
        <v>0</v>
      </c>
      <c r="AH63" s="67">
        <v>0</v>
      </c>
      <c r="AI63" s="67">
        <v>0</v>
      </c>
      <c r="AJ63" s="67">
        <v>0</v>
      </c>
      <c r="AK63" s="67">
        <v>0</v>
      </c>
      <c r="AL63" s="67">
        <v>0</v>
      </c>
      <c r="AM63" s="67">
        <v>0</v>
      </c>
      <c r="AN63" s="67">
        <v>0</v>
      </c>
      <c r="AO63" s="67">
        <v>0</v>
      </c>
      <c r="AP63" s="67">
        <v>0</v>
      </c>
      <c r="AQ63" s="67">
        <v>0</v>
      </c>
      <c r="AR63" s="67">
        <v>0</v>
      </c>
      <c r="AS63" s="67">
        <v>0</v>
      </c>
      <c r="AT63" s="67"/>
      <c r="AU63" s="67"/>
      <c r="AV63" s="67"/>
      <c r="AW63" s="67">
        <v>0</v>
      </c>
      <c r="AX63" s="67">
        <v>0</v>
      </c>
      <c r="AY63" s="67"/>
      <c r="AZ63" s="67"/>
      <c r="BA63" s="67"/>
      <c r="BB63" s="67"/>
      <c r="BC63" s="67"/>
      <c r="BD63" s="67"/>
      <c r="BE63" s="67"/>
      <c r="BG63" s="67"/>
      <c r="BH63" s="67"/>
      <c r="BI63" s="67"/>
      <c r="BJ63" s="67">
        <v>0</v>
      </c>
      <c r="BK63" s="67"/>
      <c r="BL63" s="67"/>
      <c r="BP63" s="67"/>
      <c r="BQ63" s="67">
        <v>0</v>
      </c>
      <c r="BR63" s="67"/>
      <c r="BS63" s="67"/>
      <c r="BT63" s="67">
        <v>0</v>
      </c>
      <c r="BU63" s="67"/>
      <c r="BV63" s="67"/>
      <c r="BW63" s="67">
        <v>0</v>
      </c>
      <c r="BX63" s="67">
        <v>0</v>
      </c>
      <c r="BY63" s="67">
        <v>0</v>
      </c>
      <c r="BZ63" s="67">
        <v>0</v>
      </c>
      <c r="CA63" s="67"/>
      <c r="CB63" s="67">
        <v>0</v>
      </c>
      <c r="CC63" s="67"/>
      <c r="CD63" s="67"/>
      <c r="CE63" s="67">
        <v>0</v>
      </c>
      <c r="CF63" s="67">
        <v>0</v>
      </c>
      <c r="CG63" s="67"/>
      <c r="CH63" s="67"/>
      <c r="CI63" s="67"/>
      <c r="CJ63" s="67"/>
      <c r="CK63" s="67">
        <v>0</v>
      </c>
      <c r="CL63" s="67">
        <v>0</v>
      </c>
      <c r="CM63" s="67"/>
      <c r="CN63" s="67"/>
      <c r="CO63" s="67">
        <v>0</v>
      </c>
      <c r="CP63" s="67">
        <v>0</v>
      </c>
      <c r="CQ63" s="67"/>
      <c r="CR63" s="67"/>
      <c r="CS63" s="67"/>
      <c r="CT63" s="67"/>
      <c r="CU63" s="67">
        <v>0</v>
      </c>
      <c r="CV63" s="67"/>
      <c r="CW63" s="67"/>
      <c r="CX63" s="67"/>
      <c r="CY63" s="67">
        <v>0</v>
      </c>
      <c r="CZ63" s="67"/>
      <c r="DA63" s="67"/>
      <c r="DB63" s="67"/>
      <c r="DC63" s="67"/>
      <c r="DF63" s="67"/>
      <c r="DG63" s="67">
        <v>0</v>
      </c>
      <c r="DH63" s="67">
        <v>0</v>
      </c>
      <c r="DI63" s="67">
        <v>0</v>
      </c>
      <c r="DJ63" s="67"/>
      <c r="DK63" s="67">
        <v>0</v>
      </c>
      <c r="DL63" s="67">
        <v>0</v>
      </c>
      <c r="DM63" s="67">
        <v>0</v>
      </c>
      <c r="DN63" s="67"/>
      <c r="DO63" s="67"/>
      <c r="DP63" s="67"/>
      <c r="DQ63" s="67">
        <v>0</v>
      </c>
      <c r="DR63" s="67">
        <v>0</v>
      </c>
      <c r="DS63" s="67"/>
      <c r="DT63" s="67"/>
      <c r="DU63" s="67">
        <v>0</v>
      </c>
      <c r="DV63" s="67">
        <v>0</v>
      </c>
      <c r="DW63" s="67">
        <v>0</v>
      </c>
      <c r="DX63" s="67">
        <v>0</v>
      </c>
      <c r="DY63" s="67"/>
      <c r="DZ63" s="67">
        <v>0</v>
      </c>
      <c r="EA63" s="67"/>
      <c r="EB63" s="67">
        <v>0</v>
      </c>
      <c r="EC63" s="67"/>
      <c r="ED63" s="67">
        <v>0</v>
      </c>
      <c r="EE63" s="67"/>
      <c r="EF63" s="67">
        <v>0</v>
      </c>
      <c r="EG63" s="67"/>
      <c r="EH63" s="67"/>
      <c r="EI63" s="67"/>
      <c r="EJ63" s="67"/>
      <c r="EK63" s="67"/>
      <c r="EL63" s="67"/>
      <c r="EM63" s="67"/>
      <c r="EN63" s="67"/>
      <c r="EO63" s="67"/>
      <c r="EP63" s="67">
        <v>0</v>
      </c>
      <c r="EQ63" s="67">
        <v>0</v>
      </c>
      <c r="ER63" s="67">
        <v>0</v>
      </c>
      <c r="ES63" s="67"/>
      <c r="ET63">
        <v>0</v>
      </c>
      <c r="EX63" s="67"/>
      <c r="EY63" s="67"/>
      <c r="EZ63" s="67"/>
      <c r="FA63" s="67">
        <v>652</v>
      </c>
      <c r="FB63" s="67"/>
      <c r="FC63" s="67"/>
      <c r="FD63" s="67"/>
      <c r="FE63" s="67"/>
      <c r="FF63" s="67"/>
      <c r="FG63" s="67"/>
      <c r="FH63" s="67"/>
      <c r="FI63" s="67" t="s">
        <v>1600</v>
      </c>
    </row>
    <row r="64" spans="2:165" ht="24" x14ac:dyDescent="0.2">
      <c r="B64" s="67" t="s">
        <v>391</v>
      </c>
      <c r="C64" s="67" t="s">
        <v>391</v>
      </c>
      <c r="D64" s="67" t="s">
        <v>392</v>
      </c>
      <c r="E64" s="67" t="s">
        <v>13</v>
      </c>
      <c r="F64" s="67" t="s">
        <v>933</v>
      </c>
      <c r="G64" s="67" t="s">
        <v>1597</v>
      </c>
      <c r="H64" s="67"/>
      <c r="I64" s="67" t="s">
        <v>41</v>
      </c>
      <c r="J64" s="67" t="s">
        <v>64</v>
      </c>
      <c r="K64" s="67" t="s">
        <v>1639</v>
      </c>
      <c r="L64" s="67" t="s">
        <v>787</v>
      </c>
      <c r="M64" s="67" t="s">
        <v>752</v>
      </c>
      <c r="N64" s="67" t="s">
        <v>1598</v>
      </c>
      <c r="O64" s="67" t="s">
        <v>1599</v>
      </c>
      <c r="P64" s="67"/>
      <c r="Q64" s="67">
        <v>282.5</v>
      </c>
      <c r="R64" s="67">
        <v>0</v>
      </c>
      <c r="S64" s="67">
        <v>0</v>
      </c>
      <c r="T64" s="67">
        <v>0</v>
      </c>
      <c r="U64" s="67">
        <v>0</v>
      </c>
      <c r="V64" s="67">
        <v>0</v>
      </c>
      <c r="W64" s="67">
        <v>0</v>
      </c>
      <c r="X64" s="67">
        <v>0</v>
      </c>
      <c r="Y64" s="67">
        <v>0</v>
      </c>
      <c r="Z64" s="67">
        <v>0</v>
      </c>
      <c r="AA64" s="67">
        <v>0</v>
      </c>
      <c r="AB64" s="67">
        <v>0</v>
      </c>
      <c r="AC64" s="67">
        <v>0</v>
      </c>
      <c r="AD64" s="67">
        <v>0</v>
      </c>
      <c r="AE64" s="67">
        <v>0</v>
      </c>
      <c r="AF64" s="67">
        <v>282.5</v>
      </c>
      <c r="AG64" s="67">
        <v>0</v>
      </c>
      <c r="AH64" s="67">
        <v>0</v>
      </c>
      <c r="AI64" s="67">
        <v>0</v>
      </c>
      <c r="AJ64" s="67">
        <v>0</v>
      </c>
      <c r="AK64" s="67">
        <v>0</v>
      </c>
      <c r="AL64" s="67">
        <v>0</v>
      </c>
      <c r="AM64" s="67">
        <v>0</v>
      </c>
      <c r="AN64" s="67">
        <v>0</v>
      </c>
      <c r="AO64" s="67">
        <v>0</v>
      </c>
      <c r="AP64" s="67">
        <v>0</v>
      </c>
      <c r="AQ64" s="67">
        <v>0</v>
      </c>
      <c r="AR64" s="67">
        <v>0</v>
      </c>
      <c r="AS64" s="67">
        <v>0</v>
      </c>
      <c r="AT64" s="67"/>
      <c r="AU64" s="67"/>
      <c r="AV64" s="67"/>
      <c r="AW64" s="67">
        <v>0</v>
      </c>
      <c r="AX64" s="67">
        <v>0</v>
      </c>
      <c r="AY64" s="67"/>
      <c r="AZ64" s="67"/>
      <c r="BA64" s="67"/>
      <c r="BB64" s="67"/>
      <c r="BC64" s="67"/>
      <c r="BD64" s="67"/>
      <c r="BE64" s="67"/>
      <c r="BG64" s="67"/>
      <c r="BH64" s="67"/>
      <c r="BI64" s="67"/>
      <c r="BJ64" s="67">
        <v>0</v>
      </c>
      <c r="BK64" s="67"/>
      <c r="BL64" s="67"/>
      <c r="BP64" s="67"/>
      <c r="BQ64" s="67">
        <v>0</v>
      </c>
      <c r="BR64" s="67"/>
      <c r="BS64" s="67"/>
      <c r="BT64" s="67">
        <v>0</v>
      </c>
      <c r="BU64" s="67"/>
      <c r="BV64" s="67"/>
      <c r="BW64" s="67">
        <v>0</v>
      </c>
      <c r="BX64" s="67">
        <v>0</v>
      </c>
      <c r="BY64" s="67">
        <v>0</v>
      </c>
      <c r="BZ64" s="67">
        <v>0</v>
      </c>
      <c r="CA64" s="67"/>
      <c r="CB64" s="67">
        <v>0</v>
      </c>
      <c r="CC64" s="67"/>
      <c r="CD64" s="67"/>
      <c r="CE64" s="67">
        <v>0</v>
      </c>
      <c r="CF64" s="67">
        <v>0</v>
      </c>
      <c r="CG64" s="67"/>
      <c r="CH64" s="67"/>
      <c r="CI64" s="67"/>
      <c r="CJ64" s="67"/>
      <c r="CK64" s="67">
        <v>0</v>
      </c>
      <c r="CL64" s="67">
        <v>0</v>
      </c>
      <c r="CM64" s="67"/>
      <c r="CN64" s="67"/>
      <c r="CO64" s="67">
        <v>0</v>
      </c>
      <c r="CP64" s="67">
        <v>0</v>
      </c>
      <c r="CQ64" s="67"/>
      <c r="CR64" s="67"/>
      <c r="CS64" s="67"/>
      <c r="CT64" s="67"/>
      <c r="CU64" s="67">
        <v>0</v>
      </c>
      <c r="CV64" s="67"/>
      <c r="CW64" s="67"/>
      <c r="CX64" s="67"/>
      <c r="CY64" s="67">
        <v>0</v>
      </c>
      <c r="CZ64" s="67"/>
      <c r="DA64" s="67"/>
      <c r="DB64" s="67"/>
      <c r="DC64" s="67"/>
      <c r="DF64" s="67"/>
      <c r="DG64" s="67">
        <v>0</v>
      </c>
      <c r="DH64" s="67">
        <v>0</v>
      </c>
      <c r="DI64" s="67">
        <v>0</v>
      </c>
      <c r="DJ64" s="67"/>
      <c r="DK64" s="67">
        <v>0</v>
      </c>
      <c r="DL64" s="67">
        <v>0</v>
      </c>
      <c r="DM64" s="67">
        <v>0</v>
      </c>
      <c r="DN64" s="67"/>
      <c r="DO64" s="67"/>
      <c r="DP64" s="67"/>
      <c r="DQ64" s="67">
        <v>0</v>
      </c>
      <c r="DR64" s="67">
        <v>0</v>
      </c>
      <c r="DS64" s="67"/>
      <c r="DT64" s="67"/>
      <c r="DU64" s="67">
        <v>0</v>
      </c>
      <c r="DV64" s="67">
        <v>0</v>
      </c>
      <c r="DW64" s="67">
        <v>0</v>
      </c>
      <c r="DX64" s="67">
        <v>0</v>
      </c>
      <c r="DY64" s="67"/>
      <c r="DZ64" s="67">
        <v>0</v>
      </c>
      <c r="EA64" s="67"/>
      <c r="EB64" s="67">
        <v>0</v>
      </c>
      <c r="EC64" s="67"/>
      <c r="ED64" s="67">
        <v>0</v>
      </c>
      <c r="EE64" s="67"/>
      <c r="EF64" s="67">
        <v>0</v>
      </c>
      <c r="EG64" s="67"/>
      <c r="EH64" s="67"/>
      <c r="EI64" s="67"/>
      <c r="EJ64" s="67"/>
      <c r="EK64" s="67"/>
      <c r="EL64" s="67"/>
      <c r="EM64" s="67"/>
      <c r="EN64" s="67"/>
      <c r="EO64" s="67"/>
      <c r="EP64" s="67">
        <v>0</v>
      </c>
      <c r="EQ64" s="67">
        <v>0</v>
      </c>
      <c r="ER64" s="67">
        <v>0</v>
      </c>
      <c r="ES64" s="67"/>
      <c r="ET64">
        <v>0</v>
      </c>
      <c r="EX64" s="67"/>
      <c r="EY64" s="67"/>
      <c r="EZ64" s="67"/>
      <c r="FA64" s="67">
        <v>282.5</v>
      </c>
      <c r="FB64" s="67"/>
      <c r="FC64" s="67"/>
      <c r="FD64" s="67"/>
      <c r="FE64" s="67"/>
      <c r="FF64" s="67"/>
      <c r="FG64" s="67"/>
      <c r="FH64" s="67"/>
      <c r="FI64" s="67" t="s">
        <v>1600</v>
      </c>
    </row>
    <row r="65" spans="2:165" x14ac:dyDescent="0.2">
      <c r="B65" s="67"/>
      <c r="C65" s="67" t="s">
        <v>1640</v>
      </c>
      <c r="D65" s="67" t="s">
        <v>393</v>
      </c>
      <c r="E65" s="67" t="s">
        <v>35</v>
      </c>
      <c r="F65" s="67" t="s">
        <v>1641</v>
      </c>
      <c r="G65" s="67" t="s">
        <v>345</v>
      </c>
      <c r="H65" s="67"/>
      <c r="I65" s="67" t="s">
        <v>41</v>
      </c>
      <c r="J65" s="67" t="s">
        <v>68</v>
      </c>
      <c r="K65" s="67" t="s">
        <v>1059</v>
      </c>
      <c r="L65" s="67" t="s">
        <v>1242</v>
      </c>
      <c r="M65" s="67" t="s">
        <v>752</v>
      </c>
      <c r="N65" s="67" t="s">
        <v>1598</v>
      </c>
      <c r="O65" s="67" t="s">
        <v>1599</v>
      </c>
      <c r="P65" s="67"/>
      <c r="Q65" s="67">
        <v>720</v>
      </c>
      <c r="R65" s="67">
        <v>0</v>
      </c>
      <c r="S65" s="67">
        <v>0</v>
      </c>
      <c r="T65" s="67">
        <v>0</v>
      </c>
      <c r="U65" s="67">
        <v>0</v>
      </c>
      <c r="V65" s="67">
        <v>0</v>
      </c>
      <c r="W65" s="67">
        <v>0</v>
      </c>
      <c r="X65" s="67">
        <v>0</v>
      </c>
      <c r="Y65" s="67">
        <v>0</v>
      </c>
      <c r="Z65" s="67">
        <v>0</v>
      </c>
      <c r="AA65" s="67">
        <v>0</v>
      </c>
      <c r="AB65" s="67">
        <v>0</v>
      </c>
      <c r="AC65" s="67">
        <v>0</v>
      </c>
      <c r="AD65" s="67">
        <v>0</v>
      </c>
      <c r="AE65" s="67">
        <v>0</v>
      </c>
      <c r="AF65" s="67">
        <v>0</v>
      </c>
      <c r="AG65" s="67">
        <v>0</v>
      </c>
      <c r="AH65" s="67">
        <v>0</v>
      </c>
      <c r="AI65" s="67">
        <v>0</v>
      </c>
      <c r="AJ65" s="67">
        <v>0</v>
      </c>
      <c r="AK65" s="67">
        <v>0</v>
      </c>
      <c r="AL65" s="67">
        <v>0</v>
      </c>
      <c r="AM65" s="67">
        <v>0</v>
      </c>
      <c r="AN65" s="67">
        <v>400</v>
      </c>
      <c r="AO65" s="67">
        <v>320</v>
      </c>
      <c r="AP65" s="67">
        <v>0</v>
      </c>
      <c r="AQ65" s="67">
        <v>0</v>
      </c>
      <c r="AR65" s="67">
        <v>0</v>
      </c>
      <c r="AS65" s="67">
        <v>0</v>
      </c>
      <c r="AT65" s="67"/>
      <c r="AU65" s="67"/>
      <c r="AV65" s="67"/>
      <c r="AW65" s="67">
        <v>0</v>
      </c>
      <c r="AX65" s="67">
        <v>0</v>
      </c>
      <c r="AY65" s="67"/>
      <c r="AZ65" s="67"/>
      <c r="BA65" s="67"/>
      <c r="BB65" s="67"/>
      <c r="BC65" s="67"/>
      <c r="BD65" s="67"/>
      <c r="BE65" s="67"/>
      <c r="BG65" s="67"/>
      <c r="BH65" s="67"/>
      <c r="BI65" s="67"/>
      <c r="BJ65" s="67">
        <v>0</v>
      </c>
      <c r="BK65" s="67"/>
      <c r="BL65" s="67"/>
      <c r="BP65" s="67"/>
      <c r="BQ65" s="67">
        <v>0</v>
      </c>
      <c r="BR65" s="67"/>
      <c r="BS65" s="67"/>
      <c r="BT65" s="67">
        <v>0</v>
      </c>
      <c r="BU65" s="67"/>
      <c r="BV65" s="67"/>
      <c r="BW65" s="67">
        <v>0</v>
      </c>
      <c r="BX65" s="67">
        <v>0</v>
      </c>
      <c r="BY65" s="67">
        <v>0</v>
      </c>
      <c r="BZ65" s="67">
        <v>0</v>
      </c>
      <c r="CA65" s="67"/>
      <c r="CB65" s="67">
        <v>0</v>
      </c>
      <c r="CC65" s="67"/>
      <c r="CD65" s="67"/>
      <c r="CE65" s="67">
        <v>0</v>
      </c>
      <c r="CF65" s="67">
        <v>0</v>
      </c>
      <c r="CG65" s="67"/>
      <c r="CH65" s="67"/>
      <c r="CI65" s="67"/>
      <c r="CJ65" s="67"/>
      <c r="CK65" s="67">
        <v>0</v>
      </c>
      <c r="CL65" s="67">
        <v>0</v>
      </c>
      <c r="CM65" s="67"/>
      <c r="CN65" s="67"/>
      <c r="CO65" s="67">
        <v>0</v>
      </c>
      <c r="CP65" s="67">
        <v>0</v>
      </c>
      <c r="CQ65" s="67"/>
      <c r="CR65" s="67"/>
      <c r="CS65" s="67"/>
      <c r="CT65" s="67"/>
      <c r="CU65" s="67">
        <v>0</v>
      </c>
      <c r="CV65" s="67"/>
      <c r="CW65" s="67"/>
      <c r="CX65" s="67"/>
      <c r="CY65" s="67">
        <v>0</v>
      </c>
      <c r="CZ65" s="67"/>
      <c r="DA65" s="67"/>
      <c r="DB65" s="67"/>
      <c r="DC65" s="67"/>
      <c r="DF65" s="67"/>
      <c r="DG65" s="67">
        <v>0</v>
      </c>
      <c r="DH65" s="67">
        <v>0</v>
      </c>
      <c r="DI65" s="67">
        <v>0</v>
      </c>
      <c r="DJ65" s="67"/>
      <c r="DK65" s="67">
        <v>0</v>
      </c>
      <c r="DL65" s="67">
        <v>0</v>
      </c>
      <c r="DM65" s="67">
        <v>0</v>
      </c>
      <c r="DN65" s="67"/>
      <c r="DO65" s="67"/>
      <c r="DP65" s="67"/>
      <c r="DQ65" s="67">
        <v>0</v>
      </c>
      <c r="DR65" s="67">
        <v>0</v>
      </c>
      <c r="DS65" s="67"/>
      <c r="DT65" s="67"/>
      <c r="DU65" s="67">
        <v>0</v>
      </c>
      <c r="DV65" s="67">
        <v>0</v>
      </c>
      <c r="DW65" s="67">
        <v>0</v>
      </c>
      <c r="DX65" s="67">
        <v>0</v>
      </c>
      <c r="DY65" s="67"/>
      <c r="DZ65" s="67">
        <v>0</v>
      </c>
      <c r="EA65" s="67"/>
      <c r="EB65" s="67">
        <v>0</v>
      </c>
      <c r="EC65" s="67"/>
      <c r="ED65" s="67">
        <v>0</v>
      </c>
      <c r="EE65" s="67"/>
      <c r="EF65" s="67">
        <v>0</v>
      </c>
      <c r="EG65" s="67"/>
      <c r="EH65" s="67"/>
      <c r="EI65" s="67"/>
      <c r="EJ65" s="67"/>
      <c r="EK65" s="67"/>
      <c r="EL65" s="67"/>
      <c r="EM65" s="67"/>
      <c r="EN65" s="67"/>
      <c r="EO65" s="67"/>
      <c r="EP65" s="67">
        <v>0</v>
      </c>
      <c r="EQ65" s="67">
        <v>0</v>
      </c>
      <c r="ER65" s="67">
        <v>0</v>
      </c>
      <c r="ES65" s="67"/>
      <c r="ET65">
        <v>0</v>
      </c>
      <c r="EX65" s="67"/>
      <c r="EY65" s="67"/>
      <c r="EZ65" s="67"/>
      <c r="FA65" s="67">
        <v>720</v>
      </c>
      <c r="FB65" s="67"/>
      <c r="FC65" s="67"/>
      <c r="FD65" s="67"/>
      <c r="FE65" s="67"/>
      <c r="FF65" s="67"/>
      <c r="FG65" s="67"/>
      <c r="FH65" s="67"/>
      <c r="FI65" s="67" t="s">
        <v>1600</v>
      </c>
    </row>
    <row r="66" spans="2:165" ht="24" x14ac:dyDescent="0.2">
      <c r="B66" s="67" t="s">
        <v>305</v>
      </c>
      <c r="C66" s="67" t="s">
        <v>1642</v>
      </c>
      <c r="D66" s="67" t="s">
        <v>394</v>
      </c>
      <c r="E66" s="67" t="s">
        <v>13</v>
      </c>
      <c r="F66" s="67" t="s">
        <v>750</v>
      </c>
      <c r="G66" s="67" t="s">
        <v>345</v>
      </c>
      <c r="H66" s="67"/>
      <c r="I66" s="67" t="s">
        <v>41</v>
      </c>
      <c r="J66" s="67" t="s">
        <v>64</v>
      </c>
      <c r="K66" s="67" t="s">
        <v>1622</v>
      </c>
      <c r="L66" s="67" t="s">
        <v>787</v>
      </c>
      <c r="M66" s="67" t="s">
        <v>1615</v>
      </c>
      <c r="N66" s="67" t="s">
        <v>1598</v>
      </c>
      <c r="O66" s="67" t="s">
        <v>1608</v>
      </c>
      <c r="P66" s="67"/>
      <c r="Q66" s="67">
        <v>0</v>
      </c>
      <c r="R66" s="67">
        <v>0</v>
      </c>
      <c r="S66" s="67">
        <v>0</v>
      </c>
      <c r="T66" s="67">
        <v>0</v>
      </c>
      <c r="U66" s="67">
        <v>0</v>
      </c>
      <c r="V66" s="67">
        <v>0</v>
      </c>
      <c r="W66" s="67">
        <v>0</v>
      </c>
      <c r="X66" s="67">
        <v>0</v>
      </c>
      <c r="Y66" s="67">
        <v>0</v>
      </c>
      <c r="Z66" s="67">
        <v>0</v>
      </c>
      <c r="AA66" s="67">
        <v>0</v>
      </c>
      <c r="AB66" s="67">
        <v>0</v>
      </c>
      <c r="AC66" s="67">
        <v>0</v>
      </c>
      <c r="AD66" s="67">
        <v>0</v>
      </c>
      <c r="AE66" s="67">
        <v>0</v>
      </c>
      <c r="AF66" s="67">
        <v>0</v>
      </c>
      <c r="AG66" s="67">
        <v>0</v>
      </c>
      <c r="AH66" s="67">
        <v>0</v>
      </c>
      <c r="AI66" s="67">
        <v>0</v>
      </c>
      <c r="AJ66" s="67">
        <v>0</v>
      </c>
      <c r="AK66" s="67">
        <v>0</v>
      </c>
      <c r="AL66" s="67">
        <v>0</v>
      </c>
      <c r="AM66" s="67">
        <v>0</v>
      </c>
      <c r="AN66" s="67">
        <v>0</v>
      </c>
      <c r="AO66" s="67">
        <v>0</v>
      </c>
      <c r="AP66" s="67">
        <v>0</v>
      </c>
      <c r="AQ66" s="67">
        <v>0</v>
      </c>
      <c r="AR66" s="67">
        <v>0</v>
      </c>
      <c r="AS66" s="67">
        <v>0</v>
      </c>
      <c r="AT66" s="67"/>
      <c r="AU66" s="67"/>
      <c r="AV66" s="67"/>
      <c r="AW66" s="67">
        <v>0</v>
      </c>
      <c r="AX66" s="67">
        <v>0</v>
      </c>
      <c r="AY66" s="67"/>
      <c r="AZ66" s="67"/>
      <c r="BA66" s="67"/>
      <c r="BB66" s="67"/>
      <c r="BC66" s="67"/>
      <c r="BD66" s="67"/>
      <c r="BE66" s="67"/>
      <c r="BG66" s="67"/>
      <c r="BH66" s="67"/>
      <c r="BI66" s="67"/>
      <c r="BJ66" s="67">
        <v>0</v>
      </c>
      <c r="BK66" s="67"/>
      <c r="BL66" s="67"/>
      <c r="BP66" s="67"/>
      <c r="BQ66" s="67">
        <v>0</v>
      </c>
      <c r="BR66" s="67"/>
      <c r="BS66" s="67"/>
      <c r="BT66" s="67">
        <v>0</v>
      </c>
      <c r="BU66" s="67"/>
      <c r="BV66" s="67"/>
      <c r="BW66" s="67">
        <v>0</v>
      </c>
      <c r="BX66" s="67">
        <v>0</v>
      </c>
      <c r="BY66" s="67">
        <v>0</v>
      </c>
      <c r="BZ66" s="67">
        <v>0</v>
      </c>
      <c r="CA66" s="67"/>
      <c r="CB66" s="67">
        <v>0</v>
      </c>
      <c r="CC66" s="67"/>
      <c r="CD66" s="67"/>
      <c r="CE66" s="67">
        <v>0</v>
      </c>
      <c r="CF66" s="67">
        <v>0</v>
      </c>
      <c r="CG66" s="67"/>
      <c r="CH66" s="67"/>
      <c r="CI66" s="67"/>
      <c r="CJ66" s="67"/>
      <c r="CK66" s="67">
        <v>0</v>
      </c>
      <c r="CL66" s="67">
        <v>0</v>
      </c>
      <c r="CM66" s="67"/>
      <c r="CN66" s="67"/>
      <c r="CO66" s="67">
        <v>0</v>
      </c>
      <c r="CP66" s="67">
        <v>0</v>
      </c>
      <c r="CQ66" s="67"/>
      <c r="CR66" s="67"/>
      <c r="CS66" s="67"/>
      <c r="CT66" s="67"/>
      <c r="CU66" s="67">
        <v>0</v>
      </c>
      <c r="CV66" s="67"/>
      <c r="CW66" s="67"/>
      <c r="CX66" s="67"/>
      <c r="CY66" s="67">
        <v>0</v>
      </c>
      <c r="CZ66" s="67"/>
      <c r="DA66" s="67"/>
      <c r="DB66" s="67"/>
      <c r="DC66" s="67"/>
      <c r="DF66" s="67"/>
      <c r="DG66" s="67">
        <v>0</v>
      </c>
      <c r="DH66" s="67">
        <v>0</v>
      </c>
      <c r="DI66" s="67">
        <v>0</v>
      </c>
      <c r="DJ66" s="67"/>
      <c r="DK66" s="67">
        <v>0</v>
      </c>
      <c r="DL66" s="67">
        <v>0</v>
      </c>
      <c r="DM66" s="67">
        <v>0</v>
      </c>
      <c r="DN66" s="67"/>
      <c r="DO66" s="67"/>
      <c r="DP66" s="67"/>
      <c r="DQ66" s="67">
        <v>0</v>
      </c>
      <c r="DR66" s="67">
        <v>0</v>
      </c>
      <c r="DS66" s="67"/>
      <c r="DT66" s="67"/>
      <c r="DU66" s="67">
        <v>0</v>
      </c>
      <c r="DV66" s="67">
        <v>0</v>
      </c>
      <c r="DW66" s="67">
        <v>0</v>
      </c>
      <c r="DX66" s="67">
        <v>0</v>
      </c>
      <c r="DY66" s="67"/>
      <c r="DZ66" s="67">
        <v>0</v>
      </c>
      <c r="EA66" s="67"/>
      <c r="EB66" s="67">
        <v>0</v>
      </c>
      <c r="EC66" s="67"/>
      <c r="ED66" s="67">
        <v>0</v>
      </c>
      <c r="EE66" s="67"/>
      <c r="EF66" s="67">
        <v>0</v>
      </c>
      <c r="EG66" s="67"/>
      <c r="EH66" s="67"/>
      <c r="EI66" s="67"/>
      <c r="EJ66" s="67"/>
      <c r="EK66" s="67"/>
      <c r="EL66" s="67"/>
      <c r="EM66" s="67"/>
      <c r="EN66" s="67"/>
      <c r="EO66" s="67"/>
      <c r="EP66" s="67">
        <v>0</v>
      </c>
      <c r="EQ66" s="67">
        <v>0</v>
      </c>
      <c r="ER66" s="67">
        <v>0</v>
      </c>
      <c r="ES66" s="67"/>
      <c r="ET66">
        <v>0</v>
      </c>
      <c r="EX66" s="67"/>
      <c r="EY66" s="67"/>
      <c r="EZ66" s="67"/>
      <c r="FA66" s="67">
        <v>0</v>
      </c>
      <c r="FB66" s="67"/>
      <c r="FC66" s="67"/>
      <c r="FD66" s="67"/>
      <c r="FE66" s="67"/>
      <c r="FF66" s="67"/>
      <c r="FG66" s="67"/>
      <c r="FH66" s="67"/>
      <c r="FI66" s="67" t="s">
        <v>1600</v>
      </c>
    </row>
    <row r="67" spans="2:165" x14ac:dyDescent="0.2">
      <c r="B67" s="67" t="s">
        <v>395</v>
      </c>
      <c r="C67" s="67" t="s">
        <v>395</v>
      </c>
      <c r="D67" s="67" t="s">
        <v>396</v>
      </c>
      <c r="E67" s="67" t="s">
        <v>23</v>
      </c>
      <c r="F67" s="67" t="s">
        <v>1641</v>
      </c>
      <c r="G67" s="67" t="s">
        <v>1597</v>
      </c>
      <c r="H67" s="67"/>
      <c r="I67" s="67" t="s">
        <v>41</v>
      </c>
      <c r="J67" s="67" t="s">
        <v>68</v>
      </c>
      <c r="K67" s="67" t="s">
        <v>1059</v>
      </c>
      <c r="L67" s="67" t="s">
        <v>1242</v>
      </c>
      <c r="M67" s="67" t="s">
        <v>752</v>
      </c>
      <c r="N67" s="67" t="s">
        <v>1598</v>
      </c>
      <c r="O67" s="67" t="s">
        <v>1599</v>
      </c>
      <c r="P67" s="67"/>
      <c r="Q67" s="67">
        <v>600</v>
      </c>
      <c r="R67" s="67">
        <v>0</v>
      </c>
      <c r="S67" s="67">
        <v>0</v>
      </c>
      <c r="T67" s="67">
        <v>0</v>
      </c>
      <c r="U67" s="67">
        <v>0</v>
      </c>
      <c r="V67" s="67">
        <v>0</v>
      </c>
      <c r="W67" s="67">
        <v>0</v>
      </c>
      <c r="X67" s="67">
        <v>0</v>
      </c>
      <c r="Y67" s="67">
        <v>0</v>
      </c>
      <c r="Z67" s="67">
        <v>0</v>
      </c>
      <c r="AA67" s="67">
        <v>0</v>
      </c>
      <c r="AB67" s="67">
        <v>0</v>
      </c>
      <c r="AC67" s="67">
        <v>0</v>
      </c>
      <c r="AD67" s="67">
        <v>0</v>
      </c>
      <c r="AE67" s="67">
        <v>0</v>
      </c>
      <c r="AF67" s="67">
        <v>0</v>
      </c>
      <c r="AG67" s="67">
        <v>0</v>
      </c>
      <c r="AH67" s="67">
        <v>0</v>
      </c>
      <c r="AI67" s="67">
        <v>0</v>
      </c>
      <c r="AJ67" s="67">
        <v>0</v>
      </c>
      <c r="AK67" s="67">
        <v>0</v>
      </c>
      <c r="AL67" s="67">
        <v>0</v>
      </c>
      <c r="AM67" s="67">
        <v>0</v>
      </c>
      <c r="AN67" s="67">
        <v>0</v>
      </c>
      <c r="AO67" s="67">
        <v>600</v>
      </c>
      <c r="AP67" s="67">
        <v>0</v>
      </c>
      <c r="AQ67" s="67">
        <v>0</v>
      </c>
      <c r="AR67" s="67">
        <v>0</v>
      </c>
      <c r="AS67" s="67">
        <v>0</v>
      </c>
      <c r="AT67" s="67"/>
      <c r="AU67" s="67"/>
      <c r="AV67" s="67"/>
      <c r="AW67" s="67">
        <v>0</v>
      </c>
      <c r="AX67" s="67">
        <v>0</v>
      </c>
      <c r="AY67" s="67"/>
      <c r="AZ67" s="67"/>
      <c r="BA67" s="67"/>
      <c r="BB67" s="67"/>
      <c r="BC67" s="67"/>
      <c r="BD67" s="67"/>
      <c r="BE67" s="67"/>
      <c r="BG67" s="67"/>
      <c r="BH67" s="67"/>
      <c r="BI67" s="67"/>
      <c r="BJ67" s="67">
        <v>0</v>
      </c>
      <c r="BK67" s="67"/>
      <c r="BL67" s="67"/>
      <c r="BP67" s="67"/>
      <c r="BQ67" s="67">
        <v>0</v>
      </c>
      <c r="BR67" s="67"/>
      <c r="BS67" s="67"/>
      <c r="BT67" s="67">
        <v>0</v>
      </c>
      <c r="BU67" s="67"/>
      <c r="BV67" s="67"/>
      <c r="BW67" s="67">
        <v>0</v>
      </c>
      <c r="BX67" s="67">
        <v>0</v>
      </c>
      <c r="BY67" s="67">
        <v>0</v>
      </c>
      <c r="BZ67" s="67">
        <v>0</v>
      </c>
      <c r="CA67" s="67"/>
      <c r="CB67" s="67">
        <v>0</v>
      </c>
      <c r="CC67" s="67"/>
      <c r="CD67" s="67"/>
      <c r="CE67" s="67">
        <v>0</v>
      </c>
      <c r="CF67" s="67">
        <v>0</v>
      </c>
      <c r="CG67" s="67"/>
      <c r="CH67" s="67"/>
      <c r="CI67" s="67"/>
      <c r="CJ67" s="67"/>
      <c r="CK67" s="67">
        <v>0</v>
      </c>
      <c r="CL67" s="67">
        <v>0</v>
      </c>
      <c r="CM67" s="67"/>
      <c r="CN67" s="67"/>
      <c r="CO67" s="67">
        <v>0</v>
      </c>
      <c r="CP67" s="67">
        <v>0</v>
      </c>
      <c r="CQ67" s="67"/>
      <c r="CR67" s="67"/>
      <c r="CS67" s="67"/>
      <c r="CT67" s="67"/>
      <c r="CU67" s="67">
        <v>0</v>
      </c>
      <c r="CV67" s="67"/>
      <c r="CW67" s="67"/>
      <c r="CX67" s="67"/>
      <c r="CY67" s="67">
        <v>0</v>
      </c>
      <c r="CZ67" s="67"/>
      <c r="DA67" s="67"/>
      <c r="DB67" s="67"/>
      <c r="DC67" s="67"/>
      <c r="DF67" s="67"/>
      <c r="DG67" s="67">
        <v>0</v>
      </c>
      <c r="DH67" s="67">
        <v>0</v>
      </c>
      <c r="DI67" s="67">
        <v>0</v>
      </c>
      <c r="DJ67" s="67"/>
      <c r="DK67" s="67">
        <v>0</v>
      </c>
      <c r="DL67" s="67">
        <v>0</v>
      </c>
      <c r="DM67" s="67">
        <v>0</v>
      </c>
      <c r="DN67" s="67"/>
      <c r="DO67" s="67"/>
      <c r="DP67" s="67"/>
      <c r="DQ67" s="67">
        <v>0</v>
      </c>
      <c r="DR67" s="67">
        <v>0</v>
      </c>
      <c r="DS67" s="67"/>
      <c r="DT67" s="67"/>
      <c r="DU67" s="67">
        <v>0</v>
      </c>
      <c r="DV67" s="67">
        <v>0</v>
      </c>
      <c r="DW67" s="67">
        <v>0</v>
      </c>
      <c r="DX67" s="67">
        <v>0</v>
      </c>
      <c r="DY67" s="67"/>
      <c r="DZ67" s="67">
        <v>0</v>
      </c>
      <c r="EA67" s="67"/>
      <c r="EB67" s="67">
        <v>0</v>
      </c>
      <c r="EC67" s="67"/>
      <c r="ED67" s="67">
        <v>0</v>
      </c>
      <c r="EE67" s="67"/>
      <c r="EF67" s="67">
        <v>0</v>
      </c>
      <c r="EG67" s="67"/>
      <c r="EH67" s="67"/>
      <c r="EI67" s="67"/>
      <c r="EJ67" s="67"/>
      <c r="EK67" s="67"/>
      <c r="EL67" s="67"/>
      <c r="EM67" s="67"/>
      <c r="EN67" s="67"/>
      <c r="EO67" s="67"/>
      <c r="EP67" s="67">
        <v>0</v>
      </c>
      <c r="EQ67" s="67">
        <v>0</v>
      </c>
      <c r="ER67" s="67">
        <v>0</v>
      </c>
      <c r="ES67" s="67"/>
      <c r="ET67">
        <v>0</v>
      </c>
      <c r="EX67" s="67"/>
      <c r="EY67" s="67"/>
      <c r="EZ67" s="67"/>
      <c r="FA67" s="67">
        <v>600</v>
      </c>
      <c r="FB67" s="67"/>
      <c r="FC67" s="67"/>
      <c r="FD67" s="67"/>
      <c r="FE67" s="67"/>
      <c r="FF67" s="67"/>
      <c r="FG67" s="67"/>
      <c r="FH67" s="67"/>
      <c r="FI67" s="67" t="s">
        <v>1600</v>
      </c>
    </row>
    <row r="68" spans="2:165" x14ac:dyDescent="0.2">
      <c r="B68" s="67" t="s">
        <v>397</v>
      </c>
      <c r="C68" s="67" t="s">
        <v>397</v>
      </c>
      <c r="D68" s="67" t="s">
        <v>398</v>
      </c>
      <c r="E68" s="67" t="s">
        <v>23</v>
      </c>
      <c r="F68" s="67" t="s">
        <v>766</v>
      </c>
      <c r="G68" s="67" t="s">
        <v>1597</v>
      </c>
      <c r="H68" s="67"/>
      <c r="I68" s="67" t="s">
        <v>41</v>
      </c>
      <c r="J68" s="67" t="s">
        <v>68</v>
      </c>
      <c r="K68" s="67" t="s">
        <v>1643</v>
      </c>
      <c r="L68" s="67" t="s">
        <v>767</v>
      </c>
      <c r="M68" s="67" t="s">
        <v>752</v>
      </c>
      <c r="N68" s="67" t="s">
        <v>1598</v>
      </c>
      <c r="O68" s="67" t="s">
        <v>1610</v>
      </c>
      <c r="P68" s="67"/>
      <c r="Q68" s="67">
        <v>180</v>
      </c>
      <c r="R68" s="67">
        <v>0</v>
      </c>
      <c r="S68" s="67">
        <v>0</v>
      </c>
      <c r="T68" s="67">
        <v>0</v>
      </c>
      <c r="U68" s="67">
        <v>0</v>
      </c>
      <c r="V68" s="67">
        <v>0</v>
      </c>
      <c r="W68" s="67">
        <v>0</v>
      </c>
      <c r="X68" s="67">
        <v>0</v>
      </c>
      <c r="Y68" s="67">
        <v>0</v>
      </c>
      <c r="Z68" s="67">
        <v>0</v>
      </c>
      <c r="AA68" s="67">
        <v>0</v>
      </c>
      <c r="AB68" s="67">
        <v>0</v>
      </c>
      <c r="AC68" s="67">
        <v>0</v>
      </c>
      <c r="AD68" s="67">
        <v>0</v>
      </c>
      <c r="AE68" s="67">
        <v>0</v>
      </c>
      <c r="AF68" s="67">
        <v>0</v>
      </c>
      <c r="AG68" s="67">
        <v>180</v>
      </c>
      <c r="AH68" s="67">
        <v>0</v>
      </c>
      <c r="AI68" s="67">
        <v>0</v>
      </c>
      <c r="AJ68" s="67">
        <v>0</v>
      </c>
      <c r="AK68" s="67">
        <v>0</v>
      </c>
      <c r="AL68" s="67">
        <v>0</v>
      </c>
      <c r="AM68" s="67">
        <v>0</v>
      </c>
      <c r="AN68" s="67">
        <v>0</v>
      </c>
      <c r="AO68" s="67">
        <v>0</v>
      </c>
      <c r="AP68" s="67">
        <v>0</v>
      </c>
      <c r="AQ68" s="67">
        <v>0</v>
      </c>
      <c r="AR68" s="67">
        <v>0</v>
      </c>
      <c r="AS68" s="67">
        <v>0</v>
      </c>
      <c r="AT68" s="67"/>
      <c r="AU68" s="67"/>
      <c r="AV68" s="67"/>
      <c r="AW68" s="67">
        <v>0</v>
      </c>
      <c r="AX68" s="67">
        <v>0</v>
      </c>
      <c r="AY68" s="67"/>
      <c r="AZ68" s="67"/>
      <c r="BA68" s="67"/>
      <c r="BB68" s="67"/>
      <c r="BC68" s="67"/>
      <c r="BD68" s="67"/>
      <c r="BE68" s="67"/>
      <c r="BG68" s="67"/>
      <c r="BH68" s="67"/>
      <c r="BI68" s="67"/>
      <c r="BJ68" s="67">
        <v>0</v>
      </c>
      <c r="BK68" s="67"/>
      <c r="BL68" s="67"/>
      <c r="BP68" s="67"/>
      <c r="BQ68" s="67">
        <v>0</v>
      </c>
      <c r="BR68" s="67"/>
      <c r="BS68" s="67"/>
      <c r="BT68" s="67">
        <v>0</v>
      </c>
      <c r="BU68" s="67"/>
      <c r="BV68" s="67"/>
      <c r="BW68" s="67">
        <v>0</v>
      </c>
      <c r="BX68" s="67">
        <v>0</v>
      </c>
      <c r="BY68" s="67">
        <v>0</v>
      </c>
      <c r="BZ68" s="67">
        <v>0</v>
      </c>
      <c r="CA68" s="67"/>
      <c r="CB68" s="67">
        <v>0</v>
      </c>
      <c r="CC68" s="67"/>
      <c r="CD68" s="67"/>
      <c r="CE68" s="67">
        <v>0</v>
      </c>
      <c r="CF68" s="67">
        <v>0</v>
      </c>
      <c r="CG68" s="67"/>
      <c r="CH68" s="67"/>
      <c r="CI68" s="67"/>
      <c r="CJ68" s="67"/>
      <c r="CK68" s="67">
        <v>0</v>
      </c>
      <c r="CL68" s="67">
        <v>0</v>
      </c>
      <c r="CM68" s="67"/>
      <c r="CN68" s="67"/>
      <c r="CO68" s="67">
        <v>0</v>
      </c>
      <c r="CP68" s="67">
        <v>0</v>
      </c>
      <c r="CQ68" s="67"/>
      <c r="CR68" s="67"/>
      <c r="CS68" s="67"/>
      <c r="CT68" s="67"/>
      <c r="CU68" s="67">
        <v>0</v>
      </c>
      <c r="CV68" s="67"/>
      <c r="CW68" s="67"/>
      <c r="CX68" s="67"/>
      <c r="CY68" s="67">
        <v>0</v>
      </c>
      <c r="CZ68" s="67"/>
      <c r="DA68" s="67"/>
      <c r="DB68" s="67"/>
      <c r="DC68" s="67"/>
      <c r="DF68" s="67"/>
      <c r="DG68" s="67">
        <v>0</v>
      </c>
      <c r="DH68" s="67">
        <v>0</v>
      </c>
      <c r="DI68" s="67">
        <v>0</v>
      </c>
      <c r="DJ68" s="67"/>
      <c r="DK68" s="67">
        <v>0</v>
      </c>
      <c r="DL68" s="67">
        <v>0</v>
      </c>
      <c r="DM68" s="67">
        <v>0</v>
      </c>
      <c r="DN68" s="67"/>
      <c r="DO68" s="67"/>
      <c r="DP68" s="67"/>
      <c r="DQ68" s="67">
        <v>0</v>
      </c>
      <c r="DR68" s="67">
        <v>0</v>
      </c>
      <c r="DS68" s="67"/>
      <c r="DT68" s="67"/>
      <c r="DU68" s="67">
        <v>0</v>
      </c>
      <c r="DV68" s="67">
        <v>0</v>
      </c>
      <c r="DW68" s="67">
        <v>0</v>
      </c>
      <c r="DX68" s="67">
        <v>0</v>
      </c>
      <c r="DY68" s="67"/>
      <c r="DZ68" s="67">
        <v>0</v>
      </c>
      <c r="EA68" s="67"/>
      <c r="EB68" s="67">
        <v>0</v>
      </c>
      <c r="EC68" s="67"/>
      <c r="ED68" s="67">
        <v>0</v>
      </c>
      <c r="EE68" s="67"/>
      <c r="EF68" s="67">
        <v>0</v>
      </c>
      <c r="EG68" s="67"/>
      <c r="EH68" s="67"/>
      <c r="EI68" s="67"/>
      <c r="EJ68" s="67"/>
      <c r="EK68" s="67"/>
      <c r="EL68" s="67"/>
      <c r="EM68" s="67"/>
      <c r="EN68" s="67"/>
      <c r="EO68" s="67"/>
      <c r="EP68" s="67">
        <v>0</v>
      </c>
      <c r="EQ68" s="67">
        <v>100</v>
      </c>
      <c r="ER68" s="67">
        <v>100</v>
      </c>
      <c r="ES68" s="67"/>
      <c r="ET68">
        <v>0</v>
      </c>
      <c r="EX68" s="67"/>
      <c r="EY68" s="67"/>
      <c r="EZ68" s="67"/>
      <c r="FA68" s="67">
        <v>180</v>
      </c>
      <c r="FB68" s="67"/>
      <c r="FC68" s="67"/>
      <c r="FD68" s="67"/>
      <c r="FE68" s="67"/>
      <c r="FF68" s="67"/>
      <c r="FG68" s="67"/>
      <c r="FH68" s="67"/>
      <c r="FI68" s="67" t="s">
        <v>1600</v>
      </c>
    </row>
    <row r="69" spans="2:165" x14ac:dyDescent="0.2">
      <c r="B69" s="67" t="s">
        <v>305</v>
      </c>
      <c r="C69" s="67" t="s">
        <v>1644</v>
      </c>
      <c r="D69" s="67" t="s">
        <v>399</v>
      </c>
      <c r="E69" s="67" t="s">
        <v>305</v>
      </c>
      <c r="F69" s="67" t="s">
        <v>305</v>
      </c>
      <c r="G69" s="67" t="s">
        <v>1597</v>
      </c>
      <c r="H69" s="67"/>
      <c r="I69" s="67" t="s">
        <v>305</v>
      </c>
      <c r="J69" s="67" t="s">
        <v>305</v>
      </c>
      <c r="K69" s="67" t="s">
        <v>305</v>
      </c>
      <c r="L69" s="67" t="s">
        <v>787</v>
      </c>
      <c r="M69" s="67" t="s">
        <v>752</v>
      </c>
      <c r="N69" s="67" t="s">
        <v>305</v>
      </c>
      <c r="O69" s="67" t="s">
        <v>305</v>
      </c>
      <c r="P69" s="67"/>
      <c r="Q69" s="67">
        <v>0</v>
      </c>
      <c r="R69" s="67">
        <v>0</v>
      </c>
      <c r="S69" s="67">
        <v>0</v>
      </c>
      <c r="T69" s="67">
        <v>0</v>
      </c>
      <c r="U69" s="67">
        <v>0</v>
      </c>
      <c r="V69" s="67">
        <v>0</v>
      </c>
      <c r="W69" s="67">
        <v>0</v>
      </c>
      <c r="X69" s="67">
        <v>0</v>
      </c>
      <c r="Y69" s="67">
        <v>0</v>
      </c>
      <c r="Z69" s="67">
        <v>0</v>
      </c>
      <c r="AA69" s="67">
        <v>0</v>
      </c>
      <c r="AB69" s="67">
        <v>0</v>
      </c>
      <c r="AC69" s="67">
        <v>0</v>
      </c>
      <c r="AD69" s="67">
        <v>0</v>
      </c>
      <c r="AE69" s="67">
        <v>0</v>
      </c>
      <c r="AF69" s="67">
        <v>0</v>
      </c>
      <c r="AG69" s="67">
        <v>0</v>
      </c>
      <c r="AH69" s="67">
        <v>0</v>
      </c>
      <c r="AI69" s="67">
        <v>0</v>
      </c>
      <c r="AJ69" s="67">
        <v>0</v>
      </c>
      <c r="AK69" s="67">
        <v>0</v>
      </c>
      <c r="AL69" s="67">
        <v>0</v>
      </c>
      <c r="AM69" s="67">
        <v>0</v>
      </c>
      <c r="AN69" s="67">
        <v>0</v>
      </c>
      <c r="AO69" s="67">
        <v>0</v>
      </c>
      <c r="AP69" s="67">
        <v>0</v>
      </c>
      <c r="AQ69" s="67">
        <v>0</v>
      </c>
      <c r="AR69" s="67">
        <v>0</v>
      </c>
      <c r="AS69" s="67">
        <v>0</v>
      </c>
      <c r="AT69" s="67"/>
      <c r="AU69" s="67"/>
      <c r="AV69" s="67"/>
      <c r="AW69" s="67">
        <v>0</v>
      </c>
      <c r="AX69" s="67">
        <v>0</v>
      </c>
      <c r="AY69" s="67"/>
      <c r="AZ69" s="67"/>
      <c r="BA69" s="67"/>
      <c r="BB69" s="67"/>
      <c r="BC69" s="67"/>
      <c r="BD69" s="67"/>
      <c r="BE69" s="67"/>
      <c r="BG69" s="67"/>
      <c r="BH69" s="67"/>
      <c r="BI69" s="67"/>
      <c r="BJ69" s="67">
        <v>0</v>
      </c>
      <c r="BK69" s="67"/>
      <c r="BL69" s="67"/>
      <c r="BP69" s="67"/>
      <c r="BQ69" s="67">
        <v>0</v>
      </c>
      <c r="BR69" s="67"/>
      <c r="BS69" s="67"/>
      <c r="BT69" s="67">
        <v>0</v>
      </c>
      <c r="BU69" s="67"/>
      <c r="BV69" s="67"/>
      <c r="BW69" s="67">
        <v>0</v>
      </c>
      <c r="BX69" s="67">
        <v>0</v>
      </c>
      <c r="BY69" s="67">
        <v>0</v>
      </c>
      <c r="BZ69" s="67">
        <v>0</v>
      </c>
      <c r="CA69" s="67"/>
      <c r="CB69" s="67">
        <v>0</v>
      </c>
      <c r="CC69" s="67"/>
      <c r="CD69" s="67"/>
      <c r="CE69" s="67">
        <v>0</v>
      </c>
      <c r="CF69" s="67">
        <v>0</v>
      </c>
      <c r="CG69" s="67"/>
      <c r="CH69" s="67"/>
      <c r="CI69" s="67"/>
      <c r="CJ69" s="67"/>
      <c r="CK69" s="67">
        <v>0</v>
      </c>
      <c r="CL69" s="67">
        <v>0</v>
      </c>
      <c r="CM69" s="67"/>
      <c r="CN69" s="67"/>
      <c r="CO69" s="67">
        <v>0</v>
      </c>
      <c r="CP69" s="67">
        <v>0</v>
      </c>
      <c r="CQ69" s="67"/>
      <c r="CR69" s="67"/>
      <c r="CS69" s="67"/>
      <c r="CT69" s="67"/>
      <c r="CU69" s="67">
        <v>0</v>
      </c>
      <c r="CV69" s="67"/>
      <c r="CW69" s="67"/>
      <c r="CX69" s="67"/>
      <c r="CY69" s="67">
        <v>0</v>
      </c>
      <c r="CZ69" s="67"/>
      <c r="DA69" s="67"/>
      <c r="DB69" s="67"/>
      <c r="DC69" s="67"/>
      <c r="DF69" s="67"/>
      <c r="DG69" s="67">
        <v>0</v>
      </c>
      <c r="DH69" s="67">
        <v>0</v>
      </c>
      <c r="DI69" s="67">
        <v>0</v>
      </c>
      <c r="DJ69" s="67"/>
      <c r="DK69" s="67">
        <v>0</v>
      </c>
      <c r="DL69" s="67">
        <v>0</v>
      </c>
      <c r="DM69" s="67">
        <v>0</v>
      </c>
      <c r="DN69" s="67"/>
      <c r="DO69" s="67"/>
      <c r="DP69" s="67"/>
      <c r="DQ69" s="67">
        <v>0</v>
      </c>
      <c r="DR69" s="67">
        <v>0</v>
      </c>
      <c r="DS69" s="67"/>
      <c r="DT69" s="67"/>
      <c r="DU69" s="67">
        <v>0</v>
      </c>
      <c r="DV69" s="67">
        <v>0</v>
      </c>
      <c r="DW69" s="67">
        <v>0</v>
      </c>
      <c r="DX69" s="67">
        <v>0</v>
      </c>
      <c r="DY69" s="67"/>
      <c r="DZ69" s="67">
        <v>0</v>
      </c>
      <c r="EA69" s="67"/>
      <c r="EB69" s="67">
        <v>0</v>
      </c>
      <c r="EC69" s="67"/>
      <c r="ED69" s="67">
        <v>0</v>
      </c>
      <c r="EE69" s="67"/>
      <c r="EF69" s="67">
        <v>0</v>
      </c>
      <c r="EG69" s="67"/>
      <c r="EH69" s="67"/>
      <c r="EI69" s="67"/>
      <c r="EJ69" s="67"/>
      <c r="EK69" s="67"/>
      <c r="EL69" s="67"/>
      <c r="EM69" s="67"/>
      <c r="EN69" s="67"/>
      <c r="EO69" s="67"/>
      <c r="EP69" s="67">
        <v>0</v>
      </c>
      <c r="EQ69" s="67">
        <v>0</v>
      </c>
      <c r="ER69" s="67">
        <v>0</v>
      </c>
      <c r="ES69" s="67"/>
      <c r="ET69">
        <v>0</v>
      </c>
      <c r="EX69" s="67"/>
      <c r="EY69" s="67"/>
      <c r="EZ69" s="67"/>
      <c r="FA69" s="67">
        <v>0</v>
      </c>
      <c r="FB69" s="67"/>
      <c r="FC69" s="67"/>
      <c r="FD69" s="67"/>
      <c r="FE69" s="67"/>
      <c r="FF69" s="67"/>
      <c r="FG69" s="67"/>
      <c r="FH69" s="67"/>
      <c r="FI69" s="67" t="s">
        <v>1600</v>
      </c>
    </row>
    <row r="70" spans="2:165" ht="24" x14ac:dyDescent="0.2">
      <c r="B70" s="67"/>
      <c r="C70" s="67" t="s">
        <v>1645</v>
      </c>
      <c r="D70" s="67" t="s">
        <v>400</v>
      </c>
      <c r="E70" s="67" t="s">
        <v>13</v>
      </c>
      <c r="F70" s="67" t="s">
        <v>1230</v>
      </c>
      <c r="G70" s="67" t="s">
        <v>345</v>
      </c>
      <c r="H70" s="67"/>
      <c r="I70" s="67" t="s">
        <v>41</v>
      </c>
      <c r="J70" s="67" t="s">
        <v>64</v>
      </c>
      <c r="K70" s="67" t="s">
        <v>1232</v>
      </c>
      <c r="L70" s="67" t="s">
        <v>1285</v>
      </c>
      <c r="M70" s="67" t="s">
        <v>1615</v>
      </c>
      <c r="N70" s="67" t="s">
        <v>1598</v>
      </c>
      <c r="O70" s="67" t="s">
        <v>1599</v>
      </c>
      <c r="P70" s="67" t="s">
        <v>346</v>
      </c>
      <c r="Q70" s="67">
        <v>2000</v>
      </c>
      <c r="R70" s="67">
        <v>0</v>
      </c>
      <c r="S70" s="67">
        <v>0</v>
      </c>
      <c r="T70" s="67">
        <v>400</v>
      </c>
      <c r="U70" s="67">
        <v>0</v>
      </c>
      <c r="V70" s="67">
        <v>0</v>
      </c>
      <c r="W70" s="67">
        <v>0</v>
      </c>
      <c r="X70" s="67">
        <v>0</v>
      </c>
      <c r="Y70" s="67">
        <v>1000</v>
      </c>
      <c r="Z70" s="67">
        <v>0</v>
      </c>
      <c r="AA70" s="67">
        <v>0</v>
      </c>
      <c r="AB70" s="67">
        <v>0</v>
      </c>
      <c r="AC70" s="67">
        <v>0</v>
      </c>
      <c r="AD70" s="67">
        <v>0</v>
      </c>
      <c r="AE70" s="67">
        <v>0</v>
      </c>
      <c r="AF70" s="67">
        <v>0</v>
      </c>
      <c r="AG70" s="67">
        <v>0</v>
      </c>
      <c r="AH70" s="67">
        <v>0</v>
      </c>
      <c r="AI70" s="67">
        <v>0</v>
      </c>
      <c r="AJ70" s="67">
        <v>0</v>
      </c>
      <c r="AK70" s="67">
        <v>0</v>
      </c>
      <c r="AL70" s="67">
        <v>0</v>
      </c>
      <c r="AM70" s="67">
        <v>0</v>
      </c>
      <c r="AN70" s="67">
        <v>600</v>
      </c>
      <c r="AO70" s="67">
        <v>0</v>
      </c>
      <c r="AP70" s="67">
        <v>0</v>
      </c>
      <c r="AQ70" s="67">
        <v>0</v>
      </c>
      <c r="AR70" s="67">
        <v>0</v>
      </c>
      <c r="AS70" s="67">
        <v>0</v>
      </c>
      <c r="AT70" s="67"/>
      <c r="AU70" s="67"/>
      <c r="AV70" s="67"/>
      <c r="AW70" s="67">
        <v>0</v>
      </c>
      <c r="AX70" s="67">
        <v>0</v>
      </c>
      <c r="AY70" s="67"/>
      <c r="AZ70" s="67"/>
      <c r="BA70" s="67"/>
      <c r="BB70" s="67"/>
      <c r="BC70" s="67"/>
      <c r="BD70" s="67"/>
      <c r="BE70" s="67"/>
      <c r="BG70" s="67"/>
      <c r="BH70" s="67"/>
      <c r="BI70" s="67"/>
      <c r="BJ70" s="67">
        <v>0</v>
      </c>
      <c r="BK70" s="67"/>
      <c r="BL70" s="67"/>
      <c r="BP70" s="67"/>
      <c r="BQ70" s="67">
        <v>0</v>
      </c>
      <c r="BR70" s="67"/>
      <c r="BS70" s="67"/>
      <c r="BT70" s="67">
        <v>0</v>
      </c>
      <c r="BU70" s="67"/>
      <c r="BV70" s="67"/>
      <c r="BW70" s="67">
        <v>0</v>
      </c>
      <c r="BX70" s="67">
        <v>0</v>
      </c>
      <c r="BY70" s="67">
        <v>0</v>
      </c>
      <c r="BZ70" s="67">
        <v>0</v>
      </c>
      <c r="CA70" s="67"/>
      <c r="CB70" s="67">
        <v>0</v>
      </c>
      <c r="CC70" s="67"/>
      <c r="CD70" s="67"/>
      <c r="CE70" s="67">
        <v>0</v>
      </c>
      <c r="CF70" s="67">
        <v>0</v>
      </c>
      <c r="CG70" s="67"/>
      <c r="CH70" s="67"/>
      <c r="CI70" s="67"/>
      <c r="CJ70" s="67"/>
      <c r="CK70" s="67">
        <v>0</v>
      </c>
      <c r="CL70" s="67">
        <v>0</v>
      </c>
      <c r="CM70" s="67"/>
      <c r="CN70" s="67"/>
      <c r="CO70" s="67">
        <v>0</v>
      </c>
      <c r="CP70" s="67">
        <v>0</v>
      </c>
      <c r="CQ70" s="67"/>
      <c r="CR70" s="67"/>
      <c r="CS70" s="67"/>
      <c r="CT70" s="67"/>
      <c r="CU70" s="67">
        <v>0</v>
      </c>
      <c r="CV70" s="67"/>
      <c r="CW70" s="67"/>
      <c r="CX70" s="67"/>
      <c r="CY70" s="67">
        <v>0</v>
      </c>
      <c r="CZ70" s="67"/>
      <c r="DA70" s="67"/>
      <c r="DB70" s="67"/>
      <c r="DC70" s="67"/>
      <c r="DF70" s="67"/>
      <c r="DG70" s="67">
        <v>50</v>
      </c>
      <c r="DH70" s="67">
        <v>50</v>
      </c>
      <c r="DI70" s="67">
        <v>0</v>
      </c>
      <c r="DJ70" s="67"/>
      <c r="DK70" s="67">
        <v>0</v>
      </c>
      <c r="DL70" s="67">
        <v>0</v>
      </c>
      <c r="DM70" s="67">
        <v>0</v>
      </c>
      <c r="DN70" s="67"/>
      <c r="DO70" s="67"/>
      <c r="DP70" s="67"/>
      <c r="DQ70" s="67">
        <v>0</v>
      </c>
      <c r="DR70" s="67">
        <v>0</v>
      </c>
      <c r="DS70" s="67"/>
      <c r="DT70" s="67"/>
      <c r="DU70" s="67">
        <v>0</v>
      </c>
      <c r="DV70" s="67">
        <v>0</v>
      </c>
      <c r="DW70" s="67">
        <v>0</v>
      </c>
      <c r="DX70" s="67">
        <v>0</v>
      </c>
      <c r="DY70" s="67"/>
      <c r="DZ70" s="67">
        <v>0</v>
      </c>
      <c r="EA70" s="67"/>
      <c r="EB70" s="67">
        <v>0</v>
      </c>
      <c r="EC70" s="67"/>
      <c r="ED70" s="67">
        <v>0</v>
      </c>
      <c r="EE70" s="67"/>
      <c r="EF70" s="67">
        <v>0</v>
      </c>
      <c r="EG70" s="67"/>
      <c r="EH70" s="67"/>
      <c r="EI70" s="67"/>
      <c r="EJ70" s="67"/>
      <c r="EK70" s="67"/>
      <c r="EL70" s="67"/>
      <c r="EM70" s="67"/>
      <c r="EN70" s="67"/>
      <c r="EO70" s="67"/>
      <c r="EP70" s="67">
        <v>0</v>
      </c>
      <c r="EQ70" s="67">
        <v>40</v>
      </c>
      <c r="ER70" s="67">
        <v>40</v>
      </c>
      <c r="ES70" s="67"/>
      <c r="ET70">
        <v>0</v>
      </c>
      <c r="EX70" s="67"/>
      <c r="EY70" s="67"/>
      <c r="EZ70" s="67"/>
      <c r="FA70" s="67">
        <v>2050</v>
      </c>
      <c r="FB70" s="67"/>
      <c r="FC70" s="67"/>
      <c r="FD70" s="67"/>
      <c r="FE70" s="67"/>
      <c r="FF70" s="67"/>
      <c r="FG70" s="67"/>
      <c r="FH70" s="67"/>
      <c r="FI70" s="67" t="s">
        <v>1600</v>
      </c>
    </row>
    <row r="71" spans="2:165" x14ac:dyDescent="0.2">
      <c r="B71" s="67" t="s">
        <v>401</v>
      </c>
      <c r="C71" s="67" t="s">
        <v>401</v>
      </c>
      <c r="D71" s="67" t="s">
        <v>402</v>
      </c>
      <c r="E71" s="67" t="s">
        <v>35</v>
      </c>
      <c r="F71" s="67" t="s">
        <v>766</v>
      </c>
      <c r="G71" s="67" t="s">
        <v>1597</v>
      </c>
      <c r="H71" s="67"/>
      <c r="I71" s="67" t="s">
        <v>43</v>
      </c>
      <c r="J71" s="67" t="s">
        <v>68</v>
      </c>
      <c r="K71" s="67" t="s">
        <v>1567</v>
      </c>
      <c r="L71" s="67" t="s">
        <v>767</v>
      </c>
      <c r="M71" s="67" t="s">
        <v>752</v>
      </c>
      <c r="N71" s="67" t="s">
        <v>1598</v>
      </c>
      <c r="O71" s="67" t="s">
        <v>1599</v>
      </c>
      <c r="P71" s="67"/>
      <c r="Q71" s="67">
        <v>458.4</v>
      </c>
      <c r="R71" s="67">
        <v>0</v>
      </c>
      <c r="S71" s="67">
        <v>0</v>
      </c>
      <c r="T71" s="67">
        <v>0</v>
      </c>
      <c r="U71" s="67">
        <v>0</v>
      </c>
      <c r="V71" s="67">
        <v>0</v>
      </c>
      <c r="W71" s="67">
        <v>0</v>
      </c>
      <c r="X71" s="67">
        <v>0</v>
      </c>
      <c r="Y71" s="67">
        <v>0</v>
      </c>
      <c r="Z71" s="67">
        <v>0</v>
      </c>
      <c r="AA71" s="67">
        <v>0</v>
      </c>
      <c r="AB71" s="67">
        <v>0</v>
      </c>
      <c r="AC71" s="67">
        <v>0</v>
      </c>
      <c r="AD71" s="67">
        <v>0</v>
      </c>
      <c r="AE71" s="67">
        <v>0</v>
      </c>
      <c r="AF71" s="67">
        <v>0</v>
      </c>
      <c r="AG71" s="67">
        <v>458.4</v>
      </c>
      <c r="AH71" s="67">
        <v>0</v>
      </c>
      <c r="AI71" s="67">
        <v>0</v>
      </c>
      <c r="AJ71" s="67">
        <v>0</v>
      </c>
      <c r="AK71" s="67">
        <v>0</v>
      </c>
      <c r="AL71" s="67">
        <v>0</v>
      </c>
      <c r="AM71" s="67">
        <v>0</v>
      </c>
      <c r="AN71" s="67">
        <v>0</v>
      </c>
      <c r="AO71" s="67">
        <v>0</v>
      </c>
      <c r="AP71" s="67">
        <v>0</v>
      </c>
      <c r="AQ71" s="67">
        <v>0</v>
      </c>
      <c r="AR71" s="67">
        <v>0</v>
      </c>
      <c r="AS71" s="67">
        <v>0</v>
      </c>
      <c r="AT71" s="67"/>
      <c r="AU71" s="67"/>
      <c r="AV71" s="67"/>
      <c r="AW71" s="67">
        <v>0</v>
      </c>
      <c r="AX71" s="67">
        <v>0</v>
      </c>
      <c r="AY71" s="67"/>
      <c r="AZ71" s="67"/>
      <c r="BA71" s="67"/>
      <c r="BB71" s="67"/>
      <c r="BC71" s="67"/>
      <c r="BD71" s="67"/>
      <c r="BE71" s="67"/>
      <c r="BG71" s="67"/>
      <c r="BH71" s="67"/>
      <c r="BI71" s="67"/>
      <c r="BJ71" s="67">
        <v>0</v>
      </c>
      <c r="BK71" s="67"/>
      <c r="BL71" s="67"/>
      <c r="BP71" s="67"/>
      <c r="BQ71" s="67">
        <v>0</v>
      </c>
      <c r="BR71" s="67"/>
      <c r="BS71" s="67"/>
      <c r="BT71" s="67">
        <v>0</v>
      </c>
      <c r="BU71" s="67"/>
      <c r="BV71" s="67"/>
      <c r="BW71" s="67">
        <v>0</v>
      </c>
      <c r="BX71" s="67">
        <v>0</v>
      </c>
      <c r="BY71" s="67">
        <v>0</v>
      </c>
      <c r="BZ71" s="67">
        <v>0</v>
      </c>
      <c r="CA71" s="67"/>
      <c r="CB71" s="67">
        <v>0</v>
      </c>
      <c r="CC71" s="67"/>
      <c r="CD71" s="67"/>
      <c r="CE71" s="67">
        <v>0</v>
      </c>
      <c r="CF71" s="67">
        <v>0</v>
      </c>
      <c r="CG71" s="67"/>
      <c r="CH71" s="67"/>
      <c r="CI71" s="67"/>
      <c r="CJ71" s="67"/>
      <c r="CK71" s="67">
        <v>0</v>
      </c>
      <c r="CL71" s="67">
        <v>0</v>
      </c>
      <c r="CM71" s="67"/>
      <c r="CN71" s="67"/>
      <c r="CO71" s="67">
        <v>0</v>
      </c>
      <c r="CP71" s="67">
        <v>0</v>
      </c>
      <c r="CQ71" s="67"/>
      <c r="CR71" s="67"/>
      <c r="CS71" s="67"/>
      <c r="CT71" s="67"/>
      <c r="CU71" s="67">
        <v>0</v>
      </c>
      <c r="CV71" s="67"/>
      <c r="CW71" s="67"/>
      <c r="CX71" s="67"/>
      <c r="CY71" s="67">
        <v>0</v>
      </c>
      <c r="CZ71" s="67"/>
      <c r="DA71" s="67"/>
      <c r="DB71" s="67"/>
      <c r="DC71" s="67"/>
      <c r="DF71" s="67"/>
      <c r="DG71" s="67">
        <v>0</v>
      </c>
      <c r="DH71" s="67">
        <v>0</v>
      </c>
      <c r="DI71" s="67">
        <v>0</v>
      </c>
      <c r="DJ71" s="67"/>
      <c r="DK71" s="67">
        <v>0</v>
      </c>
      <c r="DL71" s="67">
        <v>0</v>
      </c>
      <c r="DM71" s="67">
        <v>0</v>
      </c>
      <c r="DN71" s="67"/>
      <c r="DO71" s="67"/>
      <c r="DP71" s="67"/>
      <c r="DQ71" s="67">
        <v>0</v>
      </c>
      <c r="DR71" s="67">
        <v>0</v>
      </c>
      <c r="DS71" s="67"/>
      <c r="DT71" s="67"/>
      <c r="DU71" s="67">
        <v>0</v>
      </c>
      <c r="DV71" s="67">
        <v>0</v>
      </c>
      <c r="DW71" s="67">
        <v>0</v>
      </c>
      <c r="DX71" s="67">
        <v>0</v>
      </c>
      <c r="DY71" s="67"/>
      <c r="DZ71" s="67">
        <v>0</v>
      </c>
      <c r="EA71" s="67"/>
      <c r="EB71" s="67">
        <v>0</v>
      </c>
      <c r="EC71" s="67"/>
      <c r="ED71" s="67">
        <v>0</v>
      </c>
      <c r="EE71" s="67"/>
      <c r="EF71" s="67">
        <v>0</v>
      </c>
      <c r="EG71" s="67"/>
      <c r="EH71" s="67"/>
      <c r="EI71" s="67"/>
      <c r="EJ71" s="67"/>
      <c r="EK71" s="67"/>
      <c r="EL71" s="67"/>
      <c r="EM71" s="67"/>
      <c r="EN71" s="67"/>
      <c r="EO71" s="67"/>
      <c r="EP71" s="67">
        <v>0</v>
      </c>
      <c r="EQ71" s="67">
        <v>0</v>
      </c>
      <c r="ER71" s="67">
        <v>0</v>
      </c>
      <c r="ES71" s="67"/>
      <c r="ET71">
        <v>0</v>
      </c>
      <c r="EX71" s="67"/>
      <c r="EY71" s="67"/>
      <c r="EZ71" s="67"/>
      <c r="FA71" s="67">
        <v>458.4</v>
      </c>
      <c r="FB71" s="67"/>
      <c r="FC71" s="67"/>
      <c r="FD71" s="67"/>
      <c r="FE71" s="67"/>
      <c r="FF71" s="67"/>
      <c r="FG71" s="67"/>
      <c r="FH71" s="67"/>
      <c r="FI71" s="67" t="s">
        <v>1600</v>
      </c>
    </row>
    <row r="72" spans="2:165" ht="24" x14ac:dyDescent="0.2">
      <c r="B72" s="67" t="s">
        <v>403</v>
      </c>
      <c r="C72" s="67" t="s">
        <v>403</v>
      </c>
      <c r="D72" s="67" t="s">
        <v>404</v>
      </c>
      <c r="E72" s="67" t="s">
        <v>13</v>
      </c>
      <c r="F72" s="67" t="s">
        <v>1230</v>
      </c>
      <c r="G72" s="67" t="s">
        <v>1597</v>
      </c>
      <c r="H72" s="67"/>
      <c r="I72" s="67" t="s">
        <v>41</v>
      </c>
      <c r="J72" s="67" t="s">
        <v>64</v>
      </c>
      <c r="K72" s="67" t="s">
        <v>1232</v>
      </c>
      <c r="L72" s="67" t="s">
        <v>751</v>
      </c>
      <c r="M72" s="67" t="s">
        <v>1399</v>
      </c>
      <c r="N72" s="67" t="s">
        <v>1598</v>
      </c>
      <c r="O72" s="67" t="s">
        <v>1599</v>
      </c>
      <c r="P72" s="67"/>
      <c r="Q72" s="67">
        <v>1900</v>
      </c>
      <c r="R72" s="67">
        <v>0</v>
      </c>
      <c r="S72" s="67">
        <v>0</v>
      </c>
      <c r="T72" s="67">
        <v>0</v>
      </c>
      <c r="U72" s="67">
        <v>0</v>
      </c>
      <c r="V72" s="67">
        <v>0</v>
      </c>
      <c r="W72" s="67">
        <v>0</v>
      </c>
      <c r="X72" s="67">
        <v>0</v>
      </c>
      <c r="Y72" s="67">
        <v>1900</v>
      </c>
      <c r="Z72" s="67">
        <v>0</v>
      </c>
      <c r="AA72" s="67">
        <v>0</v>
      </c>
      <c r="AB72" s="67">
        <v>0</v>
      </c>
      <c r="AC72" s="67">
        <v>0</v>
      </c>
      <c r="AD72" s="67">
        <v>0</v>
      </c>
      <c r="AE72" s="67">
        <v>0</v>
      </c>
      <c r="AF72" s="67">
        <v>0</v>
      </c>
      <c r="AG72" s="67">
        <v>0</v>
      </c>
      <c r="AH72" s="67">
        <v>0</v>
      </c>
      <c r="AI72" s="67">
        <v>0</v>
      </c>
      <c r="AJ72" s="67">
        <v>0</v>
      </c>
      <c r="AK72" s="67">
        <v>0</v>
      </c>
      <c r="AL72" s="67">
        <v>0</v>
      </c>
      <c r="AM72" s="67">
        <v>0</v>
      </c>
      <c r="AN72" s="67">
        <v>0</v>
      </c>
      <c r="AO72" s="67">
        <v>0</v>
      </c>
      <c r="AP72" s="67">
        <v>0</v>
      </c>
      <c r="AQ72" s="67">
        <v>0</v>
      </c>
      <c r="AR72" s="67">
        <v>0</v>
      </c>
      <c r="AS72" s="67">
        <v>0</v>
      </c>
      <c r="AT72" s="67"/>
      <c r="AU72" s="67"/>
      <c r="AV72" s="67"/>
      <c r="AW72" s="67">
        <v>0</v>
      </c>
      <c r="AX72" s="67">
        <v>0</v>
      </c>
      <c r="AY72" s="67"/>
      <c r="AZ72" s="67"/>
      <c r="BA72" s="67"/>
      <c r="BB72" s="67"/>
      <c r="BC72" s="67"/>
      <c r="BD72" s="67"/>
      <c r="BE72" s="67"/>
      <c r="BG72" s="67"/>
      <c r="BH72" s="67"/>
      <c r="BI72" s="67"/>
      <c r="BJ72" s="67">
        <v>0</v>
      </c>
      <c r="BK72" s="67"/>
      <c r="BL72" s="67"/>
      <c r="BP72" s="67"/>
      <c r="BQ72" s="67">
        <v>0</v>
      </c>
      <c r="BR72" s="67"/>
      <c r="BS72" s="67"/>
      <c r="BT72" s="67">
        <v>0</v>
      </c>
      <c r="BU72" s="67"/>
      <c r="BV72" s="67"/>
      <c r="BW72" s="67">
        <v>0</v>
      </c>
      <c r="BX72" s="67">
        <v>0</v>
      </c>
      <c r="BY72" s="67">
        <v>0</v>
      </c>
      <c r="BZ72" s="67">
        <v>0</v>
      </c>
      <c r="CA72" s="67"/>
      <c r="CB72" s="67">
        <v>0</v>
      </c>
      <c r="CC72" s="67"/>
      <c r="CD72" s="67"/>
      <c r="CE72" s="67">
        <v>0</v>
      </c>
      <c r="CF72" s="67">
        <v>0</v>
      </c>
      <c r="CG72" s="67"/>
      <c r="CH72" s="67"/>
      <c r="CI72" s="67"/>
      <c r="CJ72" s="67"/>
      <c r="CK72" s="67">
        <v>0</v>
      </c>
      <c r="CL72" s="67">
        <v>0</v>
      </c>
      <c r="CM72" s="67"/>
      <c r="CN72" s="67"/>
      <c r="CO72" s="67">
        <v>0</v>
      </c>
      <c r="CP72" s="67">
        <v>0</v>
      </c>
      <c r="CQ72" s="67"/>
      <c r="CR72" s="67"/>
      <c r="CS72" s="67"/>
      <c r="CT72" s="67"/>
      <c r="CU72" s="67">
        <v>0</v>
      </c>
      <c r="CV72" s="67"/>
      <c r="CW72" s="67"/>
      <c r="CX72" s="67"/>
      <c r="CY72" s="67">
        <v>0</v>
      </c>
      <c r="CZ72" s="67"/>
      <c r="DA72" s="67"/>
      <c r="DB72" s="67"/>
      <c r="DC72" s="67"/>
      <c r="DF72" s="67"/>
      <c r="DG72" s="67">
        <v>0</v>
      </c>
      <c r="DH72" s="67">
        <v>0</v>
      </c>
      <c r="DI72" s="67">
        <v>0</v>
      </c>
      <c r="DJ72" s="67"/>
      <c r="DK72" s="67">
        <v>0</v>
      </c>
      <c r="DL72" s="67">
        <v>0</v>
      </c>
      <c r="DM72" s="67">
        <v>0</v>
      </c>
      <c r="DN72" s="67"/>
      <c r="DO72" s="67"/>
      <c r="DP72" s="67"/>
      <c r="DQ72" s="67">
        <v>0</v>
      </c>
      <c r="DR72" s="67">
        <v>0</v>
      </c>
      <c r="DS72" s="67"/>
      <c r="DT72" s="67"/>
      <c r="DU72" s="67">
        <v>0</v>
      </c>
      <c r="DV72" s="67">
        <v>0</v>
      </c>
      <c r="DW72" s="67">
        <v>0</v>
      </c>
      <c r="DX72" s="67">
        <v>0</v>
      </c>
      <c r="DY72" s="67"/>
      <c r="DZ72" s="67">
        <v>0</v>
      </c>
      <c r="EA72" s="67"/>
      <c r="EB72" s="67">
        <v>0</v>
      </c>
      <c r="EC72" s="67"/>
      <c r="ED72" s="67">
        <v>0</v>
      </c>
      <c r="EE72" s="67"/>
      <c r="EF72" s="67">
        <v>0</v>
      </c>
      <c r="EG72" s="67"/>
      <c r="EH72" s="67"/>
      <c r="EI72" s="67"/>
      <c r="EJ72" s="67"/>
      <c r="EK72" s="67"/>
      <c r="EL72" s="67"/>
      <c r="EM72" s="67"/>
      <c r="EN72" s="67"/>
      <c r="EO72" s="67"/>
      <c r="EP72" s="67">
        <v>0</v>
      </c>
      <c r="EQ72" s="67">
        <v>0</v>
      </c>
      <c r="ER72" s="67">
        <v>0</v>
      </c>
      <c r="ES72" s="67"/>
      <c r="ET72">
        <v>0</v>
      </c>
      <c r="EX72" s="67"/>
      <c r="EY72" s="67"/>
      <c r="EZ72" s="67"/>
      <c r="FA72" s="67">
        <v>1900</v>
      </c>
      <c r="FB72" s="67"/>
      <c r="FC72" s="67"/>
      <c r="FD72" s="67"/>
      <c r="FE72" s="67"/>
      <c r="FF72" s="67"/>
      <c r="FG72" s="67"/>
      <c r="FH72" s="67"/>
      <c r="FI72" s="67" t="s">
        <v>1600</v>
      </c>
    </row>
    <row r="73" spans="2:165" x14ac:dyDescent="0.2">
      <c r="B73" s="67" t="s">
        <v>405</v>
      </c>
      <c r="C73" s="67" t="s">
        <v>405</v>
      </c>
      <c r="D73" s="67" t="s">
        <v>406</v>
      </c>
      <c r="E73" s="67" t="s">
        <v>23</v>
      </c>
      <c r="F73" s="67" t="s">
        <v>766</v>
      </c>
      <c r="G73" s="67" t="s">
        <v>1597</v>
      </c>
      <c r="H73" s="67"/>
      <c r="I73" s="67" t="s">
        <v>41</v>
      </c>
      <c r="J73" s="67" t="s">
        <v>68</v>
      </c>
      <c r="K73" s="67" t="s">
        <v>1643</v>
      </c>
      <c r="L73" s="67" t="s">
        <v>767</v>
      </c>
      <c r="M73" s="67" t="s">
        <v>752</v>
      </c>
      <c r="N73" s="67" t="s">
        <v>1601</v>
      </c>
      <c r="O73" s="67" t="s">
        <v>1606</v>
      </c>
      <c r="P73" s="67"/>
      <c r="Q73" s="67">
        <v>120</v>
      </c>
      <c r="R73" s="67">
        <v>0</v>
      </c>
      <c r="S73" s="67">
        <v>0</v>
      </c>
      <c r="T73" s="67">
        <v>0</v>
      </c>
      <c r="U73" s="67">
        <v>0</v>
      </c>
      <c r="V73" s="67">
        <v>0</v>
      </c>
      <c r="W73" s="67">
        <v>0</v>
      </c>
      <c r="X73" s="67">
        <v>0</v>
      </c>
      <c r="Y73" s="67">
        <v>0</v>
      </c>
      <c r="Z73" s="67">
        <v>0</v>
      </c>
      <c r="AA73" s="67">
        <v>0</v>
      </c>
      <c r="AB73" s="67">
        <v>0</v>
      </c>
      <c r="AC73" s="67">
        <v>0</v>
      </c>
      <c r="AD73" s="67">
        <v>0</v>
      </c>
      <c r="AE73" s="67">
        <v>0</v>
      </c>
      <c r="AF73" s="67">
        <v>0</v>
      </c>
      <c r="AG73" s="67">
        <v>120</v>
      </c>
      <c r="AH73" s="67">
        <v>0</v>
      </c>
      <c r="AI73" s="67">
        <v>0</v>
      </c>
      <c r="AJ73" s="67">
        <v>0</v>
      </c>
      <c r="AK73" s="67">
        <v>0</v>
      </c>
      <c r="AL73" s="67">
        <v>0</v>
      </c>
      <c r="AM73" s="67">
        <v>0</v>
      </c>
      <c r="AN73" s="67">
        <v>0</v>
      </c>
      <c r="AO73" s="67">
        <v>0</v>
      </c>
      <c r="AP73" s="67">
        <v>0</v>
      </c>
      <c r="AQ73" s="67">
        <v>0</v>
      </c>
      <c r="AR73" s="67">
        <v>0</v>
      </c>
      <c r="AS73" s="67">
        <v>0</v>
      </c>
      <c r="AT73" s="67"/>
      <c r="AU73" s="67"/>
      <c r="AV73" s="67"/>
      <c r="AW73" s="67">
        <v>0</v>
      </c>
      <c r="AX73" s="67">
        <v>0</v>
      </c>
      <c r="AY73" s="67"/>
      <c r="AZ73" s="67"/>
      <c r="BA73" s="67"/>
      <c r="BB73" s="67"/>
      <c r="BC73" s="67"/>
      <c r="BD73" s="67"/>
      <c r="BE73" s="67"/>
      <c r="BG73" s="67"/>
      <c r="BH73" s="67"/>
      <c r="BI73" s="67"/>
      <c r="BJ73" s="67">
        <v>0</v>
      </c>
      <c r="BK73" s="67"/>
      <c r="BL73" s="67"/>
      <c r="BP73" s="67"/>
      <c r="BQ73" s="67">
        <v>0</v>
      </c>
      <c r="BR73" s="67"/>
      <c r="BS73" s="67"/>
      <c r="BT73" s="67">
        <v>0</v>
      </c>
      <c r="BU73" s="67"/>
      <c r="BV73" s="67"/>
      <c r="BW73" s="67">
        <v>0</v>
      </c>
      <c r="BX73" s="67">
        <v>0</v>
      </c>
      <c r="BY73" s="67">
        <v>0</v>
      </c>
      <c r="BZ73" s="67">
        <v>0</v>
      </c>
      <c r="CA73" s="67"/>
      <c r="CB73" s="67">
        <v>0</v>
      </c>
      <c r="CC73" s="67"/>
      <c r="CD73" s="67"/>
      <c r="CE73" s="67">
        <v>0</v>
      </c>
      <c r="CF73" s="67">
        <v>0</v>
      </c>
      <c r="CG73" s="67"/>
      <c r="CH73" s="67"/>
      <c r="CI73" s="67"/>
      <c r="CJ73" s="67"/>
      <c r="CK73" s="67">
        <v>0</v>
      </c>
      <c r="CL73" s="67">
        <v>0</v>
      </c>
      <c r="CM73" s="67"/>
      <c r="CN73" s="67"/>
      <c r="CO73" s="67">
        <v>0</v>
      </c>
      <c r="CP73" s="67">
        <v>0</v>
      </c>
      <c r="CQ73" s="67"/>
      <c r="CR73" s="67"/>
      <c r="CS73" s="67"/>
      <c r="CT73" s="67"/>
      <c r="CU73" s="67">
        <v>0</v>
      </c>
      <c r="CV73" s="67"/>
      <c r="CW73" s="67"/>
      <c r="CX73" s="67"/>
      <c r="CY73" s="67">
        <v>0</v>
      </c>
      <c r="CZ73" s="67"/>
      <c r="DA73" s="67"/>
      <c r="DB73" s="67"/>
      <c r="DC73" s="67"/>
      <c r="DF73" s="67"/>
      <c r="DG73" s="67">
        <v>0</v>
      </c>
      <c r="DH73" s="67">
        <v>0</v>
      </c>
      <c r="DI73" s="67">
        <v>0</v>
      </c>
      <c r="DJ73" s="67"/>
      <c r="DK73" s="67">
        <v>0</v>
      </c>
      <c r="DL73" s="67">
        <v>0</v>
      </c>
      <c r="DM73" s="67">
        <v>0</v>
      </c>
      <c r="DN73" s="67"/>
      <c r="DO73" s="67"/>
      <c r="DP73" s="67"/>
      <c r="DQ73" s="67">
        <v>0</v>
      </c>
      <c r="DR73" s="67">
        <v>0</v>
      </c>
      <c r="DS73" s="67"/>
      <c r="DT73" s="67"/>
      <c r="DU73" s="67">
        <v>0</v>
      </c>
      <c r="DV73" s="67">
        <v>0</v>
      </c>
      <c r="DW73" s="67">
        <v>0</v>
      </c>
      <c r="DX73" s="67">
        <v>0</v>
      </c>
      <c r="DY73" s="67"/>
      <c r="DZ73" s="67">
        <v>0</v>
      </c>
      <c r="EA73" s="67"/>
      <c r="EB73" s="67">
        <v>0</v>
      </c>
      <c r="EC73" s="67"/>
      <c r="ED73" s="67">
        <v>0</v>
      </c>
      <c r="EE73" s="67"/>
      <c r="EF73" s="67">
        <v>0</v>
      </c>
      <c r="EG73" s="67"/>
      <c r="EH73" s="67"/>
      <c r="EI73" s="67"/>
      <c r="EJ73" s="67"/>
      <c r="EK73" s="67"/>
      <c r="EL73" s="67"/>
      <c r="EM73" s="67"/>
      <c r="EN73" s="67"/>
      <c r="EO73" s="67"/>
      <c r="EP73" s="67">
        <v>0</v>
      </c>
      <c r="EQ73" s="67">
        <v>0</v>
      </c>
      <c r="ER73" s="67">
        <v>0</v>
      </c>
      <c r="ES73" s="67"/>
      <c r="ET73">
        <v>0</v>
      </c>
      <c r="EX73" s="67"/>
      <c r="EY73" s="67"/>
      <c r="EZ73" s="67"/>
      <c r="FA73" s="67">
        <v>120</v>
      </c>
      <c r="FB73" s="67"/>
      <c r="FC73" s="67"/>
      <c r="FD73" s="67"/>
      <c r="FE73" s="67"/>
      <c r="FF73" s="67"/>
      <c r="FG73" s="67"/>
      <c r="FH73" s="67"/>
      <c r="FI73" s="67" t="s">
        <v>1600</v>
      </c>
    </row>
    <row r="74" spans="2:165" x14ac:dyDescent="0.2">
      <c r="B74" s="67" t="s">
        <v>407</v>
      </c>
      <c r="C74" s="67" t="s">
        <v>407</v>
      </c>
      <c r="D74" s="67" t="s">
        <v>408</v>
      </c>
      <c r="E74" s="67" t="s">
        <v>23</v>
      </c>
      <c r="F74" s="67" t="s">
        <v>766</v>
      </c>
      <c r="G74" s="67" t="s">
        <v>1597</v>
      </c>
      <c r="H74" s="67"/>
      <c r="I74" s="67" t="s">
        <v>41</v>
      </c>
      <c r="J74" s="67" t="s">
        <v>68</v>
      </c>
      <c r="K74" s="67" t="s">
        <v>1643</v>
      </c>
      <c r="L74" s="67" t="s">
        <v>767</v>
      </c>
      <c r="M74" s="67" t="s">
        <v>752</v>
      </c>
      <c r="N74" s="67" t="s">
        <v>1598</v>
      </c>
      <c r="O74" s="67" t="s">
        <v>1610</v>
      </c>
      <c r="P74" s="67"/>
      <c r="Q74" s="67">
        <v>120</v>
      </c>
      <c r="R74" s="67">
        <v>0</v>
      </c>
      <c r="S74" s="67">
        <v>0</v>
      </c>
      <c r="T74" s="67">
        <v>0</v>
      </c>
      <c r="U74" s="67">
        <v>0</v>
      </c>
      <c r="V74" s="67">
        <v>0</v>
      </c>
      <c r="W74" s="67">
        <v>0</v>
      </c>
      <c r="X74" s="67">
        <v>0</v>
      </c>
      <c r="Y74" s="67">
        <v>0</v>
      </c>
      <c r="Z74" s="67">
        <v>0</v>
      </c>
      <c r="AA74" s="67">
        <v>0</v>
      </c>
      <c r="AB74" s="67">
        <v>0</v>
      </c>
      <c r="AC74" s="67">
        <v>0</v>
      </c>
      <c r="AD74" s="67">
        <v>0</v>
      </c>
      <c r="AE74" s="67">
        <v>0</v>
      </c>
      <c r="AF74" s="67">
        <v>0</v>
      </c>
      <c r="AG74" s="67">
        <v>120</v>
      </c>
      <c r="AH74" s="67">
        <v>0</v>
      </c>
      <c r="AI74" s="67">
        <v>0</v>
      </c>
      <c r="AJ74" s="67">
        <v>0</v>
      </c>
      <c r="AK74" s="67">
        <v>0</v>
      </c>
      <c r="AL74" s="67">
        <v>0</v>
      </c>
      <c r="AM74" s="67">
        <v>0</v>
      </c>
      <c r="AN74" s="67">
        <v>0</v>
      </c>
      <c r="AO74" s="67">
        <v>0</v>
      </c>
      <c r="AP74" s="67">
        <v>0</v>
      </c>
      <c r="AQ74" s="67">
        <v>0</v>
      </c>
      <c r="AR74" s="67">
        <v>0</v>
      </c>
      <c r="AS74" s="67">
        <v>0</v>
      </c>
      <c r="AT74" s="67"/>
      <c r="AU74" s="67"/>
      <c r="AV74" s="67"/>
      <c r="AW74" s="67">
        <v>0</v>
      </c>
      <c r="AX74" s="67">
        <v>0</v>
      </c>
      <c r="AY74" s="67"/>
      <c r="AZ74" s="67"/>
      <c r="BA74" s="67"/>
      <c r="BB74" s="67"/>
      <c r="BC74" s="67"/>
      <c r="BD74" s="67"/>
      <c r="BE74" s="67"/>
      <c r="BG74" s="67"/>
      <c r="BH74" s="67"/>
      <c r="BI74" s="67"/>
      <c r="BJ74" s="67">
        <v>0</v>
      </c>
      <c r="BK74" s="67"/>
      <c r="BL74" s="67"/>
      <c r="BP74" s="67"/>
      <c r="BQ74" s="67">
        <v>0</v>
      </c>
      <c r="BR74" s="67"/>
      <c r="BS74" s="67"/>
      <c r="BT74" s="67">
        <v>0</v>
      </c>
      <c r="BU74" s="67"/>
      <c r="BV74" s="67"/>
      <c r="BW74" s="67">
        <v>0</v>
      </c>
      <c r="BX74" s="67">
        <v>0</v>
      </c>
      <c r="BY74" s="67">
        <v>0</v>
      </c>
      <c r="BZ74" s="67">
        <v>0</v>
      </c>
      <c r="CA74" s="67"/>
      <c r="CB74" s="67">
        <v>0</v>
      </c>
      <c r="CC74" s="67"/>
      <c r="CD74" s="67"/>
      <c r="CE74" s="67">
        <v>0</v>
      </c>
      <c r="CF74" s="67">
        <v>0</v>
      </c>
      <c r="CG74" s="67"/>
      <c r="CH74" s="67"/>
      <c r="CI74" s="67"/>
      <c r="CJ74" s="67"/>
      <c r="CK74" s="67">
        <v>0</v>
      </c>
      <c r="CL74" s="67">
        <v>0</v>
      </c>
      <c r="CM74" s="67"/>
      <c r="CN74" s="67"/>
      <c r="CO74" s="67">
        <v>0</v>
      </c>
      <c r="CP74" s="67">
        <v>0</v>
      </c>
      <c r="CQ74" s="67"/>
      <c r="CR74" s="67"/>
      <c r="CS74" s="67"/>
      <c r="CT74" s="67"/>
      <c r="CU74" s="67">
        <v>0</v>
      </c>
      <c r="CV74" s="67"/>
      <c r="CW74" s="67"/>
      <c r="CX74" s="67"/>
      <c r="CY74" s="67">
        <v>0</v>
      </c>
      <c r="CZ74" s="67"/>
      <c r="DA74" s="67"/>
      <c r="DB74" s="67"/>
      <c r="DC74" s="67"/>
      <c r="DF74" s="67"/>
      <c r="DG74" s="67">
        <v>0</v>
      </c>
      <c r="DH74" s="67">
        <v>0</v>
      </c>
      <c r="DI74" s="67">
        <v>0</v>
      </c>
      <c r="DJ74" s="67"/>
      <c r="DK74" s="67">
        <v>0</v>
      </c>
      <c r="DL74" s="67">
        <v>0</v>
      </c>
      <c r="DM74" s="67">
        <v>0</v>
      </c>
      <c r="DN74" s="67"/>
      <c r="DO74" s="67"/>
      <c r="DP74" s="67"/>
      <c r="DQ74" s="67">
        <v>0</v>
      </c>
      <c r="DR74" s="67">
        <v>0</v>
      </c>
      <c r="DS74" s="67"/>
      <c r="DT74" s="67"/>
      <c r="DU74" s="67">
        <v>0</v>
      </c>
      <c r="DV74" s="67">
        <v>0</v>
      </c>
      <c r="DW74" s="67">
        <v>0</v>
      </c>
      <c r="DX74" s="67">
        <v>0</v>
      </c>
      <c r="DY74" s="67"/>
      <c r="DZ74" s="67">
        <v>0</v>
      </c>
      <c r="EA74" s="67"/>
      <c r="EB74" s="67">
        <v>0</v>
      </c>
      <c r="EC74" s="67"/>
      <c r="ED74" s="67">
        <v>0</v>
      </c>
      <c r="EE74" s="67"/>
      <c r="EF74" s="67">
        <v>0</v>
      </c>
      <c r="EG74" s="67"/>
      <c r="EH74" s="67"/>
      <c r="EI74" s="67"/>
      <c r="EJ74" s="67"/>
      <c r="EK74" s="67"/>
      <c r="EL74" s="67"/>
      <c r="EM74" s="67"/>
      <c r="EN74" s="67"/>
      <c r="EO74" s="67"/>
      <c r="EP74" s="67">
        <v>0</v>
      </c>
      <c r="EQ74" s="67">
        <v>0</v>
      </c>
      <c r="ER74" s="67">
        <v>0</v>
      </c>
      <c r="ES74" s="67"/>
      <c r="ET74">
        <v>0</v>
      </c>
      <c r="EX74" s="67"/>
      <c r="EY74" s="67"/>
      <c r="EZ74" s="67"/>
      <c r="FA74" s="67">
        <v>120</v>
      </c>
      <c r="FB74" s="67"/>
      <c r="FC74" s="67"/>
      <c r="FD74" s="67"/>
      <c r="FE74" s="67"/>
      <c r="FF74" s="67"/>
      <c r="FG74" s="67"/>
      <c r="FH74" s="67"/>
      <c r="FI74" s="67" t="s">
        <v>1600</v>
      </c>
    </row>
    <row r="75" spans="2:165" x14ac:dyDescent="0.2">
      <c r="B75" s="67" t="s">
        <v>305</v>
      </c>
      <c r="C75" s="67" t="s">
        <v>1646</v>
      </c>
      <c r="D75" s="67" t="s">
        <v>409</v>
      </c>
      <c r="E75" s="67" t="s">
        <v>305</v>
      </c>
      <c r="F75" s="67" t="s">
        <v>305</v>
      </c>
      <c r="G75" s="67" t="s">
        <v>1597</v>
      </c>
      <c r="H75" s="67"/>
      <c r="I75" s="67" t="s">
        <v>305</v>
      </c>
      <c r="J75" s="67" t="s">
        <v>305</v>
      </c>
      <c r="K75" s="67" t="s">
        <v>305</v>
      </c>
      <c r="L75" s="67" t="s">
        <v>787</v>
      </c>
      <c r="M75" s="67" t="s">
        <v>752</v>
      </c>
      <c r="N75" s="67" t="s">
        <v>305</v>
      </c>
      <c r="O75" s="67" t="s">
        <v>305</v>
      </c>
      <c r="P75" s="67"/>
      <c r="Q75" s="67">
        <v>0</v>
      </c>
      <c r="R75" s="67">
        <v>0</v>
      </c>
      <c r="S75" s="67">
        <v>0</v>
      </c>
      <c r="T75" s="67">
        <v>0</v>
      </c>
      <c r="U75" s="67">
        <v>0</v>
      </c>
      <c r="V75" s="67">
        <v>0</v>
      </c>
      <c r="W75" s="67">
        <v>0</v>
      </c>
      <c r="X75" s="67">
        <v>0</v>
      </c>
      <c r="Y75" s="67">
        <v>0</v>
      </c>
      <c r="Z75" s="67">
        <v>0</v>
      </c>
      <c r="AA75" s="67">
        <v>0</v>
      </c>
      <c r="AB75" s="67">
        <v>0</v>
      </c>
      <c r="AC75" s="67">
        <v>0</v>
      </c>
      <c r="AD75" s="67">
        <v>0</v>
      </c>
      <c r="AE75" s="67">
        <v>0</v>
      </c>
      <c r="AF75" s="67">
        <v>0</v>
      </c>
      <c r="AG75" s="67">
        <v>0</v>
      </c>
      <c r="AH75" s="67">
        <v>0</v>
      </c>
      <c r="AI75" s="67">
        <v>0</v>
      </c>
      <c r="AJ75" s="67">
        <v>0</v>
      </c>
      <c r="AK75" s="67">
        <v>0</v>
      </c>
      <c r="AL75" s="67">
        <v>0</v>
      </c>
      <c r="AM75" s="67">
        <v>0</v>
      </c>
      <c r="AN75" s="67">
        <v>0</v>
      </c>
      <c r="AO75" s="67">
        <v>0</v>
      </c>
      <c r="AP75" s="67">
        <v>0</v>
      </c>
      <c r="AQ75" s="67">
        <v>0</v>
      </c>
      <c r="AR75" s="67">
        <v>0</v>
      </c>
      <c r="AS75" s="67">
        <v>0</v>
      </c>
      <c r="AT75" s="67"/>
      <c r="AU75" s="67"/>
      <c r="AV75" s="67"/>
      <c r="AW75" s="67">
        <v>0</v>
      </c>
      <c r="AX75" s="67">
        <v>0</v>
      </c>
      <c r="AY75" s="67"/>
      <c r="AZ75" s="67"/>
      <c r="BA75" s="67"/>
      <c r="BB75" s="67"/>
      <c r="BC75" s="67"/>
      <c r="BD75" s="67"/>
      <c r="BE75" s="67"/>
      <c r="BG75" s="67"/>
      <c r="BH75" s="67"/>
      <c r="BI75" s="67"/>
      <c r="BJ75" s="67">
        <v>0</v>
      </c>
      <c r="BK75" s="67"/>
      <c r="BL75" s="67"/>
      <c r="BP75" s="67"/>
      <c r="BQ75" s="67">
        <v>0</v>
      </c>
      <c r="BR75" s="67"/>
      <c r="BS75" s="67"/>
      <c r="BT75" s="67">
        <v>0</v>
      </c>
      <c r="BU75" s="67"/>
      <c r="BV75" s="67"/>
      <c r="BW75" s="67">
        <v>0</v>
      </c>
      <c r="BX75" s="67">
        <v>0</v>
      </c>
      <c r="BY75" s="67">
        <v>0</v>
      </c>
      <c r="BZ75" s="67">
        <v>0</v>
      </c>
      <c r="CA75" s="67"/>
      <c r="CB75" s="67">
        <v>0</v>
      </c>
      <c r="CC75" s="67"/>
      <c r="CD75" s="67"/>
      <c r="CE75" s="67">
        <v>0</v>
      </c>
      <c r="CF75" s="67">
        <v>0</v>
      </c>
      <c r="CG75" s="67"/>
      <c r="CH75" s="67"/>
      <c r="CI75" s="67"/>
      <c r="CJ75" s="67"/>
      <c r="CK75" s="67">
        <v>0</v>
      </c>
      <c r="CL75" s="67">
        <v>0</v>
      </c>
      <c r="CM75" s="67"/>
      <c r="CN75" s="67"/>
      <c r="CO75" s="67">
        <v>0</v>
      </c>
      <c r="CP75" s="67">
        <v>0</v>
      </c>
      <c r="CQ75" s="67"/>
      <c r="CR75" s="67"/>
      <c r="CS75" s="67"/>
      <c r="CT75" s="67"/>
      <c r="CU75" s="67">
        <v>0</v>
      </c>
      <c r="CV75" s="67"/>
      <c r="CW75" s="67"/>
      <c r="CX75" s="67"/>
      <c r="CY75" s="67">
        <v>0</v>
      </c>
      <c r="CZ75" s="67"/>
      <c r="DA75" s="67"/>
      <c r="DB75" s="67"/>
      <c r="DC75" s="67"/>
      <c r="DF75" s="67"/>
      <c r="DG75" s="67">
        <v>0</v>
      </c>
      <c r="DH75" s="67">
        <v>0</v>
      </c>
      <c r="DI75" s="67">
        <v>0</v>
      </c>
      <c r="DJ75" s="67"/>
      <c r="DK75" s="67">
        <v>0</v>
      </c>
      <c r="DL75" s="67">
        <v>0</v>
      </c>
      <c r="DM75" s="67">
        <v>0</v>
      </c>
      <c r="DN75" s="67"/>
      <c r="DO75" s="67"/>
      <c r="DP75" s="67"/>
      <c r="DQ75" s="67">
        <v>0</v>
      </c>
      <c r="DR75" s="67">
        <v>0</v>
      </c>
      <c r="DS75" s="67"/>
      <c r="DT75" s="67"/>
      <c r="DU75" s="67">
        <v>0</v>
      </c>
      <c r="DV75" s="67">
        <v>0</v>
      </c>
      <c r="DW75" s="67">
        <v>0</v>
      </c>
      <c r="DX75" s="67">
        <v>0</v>
      </c>
      <c r="DY75" s="67"/>
      <c r="DZ75" s="67">
        <v>0</v>
      </c>
      <c r="EA75" s="67"/>
      <c r="EB75" s="67">
        <v>0</v>
      </c>
      <c r="EC75" s="67"/>
      <c r="ED75" s="67">
        <v>0</v>
      </c>
      <c r="EE75" s="67"/>
      <c r="EF75" s="67">
        <v>0</v>
      </c>
      <c r="EG75" s="67"/>
      <c r="EH75" s="67"/>
      <c r="EI75" s="67"/>
      <c r="EJ75" s="67"/>
      <c r="EK75" s="67"/>
      <c r="EL75" s="67"/>
      <c r="EM75" s="67"/>
      <c r="EN75" s="67"/>
      <c r="EO75" s="67"/>
      <c r="EP75" s="67">
        <v>0</v>
      </c>
      <c r="EQ75" s="67">
        <v>0</v>
      </c>
      <c r="ER75" s="67">
        <v>0</v>
      </c>
      <c r="ES75" s="67"/>
      <c r="ET75">
        <v>0</v>
      </c>
      <c r="EX75" s="67"/>
      <c r="EY75" s="67"/>
      <c r="EZ75" s="67"/>
      <c r="FA75" s="67">
        <v>0</v>
      </c>
      <c r="FB75" s="67"/>
      <c r="FC75" s="67"/>
      <c r="FD75" s="67"/>
      <c r="FE75" s="67"/>
      <c r="FF75" s="67"/>
      <c r="FG75" s="67"/>
      <c r="FH75" s="67"/>
      <c r="FI75" s="67" t="s">
        <v>1600</v>
      </c>
    </row>
    <row r="76" spans="2:165" ht="24" x14ac:dyDescent="0.2">
      <c r="B76" s="67" t="s">
        <v>410</v>
      </c>
      <c r="C76" s="67" t="s">
        <v>410</v>
      </c>
      <c r="D76" s="67" t="s">
        <v>411</v>
      </c>
      <c r="E76" s="67" t="s">
        <v>13</v>
      </c>
      <c r="F76" s="67" t="s">
        <v>766</v>
      </c>
      <c r="G76" s="67" t="s">
        <v>1597</v>
      </c>
      <c r="H76" s="67"/>
      <c r="I76" s="67" t="s">
        <v>41</v>
      </c>
      <c r="J76" s="67" t="s">
        <v>68</v>
      </c>
      <c r="K76" s="67" t="s">
        <v>1643</v>
      </c>
      <c r="L76" s="67" t="s">
        <v>767</v>
      </c>
      <c r="M76" s="67" t="s">
        <v>752</v>
      </c>
      <c r="N76" s="67" t="s">
        <v>1598</v>
      </c>
      <c r="O76" s="67" t="s">
        <v>1599</v>
      </c>
      <c r="P76" s="67"/>
      <c r="Q76" s="67">
        <v>480</v>
      </c>
      <c r="R76" s="67">
        <v>0</v>
      </c>
      <c r="S76" s="67">
        <v>0</v>
      </c>
      <c r="T76" s="67">
        <v>0</v>
      </c>
      <c r="U76" s="67">
        <v>0</v>
      </c>
      <c r="V76" s="67">
        <v>0</v>
      </c>
      <c r="W76" s="67">
        <v>0</v>
      </c>
      <c r="X76" s="67">
        <v>0</v>
      </c>
      <c r="Y76" s="67">
        <v>0</v>
      </c>
      <c r="Z76" s="67">
        <v>0</v>
      </c>
      <c r="AA76" s="67">
        <v>0</v>
      </c>
      <c r="AB76" s="67">
        <v>0</v>
      </c>
      <c r="AC76" s="67">
        <v>0</v>
      </c>
      <c r="AD76" s="67">
        <v>0</v>
      </c>
      <c r="AE76" s="67">
        <v>0</v>
      </c>
      <c r="AF76" s="67">
        <v>0</v>
      </c>
      <c r="AG76" s="67">
        <v>480</v>
      </c>
      <c r="AH76" s="67">
        <v>0</v>
      </c>
      <c r="AI76" s="67">
        <v>0</v>
      </c>
      <c r="AJ76" s="67">
        <v>0</v>
      </c>
      <c r="AK76" s="67">
        <v>0</v>
      </c>
      <c r="AL76" s="67">
        <v>0</v>
      </c>
      <c r="AM76" s="67">
        <v>0</v>
      </c>
      <c r="AN76" s="67">
        <v>0</v>
      </c>
      <c r="AO76" s="67">
        <v>0</v>
      </c>
      <c r="AP76" s="67">
        <v>0</v>
      </c>
      <c r="AQ76" s="67">
        <v>0</v>
      </c>
      <c r="AR76" s="67">
        <v>0</v>
      </c>
      <c r="AS76" s="67">
        <v>0</v>
      </c>
      <c r="AT76" s="67"/>
      <c r="AU76" s="67"/>
      <c r="AV76" s="67"/>
      <c r="AW76" s="67">
        <v>0</v>
      </c>
      <c r="AX76" s="67">
        <v>0</v>
      </c>
      <c r="AY76" s="67"/>
      <c r="AZ76" s="67"/>
      <c r="BA76" s="67"/>
      <c r="BB76" s="67"/>
      <c r="BC76" s="67"/>
      <c r="BD76" s="67"/>
      <c r="BE76" s="67"/>
      <c r="BG76" s="67"/>
      <c r="BH76" s="67"/>
      <c r="BI76" s="67"/>
      <c r="BJ76" s="67">
        <v>0</v>
      </c>
      <c r="BK76" s="67"/>
      <c r="BL76" s="67"/>
      <c r="BP76" s="67"/>
      <c r="BQ76" s="67">
        <v>0</v>
      </c>
      <c r="BR76" s="67"/>
      <c r="BS76" s="67"/>
      <c r="BT76" s="67">
        <v>0</v>
      </c>
      <c r="BU76" s="67"/>
      <c r="BV76" s="67"/>
      <c r="BW76" s="67">
        <v>0</v>
      </c>
      <c r="BX76" s="67">
        <v>0</v>
      </c>
      <c r="BY76" s="67">
        <v>0</v>
      </c>
      <c r="BZ76" s="67">
        <v>0</v>
      </c>
      <c r="CA76" s="67"/>
      <c r="CB76" s="67">
        <v>0</v>
      </c>
      <c r="CC76" s="67"/>
      <c r="CD76" s="67"/>
      <c r="CE76" s="67">
        <v>0</v>
      </c>
      <c r="CF76" s="67">
        <v>0</v>
      </c>
      <c r="CG76" s="67"/>
      <c r="CH76" s="67"/>
      <c r="CI76" s="67"/>
      <c r="CJ76" s="67"/>
      <c r="CK76" s="67">
        <v>0</v>
      </c>
      <c r="CL76" s="67">
        <v>0</v>
      </c>
      <c r="CM76" s="67"/>
      <c r="CN76" s="67"/>
      <c r="CO76" s="67">
        <v>0</v>
      </c>
      <c r="CP76" s="67">
        <v>0</v>
      </c>
      <c r="CQ76" s="67"/>
      <c r="CR76" s="67"/>
      <c r="CS76" s="67"/>
      <c r="CT76" s="67"/>
      <c r="CU76" s="67">
        <v>0</v>
      </c>
      <c r="CV76" s="67"/>
      <c r="CW76" s="67"/>
      <c r="CX76" s="67"/>
      <c r="CY76" s="67">
        <v>0</v>
      </c>
      <c r="CZ76" s="67"/>
      <c r="DA76" s="67"/>
      <c r="DB76" s="67"/>
      <c r="DC76" s="67"/>
      <c r="DF76" s="67"/>
      <c r="DG76" s="67">
        <v>0</v>
      </c>
      <c r="DH76" s="67">
        <v>0</v>
      </c>
      <c r="DI76" s="67">
        <v>0</v>
      </c>
      <c r="DJ76" s="67"/>
      <c r="DK76" s="67">
        <v>0</v>
      </c>
      <c r="DL76" s="67">
        <v>0</v>
      </c>
      <c r="DM76" s="67">
        <v>0</v>
      </c>
      <c r="DN76" s="67"/>
      <c r="DO76" s="67"/>
      <c r="DP76" s="67"/>
      <c r="DQ76" s="67">
        <v>0</v>
      </c>
      <c r="DR76" s="67">
        <v>0</v>
      </c>
      <c r="DS76" s="67"/>
      <c r="DT76" s="67"/>
      <c r="DU76" s="67">
        <v>0</v>
      </c>
      <c r="DV76" s="67">
        <v>0</v>
      </c>
      <c r="DW76" s="67">
        <v>0</v>
      </c>
      <c r="DX76" s="67">
        <v>0</v>
      </c>
      <c r="DY76" s="67"/>
      <c r="DZ76" s="67">
        <v>0</v>
      </c>
      <c r="EA76" s="67"/>
      <c r="EB76" s="67">
        <v>0</v>
      </c>
      <c r="EC76" s="67"/>
      <c r="ED76" s="67">
        <v>0</v>
      </c>
      <c r="EE76" s="67"/>
      <c r="EF76" s="67">
        <v>0</v>
      </c>
      <c r="EG76" s="67"/>
      <c r="EH76" s="67"/>
      <c r="EI76" s="67"/>
      <c r="EJ76" s="67"/>
      <c r="EK76" s="67"/>
      <c r="EL76" s="67"/>
      <c r="EM76" s="67"/>
      <c r="EN76" s="67"/>
      <c r="EO76" s="67"/>
      <c r="EP76" s="67">
        <v>0</v>
      </c>
      <c r="EQ76" s="67">
        <v>0</v>
      </c>
      <c r="ER76" s="67">
        <v>0</v>
      </c>
      <c r="ES76" s="67"/>
      <c r="ET76">
        <v>0</v>
      </c>
      <c r="EX76" s="67"/>
      <c r="EY76" s="67"/>
      <c r="EZ76" s="67"/>
      <c r="FA76" s="67">
        <v>480</v>
      </c>
      <c r="FB76" s="67"/>
      <c r="FC76" s="67"/>
      <c r="FD76" s="67"/>
      <c r="FE76" s="67"/>
      <c r="FF76" s="67"/>
      <c r="FG76" s="67"/>
      <c r="FH76" s="67"/>
      <c r="FI76" s="67" t="s">
        <v>1600</v>
      </c>
    </row>
    <row r="77" spans="2:165" x14ac:dyDescent="0.2">
      <c r="B77" s="67" t="s">
        <v>305</v>
      </c>
      <c r="C77" s="67" t="s">
        <v>1647</v>
      </c>
      <c r="D77" s="67" t="s">
        <v>412</v>
      </c>
      <c r="E77" s="67" t="s">
        <v>305</v>
      </c>
      <c r="F77" s="67" t="s">
        <v>305</v>
      </c>
      <c r="G77" s="67" t="s">
        <v>1597</v>
      </c>
      <c r="H77" s="67"/>
      <c r="I77" s="67" t="s">
        <v>305</v>
      </c>
      <c r="J77" s="67" t="s">
        <v>305</v>
      </c>
      <c r="K77" s="67" t="s">
        <v>305</v>
      </c>
      <c r="L77" s="67" t="s">
        <v>787</v>
      </c>
      <c r="M77" s="67" t="s">
        <v>752</v>
      </c>
      <c r="N77" s="67" t="s">
        <v>305</v>
      </c>
      <c r="O77" s="67" t="s">
        <v>305</v>
      </c>
      <c r="P77" s="67"/>
      <c r="Q77" s="67">
        <v>0</v>
      </c>
      <c r="R77" s="67">
        <v>0</v>
      </c>
      <c r="S77" s="67">
        <v>0</v>
      </c>
      <c r="T77" s="67">
        <v>0</v>
      </c>
      <c r="U77" s="67">
        <v>0</v>
      </c>
      <c r="V77" s="67">
        <v>0</v>
      </c>
      <c r="W77" s="67">
        <v>0</v>
      </c>
      <c r="X77" s="67">
        <v>0</v>
      </c>
      <c r="Y77" s="67">
        <v>0</v>
      </c>
      <c r="Z77" s="67">
        <v>0</v>
      </c>
      <c r="AA77" s="67">
        <v>0</v>
      </c>
      <c r="AB77" s="67">
        <v>0</v>
      </c>
      <c r="AC77" s="67">
        <v>0</v>
      </c>
      <c r="AD77" s="67">
        <v>0</v>
      </c>
      <c r="AE77" s="67">
        <v>0</v>
      </c>
      <c r="AF77" s="67">
        <v>0</v>
      </c>
      <c r="AG77" s="67">
        <v>0</v>
      </c>
      <c r="AH77" s="67">
        <v>0</v>
      </c>
      <c r="AI77" s="67">
        <v>0</v>
      </c>
      <c r="AJ77" s="67">
        <v>0</v>
      </c>
      <c r="AK77" s="67">
        <v>0</v>
      </c>
      <c r="AL77" s="67">
        <v>0</v>
      </c>
      <c r="AM77" s="67">
        <v>0</v>
      </c>
      <c r="AN77" s="67">
        <v>0</v>
      </c>
      <c r="AO77" s="67">
        <v>0</v>
      </c>
      <c r="AP77" s="67">
        <v>0</v>
      </c>
      <c r="AQ77" s="67">
        <v>0</v>
      </c>
      <c r="AR77" s="67">
        <v>0</v>
      </c>
      <c r="AS77" s="67">
        <v>0</v>
      </c>
      <c r="AT77" s="67"/>
      <c r="AU77" s="67"/>
      <c r="AV77" s="67"/>
      <c r="AW77" s="67">
        <v>0</v>
      </c>
      <c r="AX77" s="67">
        <v>0</v>
      </c>
      <c r="AY77" s="67"/>
      <c r="AZ77" s="67"/>
      <c r="BA77" s="67"/>
      <c r="BB77" s="67"/>
      <c r="BC77" s="67"/>
      <c r="BD77" s="67"/>
      <c r="BE77" s="67"/>
      <c r="BG77" s="67"/>
      <c r="BH77" s="67"/>
      <c r="BI77" s="67"/>
      <c r="BJ77" s="67">
        <v>0</v>
      </c>
      <c r="BK77" s="67"/>
      <c r="BL77" s="67"/>
      <c r="BP77" s="67"/>
      <c r="BQ77" s="67">
        <v>0</v>
      </c>
      <c r="BR77" s="67"/>
      <c r="BS77" s="67"/>
      <c r="BT77" s="67">
        <v>0</v>
      </c>
      <c r="BU77" s="67"/>
      <c r="BV77" s="67"/>
      <c r="BW77" s="67">
        <v>0</v>
      </c>
      <c r="BX77" s="67">
        <v>0</v>
      </c>
      <c r="BY77" s="67">
        <v>0</v>
      </c>
      <c r="BZ77" s="67">
        <v>0</v>
      </c>
      <c r="CA77" s="67"/>
      <c r="CB77" s="67">
        <v>0</v>
      </c>
      <c r="CC77" s="67"/>
      <c r="CD77" s="67"/>
      <c r="CE77" s="67">
        <v>0</v>
      </c>
      <c r="CF77" s="67">
        <v>0</v>
      </c>
      <c r="CG77" s="67"/>
      <c r="CH77" s="67"/>
      <c r="CI77" s="67"/>
      <c r="CJ77" s="67"/>
      <c r="CK77" s="67">
        <v>0</v>
      </c>
      <c r="CL77" s="67">
        <v>0</v>
      </c>
      <c r="CM77" s="67"/>
      <c r="CN77" s="67"/>
      <c r="CO77" s="67">
        <v>0</v>
      </c>
      <c r="CP77" s="67">
        <v>0</v>
      </c>
      <c r="CQ77" s="67"/>
      <c r="CR77" s="67"/>
      <c r="CS77" s="67"/>
      <c r="CT77" s="67"/>
      <c r="CU77" s="67">
        <v>0</v>
      </c>
      <c r="CV77" s="67"/>
      <c r="CW77" s="67"/>
      <c r="CX77" s="67"/>
      <c r="CY77" s="67">
        <v>0</v>
      </c>
      <c r="CZ77" s="67"/>
      <c r="DA77" s="67"/>
      <c r="DB77" s="67"/>
      <c r="DC77" s="67"/>
      <c r="DF77" s="67"/>
      <c r="DG77" s="67">
        <v>0</v>
      </c>
      <c r="DH77" s="67">
        <v>0</v>
      </c>
      <c r="DI77" s="67">
        <v>0</v>
      </c>
      <c r="DJ77" s="67"/>
      <c r="DK77" s="67">
        <v>0</v>
      </c>
      <c r="DL77" s="67">
        <v>0</v>
      </c>
      <c r="DM77" s="67">
        <v>0</v>
      </c>
      <c r="DN77" s="67"/>
      <c r="DO77" s="67"/>
      <c r="DP77" s="67"/>
      <c r="DQ77" s="67">
        <v>0</v>
      </c>
      <c r="DR77" s="67">
        <v>0</v>
      </c>
      <c r="DS77" s="67"/>
      <c r="DT77" s="67"/>
      <c r="DU77" s="67">
        <v>0</v>
      </c>
      <c r="DV77" s="67">
        <v>0</v>
      </c>
      <c r="DW77" s="67">
        <v>0</v>
      </c>
      <c r="DX77" s="67">
        <v>0</v>
      </c>
      <c r="DY77" s="67"/>
      <c r="DZ77" s="67">
        <v>0</v>
      </c>
      <c r="EA77" s="67"/>
      <c r="EB77" s="67">
        <v>0</v>
      </c>
      <c r="EC77" s="67"/>
      <c r="ED77" s="67">
        <v>0</v>
      </c>
      <c r="EE77" s="67"/>
      <c r="EF77" s="67">
        <v>0</v>
      </c>
      <c r="EG77" s="67"/>
      <c r="EH77" s="67"/>
      <c r="EI77" s="67"/>
      <c r="EJ77" s="67"/>
      <c r="EK77" s="67"/>
      <c r="EL77" s="67"/>
      <c r="EM77" s="67"/>
      <c r="EN77" s="67"/>
      <c r="EO77" s="67"/>
      <c r="EP77" s="67">
        <v>0</v>
      </c>
      <c r="EQ77" s="67">
        <v>0</v>
      </c>
      <c r="ER77" s="67">
        <v>0</v>
      </c>
      <c r="ES77" s="67"/>
      <c r="ET77">
        <v>0</v>
      </c>
      <c r="EX77" s="67"/>
      <c r="EY77" s="67"/>
      <c r="EZ77" s="67"/>
      <c r="FA77" s="67">
        <v>0</v>
      </c>
      <c r="FB77" s="67"/>
      <c r="FC77" s="67"/>
      <c r="FD77" s="67"/>
      <c r="FE77" s="67"/>
      <c r="FF77" s="67"/>
      <c r="FG77" s="67"/>
      <c r="FH77" s="67"/>
      <c r="FI77" s="67" t="s">
        <v>1600</v>
      </c>
    </row>
    <row r="78" spans="2:165" x14ac:dyDescent="0.2">
      <c r="B78" s="67" t="s">
        <v>305</v>
      </c>
      <c r="C78" s="67" t="s">
        <v>1648</v>
      </c>
      <c r="D78" s="67" t="s">
        <v>413</v>
      </c>
      <c r="E78" s="67" t="s">
        <v>305</v>
      </c>
      <c r="F78" s="67" t="s">
        <v>305</v>
      </c>
      <c r="G78" s="67" t="s">
        <v>1597</v>
      </c>
      <c r="H78" s="67"/>
      <c r="I78" s="67" t="s">
        <v>305</v>
      </c>
      <c r="J78" s="67" t="s">
        <v>305</v>
      </c>
      <c r="K78" s="67" t="s">
        <v>305</v>
      </c>
      <c r="L78" s="67" t="s">
        <v>787</v>
      </c>
      <c r="M78" s="67" t="s">
        <v>752</v>
      </c>
      <c r="N78" s="67" t="s">
        <v>305</v>
      </c>
      <c r="O78" s="67" t="s">
        <v>305</v>
      </c>
      <c r="P78" s="67"/>
      <c r="Q78" s="67">
        <v>0</v>
      </c>
      <c r="R78" s="67">
        <v>0</v>
      </c>
      <c r="S78" s="67">
        <v>0</v>
      </c>
      <c r="T78" s="67">
        <v>0</v>
      </c>
      <c r="U78" s="67">
        <v>0</v>
      </c>
      <c r="V78" s="67">
        <v>0</v>
      </c>
      <c r="W78" s="67">
        <v>0</v>
      </c>
      <c r="X78" s="67">
        <v>0</v>
      </c>
      <c r="Y78" s="67">
        <v>0</v>
      </c>
      <c r="Z78" s="67">
        <v>0</v>
      </c>
      <c r="AA78" s="67">
        <v>0</v>
      </c>
      <c r="AB78" s="67">
        <v>0</v>
      </c>
      <c r="AC78" s="67">
        <v>0</v>
      </c>
      <c r="AD78" s="67">
        <v>0</v>
      </c>
      <c r="AE78" s="67">
        <v>0</v>
      </c>
      <c r="AF78" s="67">
        <v>0</v>
      </c>
      <c r="AG78" s="67">
        <v>0</v>
      </c>
      <c r="AH78" s="67">
        <v>0</v>
      </c>
      <c r="AI78" s="67">
        <v>0</v>
      </c>
      <c r="AJ78" s="67">
        <v>0</v>
      </c>
      <c r="AK78" s="67">
        <v>0</v>
      </c>
      <c r="AL78" s="67">
        <v>0</v>
      </c>
      <c r="AM78" s="67">
        <v>0</v>
      </c>
      <c r="AN78" s="67">
        <v>0</v>
      </c>
      <c r="AO78" s="67">
        <v>0</v>
      </c>
      <c r="AP78" s="67">
        <v>0</v>
      </c>
      <c r="AQ78" s="67">
        <v>0</v>
      </c>
      <c r="AR78" s="67">
        <v>0</v>
      </c>
      <c r="AS78" s="67">
        <v>0</v>
      </c>
      <c r="AT78" s="67"/>
      <c r="AU78" s="67"/>
      <c r="AV78" s="67"/>
      <c r="AW78" s="67">
        <v>0</v>
      </c>
      <c r="AX78" s="67">
        <v>0</v>
      </c>
      <c r="AY78" s="67"/>
      <c r="AZ78" s="67"/>
      <c r="BA78" s="67"/>
      <c r="BB78" s="67"/>
      <c r="BC78" s="67"/>
      <c r="BD78" s="67"/>
      <c r="BE78" s="67"/>
      <c r="BG78" s="67"/>
      <c r="BH78" s="67"/>
      <c r="BI78" s="67"/>
      <c r="BJ78" s="67">
        <v>0</v>
      </c>
      <c r="BK78" s="67"/>
      <c r="BL78" s="67"/>
      <c r="BP78" s="67"/>
      <c r="BQ78" s="67">
        <v>0</v>
      </c>
      <c r="BR78" s="67"/>
      <c r="BS78" s="67"/>
      <c r="BT78" s="67">
        <v>0</v>
      </c>
      <c r="BU78" s="67"/>
      <c r="BV78" s="67"/>
      <c r="BW78" s="67">
        <v>0</v>
      </c>
      <c r="BX78" s="67">
        <v>0</v>
      </c>
      <c r="BY78" s="67">
        <v>0</v>
      </c>
      <c r="BZ78" s="67">
        <v>0</v>
      </c>
      <c r="CA78" s="67"/>
      <c r="CB78" s="67">
        <v>0</v>
      </c>
      <c r="CC78" s="67"/>
      <c r="CD78" s="67"/>
      <c r="CE78" s="67">
        <v>0</v>
      </c>
      <c r="CF78" s="67">
        <v>0</v>
      </c>
      <c r="CG78" s="67"/>
      <c r="CH78" s="67"/>
      <c r="CI78" s="67"/>
      <c r="CJ78" s="67"/>
      <c r="CK78" s="67">
        <v>0</v>
      </c>
      <c r="CL78" s="67">
        <v>0</v>
      </c>
      <c r="CM78" s="67"/>
      <c r="CN78" s="67"/>
      <c r="CO78" s="67">
        <v>0</v>
      </c>
      <c r="CP78" s="67">
        <v>0</v>
      </c>
      <c r="CQ78" s="67"/>
      <c r="CR78" s="67"/>
      <c r="CS78" s="67"/>
      <c r="CT78" s="67"/>
      <c r="CU78" s="67">
        <v>0</v>
      </c>
      <c r="CV78" s="67"/>
      <c r="CW78" s="67"/>
      <c r="CX78" s="67"/>
      <c r="CY78" s="67">
        <v>0</v>
      </c>
      <c r="CZ78" s="67"/>
      <c r="DA78" s="67"/>
      <c r="DB78" s="67"/>
      <c r="DC78" s="67"/>
      <c r="DF78" s="67"/>
      <c r="DG78" s="67">
        <v>0</v>
      </c>
      <c r="DH78" s="67">
        <v>0</v>
      </c>
      <c r="DI78" s="67">
        <v>0</v>
      </c>
      <c r="DJ78" s="67"/>
      <c r="DK78" s="67">
        <v>0</v>
      </c>
      <c r="DL78" s="67">
        <v>0</v>
      </c>
      <c r="DM78" s="67">
        <v>0</v>
      </c>
      <c r="DN78" s="67"/>
      <c r="DO78" s="67"/>
      <c r="DP78" s="67"/>
      <c r="DQ78" s="67">
        <v>0</v>
      </c>
      <c r="DR78" s="67">
        <v>0</v>
      </c>
      <c r="DS78" s="67"/>
      <c r="DT78" s="67"/>
      <c r="DU78" s="67">
        <v>0</v>
      </c>
      <c r="DV78" s="67">
        <v>0</v>
      </c>
      <c r="DW78" s="67">
        <v>0</v>
      </c>
      <c r="DX78" s="67">
        <v>0</v>
      </c>
      <c r="DY78" s="67"/>
      <c r="DZ78" s="67">
        <v>0</v>
      </c>
      <c r="EA78" s="67"/>
      <c r="EB78" s="67">
        <v>0</v>
      </c>
      <c r="EC78" s="67"/>
      <c r="ED78" s="67">
        <v>0</v>
      </c>
      <c r="EE78" s="67"/>
      <c r="EF78" s="67">
        <v>0</v>
      </c>
      <c r="EG78" s="67"/>
      <c r="EH78" s="67"/>
      <c r="EI78" s="67"/>
      <c r="EJ78" s="67"/>
      <c r="EK78" s="67"/>
      <c r="EL78" s="67"/>
      <c r="EM78" s="67"/>
      <c r="EN78" s="67"/>
      <c r="EO78" s="67"/>
      <c r="EP78" s="67">
        <v>0</v>
      </c>
      <c r="EQ78" s="67">
        <v>0</v>
      </c>
      <c r="ER78" s="67">
        <v>0</v>
      </c>
      <c r="ES78" s="67"/>
      <c r="ET78">
        <v>0</v>
      </c>
      <c r="EX78" s="67"/>
      <c r="EY78" s="67"/>
      <c r="EZ78" s="67"/>
      <c r="FA78" s="67">
        <v>0</v>
      </c>
      <c r="FB78" s="67"/>
      <c r="FC78" s="67"/>
      <c r="FD78" s="67"/>
      <c r="FE78" s="67"/>
      <c r="FF78" s="67"/>
      <c r="FG78" s="67"/>
      <c r="FH78" s="67"/>
      <c r="FI78" s="67" t="s">
        <v>1600</v>
      </c>
    </row>
    <row r="79" spans="2:165" ht="24" x14ac:dyDescent="0.2">
      <c r="B79" s="67" t="s">
        <v>414</v>
      </c>
      <c r="C79" s="67" t="s">
        <v>414</v>
      </c>
      <c r="D79" s="67" t="s">
        <v>415</v>
      </c>
      <c r="E79" s="67" t="s">
        <v>889</v>
      </c>
      <c r="F79" s="67" t="s">
        <v>766</v>
      </c>
      <c r="G79" s="67" t="s">
        <v>1597</v>
      </c>
      <c r="H79" s="67"/>
      <c r="I79" s="67" t="s">
        <v>43</v>
      </c>
      <c r="J79" s="67" t="s">
        <v>68</v>
      </c>
      <c r="K79" s="67" t="s">
        <v>774</v>
      </c>
      <c r="L79" s="67" t="s">
        <v>767</v>
      </c>
      <c r="M79" s="67" t="s">
        <v>752</v>
      </c>
      <c r="N79" s="67" t="s">
        <v>1598</v>
      </c>
      <c r="O79" s="67" t="s">
        <v>1599</v>
      </c>
      <c r="P79" s="67"/>
      <c r="Q79" s="67">
        <v>150</v>
      </c>
      <c r="R79" s="67">
        <v>0</v>
      </c>
      <c r="S79" s="67">
        <v>0</v>
      </c>
      <c r="T79" s="67">
        <v>0</v>
      </c>
      <c r="U79" s="67">
        <v>0</v>
      </c>
      <c r="V79" s="67">
        <v>0</v>
      </c>
      <c r="W79" s="67">
        <v>0</v>
      </c>
      <c r="X79" s="67">
        <v>0</v>
      </c>
      <c r="Y79" s="67">
        <v>0</v>
      </c>
      <c r="Z79" s="67">
        <v>0</v>
      </c>
      <c r="AA79" s="67">
        <v>0</v>
      </c>
      <c r="AB79" s="67">
        <v>0</v>
      </c>
      <c r="AC79" s="67">
        <v>0</v>
      </c>
      <c r="AD79" s="67">
        <v>0</v>
      </c>
      <c r="AE79" s="67">
        <v>0</v>
      </c>
      <c r="AF79" s="67">
        <v>0</v>
      </c>
      <c r="AG79" s="67">
        <v>150</v>
      </c>
      <c r="AH79" s="67">
        <v>0</v>
      </c>
      <c r="AI79" s="67">
        <v>0</v>
      </c>
      <c r="AJ79" s="67">
        <v>0</v>
      </c>
      <c r="AK79" s="67">
        <v>0</v>
      </c>
      <c r="AL79" s="67">
        <v>0</v>
      </c>
      <c r="AM79" s="67">
        <v>0</v>
      </c>
      <c r="AN79" s="67">
        <v>0</v>
      </c>
      <c r="AO79" s="67">
        <v>0</v>
      </c>
      <c r="AP79" s="67">
        <v>0</v>
      </c>
      <c r="AQ79" s="67">
        <v>0</v>
      </c>
      <c r="AR79" s="67">
        <v>0</v>
      </c>
      <c r="AS79" s="67">
        <v>0</v>
      </c>
      <c r="AT79" s="67"/>
      <c r="AU79" s="67"/>
      <c r="AV79" s="67"/>
      <c r="AW79" s="67">
        <v>0</v>
      </c>
      <c r="AX79" s="67">
        <v>0</v>
      </c>
      <c r="AY79" s="67"/>
      <c r="AZ79" s="67"/>
      <c r="BA79" s="67"/>
      <c r="BB79" s="67"/>
      <c r="BC79" s="67"/>
      <c r="BD79" s="67"/>
      <c r="BE79" s="67"/>
      <c r="BG79" s="67"/>
      <c r="BH79" s="67"/>
      <c r="BI79" s="67"/>
      <c r="BJ79" s="67">
        <v>0</v>
      </c>
      <c r="BK79" s="67"/>
      <c r="BL79" s="67"/>
      <c r="BP79" s="67"/>
      <c r="BQ79" s="67">
        <v>0</v>
      </c>
      <c r="BR79" s="67"/>
      <c r="BS79" s="67"/>
      <c r="BT79" s="67">
        <v>0</v>
      </c>
      <c r="BU79" s="67"/>
      <c r="BV79" s="67"/>
      <c r="BW79" s="67">
        <v>0</v>
      </c>
      <c r="BX79" s="67">
        <v>0</v>
      </c>
      <c r="BY79" s="67">
        <v>0</v>
      </c>
      <c r="BZ79" s="67">
        <v>0</v>
      </c>
      <c r="CA79" s="67"/>
      <c r="CB79" s="67">
        <v>0</v>
      </c>
      <c r="CC79" s="67"/>
      <c r="CD79" s="67"/>
      <c r="CE79" s="67">
        <v>0</v>
      </c>
      <c r="CF79" s="67">
        <v>0</v>
      </c>
      <c r="CG79" s="67"/>
      <c r="CH79" s="67"/>
      <c r="CI79" s="67"/>
      <c r="CJ79" s="67"/>
      <c r="CK79" s="67">
        <v>0</v>
      </c>
      <c r="CL79" s="67">
        <v>0</v>
      </c>
      <c r="CM79" s="67"/>
      <c r="CN79" s="67"/>
      <c r="CO79" s="67">
        <v>0</v>
      </c>
      <c r="CP79" s="67">
        <v>0</v>
      </c>
      <c r="CQ79" s="67"/>
      <c r="CR79" s="67"/>
      <c r="CS79" s="67"/>
      <c r="CT79" s="67"/>
      <c r="CU79" s="67">
        <v>0</v>
      </c>
      <c r="CV79" s="67"/>
      <c r="CW79" s="67"/>
      <c r="CX79" s="67"/>
      <c r="CY79" s="67">
        <v>0</v>
      </c>
      <c r="CZ79" s="67"/>
      <c r="DA79" s="67"/>
      <c r="DB79" s="67"/>
      <c r="DC79" s="67"/>
      <c r="DF79" s="67"/>
      <c r="DG79" s="67">
        <v>0</v>
      </c>
      <c r="DH79" s="67">
        <v>0</v>
      </c>
      <c r="DI79" s="67">
        <v>0</v>
      </c>
      <c r="DJ79" s="67"/>
      <c r="DK79" s="67">
        <v>0</v>
      </c>
      <c r="DL79" s="67">
        <v>0</v>
      </c>
      <c r="DM79" s="67">
        <v>0</v>
      </c>
      <c r="DN79" s="67"/>
      <c r="DO79" s="67"/>
      <c r="DP79" s="67"/>
      <c r="DQ79" s="67">
        <v>0</v>
      </c>
      <c r="DR79" s="67">
        <v>0</v>
      </c>
      <c r="DS79" s="67"/>
      <c r="DT79" s="67"/>
      <c r="DU79" s="67">
        <v>0</v>
      </c>
      <c r="DV79" s="67">
        <v>0</v>
      </c>
      <c r="DW79" s="67">
        <v>0</v>
      </c>
      <c r="DX79" s="67">
        <v>0</v>
      </c>
      <c r="DY79" s="67"/>
      <c r="DZ79" s="67">
        <v>0</v>
      </c>
      <c r="EA79" s="67"/>
      <c r="EB79" s="67">
        <v>0</v>
      </c>
      <c r="EC79" s="67"/>
      <c r="ED79" s="67">
        <v>0</v>
      </c>
      <c r="EE79" s="67"/>
      <c r="EF79" s="67">
        <v>0</v>
      </c>
      <c r="EG79" s="67"/>
      <c r="EH79" s="67"/>
      <c r="EI79" s="67"/>
      <c r="EJ79" s="67"/>
      <c r="EK79" s="67"/>
      <c r="EL79" s="67"/>
      <c r="EM79" s="67"/>
      <c r="EN79" s="67"/>
      <c r="EO79" s="67"/>
      <c r="EP79" s="67">
        <v>0</v>
      </c>
      <c r="EQ79" s="67">
        <v>0</v>
      </c>
      <c r="ER79" s="67">
        <v>0</v>
      </c>
      <c r="ES79" s="67"/>
      <c r="ET79">
        <v>0</v>
      </c>
      <c r="EX79" s="67"/>
      <c r="EY79" s="67"/>
      <c r="EZ79" s="67"/>
      <c r="FA79" s="67">
        <v>150</v>
      </c>
      <c r="FB79" s="67"/>
      <c r="FC79" s="67"/>
      <c r="FD79" s="67"/>
      <c r="FE79" s="67"/>
      <c r="FF79" s="67"/>
      <c r="FG79" s="67"/>
      <c r="FH79" s="67"/>
      <c r="FI79" s="67" t="s">
        <v>1600</v>
      </c>
    </row>
    <row r="80" spans="2:165" x14ac:dyDescent="0.2">
      <c r="B80" s="67" t="s">
        <v>416</v>
      </c>
      <c r="C80" s="67" t="s">
        <v>416</v>
      </c>
      <c r="D80" s="67" t="s">
        <v>417</v>
      </c>
      <c r="E80" s="67" t="s">
        <v>35</v>
      </c>
      <c r="F80" s="67" t="s">
        <v>766</v>
      </c>
      <c r="G80" s="67" t="s">
        <v>1597</v>
      </c>
      <c r="H80" s="67"/>
      <c r="I80" s="67" t="s">
        <v>43</v>
      </c>
      <c r="J80" s="67" t="s">
        <v>68</v>
      </c>
      <c r="K80" s="67" t="s">
        <v>1567</v>
      </c>
      <c r="L80" s="67" t="s">
        <v>767</v>
      </c>
      <c r="M80" s="67" t="s">
        <v>752</v>
      </c>
      <c r="N80" s="67" t="s">
        <v>1598</v>
      </c>
      <c r="O80" s="67" t="s">
        <v>1599</v>
      </c>
      <c r="P80" s="67"/>
      <c r="Q80" s="67">
        <v>286.5</v>
      </c>
      <c r="R80" s="67">
        <v>0</v>
      </c>
      <c r="S80" s="67">
        <v>0</v>
      </c>
      <c r="T80" s="67">
        <v>0</v>
      </c>
      <c r="U80" s="67">
        <v>0</v>
      </c>
      <c r="V80" s="67">
        <v>0</v>
      </c>
      <c r="W80" s="67">
        <v>0</v>
      </c>
      <c r="X80" s="67">
        <v>0</v>
      </c>
      <c r="Y80" s="67">
        <v>0</v>
      </c>
      <c r="Z80" s="67">
        <v>0</v>
      </c>
      <c r="AA80" s="67">
        <v>0</v>
      </c>
      <c r="AB80" s="67">
        <v>0</v>
      </c>
      <c r="AC80" s="67">
        <v>0</v>
      </c>
      <c r="AD80" s="67">
        <v>0</v>
      </c>
      <c r="AE80" s="67">
        <v>0</v>
      </c>
      <c r="AF80" s="67">
        <v>0</v>
      </c>
      <c r="AG80" s="67">
        <v>286.5</v>
      </c>
      <c r="AH80" s="67">
        <v>0</v>
      </c>
      <c r="AI80" s="67">
        <v>0</v>
      </c>
      <c r="AJ80" s="67">
        <v>0</v>
      </c>
      <c r="AK80" s="67">
        <v>0</v>
      </c>
      <c r="AL80" s="67">
        <v>0</v>
      </c>
      <c r="AM80" s="67">
        <v>0</v>
      </c>
      <c r="AN80" s="67">
        <v>0</v>
      </c>
      <c r="AO80" s="67">
        <v>0</v>
      </c>
      <c r="AP80" s="67">
        <v>0</v>
      </c>
      <c r="AQ80" s="67">
        <v>0</v>
      </c>
      <c r="AR80" s="67">
        <v>0</v>
      </c>
      <c r="AS80" s="67">
        <v>0</v>
      </c>
      <c r="AT80" s="67"/>
      <c r="AU80" s="67"/>
      <c r="AV80" s="67"/>
      <c r="AW80" s="67">
        <v>0</v>
      </c>
      <c r="AX80" s="67">
        <v>0</v>
      </c>
      <c r="AY80" s="67"/>
      <c r="AZ80" s="67"/>
      <c r="BA80" s="67"/>
      <c r="BB80" s="67"/>
      <c r="BC80" s="67"/>
      <c r="BD80" s="67"/>
      <c r="BE80" s="67"/>
      <c r="BG80" s="67"/>
      <c r="BH80" s="67"/>
      <c r="BI80" s="67"/>
      <c r="BJ80" s="67">
        <v>0</v>
      </c>
      <c r="BK80" s="67"/>
      <c r="BL80" s="67"/>
      <c r="BP80" s="67"/>
      <c r="BQ80" s="67">
        <v>0</v>
      </c>
      <c r="BR80" s="67"/>
      <c r="BS80" s="67"/>
      <c r="BT80" s="67">
        <v>0</v>
      </c>
      <c r="BU80" s="67"/>
      <c r="BV80" s="67"/>
      <c r="BW80" s="67">
        <v>0</v>
      </c>
      <c r="BX80" s="67">
        <v>0</v>
      </c>
      <c r="BY80" s="67">
        <v>0</v>
      </c>
      <c r="BZ80" s="67">
        <v>0</v>
      </c>
      <c r="CA80" s="67"/>
      <c r="CB80" s="67">
        <v>0</v>
      </c>
      <c r="CC80" s="67"/>
      <c r="CD80" s="67"/>
      <c r="CE80" s="67">
        <v>0</v>
      </c>
      <c r="CF80" s="67">
        <v>0</v>
      </c>
      <c r="CG80" s="67"/>
      <c r="CH80" s="67"/>
      <c r="CI80" s="67"/>
      <c r="CJ80" s="67"/>
      <c r="CK80" s="67">
        <v>0</v>
      </c>
      <c r="CL80" s="67">
        <v>0</v>
      </c>
      <c r="CM80" s="67"/>
      <c r="CN80" s="67"/>
      <c r="CO80" s="67">
        <v>0</v>
      </c>
      <c r="CP80" s="67">
        <v>0</v>
      </c>
      <c r="CQ80" s="67"/>
      <c r="CR80" s="67"/>
      <c r="CS80" s="67"/>
      <c r="CT80" s="67"/>
      <c r="CU80" s="67">
        <v>0</v>
      </c>
      <c r="CV80" s="67"/>
      <c r="CW80" s="67"/>
      <c r="CX80" s="67"/>
      <c r="CY80" s="67">
        <v>0</v>
      </c>
      <c r="CZ80" s="67"/>
      <c r="DA80" s="67"/>
      <c r="DB80" s="67"/>
      <c r="DC80" s="67"/>
      <c r="DF80" s="67"/>
      <c r="DG80" s="67">
        <v>0</v>
      </c>
      <c r="DH80" s="67">
        <v>0</v>
      </c>
      <c r="DI80" s="67">
        <v>0</v>
      </c>
      <c r="DJ80" s="67"/>
      <c r="DK80" s="67">
        <v>0</v>
      </c>
      <c r="DL80" s="67">
        <v>0</v>
      </c>
      <c r="DM80" s="67">
        <v>0</v>
      </c>
      <c r="DN80" s="67"/>
      <c r="DO80" s="67"/>
      <c r="DP80" s="67"/>
      <c r="DQ80" s="67">
        <v>0</v>
      </c>
      <c r="DR80" s="67">
        <v>0</v>
      </c>
      <c r="DS80" s="67"/>
      <c r="DT80" s="67"/>
      <c r="DU80" s="67">
        <v>0</v>
      </c>
      <c r="DV80" s="67">
        <v>0</v>
      </c>
      <c r="DW80" s="67">
        <v>0</v>
      </c>
      <c r="DX80" s="67">
        <v>0</v>
      </c>
      <c r="DY80" s="67"/>
      <c r="DZ80" s="67">
        <v>0</v>
      </c>
      <c r="EA80" s="67"/>
      <c r="EB80" s="67">
        <v>0</v>
      </c>
      <c r="EC80" s="67"/>
      <c r="ED80" s="67">
        <v>0</v>
      </c>
      <c r="EE80" s="67"/>
      <c r="EF80" s="67">
        <v>0</v>
      </c>
      <c r="EG80" s="67"/>
      <c r="EH80" s="67"/>
      <c r="EI80" s="67"/>
      <c r="EJ80" s="67"/>
      <c r="EK80" s="67"/>
      <c r="EL80" s="67"/>
      <c r="EM80" s="67"/>
      <c r="EN80" s="67"/>
      <c r="EO80" s="67"/>
      <c r="EP80" s="67">
        <v>0</v>
      </c>
      <c r="EQ80" s="67">
        <v>0</v>
      </c>
      <c r="ER80" s="67">
        <v>0</v>
      </c>
      <c r="ES80" s="67"/>
      <c r="ET80">
        <v>0</v>
      </c>
      <c r="EX80" s="67"/>
      <c r="EY80" s="67"/>
      <c r="EZ80" s="67"/>
      <c r="FA80" s="67">
        <v>286.5</v>
      </c>
      <c r="FB80" s="67"/>
      <c r="FC80" s="67"/>
      <c r="FD80" s="67"/>
      <c r="FE80" s="67"/>
      <c r="FF80" s="67"/>
      <c r="FG80" s="67"/>
      <c r="FH80" s="67"/>
      <c r="FI80" s="67" t="s">
        <v>1600</v>
      </c>
    </row>
    <row r="81" spans="2:165" ht="24" x14ac:dyDescent="0.2">
      <c r="B81" s="67" t="s">
        <v>418</v>
      </c>
      <c r="C81" s="67" t="s">
        <v>418</v>
      </c>
      <c r="D81" s="67" t="s">
        <v>419</v>
      </c>
      <c r="E81" s="67" t="s">
        <v>13</v>
      </c>
      <c r="F81" s="67" t="s">
        <v>766</v>
      </c>
      <c r="G81" s="67" t="s">
        <v>1597</v>
      </c>
      <c r="H81" s="67"/>
      <c r="I81" s="67" t="s">
        <v>41</v>
      </c>
      <c r="J81" s="67" t="s">
        <v>68</v>
      </c>
      <c r="K81" s="67" t="s">
        <v>1059</v>
      </c>
      <c r="L81" s="67" t="s">
        <v>767</v>
      </c>
      <c r="M81" s="67" t="s">
        <v>752</v>
      </c>
      <c r="N81" s="67" t="s">
        <v>1598</v>
      </c>
      <c r="O81" s="67" t="s">
        <v>1599</v>
      </c>
      <c r="P81" s="67" t="s">
        <v>298</v>
      </c>
      <c r="Q81" s="67">
        <v>860</v>
      </c>
      <c r="R81" s="67">
        <v>0</v>
      </c>
      <c r="S81" s="67">
        <v>0</v>
      </c>
      <c r="T81" s="67">
        <v>0</v>
      </c>
      <c r="U81" s="67">
        <v>0</v>
      </c>
      <c r="V81" s="67">
        <v>0</v>
      </c>
      <c r="W81" s="67">
        <v>0</v>
      </c>
      <c r="X81" s="67">
        <v>0</v>
      </c>
      <c r="Y81" s="67">
        <v>0</v>
      </c>
      <c r="Z81" s="67">
        <v>0</v>
      </c>
      <c r="AA81" s="67">
        <v>0</v>
      </c>
      <c r="AB81" s="67">
        <v>0</v>
      </c>
      <c r="AC81" s="67">
        <v>0</v>
      </c>
      <c r="AD81" s="67">
        <v>0</v>
      </c>
      <c r="AE81" s="67">
        <v>0</v>
      </c>
      <c r="AF81" s="67">
        <v>0</v>
      </c>
      <c r="AG81" s="67">
        <v>860</v>
      </c>
      <c r="AH81" s="67">
        <v>0</v>
      </c>
      <c r="AI81" s="67">
        <v>0</v>
      </c>
      <c r="AJ81" s="67">
        <v>0</v>
      </c>
      <c r="AK81" s="67">
        <v>0</v>
      </c>
      <c r="AL81" s="67">
        <v>0</v>
      </c>
      <c r="AM81" s="67">
        <v>0</v>
      </c>
      <c r="AN81" s="67">
        <v>0</v>
      </c>
      <c r="AO81" s="67">
        <v>0</v>
      </c>
      <c r="AP81" s="67">
        <v>0</v>
      </c>
      <c r="AQ81" s="67">
        <v>0</v>
      </c>
      <c r="AR81" s="67">
        <v>0</v>
      </c>
      <c r="AS81" s="67">
        <v>0</v>
      </c>
      <c r="AT81" s="67"/>
      <c r="AU81" s="67"/>
      <c r="AV81" s="67"/>
      <c r="AW81" s="67">
        <v>0</v>
      </c>
      <c r="AX81" s="67">
        <v>0</v>
      </c>
      <c r="AY81" s="67"/>
      <c r="AZ81" s="67"/>
      <c r="BA81" s="67"/>
      <c r="BB81" s="67"/>
      <c r="BC81" s="67"/>
      <c r="BD81" s="67"/>
      <c r="BE81" s="67"/>
      <c r="BG81" s="67"/>
      <c r="BH81" s="67"/>
      <c r="BI81" s="67"/>
      <c r="BJ81" s="67">
        <v>0</v>
      </c>
      <c r="BK81" s="67"/>
      <c r="BL81" s="67"/>
      <c r="BP81" s="67"/>
      <c r="BQ81" s="67">
        <v>0</v>
      </c>
      <c r="BR81" s="67"/>
      <c r="BS81" s="67"/>
      <c r="BT81" s="67">
        <v>0</v>
      </c>
      <c r="BU81" s="67"/>
      <c r="BV81" s="67"/>
      <c r="BW81" s="67">
        <v>0</v>
      </c>
      <c r="BX81" s="67">
        <v>0</v>
      </c>
      <c r="BY81" s="67">
        <v>0</v>
      </c>
      <c r="BZ81" s="67">
        <v>0</v>
      </c>
      <c r="CA81" s="67"/>
      <c r="CB81" s="67">
        <v>0</v>
      </c>
      <c r="CC81" s="67"/>
      <c r="CD81" s="67"/>
      <c r="CE81" s="67">
        <v>0</v>
      </c>
      <c r="CF81" s="67">
        <v>0</v>
      </c>
      <c r="CG81" s="67"/>
      <c r="CH81" s="67"/>
      <c r="CI81" s="67"/>
      <c r="CJ81" s="67"/>
      <c r="CK81" s="67">
        <v>0</v>
      </c>
      <c r="CL81" s="67">
        <v>0</v>
      </c>
      <c r="CM81" s="67"/>
      <c r="CN81" s="67"/>
      <c r="CO81" s="67">
        <v>0</v>
      </c>
      <c r="CP81" s="67">
        <v>0</v>
      </c>
      <c r="CQ81" s="67"/>
      <c r="CR81" s="67"/>
      <c r="CS81" s="67"/>
      <c r="CT81" s="67"/>
      <c r="CU81" s="67">
        <v>0</v>
      </c>
      <c r="CV81" s="67"/>
      <c r="CW81" s="67"/>
      <c r="CX81" s="67"/>
      <c r="CY81" s="67">
        <v>0</v>
      </c>
      <c r="CZ81" s="67"/>
      <c r="DA81" s="67"/>
      <c r="DB81" s="67"/>
      <c r="DC81" s="67"/>
      <c r="DF81" s="67"/>
      <c r="DG81" s="67">
        <v>120</v>
      </c>
      <c r="DH81" s="67">
        <v>120</v>
      </c>
      <c r="DI81" s="67">
        <v>0</v>
      </c>
      <c r="DJ81" s="67"/>
      <c r="DK81" s="67">
        <v>75</v>
      </c>
      <c r="DL81" s="67"/>
      <c r="DM81" s="67">
        <v>0</v>
      </c>
      <c r="DN81" s="67"/>
      <c r="DO81" s="67"/>
      <c r="DP81" s="67"/>
      <c r="DQ81" s="67">
        <v>75</v>
      </c>
      <c r="DR81" s="67">
        <v>20</v>
      </c>
      <c r="DS81" s="67"/>
      <c r="DT81" s="67"/>
      <c r="DU81" s="67">
        <v>0</v>
      </c>
      <c r="DV81" s="67">
        <v>0</v>
      </c>
      <c r="DW81" s="67">
        <v>55</v>
      </c>
      <c r="DX81" s="67">
        <v>0</v>
      </c>
      <c r="DY81" s="67"/>
      <c r="DZ81" s="67">
        <v>0</v>
      </c>
      <c r="EA81" s="67"/>
      <c r="EB81" s="67">
        <v>0</v>
      </c>
      <c r="EC81" s="67"/>
      <c r="ED81" s="67">
        <v>0</v>
      </c>
      <c r="EE81" s="67"/>
      <c r="EF81" s="67">
        <v>0</v>
      </c>
      <c r="EG81" s="67"/>
      <c r="EH81" s="67"/>
      <c r="EI81" s="67"/>
      <c r="EJ81" s="67"/>
      <c r="EK81" s="67"/>
      <c r="EL81" s="67"/>
      <c r="EM81" s="67"/>
      <c r="EN81" s="67"/>
      <c r="EO81" s="67"/>
      <c r="EP81" s="67">
        <v>0</v>
      </c>
      <c r="EQ81" s="67">
        <v>50</v>
      </c>
      <c r="ER81" s="67">
        <v>50</v>
      </c>
      <c r="ES81" s="67"/>
      <c r="ET81">
        <v>0</v>
      </c>
      <c r="EX81" s="67"/>
      <c r="EY81" s="67"/>
      <c r="EZ81" s="67"/>
      <c r="FA81" s="67">
        <v>1055</v>
      </c>
      <c r="FB81" s="67"/>
      <c r="FC81" s="67"/>
      <c r="FD81" s="67"/>
      <c r="FE81" s="67"/>
      <c r="FF81" s="67"/>
      <c r="FG81" s="67"/>
      <c r="FH81" s="67"/>
      <c r="FI81" s="67" t="s">
        <v>1600</v>
      </c>
    </row>
    <row r="82" spans="2:165" x14ac:dyDescent="0.2">
      <c r="B82" s="67" t="s">
        <v>420</v>
      </c>
      <c r="C82" s="67" t="s">
        <v>420</v>
      </c>
      <c r="D82" s="67" t="s">
        <v>421</v>
      </c>
      <c r="E82" s="67" t="s">
        <v>23</v>
      </c>
      <c r="F82" s="67" t="s">
        <v>1241</v>
      </c>
      <c r="G82" s="67" t="s">
        <v>1597</v>
      </c>
      <c r="H82" s="67"/>
      <c r="I82" s="67" t="s">
        <v>43</v>
      </c>
      <c r="J82" s="67" t="s">
        <v>74</v>
      </c>
      <c r="K82" s="67" t="s">
        <v>1649</v>
      </c>
      <c r="L82" s="67" t="s">
        <v>787</v>
      </c>
      <c r="M82" s="67" t="s">
        <v>752</v>
      </c>
      <c r="N82" s="67" t="s">
        <v>1598</v>
      </c>
      <c r="O82" s="67" t="s">
        <v>1599</v>
      </c>
      <c r="P82" s="67"/>
      <c r="Q82" s="67">
        <v>3030</v>
      </c>
      <c r="R82" s="67">
        <v>0</v>
      </c>
      <c r="S82" s="67">
        <v>0</v>
      </c>
      <c r="T82" s="67">
        <v>0</v>
      </c>
      <c r="U82" s="67">
        <v>0</v>
      </c>
      <c r="V82" s="67">
        <v>0</v>
      </c>
      <c r="W82" s="67">
        <v>0</v>
      </c>
      <c r="X82" s="67">
        <v>0</v>
      </c>
      <c r="Y82" s="67">
        <v>0</v>
      </c>
      <c r="Z82" s="67">
        <v>0</v>
      </c>
      <c r="AA82" s="67">
        <v>0</v>
      </c>
      <c r="AB82" s="67">
        <v>0</v>
      </c>
      <c r="AC82" s="67">
        <v>0</v>
      </c>
      <c r="AD82" s="67">
        <v>0</v>
      </c>
      <c r="AE82" s="67">
        <v>0</v>
      </c>
      <c r="AF82" s="67">
        <v>0</v>
      </c>
      <c r="AG82" s="67">
        <v>0</v>
      </c>
      <c r="AH82" s="67">
        <v>0</v>
      </c>
      <c r="AI82" s="67">
        <v>0</v>
      </c>
      <c r="AJ82" s="67">
        <v>0</v>
      </c>
      <c r="AK82" s="67">
        <v>0</v>
      </c>
      <c r="AL82" s="67">
        <v>0</v>
      </c>
      <c r="AM82" s="67">
        <v>0</v>
      </c>
      <c r="AN82" s="67">
        <v>1270</v>
      </c>
      <c r="AO82" s="67">
        <v>1760</v>
      </c>
      <c r="AP82" s="67">
        <v>0</v>
      </c>
      <c r="AQ82" s="67">
        <v>0</v>
      </c>
      <c r="AR82" s="67">
        <v>0</v>
      </c>
      <c r="AS82" s="67">
        <v>0</v>
      </c>
      <c r="AT82" s="67"/>
      <c r="AU82" s="67"/>
      <c r="AV82" s="67"/>
      <c r="AW82" s="67">
        <v>0</v>
      </c>
      <c r="AX82" s="67">
        <v>0</v>
      </c>
      <c r="AY82" s="67"/>
      <c r="AZ82" s="67"/>
      <c r="BA82" s="67"/>
      <c r="BB82" s="67"/>
      <c r="BC82" s="67"/>
      <c r="BD82" s="67"/>
      <c r="BE82" s="67"/>
      <c r="BG82" s="67"/>
      <c r="BH82" s="67"/>
      <c r="BI82" s="67"/>
      <c r="BJ82" s="67">
        <v>0</v>
      </c>
      <c r="BK82" s="67"/>
      <c r="BL82" s="67"/>
      <c r="BP82" s="67"/>
      <c r="BQ82" s="67">
        <v>0</v>
      </c>
      <c r="BR82" s="67"/>
      <c r="BS82" s="67"/>
      <c r="BT82" s="67">
        <v>0</v>
      </c>
      <c r="BU82" s="67"/>
      <c r="BV82" s="67"/>
      <c r="BW82" s="67">
        <v>0</v>
      </c>
      <c r="BX82" s="67">
        <v>0</v>
      </c>
      <c r="BY82" s="67">
        <v>0</v>
      </c>
      <c r="BZ82" s="67">
        <v>0</v>
      </c>
      <c r="CA82" s="67"/>
      <c r="CB82" s="67">
        <v>0</v>
      </c>
      <c r="CC82" s="67"/>
      <c r="CD82" s="67"/>
      <c r="CE82" s="67">
        <v>0</v>
      </c>
      <c r="CF82" s="67">
        <v>0</v>
      </c>
      <c r="CG82" s="67"/>
      <c r="CH82" s="67"/>
      <c r="CI82" s="67"/>
      <c r="CJ82" s="67"/>
      <c r="CK82" s="67">
        <v>0</v>
      </c>
      <c r="CL82" s="67">
        <v>0</v>
      </c>
      <c r="CM82" s="67"/>
      <c r="CN82" s="67"/>
      <c r="CO82" s="67">
        <v>0</v>
      </c>
      <c r="CP82" s="67">
        <v>0</v>
      </c>
      <c r="CQ82" s="67"/>
      <c r="CR82" s="67"/>
      <c r="CS82" s="67"/>
      <c r="CT82" s="67"/>
      <c r="CU82" s="67">
        <v>0</v>
      </c>
      <c r="CV82" s="67"/>
      <c r="CW82" s="67"/>
      <c r="CX82" s="67"/>
      <c r="CY82" s="67">
        <v>0</v>
      </c>
      <c r="CZ82" s="67"/>
      <c r="DA82" s="67"/>
      <c r="DB82" s="67"/>
      <c r="DC82" s="67"/>
      <c r="DF82" s="67"/>
      <c r="DG82" s="67">
        <v>0</v>
      </c>
      <c r="DH82" s="67">
        <v>0</v>
      </c>
      <c r="DI82" s="67">
        <v>0</v>
      </c>
      <c r="DJ82" s="67"/>
      <c r="DK82" s="67">
        <v>0</v>
      </c>
      <c r="DL82" s="67">
        <v>0</v>
      </c>
      <c r="DM82" s="67">
        <v>0</v>
      </c>
      <c r="DN82" s="67"/>
      <c r="DO82" s="67"/>
      <c r="DP82" s="67"/>
      <c r="DQ82" s="67">
        <v>0</v>
      </c>
      <c r="DR82" s="67">
        <v>0</v>
      </c>
      <c r="DS82" s="67"/>
      <c r="DT82" s="67"/>
      <c r="DU82" s="67">
        <v>0</v>
      </c>
      <c r="DV82" s="67">
        <v>0</v>
      </c>
      <c r="DW82" s="67">
        <v>0</v>
      </c>
      <c r="DX82" s="67">
        <v>0</v>
      </c>
      <c r="DY82" s="67"/>
      <c r="DZ82" s="67">
        <v>0</v>
      </c>
      <c r="EA82" s="67"/>
      <c r="EB82" s="67">
        <v>0</v>
      </c>
      <c r="EC82" s="67"/>
      <c r="ED82" s="67">
        <v>0</v>
      </c>
      <c r="EE82" s="67"/>
      <c r="EF82" s="67">
        <v>0</v>
      </c>
      <c r="EG82" s="67"/>
      <c r="EH82" s="67"/>
      <c r="EI82" s="67"/>
      <c r="EJ82" s="67"/>
      <c r="EK82" s="67"/>
      <c r="EL82" s="67"/>
      <c r="EM82" s="67"/>
      <c r="EN82" s="67"/>
      <c r="EO82" s="67"/>
      <c r="EP82" s="67">
        <v>0</v>
      </c>
      <c r="EQ82" s="67">
        <v>0</v>
      </c>
      <c r="ER82" s="67">
        <v>0</v>
      </c>
      <c r="ES82" s="67"/>
      <c r="ET82">
        <v>0</v>
      </c>
      <c r="EX82" s="67"/>
      <c r="EY82" s="67"/>
      <c r="EZ82" s="67"/>
      <c r="FA82" s="67">
        <v>3030</v>
      </c>
      <c r="FB82" s="67"/>
      <c r="FC82" s="67"/>
      <c r="FD82" s="67"/>
      <c r="FE82" s="67"/>
      <c r="FF82" s="67"/>
      <c r="FG82" s="67"/>
      <c r="FH82" s="67"/>
      <c r="FI82" s="67" t="s">
        <v>1600</v>
      </c>
    </row>
    <row r="83" spans="2:165" x14ac:dyDescent="0.2">
      <c r="B83" s="67" t="s">
        <v>422</v>
      </c>
      <c r="C83" s="67" t="s">
        <v>422</v>
      </c>
      <c r="D83" s="67" t="s">
        <v>423</v>
      </c>
      <c r="E83" s="67" t="s">
        <v>35</v>
      </c>
      <c r="F83" s="67" t="s">
        <v>766</v>
      </c>
      <c r="G83" s="67" t="s">
        <v>1597</v>
      </c>
      <c r="H83" s="67"/>
      <c r="I83" s="67" t="s">
        <v>41</v>
      </c>
      <c r="J83" s="67" t="s">
        <v>68</v>
      </c>
      <c r="K83" s="67" t="s">
        <v>774</v>
      </c>
      <c r="L83" s="67" t="s">
        <v>767</v>
      </c>
      <c r="M83" s="67" t="s">
        <v>752</v>
      </c>
      <c r="N83" s="67" t="s">
        <v>1601</v>
      </c>
      <c r="O83" s="67" t="s">
        <v>1599</v>
      </c>
      <c r="P83" s="67"/>
      <c r="Q83" s="67">
        <v>420</v>
      </c>
      <c r="R83" s="67">
        <v>0</v>
      </c>
      <c r="S83" s="67">
        <v>0</v>
      </c>
      <c r="T83" s="67">
        <v>0</v>
      </c>
      <c r="U83" s="67">
        <v>0</v>
      </c>
      <c r="V83" s="67">
        <v>0</v>
      </c>
      <c r="W83" s="67">
        <v>0</v>
      </c>
      <c r="X83" s="67">
        <v>0</v>
      </c>
      <c r="Y83" s="67">
        <v>0</v>
      </c>
      <c r="Z83" s="67">
        <v>0</v>
      </c>
      <c r="AA83" s="67">
        <v>0</v>
      </c>
      <c r="AB83" s="67">
        <v>0</v>
      </c>
      <c r="AC83" s="67">
        <v>0</v>
      </c>
      <c r="AD83" s="67">
        <v>0</v>
      </c>
      <c r="AE83" s="67">
        <v>0</v>
      </c>
      <c r="AF83" s="67">
        <v>0</v>
      </c>
      <c r="AG83" s="67">
        <v>420</v>
      </c>
      <c r="AH83" s="67">
        <v>0</v>
      </c>
      <c r="AI83" s="67">
        <v>0</v>
      </c>
      <c r="AJ83" s="67">
        <v>0</v>
      </c>
      <c r="AK83" s="67">
        <v>0</v>
      </c>
      <c r="AL83" s="67">
        <v>0</v>
      </c>
      <c r="AM83" s="67">
        <v>0</v>
      </c>
      <c r="AN83" s="67">
        <v>0</v>
      </c>
      <c r="AO83" s="67">
        <v>0</v>
      </c>
      <c r="AP83" s="67">
        <v>0</v>
      </c>
      <c r="AQ83" s="67">
        <v>0</v>
      </c>
      <c r="AR83" s="67">
        <v>0</v>
      </c>
      <c r="AS83" s="67">
        <v>0</v>
      </c>
      <c r="AT83" s="67"/>
      <c r="AU83" s="67"/>
      <c r="AV83" s="67"/>
      <c r="AW83" s="67">
        <v>0</v>
      </c>
      <c r="AX83" s="67">
        <v>0</v>
      </c>
      <c r="AY83" s="67"/>
      <c r="AZ83" s="67"/>
      <c r="BA83" s="67"/>
      <c r="BB83" s="67"/>
      <c r="BC83" s="67"/>
      <c r="BD83" s="67"/>
      <c r="BE83" s="67"/>
      <c r="BG83" s="67"/>
      <c r="BH83" s="67"/>
      <c r="BI83" s="67"/>
      <c r="BJ83" s="67">
        <v>0</v>
      </c>
      <c r="BK83" s="67"/>
      <c r="BL83" s="67"/>
      <c r="BP83" s="67"/>
      <c r="BQ83" s="67">
        <v>0</v>
      </c>
      <c r="BR83" s="67"/>
      <c r="BS83" s="67"/>
      <c r="BT83" s="67">
        <v>0</v>
      </c>
      <c r="BU83" s="67"/>
      <c r="BV83" s="67"/>
      <c r="BW83" s="67">
        <v>0</v>
      </c>
      <c r="BX83" s="67">
        <v>0</v>
      </c>
      <c r="BY83" s="67">
        <v>0</v>
      </c>
      <c r="BZ83" s="67">
        <v>0</v>
      </c>
      <c r="CA83" s="67"/>
      <c r="CB83" s="67">
        <v>0</v>
      </c>
      <c r="CC83" s="67"/>
      <c r="CD83" s="67"/>
      <c r="CE83" s="67">
        <v>0</v>
      </c>
      <c r="CF83" s="67">
        <v>0</v>
      </c>
      <c r="CG83" s="67"/>
      <c r="CH83" s="67"/>
      <c r="CI83" s="67"/>
      <c r="CJ83" s="67"/>
      <c r="CK83" s="67">
        <v>0</v>
      </c>
      <c r="CL83" s="67">
        <v>0</v>
      </c>
      <c r="CM83" s="67"/>
      <c r="CN83" s="67"/>
      <c r="CO83" s="67">
        <v>0</v>
      </c>
      <c r="CP83" s="67">
        <v>0</v>
      </c>
      <c r="CQ83" s="67"/>
      <c r="CR83" s="67"/>
      <c r="CS83" s="67"/>
      <c r="CT83" s="67"/>
      <c r="CU83" s="67">
        <v>0</v>
      </c>
      <c r="CV83" s="67"/>
      <c r="CW83" s="67"/>
      <c r="CX83" s="67"/>
      <c r="CY83" s="67">
        <v>0</v>
      </c>
      <c r="CZ83" s="67"/>
      <c r="DA83" s="67"/>
      <c r="DB83" s="67"/>
      <c r="DC83" s="67"/>
      <c r="DF83" s="67"/>
      <c r="DG83" s="67">
        <v>0</v>
      </c>
      <c r="DH83" s="67">
        <v>0</v>
      </c>
      <c r="DI83" s="67">
        <v>0</v>
      </c>
      <c r="DJ83" s="67"/>
      <c r="DK83" s="67">
        <v>0</v>
      </c>
      <c r="DL83" s="67">
        <v>0</v>
      </c>
      <c r="DM83" s="67">
        <v>0</v>
      </c>
      <c r="DN83" s="67"/>
      <c r="DO83" s="67"/>
      <c r="DP83" s="67"/>
      <c r="DQ83" s="67">
        <v>0</v>
      </c>
      <c r="DR83" s="67">
        <v>0</v>
      </c>
      <c r="DS83" s="67"/>
      <c r="DT83" s="67"/>
      <c r="DU83" s="67">
        <v>0</v>
      </c>
      <c r="DV83" s="67">
        <v>0</v>
      </c>
      <c r="DW83" s="67">
        <v>0</v>
      </c>
      <c r="DX83" s="67">
        <v>0</v>
      </c>
      <c r="DY83" s="67"/>
      <c r="DZ83" s="67">
        <v>0</v>
      </c>
      <c r="EA83" s="67"/>
      <c r="EB83" s="67">
        <v>0</v>
      </c>
      <c r="EC83" s="67"/>
      <c r="ED83" s="67">
        <v>0</v>
      </c>
      <c r="EE83" s="67"/>
      <c r="EF83" s="67">
        <v>0</v>
      </c>
      <c r="EG83" s="67"/>
      <c r="EH83" s="67"/>
      <c r="EI83" s="67"/>
      <c r="EJ83" s="67"/>
      <c r="EK83" s="67"/>
      <c r="EL83" s="67"/>
      <c r="EM83" s="67"/>
      <c r="EN83" s="67"/>
      <c r="EO83" s="67"/>
      <c r="EP83" s="67">
        <v>0</v>
      </c>
      <c r="EQ83" s="67">
        <v>0</v>
      </c>
      <c r="ER83" s="67">
        <v>0</v>
      </c>
      <c r="ES83" s="67"/>
      <c r="ET83">
        <v>0</v>
      </c>
      <c r="EX83" s="67"/>
      <c r="EY83" s="67"/>
      <c r="EZ83" s="67"/>
      <c r="FA83" s="67">
        <v>420</v>
      </c>
      <c r="FB83" s="67"/>
      <c r="FC83" s="67"/>
      <c r="FD83" s="67"/>
      <c r="FE83" s="67"/>
      <c r="FF83" s="67"/>
      <c r="FG83" s="67"/>
      <c r="FH83" s="67"/>
      <c r="FI83" s="67" t="s">
        <v>1600</v>
      </c>
    </row>
    <row r="84" spans="2:165" ht="24" x14ac:dyDescent="0.2">
      <c r="B84" s="67" t="s">
        <v>424</v>
      </c>
      <c r="C84" s="67" t="s">
        <v>424</v>
      </c>
      <c r="D84" s="67" t="s">
        <v>425</v>
      </c>
      <c r="E84" s="67" t="s">
        <v>13</v>
      </c>
      <c r="F84" s="67" t="s">
        <v>766</v>
      </c>
      <c r="G84" s="67" t="s">
        <v>1597</v>
      </c>
      <c r="H84" s="67"/>
      <c r="I84" s="67" t="s">
        <v>41</v>
      </c>
      <c r="J84" s="67" t="s">
        <v>68</v>
      </c>
      <c r="K84" s="67" t="s">
        <v>774</v>
      </c>
      <c r="L84" s="67" t="s">
        <v>767</v>
      </c>
      <c r="M84" s="67" t="s">
        <v>752</v>
      </c>
      <c r="N84" s="67" t="s">
        <v>1598</v>
      </c>
      <c r="O84" s="67" t="s">
        <v>1599</v>
      </c>
      <c r="P84" s="67"/>
      <c r="Q84" s="67">
        <v>430</v>
      </c>
      <c r="R84" s="67">
        <v>0</v>
      </c>
      <c r="S84" s="67">
        <v>0</v>
      </c>
      <c r="T84" s="67">
        <v>0</v>
      </c>
      <c r="U84" s="67">
        <v>0</v>
      </c>
      <c r="V84" s="67">
        <v>0</v>
      </c>
      <c r="W84" s="67">
        <v>0</v>
      </c>
      <c r="X84" s="67">
        <v>0</v>
      </c>
      <c r="Y84" s="67">
        <v>0</v>
      </c>
      <c r="Z84" s="67">
        <v>0</v>
      </c>
      <c r="AA84" s="67">
        <v>0</v>
      </c>
      <c r="AB84" s="67">
        <v>0</v>
      </c>
      <c r="AC84" s="67">
        <v>0</v>
      </c>
      <c r="AD84" s="67">
        <v>0</v>
      </c>
      <c r="AE84" s="67">
        <v>0</v>
      </c>
      <c r="AF84" s="67">
        <v>0</v>
      </c>
      <c r="AG84" s="67">
        <v>430</v>
      </c>
      <c r="AH84" s="67">
        <v>0</v>
      </c>
      <c r="AI84" s="67">
        <v>0</v>
      </c>
      <c r="AJ84" s="67">
        <v>0</v>
      </c>
      <c r="AK84" s="67">
        <v>0</v>
      </c>
      <c r="AL84" s="67">
        <v>0</v>
      </c>
      <c r="AM84" s="67">
        <v>0</v>
      </c>
      <c r="AN84" s="67">
        <v>0</v>
      </c>
      <c r="AO84" s="67">
        <v>0</v>
      </c>
      <c r="AP84" s="67">
        <v>0</v>
      </c>
      <c r="AQ84" s="67">
        <v>0</v>
      </c>
      <c r="AR84" s="67">
        <v>0</v>
      </c>
      <c r="AS84" s="67">
        <v>0</v>
      </c>
      <c r="AT84" s="67"/>
      <c r="AU84" s="67"/>
      <c r="AV84" s="67"/>
      <c r="AW84" s="67">
        <v>0</v>
      </c>
      <c r="AX84" s="67">
        <v>0</v>
      </c>
      <c r="AY84" s="67"/>
      <c r="AZ84" s="67"/>
      <c r="BA84" s="67"/>
      <c r="BB84" s="67"/>
      <c r="BC84" s="67"/>
      <c r="BD84" s="67"/>
      <c r="BE84" s="67"/>
      <c r="BG84" s="67"/>
      <c r="BH84" s="67"/>
      <c r="BI84" s="67"/>
      <c r="BJ84" s="67">
        <v>0</v>
      </c>
      <c r="BK84" s="67"/>
      <c r="BL84" s="67"/>
      <c r="BP84" s="67"/>
      <c r="BQ84" s="67">
        <v>0</v>
      </c>
      <c r="BR84" s="67"/>
      <c r="BS84" s="67"/>
      <c r="BT84" s="67">
        <v>0</v>
      </c>
      <c r="BU84" s="67"/>
      <c r="BV84" s="67"/>
      <c r="BW84" s="67">
        <v>0</v>
      </c>
      <c r="BX84" s="67">
        <v>0</v>
      </c>
      <c r="BY84" s="67">
        <v>0</v>
      </c>
      <c r="BZ84" s="67">
        <v>0</v>
      </c>
      <c r="CA84" s="67"/>
      <c r="CB84" s="67">
        <v>0</v>
      </c>
      <c r="CC84" s="67"/>
      <c r="CD84" s="67"/>
      <c r="CE84" s="67">
        <v>0</v>
      </c>
      <c r="CF84" s="67">
        <v>0</v>
      </c>
      <c r="CG84" s="67"/>
      <c r="CH84" s="67"/>
      <c r="CI84" s="67"/>
      <c r="CJ84" s="67"/>
      <c r="CK84" s="67">
        <v>0</v>
      </c>
      <c r="CL84" s="67">
        <v>0</v>
      </c>
      <c r="CM84" s="67"/>
      <c r="CN84" s="67"/>
      <c r="CO84" s="67">
        <v>0</v>
      </c>
      <c r="CP84" s="67">
        <v>0</v>
      </c>
      <c r="CQ84" s="67"/>
      <c r="CR84" s="67"/>
      <c r="CS84" s="67"/>
      <c r="CT84" s="67"/>
      <c r="CU84" s="67">
        <v>0</v>
      </c>
      <c r="CV84" s="67"/>
      <c r="CW84" s="67"/>
      <c r="CX84" s="67"/>
      <c r="CY84" s="67">
        <v>0</v>
      </c>
      <c r="CZ84" s="67"/>
      <c r="DA84" s="67"/>
      <c r="DB84" s="67"/>
      <c r="DC84" s="67"/>
      <c r="DF84" s="67"/>
      <c r="DG84" s="67">
        <v>0</v>
      </c>
      <c r="DH84" s="67">
        <v>0</v>
      </c>
      <c r="DI84" s="67">
        <v>0</v>
      </c>
      <c r="DJ84" s="67"/>
      <c r="DK84" s="67">
        <v>0</v>
      </c>
      <c r="DL84" s="67">
        <v>0</v>
      </c>
      <c r="DM84" s="67">
        <v>0</v>
      </c>
      <c r="DN84" s="67"/>
      <c r="DO84" s="67"/>
      <c r="DP84" s="67"/>
      <c r="DQ84" s="67">
        <v>0</v>
      </c>
      <c r="DR84" s="67">
        <v>0</v>
      </c>
      <c r="DS84" s="67"/>
      <c r="DT84" s="67"/>
      <c r="DU84" s="67">
        <v>0</v>
      </c>
      <c r="DV84" s="67">
        <v>0</v>
      </c>
      <c r="DW84" s="67">
        <v>0</v>
      </c>
      <c r="DX84" s="67">
        <v>0</v>
      </c>
      <c r="DY84" s="67"/>
      <c r="DZ84" s="67">
        <v>0</v>
      </c>
      <c r="EA84" s="67"/>
      <c r="EB84" s="67">
        <v>0</v>
      </c>
      <c r="EC84" s="67"/>
      <c r="ED84" s="67">
        <v>0</v>
      </c>
      <c r="EE84" s="67"/>
      <c r="EF84" s="67">
        <v>0</v>
      </c>
      <c r="EG84" s="67"/>
      <c r="EH84" s="67"/>
      <c r="EI84" s="67"/>
      <c r="EJ84" s="67"/>
      <c r="EK84" s="67"/>
      <c r="EL84" s="67"/>
      <c r="EM84" s="67"/>
      <c r="EN84" s="67"/>
      <c r="EO84" s="67"/>
      <c r="EP84" s="67">
        <v>0</v>
      </c>
      <c r="EQ84" s="67">
        <v>0</v>
      </c>
      <c r="ER84" s="67">
        <v>0</v>
      </c>
      <c r="ES84" s="67"/>
      <c r="ET84">
        <v>0</v>
      </c>
      <c r="EX84" s="67"/>
      <c r="EY84" s="67"/>
      <c r="EZ84" s="67"/>
      <c r="FA84" s="67">
        <v>430</v>
      </c>
      <c r="FB84" s="67"/>
      <c r="FC84" s="67"/>
      <c r="FD84" s="67"/>
      <c r="FE84" s="67"/>
      <c r="FF84" s="67"/>
      <c r="FG84" s="67"/>
      <c r="FH84" s="67"/>
      <c r="FI84" s="67" t="s">
        <v>1600</v>
      </c>
    </row>
    <row r="85" spans="2:165" ht="24" x14ac:dyDescent="0.2">
      <c r="B85" s="67" t="s">
        <v>426</v>
      </c>
      <c r="C85" s="67" t="s">
        <v>426</v>
      </c>
      <c r="D85" s="67" t="s">
        <v>427</v>
      </c>
      <c r="E85" s="67" t="s">
        <v>13</v>
      </c>
      <c r="F85" s="67" t="s">
        <v>933</v>
      </c>
      <c r="G85" s="67" t="s">
        <v>1597</v>
      </c>
      <c r="H85" s="67"/>
      <c r="I85" s="67" t="s">
        <v>41</v>
      </c>
      <c r="J85" s="67" t="s">
        <v>64</v>
      </c>
      <c r="K85" s="67" t="s">
        <v>1639</v>
      </c>
      <c r="L85" s="67" t="s">
        <v>787</v>
      </c>
      <c r="M85" s="67" t="s">
        <v>752</v>
      </c>
      <c r="N85" s="67" t="s">
        <v>1598</v>
      </c>
      <c r="O85" s="67" t="s">
        <v>1599</v>
      </c>
      <c r="P85" s="67"/>
      <c r="Q85" s="67">
        <v>452</v>
      </c>
      <c r="R85" s="67">
        <v>0</v>
      </c>
      <c r="S85" s="67">
        <v>0</v>
      </c>
      <c r="T85" s="67">
        <v>0</v>
      </c>
      <c r="U85" s="67">
        <v>0</v>
      </c>
      <c r="V85" s="67">
        <v>0</v>
      </c>
      <c r="W85" s="67">
        <v>0</v>
      </c>
      <c r="X85" s="67">
        <v>0</v>
      </c>
      <c r="Y85" s="67">
        <v>0</v>
      </c>
      <c r="Z85" s="67">
        <v>0</v>
      </c>
      <c r="AA85" s="67">
        <v>0</v>
      </c>
      <c r="AB85" s="67">
        <v>0</v>
      </c>
      <c r="AC85" s="67">
        <v>0</v>
      </c>
      <c r="AD85" s="67">
        <v>0</v>
      </c>
      <c r="AE85" s="67">
        <v>0</v>
      </c>
      <c r="AF85" s="67">
        <v>452</v>
      </c>
      <c r="AG85" s="67">
        <v>0</v>
      </c>
      <c r="AH85" s="67">
        <v>0</v>
      </c>
      <c r="AI85" s="67">
        <v>0</v>
      </c>
      <c r="AJ85" s="67">
        <v>0</v>
      </c>
      <c r="AK85" s="67">
        <v>0</v>
      </c>
      <c r="AL85" s="67">
        <v>0</v>
      </c>
      <c r="AM85" s="67">
        <v>0</v>
      </c>
      <c r="AN85" s="67">
        <v>0</v>
      </c>
      <c r="AO85" s="67">
        <v>0</v>
      </c>
      <c r="AP85" s="67">
        <v>0</v>
      </c>
      <c r="AQ85" s="67">
        <v>0</v>
      </c>
      <c r="AR85" s="67">
        <v>0</v>
      </c>
      <c r="AS85" s="67">
        <v>0</v>
      </c>
      <c r="AT85" s="67"/>
      <c r="AU85" s="67"/>
      <c r="AV85" s="67"/>
      <c r="AW85" s="67">
        <v>0</v>
      </c>
      <c r="AX85" s="67">
        <v>0</v>
      </c>
      <c r="AY85" s="67"/>
      <c r="AZ85" s="67"/>
      <c r="BA85" s="67"/>
      <c r="BB85" s="67"/>
      <c r="BC85" s="67"/>
      <c r="BD85" s="67"/>
      <c r="BE85" s="67"/>
      <c r="BG85" s="67"/>
      <c r="BH85" s="67"/>
      <c r="BI85" s="67"/>
      <c r="BJ85" s="67">
        <v>0</v>
      </c>
      <c r="BK85" s="67"/>
      <c r="BL85" s="67"/>
      <c r="BP85" s="67"/>
      <c r="BQ85" s="67">
        <v>0</v>
      </c>
      <c r="BR85" s="67"/>
      <c r="BS85" s="67"/>
      <c r="BT85" s="67">
        <v>0</v>
      </c>
      <c r="BU85" s="67"/>
      <c r="BV85" s="67"/>
      <c r="BW85" s="67">
        <v>0</v>
      </c>
      <c r="BX85" s="67">
        <v>0</v>
      </c>
      <c r="BY85" s="67">
        <v>0</v>
      </c>
      <c r="BZ85" s="67">
        <v>0</v>
      </c>
      <c r="CA85" s="67"/>
      <c r="CB85" s="67">
        <v>0</v>
      </c>
      <c r="CC85" s="67"/>
      <c r="CD85" s="67"/>
      <c r="CE85" s="67">
        <v>0</v>
      </c>
      <c r="CF85" s="67">
        <v>0</v>
      </c>
      <c r="CG85" s="67"/>
      <c r="CH85" s="67"/>
      <c r="CI85" s="67"/>
      <c r="CJ85" s="67"/>
      <c r="CK85" s="67">
        <v>0</v>
      </c>
      <c r="CL85" s="67">
        <v>0</v>
      </c>
      <c r="CM85" s="67"/>
      <c r="CN85" s="67"/>
      <c r="CO85" s="67">
        <v>0</v>
      </c>
      <c r="CP85" s="67">
        <v>0</v>
      </c>
      <c r="CQ85" s="67"/>
      <c r="CR85" s="67"/>
      <c r="CS85" s="67"/>
      <c r="CT85" s="67"/>
      <c r="CU85" s="67">
        <v>0</v>
      </c>
      <c r="CV85" s="67"/>
      <c r="CW85" s="67"/>
      <c r="CX85" s="67"/>
      <c r="CY85" s="67">
        <v>0</v>
      </c>
      <c r="CZ85" s="67"/>
      <c r="DA85" s="67"/>
      <c r="DB85" s="67"/>
      <c r="DC85" s="67"/>
      <c r="DF85" s="67"/>
      <c r="DG85" s="67">
        <v>0</v>
      </c>
      <c r="DH85" s="67">
        <v>0</v>
      </c>
      <c r="DI85" s="67">
        <v>0</v>
      </c>
      <c r="DJ85" s="67"/>
      <c r="DK85" s="67">
        <v>0</v>
      </c>
      <c r="DL85" s="67">
        <v>0</v>
      </c>
      <c r="DM85" s="67">
        <v>0</v>
      </c>
      <c r="DN85" s="67"/>
      <c r="DO85" s="67"/>
      <c r="DP85" s="67"/>
      <c r="DQ85" s="67">
        <v>0</v>
      </c>
      <c r="DR85" s="67">
        <v>0</v>
      </c>
      <c r="DS85" s="67"/>
      <c r="DT85" s="67"/>
      <c r="DU85" s="67">
        <v>0</v>
      </c>
      <c r="DV85" s="67">
        <v>0</v>
      </c>
      <c r="DW85" s="67">
        <v>0</v>
      </c>
      <c r="DX85" s="67">
        <v>0</v>
      </c>
      <c r="DY85" s="67"/>
      <c r="DZ85" s="67">
        <v>0</v>
      </c>
      <c r="EA85" s="67"/>
      <c r="EB85" s="67">
        <v>0</v>
      </c>
      <c r="EC85" s="67"/>
      <c r="ED85" s="67">
        <v>0</v>
      </c>
      <c r="EE85" s="67"/>
      <c r="EF85" s="67">
        <v>0</v>
      </c>
      <c r="EG85" s="67"/>
      <c r="EH85" s="67"/>
      <c r="EI85" s="67"/>
      <c r="EJ85" s="67"/>
      <c r="EK85" s="67"/>
      <c r="EL85" s="67"/>
      <c r="EM85" s="67"/>
      <c r="EN85" s="67"/>
      <c r="EO85" s="67"/>
      <c r="EP85" s="67">
        <v>0</v>
      </c>
      <c r="EQ85" s="67">
        <v>0</v>
      </c>
      <c r="ER85" s="67">
        <v>0</v>
      </c>
      <c r="ES85" s="67"/>
      <c r="ET85">
        <v>0</v>
      </c>
      <c r="EX85" s="67"/>
      <c r="EY85" s="67"/>
      <c r="EZ85" s="67"/>
      <c r="FA85" s="67">
        <v>452</v>
      </c>
      <c r="FB85" s="67"/>
      <c r="FC85" s="67"/>
      <c r="FD85" s="67"/>
      <c r="FE85" s="67"/>
      <c r="FF85" s="67"/>
      <c r="FG85" s="67"/>
      <c r="FH85" s="67"/>
      <c r="FI85" s="67" t="s">
        <v>1600</v>
      </c>
    </row>
    <row r="86" spans="2:165" ht="24" x14ac:dyDescent="0.2">
      <c r="B86" s="67" t="s">
        <v>428</v>
      </c>
      <c r="C86" s="67" t="s">
        <v>428</v>
      </c>
      <c r="D86" s="67" t="s">
        <v>429</v>
      </c>
      <c r="E86" s="67" t="s">
        <v>13</v>
      </c>
      <c r="F86" s="67" t="s">
        <v>933</v>
      </c>
      <c r="G86" s="67" t="s">
        <v>1597</v>
      </c>
      <c r="H86" s="67"/>
      <c r="I86" s="67" t="s">
        <v>22</v>
      </c>
      <c r="J86" s="67" t="s">
        <v>64</v>
      </c>
      <c r="K86" s="67" t="s">
        <v>1639</v>
      </c>
      <c r="L86" s="67" t="s">
        <v>787</v>
      </c>
      <c r="M86" s="67" t="s">
        <v>752</v>
      </c>
      <c r="N86" s="67" t="s">
        <v>1598</v>
      </c>
      <c r="O86" s="67" t="s">
        <v>1599</v>
      </c>
      <c r="P86" s="67"/>
      <c r="Q86" s="67">
        <v>113</v>
      </c>
      <c r="R86" s="67">
        <v>0</v>
      </c>
      <c r="S86" s="67">
        <v>0</v>
      </c>
      <c r="T86" s="67">
        <v>0</v>
      </c>
      <c r="U86" s="67">
        <v>0</v>
      </c>
      <c r="V86" s="67">
        <v>0</v>
      </c>
      <c r="W86" s="67">
        <v>0</v>
      </c>
      <c r="X86" s="67">
        <v>0</v>
      </c>
      <c r="Y86" s="67">
        <v>0</v>
      </c>
      <c r="Z86" s="67">
        <v>0</v>
      </c>
      <c r="AA86" s="67">
        <v>0</v>
      </c>
      <c r="AB86" s="67">
        <v>0</v>
      </c>
      <c r="AC86" s="67">
        <v>0</v>
      </c>
      <c r="AD86" s="67">
        <v>0</v>
      </c>
      <c r="AE86" s="67">
        <v>0</v>
      </c>
      <c r="AF86" s="67">
        <v>113</v>
      </c>
      <c r="AG86" s="67">
        <v>0</v>
      </c>
      <c r="AH86" s="67">
        <v>0</v>
      </c>
      <c r="AI86" s="67">
        <v>0</v>
      </c>
      <c r="AJ86" s="67">
        <v>0</v>
      </c>
      <c r="AK86" s="67">
        <v>0</v>
      </c>
      <c r="AL86" s="67">
        <v>0</v>
      </c>
      <c r="AM86" s="67">
        <v>0</v>
      </c>
      <c r="AN86" s="67">
        <v>0</v>
      </c>
      <c r="AO86" s="67">
        <v>0</v>
      </c>
      <c r="AP86" s="67">
        <v>0</v>
      </c>
      <c r="AQ86" s="67">
        <v>0</v>
      </c>
      <c r="AR86" s="67">
        <v>0</v>
      </c>
      <c r="AS86" s="67">
        <v>0</v>
      </c>
      <c r="AT86" s="67"/>
      <c r="AU86" s="67"/>
      <c r="AV86" s="67"/>
      <c r="AW86" s="67">
        <v>0</v>
      </c>
      <c r="AX86" s="67">
        <v>0</v>
      </c>
      <c r="AY86" s="67"/>
      <c r="AZ86" s="67"/>
      <c r="BA86" s="67"/>
      <c r="BB86" s="67"/>
      <c r="BC86" s="67"/>
      <c r="BD86" s="67"/>
      <c r="BE86" s="67"/>
      <c r="BG86" s="67"/>
      <c r="BH86" s="67"/>
      <c r="BI86" s="67"/>
      <c r="BJ86" s="67">
        <v>0</v>
      </c>
      <c r="BK86" s="67"/>
      <c r="BL86" s="67"/>
      <c r="BP86" s="67"/>
      <c r="BQ86" s="67">
        <v>0</v>
      </c>
      <c r="BR86" s="67"/>
      <c r="BS86" s="67"/>
      <c r="BT86" s="67">
        <v>0</v>
      </c>
      <c r="BU86" s="67"/>
      <c r="BV86" s="67"/>
      <c r="BW86" s="67">
        <v>0</v>
      </c>
      <c r="BX86" s="67">
        <v>0</v>
      </c>
      <c r="BY86" s="67">
        <v>0</v>
      </c>
      <c r="BZ86" s="67">
        <v>0</v>
      </c>
      <c r="CA86" s="67"/>
      <c r="CB86" s="67">
        <v>0</v>
      </c>
      <c r="CC86" s="67"/>
      <c r="CD86" s="67"/>
      <c r="CE86" s="67">
        <v>0</v>
      </c>
      <c r="CF86" s="67">
        <v>0</v>
      </c>
      <c r="CG86" s="67"/>
      <c r="CH86" s="67"/>
      <c r="CI86" s="67"/>
      <c r="CJ86" s="67"/>
      <c r="CK86" s="67">
        <v>0</v>
      </c>
      <c r="CL86" s="67">
        <v>0</v>
      </c>
      <c r="CM86" s="67"/>
      <c r="CN86" s="67"/>
      <c r="CO86" s="67">
        <v>0</v>
      </c>
      <c r="CP86" s="67">
        <v>0</v>
      </c>
      <c r="CQ86" s="67"/>
      <c r="CR86" s="67"/>
      <c r="CS86" s="67"/>
      <c r="CT86" s="67"/>
      <c r="CU86" s="67">
        <v>0</v>
      </c>
      <c r="CV86" s="67"/>
      <c r="CW86" s="67"/>
      <c r="CX86" s="67"/>
      <c r="CY86" s="67">
        <v>0</v>
      </c>
      <c r="CZ86" s="67"/>
      <c r="DA86" s="67"/>
      <c r="DB86" s="67"/>
      <c r="DC86" s="67"/>
      <c r="DF86" s="67"/>
      <c r="DG86" s="67">
        <v>0</v>
      </c>
      <c r="DH86" s="67">
        <v>0</v>
      </c>
      <c r="DI86" s="67">
        <v>0</v>
      </c>
      <c r="DJ86" s="67"/>
      <c r="DK86" s="67">
        <v>0</v>
      </c>
      <c r="DL86" s="67">
        <v>0</v>
      </c>
      <c r="DM86" s="67">
        <v>0</v>
      </c>
      <c r="DN86" s="67"/>
      <c r="DO86" s="67"/>
      <c r="DP86" s="67"/>
      <c r="DQ86" s="67">
        <v>0</v>
      </c>
      <c r="DR86" s="67">
        <v>0</v>
      </c>
      <c r="DS86" s="67"/>
      <c r="DT86" s="67"/>
      <c r="DU86" s="67">
        <v>0</v>
      </c>
      <c r="DV86" s="67">
        <v>0</v>
      </c>
      <c r="DW86" s="67">
        <v>0</v>
      </c>
      <c r="DX86" s="67">
        <v>0</v>
      </c>
      <c r="DY86" s="67"/>
      <c r="DZ86" s="67">
        <v>0</v>
      </c>
      <c r="EA86" s="67"/>
      <c r="EB86" s="67">
        <v>0</v>
      </c>
      <c r="EC86" s="67"/>
      <c r="ED86" s="67">
        <v>0</v>
      </c>
      <c r="EE86" s="67"/>
      <c r="EF86" s="67">
        <v>0</v>
      </c>
      <c r="EG86" s="67"/>
      <c r="EH86" s="67"/>
      <c r="EI86" s="67"/>
      <c r="EJ86" s="67"/>
      <c r="EK86" s="67"/>
      <c r="EL86" s="67"/>
      <c r="EM86" s="67"/>
      <c r="EN86" s="67"/>
      <c r="EO86" s="67"/>
      <c r="EP86" s="67">
        <v>0</v>
      </c>
      <c r="EQ86" s="67">
        <v>0</v>
      </c>
      <c r="ER86" s="67">
        <v>0</v>
      </c>
      <c r="ES86" s="67"/>
      <c r="ET86">
        <v>0</v>
      </c>
      <c r="EX86" s="67"/>
      <c r="EY86" s="67"/>
      <c r="EZ86" s="67"/>
      <c r="FA86" s="67">
        <v>113</v>
      </c>
      <c r="FB86" s="67"/>
      <c r="FC86" s="67"/>
      <c r="FD86" s="67"/>
      <c r="FE86" s="67"/>
      <c r="FF86" s="67"/>
      <c r="FG86" s="67"/>
      <c r="FH86" s="67"/>
      <c r="FI86" s="67" t="s">
        <v>1600</v>
      </c>
    </row>
    <row r="87" spans="2:165" ht="24" x14ac:dyDescent="0.2">
      <c r="B87" s="67" t="s">
        <v>430</v>
      </c>
      <c r="C87" s="67" t="s">
        <v>430</v>
      </c>
      <c r="D87" s="67" t="s">
        <v>431</v>
      </c>
      <c r="E87" s="67" t="s">
        <v>13</v>
      </c>
      <c r="F87" s="67" t="s">
        <v>933</v>
      </c>
      <c r="G87" s="67" t="s">
        <v>1597</v>
      </c>
      <c r="H87" s="67"/>
      <c r="I87" s="67" t="s">
        <v>22</v>
      </c>
      <c r="J87" s="67" t="s">
        <v>64</v>
      </c>
      <c r="K87" s="67" t="s">
        <v>1639</v>
      </c>
      <c r="L87" s="67" t="s">
        <v>787</v>
      </c>
      <c r="M87" s="67" t="s">
        <v>752</v>
      </c>
      <c r="N87" s="67" t="s">
        <v>1598</v>
      </c>
      <c r="O87" s="67" t="s">
        <v>1599</v>
      </c>
      <c r="P87" s="67"/>
      <c r="Q87" s="67">
        <v>851</v>
      </c>
      <c r="R87" s="67">
        <v>0</v>
      </c>
      <c r="S87" s="67">
        <v>0</v>
      </c>
      <c r="T87" s="67">
        <v>0</v>
      </c>
      <c r="U87" s="67">
        <v>0</v>
      </c>
      <c r="V87" s="67">
        <v>0</v>
      </c>
      <c r="W87" s="67">
        <v>0</v>
      </c>
      <c r="X87" s="67">
        <v>0</v>
      </c>
      <c r="Y87" s="67">
        <v>0</v>
      </c>
      <c r="Z87" s="67">
        <v>0</v>
      </c>
      <c r="AA87" s="67">
        <v>0</v>
      </c>
      <c r="AB87" s="67">
        <v>0</v>
      </c>
      <c r="AC87" s="67">
        <v>0</v>
      </c>
      <c r="AD87" s="67">
        <v>0</v>
      </c>
      <c r="AE87" s="67">
        <v>0</v>
      </c>
      <c r="AF87" s="67">
        <v>851</v>
      </c>
      <c r="AG87" s="67">
        <v>0</v>
      </c>
      <c r="AH87" s="67">
        <v>0</v>
      </c>
      <c r="AI87" s="67">
        <v>0</v>
      </c>
      <c r="AJ87" s="67">
        <v>0</v>
      </c>
      <c r="AK87" s="67">
        <v>0</v>
      </c>
      <c r="AL87" s="67">
        <v>0</v>
      </c>
      <c r="AM87" s="67">
        <v>0</v>
      </c>
      <c r="AN87" s="67">
        <v>0</v>
      </c>
      <c r="AO87" s="67">
        <v>0</v>
      </c>
      <c r="AP87" s="67">
        <v>0</v>
      </c>
      <c r="AQ87" s="67">
        <v>0</v>
      </c>
      <c r="AR87" s="67">
        <v>0</v>
      </c>
      <c r="AS87" s="67">
        <v>0</v>
      </c>
      <c r="AT87" s="67"/>
      <c r="AU87" s="67"/>
      <c r="AV87" s="67"/>
      <c r="AW87" s="67">
        <v>0</v>
      </c>
      <c r="AX87" s="67">
        <v>0</v>
      </c>
      <c r="AY87" s="67"/>
      <c r="AZ87" s="67"/>
      <c r="BA87" s="67"/>
      <c r="BB87" s="67"/>
      <c r="BC87" s="67"/>
      <c r="BD87" s="67"/>
      <c r="BE87" s="67"/>
      <c r="BG87" s="67"/>
      <c r="BH87" s="67"/>
      <c r="BI87" s="67"/>
      <c r="BJ87" s="67">
        <v>0</v>
      </c>
      <c r="BK87" s="67"/>
      <c r="BL87" s="67"/>
      <c r="BP87" s="67"/>
      <c r="BQ87" s="67">
        <v>0</v>
      </c>
      <c r="BR87" s="67"/>
      <c r="BS87" s="67"/>
      <c r="BT87" s="67">
        <v>0</v>
      </c>
      <c r="BU87" s="67"/>
      <c r="BV87" s="67"/>
      <c r="BW87" s="67">
        <v>0</v>
      </c>
      <c r="BX87" s="67">
        <v>0</v>
      </c>
      <c r="BY87" s="67">
        <v>0</v>
      </c>
      <c r="BZ87" s="67">
        <v>0</v>
      </c>
      <c r="CA87" s="67"/>
      <c r="CB87" s="67">
        <v>0</v>
      </c>
      <c r="CC87" s="67"/>
      <c r="CD87" s="67"/>
      <c r="CE87" s="67">
        <v>0</v>
      </c>
      <c r="CF87" s="67">
        <v>0</v>
      </c>
      <c r="CG87" s="67"/>
      <c r="CH87" s="67"/>
      <c r="CI87" s="67"/>
      <c r="CJ87" s="67"/>
      <c r="CK87" s="67">
        <v>0</v>
      </c>
      <c r="CL87" s="67">
        <v>0</v>
      </c>
      <c r="CM87" s="67"/>
      <c r="CN87" s="67"/>
      <c r="CO87" s="67">
        <v>0</v>
      </c>
      <c r="CP87" s="67">
        <v>0</v>
      </c>
      <c r="CQ87" s="67"/>
      <c r="CR87" s="67"/>
      <c r="CS87" s="67"/>
      <c r="CT87" s="67"/>
      <c r="CU87" s="67">
        <v>0</v>
      </c>
      <c r="CV87" s="67"/>
      <c r="CW87" s="67"/>
      <c r="CX87" s="67"/>
      <c r="CY87" s="67">
        <v>0</v>
      </c>
      <c r="CZ87" s="67"/>
      <c r="DA87" s="67"/>
      <c r="DB87" s="67"/>
      <c r="DC87" s="67"/>
      <c r="DF87" s="67"/>
      <c r="DG87" s="67">
        <v>0</v>
      </c>
      <c r="DH87" s="67">
        <v>0</v>
      </c>
      <c r="DI87" s="67">
        <v>0</v>
      </c>
      <c r="DJ87" s="67"/>
      <c r="DK87" s="67">
        <v>0</v>
      </c>
      <c r="DL87" s="67">
        <v>0</v>
      </c>
      <c r="DM87" s="67">
        <v>0</v>
      </c>
      <c r="DN87" s="67"/>
      <c r="DO87" s="67"/>
      <c r="DP87" s="67"/>
      <c r="DQ87" s="67">
        <v>0</v>
      </c>
      <c r="DR87" s="67">
        <v>0</v>
      </c>
      <c r="DS87" s="67"/>
      <c r="DT87" s="67"/>
      <c r="DU87" s="67">
        <v>0</v>
      </c>
      <c r="DV87" s="67">
        <v>0</v>
      </c>
      <c r="DW87" s="67">
        <v>0</v>
      </c>
      <c r="DX87" s="67">
        <v>0</v>
      </c>
      <c r="DY87" s="67"/>
      <c r="DZ87" s="67">
        <v>0</v>
      </c>
      <c r="EA87" s="67"/>
      <c r="EB87" s="67">
        <v>0</v>
      </c>
      <c r="EC87" s="67"/>
      <c r="ED87" s="67">
        <v>0</v>
      </c>
      <c r="EE87" s="67"/>
      <c r="EF87" s="67">
        <v>0</v>
      </c>
      <c r="EG87" s="67"/>
      <c r="EH87" s="67"/>
      <c r="EI87" s="67"/>
      <c r="EJ87" s="67"/>
      <c r="EK87" s="67"/>
      <c r="EL87" s="67"/>
      <c r="EM87" s="67"/>
      <c r="EN87" s="67"/>
      <c r="EO87" s="67"/>
      <c r="EP87" s="67">
        <v>0</v>
      </c>
      <c r="EQ87" s="67">
        <v>0</v>
      </c>
      <c r="ER87" s="67">
        <v>0</v>
      </c>
      <c r="ES87" s="67"/>
      <c r="ET87">
        <v>0</v>
      </c>
      <c r="EX87" s="67"/>
      <c r="EY87" s="67"/>
      <c r="EZ87" s="67"/>
      <c r="FA87" s="67">
        <v>851</v>
      </c>
      <c r="FB87" s="67"/>
      <c r="FC87" s="67"/>
      <c r="FD87" s="67"/>
      <c r="FE87" s="67"/>
      <c r="FF87" s="67"/>
      <c r="FG87" s="67"/>
      <c r="FH87" s="67"/>
      <c r="FI87" s="67" t="s">
        <v>1600</v>
      </c>
    </row>
    <row r="88" spans="2:165" x14ac:dyDescent="0.2">
      <c r="B88" s="67" t="s">
        <v>305</v>
      </c>
      <c r="C88" s="67" t="s">
        <v>1650</v>
      </c>
      <c r="D88" s="67" t="s">
        <v>432</v>
      </c>
      <c r="E88" s="67" t="s">
        <v>305</v>
      </c>
      <c r="F88" s="67" t="s">
        <v>305</v>
      </c>
      <c r="G88" s="67" t="s">
        <v>1597</v>
      </c>
      <c r="H88" s="67"/>
      <c r="I88" s="67" t="s">
        <v>305</v>
      </c>
      <c r="J88" s="67" t="s">
        <v>305</v>
      </c>
      <c r="K88" s="67" t="s">
        <v>305</v>
      </c>
      <c r="L88" s="67" t="s">
        <v>787</v>
      </c>
      <c r="M88" s="67" t="s">
        <v>752</v>
      </c>
      <c r="N88" s="67" t="s">
        <v>305</v>
      </c>
      <c r="O88" s="67" t="s">
        <v>305</v>
      </c>
      <c r="P88" s="67"/>
      <c r="Q88" s="67">
        <v>0</v>
      </c>
      <c r="R88" s="67">
        <v>0</v>
      </c>
      <c r="S88" s="67">
        <v>0</v>
      </c>
      <c r="T88" s="67">
        <v>0</v>
      </c>
      <c r="U88" s="67">
        <v>0</v>
      </c>
      <c r="V88" s="67">
        <v>0</v>
      </c>
      <c r="W88" s="67">
        <v>0</v>
      </c>
      <c r="X88" s="67">
        <v>0</v>
      </c>
      <c r="Y88" s="67">
        <v>0</v>
      </c>
      <c r="Z88" s="67">
        <v>0</v>
      </c>
      <c r="AA88" s="67">
        <v>0</v>
      </c>
      <c r="AB88" s="67">
        <v>0</v>
      </c>
      <c r="AC88" s="67">
        <v>0</v>
      </c>
      <c r="AD88" s="67">
        <v>0</v>
      </c>
      <c r="AE88" s="67">
        <v>0</v>
      </c>
      <c r="AF88" s="67">
        <v>0</v>
      </c>
      <c r="AG88" s="67">
        <v>0</v>
      </c>
      <c r="AH88" s="67">
        <v>0</v>
      </c>
      <c r="AI88" s="67">
        <v>0</v>
      </c>
      <c r="AJ88" s="67">
        <v>0</v>
      </c>
      <c r="AK88" s="67">
        <v>0</v>
      </c>
      <c r="AL88" s="67">
        <v>0</v>
      </c>
      <c r="AM88" s="67">
        <v>0</v>
      </c>
      <c r="AN88" s="67">
        <v>0</v>
      </c>
      <c r="AO88" s="67">
        <v>0</v>
      </c>
      <c r="AP88" s="67">
        <v>0</v>
      </c>
      <c r="AQ88" s="67">
        <v>0</v>
      </c>
      <c r="AR88" s="67">
        <v>0</v>
      </c>
      <c r="AS88" s="67">
        <v>0</v>
      </c>
      <c r="AT88" s="67"/>
      <c r="AU88" s="67"/>
      <c r="AV88" s="67"/>
      <c r="AW88" s="67">
        <v>0</v>
      </c>
      <c r="AX88" s="67">
        <v>0</v>
      </c>
      <c r="AY88" s="67"/>
      <c r="AZ88" s="67"/>
      <c r="BA88" s="67"/>
      <c r="BB88" s="67"/>
      <c r="BC88" s="67"/>
      <c r="BD88" s="67"/>
      <c r="BE88" s="67"/>
      <c r="BG88" s="67"/>
      <c r="BH88" s="67"/>
      <c r="BI88" s="67"/>
      <c r="BJ88" s="67">
        <v>0</v>
      </c>
      <c r="BK88" s="67"/>
      <c r="BL88" s="67"/>
      <c r="BP88" s="67"/>
      <c r="BQ88" s="67">
        <v>0</v>
      </c>
      <c r="BR88" s="67"/>
      <c r="BS88" s="67"/>
      <c r="BT88" s="67">
        <v>0</v>
      </c>
      <c r="BU88" s="67"/>
      <c r="BV88" s="67"/>
      <c r="BW88" s="67">
        <v>0</v>
      </c>
      <c r="BX88" s="67">
        <v>0</v>
      </c>
      <c r="BY88" s="67">
        <v>0</v>
      </c>
      <c r="BZ88" s="67">
        <v>0</v>
      </c>
      <c r="CA88" s="67"/>
      <c r="CB88" s="67">
        <v>0</v>
      </c>
      <c r="CC88" s="67"/>
      <c r="CD88" s="67"/>
      <c r="CE88" s="67">
        <v>0</v>
      </c>
      <c r="CF88" s="67">
        <v>0</v>
      </c>
      <c r="CG88" s="67"/>
      <c r="CH88" s="67"/>
      <c r="CI88" s="67"/>
      <c r="CJ88" s="67"/>
      <c r="CK88" s="67">
        <v>0</v>
      </c>
      <c r="CL88" s="67">
        <v>0</v>
      </c>
      <c r="CM88" s="67"/>
      <c r="CN88" s="67"/>
      <c r="CO88" s="67">
        <v>0</v>
      </c>
      <c r="CP88" s="67">
        <v>0</v>
      </c>
      <c r="CQ88" s="67"/>
      <c r="CR88" s="67"/>
      <c r="CS88" s="67"/>
      <c r="CT88" s="67"/>
      <c r="CU88" s="67">
        <v>0</v>
      </c>
      <c r="CV88" s="67"/>
      <c r="CW88" s="67"/>
      <c r="CX88" s="67"/>
      <c r="CY88" s="67">
        <v>0</v>
      </c>
      <c r="CZ88" s="67"/>
      <c r="DA88" s="67"/>
      <c r="DB88" s="67"/>
      <c r="DC88" s="67"/>
      <c r="DF88" s="67"/>
      <c r="DG88" s="67">
        <v>0</v>
      </c>
      <c r="DH88" s="67">
        <v>0</v>
      </c>
      <c r="DI88" s="67">
        <v>0</v>
      </c>
      <c r="DJ88" s="67"/>
      <c r="DK88" s="67">
        <v>0</v>
      </c>
      <c r="DL88" s="67">
        <v>0</v>
      </c>
      <c r="DM88" s="67">
        <v>0</v>
      </c>
      <c r="DN88" s="67"/>
      <c r="DO88" s="67"/>
      <c r="DP88" s="67"/>
      <c r="DQ88" s="67">
        <v>0</v>
      </c>
      <c r="DR88" s="67">
        <v>0</v>
      </c>
      <c r="DS88" s="67"/>
      <c r="DT88" s="67"/>
      <c r="DU88" s="67">
        <v>0</v>
      </c>
      <c r="DV88" s="67">
        <v>0</v>
      </c>
      <c r="DW88" s="67">
        <v>0</v>
      </c>
      <c r="DX88" s="67">
        <v>0</v>
      </c>
      <c r="DY88" s="67"/>
      <c r="DZ88" s="67">
        <v>0</v>
      </c>
      <c r="EA88" s="67"/>
      <c r="EB88" s="67">
        <v>0</v>
      </c>
      <c r="EC88" s="67"/>
      <c r="ED88" s="67">
        <v>0</v>
      </c>
      <c r="EE88" s="67"/>
      <c r="EF88" s="67">
        <v>0</v>
      </c>
      <c r="EG88" s="67"/>
      <c r="EH88" s="67"/>
      <c r="EI88" s="67"/>
      <c r="EJ88" s="67"/>
      <c r="EK88" s="67"/>
      <c r="EL88" s="67"/>
      <c r="EM88" s="67"/>
      <c r="EN88" s="67"/>
      <c r="EO88" s="67"/>
      <c r="EP88" s="67">
        <v>0</v>
      </c>
      <c r="EQ88" s="67">
        <v>0</v>
      </c>
      <c r="ER88" s="67">
        <v>0</v>
      </c>
      <c r="ES88" s="67"/>
      <c r="ET88">
        <v>0</v>
      </c>
      <c r="EX88" s="67"/>
      <c r="EY88" s="67"/>
      <c r="EZ88" s="67"/>
      <c r="FA88" s="67">
        <v>0</v>
      </c>
      <c r="FB88" s="67"/>
      <c r="FC88" s="67"/>
      <c r="FD88" s="67"/>
      <c r="FE88" s="67"/>
      <c r="FF88" s="67"/>
      <c r="FG88" s="67"/>
      <c r="FH88" s="67"/>
      <c r="FI88" s="67" t="s">
        <v>1600</v>
      </c>
    </row>
    <row r="89" spans="2:165" ht="24" x14ac:dyDescent="0.2">
      <c r="B89" s="67" t="s">
        <v>433</v>
      </c>
      <c r="C89" s="67" t="s">
        <v>433</v>
      </c>
      <c r="D89" s="67" t="s">
        <v>434</v>
      </c>
      <c r="E89" s="67" t="s">
        <v>13</v>
      </c>
      <c r="F89" s="67" t="s">
        <v>933</v>
      </c>
      <c r="G89" s="67" t="s">
        <v>1597</v>
      </c>
      <c r="H89" s="67"/>
      <c r="I89" s="67" t="s">
        <v>22</v>
      </c>
      <c r="J89" s="67" t="s">
        <v>64</v>
      </c>
      <c r="K89" s="67" t="s">
        <v>1639</v>
      </c>
      <c r="L89" s="67" t="s">
        <v>787</v>
      </c>
      <c r="M89" s="67" t="s">
        <v>752</v>
      </c>
      <c r="N89" s="67" t="s">
        <v>1607</v>
      </c>
      <c r="O89" s="67" t="s">
        <v>1599</v>
      </c>
      <c r="P89" s="67"/>
      <c r="Q89" s="67">
        <v>339</v>
      </c>
      <c r="R89" s="67">
        <v>0</v>
      </c>
      <c r="S89" s="67">
        <v>0</v>
      </c>
      <c r="T89" s="67">
        <v>0</v>
      </c>
      <c r="U89" s="67">
        <v>0</v>
      </c>
      <c r="V89" s="67">
        <v>0</v>
      </c>
      <c r="W89" s="67">
        <v>0</v>
      </c>
      <c r="X89" s="67">
        <v>0</v>
      </c>
      <c r="Y89" s="67">
        <v>0</v>
      </c>
      <c r="Z89" s="67">
        <v>0</v>
      </c>
      <c r="AA89" s="67">
        <v>0</v>
      </c>
      <c r="AB89" s="67">
        <v>0</v>
      </c>
      <c r="AC89" s="67">
        <v>0</v>
      </c>
      <c r="AD89" s="67">
        <v>0</v>
      </c>
      <c r="AE89" s="67">
        <v>0</v>
      </c>
      <c r="AF89" s="67">
        <v>339</v>
      </c>
      <c r="AG89" s="67">
        <v>0</v>
      </c>
      <c r="AH89" s="67">
        <v>0</v>
      </c>
      <c r="AI89" s="67">
        <v>0</v>
      </c>
      <c r="AJ89" s="67">
        <v>0</v>
      </c>
      <c r="AK89" s="67">
        <v>0</v>
      </c>
      <c r="AL89" s="67">
        <v>0</v>
      </c>
      <c r="AM89" s="67">
        <v>0</v>
      </c>
      <c r="AN89" s="67">
        <v>0</v>
      </c>
      <c r="AO89" s="67">
        <v>0</v>
      </c>
      <c r="AP89" s="67">
        <v>0</v>
      </c>
      <c r="AQ89" s="67">
        <v>0</v>
      </c>
      <c r="AR89" s="67">
        <v>0</v>
      </c>
      <c r="AS89" s="67">
        <v>0</v>
      </c>
      <c r="AT89" s="67"/>
      <c r="AU89" s="67"/>
      <c r="AV89" s="67"/>
      <c r="AW89" s="67">
        <v>0</v>
      </c>
      <c r="AX89" s="67">
        <v>0</v>
      </c>
      <c r="AY89" s="67"/>
      <c r="AZ89" s="67"/>
      <c r="BA89" s="67"/>
      <c r="BB89" s="67"/>
      <c r="BC89" s="67"/>
      <c r="BD89" s="67"/>
      <c r="BE89" s="67"/>
      <c r="BG89" s="67"/>
      <c r="BH89" s="67"/>
      <c r="BI89" s="67"/>
      <c r="BJ89" s="67">
        <v>0</v>
      </c>
      <c r="BK89" s="67"/>
      <c r="BL89" s="67"/>
      <c r="BP89" s="67"/>
      <c r="BQ89" s="67">
        <v>0</v>
      </c>
      <c r="BR89" s="67"/>
      <c r="BS89" s="67"/>
      <c r="BT89" s="67">
        <v>0</v>
      </c>
      <c r="BU89" s="67"/>
      <c r="BV89" s="67"/>
      <c r="BW89" s="67">
        <v>0</v>
      </c>
      <c r="BX89" s="67">
        <v>0</v>
      </c>
      <c r="BY89" s="67">
        <v>0</v>
      </c>
      <c r="BZ89" s="67">
        <v>0</v>
      </c>
      <c r="CA89" s="67"/>
      <c r="CB89" s="67">
        <v>0</v>
      </c>
      <c r="CC89" s="67"/>
      <c r="CD89" s="67"/>
      <c r="CE89" s="67">
        <v>0</v>
      </c>
      <c r="CF89" s="67">
        <v>0</v>
      </c>
      <c r="CG89" s="67"/>
      <c r="CH89" s="67"/>
      <c r="CI89" s="67"/>
      <c r="CJ89" s="67"/>
      <c r="CK89" s="67">
        <v>0</v>
      </c>
      <c r="CL89" s="67">
        <v>0</v>
      </c>
      <c r="CM89" s="67"/>
      <c r="CN89" s="67"/>
      <c r="CO89" s="67">
        <v>0</v>
      </c>
      <c r="CP89" s="67">
        <v>0</v>
      </c>
      <c r="CQ89" s="67"/>
      <c r="CR89" s="67"/>
      <c r="CS89" s="67"/>
      <c r="CT89" s="67"/>
      <c r="CU89" s="67">
        <v>0</v>
      </c>
      <c r="CV89" s="67"/>
      <c r="CW89" s="67"/>
      <c r="CX89" s="67"/>
      <c r="CY89" s="67">
        <v>0</v>
      </c>
      <c r="CZ89" s="67"/>
      <c r="DA89" s="67"/>
      <c r="DB89" s="67"/>
      <c r="DC89" s="67"/>
      <c r="DF89" s="67"/>
      <c r="DG89" s="67">
        <v>0</v>
      </c>
      <c r="DH89" s="67">
        <v>0</v>
      </c>
      <c r="DI89" s="67">
        <v>0</v>
      </c>
      <c r="DJ89" s="67"/>
      <c r="DK89" s="67">
        <v>0</v>
      </c>
      <c r="DL89" s="67">
        <v>0</v>
      </c>
      <c r="DM89" s="67">
        <v>0</v>
      </c>
      <c r="DN89" s="67"/>
      <c r="DO89" s="67"/>
      <c r="DP89" s="67"/>
      <c r="DQ89" s="67">
        <v>0</v>
      </c>
      <c r="DR89" s="67">
        <v>0</v>
      </c>
      <c r="DS89" s="67"/>
      <c r="DT89" s="67"/>
      <c r="DU89" s="67">
        <v>0</v>
      </c>
      <c r="DV89" s="67">
        <v>0</v>
      </c>
      <c r="DW89" s="67">
        <v>0</v>
      </c>
      <c r="DX89" s="67">
        <v>0</v>
      </c>
      <c r="DY89" s="67"/>
      <c r="DZ89" s="67">
        <v>0</v>
      </c>
      <c r="EA89" s="67"/>
      <c r="EB89" s="67">
        <v>0</v>
      </c>
      <c r="EC89" s="67"/>
      <c r="ED89" s="67">
        <v>0</v>
      </c>
      <c r="EE89" s="67"/>
      <c r="EF89" s="67">
        <v>0</v>
      </c>
      <c r="EG89" s="67"/>
      <c r="EH89" s="67"/>
      <c r="EI89" s="67"/>
      <c r="EJ89" s="67"/>
      <c r="EK89" s="67"/>
      <c r="EL89" s="67"/>
      <c r="EM89" s="67"/>
      <c r="EN89" s="67"/>
      <c r="EO89" s="67"/>
      <c r="EP89" s="67">
        <v>0</v>
      </c>
      <c r="EQ89" s="67">
        <v>0</v>
      </c>
      <c r="ER89" s="67">
        <v>0</v>
      </c>
      <c r="ES89" s="67"/>
      <c r="ET89">
        <v>0</v>
      </c>
      <c r="EX89" s="67"/>
      <c r="EY89" s="67"/>
      <c r="EZ89" s="67"/>
      <c r="FA89" s="67">
        <v>339</v>
      </c>
      <c r="FB89" s="67"/>
      <c r="FC89" s="67"/>
      <c r="FD89" s="67"/>
      <c r="FE89" s="67"/>
      <c r="FF89" s="67"/>
      <c r="FG89" s="67"/>
      <c r="FH89" s="67"/>
      <c r="FI89" s="67" t="s">
        <v>1600</v>
      </c>
    </row>
    <row r="90" spans="2:165" ht="24" x14ac:dyDescent="0.2">
      <c r="B90" s="67" t="s">
        <v>435</v>
      </c>
      <c r="C90" s="67" t="s">
        <v>435</v>
      </c>
      <c r="D90" s="67" t="s">
        <v>436</v>
      </c>
      <c r="E90" s="67" t="s">
        <v>13</v>
      </c>
      <c r="F90" s="67" t="s">
        <v>1241</v>
      </c>
      <c r="G90" s="67" t="s">
        <v>1597</v>
      </c>
      <c r="H90" s="67"/>
      <c r="I90" s="67" t="s">
        <v>41</v>
      </c>
      <c r="J90" s="67" t="s">
        <v>74</v>
      </c>
      <c r="K90" s="67" t="s">
        <v>1651</v>
      </c>
      <c r="L90" s="67" t="s">
        <v>787</v>
      </c>
      <c r="M90" s="67" t="s">
        <v>752</v>
      </c>
      <c r="N90" s="67" t="s">
        <v>1598</v>
      </c>
      <c r="O90" s="67" t="s">
        <v>1599</v>
      </c>
      <c r="P90" s="67"/>
      <c r="Q90" s="67">
        <v>200</v>
      </c>
      <c r="R90" s="67">
        <v>0</v>
      </c>
      <c r="S90" s="67">
        <v>0</v>
      </c>
      <c r="T90" s="67">
        <v>0</v>
      </c>
      <c r="U90" s="67">
        <v>0</v>
      </c>
      <c r="V90" s="67">
        <v>0</v>
      </c>
      <c r="W90" s="67">
        <v>0</v>
      </c>
      <c r="X90" s="67">
        <v>0</v>
      </c>
      <c r="Y90" s="67">
        <v>0</v>
      </c>
      <c r="Z90" s="67">
        <v>0</v>
      </c>
      <c r="AA90" s="67">
        <v>0</v>
      </c>
      <c r="AB90" s="67">
        <v>0</v>
      </c>
      <c r="AC90" s="67">
        <v>0</v>
      </c>
      <c r="AD90" s="67">
        <v>0</v>
      </c>
      <c r="AE90" s="67">
        <v>0</v>
      </c>
      <c r="AF90" s="67">
        <v>0</v>
      </c>
      <c r="AG90" s="67">
        <v>0</v>
      </c>
      <c r="AH90" s="67">
        <v>0</v>
      </c>
      <c r="AI90" s="67">
        <v>0</v>
      </c>
      <c r="AJ90" s="67">
        <v>0</v>
      </c>
      <c r="AK90" s="67">
        <v>0</v>
      </c>
      <c r="AL90" s="67">
        <v>0</v>
      </c>
      <c r="AM90" s="67">
        <v>0</v>
      </c>
      <c r="AN90" s="67">
        <v>200</v>
      </c>
      <c r="AO90" s="67">
        <v>0</v>
      </c>
      <c r="AP90" s="67">
        <v>0</v>
      </c>
      <c r="AQ90" s="67">
        <v>0</v>
      </c>
      <c r="AR90" s="67">
        <v>0</v>
      </c>
      <c r="AS90" s="67">
        <v>0</v>
      </c>
      <c r="AT90" s="67"/>
      <c r="AU90" s="67"/>
      <c r="AV90" s="67"/>
      <c r="AW90" s="67">
        <v>0</v>
      </c>
      <c r="AX90" s="67">
        <v>0</v>
      </c>
      <c r="AY90" s="67"/>
      <c r="AZ90" s="67"/>
      <c r="BA90" s="67"/>
      <c r="BB90" s="67"/>
      <c r="BC90" s="67"/>
      <c r="BD90" s="67"/>
      <c r="BE90" s="67"/>
      <c r="BG90" s="67"/>
      <c r="BH90" s="67"/>
      <c r="BI90" s="67"/>
      <c r="BJ90" s="67">
        <v>0</v>
      </c>
      <c r="BK90" s="67"/>
      <c r="BL90" s="67"/>
      <c r="BP90" s="67"/>
      <c r="BQ90" s="67">
        <v>0</v>
      </c>
      <c r="BR90" s="67"/>
      <c r="BS90" s="67"/>
      <c r="BT90" s="67">
        <v>0</v>
      </c>
      <c r="BU90" s="67"/>
      <c r="BV90" s="67"/>
      <c r="BW90" s="67">
        <v>0</v>
      </c>
      <c r="BX90" s="67">
        <v>0</v>
      </c>
      <c r="BY90" s="67">
        <v>0</v>
      </c>
      <c r="BZ90" s="67">
        <v>0</v>
      </c>
      <c r="CA90" s="67"/>
      <c r="CB90" s="67">
        <v>0</v>
      </c>
      <c r="CC90" s="67"/>
      <c r="CD90" s="67"/>
      <c r="CE90" s="67">
        <v>0</v>
      </c>
      <c r="CF90" s="67">
        <v>0</v>
      </c>
      <c r="CG90" s="67"/>
      <c r="CH90" s="67"/>
      <c r="CI90" s="67"/>
      <c r="CJ90" s="67"/>
      <c r="CK90" s="67">
        <v>0</v>
      </c>
      <c r="CL90" s="67">
        <v>0</v>
      </c>
      <c r="CM90" s="67"/>
      <c r="CN90" s="67"/>
      <c r="CO90" s="67">
        <v>0</v>
      </c>
      <c r="CP90" s="67">
        <v>0</v>
      </c>
      <c r="CQ90" s="67"/>
      <c r="CR90" s="67"/>
      <c r="CS90" s="67"/>
      <c r="CT90" s="67"/>
      <c r="CU90" s="67">
        <v>0</v>
      </c>
      <c r="CV90" s="67"/>
      <c r="CW90" s="67"/>
      <c r="CX90" s="67"/>
      <c r="CY90" s="67">
        <v>0</v>
      </c>
      <c r="CZ90" s="67"/>
      <c r="DA90" s="67"/>
      <c r="DB90" s="67"/>
      <c r="DC90" s="67"/>
      <c r="DF90" s="67"/>
      <c r="DG90" s="67">
        <v>0</v>
      </c>
      <c r="DH90" s="67">
        <v>0</v>
      </c>
      <c r="DI90" s="67">
        <v>0</v>
      </c>
      <c r="DJ90" s="67"/>
      <c r="DK90" s="67">
        <v>0</v>
      </c>
      <c r="DL90" s="67">
        <v>0</v>
      </c>
      <c r="DM90" s="67">
        <v>0</v>
      </c>
      <c r="DN90" s="67"/>
      <c r="DO90" s="67"/>
      <c r="DP90" s="67"/>
      <c r="DQ90" s="67">
        <v>0</v>
      </c>
      <c r="DR90" s="67">
        <v>0</v>
      </c>
      <c r="DS90" s="67"/>
      <c r="DT90" s="67"/>
      <c r="DU90" s="67">
        <v>0</v>
      </c>
      <c r="DV90" s="67">
        <v>0</v>
      </c>
      <c r="DW90" s="67">
        <v>0</v>
      </c>
      <c r="DX90" s="67">
        <v>0</v>
      </c>
      <c r="DY90" s="67"/>
      <c r="DZ90" s="67">
        <v>0</v>
      </c>
      <c r="EA90" s="67"/>
      <c r="EB90" s="67">
        <v>0</v>
      </c>
      <c r="EC90" s="67"/>
      <c r="ED90" s="67">
        <v>0</v>
      </c>
      <c r="EE90" s="67"/>
      <c r="EF90" s="67">
        <v>0</v>
      </c>
      <c r="EG90" s="67"/>
      <c r="EH90" s="67"/>
      <c r="EI90" s="67"/>
      <c r="EJ90" s="67"/>
      <c r="EK90" s="67"/>
      <c r="EL90" s="67"/>
      <c r="EM90" s="67"/>
      <c r="EN90" s="67"/>
      <c r="EO90" s="67"/>
      <c r="EP90" s="67">
        <v>0</v>
      </c>
      <c r="EQ90" s="67">
        <v>0</v>
      </c>
      <c r="ER90" s="67">
        <v>0</v>
      </c>
      <c r="ES90" s="67"/>
      <c r="ET90">
        <v>0</v>
      </c>
      <c r="EX90" s="67"/>
      <c r="EY90" s="67"/>
      <c r="EZ90" s="67"/>
      <c r="FA90" s="67">
        <v>200</v>
      </c>
      <c r="FB90" s="67"/>
      <c r="FC90" s="67"/>
      <c r="FD90" s="67"/>
      <c r="FE90" s="67"/>
      <c r="FF90" s="67"/>
      <c r="FG90" s="67"/>
      <c r="FH90" s="67"/>
      <c r="FI90" s="67" t="s">
        <v>1600</v>
      </c>
    </row>
    <row r="91" spans="2:165" ht="24" x14ac:dyDescent="0.2">
      <c r="B91" s="67" t="s">
        <v>437</v>
      </c>
      <c r="C91" s="67" t="s">
        <v>437</v>
      </c>
      <c r="D91" s="67" t="s">
        <v>438</v>
      </c>
      <c r="E91" s="67" t="s">
        <v>13</v>
      </c>
      <c r="F91" s="67" t="s">
        <v>1241</v>
      </c>
      <c r="G91" s="67" t="s">
        <v>1597</v>
      </c>
      <c r="H91" s="67"/>
      <c r="I91" s="67" t="s">
        <v>22</v>
      </c>
      <c r="J91" s="67" t="s">
        <v>74</v>
      </c>
      <c r="K91" s="67" t="s">
        <v>1652</v>
      </c>
      <c r="L91" s="67" t="s">
        <v>787</v>
      </c>
      <c r="M91" s="67" t="s">
        <v>752</v>
      </c>
      <c r="N91" s="67" t="s">
        <v>1598</v>
      </c>
      <c r="O91" s="67" t="s">
        <v>1599</v>
      </c>
      <c r="P91" s="67"/>
      <c r="Q91" s="67">
        <v>880</v>
      </c>
      <c r="R91" s="67">
        <v>0</v>
      </c>
      <c r="S91" s="67">
        <v>0</v>
      </c>
      <c r="T91" s="67">
        <v>0</v>
      </c>
      <c r="U91" s="67">
        <v>0</v>
      </c>
      <c r="V91" s="67">
        <v>0</v>
      </c>
      <c r="W91" s="67">
        <v>0</v>
      </c>
      <c r="X91" s="67">
        <v>0</v>
      </c>
      <c r="Y91" s="67">
        <v>0</v>
      </c>
      <c r="Z91" s="67">
        <v>0</v>
      </c>
      <c r="AA91" s="67">
        <v>0</v>
      </c>
      <c r="AB91" s="67">
        <v>0</v>
      </c>
      <c r="AC91" s="67">
        <v>0</v>
      </c>
      <c r="AD91" s="67">
        <v>0</v>
      </c>
      <c r="AE91" s="67">
        <v>0</v>
      </c>
      <c r="AF91" s="67">
        <v>0</v>
      </c>
      <c r="AG91" s="67">
        <v>0</v>
      </c>
      <c r="AH91" s="67">
        <v>0</v>
      </c>
      <c r="AI91" s="67">
        <v>0</v>
      </c>
      <c r="AJ91" s="67">
        <v>0</v>
      </c>
      <c r="AK91" s="67">
        <v>0</v>
      </c>
      <c r="AL91" s="67">
        <v>0</v>
      </c>
      <c r="AM91" s="67">
        <v>0</v>
      </c>
      <c r="AN91" s="67">
        <v>880</v>
      </c>
      <c r="AO91" s="67">
        <v>0</v>
      </c>
      <c r="AP91" s="67">
        <v>0</v>
      </c>
      <c r="AQ91" s="67">
        <v>0</v>
      </c>
      <c r="AR91" s="67">
        <v>0</v>
      </c>
      <c r="AS91" s="67">
        <v>0</v>
      </c>
      <c r="AT91" s="67"/>
      <c r="AU91" s="67"/>
      <c r="AV91" s="67"/>
      <c r="AW91" s="67">
        <v>0</v>
      </c>
      <c r="AX91" s="67">
        <v>0</v>
      </c>
      <c r="AY91" s="67"/>
      <c r="AZ91" s="67"/>
      <c r="BA91" s="67"/>
      <c r="BB91" s="67"/>
      <c r="BC91" s="67"/>
      <c r="BD91" s="67"/>
      <c r="BE91" s="67"/>
      <c r="BG91" s="67"/>
      <c r="BH91" s="67"/>
      <c r="BI91" s="67"/>
      <c r="BJ91" s="67">
        <v>0</v>
      </c>
      <c r="BK91" s="67"/>
      <c r="BL91" s="67"/>
      <c r="BP91" s="67"/>
      <c r="BQ91" s="67">
        <v>0</v>
      </c>
      <c r="BR91" s="67"/>
      <c r="BS91" s="67"/>
      <c r="BT91" s="67">
        <v>0</v>
      </c>
      <c r="BU91" s="67"/>
      <c r="BV91" s="67"/>
      <c r="BW91" s="67">
        <v>0</v>
      </c>
      <c r="BX91" s="67">
        <v>0</v>
      </c>
      <c r="BY91" s="67">
        <v>0</v>
      </c>
      <c r="BZ91" s="67">
        <v>0</v>
      </c>
      <c r="CA91" s="67"/>
      <c r="CB91" s="67">
        <v>0</v>
      </c>
      <c r="CC91" s="67"/>
      <c r="CD91" s="67"/>
      <c r="CE91" s="67">
        <v>0</v>
      </c>
      <c r="CF91" s="67">
        <v>0</v>
      </c>
      <c r="CG91" s="67"/>
      <c r="CH91" s="67"/>
      <c r="CI91" s="67"/>
      <c r="CJ91" s="67"/>
      <c r="CK91" s="67">
        <v>0</v>
      </c>
      <c r="CL91" s="67">
        <v>0</v>
      </c>
      <c r="CM91" s="67"/>
      <c r="CN91" s="67"/>
      <c r="CO91" s="67">
        <v>0</v>
      </c>
      <c r="CP91" s="67">
        <v>0</v>
      </c>
      <c r="CQ91" s="67"/>
      <c r="CR91" s="67"/>
      <c r="CS91" s="67"/>
      <c r="CT91" s="67"/>
      <c r="CU91" s="67">
        <v>0</v>
      </c>
      <c r="CV91" s="67"/>
      <c r="CW91" s="67"/>
      <c r="CX91" s="67"/>
      <c r="CY91" s="67">
        <v>0</v>
      </c>
      <c r="CZ91" s="67"/>
      <c r="DA91" s="67"/>
      <c r="DB91" s="67"/>
      <c r="DC91" s="67"/>
      <c r="DF91" s="67"/>
      <c r="DG91" s="67">
        <v>0</v>
      </c>
      <c r="DH91" s="67">
        <v>0</v>
      </c>
      <c r="DI91" s="67">
        <v>0</v>
      </c>
      <c r="DJ91" s="67"/>
      <c r="DK91" s="67">
        <v>0</v>
      </c>
      <c r="DL91" s="67">
        <v>0</v>
      </c>
      <c r="DM91" s="67">
        <v>0</v>
      </c>
      <c r="DN91" s="67"/>
      <c r="DO91" s="67"/>
      <c r="DP91" s="67"/>
      <c r="DQ91" s="67">
        <v>0</v>
      </c>
      <c r="DR91" s="67">
        <v>0</v>
      </c>
      <c r="DS91" s="67"/>
      <c r="DT91" s="67"/>
      <c r="DU91" s="67">
        <v>0</v>
      </c>
      <c r="DV91" s="67">
        <v>0</v>
      </c>
      <c r="DW91" s="67">
        <v>0</v>
      </c>
      <c r="DX91" s="67">
        <v>0</v>
      </c>
      <c r="DY91" s="67"/>
      <c r="DZ91" s="67">
        <v>0</v>
      </c>
      <c r="EA91" s="67"/>
      <c r="EB91" s="67">
        <v>0</v>
      </c>
      <c r="EC91" s="67"/>
      <c r="ED91" s="67">
        <v>0</v>
      </c>
      <c r="EE91" s="67"/>
      <c r="EF91" s="67">
        <v>0</v>
      </c>
      <c r="EG91" s="67"/>
      <c r="EH91" s="67"/>
      <c r="EI91" s="67"/>
      <c r="EJ91" s="67"/>
      <c r="EK91" s="67"/>
      <c r="EL91" s="67"/>
      <c r="EM91" s="67"/>
      <c r="EN91" s="67"/>
      <c r="EO91" s="67"/>
      <c r="EP91" s="67">
        <v>0</v>
      </c>
      <c r="EQ91" s="67">
        <v>0</v>
      </c>
      <c r="ER91" s="67">
        <v>0</v>
      </c>
      <c r="ES91" s="67"/>
      <c r="ET91">
        <v>0</v>
      </c>
      <c r="EX91" s="67"/>
      <c r="EY91" s="67"/>
      <c r="EZ91" s="67"/>
      <c r="FA91" s="67">
        <v>880</v>
      </c>
      <c r="FB91" s="67"/>
      <c r="FC91" s="67"/>
      <c r="FD91" s="67"/>
      <c r="FE91" s="67"/>
      <c r="FF91" s="67"/>
      <c r="FG91" s="67"/>
      <c r="FH91" s="67"/>
      <c r="FI91" s="67" t="s">
        <v>1600</v>
      </c>
    </row>
    <row r="92" spans="2:165" x14ac:dyDescent="0.2">
      <c r="B92" s="67" t="s">
        <v>305</v>
      </c>
      <c r="C92" s="67" t="s">
        <v>1653</v>
      </c>
      <c r="D92" s="67" t="s">
        <v>439</v>
      </c>
      <c r="E92" s="67" t="s">
        <v>305</v>
      </c>
      <c r="F92" s="67" t="s">
        <v>305</v>
      </c>
      <c r="G92" s="67" t="s">
        <v>1597</v>
      </c>
      <c r="H92" s="67"/>
      <c r="I92" s="67" t="s">
        <v>305</v>
      </c>
      <c r="J92" s="67" t="s">
        <v>305</v>
      </c>
      <c r="K92" s="67" t="s">
        <v>305</v>
      </c>
      <c r="L92" s="67" t="s">
        <v>787</v>
      </c>
      <c r="M92" s="67" t="s">
        <v>752</v>
      </c>
      <c r="N92" s="67" t="s">
        <v>305</v>
      </c>
      <c r="O92" s="67" t="s">
        <v>305</v>
      </c>
      <c r="P92" s="67"/>
      <c r="Q92" s="67">
        <v>0</v>
      </c>
      <c r="R92" s="67">
        <v>0</v>
      </c>
      <c r="S92" s="67">
        <v>0</v>
      </c>
      <c r="T92" s="67">
        <v>0</v>
      </c>
      <c r="U92" s="67">
        <v>0</v>
      </c>
      <c r="V92" s="67">
        <v>0</v>
      </c>
      <c r="W92" s="67">
        <v>0</v>
      </c>
      <c r="X92" s="67">
        <v>0</v>
      </c>
      <c r="Y92" s="67">
        <v>0</v>
      </c>
      <c r="Z92" s="67">
        <v>0</v>
      </c>
      <c r="AA92" s="67">
        <v>0</v>
      </c>
      <c r="AB92" s="67">
        <v>0</v>
      </c>
      <c r="AC92" s="67">
        <v>0</v>
      </c>
      <c r="AD92" s="67">
        <v>0</v>
      </c>
      <c r="AE92" s="67">
        <v>0</v>
      </c>
      <c r="AF92" s="67">
        <v>0</v>
      </c>
      <c r="AG92" s="67">
        <v>0</v>
      </c>
      <c r="AH92" s="67">
        <v>0</v>
      </c>
      <c r="AI92" s="67">
        <v>0</v>
      </c>
      <c r="AJ92" s="67">
        <v>0</v>
      </c>
      <c r="AK92" s="67">
        <v>0</v>
      </c>
      <c r="AL92" s="67">
        <v>0</v>
      </c>
      <c r="AM92" s="67">
        <v>0</v>
      </c>
      <c r="AN92" s="67">
        <v>0</v>
      </c>
      <c r="AO92" s="67">
        <v>0</v>
      </c>
      <c r="AP92" s="67">
        <v>0</v>
      </c>
      <c r="AQ92" s="67">
        <v>0</v>
      </c>
      <c r="AR92" s="67">
        <v>0</v>
      </c>
      <c r="AS92" s="67">
        <v>0</v>
      </c>
      <c r="AT92" s="67"/>
      <c r="AU92" s="67"/>
      <c r="AV92" s="67"/>
      <c r="AW92" s="67">
        <v>0</v>
      </c>
      <c r="AX92" s="67">
        <v>0</v>
      </c>
      <c r="AY92" s="67"/>
      <c r="AZ92" s="67"/>
      <c r="BA92" s="67"/>
      <c r="BB92" s="67"/>
      <c r="BC92" s="67"/>
      <c r="BD92" s="67"/>
      <c r="BE92" s="67"/>
      <c r="BG92" s="67"/>
      <c r="BH92" s="67"/>
      <c r="BI92" s="67"/>
      <c r="BJ92" s="67">
        <v>0</v>
      </c>
      <c r="BK92" s="67"/>
      <c r="BL92" s="67"/>
      <c r="BP92" s="67"/>
      <c r="BQ92" s="67">
        <v>0</v>
      </c>
      <c r="BR92" s="67"/>
      <c r="BS92" s="67"/>
      <c r="BT92" s="67">
        <v>0</v>
      </c>
      <c r="BU92" s="67"/>
      <c r="BV92" s="67"/>
      <c r="BW92" s="67">
        <v>0</v>
      </c>
      <c r="BX92" s="67">
        <v>0</v>
      </c>
      <c r="BY92" s="67">
        <v>0</v>
      </c>
      <c r="BZ92" s="67">
        <v>0</v>
      </c>
      <c r="CA92" s="67"/>
      <c r="CB92" s="67">
        <v>0</v>
      </c>
      <c r="CC92" s="67"/>
      <c r="CD92" s="67"/>
      <c r="CE92" s="67">
        <v>0</v>
      </c>
      <c r="CF92" s="67">
        <v>0</v>
      </c>
      <c r="CG92" s="67"/>
      <c r="CH92" s="67"/>
      <c r="CI92" s="67"/>
      <c r="CJ92" s="67"/>
      <c r="CK92" s="67">
        <v>0</v>
      </c>
      <c r="CL92" s="67">
        <v>0</v>
      </c>
      <c r="CM92" s="67"/>
      <c r="CN92" s="67"/>
      <c r="CO92" s="67">
        <v>0</v>
      </c>
      <c r="CP92" s="67">
        <v>0</v>
      </c>
      <c r="CQ92" s="67"/>
      <c r="CR92" s="67"/>
      <c r="CS92" s="67"/>
      <c r="CT92" s="67"/>
      <c r="CU92" s="67">
        <v>0</v>
      </c>
      <c r="CV92" s="67"/>
      <c r="CW92" s="67"/>
      <c r="CX92" s="67"/>
      <c r="CY92" s="67">
        <v>0</v>
      </c>
      <c r="CZ92" s="67"/>
      <c r="DA92" s="67"/>
      <c r="DB92" s="67"/>
      <c r="DC92" s="67"/>
      <c r="DF92" s="67"/>
      <c r="DG92" s="67">
        <v>0</v>
      </c>
      <c r="DH92" s="67">
        <v>0</v>
      </c>
      <c r="DI92" s="67">
        <v>0</v>
      </c>
      <c r="DJ92" s="67"/>
      <c r="DK92" s="67">
        <v>0</v>
      </c>
      <c r="DL92" s="67">
        <v>0</v>
      </c>
      <c r="DM92" s="67">
        <v>0</v>
      </c>
      <c r="DN92" s="67"/>
      <c r="DO92" s="67"/>
      <c r="DP92" s="67"/>
      <c r="DQ92" s="67">
        <v>0</v>
      </c>
      <c r="DR92" s="67">
        <v>0</v>
      </c>
      <c r="DS92" s="67"/>
      <c r="DT92" s="67"/>
      <c r="DU92" s="67">
        <v>0</v>
      </c>
      <c r="DV92" s="67">
        <v>0</v>
      </c>
      <c r="DW92" s="67">
        <v>0</v>
      </c>
      <c r="DX92" s="67">
        <v>0</v>
      </c>
      <c r="DY92" s="67"/>
      <c r="DZ92" s="67">
        <v>0</v>
      </c>
      <c r="EA92" s="67"/>
      <c r="EB92" s="67">
        <v>0</v>
      </c>
      <c r="EC92" s="67"/>
      <c r="ED92" s="67">
        <v>0</v>
      </c>
      <c r="EE92" s="67"/>
      <c r="EF92" s="67">
        <v>0</v>
      </c>
      <c r="EG92" s="67"/>
      <c r="EH92" s="67"/>
      <c r="EI92" s="67"/>
      <c r="EJ92" s="67"/>
      <c r="EK92" s="67"/>
      <c r="EL92" s="67"/>
      <c r="EM92" s="67"/>
      <c r="EN92" s="67"/>
      <c r="EO92" s="67"/>
      <c r="EP92" s="67">
        <v>0</v>
      </c>
      <c r="EQ92" s="67">
        <v>0</v>
      </c>
      <c r="ER92" s="67">
        <v>0</v>
      </c>
      <c r="ES92" s="67"/>
      <c r="ET92">
        <v>0</v>
      </c>
      <c r="EX92" s="67"/>
      <c r="EY92" s="67"/>
      <c r="EZ92" s="67"/>
      <c r="FA92" s="67">
        <v>0</v>
      </c>
      <c r="FB92" s="67"/>
      <c r="FC92" s="67"/>
      <c r="FD92" s="67"/>
      <c r="FE92" s="67"/>
      <c r="FF92" s="67"/>
      <c r="FG92" s="67"/>
      <c r="FH92" s="67"/>
      <c r="FI92" s="67" t="s">
        <v>1600</v>
      </c>
    </row>
    <row r="93" spans="2:165" x14ac:dyDescent="0.2">
      <c r="B93" s="67" t="s">
        <v>440</v>
      </c>
      <c r="C93" s="67" t="s">
        <v>440</v>
      </c>
      <c r="D93" s="67" t="s">
        <v>441</v>
      </c>
      <c r="E93" s="67" t="s">
        <v>35</v>
      </c>
      <c r="F93" s="67" t="s">
        <v>766</v>
      </c>
      <c r="G93" s="67" t="s">
        <v>1597</v>
      </c>
      <c r="H93" s="67"/>
      <c r="I93" s="67" t="s">
        <v>41</v>
      </c>
      <c r="J93" s="67" t="s">
        <v>68</v>
      </c>
      <c r="K93" s="67" t="s">
        <v>1571</v>
      </c>
      <c r="L93" s="67" t="s">
        <v>767</v>
      </c>
      <c r="M93" s="67" t="s">
        <v>752</v>
      </c>
      <c r="N93" s="67" t="s">
        <v>1598</v>
      </c>
      <c r="O93" s="67" t="s">
        <v>1599</v>
      </c>
      <c r="P93" s="67"/>
      <c r="Q93" s="67">
        <v>3036.9</v>
      </c>
      <c r="R93" s="67">
        <v>0</v>
      </c>
      <c r="S93" s="67">
        <v>0</v>
      </c>
      <c r="T93" s="67">
        <v>0</v>
      </c>
      <c r="U93" s="67">
        <v>0</v>
      </c>
      <c r="V93" s="67">
        <v>0</v>
      </c>
      <c r="W93" s="67">
        <v>0</v>
      </c>
      <c r="X93" s="67">
        <v>0</v>
      </c>
      <c r="Y93" s="67">
        <v>0</v>
      </c>
      <c r="Z93" s="67">
        <v>0</v>
      </c>
      <c r="AA93" s="67">
        <v>0</v>
      </c>
      <c r="AB93" s="67">
        <v>0</v>
      </c>
      <c r="AC93" s="67">
        <v>0</v>
      </c>
      <c r="AD93" s="67">
        <v>0</v>
      </c>
      <c r="AE93" s="67">
        <v>0</v>
      </c>
      <c r="AF93" s="67">
        <v>0</v>
      </c>
      <c r="AG93" s="67">
        <v>3036.9</v>
      </c>
      <c r="AH93" s="67">
        <v>0</v>
      </c>
      <c r="AI93" s="67">
        <v>0</v>
      </c>
      <c r="AJ93" s="67">
        <v>0</v>
      </c>
      <c r="AK93" s="67">
        <v>0</v>
      </c>
      <c r="AL93" s="67">
        <v>0</v>
      </c>
      <c r="AM93" s="67">
        <v>0</v>
      </c>
      <c r="AN93" s="67">
        <v>0</v>
      </c>
      <c r="AO93" s="67">
        <v>0</v>
      </c>
      <c r="AP93" s="67">
        <v>0</v>
      </c>
      <c r="AQ93" s="67">
        <v>0</v>
      </c>
      <c r="AR93" s="67">
        <v>0</v>
      </c>
      <c r="AS93" s="67">
        <v>0</v>
      </c>
      <c r="AT93" s="67"/>
      <c r="AU93" s="67"/>
      <c r="AV93" s="67"/>
      <c r="AW93" s="67">
        <v>0</v>
      </c>
      <c r="AX93" s="67">
        <v>0</v>
      </c>
      <c r="AY93" s="67"/>
      <c r="AZ93" s="67"/>
      <c r="BA93" s="67"/>
      <c r="BB93" s="67"/>
      <c r="BC93" s="67"/>
      <c r="BD93" s="67"/>
      <c r="BE93" s="67"/>
      <c r="BG93" s="67"/>
      <c r="BH93" s="67"/>
      <c r="BI93" s="67"/>
      <c r="BJ93" s="67">
        <v>0</v>
      </c>
      <c r="BK93" s="67"/>
      <c r="BL93" s="67"/>
      <c r="BP93" s="67"/>
      <c r="BQ93" s="67">
        <v>0</v>
      </c>
      <c r="BR93" s="67"/>
      <c r="BS93" s="67"/>
      <c r="BT93" s="67">
        <v>0</v>
      </c>
      <c r="BU93" s="67"/>
      <c r="BV93" s="67"/>
      <c r="BW93" s="67">
        <v>0</v>
      </c>
      <c r="BX93" s="67">
        <v>0</v>
      </c>
      <c r="BY93" s="67">
        <v>0</v>
      </c>
      <c r="BZ93" s="67">
        <v>0</v>
      </c>
      <c r="CA93" s="67"/>
      <c r="CB93" s="67">
        <v>0</v>
      </c>
      <c r="CC93" s="67"/>
      <c r="CD93" s="67"/>
      <c r="CE93" s="67">
        <v>0</v>
      </c>
      <c r="CF93" s="67">
        <v>0</v>
      </c>
      <c r="CG93" s="67"/>
      <c r="CH93" s="67"/>
      <c r="CI93" s="67"/>
      <c r="CJ93" s="67"/>
      <c r="CK93" s="67">
        <v>0</v>
      </c>
      <c r="CL93" s="67">
        <v>0</v>
      </c>
      <c r="CM93" s="67"/>
      <c r="CN93" s="67"/>
      <c r="CO93" s="67">
        <v>0</v>
      </c>
      <c r="CP93" s="67">
        <v>0</v>
      </c>
      <c r="CQ93" s="67"/>
      <c r="CR93" s="67"/>
      <c r="CS93" s="67"/>
      <c r="CT93" s="67"/>
      <c r="CU93" s="67">
        <v>0</v>
      </c>
      <c r="CV93" s="67"/>
      <c r="CW93" s="67"/>
      <c r="CX93" s="67"/>
      <c r="CY93" s="67">
        <v>0</v>
      </c>
      <c r="CZ93" s="67"/>
      <c r="DA93" s="67"/>
      <c r="DB93" s="67"/>
      <c r="DC93" s="67"/>
      <c r="DF93" s="67"/>
      <c r="DG93" s="67">
        <v>0</v>
      </c>
      <c r="DH93" s="67">
        <v>0</v>
      </c>
      <c r="DI93" s="67">
        <v>0</v>
      </c>
      <c r="DJ93" s="67"/>
      <c r="DK93" s="67">
        <v>0</v>
      </c>
      <c r="DL93" s="67">
        <v>0</v>
      </c>
      <c r="DM93" s="67">
        <v>0</v>
      </c>
      <c r="DN93" s="67"/>
      <c r="DO93" s="67"/>
      <c r="DP93" s="67"/>
      <c r="DQ93" s="67">
        <v>0</v>
      </c>
      <c r="DR93" s="67">
        <v>0</v>
      </c>
      <c r="DS93" s="67"/>
      <c r="DT93" s="67"/>
      <c r="DU93" s="67">
        <v>0</v>
      </c>
      <c r="DV93" s="67">
        <v>0</v>
      </c>
      <c r="DW93" s="67">
        <v>0</v>
      </c>
      <c r="DX93" s="67">
        <v>0</v>
      </c>
      <c r="DY93" s="67"/>
      <c r="DZ93" s="67">
        <v>0</v>
      </c>
      <c r="EA93" s="67"/>
      <c r="EB93" s="67">
        <v>0</v>
      </c>
      <c r="EC93" s="67"/>
      <c r="ED93" s="67">
        <v>0</v>
      </c>
      <c r="EE93" s="67"/>
      <c r="EF93" s="67">
        <v>0</v>
      </c>
      <c r="EG93" s="67"/>
      <c r="EH93" s="67"/>
      <c r="EI93" s="67"/>
      <c r="EJ93" s="67"/>
      <c r="EK93" s="67"/>
      <c r="EL93" s="67"/>
      <c r="EM93" s="67"/>
      <c r="EN93" s="67"/>
      <c r="EO93" s="67"/>
      <c r="EP93" s="67">
        <v>0</v>
      </c>
      <c r="EQ93" s="67">
        <v>0</v>
      </c>
      <c r="ER93" s="67">
        <v>0</v>
      </c>
      <c r="ES93" s="67"/>
      <c r="ET93">
        <v>0</v>
      </c>
      <c r="EX93" s="67"/>
      <c r="EY93" s="67"/>
      <c r="EZ93" s="67"/>
      <c r="FA93" s="67">
        <v>3036.9</v>
      </c>
      <c r="FB93" s="67"/>
      <c r="FC93" s="67"/>
      <c r="FD93" s="67"/>
      <c r="FE93" s="67"/>
      <c r="FF93" s="67"/>
      <c r="FG93" s="67"/>
      <c r="FH93" s="67"/>
      <c r="FI93" s="67" t="s">
        <v>1600</v>
      </c>
    </row>
    <row r="94" spans="2:165" x14ac:dyDescent="0.2">
      <c r="B94" s="67" t="s">
        <v>442</v>
      </c>
      <c r="C94" s="67" t="s">
        <v>442</v>
      </c>
      <c r="D94" s="67" t="s">
        <v>443</v>
      </c>
      <c r="E94" s="67" t="s">
        <v>35</v>
      </c>
      <c r="F94" s="67" t="s">
        <v>766</v>
      </c>
      <c r="G94" s="67" t="s">
        <v>1597</v>
      </c>
      <c r="H94" s="67"/>
      <c r="I94" s="67" t="s">
        <v>41</v>
      </c>
      <c r="J94" s="67" t="s">
        <v>68</v>
      </c>
      <c r="K94" s="67" t="s">
        <v>1571</v>
      </c>
      <c r="L94" s="67" t="s">
        <v>767</v>
      </c>
      <c r="M94" s="67" t="s">
        <v>752</v>
      </c>
      <c r="N94" s="67" t="s">
        <v>1598</v>
      </c>
      <c r="O94" s="67" t="s">
        <v>1599</v>
      </c>
      <c r="P94" s="67"/>
      <c r="Q94" s="67">
        <v>859.5</v>
      </c>
      <c r="R94" s="67">
        <v>0</v>
      </c>
      <c r="S94" s="67">
        <v>0</v>
      </c>
      <c r="T94" s="67">
        <v>0</v>
      </c>
      <c r="U94" s="67">
        <v>0</v>
      </c>
      <c r="V94" s="67">
        <v>0</v>
      </c>
      <c r="W94" s="67">
        <v>0</v>
      </c>
      <c r="X94" s="67">
        <v>0</v>
      </c>
      <c r="Y94" s="67">
        <v>0</v>
      </c>
      <c r="Z94" s="67">
        <v>0</v>
      </c>
      <c r="AA94" s="67">
        <v>0</v>
      </c>
      <c r="AB94" s="67">
        <v>0</v>
      </c>
      <c r="AC94" s="67">
        <v>0</v>
      </c>
      <c r="AD94" s="67">
        <v>0</v>
      </c>
      <c r="AE94" s="67">
        <v>0</v>
      </c>
      <c r="AF94" s="67">
        <v>0</v>
      </c>
      <c r="AG94" s="67">
        <v>859.5</v>
      </c>
      <c r="AH94" s="67">
        <v>0</v>
      </c>
      <c r="AI94" s="67">
        <v>0</v>
      </c>
      <c r="AJ94" s="67">
        <v>0</v>
      </c>
      <c r="AK94" s="67">
        <v>0</v>
      </c>
      <c r="AL94" s="67">
        <v>0</v>
      </c>
      <c r="AM94" s="67">
        <v>0</v>
      </c>
      <c r="AN94" s="67">
        <v>0</v>
      </c>
      <c r="AO94" s="67">
        <v>0</v>
      </c>
      <c r="AP94" s="67">
        <v>0</v>
      </c>
      <c r="AQ94" s="67">
        <v>0</v>
      </c>
      <c r="AR94" s="67">
        <v>0</v>
      </c>
      <c r="AS94" s="67">
        <v>0</v>
      </c>
      <c r="AT94" s="67"/>
      <c r="AU94" s="67"/>
      <c r="AV94" s="67"/>
      <c r="AW94" s="67">
        <v>0</v>
      </c>
      <c r="AX94" s="67">
        <v>0</v>
      </c>
      <c r="AY94" s="67"/>
      <c r="AZ94" s="67"/>
      <c r="BA94" s="67"/>
      <c r="BB94" s="67"/>
      <c r="BC94" s="67"/>
      <c r="BD94" s="67"/>
      <c r="BE94" s="67"/>
      <c r="BG94" s="67"/>
      <c r="BH94" s="67"/>
      <c r="BI94" s="67"/>
      <c r="BJ94" s="67">
        <v>0</v>
      </c>
      <c r="BK94" s="67"/>
      <c r="BL94" s="67"/>
      <c r="BP94" s="67"/>
      <c r="BQ94" s="67">
        <v>0</v>
      </c>
      <c r="BR94" s="67"/>
      <c r="BS94" s="67"/>
      <c r="BT94" s="67">
        <v>0</v>
      </c>
      <c r="BU94" s="67"/>
      <c r="BV94" s="67"/>
      <c r="BW94" s="67">
        <v>0</v>
      </c>
      <c r="BX94" s="67">
        <v>0</v>
      </c>
      <c r="BY94" s="67">
        <v>0</v>
      </c>
      <c r="BZ94" s="67">
        <v>0</v>
      </c>
      <c r="CA94" s="67"/>
      <c r="CB94" s="67">
        <v>0</v>
      </c>
      <c r="CC94" s="67"/>
      <c r="CD94" s="67"/>
      <c r="CE94" s="67">
        <v>0</v>
      </c>
      <c r="CF94" s="67">
        <v>0</v>
      </c>
      <c r="CG94" s="67"/>
      <c r="CH94" s="67"/>
      <c r="CI94" s="67"/>
      <c r="CJ94" s="67"/>
      <c r="CK94" s="67">
        <v>0</v>
      </c>
      <c r="CL94" s="67">
        <v>0</v>
      </c>
      <c r="CM94" s="67"/>
      <c r="CN94" s="67"/>
      <c r="CO94" s="67">
        <v>0</v>
      </c>
      <c r="CP94" s="67">
        <v>0</v>
      </c>
      <c r="CQ94" s="67"/>
      <c r="CR94" s="67"/>
      <c r="CS94" s="67"/>
      <c r="CT94" s="67"/>
      <c r="CU94" s="67">
        <v>0</v>
      </c>
      <c r="CV94" s="67"/>
      <c r="CW94" s="67"/>
      <c r="CX94" s="67"/>
      <c r="CY94" s="67">
        <v>0</v>
      </c>
      <c r="CZ94" s="67"/>
      <c r="DA94" s="67"/>
      <c r="DB94" s="67"/>
      <c r="DC94" s="67"/>
      <c r="DF94" s="67"/>
      <c r="DG94" s="67">
        <v>0</v>
      </c>
      <c r="DH94" s="67">
        <v>0</v>
      </c>
      <c r="DI94" s="67">
        <v>0</v>
      </c>
      <c r="DJ94" s="67"/>
      <c r="DK94" s="67">
        <v>0</v>
      </c>
      <c r="DL94" s="67">
        <v>0</v>
      </c>
      <c r="DM94" s="67">
        <v>0</v>
      </c>
      <c r="DN94" s="67"/>
      <c r="DO94" s="67"/>
      <c r="DP94" s="67"/>
      <c r="DQ94" s="67">
        <v>0</v>
      </c>
      <c r="DR94" s="67">
        <v>0</v>
      </c>
      <c r="DS94" s="67"/>
      <c r="DT94" s="67"/>
      <c r="DU94" s="67">
        <v>0</v>
      </c>
      <c r="DV94" s="67">
        <v>0</v>
      </c>
      <c r="DW94" s="67">
        <v>0</v>
      </c>
      <c r="DX94" s="67">
        <v>0</v>
      </c>
      <c r="DY94" s="67"/>
      <c r="DZ94" s="67">
        <v>0</v>
      </c>
      <c r="EA94" s="67"/>
      <c r="EB94" s="67">
        <v>0</v>
      </c>
      <c r="EC94" s="67"/>
      <c r="ED94" s="67">
        <v>0</v>
      </c>
      <c r="EE94" s="67"/>
      <c r="EF94" s="67">
        <v>0</v>
      </c>
      <c r="EG94" s="67"/>
      <c r="EH94" s="67"/>
      <c r="EI94" s="67"/>
      <c r="EJ94" s="67"/>
      <c r="EK94" s="67"/>
      <c r="EL94" s="67"/>
      <c r="EM94" s="67"/>
      <c r="EN94" s="67"/>
      <c r="EO94" s="67"/>
      <c r="EP94" s="67">
        <v>0</v>
      </c>
      <c r="EQ94" s="67">
        <v>0</v>
      </c>
      <c r="ER94" s="67">
        <v>0</v>
      </c>
      <c r="ES94" s="67"/>
      <c r="ET94">
        <v>0</v>
      </c>
      <c r="EX94" s="67"/>
      <c r="EY94" s="67"/>
      <c r="EZ94" s="67"/>
      <c r="FA94" s="67">
        <v>859.5</v>
      </c>
      <c r="FB94" s="67"/>
      <c r="FC94" s="67"/>
      <c r="FD94" s="67"/>
      <c r="FE94" s="67"/>
      <c r="FF94" s="67"/>
      <c r="FG94" s="67"/>
      <c r="FH94" s="67"/>
      <c r="FI94" s="67" t="s">
        <v>1600</v>
      </c>
    </row>
    <row r="95" spans="2:165" x14ac:dyDescent="0.2">
      <c r="B95" s="67" t="s">
        <v>305</v>
      </c>
      <c r="C95" s="67" t="s">
        <v>1654</v>
      </c>
      <c r="D95" s="67" t="s">
        <v>444</v>
      </c>
      <c r="E95" s="67" t="s">
        <v>35</v>
      </c>
      <c r="F95" s="67" t="s">
        <v>766</v>
      </c>
      <c r="G95" s="67" t="s">
        <v>1597</v>
      </c>
      <c r="H95" s="67"/>
      <c r="I95" s="67" t="s">
        <v>41</v>
      </c>
      <c r="J95" s="67" t="s">
        <v>68</v>
      </c>
      <c r="K95" s="67" t="s">
        <v>1571</v>
      </c>
      <c r="L95" s="67" t="s">
        <v>767</v>
      </c>
      <c r="M95" s="67" t="s">
        <v>752</v>
      </c>
      <c r="N95" s="67" t="s">
        <v>1604</v>
      </c>
      <c r="O95" s="67" t="s">
        <v>1605</v>
      </c>
      <c r="P95" s="67"/>
      <c r="Q95" s="67">
        <v>0</v>
      </c>
      <c r="R95" s="67">
        <v>0</v>
      </c>
      <c r="S95" s="67">
        <v>0</v>
      </c>
      <c r="T95" s="67">
        <v>0</v>
      </c>
      <c r="U95" s="67">
        <v>0</v>
      </c>
      <c r="V95" s="67">
        <v>0</v>
      </c>
      <c r="W95" s="67">
        <v>0</v>
      </c>
      <c r="X95" s="67">
        <v>0</v>
      </c>
      <c r="Y95" s="67">
        <v>0</v>
      </c>
      <c r="Z95" s="67">
        <v>0</v>
      </c>
      <c r="AA95" s="67">
        <v>0</v>
      </c>
      <c r="AB95" s="67">
        <v>0</v>
      </c>
      <c r="AC95" s="67">
        <v>0</v>
      </c>
      <c r="AD95" s="67">
        <v>0</v>
      </c>
      <c r="AE95" s="67">
        <v>0</v>
      </c>
      <c r="AF95" s="67">
        <v>0</v>
      </c>
      <c r="AG95" s="67">
        <v>0</v>
      </c>
      <c r="AH95" s="67">
        <v>0</v>
      </c>
      <c r="AI95" s="67">
        <v>0</v>
      </c>
      <c r="AJ95" s="67">
        <v>0</v>
      </c>
      <c r="AK95" s="67">
        <v>0</v>
      </c>
      <c r="AL95" s="67">
        <v>0</v>
      </c>
      <c r="AM95" s="67">
        <v>0</v>
      </c>
      <c r="AN95" s="67">
        <v>0</v>
      </c>
      <c r="AO95" s="67">
        <v>0</v>
      </c>
      <c r="AP95" s="67">
        <v>0</v>
      </c>
      <c r="AQ95" s="67">
        <v>0</v>
      </c>
      <c r="AR95" s="67">
        <v>0</v>
      </c>
      <c r="AS95" s="67">
        <v>0</v>
      </c>
      <c r="AT95" s="67"/>
      <c r="AU95" s="67"/>
      <c r="AV95" s="67"/>
      <c r="AW95" s="67">
        <v>0</v>
      </c>
      <c r="AX95" s="67">
        <v>0</v>
      </c>
      <c r="AY95" s="67"/>
      <c r="AZ95" s="67"/>
      <c r="BA95" s="67"/>
      <c r="BB95" s="67"/>
      <c r="BC95" s="67"/>
      <c r="BD95" s="67"/>
      <c r="BE95" s="67"/>
      <c r="BG95" s="67"/>
      <c r="BH95" s="67"/>
      <c r="BI95" s="67"/>
      <c r="BJ95" s="67">
        <v>0</v>
      </c>
      <c r="BK95" s="67"/>
      <c r="BL95" s="67"/>
      <c r="BP95" s="67"/>
      <c r="BQ95" s="67">
        <v>0</v>
      </c>
      <c r="BR95" s="67"/>
      <c r="BS95" s="67"/>
      <c r="BT95" s="67">
        <v>0</v>
      </c>
      <c r="BU95" s="67"/>
      <c r="BV95" s="67"/>
      <c r="BW95" s="67">
        <v>0</v>
      </c>
      <c r="BX95" s="67">
        <v>0</v>
      </c>
      <c r="BY95" s="67">
        <v>0</v>
      </c>
      <c r="BZ95" s="67">
        <v>0</v>
      </c>
      <c r="CA95" s="67"/>
      <c r="CB95" s="67">
        <v>0</v>
      </c>
      <c r="CC95" s="67"/>
      <c r="CD95" s="67"/>
      <c r="CE95" s="67">
        <v>0</v>
      </c>
      <c r="CF95" s="67">
        <v>0</v>
      </c>
      <c r="CG95" s="67"/>
      <c r="CH95" s="67"/>
      <c r="CI95" s="67"/>
      <c r="CJ95" s="67"/>
      <c r="CK95" s="67">
        <v>0</v>
      </c>
      <c r="CL95" s="67">
        <v>0</v>
      </c>
      <c r="CM95" s="67"/>
      <c r="CN95" s="67"/>
      <c r="CO95" s="67">
        <v>0</v>
      </c>
      <c r="CP95" s="67">
        <v>0</v>
      </c>
      <c r="CQ95" s="67"/>
      <c r="CR95" s="67"/>
      <c r="CS95" s="67"/>
      <c r="CT95" s="67"/>
      <c r="CU95" s="67">
        <v>0</v>
      </c>
      <c r="CV95" s="67"/>
      <c r="CW95" s="67"/>
      <c r="CX95" s="67"/>
      <c r="CY95" s="67">
        <v>0</v>
      </c>
      <c r="CZ95" s="67"/>
      <c r="DA95" s="67"/>
      <c r="DB95" s="67"/>
      <c r="DC95" s="67"/>
      <c r="DF95" s="67"/>
      <c r="DG95" s="67">
        <v>0</v>
      </c>
      <c r="DH95" s="67">
        <v>0</v>
      </c>
      <c r="DI95" s="67">
        <v>0</v>
      </c>
      <c r="DJ95" s="67"/>
      <c r="DK95" s="67">
        <v>0</v>
      </c>
      <c r="DL95" s="67">
        <v>0</v>
      </c>
      <c r="DM95" s="67">
        <v>0</v>
      </c>
      <c r="DN95" s="67"/>
      <c r="DO95" s="67"/>
      <c r="DP95" s="67"/>
      <c r="DQ95" s="67">
        <v>0</v>
      </c>
      <c r="DR95" s="67">
        <v>0</v>
      </c>
      <c r="DS95" s="67"/>
      <c r="DT95" s="67"/>
      <c r="DU95" s="67">
        <v>0</v>
      </c>
      <c r="DV95" s="67">
        <v>0</v>
      </c>
      <c r="DW95" s="67">
        <v>0</v>
      </c>
      <c r="DX95" s="67">
        <v>0</v>
      </c>
      <c r="DY95" s="67"/>
      <c r="DZ95" s="67">
        <v>0</v>
      </c>
      <c r="EA95" s="67"/>
      <c r="EB95" s="67">
        <v>0</v>
      </c>
      <c r="EC95" s="67"/>
      <c r="ED95" s="67">
        <v>0</v>
      </c>
      <c r="EE95" s="67"/>
      <c r="EF95" s="67">
        <v>0</v>
      </c>
      <c r="EG95" s="67"/>
      <c r="EH95" s="67"/>
      <c r="EI95" s="67"/>
      <c r="EJ95" s="67"/>
      <c r="EK95" s="67"/>
      <c r="EL95" s="67"/>
      <c r="EM95" s="67"/>
      <c r="EN95" s="67"/>
      <c r="EO95" s="67"/>
      <c r="EP95" s="67">
        <v>0</v>
      </c>
      <c r="EQ95" s="67">
        <v>0</v>
      </c>
      <c r="ER95" s="67">
        <v>0</v>
      </c>
      <c r="ES95" s="67"/>
      <c r="ET95">
        <v>0</v>
      </c>
      <c r="EX95" s="67"/>
      <c r="EY95" s="67"/>
      <c r="EZ95" s="67"/>
      <c r="FA95" s="67">
        <v>0</v>
      </c>
      <c r="FB95" s="67"/>
      <c r="FC95" s="67"/>
      <c r="FD95" s="67"/>
      <c r="FE95" s="67"/>
      <c r="FF95" s="67"/>
      <c r="FG95" s="67"/>
      <c r="FH95" s="67"/>
      <c r="FI95" s="67" t="s">
        <v>1600</v>
      </c>
    </row>
    <row r="96" spans="2:165" ht="24" x14ac:dyDescent="0.2">
      <c r="B96" s="67" t="s">
        <v>445</v>
      </c>
      <c r="C96" s="67" t="s">
        <v>445</v>
      </c>
      <c r="D96" s="67" t="s">
        <v>446</v>
      </c>
      <c r="E96" s="67" t="s">
        <v>889</v>
      </c>
      <c r="F96" s="67" t="s">
        <v>1473</v>
      </c>
      <c r="G96" s="67" t="s">
        <v>1597</v>
      </c>
      <c r="H96" s="67"/>
      <c r="I96" s="67" t="s">
        <v>41</v>
      </c>
      <c r="J96" s="67" t="s">
        <v>95</v>
      </c>
      <c r="K96" s="67" t="s">
        <v>839</v>
      </c>
      <c r="L96" s="67" t="s">
        <v>767</v>
      </c>
      <c r="M96" s="67" t="s">
        <v>752</v>
      </c>
      <c r="N96" s="67" t="s">
        <v>1607</v>
      </c>
      <c r="O96" s="67" t="s">
        <v>1599</v>
      </c>
      <c r="P96" s="67"/>
      <c r="Q96" s="67">
        <v>100</v>
      </c>
      <c r="R96" s="67">
        <v>0</v>
      </c>
      <c r="S96" s="67">
        <v>0</v>
      </c>
      <c r="T96" s="67">
        <v>0</v>
      </c>
      <c r="U96" s="67">
        <v>0</v>
      </c>
      <c r="V96" s="67">
        <v>0</v>
      </c>
      <c r="W96" s="67">
        <v>0</v>
      </c>
      <c r="X96" s="67">
        <v>0</v>
      </c>
      <c r="Y96" s="67">
        <v>0</v>
      </c>
      <c r="Z96" s="67">
        <v>0</v>
      </c>
      <c r="AA96" s="67">
        <v>0</v>
      </c>
      <c r="AB96" s="67">
        <v>0</v>
      </c>
      <c r="AC96" s="67">
        <v>0</v>
      </c>
      <c r="AD96" s="67">
        <v>0</v>
      </c>
      <c r="AE96" s="67">
        <v>0</v>
      </c>
      <c r="AF96" s="67">
        <v>0</v>
      </c>
      <c r="AG96" s="67">
        <v>0</v>
      </c>
      <c r="AH96" s="67">
        <v>0</v>
      </c>
      <c r="AI96" s="67">
        <v>0</v>
      </c>
      <c r="AJ96" s="67">
        <v>0</v>
      </c>
      <c r="AK96" s="67">
        <v>0</v>
      </c>
      <c r="AL96" s="67">
        <v>100</v>
      </c>
      <c r="AM96" s="67">
        <v>0</v>
      </c>
      <c r="AN96" s="67">
        <v>0</v>
      </c>
      <c r="AO96" s="67">
        <v>0</v>
      </c>
      <c r="AP96" s="67">
        <v>0</v>
      </c>
      <c r="AQ96" s="67">
        <v>0</v>
      </c>
      <c r="AR96" s="67">
        <v>0</v>
      </c>
      <c r="AS96" s="67">
        <v>0</v>
      </c>
      <c r="AT96" s="67"/>
      <c r="AU96" s="67"/>
      <c r="AV96" s="67"/>
      <c r="AW96" s="67">
        <v>0</v>
      </c>
      <c r="AX96" s="67">
        <v>0</v>
      </c>
      <c r="AY96" s="67"/>
      <c r="AZ96" s="67"/>
      <c r="BA96" s="67"/>
      <c r="BB96" s="67"/>
      <c r="BC96" s="67"/>
      <c r="BD96" s="67"/>
      <c r="BE96" s="67"/>
      <c r="BG96" s="67"/>
      <c r="BH96" s="67"/>
      <c r="BI96" s="67"/>
      <c r="BJ96" s="67">
        <v>0</v>
      </c>
      <c r="BK96" s="67"/>
      <c r="BL96" s="67"/>
      <c r="BP96" s="67"/>
      <c r="BQ96" s="67">
        <v>0</v>
      </c>
      <c r="BR96" s="67"/>
      <c r="BS96" s="67"/>
      <c r="BT96" s="67">
        <v>0</v>
      </c>
      <c r="BU96" s="67"/>
      <c r="BV96" s="67"/>
      <c r="BW96" s="67">
        <v>0</v>
      </c>
      <c r="BX96" s="67">
        <v>0</v>
      </c>
      <c r="BY96" s="67">
        <v>0</v>
      </c>
      <c r="BZ96" s="67">
        <v>0</v>
      </c>
      <c r="CA96" s="67"/>
      <c r="CB96" s="67">
        <v>0</v>
      </c>
      <c r="CC96" s="67"/>
      <c r="CD96" s="67"/>
      <c r="CE96" s="67">
        <v>0</v>
      </c>
      <c r="CF96" s="67">
        <v>0</v>
      </c>
      <c r="CG96" s="67"/>
      <c r="CH96" s="67"/>
      <c r="CI96" s="67"/>
      <c r="CJ96" s="67"/>
      <c r="CK96" s="67">
        <v>0</v>
      </c>
      <c r="CL96" s="67">
        <v>0</v>
      </c>
      <c r="CM96" s="67"/>
      <c r="CN96" s="67"/>
      <c r="CO96" s="67">
        <v>0</v>
      </c>
      <c r="CP96" s="67">
        <v>0</v>
      </c>
      <c r="CQ96" s="67"/>
      <c r="CR96" s="67"/>
      <c r="CS96" s="67"/>
      <c r="CT96" s="67"/>
      <c r="CU96" s="67">
        <v>0</v>
      </c>
      <c r="CV96" s="67"/>
      <c r="CW96" s="67"/>
      <c r="CX96" s="67"/>
      <c r="CY96" s="67">
        <v>0</v>
      </c>
      <c r="CZ96" s="67"/>
      <c r="DA96" s="67"/>
      <c r="DB96" s="67"/>
      <c r="DC96" s="67"/>
      <c r="DF96" s="67"/>
      <c r="DG96" s="67">
        <v>100</v>
      </c>
      <c r="DH96" s="67">
        <v>100</v>
      </c>
      <c r="DI96" s="67">
        <v>0</v>
      </c>
      <c r="DJ96" s="67"/>
      <c r="DK96" s="67">
        <v>0</v>
      </c>
      <c r="DL96" s="67">
        <v>0</v>
      </c>
      <c r="DM96" s="67">
        <v>0</v>
      </c>
      <c r="DN96" s="67"/>
      <c r="DO96" s="67"/>
      <c r="DP96" s="67"/>
      <c r="DQ96" s="67">
        <v>0</v>
      </c>
      <c r="DR96" s="67">
        <v>0</v>
      </c>
      <c r="DS96" s="67"/>
      <c r="DT96" s="67"/>
      <c r="DU96" s="67">
        <v>0</v>
      </c>
      <c r="DV96" s="67">
        <v>0</v>
      </c>
      <c r="DW96" s="67">
        <v>0</v>
      </c>
      <c r="DX96" s="67">
        <v>0</v>
      </c>
      <c r="DY96" s="67"/>
      <c r="DZ96" s="67">
        <v>0</v>
      </c>
      <c r="EA96" s="67"/>
      <c r="EB96" s="67">
        <v>0</v>
      </c>
      <c r="EC96" s="67"/>
      <c r="ED96" s="67">
        <v>0</v>
      </c>
      <c r="EE96" s="67"/>
      <c r="EF96" s="67">
        <v>0</v>
      </c>
      <c r="EG96" s="67"/>
      <c r="EH96" s="67"/>
      <c r="EI96" s="67"/>
      <c r="EJ96" s="67"/>
      <c r="EK96" s="67"/>
      <c r="EL96" s="67"/>
      <c r="EM96" s="67"/>
      <c r="EN96" s="67"/>
      <c r="EO96" s="67"/>
      <c r="EP96" s="67">
        <v>0</v>
      </c>
      <c r="EQ96" s="67">
        <v>0</v>
      </c>
      <c r="ER96" s="67">
        <v>0</v>
      </c>
      <c r="ES96" s="67"/>
      <c r="ET96">
        <v>0</v>
      </c>
      <c r="EX96" s="67"/>
      <c r="EY96" s="67"/>
      <c r="EZ96" s="67"/>
      <c r="FA96" s="67">
        <v>200</v>
      </c>
      <c r="FB96" s="67"/>
      <c r="FC96" s="67"/>
      <c r="FD96" s="67"/>
      <c r="FE96" s="67"/>
      <c r="FF96" s="67"/>
      <c r="FG96" s="67"/>
      <c r="FH96" s="67"/>
      <c r="FI96" s="67" t="s">
        <v>1600</v>
      </c>
    </row>
    <row r="97" spans="2:165" x14ac:dyDescent="0.2">
      <c r="B97" s="67" t="s">
        <v>447</v>
      </c>
      <c r="C97" s="67" t="s">
        <v>447</v>
      </c>
      <c r="D97" s="67" t="s">
        <v>448</v>
      </c>
      <c r="E97" s="67" t="s">
        <v>37</v>
      </c>
      <c r="F97" s="67" t="s">
        <v>810</v>
      </c>
      <c r="G97" s="67" t="s">
        <v>1597</v>
      </c>
      <c r="H97" s="67"/>
      <c r="I97" s="67" t="s">
        <v>43</v>
      </c>
      <c r="J97" s="67" t="s">
        <v>71</v>
      </c>
      <c r="K97" s="67" t="s">
        <v>774</v>
      </c>
      <c r="L97" s="67" t="s">
        <v>779</v>
      </c>
      <c r="M97" s="67" t="s">
        <v>752</v>
      </c>
      <c r="N97" s="67" t="s">
        <v>1598</v>
      </c>
      <c r="O97" s="67" t="s">
        <v>1610</v>
      </c>
      <c r="P97" s="67"/>
      <c r="Q97" s="67">
        <v>80</v>
      </c>
      <c r="R97" s="67">
        <v>0</v>
      </c>
      <c r="S97" s="67">
        <v>0</v>
      </c>
      <c r="T97" s="67">
        <v>0</v>
      </c>
      <c r="U97" s="67">
        <v>0</v>
      </c>
      <c r="V97" s="67">
        <v>0</v>
      </c>
      <c r="W97" s="67">
        <v>0</v>
      </c>
      <c r="X97" s="67">
        <v>0</v>
      </c>
      <c r="Y97" s="67">
        <v>0</v>
      </c>
      <c r="Z97" s="67">
        <v>0</v>
      </c>
      <c r="AA97" s="67">
        <v>0</v>
      </c>
      <c r="AB97" s="67">
        <v>0</v>
      </c>
      <c r="AC97" s="67">
        <v>0</v>
      </c>
      <c r="AD97" s="67">
        <v>0</v>
      </c>
      <c r="AE97" s="67">
        <v>0</v>
      </c>
      <c r="AF97" s="67">
        <v>0</v>
      </c>
      <c r="AG97" s="67">
        <v>80</v>
      </c>
      <c r="AH97" s="67">
        <v>0</v>
      </c>
      <c r="AI97" s="67">
        <v>0</v>
      </c>
      <c r="AJ97" s="67">
        <v>0</v>
      </c>
      <c r="AK97" s="67">
        <v>0</v>
      </c>
      <c r="AL97" s="67">
        <v>0</v>
      </c>
      <c r="AM97" s="67">
        <v>0</v>
      </c>
      <c r="AN97" s="67">
        <v>0</v>
      </c>
      <c r="AO97" s="67">
        <v>0</v>
      </c>
      <c r="AP97" s="67">
        <v>0</v>
      </c>
      <c r="AQ97" s="67">
        <v>0</v>
      </c>
      <c r="AR97" s="67">
        <v>0</v>
      </c>
      <c r="AS97" s="67">
        <v>0</v>
      </c>
      <c r="AT97" s="67"/>
      <c r="AU97" s="67"/>
      <c r="AV97" s="67"/>
      <c r="AW97" s="67">
        <v>0</v>
      </c>
      <c r="AX97" s="67">
        <v>0</v>
      </c>
      <c r="AY97" s="67"/>
      <c r="AZ97" s="67"/>
      <c r="BA97" s="67"/>
      <c r="BB97" s="67"/>
      <c r="BC97" s="67"/>
      <c r="BD97" s="67"/>
      <c r="BE97" s="67"/>
      <c r="BG97" s="67"/>
      <c r="BH97" s="67"/>
      <c r="BI97" s="67"/>
      <c r="BJ97" s="67">
        <v>0</v>
      </c>
      <c r="BK97" s="67"/>
      <c r="BL97" s="67"/>
      <c r="BP97" s="67"/>
      <c r="BQ97" s="67">
        <v>0</v>
      </c>
      <c r="BR97" s="67"/>
      <c r="BS97" s="67"/>
      <c r="BT97" s="67">
        <v>0</v>
      </c>
      <c r="BU97" s="67"/>
      <c r="BV97" s="67"/>
      <c r="BW97" s="67">
        <v>0</v>
      </c>
      <c r="BX97" s="67">
        <v>0</v>
      </c>
      <c r="BY97" s="67">
        <v>0</v>
      </c>
      <c r="BZ97" s="67">
        <v>0</v>
      </c>
      <c r="CA97" s="67"/>
      <c r="CB97" s="67">
        <v>0</v>
      </c>
      <c r="CC97" s="67"/>
      <c r="CD97" s="67"/>
      <c r="CE97" s="67">
        <v>0</v>
      </c>
      <c r="CF97" s="67">
        <v>0</v>
      </c>
      <c r="CG97" s="67"/>
      <c r="CH97" s="67"/>
      <c r="CI97" s="67"/>
      <c r="CJ97" s="67"/>
      <c r="CK97" s="67">
        <v>0</v>
      </c>
      <c r="CL97" s="67">
        <v>0</v>
      </c>
      <c r="CM97" s="67"/>
      <c r="CN97" s="67"/>
      <c r="CO97" s="67">
        <v>0</v>
      </c>
      <c r="CP97" s="67">
        <v>0</v>
      </c>
      <c r="CQ97" s="67"/>
      <c r="CR97" s="67"/>
      <c r="CS97" s="67"/>
      <c r="CT97" s="67"/>
      <c r="CU97" s="67">
        <v>0</v>
      </c>
      <c r="CV97" s="67"/>
      <c r="CW97" s="67"/>
      <c r="CX97" s="67"/>
      <c r="CY97" s="67">
        <v>0</v>
      </c>
      <c r="CZ97" s="67"/>
      <c r="DA97" s="67"/>
      <c r="DB97" s="67"/>
      <c r="DC97" s="67"/>
      <c r="DF97" s="67"/>
      <c r="DG97" s="67">
        <v>0</v>
      </c>
      <c r="DH97" s="67">
        <v>0</v>
      </c>
      <c r="DI97" s="67">
        <v>0</v>
      </c>
      <c r="DJ97" s="67"/>
      <c r="DK97" s="67">
        <v>0</v>
      </c>
      <c r="DL97" s="67">
        <v>0</v>
      </c>
      <c r="DM97" s="67">
        <v>0</v>
      </c>
      <c r="DN97" s="67"/>
      <c r="DO97" s="67"/>
      <c r="DP97" s="67"/>
      <c r="DQ97" s="67">
        <v>0</v>
      </c>
      <c r="DR97" s="67">
        <v>0</v>
      </c>
      <c r="DS97" s="67"/>
      <c r="DT97" s="67"/>
      <c r="DU97" s="67">
        <v>0</v>
      </c>
      <c r="DV97" s="67">
        <v>0</v>
      </c>
      <c r="DW97" s="67">
        <v>0</v>
      </c>
      <c r="DX97" s="67">
        <v>0</v>
      </c>
      <c r="DY97" s="67"/>
      <c r="DZ97" s="67">
        <v>0</v>
      </c>
      <c r="EA97" s="67"/>
      <c r="EB97" s="67">
        <v>0</v>
      </c>
      <c r="EC97" s="67"/>
      <c r="ED97" s="67">
        <v>0</v>
      </c>
      <c r="EE97" s="67"/>
      <c r="EF97" s="67">
        <v>0</v>
      </c>
      <c r="EG97" s="67"/>
      <c r="EH97" s="67"/>
      <c r="EI97" s="67"/>
      <c r="EJ97" s="67"/>
      <c r="EK97" s="67"/>
      <c r="EL97" s="67"/>
      <c r="EM97" s="67"/>
      <c r="EN97" s="67"/>
      <c r="EO97" s="67"/>
      <c r="EP97" s="67">
        <v>0</v>
      </c>
      <c r="EQ97" s="67">
        <v>30</v>
      </c>
      <c r="ER97" s="67">
        <v>30</v>
      </c>
      <c r="ES97" s="67"/>
      <c r="ET97">
        <v>0</v>
      </c>
      <c r="EX97" s="67"/>
      <c r="EY97" s="67"/>
      <c r="EZ97" s="67"/>
      <c r="FA97" s="67">
        <v>80</v>
      </c>
      <c r="FB97" s="67"/>
      <c r="FC97" s="67"/>
      <c r="FD97" s="67"/>
      <c r="FE97" s="67"/>
      <c r="FF97" s="67"/>
      <c r="FG97" s="67"/>
      <c r="FH97" s="67"/>
      <c r="FI97" s="67" t="s">
        <v>1600</v>
      </c>
    </row>
    <row r="98" spans="2:165" ht="24" x14ac:dyDescent="0.2">
      <c r="B98" s="67" t="s">
        <v>449</v>
      </c>
      <c r="C98" s="67" t="s">
        <v>449</v>
      </c>
      <c r="D98" s="67" t="s">
        <v>450</v>
      </c>
      <c r="E98" s="67" t="s">
        <v>13</v>
      </c>
      <c r="F98" s="67" t="s">
        <v>1618</v>
      </c>
      <c r="G98" s="67" t="s">
        <v>1597</v>
      </c>
      <c r="H98" s="67"/>
      <c r="I98" s="67" t="s">
        <v>41</v>
      </c>
      <c r="J98" s="67" t="s">
        <v>71</v>
      </c>
      <c r="K98" s="67" t="s">
        <v>839</v>
      </c>
      <c r="L98" s="67" t="s">
        <v>767</v>
      </c>
      <c r="M98" s="67" t="s">
        <v>752</v>
      </c>
      <c r="N98" s="67" t="s">
        <v>1598</v>
      </c>
      <c r="O98" s="67" t="s">
        <v>1599</v>
      </c>
      <c r="P98" s="67"/>
      <c r="Q98" s="67">
        <v>720</v>
      </c>
      <c r="R98" s="67">
        <v>0</v>
      </c>
      <c r="S98" s="67">
        <v>0</v>
      </c>
      <c r="T98" s="67">
        <v>0</v>
      </c>
      <c r="U98" s="67">
        <v>0</v>
      </c>
      <c r="V98" s="67">
        <v>0</v>
      </c>
      <c r="W98" s="67">
        <v>0</v>
      </c>
      <c r="X98" s="67">
        <v>0</v>
      </c>
      <c r="Y98" s="67">
        <v>0</v>
      </c>
      <c r="Z98" s="67">
        <v>0</v>
      </c>
      <c r="AA98" s="67">
        <v>0</v>
      </c>
      <c r="AB98" s="67">
        <v>0</v>
      </c>
      <c r="AC98" s="67">
        <v>0</v>
      </c>
      <c r="AD98" s="67">
        <v>0</v>
      </c>
      <c r="AE98" s="67">
        <v>0</v>
      </c>
      <c r="AF98" s="67">
        <v>0</v>
      </c>
      <c r="AG98" s="67">
        <v>0</v>
      </c>
      <c r="AH98" s="67">
        <v>0</v>
      </c>
      <c r="AI98" s="67">
        <v>0</v>
      </c>
      <c r="AJ98" s="67">
        <v>720</v>
      </c>
      <c r="AK98" s="67">
        <v>0</v>
      </c>
      <c r="AL98" s="67">
        <v>0</v>
      </c>
      <c r="AM98" s="67">
        <v>0</v>
      </c>
      <c r="AN98" s="67">
        <v>0</v>
      </c>
      <c r="AO98" s="67">
        <v>0</v>
      </c>
      <c r="AP98" s="67">
        <v>0</v>
      </c>
      <c r="AQ98" s="67">
        <v>0</v>
      </c>
      <c r="AR98" s="67">
        <v>0</v>
      </c>
      <c r="AS98" s="67">
        <v>0</v>
      </c>
      <c r="AT98" s="67"/>
      <c r="AU98" s="67"/>
      <c r="AV98" s="67"/>
      <c r="AW98" s="67">
        <v>0</v>
      </c>
      <c r="AX98" s="67">
        <v>0</v>
      </c>
      <c r="AY98" s="67"/>
      <c r="AZ98" s="67"/>
      <c r="BA98" s="67"/>
      <c r="BB98" s="67"/>
      <c r="BC98" s="67"/>
      <c r="BD98" s="67"/>
      <c r="BE98" s="67"/>
      <c r="BG98" s="67"/>
      <c r="BH98" s="67"/>
      <c r="BI98" s="67"/>
      <c r="BJ98" s="67">
        <v>0</v>
      </c>
      <c r="BK98" s="67"/>
      <c r="BL98" s="67"/>
      <c r="BP98" s="67"/>
      <c r="BQ98" s="67">
        <v>0</v>
      </c>
      <c r="BR98" s="67"/>
      <c r="BS98" s="67"/>
      <c r="BT98" s="67">
        <v>0</v>
      </c>
      <c r="BU98" s="67"/>
      <c r="BV98" s="67"/>
      <c r="BW98" s="67">
        <v>0</v>
      </c>
      <c r="BX98" s="67">
        <v>0</v>
      </c>
      <c r="BY98" s="67">
        <v>0</v>
      </c>
      <c r="BZ98" s="67">
        <v>0</v>
      </c>
      <c r="CA98" s="67"/>
      <c r="CB98" s="67">
        <v>0</v>
      </c>
      <c r="CC98" s="67"/>
      <c r="CD98" s="67"/>
      <c r="CE98" s="67">
        <v>0</v>
      </c>
      <c r="CF98" s="67">
        <v>0</v>
      </c>
      <c r="CG98" s="67"/>
      <c r="CH98" s="67"/>
      <c r="CI98" s="67"/>
      <c r="CJ98" s="67"/>
      <c r="CK98" s="67">
        <v>0</v>
      </c>
      <c r="CL98" s="67">
        <v>0</v>
      </c>
      <c r="CM98" s="67"/>
      <c r="CN98" s="67"/>
      <c r="CO98" s="67">
        <v>0</v>
      </c>
      <c r="CP98" s="67">
        <v>0</v>
      </c>
      <c r="CQ98" s="67"/>
      <c r="CR98" s="67"/>
      <c r="CS98" s="67"/>
      <c r="CT98" s="67"/>
      <c r="CU98" s="67">
        <v>0</v>
      </c>
      <c r="CV98" s="67"/>
      <c r="CW98" s="67"/>
      <c r="CX98" s="67"/>
      <c r="CY98" s="67">
        <v>0</v>
      </c>
      <c r="CZ98" s="67"/>
      <c r="DA98" s="67"/>
      <c r="DB98" s="67"/>
      <c r="DC98" s="67"/>
      <c r="DF98" s="67"/>
      <c r="DG98" s="67">
        <v>200</v>
      </c>
      <c r="DH98" s="67">
        <v>200</v>
      </c>
      <c r="DI98" s="67">
        <v>0</v>
      </c>
      <c r="DJ98" s="67"/>
      <c r="DK98" s="67">
        <v>0</v>
      </c>
      <c r="DL98" s="67">
        <v>0</v>
      </c>
      <c r="DM98" s="67">
        <v>0</v>
      </c>
      <c r="DN98" s="67"/>
      <c r="DO98" s="67"/>
      <c r="DP98" s="67"/>
      <c r="DQ98" s="67">
        <v>0</v>
      </c>
      <c r="DR98" s="67">
        <v>0</v>
      </c>
      <c r="DS98" s="67"/>
      <c r="DT98" s="67"/>
      <c r="DU98" s="67">
        <v>0</v>
      </c>
      <c r="DV98" s="67">
        <v>0</v>
      </c>
      <c r="DW98" s="67">
        <v>0</v>
      </c>
      <c r="DX98" s="67">
        <v>0</v>
      </c>
      <c r="DY98" s="67"/>
      <c r="DZ98" s="67">
        <v>0</v>
      </c>
      <c r="EA98" s="67"/>
      <c r="EB98" s="67">
        <v>0</v>
      </c>
      <c r="EC98" s="67"/>
      <c r="ED98" s="67">
        <v>0</v>
      </c>
      <c r="EE98" s="67"/>
      <c r="EF98" s="67">
        <v>0</v>
      </c>
      <c r="EG98" s="67"/>
      <c r="EH98" s="67"/>
      <c r="EI98" s="67"/>
      <c r="EJ98" s="67"/>
      <c r="EK98" s="67"/>
      <c r="EL98" s="67"/>
      <c r="EM98" s="67"/>
      <c r="EN98" s="67"/>
      <c r="EO98" s="67"/>
      <c r="EP98" s="67">
        <v>0</v>
      </c>
      <c r="EQ98" s="67">
        <v>0</v>
      </c>
      <c r="ER98" s="67">
        <v>0</v>
      </c>
      <c r="ES98" s="67"/>
      <c r="ET98">
        <v>0</v>
      </c>
      <c r="EX98" s="67"/>
      <c r="EY98" s="67"/>
      <c r="EZ98" s="67"/>
      <c r="FA98" s="67">
        <v>920</v>
      </c>
      <c r="FB98" s="67"/>
      <c r="FC98" s="67"/>
      <c r="FD98" s="67"/>
      <c r="FE98" s="67"/>
      <c r="FF98" s="67"/>
      <c r="FG98" s="67"/>
      <c r="FH98" s="67"/>
      <c r="FI98" s="67" t="s">
        <v>1600</v>
      </c>
    </row>
    <row r="99" spans="2:165" x14ac:dyDescent="0.2">
      <c r="B99" s="67"/>
      <c r="C99" s="67" t="s">
        <v>1655</v>
      </c>
      <c r="D99" s="67" t="s">
        <v>451</v>
      </c>
      <c r="E99" s="67" t="s">
        <v>37</v>
      </c>
      <c r="F99" s="67" t="s">
        <v>1473</v>
      </c>
      <c r="G99" s="67" t="s">
        <v>345</v>
      </c>
      <c r="H99" s="67"/>
      <c r="I99" s="67" t="s">
        <v>43</v>
      </c>
      <c r="J99" s="67" t="s">
        <v>64</v>
      </c>
      <c r="K99" s="67" t="s">
        <v>839</v>
      </c>
      <c r="L99" s="67" t="s">
        <v>787</v>
      </c>
      <c r="M99" s="67" t="s">
        <v>1615</v>
      </c>
      <c r="N99" s="67" t="s">
        <v>1598</v>
      </c>
      <c r="O99" s="67" t="s">
        <v>1608</v>
      </c>
      <c r="P99" s="67"/>
      <c r="Q99" s="67">
        <v>890</v>
      </c>
      <c r="R99" s="67">
        <v>0</v>
      </c>
      <c r="S99" s="67">
        <v>0</v>
      </c>
      <c r="T99" s="67">
        <v>0</v>
      </c>
      <c r="U99" s="67">
        <v>0</v>
      </c>
      <c r="V99" s="67">
        <v>0</v>
      </c>
      <c r="W99" s="67">
        <v>0</v>
      </c>
      <c r="X99" s="67">
        <v>0</v>
      </c>
      <c r="Y99" s="67">
        <v>0</v>
      </c>
      <c r="Z99" s="67">
        <v>0</v>
      </c>
      <c r="AA99" s="67">
        <v>0</v>
      </c>
      <c r="AB99" s="67">
        <v>0</v>
      </c>
      <c r="AC99" s="67">
        <v>0</v>
      </c>
      <c r="AD99" s="67">
        <v>0</v>
      </c>
      <c r="AE99" s="67">
        <v>0</v>
      </c>
      <c r="AF99" s="67">
        <v>0</v>
      </c>
      <c r="AG99" s="67">
        <v>0</v>
      </c>
      <c r="AH99" s="67">
        <v>0</v>
      </c>
      <c r="AI99" s="67">
        <v>0</v>
      </c>
      <c r="AJ99" s="67">
        <v>240</v>
      </c>
      <c r="AK99" s="67">
        <v>0</v>
      </c>
      <c r="AL99" s="67">
        <v>650</v>
      </c>
      <c r="AM99" s="67">
        <v>0</v>
      </c>
      <c r="AN99" s="67">
        <v>0</v>
      </c>
      <c r="AO99" s="67">
        <v>0</v>
      </c>
      <c r="AP99" s="67">
        <v>0</v>
      </c>
      <c r="AQ99" s="67">
        <v>0</v>
      </c>
      <c r="AR99" s="67">
        <v>0</v>
      </c>
      <c r="AS99" s="67">
        <v>0</v>
      </c>
      <c r="AT99" s="67"/>
      <c r="AU99" s="67"/>
      <c r="AV99" s="67"/>
      <c r="AW99" s="67">
        <v>0</v>
      </c>
      <c r="AX99" s="67">
        <v>0</v>
      </c>
      <c r="AY99" s="67"/>
      <c r="AZ99" s="67"/>
      <c r="BA99" s="67"/>
      <c r="BB99" s="67"/>
      <c r="BC99" s="67"/>
      <c r="BD99" s="67"/>
      <c r="BE99" s="67"/>
      <c r="BG99" s="67"/>
      <c r="BH99" s="67"/>
      <c r="BI99" s="67"/>
      <c r="BJ99" s="67">
        <v>0</v>
      </c>
      <c r="BK99" s="67"/>
      <c r="BL99" s="67"/>
      <c r="BP99" s="67"/>
      <c r="BQ99" s="67">
        <v>0</v>
      </c>
      <c r="BR99" s="67"/>
      <c r="BS99" s="67"/>
      <c r="BT99" s="67">
        <v>0</v>
      </c>
      <c r="BU99" s="67"/>
      <c r="BV99" s="67"/>
      <c r="BW99" s="67">
        <v>0</v>
      </c>
      <c r="BX99" s="67">
        <v>0</v>
      </c>
      <c r="BY99" s="67">
        <v>0</v>
      </c>
      <c r="BZ99" s="67">
        <v>0</v>
      </c>
      <c r="CA99" s="67"/>
      <c r="CB99" s="67">
        <v>0</v>
      </c>
      <c r="CC99" s="67"/>
      <c r="CD99" s="67"/>
      <c r="CE99" s="67">
        <v>0</v>
      </c>
      <c r="CF99" s="67">
        <v>0</v>
      </c>
      <c r="CG99" s="67"/>
      <c r="CH99" s="67"/>
      <c r="CI99" s="67"/>
      <c r="CJ99" s="67"/>
      <c r="CK99" s="67">
        <v>0</v>
      </c>
      <c r="CL99" s="67">
        <v>0</v>
      </c>
      <c r="CM99" s="67"/>
      <c r="CN99" s="67"/>
      <c r="CO99" s="67">
        <v>0</v>
      </c>
      <c r="CP99" s="67">
        <v>0</v>
      </c>
      <c r="CQ99" s="67"/>
      <c r="CR99" s="67"/>
      <c r="CS99" s="67"/>
      <c r="CT99" s="67"/>
      <c r="CU99" s="67">
        <v>0</v>
      </c>
      <c r="CV99" s="67"/>
      <c r="CW99" s="67"/>
      <c r="CX99" s="67"/>
      <c r="CY99" s="67">
        <v>0</v>
      </c>
      <c r="CZ99" s="67"/>
      <c r="DA99" s="67"/>
      <c r="DB99" s="67"/>
      <c r="DC99" s="67"/>
      <c r="DF99" s="67"/>
      <c r="DG99" s="67">
        <v>100</v>
      </c>
      <c r="DH99" s="67">
        <v>100</v>
      </c>
      <c r="DI99" s="67">
        <v>0</v>
      </c>
      <c r="DJ99" s="67"/>
      <c r="DK99" s="67">
        <v>0</v>
      </c>
      <c r="DL99" s="67">
        <v>0</v>
      </c>
      <c r="DM99" s="67">
        <v>0</v>
      </c>
      <c r="DN99" s="67"/>
      <c r="DO99" s="67"/>
      <c r="DP99" s="67"/>
      <c r="DQ99" s="67">
        <v>0</v>
      </c>
      <c r="DR99" s="67">
        <v>0</v>
      </c>
      <c r="DS99" s="67"/>
      <c r="DT99" s="67"/>
      <c r="DU99" s="67">
        <v>0</v>
      </c>
      <c r="DV99" s="67">
        <v>0</v>
      </c>
      <c r="DW99" s="67">
        <v>0</v>
      </c>
      <c r="DX99" s="67">
        <v>0</v>
      </c>
      <c r="DY99" s="67"/>
      <c r="DZ99" s="67">
        <v>0</v>
      </c>
      <c r="EA99" s="67"/>
      <c r="EB99" s="67">
        <v>0</v>
      </c>
      <c r="EC99" s="67"/>
      <c r="ED99" s="67">
        <v>0</v>
      </c>
      <c r="EE99" s="67"/>
      <c r="EF99" s="67">
        <v>0</v>
      </c>
      <c r="EG99" s="67"/>
      <c r="EH99" s="67"/>
      <c r="EI99" s="67"/>
      <c r="EJ99" s="67"/>
      <c r="EK99" s="67"/>
      <c r="EL99" s="67"/>
      <c r="EM99" s="67"/>
      <c r="EN99" s="67"/>
      <c r="EO99" s="67"/>
      <c r="EP99" s="67">
        <v>0</v>
      </c>
      <c r="EQ99" s="67">
        <v>0</v>
      </c>
      <c r="ER99" s="67">
        <v>0</v>
      </c>
      <c r="ES99" s="67"/>
      <c r="ET99">
        <v>0</v>
      </c>
      <c r="EX99" s="67"/>
      <c r="EY99" s="67"/>
      <c r="EZ99" s="67"/>
      <c r="FA99" s="67">
        <v>990</v>
      </c>
      <c r="FB99" s="67"/>
      <c r="FC99" s="67"/>
      <c r="FD99" s="67"/>
      <c r="FE99" s="67"/>
      <c r="FF99" s="67"/>
      <c r="FG99" s="67"/>
      <c r="FH99" s="67"/>
      <c r="FI99" s="67" t="s">
        <v>1600</v>
      </c>
    </row>
    <row r="100" spans="2:165" ht="24" x14ac:dyDescent="0.2">
      <c r="B100" s="67" t="s">
        <v>452</v>
      </c>
      <c r="C100" s="67" t="s">
        <v>452</v>
      </c>
      <c r="D100" s="67" t="s">
        <v>453</v>
      </c>
      <c r="E100" s="67" t="s">
        <v>13</v>
      </c>
      <c r="F100" s="67" t="s">
        <v>1618</v>
      </c>
      <c r="G100" s="67" t="s">
        <v>1597</v>
      </c>
      <c r="H100" s="67"/>
      <c r="I100" s="67" t="s">
        <v>22</v>
      </c>
      <c r="J100" s="67" t="s">
        <v>64</v>
      </c>
      <c r="K100" s="67" t="s">
        <v>839</v>
      </c>
      <c r="L100" s="67" t="s">
        <v>767</v>
      </c>
      <c r="M100" s="67" t="s">
        <v>752</v>
      </c>
      <c r="N100" s="67" t="s">
        <v>1598</v>
      </c>
      <c r="O100" s="67" t="s">
        <v>1610</v>
      </c>
      <c r="P100" s="67"/>
      <c r="Q100" s="67">
        <v>150</v>
      </c>
      <c r="R100" s="67">
        <v>0</v>
      </c>
      <c r="S100" s="67">
        <v>0</v>
      </c>
      <c r="T100" s="67">
        <v>0</v>
      </c>
      <c r="U100" s="67">
        <v>0</v>
      </c>
      <c r="V100" s="67">
        <v>0</v>
      </c>
      <c r="W100" s="67">
        <v>0</v>
      </c>
      <c r="X100" s="67">
        <v>0</v>
      </c>
      <c r="Y100" s="67">
        <v>0</v>
      </c>
      <c r="Z100" s="67">
        <v>0</v>
      </c>
      <c r="AA100" s="67">
        <v>0</v>
      </c>
      <c r="AB100" s="67">
        <v>0</v>
      </c>
      <c r="AC100" s="67">
        <v>0</v>
      </c>
      <c r="AD100" s="67">
        <v>0</v>
      </c>
      <c r="AE100" s="67">
        <v>0</v>
      </c>
      <c r="AF100" s="67">
        <v>0</v>
      </c>
      <c r="AG100" s="67">
        <v>0</v>
      </c>
      <c r="AH100" s="67">
        <v>0</v>
      </c>
      <c r="AI100" s="67">
        <v>0</v>
      </c>
      <c r="AJ100" s="67">
        <v>150</v>
      </c>
      <c r="AK100" s="67">
        <v>0</v>
      </c>
      <c r="AL100" s="67">
        <v>0</v>
      </c>
      <c r="AM100" s="67">
        <v>0</v>
      </c>
      <c r="AN100" s="67">
        <v>0</v>
      </c>
      <c r="AO100" s="67">
        <v>0</v>
      </c>
      <c r="AP100" s="67">
        <v>0</v>
      </c>
      <c r="AQ100" s="67">
        <v>0</v>
      </c>
      <c r="AR100" s="67">
        <v>0</v>
      </c>
      <c r="AS100" s="67">
        <v>0</v>
      </c>
      <c r="AT100" s="67"/>
      <c r="AU100" s="67"/>
      <c r="AV100" s="67"/>
      <c r="AW100" s="67">
        <v>0</v>
      </c>
      <c r="AX100" s="67">
        <v>0</v>
      </c>
      <c r="AY100" s="67"/>
      <c r="AZ100" s="67"/>
      <c r="BA100" s="67"/>
      <c r="BB100" s="67"/>
      <c r="BC100" s="67"/>
      <c r="BD100" s="67"/>
      <c r="BE100" s="67"/>
      <c r="BG100" s="67"/>
      <c r="BH100" s="67"/>
      <c r="BI100" s="67"/>
      <c r="BJ100" s="67">
        <v>0</v>
      </c>
      <c r="BK100" s="67"/>
      <c r="BL100" s="67"/>
      <c r="BP100" s="67"/>
      <c r="BQ100" s="67">
        <v>0</v>
      </c>
      <c r="BR100" s="67"/>
      <c r="BS100" s="67"/>
      <c r="BT100" s="67">
        <v>0</v>
      </c>
      <c r="BU100" s="67"/>
      <c r="BV100" s="67"/>
      <c r="BW100" s="67">
        <v>0</v>
      </c>
      <c r="BX100" s="67">
        <v>0</v>
      </c>
      <c r="BY100" s="67">
        <v>0</v>
      </c>
      <c r="BZ100" s="67">
        <v>0</v>
      </c>
      <c r="CA100" s="67"/>
      <c r="CB100" s="67">
        <v>0</v>
      </c>
      <c r="CC100" s="67"/>
      <c r="CD100" s="67"/>
      <c r="CE100" s="67">
        <v>0</v>
      </c>
      <c r="CF100" s="67">
        <v>0</v>
      </c>
      <c r="CG100" s="67"/>
      <c r="CH100" s="67"/>
      <c r="CI100" s="67"/>
      <c r="CJ100" s="67"/>
      <c r="CK100" s="67">
        <v>0</v>
      </c>
      <c r="CL100" s="67">
        <v>0</v>
      </c>
      <c r="CM100" s="67"/>
      <c r="CN100" s="67"/>
      <c r="CO100" s="67">
        <v>0</v>
      </c>
      <c r="CP100" s="67">
        <v>0</v>
      </c>
      <c r="CQ100" s="67"/>
      <c r="CR100" s="67"/>
      <c r="CS100" s="67"/>
      <c r="CT100" s="67"/>
      <c r="CU100" s="67">
        <v>0</v>
      </c>
      <c r="CV100" s="67"/>
      <c r="CW100" s="67"/>
      <c r="CX100" s="67"/>
      <c r="CY100" s="67">
        <v>0</v>
      </c>
      <c r="CZ100" s="67"/>
      <c r="DA100" s="67"/>
      <c r="DB100" s="67"/>
      <c r="DC100" s="67"/>
      <c r="DF100" s="67"/>
      <c r="DG100" s="67">
        <v>100</v>
      </c>
      <c r="DH100" s="67">
        <v>100</v>
      </c>
      <c r="DI100" s="67">
        <v>0</v>
      </c>
      <c r="DJ100" s="67"/>
      <c r="DK100" s="67">
        <v>0</v>
      </c>
      <c r="DL100" s="67">
        <v>0</v>
      </c>
      <c r="DM100" s="67">
        <v>0</v>
      </c>
      <c r="DN100" s="67"/>
      <c r="DO100" s="67"/>
      <c r="DP100" s="67"/>
      <c r="DQ100" s="67">
        <v>0</v>
      </c>
      <c r="DR100" s="67">
        <v>0</v>
      </c>
      <c r="DS100" s="67"/>
      <c r="DT100" s="67"/>
      <c r="DU100" s="67">
        <v>0</v>
      </c>
      <c r="DV100" s="67">
        <v>0</v>
      </c>
      <c r="DW100" s="67">
        <v>0</v>
      </c>
      <c r="DX100" s="67">
        <v>0</v>
      </c>
      <c r="DY100" s="67"/>
      <c r="DZ100" s="67">
        <v>0</v>
      </c>
      <c r="EA100" s="67"/>
      <c r="EB100" s="67">
        <v>0</v>
      </c>
      <c r="EC100" s="67"/>
      <c r="ED100" s="67">
        <v>0</v>
      </c>
      <c r="EE100" s="67"/>
      <c r="EF100" s="67">
        <v>0</v>
      </c>
      <c r="EG100" s="67"/>
      <c r="EH100" s="67"/>
      <c r="EI100" s="67"/>
      <c r="EJ100" s="67"/>
      <c r="EK100" s="67"/>
      <c r="EL100" s="67"/>
      <c r="EM100" s="67"/>
      <c r="EN100" s="67"/>
      <c r="EO100" s="67"/>
      <c r="EP100" s="67">
        <v>0</v>
      </c>
      <c r="EQ100" s="67">
        <v>0</v>
      </c>
      <c r="ER100" s="67">
        <v>0</v>
      </c>
      <c r="ES100" s="67"/>
      <c r="ET100">
        <v>0</v>
      </c>
      <c r="EX100" s="67"/>
      <c r="EY100" s="67"/>
      <c r="EZ100" s="67"/>
      <c r="FA100" s="67">
        <v>250</v>
      </c>
      <c r="FB100" s="67"/>
      <c r="FC100" s="67"/>
      <c r="FD100" s="67"/>
      <c r="FE100" s="67"/>
      <c r="FF100" s="67"/>
      <c r="FG100" s="67"/>
      <c r="FH100" s="67"/>
      <c r="FI100" s="67" t="s">
        <v>1600</v>
      </c>
    </row>
    <row r="101" spans="2:165" ht="24" x14ac:dyDescent="0.2">
      <c r="B101" s="67" t="s">
        <v>454</v>
      </c>
      <c r="C101" s="67" t="s">
        <v>454</v>
      </c>
      <c r="D101" s="67" t="s">
        <v>455</v>
      </c>
      <c r="E101" s="67" t="s">
        <v>13</v>
      </c>
      <c r="F101" s="67" t="s">
        <v>1618</v>
      </c>
      <c r="G101" s="67" t="s">
        <v>1597</v>
      </c>
      <c r="H101" s="67"/>
      <c r="I101" s="67" t="s">
        <v>22</v>
      </c>
      <c r="J101" s="67" t="s">
        <v>71</v>
      </c>
      <c r="K101" s="67" t="s">
        <v>839</v>
      </c>
      <c r="L101" s="67" t="s">
        <v>767</v>
      </c>
      <c r="M101" s="67" t="s">
        <v>752</v>
      </c>
      <c r="N101" s="67" t="s">
        <v>1604</v>
      </c>
      <c r="O101" s="67" t="s">
        <v>1599</v>
      </c>
      <c r="P101" s="67"/>
      <c r="Q101" s="67">
        <v>50</v>
      </c>
      <c r="R101" s="67">
        <v>0</v>
      </c>
      <c r="S101" s="67">
        <v>0</v>
      </c>
      <c r="T101" s="67">
        <v>0</v>
      </c>
      <c r="U101" s="67">
        <v>0</v>
      </c>
      <c r="V101" s="67">
        <v>0</v>
      </c>
      <c r="W101" s="67">
        <v>0</v>
      </c>
      <c r="X101" s="67">
        <v>0</v>
      </c>
      <c r="Y101" s="67">
        <v>0</v>
      </c>
      <c r="Z101" s="67">
        <v>0</v>
      </c>
      <c r="AA101" s="67">
        <v>0</v>
      </c>
      <c r="AB101" s="67">
        <v>0</v>
      </c>
      <c r="AC101" s="67">
        <v>0</v>
      </c>
      <c r="AD101" s="67">
        <v>0</v>
      </c>
      <c r="AE101" s="67">
        <v>0</v>
      </c>
      <c r="AF101" s="67">
        <v>0</v>
      </c>
      <c r="AG101" s="67">
        <v>0</v>
      </c>
      <c r="AH101" s="67">
        <v>0</v>
      </c>
      <c r="AI101" s="67">
        <v>0</v>
      </c>
      <c r="AJ101" s="67">
        <v>0</v>
      </c>
      <c r="AK101" s="67">
        <v>0</v>
      </c>
      <c r="AL101" s="67">
        <v>50</v>
      </c>
      <c r="AM101" s="67">
        <v>0</v>
      </c>
      <c r="AN101" s="67">
        <v>0</v>
      </c>
      <c r="AO101" s="67">
        <v>0</v>
      </c>
      <c r="AP101" s="67">
        <v>0</v>
      </c>
      <c r="AQ101" s="67">
        <v>0</v>
      </c>
      <c r="AR101" s="67">
        <v>0</v>
      </c>
      <c r="AS101" s="67">
        <v>0</v>
      </c>
      <c r="AT101" s="67"/>
      <c r="AU101" s="67"/>
      <c r="AV101" s="67"/>
      <c r="AW101" s="67">
        <v>0</v>
      </c>
      <c r="AX101" s="67">
        <v>0</v>
      </c>
      <c r="AY101" s="67"/>
      <c r="AZ101" s="67"/>
      <c r="BA101" s="67"/>
      <c r="BB101" s="67"/>
      <c r="BC101" s="67"/>
      <c r="BD101" s="67"/>
      <c r="BE101" s="67"/>
      <c r="BG101" s="67"/>
      <c r="BH101" s="67"/>
      <c r="BI101" s="67"/>
      <c r="BJ101" s="67">
        <v>0</v>
      </c>
      <c r="BK101" s="67"/>
      <c r="BL101" s="67"/>
      <c r="BP101" s="67"/>
      <c r="BQ101" s="67">
        <v>0</v>
      </c>
      <c r="BR101" s="67"/>
      <c r="BS101" s="67"/>
      <c r="BT101" s="67">
        <v>0</v>
      </c>
      <c r="BU101" s="67"/>
      <c r="BV101" s="67"/>
      <c r="BW101" s="67">
        <v>0</v>
      </c>
      <c r="BX101" s="67">
        <v>0</v>
      </c>
      <c r="BY101" s="67">
        <v>0</v>
      </c>
      <c r="BZ101" s="67">
        <v>0</v>
      </c>
      <c r="CA101" s="67"/>
      <c r="CB101" s="67">
        <v>0</v>
      </c>
      <c r="CC101" s="67"/>
      <c r="CD101" s="67"/>
      <c r="CE101" s="67">
        <v>0</v>
      </c>
      <c r="CF101" s="67">
        <v>0</v>
      </c>
      <c r="CG101" s="67"/>
      <c r="CH101" s="67"/>
      <c r="CI101" s="67"/>
      <c r="CJ101" s="67"/>
      <c r="CK101" s="67">
        <v>0</v>
      </c>
      <c r="CL101" s="67">
        <v>0</v>
      </c>
      <c r="CM101" s="67"/>
      <c r="CN101" s="67"/>
      <c r="CO101" s="67">
        <v>0</v>
      </c>
      <c r="CP101" s="67">
        <v>0</v>
      </c>
      <c r="CQ101" s="67"/>
      <c r="CR101" s="67"/>
      <c r="CS101" s="67"/>
      <c r="CT101" s="67"/>
      <c r="CU101" s="67">
        <v>0</v>
      </c>
      <c r="CV101" s="67"/>
      <c r="CW101" s="67"/>
      <c r="CX101" s="67"/>
      <c r="CY101" s="67">
        <v>0</v>
      </c>
      <c r="CZ101" s="67"/>
      <c r="DA101" s="67"/>
      <c r="DB101" s="67"/>
      <c r="DC101" s="67"/>
      <c r="DF101" s="67"/>
      <c r="DG101" s="67">
        <v>0</v>
      </c>
      <c r="DH101" s="67">
        <v>0</v>
      </c>
      <c r="DI101" s="67">
        <v>0</v>
      </c>
      <c r="DJ101" s="67"/>
      <c r="DK101" s="67">
        <v>0</v>
      </c>
      <c r="DL101" s="67">
        <v>0</v>
      </c>
      <c r="DM101" s="67">
        <v>0</v>
      </c>
      <c r="DN101" s="67"/>
      <c r="DO101" s="67"/>
      <c r="DP101" s="67"/>
      <c r="DQ101" s="67">
        <v>0</v>
      </c>
      <c r="DR101" s="67">
        <v>0</v>
      </c>
      <c r="DS101" s="67"/>
      <c r="DT101" s="67"/>
      <c r="DU101" s="67">
        <v>0</v>
      </c>
      <c r="DV101" s="67">
        <v>0</v>
      </c>
      <c r="DW101" s="67">
        <v>0</v>
      </c>
      <c r="DX101" s="67">
        <v>0</v>
      </c>
      <c r="DY101" s="67"/>
      <c r="DZ101" s="67">
        <v>0</v>
      </c>
      <c r="EA101" s="67"/>
      <c r="EB101" s="67">
        <v>0</v>
      </c>
      <c r="EC101" s="67"/>
      <c r="ED101" s="67">
        <v>0</v>
      </c>
      <c r="EE101" s="67"/>
      <c r="EF101" s="67">
        <v>0</v>
      </c>
      <c r="EG101" s="67"/>
      <c r="EH101" s="67"/>
      <c r="EI101" s="67"/>
      <c r="EJ101" s="67"/>
      <c r="EK101" s="67"/>
      <c r="EL101" s="67"/>
      <c r="EM101" s="67"/>
      <c r="EN101" s="67"/>
      <c r="EO101" s="67"/>
      <c r="EP101" s="67">
        <v>0</v>
      </c>
      <c r="EQ101" s="67">
        <v>0</v>
      </c>
      <c r="ER101" s="67">
        <v>0</v>
      </c>
      <c r="ES101" s="67"/>
      <c r="ET101">
        <v>0</v>
      </c>
      <c r="EX101" s="67"/>
      <c r="EY101" s="67"/>
      <c r="EZ101" s="67"/>
      <c r="FA101" s="67">
        <v>50</v>
      </c>
      <c r="FB101" s="67"/>
      <c r="FC101" s="67"/>
      <c r="FD101" s="67"/>
      <c r="FE101" s="67"/>
      <c r="FF101" s="67"/>
      <c r="FG101" s="67"/>
      <c r="FH101" s="67"/>
      <c r="FI101" s="67" t="s">
        <v>1600</v>
      </c>
    </row>
    <row r="102" spans="2:165" ht="24" x14ac:dyDescent="0.2">
      <c r="B102" s="67"/>
      <c r="C102" s="67" t="s">
        <v>1656</v>
      </c>
      <c r="D102" s="67" t="s">
        <v>456</v>
      </c>
      <c r="E102" s="67" t="s">
        <v>13</v>
      </c>
      <c r="F102" s="67" t="s">
        <v>1618</v>
      </c>
      <c r="G102" s="67" t="s">
        <v>345</v>
      </c>
      <c r="H102" s="67"/>
      <c r="I102" s="67" t="s">
        <v>43</v>
      </c>
      <c r="J102" s="67" t="s">
        <v>64</v>
      </c>
      <c r="K102" s="67" t="s">
        <v>839</v>
      </c>
      <c r="L102" s="67" t="s">
        <v>787</v>
      </c>
      <c r="M102" s="67" t="s">
        <v>1615</v>
      </c>
      <c r="N102" s="67" t="s">
        <v>1598</v>
      </c>
      <c r="O102" s="67" t="s">
        <v>1599</v>
      </c>
      <c r="P102" s="67" t="s">
        <v>346</v>
      </c>
      <c r="Q102" s="67">
        <v>160</v>
      </c>
      <c r="R102" s="67">
        <v>0</v>
      </c>
      <c r="S102" s="67">
        <v>0</v>
      </c>
      <c r="T102" s="67">
        <v>0</v>
      </c>
      <c r="U102" s="67">
        <v>0</v>
      </c>
      <c r="V102" s="67">
        <v>0</v>
      </c>
      <c r="W102" s="67">
        <v>0</v>
      </c>
      <c r="X102" s="67">
        <v>0</v>
      </c>
      <c r="Y102" s="67">
        <v>0</v>
      </c>
      <c r="Z102" s="67">
        <v>0</v>
      </c>
      <c r="AA102" s="67">
        <v>0</v>
      </c>
      <c r="AB102" s="67">
        <v>0</v>
      </c>
      <c r="AC102" s="67">
        <v>0</v>
      </c>
      <c r="AD102" s="67">
        <v>0</v>
      </c>
      <c r="AE102" s="67">
        <v>0</v>
      </c>
      <c r="AF102" s="67">
        <v>0</v>
      </c>
      <c r="AG102" s="67">
        <v>0</v>
      </c>
      <c r="AH102" s="67">
        <v>0</v>
      </c>
      <c r="AI102" s="67">
        <v>0</v>
      </c>
      <c r="AJ102" s="67">
        <v>160</v>
      </c>
      <c r="AK102" s="67">
        <v>0</v>
      </c>
      <c r="AL102" s="67">
        <v>0</v>
      </c>
      <c r="AM102" s="67">
        <v>0</v>
      </c>
      <c r="AN102" s="67">
        <v>0</v>
      </c>
      <c r="AO102" s="67">
        <v>0</v>
      </c>
      <c r="AP102" s="67">
        <v>0</v>
      </c>
      <c r="AQ102" s="67">
        <v>0</v>
      </c>
      <c r="AR102" s="67">
        <v>0</v>
      </c>
      <c r="AS102" s="67">
        <v>0</v>
      </c>
      <c r="AT102" s="67"/>
      <c r="AU102" s="67"/>
      <c r="AV102" s="67"/>
      <c r="AW102" s="67">
        <v>0</v>
      </c>
      <c r="AX102" s="67">
        <v>0</v>
      </c>
      <c r="AY102" s="67"/>
      <c r="AZ102" s="67"/>
      <c r="BA102" s="67"/>
      <c r="BB102" s="67"/>
      <c r="BC102" s="67"/>
      <c r="BD102" s="67"/>
      <c r="BE102" s="67"/>
      <c r="BG102" s="67"/>
      <c r="BH102" s="67"/>
      <c r="BI102" s="67"/>
      <c r="BJ102" s="67">
        <v>0</v>
      </c>
      <c r="BK102" s="67"/>
      <c r="BL102" s="67"/>
      <c r="BP102" s="67"/>
      <c r="BQ102" s="67">
        <v>0</v>
      </c>
      <c r="BR102" s="67"/>
      <c r="BS102" s="67"/>
      <c r="BT102" s="67">
        <v>0</v>
      </c>
      <c r="BU102" s="67"/>
      <c r="BV102" s="67"/>
      <c r="BW102" s="67">
        <v>0</v>
      </c>
      <c r="BX102" s="67">
        <v>0</v>
      </c>
      <c r="BY102" s="67">
        <v>0</v>
      </c>
      <c r="BZ102" s="67">
        <v>0</v>
      </c>
      <c r="CA102" s="67"/>
      <c r="CB102" s="67">
        <v>0</v>
      </c>
      <c r="CC102" s="67"/>
      <c r="CD102" s="67"/>
      <c r="CE102" s="67">
        <v>0</v>
      </c>
      <c r="CF102" s="67">
        <v>0</v>
      </c>
      <c r="CG102" s="67"/>
      <c r="CH102" s="67"/>
      <c r="CI102" s="67"/>
      <c r="CJ102" s="67"/>
      <c r="CK102" s="67">
        <v>0</v>
      </c>
      <c r="CL102" s="67">
        <v>0</v>
      </c>
      <c r="CM102" s="67"/>
      <c r="CN102" s="67"/>
      <c r="CO102" s="67">
        <v>0</v>
      </c>
      <c r="CP102" s="67">
        <v>0</v>
      </c>
      <c r="CQ102" s="67"/>
      <c r="CR102" s="67"/>
      <c r="CS102" s="67"/>
      <c r="CT102" s="67"/>
      <c r="CU102" s="67">
        <v>0</v>
      </c>
      <c r="CV102" s="67"/>
      <c r="CW102" s="67"/>
      <c r="CX102" s="67"/>
      <c r="CY102" s="67">
        <v>0</v>
      </c>
      <c r="CZ102" s="67"/>
      <c r="DA102" s="67"/>
      <c r="DB102" s="67"/>
      <c r="DC102" s="67"/>
      <c r="DF102" s="67"/>
      <c r="DG102" s="67">
        <v>100</v>
      </c>
      <c r="DH102" s="67">
        <v>100</v>
      </c>
      <c r="DI102" s="67">
        <v>0</v>
      </c>
      <c r="DJ102" s="67"/>
      <c r="DK102" s="67">
        <v>0</v>
      </c>
      <c r="DL102" s="67">
        <v>0</v>
      </c>
      <c r="DM102" s="67">
        <v>0</v>
      </c>
      <c r="DN102" s="67"/>
      <c r="DO102" s="67"/>
      <c r="DP102" s="67"/>
      <c r="DQ102" s="67">
        <v>0</v>
      </c>
      <c r="DR102" s="67">
        <v>0</v>
      </c>
      <c r="DS102" s="67"/>
      <c r="DT102" s="67"/>
      <c r="DU102" s="67">
        <v>0</v>
      </c>
      <c r="DV102" s="67">
        <v>0</v>
      </c>
      <c r="DW102" s="67">
        <v>0</v>
      </c>
      <c r="DX102" s="67">
        <v>0</v>
      </c>
      <c r="DY102" s="67"/>
      <c r="DZ102" s="67">
        <v>0</v>
      </c>
      <c r="EA102" s="67"/>
      <c r="EB102" s="67">
        <v>0</v>
      </c>
      <c r="EC102" s="67"/>
      <c r="ED102" s="67">
        <v>0</v>
      </c>
      <c r="EE102" s="67"/>
      <c r="EF102" s="67">
        <v>0</v>
      </c>
      <c r="EG102" s="67"/>
      <c r="EH102" s="67"/>
      <c r="EI102" s="67"/>
      <c r="EJ102" s="67"/>
      <c r="EK102" s="67"/>
      <c r="EL102" s="67"/>
      <c r="EM102" s="67"/>
      <c r="EN102" s="67"/>
      <c r="EO102" s="67"/>
      <c r="EP102" s="67">
        <v>0</v>
      </c>
      <c r="EQ102" s="67">
        <v>0</v>
      </c>
      <c r="ER102" s="67">
        <v>0</v>
      </c>
      <c r="ES102" s="67"/>
      <c r="ET102">
        <v>0</v>
      </c>
      <c r="EX102" s="67"/>
      <c r="EY102" s="67"/>
      <c r="EZ102" s="67"/>
      <c r="FA102" s="67">
        <v>260</v>
      </c>
      <c r="FB102" s="67"/>
      <c r="FC102" s="67"/>
      <c r="FD102" s="67"/>
      <c r="FE102" s="67"/>
      <c r="FF102" s="67"/>
      <c r="FG102" s="67"/>
      <c r="FH102" s="67"/>
      <c r="FI102" s="67" t="s">
        <v>1600</v>
      </c>
    </row>
    <row r="103" spans="2:165" x14ac:dyDescent="0.2">
      <c r="B103" s="67" t="s">
        <v>457</v>
      </c>
      <c r="C103" s="67" t="s">
        <v>457</v>
      </c>
      <c r="D103" s="67" t="s">
        <v>458</v>
      </c>
      <c r="E103" s="67" t="s">
        <v>23</v>
      </c>
      <c r="F103" s="67" t="s">
        <v>766</v>
      </c>
      <c r="G103" s="67" t="s">
        <v>1597</v>
      </c>
      <c r="H103" s="67"/>
      <c r="I103" s="67" t="s">
        <v>41</v>
      </c>
      <c r="J103" s="67" t="s">
        <v>68</v>
      </c>
      <c r="K103" s="67" t="s">
        <v>771</v>
      </c>
      <c r="L103" s="67" t="s">
        <v>767</v>
      </c>
      <c r="M103" s="67" t="s">
        <v>752</v>
      </c>
      <c r="N103" s="67" t="s">
        <v>1598</v>
      </c>
      <c r="O103" s="67" t="s">
        <v>1608</v>
      </c>
      <c r="P103" s="67"/>
      <c r="Q103" s="67">
        <v>360</v>
      </c>
      <c r="R103" s="67">
        <v>0</v>
      </c>
      <c r="S103" s="67">
        <v>0</v>
      </c>
      <c r="T103" s="67">
        <v>0</v>
      </c>
      <c r="U103" s="67">
        <v>0</v>
      </c>
      <c r="V103" s="67">
        <v>0</v>
      </c>
      <c r="W103" s="67">
        <v>0</v>
      </c>
      <c r="X103" s="67">
        <v>0</v>
      </c>
      <c r="Y103" s="67">
        <v>0</v>
      </c>
      <c r="Z103" s="67">
        <v>0</v>
      </c>
      <c r="AA103" s="67">
        <v>0</v>
      </c>
      <c r="AB103" s="67">
        <v>0</v>
      </c>
      <c r="AC103" s="67">
        <v>0</v>
      </c>
      <c r="AD103" s="67">
        <v>0</v>
      </c>
      <c r="AE103" s="67">
        <v>0</v>
      </c>
      <c r="AF103" s="67">
        <v>0</v>
      </c>
      <c r="AG103" s="67">
        <v>360</v>
      </c>
      <c r="AH103" s="67">
        <v>0</v>
      </c>
      <c r="AI103" s="67">
        <v>0</v>
      </c>
      <c r="AJ103" s="67">
        <v>0</v>
      </c>
      <c r="AK103" s="67">
        <v>0</v>
      </c>
      <c r="AL103" s="67">
        <v>0</v>
      </c>
      <c r="AM103" s="67">
        <v>0</v>
      </c>
      <c r="AN103" s="67">
        <v>0</v>
      </c>
      <c r="AO103" s="67">
        <v>0</v>
      </c>
      <c r="AP103" s="67">
        <v>0</v>
      </c>
      <c r="AQ103" s="67">
        <v>0</v>
      </c>
      <c r="AR103" s="67">
        <v>0</v>
      </c>
      <c r="AS103" s="67">
        <v>0</v>
      </c>
      <c r="AT103" s="67"/>
      <c r="AU103" s="67"/>
      <c r="AV103" s="67"/>
      <c r="AW103" s="67">
        <v>0</v>
      </c>
      <c r="AX103" s="67">
        <v>0</v>
      </c>
      <c r="AY103" s="67"/>
      <c r="AZ103" s="67"/>
      <c r="BA103" s="67"/>
      <c r="BB103" s="67"/>
      <c r="BC103" s="67"/>
      <c r="BD103" s="67"/>
      <c r="BE103" s="67"/>
      <c r="BG103" s="67"/>
      <c r="BH103" s="67"/>
      <c r="BI103" s="67"/>
      <c r="BJ103" s="67">
        <v>0</v>
      </c>
      <c r="BK103" s="67"/>
      <c r="BL103" s="67"/>
      <c r="BP103" s="67"/>
      <c r="BQ103" s="67">
        <v>0</v>
      </c>
      <c r="BR103" s="67"/>
      <c r="BS103" s="67"/>
      <c r="BT103" s="67">
        <v>0</v>
      </c>
      <c r="BU103" s="67"/>
      <c r="BV103" s="67"/>
      <c r="BW103" s="67">
        <v>0</v>
      </c>
      <c r="BX103" s="67">
        <v>0</v>
      </c>
      <c r="BY103" s="67">
        <v>0</v>
      </c>
      <c r="BZ103" s="67">
        <v>0</v>
      </c>
      <c r="CA103" s="67"/>
      <c r="CB103" s="67">
        <v>0</v>
      </c>
      <c r="CC103" s="67"/>
      <c r="CD103" s="67"/>
      <c r="CE103" s="67">
        <v>0</v>
      </c>
      <c r="CF103" s="67">
        <v>0</v>
      </c>
      <c r="CG103" s="67"/>
      <c r="CH103" s="67"/>
      <c r="CI103" s="67"/>
      <c r="CJ103" s="67"/>
      <c r="CK103" s="67">
        <v>0</v>
      </c>
      <c r="CL103" s="67">
        <v>0</v>
      </c>
      <c r="CM103" s="67"/>
      <c r="CN103" s="67"/>
      <c r="CO103" s="67">
        <v>0</v>
      </c>
      <c r="CP103" s="67">
        <v>0</v>
      </c>
      <c r="CQ103" s="67"/>
      <c r="CR103" s="67"/>
      <c r="CS103" s="67"/>
      <c r="CT103" s="67"/>
      <c r="CU103" s="67">
        <v>0</v>
      </c>
      <c r="CV103" s="67"/>
      <c r="CW103" s="67"/>
      <c r="CX103" s="67"/>
      <c r="CY103" s="67">
        <v>0</v>
      </c>
      <c r="CZ103" s="67"/>
      <c r="DA103" s="67"/>
      <c r="DB103" s="67"/>
      <c r="DC103" s="67"/>
      <c r="DF103" s="67"/>
      <c r="DG103" s="67">
        <v>0</v>
      </c>
      <c r="DH103" s="67">
        <v>0</v>
      </c>
      <c r="DI103" s="67">
        <v>0</v>
      </c>
      <c r="DJ103" s="67"/>
      <c r="DK103" s="67">
        <v>0</v>
      </c>
      <c r="DL103" s="67">
        <v>0</v>
      </c>
      <c r="DM103" s="67">
        <v>0</v>
      </c>
      <c r="DN103" s="67"/>
      <c r="DO103" s="67"/>
      <c r="DP103" s="67"/>
      <c r="DQ103" s="67">
        <v>0</v>
      </c>
      <c r="DR103" s="67">
        <v>0</v>
      </c>
      <c r="DS103" s="67"/>
      <c r="DT103" s="67"/>
      <c r="DU103" s="67">
        <v>0</v>
      </c>
      <c r="DV103" s="67">
        <v>0</v>
      </c>
      <c r="DW103" s="67">
        <v>0</v>
      </c>
      <c r="DX103" s="67">
        <v>0</v>
      </c>
      <c r="DY103" s="67"/>
      <c r="DZ103" s="67">
        <v>0</v>
      </c>
      <c r="EA103" s="67"/>
      <c r="EB103" s="67">
        <v>0</v>
      </c>
      <c r="EC103" s="67"/>
      <c r="ED103" s="67">
        <v>0</v>
      </c>
      <c r="EE103" s="67"/>
      <c r="EF103" s="67">
        <v>0</v>
      </c>
      <c r="EG103" s="67"/>
      <c r="EH103" s="67"/>
      <c r="EI103" s="67"/>
      <c r="EJ103" s="67"/>
      <c r="EK103" s="67"/>
      <c r="EL103" s="67"/>
      <c r="EM103" s="67"/>
      <c r="EN103" s="67"/>
      <c r="EO103" s="67"/>
      <c r="EP103" s="67">
        <v>0</v>
      </c>
      <c r="EQ103" s="67">
        <v>0</v>
      </c>
      <c r="ER103" s="67">
        <v>0</v>
      </c>
      <c r="ES103" s="67"/>
      <c r="ET103">
        <v>0</v>
      </c>
      <c r="EX103" s="67"/>
      <c r="EY103" s="67"/>
      <c r="EZ103" s="67"/>
      <c r="FA103" s="67">
        <v>360</v>
      </c>
      <c r="FB103" s="67"/>
      <c r="FC103" s="67"/>
      <c r="FD103" s="67"/>
      <c r="FE103" s="67"/>
      <c r="FF103" s="67"/>
      <c r="FG103" s="67"/>
      <c r="FH103" s="67"/>
      <c r="FI103" s="67" t="s">
        <v>1600</v>
      </c>
    </row>
    <row r="104" spans="2:165" ht="24" x14ac:dyDescent="0.2">
      <c r="B104" s="67"/>
      <c r="C104" s="67" t="s">
        <v>1657</v>
      </c>
      <c r="D104" s="67" t="s">
        <v>459</v>
      </c>
      <c r="E104" s="67" t="s">
        <v>13</v>
      </c>
      <c r="F104" s="67" t="s">
        <v>1116</v>
      </c>
      <c r="G104" s="67" t="s">
        <v>345</v>
      </c>
      <c r="H104" s="67"/>
      <c r="I104" s="67" t="s">
        <v>41</v>
      </c>
      <c r="J104" s="67" t="s">
        <v>68</v>
      </c>
      <c r="K104" s="67" t="s">
        <v>1571</v>
      </c>
      <c r="L104" s="67" t="s">
        <v>787</v>
      </c>
      <c r="M104" s="67" t="s">
        <v>752</v>
      </c>
      <c r="N104" s="67" t="s">
        <v>1598</v>
      </c>
      <c r="O104" s="67" t="s">
        <v>1599</v>
      </c>
      <c r="P104" s="67"/>
      <c r="Q104" s="67">
        <v>569</v>
      </c>
      <c r="R104" s="67">
        <v>569</v>
      </c>
      <c r="S104" s="67">
        <v>0</v>
      </c>
      <c r="T104" s="67">
        <v>0</v>
      </c>
      <c r="U104" s="67">
        <v>0</v>
      </c>
      <c r="V104" s="67">
        <v>0</v>
      </c>
      <c r="W104" s="67">
        <v>0</v>
      </c>
      <c r="X104" s="67">
        <v>0</v>
      </c>
      <c r="Y104" s="67">
        <v>0</v>
      </c>
      <c r="Z104" s="67">
        <v>0</v>
      </c>
      <c r="AA104" s="67">
        <v>0</v>
      </c>
      <c r="AB104" s="67">
        <v>0</v>
      </c>
      <c r="AC104" s="67">
        <v>0</v>
      </c>
      <c r="AD104" s="67">
        <v>0</v>
      </c>
      <c r="AE104" s="67">
        <v>0</v>
      </c>
      <c r="AF104" s="67">
        <v>0</v>
      </c>
      <c r="AG104" s="67">
        <v>0</v>
      </c>
      <c r="AH104" s="67">
        <v>0</v>
      </c>
      <c r="AI104" s="67">
        <v>0</v>
      </c>
      <c r="AJ104" s="67">
        <v>0</v>
      </c>
      <c r="AK104" s="67">
        <v>0</v>
      </c>
      <c r="AL104" s="67">
        <v>0</v>
      </c>
      <c r="AM104" s="67">
        <v>0</v>
      </c>
      <c r="AN104" s="67">
        <v>0</v>
      </c>
      <c r="AO104" s="67">
        <v>0</v>
      </c>
      <c r="AP104" s="67">
        <v>0</v>
      </c>
      <c r="AQ104" s="67">
        <v>0</v>
      </c>
      <c r="AR104" s="67">
        <v>0</v>
      </c>
      <c r="AS104" s="67">
        <v>0</v>
      </c>
      <c r="AT104" s="67"/>
      <c r="AU104" s="67"/>
      <c r="AV104" s="67"/>
      <c r="AW104" s="67">
        <v>0</v>
      </c>
      <c r="AX104" s="67">
        <v>0</v>
      </c>
      <c r="AY104" s="67"/>
      <c r="AZ104" s="67"/>
      <c r="BA104" s="67"/>
      <c r="BB104" s="67"/>
      <c r="BC104" s="67"/>
      <c r="BD104" s="67"/>
      <c r="BE104" s="67"/>
      <c r="BG104" s="67"/>
      <c r="BH104" s="67"/>
      <c r="BI104" s="67"/>
      <c r="BJ104" s="67">
        <v>0</v>
      </c>
      <c r="BK104" s="67"/>
      <c r="BL104" s="67"/>
      <c r="BP104" s="67"/>
      <c r="BQ104" s="67">
        <v>0</v>
      </c>
      <c r="BR104" s="67"/>
      <c r="BS104" s="67"/>
      <c r="BT104" s="67">
        <v>0</v>
      </c>
      <c r="BU104" s="67"/>
      <c r="BV104" s="67"/>
      <c r="BW104" s="67">
        <v>0</v>
      </c>
      <c r="BX104" s="67">
        <v>0</v>
      </c>
      <c r="BY104" s="67">
        <v>0</v>
      </c>
      <c r="BZ104" s="67">
        <v>0</v>
      </c>
      <c r="CA104" s="67"/>
      <c r="CB104" s="67">
        <v>0</v>
      </c>
      <c r="CC104" s="67"/>
      <c r="CD104" s="67"/>
      <c r="CE104" s="67">
        <v>0</v>
      </c>
      <c r="CF104" s="67">
        <v>0</v>
      </c>
      <c r="CG104" s="67"/>
      <c r="CH104" s="67"/>
      <c r="CI104" s="67"/>
      <c r="CJ104" s="67"/>
      <c r="CK104" s="67">
        <v>0</v>
      </c>
      <c r="CL104" s="67">
        <v>0</v>
      </c>
      <c r="CM104" s="67"/>
      <c r="CN104" s="67"/>
      <c r="CO104" s="67">
        <v>0</v>
      </c>
      <c r="CP104" s="67">
        <v>0</v>
      </c>
      <c r="CQ104" s="67"/>
      <c r="CR104" s="67"/>
      <c r="CS104" s="67"/>
      <c r="CT104" s="67"/>
      <c r="CU104" s="67">
        <v>0</v>
      </c>
      <c r="CV104" s="67"/>
      <c r="CW104" s="67"/>
      <c r="CX104" s="67"/>
      <c r="CY104" s="67">
        <v>0</v>
      </c>
      <c r="CZ104" s="67"/>
      <c r="DA104" s="67"/>
      <c r="DB104" s="67"/>
      <c r="DC104" s="67"/>
      <c r="DF104" s="67"/>
      <c r="DG104" s="67">
        <v>0</v>
      </c>
      <c r="DH104" s="67">
        <v>0</v>
      </c>
      <c r="DI104" s="67">
        <v>0</v>
      </c>
      <c r="DJ104" s="67"/>
      <c r="DK104" s="67">
        <v>0</v>
      </c>
      <c r="DL104" s="67">
        <v>0</v>
      </c>
      <c r="DM104" s="67">
        <v>0</v>
      </c>
      <c r="DN104" s="67"/>
      <c r="DO104" s="67"/>
      <c r="DP104" s="67"/>
      <c r="DQ104" s="67">
        <v>0</v>
      </c>
      <c r="DR104" s="67">
        <v>0</v>
      </c>
      <c r="DS104" s="67"/>
      <c r="DT104" s="67"/>
      <c r="DU104" s="67">
        <v>0</v>
      </c>
      <c r="DV104" s="67">
        <v>0</v>
      </c>
      <c r="DW104" s="67">
        <v>0</v>
      </c>
      <c r="DX104" s="67">
        <v>0</v>
      </c>
      <c r="DY104" s="67"/>
      <c r="DZ104" s="67">
        <v>0</v>
      </c>
      <c r="EA104" s="67"/>
      <c r="EB104" s="67">
        <v>0</v>
      </c>
      <c r="EC104" s="67"/>
      <c r="ED104" s="67">
        <v>0</v>
      </c>
      <c r="EE104" s="67"/>
      <c r="EF104" s="67">
        <v>0</v>
      </c>
      <c r="EG104" s="67"/>
      <c r="EH104" s="67"/>
      <c r="EI104" s="67"/>
      <c r="EJ104" s="67"/>
      <c r="EK104" s="67"/>
      <c r="EL104" s="67"/>
      <c r="EM104" s="67"/>
      <c r="EN104" s="67"/>
      <c r="EO104" s="67"/>
      <c r="EP104" s="67">
        <v>0</v>
      </c>
      <c r="EQ104" s="67">
        <v>0</v>
      </c>
      <c r="ER104" s="67">
        <v>0</v>
      </c>
      <c r="ES104" s="67"/>
      <c r="ET104">
        <v>0</v>
      </c>
      <c r="EX104" s="67"/>
      <c r="EY104" s="67"/>
      <c r="EZ104" s="67"/>
      <c r="FA104" s="67">
        <v>569</v>
      </c>
      <c r="FB104" s="67"/>
      <c r="FC104" s="67"/>
      <c r="FD104" s="67"/>
      <c r="FE104" s="67"/>
      <c r="FF104" s="67"/>
      <c r="FG104" s="67"/>
      <c r="FH104" s="67"/>
      <c r="FI104" s="67" t="s">
        <v>1600</v>
      </c>
    </row>
    <row r="105" spans="2:165" x14ac:dyDescent="0.2">
      <c r="B105" s="67"/>
      <c r="C105" s="67" t="s">
        <v>1658</v>
      </c>
      <c r="D105" s="67" t="s">
        <v>460</v>
      </c>
      <c r="E105" s="67" t="s">
        <v>305</v>
      </c>
      <c r="F105" s="67" t="s">
        <v>898</v>
      </c>
      <c r="G105" s="67" t="s">
        <v>1597</v>
      </c>
      <c r="H105" s="67"/>
      <c r="I105" s="67" t="s">
        <v>41</v>
      </c>
      <c r="J105" s="67" t="s">
        <v>71</v>
      </c>
      <c r="K105" s="67" t="s">
        <v>1638</v>
      </c>
      <c r="L105" s="67" t="s">
        <v>779</v>
      </c>
      <c r="M105" s="67" t="s">
        <v>752</v>
      </c>
      <c r="N105" s="67" t="s">
        <v>1604</v>
      </c>
      <c r="O105" s="67" t="s">
        <v>1605</v>
      </c>
      <c r="P105" s="67"/>
      <c r="Q105" s="67">
        <v>0</v>
      </c>
      <c r="R105" s="67">
        <v>0</v>
      </c>
      <c r="S105" s="67">
        <v>0</v>
      </c>
      <c r="T105" s="67">
        <v>0</v>
      </c>
      <c r="U105" s="67">
        <v>0</v>
      </c>
      <c r="V105" s="67">
        <v>0</v>
      </c>
      <c r="W105" s="67">
        <v>0</v>
      </c>
      <c r="X105" s="67">
        <v>0</v>
      </c>
      <c r="Y105" s="67">
        <v>0</v>
      </c>
      <c r="Z105" s="67">
        <v>0</v>
      </c>
      <c r="AA105" s="67">
        <v>0</v>
      </c>
      <c r="AB105" s="67">
        <v>0</v>
      </c>
      <c r="AC105" s="67">
        <v>0</v>
      </c>
      <c r="AD105" s="67">
        <v>0</v>
      </c>
      <c r="AE105" s="67">
        <v>0</v>
      </c>
      <c r="AF105" s="67">
        <v>0</v>
      </c>
      <c r="AG105" s="67">
        <v>0</v>
      </c>
      <c r="AH105" s="67">
        <v>0</v>
      </c>
      <c r="AI105" s="67">
        <v>0</v>
      </c>
      <c r="AJ105" s="67">
        <v>0</v>
      </c>
      <c r="AK105" s="67">
        <v>0</v>
      </c>
      <c r="AL105" s="67">
        <v>0</v>
      </c>
      <c r="AM105" s="67">
        <v>0</v>
      </c>
      <c r="AN105" s="67">
        <v>0</v>
      </c>
      <c r="AO105" s="67">
        <v>0</v>
      </c>
      <c r="AP105" s="67">
        <v>0</v>
      </c>
      <c r="AQ105" s="67">
        <v>0</v>
      </c>
      <c r="AR105" s="67">
        <v>0</v>
      </c>
      <c r="AS105" s="67">
        <v>0</v>
      </c>
      <c r="AT105" s="67"/>
      <c r="AU105" s="67"/>
      <c r="AV105" s="67"/>
      <c r="AW105" s="67">
        <v>0</v>
      </c>
      <c r="AX105" s="67">
        <v>0</v>
      </c>
      <c r="AY105" s="67"/>
      <c r="AZ105" s="67"/>
      <c r="BA105" s="67"/>
      <c r="BB105" s="67"/>
      <c r="BC105" s="67"/>
      <c r="BD105" s="67"/>
      <c r="BE105" s="67"/>
      <c r="BG105" s="67"/>
      <c r="BH105" s="67"/>
      <c r="BI105" s="67"/>
      <c r="BJ105" s="67">
        <v>0</v>
      </c>
      <c r="BK105" s="67"/>
      <c r="BL105" s="67"/>
      <c r="BP105" s="67"/>
      <c r="BQ105" s="67">
        <v>0</v>
      </c>
      <c r="BR105" s="67"/>
      <c r="BS105" s="67"/>
      <c r="BT105" s="67">
        <v>0</v>
      </c>
      <c r="BU105" s="67"/>
      <c r="BV105" s="67"/>
      <c r="BW105" s="67">
        <v>0</v>
      </c>
      <c r="BX105" s="67">
        <v>0</v>
      </c>
      <c r="BY105" s="67">
        <v>0</v>
      </c>
      <c r="BZ105" s="67">
        <v>0</v>
      </c>
      <c r="CA105" s="67"/>
      <c r="CB105" s="67">
        <v>0</v>
      </c>
      <c r="CC105" s="67"/>
      <c r="CD105" s="67"/>
      <c r="CE105" s="67">
        <v>0</v>
      </c>
      <c r="CF105" s="67">
        <v>0</v>
      </c>
      <c r="CG105" s="67"/>
      <c r="CH105" s="67"/>
      <c r="CI105" s="67"/>
      <c r="CJ105" s="67"/>
      <c r="CK105" s="67">
        <v>0</v>
      </c>
      <c r="CL105" s="67">
        <v>0</v>
      </c>
      <c r="CM105" s="67"/>
      <c r="CN105" s="67"/>
      <c r="CO105" s="67">
        <v>0</v>
      </c>
      <c r="CP105" s="67">
        <v>0</v>
      </c>
      <c r="CQ105" s="67"/>
      <c r="CR105" s="67"/>
      <c r="CS105" s="67"/>
      <c r="CT105" s="67"/>
      <c r="CU105" s="67">
        <v>0</v>
      </c>
      <c r="CV105" s="67"/>
      <c r="CW105" s="67"/>
      <c r="CX105" s="67"/>
      <c r="CY105" s="67">
        <v>0</v>
      </c>
      <c r="CZ105" s="67"/>
      <c r="DA105" s="67"/>
      <c r="DB105" s="67"/>
      <c r="DC105" s="67"/>
      <c r="DF105" s="67"/>
      <c r="DG105" s="67">
        <v>0</v>
      </c>
      <c r="DH105" s="67">
        <v>0</v>
      </c>
      <c r="DI105" s="67">
        <v>0</v>
      </c>
      <c r="DJ105" s="67"/>
      <c r="DK105" s="67">
        <v>0</v>
      </c>
      <c r="DL105" s="67">
        <v>0</v>
      </c>
      <c r="DM105" s="67">
        <v>0</v>
      </c>
      <c r="DN105" s="67"/>
      <c r="DO105" s="67"/>
      <c r="DP105" s="67"/>
      <c r="DQ105" s="67">
        <v>0</v>
      </c>
      <c r="DR105" s="67">
        <v>0</v>
      </c>
      <c r="DS105" s="67"/>
      <c r="DT105" s="67"/>
      <c r="DU105" s="67">
        <v>0</v>
      </c>
      <c r="DV105" s="67">
        <v>0</v>
      </c>
      <c r="DW105" s="67">
        <v>0</v>
      </c>
      <c r="DX105" s="67">
        <v>0</v>
      </c>
      <c r="DY105" s="67"/>
      <c r="DZ105" s="67">
        <v>0</v>
      </c>
      <c r="EA105" s="67"/>
      <c r="EB105" s="67">
        <v>0</v>
      </c>
      <c r="EC105" s="67"/>
      <c r="ED105" s="67">
        <v>0</v>
      </c>
      <c r="EE105" s="67"/>
      <c r="EF105" s="67">
        <v>0</v>
      </c>
      <c r="EG105" s="67"/>
      <c r="EH105" s="67"/>
      <c r="EI105" s="67"/>
      <c r="EJ105" s="67"/>
      <c r="EK105" s="67"/>
      <c r="EL105" s="67"/>
      <c r="EM105" s="67"/>
      <c r="EN105" s="67"/>
      <c r="EO105" s="67"/>
      <c r="EP105" s="67">
        <v>0</v>
      </c>
      <c r="EQ105" s="67">
        <v>0</v>
      </c>
      <c r="ER105" s="67">
        <v>0</v>
      </c>
      <c r="ES105" s="67"/>
      <c r="ET105">
        <v>0</v>
      </c>
      <c r="EX105" s="67"/>
      <c r="EY105" s="67"/>
      <c r="EZ105" s="67"/>
      <c r="FA105" s="67">
        <v>0</v>
      </c>
      <c r="FB105" s="67"/>
      <c r="FC105" s="67"/>
      <c r="FD105" s="67"/>
      <c r="FE105" s="67"/>
      <c r="FF105" s="67"/>
      <c r="FG105" s="67"/>
      <c r="FH105" s="67"/>
      <c r="FI105" s="67" t="s">
        <v>1600</v>
      </c>
    </row>
    <row r="106" spans="2:165" ht="24" x14ac:dyDescent="0.2">
      <c r="B106" s="67" t="s">
        <v>461</v>
      </c>
      <c r="C106" s="67" t="s">
        <v>461</v>
      </c>
      <c r="D106" s="67" t="s">
        <v>462</v>
      </c>
      <c r="E106" s="67" t="s">
        <v>13</v>
      </c>
      <c r="F106" s="67" t="s">
        <v>1109</v>
      </c>
      <c r="G106" s="67" t="s">
        <v>1597</v>
      </c>
      <c r="H106" s="67"/>
      <c r="I106" s="67" t="s">
        <v>41</v>
      </c>
      <c r="J106" s="67" t="s">
        <v>68</v>
      </c>
      <c r="K106" s="67" t="s">
        <v>1659</v>
      </c>
      <c r="L106" s="67" t="s">
        <v>751</v>
      </c>
      <c r="M106" s="67" t="s">
        <v>752</v>
      </c>
      <c r="N106" s="67" t="s">
        <v>1598</v>
      </c>
      <c r="O106" s="67" t="s">
        <v>1606</v>
      </c>
      <c r="P106" s="67"/>
      <c r="Q106" s="67">
        <v>300</v>
      </c>
      <c r="R106" s="67">
        <v>0</v>
      </c>
      <c r="S106" s="67">
        <v>0</v>
      </c>
      <c r="T106" s="67">
        <v>0</v>
      </c>
      <c r="U106" s="67">
        <v>0</v>
      </c>
      <c r="V106" s="67">
        <v>0</v>
      </c>
      <c r="W106" s="67">
        <v>0</v>
      </c>
      <c r="X106" s="67">
        <v>0</v>
      </c>
      <c r="Y106" s="67">
        <v>0</v>
      </c>
      <c r="Z106" s="67">
        <v>0</v>
      </c>
      <c r="AA106" s="67">
        <v>0</v>
      </c>
      <c r="AB106" s="67">
        <v>0</v>
      </c>
      <c r="AC106" s="67">
        <v>0</v>
      </c>
      <c r="AD106" s="67">
        <v>300</v>
      </c>
      <c r="AE106" s="67">
        <v>0</v>
      </c>
      <c r="AF106" s="67">
        <v>0</v>
      </c>
      <c r="AG106" s="67">
        <v>0</v>
      </c>
      <c r="AH106" s="67">
        <v>0</v>
      </c>
      <c r="AI106" s="67">
        <v>0</v>
      </c>
      <c r="AJ106" s="67">
        <v>0</v>
      </c>
      <c r="AK106" s="67">
        <v>0</v>
      </c>
      <c r="AL106" s="67">
        <v>0</v>
      </c>
      <c r="AM106" s="67">
        <v>0</v>
      </c>
      <c r="AN106" s="67">
        <v>0</v>
      </c>
      <c r="AO106" s="67">
        <v>0</v>
      </c>
      <c r="AP106" s="67">
        <v>0</v>
      </c>
      <c r="AQ106" s="67">
        <v>0</v>
      </c>
      <c r="AR106" s="67">
        <v>0</v>
      </c>
      <c r="AS106" s="67">
        <v>0</v>
      </c>
      <c r="AT106" s="67"/>
      <c r="AU106" s="67"/>
      <c r="AV106" s="67"/>
      <c r="AW106" s="67">
        <v>0</v>
      </c>
      <c r="AX106" s="67">
        <v>0</v>
      </c>
      <c r="AY106" s="67"/>
      <c r="AZ106" s="67"/>
      <c r="BA106" s="67"/>
      <c r="BB106" s="67"/>
      <c r="BC106" s="67"/>
      <c r="BD106" s="67"/>
      <c r="BE106" s="67"/>
      <c r="BG106" s="67"/>
      <c r="BH106" s="67"/>
      <c r="BI106" s="67"/>
      <c r="BJ106" s="67">
        <v>0</v>
      </c>
      <c r="BK106" s="67"/>
      <c r="BL106" s="67"/>
      <c r="BP106" s="67"/>
      <c r="BQ106" s="67">
        <v>0</v>
      </c>
      <c r="BR106" s="67"/>
      <c r="BS106" s="67"/>
      <c r="BT106" s="67">
        <v>0</v>
      </c>
      <c r="BU106" s="67"/>
      <c r="BV106" s="67"/>
      <c r="BW106" s="67">
        <v>0</v>
      </c>
      <c r="BX106" s="67">
        <v>0</v>
      </c>
      <c r="BY106" s="67">
        <v>0</v>
      </c>
      <c r="BZ106" s="67">
        <v>0</v>
      </c>
      <c r="CA106" s="67"/>
      <c r="CB106" s="67">
        <v>0</v>
      </c>
      <c r="CC106" s="67"/>
      <c r="CD106" s="67"/>
      <c r="CE106" s="67">
        <v>0</v>
      </c>
      <c r="CF106" s="67">
        <v>0</v>
      </c>
      <c r="CG106" s="67"/>
      <c r="CH106" s="67"/>
      <c r="CI106" s="67"/>
      <c r="CJ106" s="67"/>
      <c r="CK106" s="67">
        <v>0</v>
      </c>
      <c r="CL106" s="67">
        <v>0</v>
      </c>
      <c r="CM106" s="67"/>
      <c r="CN106" s="67"/>
      <c r="CO106" s="67">
        <v>0</v>
      </c>
      <c r="CP106" s="67">
        <v>0</v>
      </c>
      <c r="CQ106" s="67"/>
      <c r="CR106" s="67"/>
      <c r="CS106" s="67"/>
      <c r="CT106" s="67"/>
      <c r="CU106" s="67">
        <v>0</v>
      </c>
      <c r="CV106" s="67"/>
      <c r="CW106" s="67"/>
      <c r="CX106" s="67"/>
      <c r="CY106" s="67">
        <v>0</v>
      </c>
      <c r="CZ106" s="67"/>
      <c r="DA106" s="67"/>
      <c r="DB106" s="67"/>
      <c r="DC106" s="67"/>
      <c r="DF106" s="67"/>
      <c r="DG106" s="67">
        <v>0</v>
      </c>
      <c r="DH106" s="67">
        <v>0</v>
      </c>
      <c r="DI106" s="67">
        <v>0</v>
      </c>
      <c r="DJ106" s="67"/>
      <c r="DK106" s="67">
        <v>0</v>
      </c>
      <c r="DL106" s="67">
        <v>0</v>
      </c>
      <c r="DM106" s="67">
        <v>0</v>
      </c>
      <c r="DN106" s="67"/>
      <c r="DO106" s="67"/>
      <c r="DP106" s="67"/>
      <c r="DQ106" s="67">
        <v>0</v>
      </c>
      <c r="DR106" s="67">
        <v>0</v>
      </c>
      <c r="DS106" s="67"/>
      <c r="DT106" s="67"/>
      <c r="DU106" s="67">
        <v>0</v>
      </c>
      <c r="DV106" s="67">
        <v>0</v>
      </c>
      <c r="DW106" s="67">
        <v>0</v>
      </c>
      <c r="DX106" s="67">
        <v>0</v>
      </c>
      <c r="DY106" s="67"/>
      <c r="DZ106" s="67">
        <v>0</v>
      </c>
      <c r="EA106" s="67"/>
      <c r="EB106" s="67">
        <v>0</v>
      </c>
      <c r="EC106" s="67"/>
      <c r="ED106" s="67">
        <v>0</v>
      </c>
      <c r="EE106" s="67"/>
      <c r="EF106" s="67">
        <v>0</v>
      </c>
      <c r="EG106" s="67"/>
      <c r="EH106" s="67"/>
      <c r="EI106" s="67"/>
      <c r="EJ106" s="67"/>
      <c r="EK106" s="67"/>
      <c r="EL106" s="67"/>
      <c r="EM106" s="67"/>
      <c r="EN106" s="67"/>
      <c r="EO106" s="67"/>
      <c r="EP106" s="67">
        <v>0</v>
      </c>
      <c r="EQ106" s="67">
        <v>0</v>
      </c>
      <c r="ER106" s="67">
        <v>0</v>
      </c>
      <c r="ES106" s="67"/>
      <c r="ET106">
        <v>0</v>
      </c>
      <c r="EX106" s="67"/>
      <c r="EY106" s="67"/>
      <c r="EZ106" s="67"/>
      <c r="FA106" s="67">
        <v>300</v>
      </c>
      <c r="FB106" s="67"/>
      <c r="FC106" s="67"/>
      <c r="FD106" s="67"/>
      <c r="FE106" s="67"/>
      <c r="FF106" s="67"/>
      <c r="FG106" s="67"/>
      <c r="FH106" s="67"/>
      <c r="FI106" s="67" t="s">
        <v>1600</v>
      </c>
    </row>
    <row r="107" spans="2:165" ht="24" x14ac:dyDescent="0.2">
      <c r="B107" s="67" t="s">
        <v>463</v>
      </c>
      <c r="C107" s="67" t="s">
        <v>463</v>
      </c>
      <c r="D107" s="67" t="s">
        <v>464</v>
      </c>
      <c r="E107" s="67" t="s">
        <v>13</v>
      </c>
      <c r="F107" s="67" t="s">
        <v>1109</v>
      </c>
      <c r="G107" s="67" t="s">
        <v>1597</v>
      </c>
      <c r="H107" s="67"/>
      <c r="I107" s="67" t="s">
        <v>41</v>
      </c>
      <c r="J107" s="67" t="s">
        <v>68</v>
      </c>
      <c r="K107" s="67" t="s">
        <v>1659</v>
      </c>
      <c r="L107" s="67" t="s">
        <v>751</v>
      </c>
      <c r="M107" s="67" t="s">
        <v>752</v>
      </c>
      <c r="N107" s="67" t="s">
        <v>1598</v>
      </c>
      <c r="O107" s="67" t="s">
        <v>1599</v>
      </c>
      <c r="P107" s="67"/>
      <c r="Q107" s="67">
        <v>400</v>
      </c>
      <c r="R107" s="67">
        <v>0</v>
      </c>
      <c r="S107" s="67">
        <v>0</v>
      </c>
      <c r="T107" s="67">
        <v>0</v>
      </c>
      <c r="U107" s="67">
        <v>0</v>
      </c>
      <c r="V107" s="67">
        <v>0</v>
      </c>
      <c r="W107" s="67">
        <v>0</v>
      </c>
      <c r="X107" s="67">
        <v>0</v>
      </c>
      <c r="Y107" s="67">
        <v>0</v>
      </c>
      <c r="Z107" s="67">
        <v>0</v>
      </c>
      <c r="AA107" s="67">
        <v>0</v>
      </c>
      <c r="AB107" s="67">
        <v>0</v>
      </c>
      <c r="AC107" s="67">
        <v>0</v>
      </c>
      <c r="AD107" s="67">
        <v>400</v>
      </c>
      <c r="AE107" s="67">
        <v>0</v>
      </c>
      <c r="AF107" s="67">
        <v>0</v>
      </c>
      <c r="AG107" s="67">
        <v>0</v>
      </c>
      <c r="AH107" s="67">
        <v>0</v>
      </c>
      <c r="AI107" s="67">
        <v>0</v>
      </c>
      <c r="AJ107" s="67">
        <v>0</v>
      </c>
      <c r="AK107" s="67">
        <v>0</v>
      </c>
      <c r="AL107" s="67">
        <v>0</v>
      </c>
      <c r="AM107" s="67">
        <v>0</v>
      </c>
      <c r="AN107" s="67">
        <v>0</v>
      </c>
      <c r="AO107" s="67">
        <v>0</v>
      </c>
      <c r="AP107" s="67">
        <v>0</v>
      </c>
      <c r="AQ107" s="67">
        <v>0</v>
      </c>
      <c r="AR107" s="67">
        <v>0</v>
      </c>
      <c r="AS107" s="67">
        <v>0</v>
      </c>
      <c r="AT107" s="67"/>
      <c r="AU107" s="67"/>
      <c r="AV107" s="67"/>
      <c r="AW107" s="67">
        <v>0</v>
      </c>
      <c r="AX107" s="67">
        <v>0</v>
      </c>
      <c r="AY107" s="67"/>
      <c r="AZ107" s="67"/>
      <c r="BA107" s="67"/>
      <c r="BB107" s="67"/>
      <c r="BC107" s="67"/>
      <c r="BD107" s="67"/>
      <c r="BE107" s="67"/>
      <c r="BG107" s="67"/>
      <c r="BH107" s="67"/>
      <c r="BI107" s="67"/>
      <c r="BJ107" s="67">
        <v>0</v>
      </c>
      <c r="BK107" s="67"/>
      <c r="BL107" s="67"/>
      <c r="BP107" s="67"/>
      <c r="BQ107" s="67">
        <v>0</v>
      </c>
      <c r="BR107" s="67"/>
      <c r="BS107" s="67"/>
      <c r="BT107" s="67">
        <v>0</v>
      </c>
      <c r="BU107" s="67"/>
      <c r="BV107" s="67"/>
      <c r="BW107" s="67">
        <v>0</v>
      </c>
      <c r="BX107" s="67">
        <v>0</v>
      </c>
      <c r="BY107" s="67">
        <v>0</v>
      </c>
      <c r="BZ107" s="67">
        <v>0</v>
      </c>
      <c r="CA107" s="67"/>
      <c r="CB107" s="67">
        <v>0</v>
      </c>
      <c r="CC107" s="67"/>
      <c r="CD107" s="67"/>
      <c r="CE107" s="67">
        <v>0</v>
      </c>
      <c r="CF107" s="67">
        <v>0</v>
      </c>
      <c r="CG107" s="67"/>
      <c r="CH107" s="67"/>
      <c r="CI107" s="67"/>
      <c r="CJ107" s="67"/>
      <c r="CK107" s="67">
        <v>0</v>
      </c>
      <c r="CL107" s="67">
        <v>0</v>
      </c>
      <c r="CM107" s="67"/>
      <c r="CN107" s="67"/>
      <c r="CO107" s="67">
        <v>0</v>
      </c>
      <c r="CP107" s="67">
        <v>0</v>
      </c>
      <c r="CQ107" s="67"/>
      <c r="CR107" s="67"/>
      <c r="CS107" s="67"/>
      <c r="CT107" s="67"/>
      <c r="CU107" s="67">
        <v>0</v>
      </c>
      <c r="CV107" s="67"/>
      <c r="CW107" s="67"/>
      <c r="CX107" s="67"/>
      <c r="CY107" s="67">
        <v>0</v>
      </c>
      <c r="CZ107" s="67"/>
      <c r="DA107" s="67"/>
      <c r="DB107" s="67"/>
      <c r="DC107" s="67"/>
      <c r="DF107" s="67"/>
      <c r="DG107" s="67">
        <v>0</v>
      </c>
      <c r="DH107" s="67">
        <v>0</v>
      </c>
      <c r="DI107" s="67">
        <v>0</v>
      </c>
      <c r="DJ107" s="67"/>
      <c r="DK107" s="67">
        <v>0</v>
      </c>
      <c r="DL107" s="67">
        <v>0</v>
      </c>
      <c r="DM107" s="67">
        <v>0</v>
      </c>
      <c r="DN107" s="67"/>
      <c r="DO107" s="67"/>
      <c r="DP107" s="67"/>
      <c r="DQ107" s="67">
        <v>0</v>
      </c>
      <c r="DR107" s="67">
        <v>0</v>
      </c>
      <c r="DS107" s="67"/>
      <c r="DT107" s="67"/>
      <c r="DU107" s="67">
        <v>0</v>
      </c>
      <c r="DV107" s="67">
        <v>0</v>
      </c>
      <c r="DW107" s="67">
        <v>0</v>
      </c>
      <c r="DX107" s="67">
        <v>0</v>
      </c>
      <c r="DY107" s="67"/>
      <c r="DZ107" s="67">
        <v>0</v>
      </c>
      <c r="EA107" s="67"/>
      <c r="EB107" s="67">
        <v>0</v>
      </c>
      <c r="EC107" s="67"/>
      <c r="ED107" s="67">
        <v>0</v>
      </c>
      <c r="EE107" s="67"/>
      <c r="EF107" s="67">
        <v>0</v>
      </c>
      <c r="EG107" s="67"/>
      <c r="EH107" s="67"/>
      <c r="EI107" s="67"/>
      <c r="EJ107" s="67"/>
      <c r="EK107" s="67"/>
      <c r="EL107" s="67"/>
      <c r="EM107" s="67"/>
      <c r="EN107" s="67"/>
      <c r="EO107" s="67"/>
      <c r="EP107" s="67">
        <v>0</v>
      </c>
      <c r="EQ107" s="67">
        <v>0</v>
      </c>
      <c r="ER107" s="67">
        <v>0</v>
      </c>
      <c r="ES107" s="67"/>
      <c r="ET107">
        <v>0</v>
      </c>
      <c r="EX107" s="67"/>
      <c r="EY107" s="67"/>
      <c r="EZ107" s="67"/>
      <c r="FA107" s="67">
        <v>400</v>
      </c>
      <c r="FB107" s="67"/>
      <c r="FC107" s="67"/>
      <c r="FD107" s="67"/>
      <c r="FE107" s="67"/>
      <c r="FF107" s="67"/>
      <c r="FG107" s="67"/>
      <c r="FH107" s="67"/>
      <c r="FI107" s="67" t="s">
        <v>1600</v>
      </c>
    </row>
    <row r="108" spans="2:165" ht="24" x14ac:dyDescent="0.2">
      <c r="B108" s="67" t="s">
        <v>465</v>
      </c>
      <c r="C108" s="67" t="s">
        <v>465</v>
      </c>
      <c r="D108" s="67" t="s">
        <v>466</v>
      </c>
      <c r="E108" s="67" t="s">
        <v>13</v>
      </c>
      <c r="F108" s="67" t="s">
        <v>1109</v>
      </c>
      <c r="G108" s="67" t="s">
        <v>1597</v>
      </c>
      <c r="H108" s="67"/>
      <c r="I108" s="67" t="s">
        <v>41</v>
      </c>
      <c r="J108" s="67" t="s">
        <v>68</v>
      </c>
      <c r="K108" s="67" t="s">
        <v>1659</v>
      </c>
      <c r="L108" s="67" t="s">
        <v>751</v>
      </c>
      <c r="M108" s="67" t="s">
        <v>752</v>
      </c>
      <c r="N108" s="67" t="s">
        <v>1598</v>
      </c>
      <c r="O108" s="67" t="s">
        <v>1606</v>
      </c>
      <c r="P108" s="67"/>
      <c r="Q108" s="67">
        <v>400</v>
      </c>
      <c r="R108" s="67">
        <v>0</v>
      </c>
      <c r="S108" s="67">
        <v>0</v>
      </c>
      <c r="T108" s="67">
        <v>0</v>
      </c>
      <c r="U108" s="67">
        <v>0</v>
      </c>
      <c r="V108" s="67">
        <v>0</v>
      </c>
      <c r="W108" s="67">
        <v>0</v>
      </c>
      <c r="X108" s="67">
        <v>0</v>
      </c>
      <c r="Y108" s="67">
        <v>0</v>
      </c>
      <c r="Z108" s="67">
        <v>0</v>
      </c>
      <c r="AA108" s="67">
        <v>0</v>
      </c>
      <c r="AB108" s="67">
        <v>0</v>
      </c>
      <c r="AC108" s="67">
        <v>0</v>
      </c>
      <c r="AD108" s="67">
        <v>400</v>
      </c>
      <c r="AE108" s="67">
        <v>0</v>
      </c>
      <c r="AF108" s="67">
        <v>0</v>
      </c>
      <c r="AG108" s="67">
        <v>0</v>
      </c>
      <c r="AH108" s="67">
        <v>0</v>
      </c>
      <c r="AI108" s="67">
        <v>0</v>
      </c>
      <c r="AJ108" s="67">
        <v>0</v>
      </c>
      <c r="AK108" s="67">
        <v>0</v>
      </c>
      <c r="AL108" s="67">
        <v>0</v>
      </c>
      <c r="AM108" s="67">
        <v>0</v>
      </c>
      <c r="AN108" s="67">
        <v>0</v>
      </c>
      <c r="AO108" s="67">
        <v>0</v>
      </c>
      <c r="AP108" s="67">
        <v>0</v>
      </c>
      <c r="AQ108" s="67">
        <v>0</v>
      </c>
      <c r="AR108" s="67">
        <v>0</v>
      </c>
      <c r="AS108" s="67">
        <v>0</v>
      </c>
      <c r="AT108" s="67"/>
      <c r="AU108" s="67"/>
      <c r="AV108" s="67"/>
      <c r="AW108" s="67">
        <v>0</v>
      </c>
      <c r="AX108" s="67">
        <v>0</v>
      </c>
      <c r="AY108" s="67"/>
      <c r="AZ108" s="67"/>
      <c r="BA108" s="67"/>
      <c r="BB108" s="67"/>
      <c r="BC108" s="67"/>
      <c r="BD108" s="67"/>
      <c r="BE108" s="67"/>
      <c r="BG108" s="67"/>
      <c r="BH108" s="67"/>
      <c r="BI108" s="67"/>
      <c r="BJ108" s="67">
        <v>0</v>
      </c>
      <c r="BK108" s="67"/>
      <c r="BL108" s="67"/>
      <c r="BP108" s="67"/>
      <c r="BQ108" s="67">
        <v>0</v>
      </c>
      <c r="BR108" s="67"/>
      <c r="BS108" s="67"/>
      <c r="BT108" s="67">
        <v>0</v>
      </c>
      <c r="BU108" s="67"/>
      <c r="BV108" s="67"/>
      <c r="BW108" s="67">
        <v>0</v>
      </c>
      <c r="BX108" s="67">
        <v>0</v>
      </c>
      <c r="BY108" s="67">
        <v>0</v>
      </c>
      <c r="BZ108" s="67">
        <v>0</v>
      </c>
      <c r="CA108" s="67"/>
      <c r="CB108" s="67">
        <v>0</v>
      </c>
      <c r="CC108" s="67"/>
      <c r="CD108" s="67"/>
      <c r="CE108" s="67">
        <v>0</v>
      </c>
      <c r="CF108" s="67">
        <v>0</v>
      </c>
      <c r="CG108" s="67"/>
      <c r="CH108" s="67"/>
      <c r="CI108" s="67"/>
      <c r="CJ108" s="67"/>
      <c r="CK108" s="67">
        <v>0</v>
      </c>
      <c r="CL108" s="67">
        <v>0</v>
      </c>
      <c r="CM108" s="67"/>
      <c r="CN108" s="67"/>
      <c r="CO108" s="67">
        <v>0</v>
      </c>
      <c r="CP108" s="67">
        <v>0</v>
      </c>
      <c r="CQ108" s="67"/>
      <c r="CR108" s="67"/>
      <c r="CS108" s="67"/>
      <c r="CT108" s="67"/>
      <c r="CU108" s="67">
        <v>0</v>
      </c>
      <c r="CV108" s="67"/>
      <c r="CW108" s="67"/>
      <c r="CX108" s="67"/>
      <c r="CY108" s="67">
        <v>0</v>
      </c>
      <c r="CZ108" s="67"/>
      <c r="DA108" s="67"/>
      <c r="DB108" s="67"/>
      <c r="DC108" s="67"/>
      <c r="DF108" s="67"/>
      <c r="DG108" s="67">
        <v>0</v>
      </c>
      <c r="DH108" s="67">
        <v>0</v>
      </c>
      <c r="DI108" s="67">
        <v>0</v>
      </c>
      <c r="DJ108" s="67"/>
      <c r="DK108" s="67">
        <v>0</v>
      </c>
      <c r="DL108" s="67">
        <v>0</v>
      </c>
      <c r="DM108" s="67">
        <v>0</v>
      </c>
      <c r="DN108" s="67"/>
      <c r="DO108" s="67"/>
      <c r="DP108" s="67"/>
      <c r="DQ108" s="67">
        <v>0</v>
      </c>
      <c r="DR108" s="67">
        <v>0</v>
      </c>
      <c r="DS108" s="67"/>
      <c r="DT108" s="67"/>
      <c r="DU108" s="67">
        <v>0</v>
      </c>
      <c r="DV108" s="67">
        <v>0</v>
      </c>
      <c r="DW108" s="67">
        <v>0</v>
      </c>
      <c r="DX108" s="67">
        <v>0</v>
      </c>
      <c r="DY108" s="67"/>
      <c r="DZ108" s="67">
        <v>0</v>
      </c>
      <c r="EA108" s="67"/>
      <c r="EB108" s="67">
        <v>0</v>
      </c>
      <c r="EC108" s="67"/>
      <c r="ED108" s="67">
        <v>0</v>
      </c>
      <c r="EE108" s="67"/>
      <c r="EF108" s="67">
        <v>0</v>
      </c>
      <c r="EG108" s="67"/>
      <c r="EH108" s="67"/>
      <c r="EI108" s="67"/>
      <c r="EJ108" s="67"/>
      <c r="EK108" s="67"/>
      <c r="EL108" s="67"/>
      <c r="EM108" s="67"/>
      <c r="EN108" s="67"/>
      <c r="EO108" s="67"/>
      <c r="EP108" s="67">
        <v>0</v>
      </c>
      <c r="EQ108" s="67">
        <v>0</v>
      </c>
      <c r="ER108" s="67">
        <v>0</v>
      </c>
      <c r="ES108" s="67"/>
      <c r="ET108">
        <v>0</v>
      </c>
      <c r="EX108" s="67"/>
      <c r="EY108" s="67"/>
      <c r="EZ108" s="67"/>
      <c r="FA108" s="67">
        <v>400</v>
      </c>
      <c r="FB108" s="67"/>
      <c r="FC108" s="67"/>
      <c r="FD108" s="67"/>
      <c r="FE108" s="67"/>
      <c r="FF108" s="67"/>
      <c r="FG108" s="67"/>
      <c r="FH108" s="67"/>
      <c r="FI108" s="67" t="s">
        <v>1600</v>
      </c>
    </row>
    <row r="109" spans="2:165" ht="24" x14ac:dyDescent="0.2">
      <c r="B109" s="67" t="s">
        <v>467</v>
      </c>
      <c r="C109" s="67" t="s">
        <v>467</v>
      </c>
      <c r="D109" s="67" t="s">
        <v>468</v>
      </c>
      <c r="E109" s="67" t="s">
        <v>13</v>
      </c>
      <c r="F109" s="67" t="s">
        <v>1109</v>
      </c>
      <c r="G109" s="67" t="s">
        <v>1597</v>
      </c>
      <c r="H109" s="67"/>
      <c r="I109" s="67" t="s">
        <v>41</v>
      </c>
      <c r="J109" s="67" t="s">
        <v>68</v>
      </c>
      <c r="K109" s="67" t="s">
        <v>1659</v>
      </c>
      <c r="L109" s="67" t="s">
        <v>751</v>
      </c>
      <c r="M109" s="67" t="s">
        <v>752</v>
      </c>
      <c r="N109" s="67" t="s">
        <v>1598</v>
      </c>
      <c r="O109" s="67" t="s">
        <v>1599</v>
      </c>
      <c r="P109" s="67"/>
      <c r="Q109" s="67">
        <v>400</v>
      </c>
      <c r="R109" s="67">
        <v>0</v>
      </c>
      <c r="S109" s="67">
        <v>0</v>
      </c>
      <c r="T109" s="67">
        <v>0</v>
      </c>
      <c r="U109" s="67">
        <v>0</v>
      </c>
      <c r="V109" s="67">
        <v>0</v>
      </c>
      <c r="W109" s="67">
        <v>0</v>
      </c>
      <c r="X109" s="67">
        <v>0</v>
      </c>
      <c r="Y109" s="67">
        <v>0</v>
      </c>
      <c r="Z109" s="67">
        <v>0</v>
      </c>
      <c r="AA109" s="67">
        <v>0</v>
      </c>
      <c r="AB109" s="67">
        <v>0</v>
      </c>
      <c r="AC109" s="67">
        <v>0</v>
      </c>
      <c r="AD109" s="67">
        <v>400</v>
      </c>
      <c r="AE109" s="67">
        <v>0</v>
      </c>
      <c r="AF109" s="67">
        <v>0</v>
      </c>
      <c r="AG109" s="67">
        <v>0</v>
      </c>
      <c r="AH109" s="67">
        <v>0</v>
      </c>
      <c r="AI109" s="67">
        <v>0</v>
      </c>
      <c r="AJ109" s="67">
        <v>0</v>
      </c>
      <c r="AK109" s="67">
        <v>0</v>
      </c>
      <c r="AL109" s="67">
        <v>0</v>
      </c>
      <c r="AM109" s="67">
        <v>0</v>
      </c>
      <c r="AN109" s="67">
        <v>0</v>
      </c>
      <c r="AO109" s="67">
        <v>0</v>
      </c>
      <c r="AP109" s="67">
        <v>0</v>
      </c>
      <c r="AQ109" s="67">
        <v>0</v>
      </c>
      <c r="AR109" s="67">
        <v>0</v>
      </c>
      <c r="AS109" s="67">
        <v>0</v>
      </c>
      <c r="AT109" s="67"/>
      <c r="AU109" s="67"/>
      <c r="AV109" s="67"/>
      <c r="AW109" s="67">
        <v>0</v>
      </c>
      <c r="AX109" s="67">
        <v>0</v>
      </c>
      <c r="AY109" s="67"/>
      <c r="AZ109" s="67"/>
      <c r="BA109" s="67"/>
      <c r="BB109" s="67"/>
      <c r="BC109" s="67"/>
      <c r="BD109" s="67"/>
      <c r="BE109" s="67"/>
      <c r="BG109" s="67"/>
      <c r="BH109" s="67"/>
      <c r="BI109" s="67"/>
      <c r="BJ109" s="67">
        <v>0</v>
      </c>
      <c r="BK109" s="67"/>
      <c r="BL109" s="67"/>
      <c r="BP109" s="67"/>
      <c r="BQ109" s="67">
        <v>0</v>
      </c>
      <c r="BR109" s="67"/>
      <c r="BS109" s="67"/>
      <c r="BT109" s="67">
        <v>0</v>
      </c>
      <c r="BU109" s="67"/>
      <c r="BV109" s="67"/>
      <c r="BW109" s="67">
        <v>0</v>
      </c>
      <c r="BX109" s="67">
        <v>0</v>
      </c>
      <c r="BY109" s="67">
        <v>0</v>
      </c>
      <c r="BZ109" s="67">
        <v>0</v>
      </c>
      <c r="CA109" s="67"/>
      <c r="CB109" s="67">
        <v>0</v>
      </c>
      <c r="CC109" s="67"/>
      <c r="CD109" s="67"/>
      <c r="CE109" s="67">
        <v>0</v>
      </c>
      <c r="CF109" s="67">
        <v>0</v>
      </c>
      <c r="CG109" s="67"/>
      <c r="CH109" s="67"/>
      <c r="CI109" s="67"/>
      <c r="CJ109" s="67"/>
      <c r="CK109" s="67">
        <v>0</v>
      </c>
      <c r="CL109" s="67">
        <v>0</v>
      </c>
      <c r="CM109" s="67"/>
      <c r="CN109" s="67"/>
      <c r="CO109" s="67">
        <v>0</v>
      </c>
      <c r="CP109" s="67">
        <v>0</v>
      </c>
      <c r="CQ109" s="67"/>
      <c r="CR109" s="67"/>
      <c r="CS109" s="67"/>
      <c r="CT109" s="67"/>
      <c r="CU109" s="67">
        <v>0</v>
      </c>
      <c r="CV109" s="67"/>
      <c r="CW109" s="67"/>
      <c r="CX109" s="67"/>
      <c r="CY109" s="67">
        <v>0</v>
      </c>
      <c r="CZ109" s="67"/>
      <c r="DA109" s="67"/>
      <c r="DB109" s="67"/>
      <c r="DC109" s="67"/>
      <c r="DF109" s="67"/>
      <c r="DG109" s="67">
        <v>0</v>
      </c>
      <c r="DH109" s="67">
        <v>0</v>
      </c>
      <c r="DI109" s="67">
        <v>0</v>
      </c>
      <c r="DJ109" s="67"/>
      <c r="DK109" s="67">
        <v>0</v>
      </c>
      <c r="DL109" s="67">
        <v>0</v>
      </c>
      <c r="DM109" s="67">
        <v>0</v>
      </c>
      <c r="DN109" s="67"/>
      <c r="DO109" s="67"/>
      <c r="DP109" s="67"/>
      <c r="DQ109" s="67">
        <v>0</v>
      </c>
      <c r="DR109" s="67">
        <v>0</v>
      </c>
      <c r="DS109" s="67"/>
      <c r="DT109" s="67"/>
      <c r="DU109" s="67">
        <v>0</v>
      </c>
      <c r="DV109" s="67">
        <v>0</v>
      </c>
      <c r="DW109" s="67">
        <v>0</v>
      </c>
      <c r="DX109" s="67">
        <v>0</v>
      </c>
      <c r="DY109" s="67"/>
      <c r="DZ109" s="67">
        <v>0</v>
      </c>
      <c r="EA109" s="67"/>
      <c r="EB109" s="67">
        <v>0</v>
      </c>
      <c r="EC109" s="67"/>
      <c r="ED109" s="67">
        <v>0</v>
      </c>
      <c r="EE109" s="67"/>
      <c r="EF109" s="67">
        <v>0</v>
      </c>
      <c r="EG109" s="67"/>
      <c r="EH109" s="67"/>
      <c r="EI109" s="67"/>
      <c r="EJ109" s="67"/>
      <c r="EK109" s="67"/>
      <c r="EL109" s="67"/>
      <c r="EM109" s="67"/>
      <c r="EN109" s="67"/>
      <c r="EO109" s="67"/>
      <c r="EP109" s="67">
        <v>0</v>
      </c>
      <c r="EQ109" s="67">
        <v>0</v>
      </c>
      <c r="ER109" s="67">
        <v>0</v>
      </c>
      <c r="ES109" s="67"/>
      <c r="ET109">
        <v>0</v>
      </c>
      <c r="EX109" s="67"/>
      <c r="EY109" s="67"/>
      <c r="EZ109" s="67"/>
      <c r="FA109" s="67">
        <v>400</v>
      </c>
      <c r="FB109" s="67"/>
      <c r="FC109" s="67"/>
      <c r="FD109" s="67"/>
      <c r="FE109" s="67"/>
      <c r="FF109" s="67"/>
      <c r="FG109" s="67"/>
      <c r="FH109" s="67"/>
      <c r="FI109" s="67" t="s">
        <v>1600</v>
      </c>
    </row>
    <row r="110" spans="2:165" x14ac:dyDescent="0.2">
      <c r="B110" s="67" t="s">
        <v>469</v>
      </c>
      <c r="C110" s="67" t="s">
        <v>469</v>
      </c>
      <c r="D110" s="67" t="s">
        <v>470</v>
      </c>
      <c r="E110" s="67" t="s">
        <v>23</v>
      </c>
      <c r="F110" s="67" t="s">
        <v>1109</v>
      </c>
      <c r="G110" s="67" t="s">
        <v>1597</v>
      </c>
      <c r="H110" s="67"/>
      <c r="I110" s="67" t="s">
        <v>41</v>
      </c>
      <c r="J110" s="67" t="s">
        <v>68</v>
      </c>
      <c r="K110" s="67" t="s">
        <v>1659</v>
      </c>
      <c r="L110" s="67" t="s">
        <v>751</v>
      </c>
      <c r="M110" s="67" t="s">
        <v>752</v>
      </c>
      <c r="N110" s="67" t="s">
        <v>1598</v>
      </c>
      <c r="O110" s="67" t="s">
        <v>1599</v>
      </c>
      <c r="P110" s="67"/>
      <c r="Q110" s="67">
        <v>400</v>
      </c>
      <c r="R110" s="67">
        <v>0</v>
      </c>
      <c r="S110" s="67">
        <v>0</v>
      </c>
      <c r="T110" s="67">
        <v>0</v>
      </c>
      <c r="U110" s="67">
        <v>0</v>
      </c>
      <c r="V110" s="67">
        <v>0</v>
      </c>
      <c r="W110" s="67">
        <v>0</v>
      </c>
      <c r="X110" s="67">
        <v>0</v>
      </c>
      <c r="Y110" s="67">
        <v>0</v>
      </c>
      <c r="Z110" s="67">
        <v>0</v>
      </c>
      <c r="AA110" s="67">
        <v>0</v>
      </c>
      <c r="AB110" s="67">
        <v>0</v>
      </c>
      <c r="AC110" s="67">
        <v>0</v>
      </c>
      <c r="AD110" s="67">
        <v>400</v>
      </c>
      <c r="AE110" s="67">
        <v>0</v>
      </c>
      <c r="AF110" s="67">
        <v>0</v>
      </c>
      <c r="AG110" s="67">
        <v>0</v>
      </c>
      <c r="AH110" s="67">
        <v>0</v>
      </c>
      <c r="AI110" s="67">
        <v>0</v>
      </c>
      <c r="AJ110" s="67">
        <v>0</v>
      </c>
      <c r="AK110" s="67">
        <v>0</v>
      </c>
      <c r="AL110" s="67">
        <v>0</v>
      </c>
      <c r="AM110" s="67">
        <v>0</v>
      </c>
      <c r="AN110" s="67">
        <v>0</v>
      </c>
      <c r="AO110" s="67">
        <v>0</v>
      </c>
      <c r="AP110" s="67">
        <v>0</v>
      </c>
      <c r="AQ110" s="67">
        <v>0</v>
      </c>
      <c r="AR110" s="67">
        <v>0</v>
      </c>
      <c r="AS110" s="67">
        <v>0</v>
      </c>
      <c r="AT110" s="67"/>
      <c r="AU110" s="67"/>
      <c r="AV110" s="67"/>
      <c r="AW110" s="67">
        <v>0</v>
      </c>
      <c r="AX110" s="67">
        <v>0</v>
      </c>
      <c r="AY110" s="67"/>
      <c r="AZ110" s="67"/>
      <c r="BA110" s="67"/>
      <c r="BB110" s="67"/>
      <c r="BC110" s="67"/>
      <c r="BD110" s="67"/>
      <c r="BE110" s="67"/>
      <c r="BG110" s="67"/>
      <c r="BH110" s="67"/>
      <c r="BI110" s="67"/>
      <c r="BJ110" s="67">
        <v>0</v>
      </c>
      <c r="BK110" s="67"/>
      <c r="BL110" s="67"/>
      <c r="BP110" s="67"/>
      <c r="BQ110" s="67">
        <v>0</v>
      </c>
      <c r="BR110" s="67"/>
      <c r="BS110" s="67"/>
      <c r="BT110" s="67">
        <v>0</v>
      </c>
      <c r="BU110" s="67"/>
      <c r="BV110" s="67"/>
      <c r="BW110" s="67">
        <v>0</v>
      </c>
      <c r="BX110" s="67">
        <v>0</v>
      </c>
      <c r="BY110" s="67">
        <v>0</v>
      </c>
      <c r="BZ110" s="67">
        <v>0</v>
      </c>
      <c r="CA110" s="67"/>
      <c r="CB110" s="67">
        <v>0</v>
      </c>
      <c r="CC110" s="67"/>
      <c r="CD110" s="67"/>
      <c r="CE110" s="67">
        <v>0</v>
      </c>
      <c r="CF110" s="67">
        <v>0</v>
      </c>
      <c r="CG110" s="67"/>
      <c r="CH110" s="67"/>
      <c r="CI110" s="67"/>
      <c r="CJ110" s="67"/>
      <c r="CK110" s="67">
        <v>0</v>
      </c>
      <c r="CL110" s="67">
        <v>0</v>
      </c>
      <c r="CM110" s="67"/>
      <c r="CN110" s="67"/>
      <c r="CO110" s="67">
        <v>0</v>
      </c>
      <c r="CP110" s="67">
        <v>0</v>
      </c>
      <c r="CQ110" s="67"/>
      <c r="CR110" s="67"/>
      <c r="CS110" s="67"/>
      <c r="CT110" s="67"/>
      <c r="CU110" s="67">
        <v>0</v>
      </c>
      <c r="CV110" s="67"/>
      <c r="CW110" s="67"/>
      <c r="CX110" s="67"/>
      <c r="CY110" s="67">
        <v>0</v>
      </c>
      <c r="CZ110" s="67"/>
      <c r="DA110" s="67"/>
      <c r="DB110" s="67"/>
      <c r="DC110" s="67"/>
      <c r="DF110" s="67"/>
      <c r="DG110" s="67">
        <v>0</v>
      </c>
      <c r="DH110" s="67">
        <v>0</v>
      </c>
      <c r="DI110" s="67">
        <v>0</v>
      </c>
      <c r="DJ110" s="67"/>
      <c r="DK110" s="67">
        <v>0</v>
      </c>
      <c r="DL110" s="67">
        <v>0</v>
      </c>
      <c r="DM110" s="67">
        <v>0</v>
      </c>
      <c r="DN110" s="67"/>
      <c r="DO110" s="67"/>
      <c r="DP110" s="67"/>
      <c r="DQ110" s="67">
        <v>0</v>
      </c>
      <c r="DR110" s="67">
        <v>0</v>
      </c>
      <c r="DS110" s="67"/>
      <c r="DT110" s="67"/>
      <c r="DU110" s="67">
        <v>0</v>
      </c>
      <c r="DV110" s="67">
        <v>0</v>
      </c>
      <c r="DW110" s="67">
        <v>0</v>
      </c>
      <c r="DX110" s="67">
        <v>0</v>
      </c>
      <c r="DY110" s="67"/>
      <c r="DZ110" s="67">
        <v>0</v>
      </c>
      <c r="EA110" s="67"/>
      <c r="EB110" s="67">
        <v>0</v>
      </c>
      <c r="EC110" s="67"/>
      <c r="ED110" s="67">
        <v>0</v>
      </c>
      <c r="EE110" s="67"/>
      <c r="EF110" s="67">
        <v>0</v>
      </c>
      <c r="EG110" s="67"/>
      <c r="EH110" s="67"/>
      <c r="EI110" s="67"/>
      <c r="EJ110" s="67"/>
      <c r="EK110" s="67"/>
      <c r="EL110" s="67"/>
      <c r="EM110" s="67"/>
      <c r="EN110" s="67"/>
      <c r="EO110" s="67"/>
      <c r="EP110" s="67">
        <v>0</v>
      </c>
      <c r="EQ110" s="67">
        <v>0</v>
      </c>
      <c r="ER110" s="67">
        <v>0</v>
      </c>
      <c r="ES110" s="67"/>
      <c r="ET110">
        <v>0</v>
      </c>
      <c r="EX110" s="67"/>
      <c r="EY110" s="67"/>
      <c r="EZ110" s="67"/>
      <c r="FA110" s="67">
        <v>400</v>
      </c>
      <c r="FB110" s="67"/>
      <c r="FC110" s="67"/>
      <c r="FD110" s="67"/>
      <c r="FE110" s="67"/>
      <c r="FF110" s="67"/>
      <c r="FG110" s="67"/>
      <c r="FH110" s="67"/>
      <c r="FI110" s="67" t="s">
        <v>1600</v>
      </c>
    </row>
    <row r="111" spans="2:165" ht="24" x14ac:dyDescent="0.2">
      <c r="B111" s="67" t="s">
        <v>471</v>
      </c>
      <c r="C111" s="67" t="s">
        <v>471</v>
      </c>
      <c r="D111" s="67" t="s">
        <v>472</v>
      </c>
      <c r="E111" s="67" t="s">
        <v>13</v>
      </c>
      <c r="F111" s="67" t="s">
        <v>1109</v>
      </c>
      <c r="G111" s="67" t="s">
        <v>1597</v>
      </c>
      <c r="H111" s="67"/>
      <c r="I111" s="67" t="s">
        <v>41</v>
      </c>
      <c r="J111" s="67" t="s">
        <v>68</v>
      </c>
      <c r="K111" s="67" t="s">
        <v>1659</v>
      </c>
      <c r="L111" s="67" t="s">
        <v>751</v>
      </c>
      <c r="M111" s="67" t="s">
        <v>752</v>
      </c>
      <c r="N111" s="67" t="s">
        <v>1598</v>
      </c>
      <c r="O111" s="67" t="s">
        <v>1599</v>
      </c>
      <c r="P111" s="67"/>
      <c r="Q111" s="67">
        <v>400</v>
      </c>
      <c r="R111" s="67">
        <v>0</v>
      </c>
      <c r="S111" s="67">
        <v>0</v>
      </c>
      <c r="T111" s="67">
        <v>0</v>
      </c>
      <c r="U111" s="67">
        <v>0</v>
      </c>
      <c r="V111" s="67">
        <v>0</v>
      </c>
      <c r="W111" s="67">
        <v>0</v>
      </c>
      <c r="X111" s="67">
        <v>0</v>
      </c>
      <c r="Y111" s="67">
        <v>0</v>
      </c>
      <c r="Z111" s="67">
        <v>0</v>
      </c>
      <c r="AA111" s="67">
        <v>0</v>
      </c>
      <c r="AB111" s="67">
        <v>0</v>
      </c>
      <c r="AC111" s="67">
        <v>0</v>
      </c>
      <c r="AD111" s="67">
        <v>400</v>
      </c>
      <c r="AE111" s="67">
        <v>0</v>
      </c>
      <c r="AF111" s="67">
        <v>0</v>
      </c>
      <c r="AG111" s="67">
        <v>0</v>
      </c>
      <c r="AH111" s="67">
        <v>0</v>
      </c>
      <c r="AI111" s="67">
        <v>0</v>
      </c>
      <c r="AJ111" s="67">
        <v>0</v>
      </c>
      <c r="AK111" s="67">
        <v>0</v>
      </c>
      <c r="AL111" s="67">
        <v>0</v>
      </c>
      <c r="AM111" s="67">
        <v>0</v>
      </c>
      <c r="AN111" s="67">
        <v>0</v>
      </c>
      <c r="AO111" s="67">
        <v>0</v>
      </c>
      <c r="AP111" s="67">
        <v>0</v>
      </c>
      <c r="AQ111" s="67">
        <v>0</v>
      </c>
      <c r="AR111" s="67">
        <v>0</v>
      </c>
      <c r="AS111" s="67">
        <v>0</v>
      </c>
      <c r="AT111" s="67"/>
      <c r="AU111" s="67"/>
      <c r="AV111" s="67"/>
      <c r="AW111" s="67">
        <v>0</v>
      </c>
      <c r="AX111" s="67">
        <v>0</v>
      </c>
      <c r="AY111" s="67"/>
      <c r="AZ111" s="67"/>
      <c r="BA111" s="67"/>
      <c r="BB111" s="67"/>
      <c r="BC111" s="67"/>
      <c r="BD111" s="67"/>
      <c r="BE111" s="67"/>
      <c r="BG111" s="67"/>
      <c r="BH111" s="67"/>
      <c r="BI111" s="67"/>
      <c r="BJ111" s="67">
        <v>0</v>
      </c>
      <c r="BK111" s="67"/>
      <c r="BL111" s="67"/>
      <c r="BP111" s="67"/>
      <c r="BQ111" s="67">
        <v>0</v>
      </c>
      <c r="BR111" s="67"/>
      <c r="BS111" s="67"/>
      <c r="BT111" s="67">
        <v>0</v>
      </c>
      <c r="BU111" s="67"/>
      <c r="BV111" s="67"/>
      <c r="BW111" s="67">
        <v>0</v>
      </c>
      <c r="BX111" s="67">
        <v>0</v>
      </c>
      <c r="BY111" s="67">
        <v>0</v>
      </c>
      <c r="BZ111" s="67">
        <v>0</v>
      </c>
      <c r="CA111" s="67"/>
      <c r="CB111" s="67">
        <v>0</v>
      </c>
      <c r="CC111" s="67"/>
      <c r="CD111" s="67"/>
      <c r="CE111" s="67">
        <v>0</v>
      </c>
      <c r="CF111" s="67">
        <v>0</v>
      </c>
      <c r="CG111" s="67"/>
      <c r="CH111" s="67"/>
      <c r="CI111" s="67"/>
      <c r="CJ111" s="67"/>
      <c r="CK111" s="67">
        <v>0</v>
      </c>
      <c r="CL111" s="67">
        <v>0</v>
      </c>
      <c r="CM111" s="67"/>
      <c r="CN111" s="67"/>
      <c r="CO111" s="67">
        <v>0</v>
      </c>
      <c r="CP111" s="67">
        <v>0</v>
      </c>
      <c r="CQ111" s="67"/>
      <c r="CR111" s="67"/>
      <c r="CS111" s="67"/>
      <c r="CT111" s="67"/>
      <c r="CU111" s="67">
        <v>0</v>
      </c>
      <c r="CV111" s="67"/>
      <c r="CW111" s="67"/>
      <c r="CX111" s="67"/>
      <c r="CY111" s="67">
        <v>0</v>
      </c>
      <c r="CZ111" s="67"/>
      <c r="DA111" s="67"/>
      <c r="DB111" s="67"/>
      <c r="DC111" s="67"/>
      <c r="DF111" s="67"/>
      <c r="DG111" s="67">
        <v>0</v>
      </c>
      <c r="DH111" s="67">
        <v>0</v>
      </c>
      <c r="DI111" s="67">
        <v>0</v>
      </c>
      <c r="DJ111" s="67"/>
      <c r="DK111" s="67">
        <v>0</v>
      </c>
      <c r="DL111" s="67">
        <v>0</v>
      </c>
      <c r="DM111" s="67">
        <v>0</v>
      </c>
      <c r="DN111" s="67"/>
      <c r="DO111" s="67"/>
      <c r="DP111" s="67"/>
      <c r="DQ111" s="67">
        <v>0</v>
      </c>
      <c r="DR111" s="67">
        <v>0</v>
      </c>
      <c r="DS111" s="67"/>
      <c r="DT111" s="67"/>
      <c r="DU111" s="67">
        <v>0</v>
      </c>
      <c r="DV111" s="67">
        <v>0</v>
      </c>
      <c r="DW111" s="67">
        <v>0</v>
      </c>
      <c r="DX111" s="67">
        <v>0</v>
      </c>
      <c r="DY111" s="67"/>
      <c r="DZ111" s="67">
        <v>0</v>
      </c>
      <c r="EA111" s="67"/>
      <c r="EB111" s="67">
        <v>0</v>
      </c>
      <c r="EC111" s="67"/>
      <c r="ED111" s="67">
        <v>0</v>
      </c>
      <c r="EE111" s="67"/>
      <c r="EF111" s="67">
        <v>0</v>
      </c>
      <c r="EG111" s="67"/>
      <c r="EH111" s="67"/>
      <c r="EI111" s="67"/>
      <c r="EJ111" s="67"/>
      <c r="EK111" s="67"/>
      <c r="EL111" s="67"/>
      <c r="EM111" s="67"/>
      <c r="EN111" s="67"/>
      <c r="EO111" s="67"/>
      <c r="EP111" s="67">
        <v>0</v>
      </c>
      <c r="EQ111" s="67">
        <v>0</v>
      </c>
      <c r="ER111" s="67">
        <v>0</v>
      </c>
      <c r="ES111" s="67"/>
      <c r="ET111">
        <v>0</v>
      </c>
      <c r="EX111" s="67"/>
      <c r="EY111" s="67"/>
      <c r="EZ111" s="67"/>
      <c r="FA111" s="67">
        <v>400</v>
      </c>
      <c r="FB111" s="67"/>
      <c r="FC111" s="67"/>
      <c r="FD111" s="67"/>
      <c r="FE111" s="67"/>
      <c r="FF111" s="67"/>
      <c r="FG111" s="67"/>
      <c r="FH111" s="67"/>
      <c r="FI111" s="67" t="s">
        <v>1600</v>
      </c>
    </row>
    <row r="112" spans="2:165" ht="24" x14ac:dyDescent="0.2">
      <c r="B112" s="67" t="s">
        <v>473</v>
      </c>
      <c r="C112" s="67" t="s">
        <v>473</v>
      </c>
      <c r="D112" s="67" t="s">
        <v>474</v>
      </c>
      <c r="E112" s="67" t="s">
        <v>13</v>
      </c>
      <c r="F112" s="67" t="s">
        <v>1109</v>
      </c>
      <c r="G112" s="67" t="s">
        <v>1597</v>
      </c>
      <c r="H112" s="67"/>
      <c r="I112" s="67" t="s">
        <v>41</v>
      </c>
      <c r="J112" s="67" t="s">
        <v>68</v>
      </c>
      <c r="K112" s="67" t="s">
        <v>1659</v>
      </c>
      <c r="L112" s="67" t="s">
        <v>751</v>
      </c>
      <c r="M112" s="67" t="s">
        <v>752</v>
      </c>
      <c r="N112" s="67" t="s">
        <v>1598</v>
      </c>
      <c r="O112" s="67" t="s">
        <v>1599</v>
      </c>
      <c r="P112" s="67"/>
      <c r="Q112" s="67">
        <v>220</v>
      </c>
      <c r="R112" s="67">
        <v>0</v>
      </c>
      <c r="S112" s="67">
        <v>0</v>
      </c>
      <c r="T112" s="67">
        <v>0</v>
      </c>
      <c r="U112" s="67">
        <v>0</v>
      </c>
      <c r="V112" s="67">
        <v>0</v>
      </c>
      <c r="W112" s="67">
        <v>0</v>
      </c>
      <c r="X112" s="67">
        <v>0</v>
      </c>
      <c r="Y112" s="67">
        <v>0</v>
      </c>
      <c r="Z112" s="67">
        <v>0</v>
      </c>
      <c r="AA112" s="67">
        <v>0</v>
      </c>
      <c r="AB112" s="67">
        <v>0</v>
      </c>
      <c r="AC112" s="67">
        <v>0</v>
      </c>
      <c r="AD112" s="67">
        <v>220</v>
      </c>
      <c r="AE112" s="67">
        <v>0</v>
      </c>
      <c r="AF112" s="67">
        <v>0</v>
      </c>
      <c r="AG112" s="67">
        <v>0</v>
      </c>
      <c r="AH112" s="67">
        <v>0</v>
      </c>
      <c r="AI112" s="67">
        <v>0</v>
      </c>
      <c r="AJ112" s="67">
        <v>0</v>
      </c>
      <c r="AK112" s="67">
        <v>0</v>
      </c>
      <c r="AL112" s="67">
        <v>0</v>
      </c>
      <c r="AM112" s="67">
        <v>0</v>
      </c>
      <c r="AN112" s="67">
        <v>0</v>
      </c>
      <c r="AO112" s="67">
        <v>0</v>
      </c>
      <c r="AP112" s="67">
        <v>0</v>
      </c>
      <c r="AQ112" s="67">
        <v>0</v>
      </c>
      <c r="AR112" s="67">
        <v>0</v>
      </c>
      <c r="AS112" s="67">
        <v>0</v>
      </c>
      <c r="AT112" s="67"/>
      <c r="AU112" s="67"/>
      <c r="AV112" s="67"/>
      <c r="AW112" s="67">
        <v>0</v>
      </c>
      <c r="AX112" s="67">
        <v>0</v>
      </c>
      <c r="AY112" s="67"/>
      <c r="AZ112" s="67"/>
      <c r="BA112" s="67"/>
      <c r="BB112" s="67"/>
      <c r="BC112" s="67"/>
      <c r="BD112" s="67"/>
      <c r="BE112" s="67"/>
      <c r="BG112" s="67"/>
      <c r="BH112" s="67"/>
      <c r="BI112" s="67"/>
      <c r="BJ112" s="67">
        <v>0</v>
      </c>
      <c r="BK112" s="67"/>
      <c r="BL112" s="67"/>
      <c r="BP112" s="67"/>
      <c r="BQ112" s="67">
        <v>0</v>
      </c>
      <c r="BR112" s="67"/>
      <c r="BS112" s="67"/>
      <c r="BT112" s="67">
        <v>0</v>
      </c>
      <c r="BU112" s="67"/>
      <c r="BV112" s="67"/>
      <c r="BW112" s="67">
        <v>0</v>
      </c>
      <c r="BX112" s="67">
        <v>0</v>
      </c>
      <c r="BY112" s="67">
        <v>0</v>
      </c>
      <c r="BZ112" s="67">
        <v>0</v>
      </c>
      <c r="CA112" s="67"/>
      <c r="CB112" s="67">
        <v>0</v>
      </c>
      <c r="CC112" s="67"/>
      <c r="CD112" s="67"/>
      <c r="CE112" s="67">
        <v>0</v>
      </c>
      <c r="CF112" s="67">
        <v>0</v>
      </c>
      <c r="CG112" s="67"/>
      <c r="CH112" s="67"/>
      <c r="CI112" s="67"/>
      <c r="CJ112" s="67"/>
      <c r="CK112" s="67">
        <v>0</v>
      </c>
      <c r="CL112" s="67">
        <v>0</v>
      </c>
      <c r="CM112" s="67"/>
      <c r="CN112" s="67"/>
      <c r="CO112" s="67">
        <v>0</v>
      </c>
      <c r="CP112" s="67">
        <v>0</v>
      </c>
      <c r="CQ112" s="67"/>
      <c r="CR112" s="67"/>
      <c r="CS112" s="67"/>
      <c r="CT112" s="67"/>
      <c r="CU112" s="67">
        <v>0</v>
      </c>
      <c r="CV112" s="67"/>
      <c r="CW112" s="67"/>
      <c r="CX112" s="67"/>
      <c r="CY112" s="67">
        <v>0</v>
      </c>
      <c r="CZ112" s="67"/>
      <c r="DA112" s="67"/>
      <c r="DB112" s="67"/>
      <c r="DC112" s="67"/>
      <c r="DF112" s="67"/>
      <c r="DG112" s="67">
        <v>0</v>
      </c>
      <c r="DH112" s="67">
        <v>0</v>
      </c>
      <c r="DI112" s="67">
        <v>0</v>
      </c>
      <c r="DJ112" s="67"/>
      <c r="DK112" s="67">
        <v>0</v>
      </c>
      <c r="DL112" s="67">
        <v>0</v>
      </c>
      <c r="DM112" s="67">
        <v>0</v>
      </c>
      <c r="DN112" s="67"/>
      <c r="DO112" s="67"/>
      <c r="DP112" s="67"/>
      <c r="DQ112" s="67">
        <v>0</v>
      </c>
      <c r="DR112" s="67">
        <v>0</v>
      </c>
      <c r="DS112" s="67"/>
      <c r="DT112" s="67"/>
      <c r="DU112" s="67">
        <v>0</v>
      </c>
      <c r="DV112" s="67">
        <v>0</v>
      </c>
      <c r="DW112" s="67">
        <v>0</v>
      </c>
      <c r="DX112" s="67">
        <v>0</v>
      </c>
      <c r="DY112" s="67"/>
      <c r="DZ112" s="67">
        <v>0</v>
      </c>
      <c r="EA112" s="67"/>
      <c r="EB112" s="67">
        <v>0</v>
      </c>
      <c r="EC112" s="67"/>
      <c r="ED112" s="67">
        <v>0</v>
      </c>
      <c r="EE112" s="67"/>
      <c r="EF112" s="67">
        <v>0</v>
      </c>
      <c r="EG112" s="67"/>
      <c r="EH112" s="67"/>
      <c r="EI112" s="67"/>
      <c r="EJ112" s="67"/>
      <c r="EK112" s="67"/>
      <c r="EL112" s="67"/>
      <c r="EM112" s="67"/>
      <c r="EN112" s="67"/>
      <c r="EO112" s="67"/>
      <c r="EP112" s="67">
        <v>0</v>
      </c>
      <c r="EQ112" s="67">
        <v>0</v>
      </c>
      <c r="ER112" s="67">
        <v>0</v>
      </c>
      <c r="ES112" s="67"/>
      <c r="ET112">
        <v>0</v>
      </c>
      <c r="EX112" s="67"/>
      <c r="EY112" s="67"/>
      <c r="EZ112" s="67"/>
      <c r="FA112" s="67">
        <v>220</v>
      </c>
      <c r="FB112" s="67"/>
      <c r="FC112" s="67"/>
      <c r="FD112" s="67"/>
      <c r="FE112" s="67"/>
      <c r="FF112" s="67"/>
      <c r="FG112" s="67"/>
      <c r="FH112" s="67"/>
      <c r="FI112" s="67" t="s">
        <v>1600</v>
      </c>
    </row>
    <row r="113" spans="2:165" ht="24" x14ac:dyDescent="0.2">
      <c r="B113" s="67" t="s">
        <v>475</v>
      </c>
      <c r="C113" s="67" t="s">
        <v>475</v>
      </c>
      <c r="D113" s="67" t="s">
        <v>476</v>
      </c>
      <c r="E113" s="67" t="s">
        <v>13</v>
      </c>
      <c r="F113" s="67" t="s">
        <v>1109</v>
      </c>
      <c r="G113" s="67" t="s">
        <v>1597</v>
      </c>
      <c r="H113" s="67"/>
      <c r="I113" s="67" t="s">
        <v>41</v>
      </c>
      <c r="J113" s="67" t="s">
        <v>68</v>
      </c>
      <c r="K113" s="67" t="s">
        <v>1659</v>
      </c>
      <c r="L113" s="67" t="s">
        <v>751</v>
      </c>
      <c r="M113" s="67" t="s">
        <v>752</v>
      </c>
      <c r="N113" s="67" t="s">
        <v>1598</v>
      </c>
      <c r="O113" s="67" t="s">
        <v>1599</v>
      </c>
      <c r="P113" s="67"/>
      <c r="Q113" s="67">
        <v>400</v>
      </c>
      <c r="R113" s="67">
        <v>0</v>
      </c>
      <c r="S113" s="67">
        <v>0</v>
      </c>
      <c r="T113" s="67">
        <v>0</v>
      </c>
      <c r="U113" s="67">
        <v>0</v>
      </c>
      <c r="V113" s="67">
        <v>0</v>
      </c>
      <c r="W113" s="67">
        <v>0</v>
      </c>
      <c r="X113" s="67">
        <v>0</v>
      </c>
      <c r="Y113" s="67">
        <v>0</v>
      </c>
      <c r="Z113" s="67">
        <v>0</v>
      </c>
      <c r="AA113" s="67">
        <v>0</v>
      </c>
      <c r="AB113" s="67">
        <v>0</v>
      </c>
      <c r="AC113" s="67">
        <v>0</v>
      </c>
      <c r="AD113" s="67">
        <v>400</v>
      </c>
      <c r="AE113" s="67">
        <v>0</v>
      </c>
      <c r="AF113" s="67">
        <v>0</v>
      </c>
      <c r="AG113" s="67">
        <v>0</v>
      </c>
      <c r="AH113" s="67">
        <v>0</v>
      </c>
      <c r="AI113" s="67">
        <v>0</v>
      </c>
      <c r="AJ113" s="67">
        <v>0</v>
      </c>
      <c r="AK113" s="67">
        <v>0</v>
      </c>
      <c r="AL113" s="67">
        <v>0</v>
      </c>
      <c r="AM113" s="67">
        <v>0</v>
      </c>
      <c r="AN113" s="67">
        <v>0</v>
      </c>
      <c r="AO113" s="67">
        <v>0</v>
      </c>
      <c r="AP113" s="67">
        <v>0</v>
      </c>
      <c r="AQ113" s="67">
        <v>0</v>
      </c>
      <c r="AR113" s="67">
        <v>0</v>
      </c>
      <c r="AS113" s="67">
        <v>0</v>
      </c>
      <c r="AT113" s="67"/>
      <c r="AU113" s="67"/>
      <c r="AV113" s="67"/>
      <c r="AW113" s="67">
        <v>0</v>
      </c>
      <c r="AX113" s="67">
        <v>0</v>
      </c>
      <c r="AY113" s="67"/>
      <c r="AZ113" s="67"/>
      <c r="BA113" s="67"/>
      <c r="BB113" s="67"/>
      <c r="BC113" s="67"/>
      <c r="BD113" s="67"/>
      <c r="BE113" s="67"/>
      <c r="BG113" s="67"/>
      <c r="BH113" s="67"/>
      <c r="BI113" s="67"/>
      <c r="BJ113" s="67">
        <v>0</v>
      </c>
      <c r="BK113" s="67"/>
      <c r="BL113" s="67"/>
      <c r="BP113" s="67"/>
      <c r="BQ113" s="67">
        <v>0</v>
      </c>
      <c r="BR113" s="67"/>
      <c r="BS113" s="67"/>
      <c r="BT113" s="67">
        <v>0</v>
      </c>
      <c r="BU113" s="67"/>
      <c r="BV113" s="67"/>
      <c r="BW113" s="67">
        <v>0</v>
      </c>
      <c r="BX113" s="67">
        <v>0</v>
      </c>
      <c r="BY113" s="67">
        <v>0</v>
      </c>
      <c r="BZ113" s="67">
        <v>0</v>
      </c>
      <c r="CA113" s="67"/>
      <c r="CB113" s="67">
        <v>0</v>
      </c>
      <c r="CC113" s="67"/>
      <c r="CD113" s="67"/>
      <c r="CE113" s="67">
        <v>0</v>
      </c>
      <c r="CF113" s="67">
        <v>0</v>
      </c>
      <c r="CG113" s="67"/>
      <c r="CH113" s="67"/>
      <c r="CI113" s="67"/>
      <c r="CJ113" s="67"/>
      <c r="CK113" s="67">
        <v>0</v>
      </c>
      <c r="CL113" s="67">
        <v>0</v>
      </c>
      <c r="CM113" s="67"/>
      <c r="CN113" s="67"/>
      <c r="CO113" s="67">
        <v>0</v>
      </c>
      <c r="CP113" s="67">
        <v>0</v>
      </c>
      <c r="CQ113" s="67"/>
      <c r="CR113" s="67"/>
      <c r="CS113" s="67"/>
      <c r="CT113" s="67"/>
      <c r="CU113" s="67">
        <v>0</v>
      </c>
      <c r="CV113" s="67"/>
      <c r="CW113" s="67"/>
      <c r="CX113" s="67"/>
      <c r="CY113" s="67">
        <v>0</v>
      </c>
      <c r="CZ113" s="67"/>
      <c r="DA113" s="67"/>
      <c r="DB113" s="67"/>
      <c r="DC113" s="67"/>
      <c r="DF113" s="67"/>
      <c r="DG113" s="67">
        <v>0</v>
      </c>
      <c r="DH113" s="67">
        <v>0</v>
      </c>
      <c r="DI113" s="67">
        <v>0</v>
      </c>
      <c r="DJ113" s="67"/>
      <c r="DK113" s="67">
        <v>0</v>
      </c>
      <c r="DL113" s="67">
        <v>0</v>
      </c>
      <c r="DM113" s="67">
        <v>0</v>
      </c>
      <c r="DN113" s="67"/>
      <c r="DO113" s="67"/>
      <c r="DP113" s="67"/>
      <c r="DQ113" s="67">
        <v>0</v>
      </c>
      <c r="DR113" s="67">
        <v>0</v>
      </c>
      <c r="DS113" s="67"/>
      <c r="DT113" s="67"/>
      <c r="DU113" s="67">
        <v>0</v>
      </c>
      <c r="DV113" s="67">
        <v>0</v>
      </c>
      <c r="DW113" s="67">
        <v>0</v>
      </c>
      <c r="DX113" s="67">
        <v>0</v>
      </c>
      <c r="DY113" s="67"/>
      <c r="DZ113" s="67">
        <v>0</v>
      </c>
      <c r="EA113" s="67"/>
      <c r="EB113" s="67">
        <v>0</v>
      </c>
      <c r="EC113" s="67"/>
      <c r="ED113" s="67">
        <v>0</v>
      </c>
      <c r="EE113" s="67"/>
      <c r="EF113" s="67">
        <v>0</v>
      </c>
      <c r="EG113" s="67"/>
      <c r="EH113" s="67"/>
      <c r="EI113" s="67"/>
      <c r="EJ113" s="67"/>
      <c r="EK113" s="67"/>
      <c r="EL113" s="67"/>
      <c r="EM113" s="67"/>
      <c r="EN113" s="67"/>
      <c r="EO113" s="67"/>
      <c r="EP113" s="67">
        <v>0</v>
      </c>
      <c r="EQ113" s="67">
        <v>0</v>
      </c>
      <c r="ER113" s="67">
        <v>0</v>
      </c>
      <c r="ES113" s="67"/>
      <c r="ET113">
        <v>0</v>
      </c>
      <c r="EX113" s="67"/>
      <c r="EY113" s="67"/>
      <c r="EZ113" s="67"/>
      <c r="FA113" s="67">
        <v>400</v>
      </c>
      <c r="FB113" s="67"/>
      <c r="FC113" s="67"/>
      <c r="FD113" s="67"/>
      <c r="FE113" s="67"/>
      <c r="FF113" s="67"/>
      <c r="FG113" s="67"/>
      <c r="FH113" s="67"/>
      <c r="FI113" s="67" t="s">
        <v>1600</v>
      </c>
    </row>
    <row r="114" spans="2:165" ht="24" x14ac:dyDescent="0.2">
      <c r="B114" s="67" t="s">
        <v>477</v>
      </c>
      <c r="C114" s="67" t="s">
        <v>477</v>
      </c>
      <c r="D114" s="67" t="s">
        <v>478</v>
      </c>
      <c r="E114" s="67" t="s">
        <v>13</v>
      </c>
      <c r="F114" s="67" t="s">
        <v>1109</v>
      </c>
      <c r="G114" s="67" t="s">
        <v>1597</v>
      </c>
      <c r="H114" s="67"/>
      <c r="I114" s="67" t="s">
        <v>41</v>
      </c>
      <c r="J114" s="67" t="s">
        <v>68</v>
      </c>
      <c r="K114" s="67" t="s">
        <v>1659</v>
      </c>
      <c r="L114" s="67" t="s">
        <v>751</v>
      </c>
      <c r="M114" s="67" t="s">
        <v>752</v>
      </c>
      <c r="N114" s="67" t="s">
        <v>1598</v>
      </c>
      <c r="O114" s="67" t="s">
        <v>1608</v>
      </c>
      <c r="P114" s="67"/>
      <c r="Q114" s="67">
        <v>400</v>
      </c>
      <c r="R114" s="67">
        <v>0</v>
      </c>
      <c r="S114" s="67">
        <v>0</v>
      </c>
      <c r="T114" s="67">
        <v>0</v>
      </c>
      <c r="U114" s="67">
        <v>0</v>
      </c>
      <c r="V114" s="67">
        <v>0</v>
      </c>
      <c r="W114" s="67">
        <v>0</v>
      </c>
      <c r="X114" s="67">
        <v>0</v>
      </c>
      <c r="Y114" s="67">
        <v>0</v>
      </c>
      <c r="Z114" s="67">
        <v>0</v>
      </c>
      <c r="AA114" s="67">
        <v>0</v>
      </c>
      <c r="AB114" s="67">
        <v>0</v>
      </c>
      <c r="AC114" s="67">
        <v>0</v>
      </c>
      <c r="AD114" s="67">
        <v>400</v>
      </c>
      <c r="AE114" s="67">
        <v>0</v>
      </c>
      <c r="AF114" s="67">
        <v>0</v>
      </c>
      <c r="AG114" s="67">
        <v>0</v>
      </c>
      <c r="AH114" s="67">
        <v>0</v>
      </c>
      <c r="AI114" s="67">
        <v>0</v>
      </c>
      <c r="AJ114" s="67">
        <v>0</v>
      </c>
      <c r="AK114" s="67">
        <v>0</v>
      </c>
      <c r="AL114" s="67">
        <v>0</v>
      </c>
      <c r="AM114" s="67">
        <v>0</v>
      </c>
      <c r="AN114" s="67">
        <v>0</v>
      </c>
      <c r="AO114" s="67">
        <v>0</v>
      </c>
      <c r="AP114" s="67">
        <v>0</v>
      </c>
      <c r="AQ114" s="67">
        <v>0</v>
      </c>
      <c r="AR114" s="67">
        <v>0</v>
      </c>
      <c r="AS114" s="67">
        <v>0</v>
      </c>
      <c r="AT114" s="67"/>
      <c r="AU114" s="67"/>
      <c r="AV114" s="67"/>
      <c r="AW114" s="67">
        <v>0</v>
      </c>
      <c r="AX114" s="67">
        <v>0</v>
      </c>
      <c r="AY114" s="67"/>
      <c r="AZ114" s="67"/>
      <c r="BA114" s="67"/>
      <c r="BB114" s="67"/>
      <c r="BC114" s="67"/>
      <c r="BD114" s="67"/>
      <c r="BE114" s="67"/>
      <c r="BG114" s="67"/>
      <c r="BH114" s="67"/>
      <c r="BI114" s="67"/>
      <c r="BJ114" s="67">
        <v>0</v>
      </c>
      <c r="BK114" s="67"/>
      <c r="BL114" s="67"/>
      <c r="BP114" s="67"/>
      <c r="BQ114" s="67">
        <v>0</v>
      </c>
      <c r="BR114" s="67"/>
      <c r="BS114" s="67"/>
      <c r="BT114" s="67">
        <v>0</v>
      </c>
      <c r="BU114" s="67"/>
      <c r="BV114" s="67"/>
      <c r="BW114" s="67">
        <v>0</v>
      </c>
      <c r="BX114" s="67">
        <v>0</v>
      </c>
      <c r="BY114" s="67">
        <v>0</v>
      </c>
      <c r="BZ114" s="67">
        <v>0</v>
      </c>
      <c r="CA114" s="67"/>
      <c r="CB114" s="67">
        <v>0</v>
      </c>
      <c r="CC114" s="67"/>
      <c r="CD114" s="67"/>
      <c r="CE114" s="67">
        <v>0</v>
      </c>
      <c r="CF114" s="67">
        <v>0</v>
      </c>
      <c r="CG114" s="67"/>
      <c r="CH114" s="67"/>
      <c r="CI114" s="67"/>
      <c r="CJ114" s="67"/>
      <c r="CK114" s="67">
        <v>0</v>
      </c>
      <c r="CL114" s="67">
        <v>0</v>
      </c>
      <c r="CM114" s="67"/>
      <c r="CN114" s="67"/>
      <c r="CO114" s="67">
        <v>0</v>
      </c>
      <c r="CP114" s="67">
        <v>0</v>
      </c>
      <c r="CQ114" s="67"/>
      <c r="CR114" s="67"/>
      <c r="CS114" s="67"/>
      <c r="CT114" s="67"/>
      <c r="CU114" s="67">
        <v>0</v>
      </c>
      <c r="CV114" s="67"/>
      <c r="CW114" s="67"/>
      <c r="CX114" s="67"/>
      <c r="CY114" s="67">
        <v>0</v>
      </c>
      <c r="CZ114" s="67"/>
      <c r="DA114" s="67"/>
      <c r="DB114" s="67"/>
      <c r="DC114" s="67"/>
      <c r="DF114" s="67"/>
      <c r="DG114" s="67">
        <v>0</v>
      </c>
      <c r="DH114" s="67">
        <v>0</v>
      </c>
      <c r="DI114" s="67">
        <v>0</v>
      </c>
      <c r="DJ114" s="67"/>
      <c r="DK114" s="67">
        <v>0</v>
      </c>
      <c r="DL114" s="67">
        <v>0</v>
      </c>
      <c r="DM114" s="67">
        <v>0</v>
      </c>
      <c r="DN114" s="67"/>
      <c r="DO114" s="67"/>
      <c r="DP114" s="67"/>
      <c r="DQ114" s="67">
        <v>0</v>
      </c>
      <c r="DR114" s="67">
        <v>0</v>
      </c>
      <c r="DS114" s="67"/>
      <c r="DT114" s="67"/>
      <c r="DU114" s="67">
        <v>0</v>
      </c>
      <c r="DV114" s="67">
        <v>0</v>
      </c>
      <c r="DW114" s="67">
        <v>0</v>
      </c>
      <c r="DX114" s="67">
        <v>0</v>
      </c>
      <c r="DY114" s="67"/>
      <c r="DZ114" s="67">
        <v>0</v>
      </c>
      <c r="EA114" s="67"/>
      <c r="EB114" s="67">
        <v>0</v>
      </c>
      <c r="EC114" s="67"/>
      <c r="ED114" s="67">
        <v>0</v>
      </c>
      <c r="EE114" s="67"/>
      <c r="EF114" s="67">
        <v>0</v>
      </c>
      <c r="EG114" s="67"/>
      <c r="EH114" s="67"/>
      <c r="EI114" s="67"/>
      <c r="EJ114" s="67"/>
      <c r="EK114" s="67"/>
      <c r="EL114" s="67"/>
      <c r="EM114" s="67"/>
      <c r="EN114" s="67"/>
      <c r="EO114" s="67"/>
      <c r="EP114" s="67">
        <v>0</v>
      </c>
      <c r="EQ114" s="67">
        <v>0</v>
      </c>
      <c r="ER114" s="67">
        <v>0</v>
      </c>
      <c r="ES114" s="67"/>
      <c r="ET114">
        <v>0</v>
      </c>
      <c r="EX114" s="67"/>
      <c r="EY114" s="67"/>
      <c r="EZ114" s="67"/>
      <c r="FA114" s="67">
        <v>400</v>
      </c>
      <c r="FB114" s="67"/>
      <c r="FC114" s="67"/>
      <c r="FD114" s="67"/>
      <c r="FE114" s="67"/>
      <c r="FF114" s="67"/>
      <c r="FG114" s="67"/>
      <c r="FH114" s="67"/>
      <c r="FI114" s="67" t="s">
        <v>1600</v>
      </c>
    </row>
    <row r="115" spans="2:165" ht="24" x14ac:dyDescent="0.2">
      <c r="B115" s="67" t="s">
        <v>479</v>
      </c>
      <c r="C115" s="67" t="s">
        <v>479</v>
      </c>
      <c r="D115" s="67" t="s">
        <v>480</v>
      </c>
      <c r="E115" s="67" t="s">
        <v>13</v>
      </c>
      <c r="F115" s="67" t="s">
        <v>1109</v>
      </c>
      <c r="G115" s="67" t="s">
        <v>1597</v>
      </c>
      <c r="H115" s="67"/>
      <c r="I115" s="67" t="s">
        <v>41</v>
      </c>
      <c r="J115" s="67" t="s">
        <v>68</v>
      </c>
      <c r="K115" s="67" t="s">
        <v>1659</v>
      </c>
      <c r="L115" s="67" t="s">
        <v>751</v>
      </c>
      <c r="M115" s="67" t="s">
        <v>752</v>
      </c>
      <c r="N115" s="67" t="s">
        <v>1598</v>
      </c>
      <c r="O115" s="67" t="s">
        <v>1606</v>
      </c>
      <c r="P115" s="67"/>
      <c r="Q115" s="67">
        <v>400</v>
      </c>
      <c r="R115" s="67">
        <v>0</v>
      </c>
      <c r="S115" s="67">
        <v>0</v>
      </c>
      <c r="T115" s="67">
        <v>0</v>
      </c>
      <c r="U115" s="67">
        <v>0</v>
      </c>
      <c r="V115" s="67">
        <v>0</v>
      </c>
      <c r="W115" s="67">
        <v>0</v>
      </c>
      <c r="X115" s="67">
        <v>0</v>
      </c>
      <c r="Y115" s="67">
        <v>0</v>
      </c>
      <c r="Z115" s="67">
        <v>0</v>
      </c>
      <c r="AA115" s="67">
        <v>0</v>
      </c>
      <c r="AB115" s="67">
        <v>0</v>
      </c>
      <c r="AC115" s="67">
        <v>0</v>
      </c>
      <c r="AD115" s="67">
        <v>400</v>
      </c>
      <c r="AE115" s="67">
        <v>0</v>
      </c>
      <c r="AF115" s="67">
        <v>0</v>
      </c>
      <c r="AG115" s="67">
        <v>0</v>
      </c>
      <c r="AH115" s="67">
        <v>0</v>
      </c>
      <c r="AI115" s="67">
        <v>0</v>
      </c>
      <c r="AJ115" s="67">
        <v>0</v>
      </c>
      <c r="AK115" s="67">
        <v>0</v>
      </c>
      <c r="AL115" s="67">
        <v>0</v>
      </c>
      <c r="AM115" s="67">
        <v>0</v>
      </c>
      <c r="AN115" s="67">
        <v>0</v>
      </c>
      <c r="AO115" s="67">
        <v>0</v>
      </c>
      <c r="AP115" s="67">
        <v>0</v>
      </c>
      <c r="AQ115" s="67">
        <v>0</v>
      </c>
      <c r="AR115" s="67">
        <v>0</v>
      </c>
      <c r="AS115" s="67">
        <v>0</v>
      </c>
      <c r="AT115" s="67"/>
      <c r="AU115" s="67"/>
      <c r="AV115" s="67"/>
      <c r="AW115" s="67">
        <v>0</v>
      </c>
      <c r="AX115" s="67">
        <v>0</v>
      </c>
      <c r="AY115" s="67"/>
      <c r="AZ115" s="67"/>
      <c r="BA115" s="67"/>
      <c r="BB115" s="67"/>
      <c r="BC115" s="67"/>
      <c r="BD115" s="67"/>
      <c r="BE115" s="67"/>
      <c r="BG115" s="67"/>
      <c r="BH115" s="67"/>
      <c r="BI115" s="67"/>
      <c r="BJ115" s="67">
        <v>0</v>
      </c>
      <c r="BK115" s="67"/>
      <c r="BL115" s="67"/>
      <c r="BP115" s="67"/>
      <c r="BQ115" s="67">
        <v>0</v>
      </c>
      <c r="BR115" s="67"/>
      <c r="BS115" s="67"/>
      <c r="BT115" s="67">
        <v>0</v>
      </c>
      <c r="BU115" s="67"/>
      <c r="BV115" s="67"/>
      <c r="BW115" s="67">
        <v>0</v>
      </c>
      <c r="BX115" s="67">
        <v>0</v>
      </c>
      <c r="BY115" s="67">
        <v>0</v>
      </c>
      <c r="BZ115" s="67">
        <v>0</v>
      </c>
      <c r="CA115" s="67"/>
      <c r="CB115" s="67">
        <v>0</v>
      </c>
      <c r="CC115" s="67"/>
      <c r="CD115" s="67"/>
      <c r="CE115" s="67">
        <v>0</v>
      </c>
      <c r="CF115" s="67">
        <v>0</v>
      </c>
      <c r="CG115" s="67"/>
      <c r="CH115" s="67"/>
      <c r="CI115" s="67"/>
      <c r="CJ115" s="67"/>
      <c r="CK115" s="67">
        <v>0</v>
      </c>
      <c r="CL115" s="67">
        <v>0</v>
      </c>
      <c r="CM115" s="67"/>
      <c r="CN115" s="67"/>
      <c r="CO115" s="67">
        <v>0</v>
      </c>
      <c r="CP115" s="67">
        <v>0</v>
      </c>
      <c r="CQ115" s="67"/>
      <c r="CR115" s="67"/>
      <c r="CS115" s="67"/>
      <c r="CT115" s="67"/>
      <c r="CU115" s="67">
        <v>0</v>
      </c>
      <c r="CV115" s="67"/>
      <c r="CW115" s="67"/>
      <c r="CX115" s="67"/>
      <c r="CY115" s="67">
        <v>0</v>
      </c>
      <c r="CZ115" s="67"/>
      <c r="DA115" s="67"/>
      <c r="DB115" s="67"/>
      <c r="DC115" s="67"/>
      <c r="DF115" s="67"/>
      <c r="DG115" s="67">
        <v>0</v>
      </c>
      <c r="DH115" s="67">
        <v>0</v>
      </c>
      <c r="DI115" s="67">
        <v>0</v>
      </c>
      <c r="DJ115" s="67"/>
      <c r="DK115" s="67">
        <v>0</v>
      </c>
      <c r="DL115" s="67">
        <v>0</v>
      </c>
      <c r="DM115" s="67">
        <v>0</v>
      </c>
      <c r="DN115" s="67"/>
      <c r="DO115" s="67"/>
      <c r="DP115" s="67"/>
      <c r="DQ115" s="67">
        <v>0</v>
      </c>
      <c r="DR115" s="67">
        <v>0</v>
      </c>
      <c r="DS115" s="67"/>
      <c r="DT115" s="67"/>
      <c r="DU115" s="67">
        <v>0</v>
      </c>
      <c r="DV115" s="67">
        <v>0</v>
      </c>
      <c r="DW115" s="67">
        <v>0</v>
      </c>
      <c r="DX115" s="67">
        <v>0</v>
      </c>
      <c r="DY115" s="67"/>
      <c r="DZ115" s="67">
        <v>0</v>
      </c>
      <c r="EA115" s="67"/>
      <c r="EB115" s="67">
        <v>0</v>
      </c>
      <c r="EC115" s="67"/>
      <c r="ED115" s="67">
        <v>0</v>
      </c>
      <c r="EE115" s="67"/>
      <c r="EF115" s="67">
        <v>0</v>
      </c>
      <c r="EG115" s="67"/>
      <c r="EH115" s="67"/>
      <c r="EI115" s="67"/>
      <c r="EJ115" s="67"/>
      <c r="EK115" s="67"/>
      <c r="EL115" s="67"/>
      <c r="EM115" s="67"/>
      <c r="EN115" s="67"/>
      <c r="EO115" s="67"/>
      <c r="EP115" s="67">
        <v>0</v>
      </c>
      <c r="EQ115" s="67">
        <v>0</v>
      </c>
      <c r="ER115" s="67">
        <v>0</v>
      </c>
      <c r="ES115" s="67"/>
      <c r="ET115">
        <v>0</v>
      </c>
      <c r="EX115" s="67"/>
      <c r="EY115" s="67"/>
      <c r="EZ115" s="67"/>
      <c r="FA115" s="67">
        <v>400</v>
      </c>
      <c r="FB115" s="67"/>
      <c r="FC115" s="67"/>
      <c r="FD115" s="67"/>
      <c r="FE115" s="67"/>
      <c r="FF115" s="67"/>
      <c r="FG115" s="67"/>
      <c r="FH115" s="67"/>
      <c r="FI115" s="67" t="s">
        <v>1600</v>
      </c>
    </row>
    <row r="116" spans="2:165" x14ac:dyDescent="0.2">
      <c r="B116" s="67" t="s">
        <v>481</v>
      </c>
      <c r="C116" s="67" t="s">
        <v>481</v>
      </c>
      <c r="D116" s="67" t="s">
        <v>482</v>
      </c>
      <c r="E116" s="67" t="s">
        <v>35</v>
      </c>
      <c r="F116" s="67" t="s">
        <v>1109</v>
      </c>
      <c r="G116" s="67" t="s">
        <v>1597</v>
      </c>
      <c r="H116" s="67"/>
      <c r="I116" s="67" t="s">
        <v>41</v>
      </c>
      <c r="J116" s="67" t="s">
        <v>68</v>
      </c>
      <c r="K116" s="67" t="s">
        <v>1659</v>
      </c>
      <c r="L116" s="67" t="s">
        <v>751</v>
      </c>
      <c r="M116" s="67" t="s">
        <v>752</v>
      </c>
      <c r="N116" s="67" t="s">
        <v>1598</v>
      </c>
      <c r="O116" s="67" t="s">
        <v>1599</v>
      </c>
      <c r="P116" s="67"/>
      <c r="Q116" s="67">
        <v>3192</v>
      </c>
      <c r="R116" s="67">
        <v>0</v>
      </c>
      <c r="S116" s="67">
        <v>0</v>
      </c>
      <c r="T116" s="67">
        <v>0</v>
      </c>
      <c r="U116" s="67">
        <v>0</v>
      </c>
      <c r="V116" s="67">
        <v>0</v>
      </c>
      <c r="W116" s="67">
        <v>0</v>
      </c>
      <c r="X116" s="67">
        <v>0</v>
      </c>
      <c r="Y116" s="67">
        <v>0</v>
      </c>
      <c r="Z116" s="67">
        <v>0</v>
      </c>
      <c r="AA116" s="67">
        <v>0</v>
      </c>
      <c r="AB116" s="67">
        <v>0</v>
      </c>
      <c r="AC116" s="67">
        <v>0</v>
      </c>
      <c r="AD116" s="67">
        <v>3192</v>
      </c>
      <c r="AE116" s="67">
        <v>0</v>
      </c>
      <c r="AF116" s="67">
        <v>0</v>
      </c>
      <c r="AG116" s="67">
        <v>0</v>
      </c>
      <c r="AH116" s="67">
        <v>0</v>
      </c>
      <c r="AI116" s="67">
        <v>0</v>
      </c>
      <c r="AJ116" s="67">
        <v>0</v>
      </c>
      <c r="AK116" s="67">
        <v>0</v>
      </c>
      <c r="AL116" s="67">
        <v>0</v>
      </c>
      <c r="AM116" s="67">
        <v>0</v>
      </c>
      <c r="AN116" s="67">
        <v>0</v>
      </c>
      <c r="AO116" s="67">
        <v>0</v>
      </c>
      <c r="AP116" s="67">
        <v>0</v>
      </c>
      <c r="AQ116" s="67">
        <v>0</v>
      </c>
      <c r="AR116" s="67">
        <v>0</v>
      </c>
      <c r="AS116" s="67">
        <v>0</v>
      </c>
      <c r="AT116" s="67"/>
      <c r="AU116" s="67"/>
      <c r="AV116" s="67"/>
      <c r="AW116" s="67">
        <v>0</v>
      </c>
      <c r="AX116" s="67">
        <v>0</v>
      </c>
      <c r="AY116" s="67"/>
      <c r="AZ116" s="67"/>
      <c r="BA116" s="67"/>
      <c r="BB116" s="67"/>
      <c r="BC116" s="67"/>
      <c r="BD116" s="67"/>
      <c r="BE116" s="67"/>
      <c r="BG116" s="67"/>
      <c r="BH116" s="67"/>
      <c r="BI116" s="67"/>
      <c r="BJ116" s="67">
        <v>0</v>
      </c>
      <c r="BK116" s="67"/>
      <c r="BL116" s="67"/>
      <c r="BP116" s="67"/>
      <c r="BQ116" s="67">
        <v>0</v>
      </c>
      <c r="BR116" s="67"/>
      <c r="BS116" s="67"/>
      <c r="BT116" s="67">
        <v>0</v>
      </c>
      <c r="BU116" s="67"/>
      <c r="BV116" s="67"/>
      <c r="BW116" s="67">
        <v>0</v>
      </c>
      <c r="BX116" s="67">
        <v>0</v>
      </c>
      <c r="BY116" s="67">
        <v>0</v>
      </c>
      <c r="BZ116" s="67">
        <v>0</v>
      </c>
      <c r="CA116" s="67"/>
      <c r="CB116" s="67">
        <v>0</v>
      </c>
      <c r="CC116" s="67"/>
      <c r="CD116" s="67"/>
      <c r="CE116" s="67">
        <v>0</v>
      </c>
      <c r="CF116" s="67">
        <v>0</v>
      </c>
      <c r="CG116" s="67"/>
      <c r="CH116" s="67"/>
      <c r="CI116" s="67"/>
      <c r="CJ116" s="67"/>
      <c r="CK116" s="67">
        <v>0</v>
      </c>
      <c r="CL116" s="67">
        <v>0</v>
      </c>
      <c r="CM116" s="67"/>
      <c r="CN116" s="67"/>
      <c r="CO116" s="67">
        <v>0</v>
      </c>
      <c r="CP116" s="67">
        <v>0</v>
      </c>
      <c r="CQ116" s="67"/>
      <c r="CR116" s="67"/>
      <c r="CS116" s="67"/>
      <c r="CT116" s="67"/>
      <c r="CU116" s="67">
        <v>0</v>
      </c>
      <c r="CV116" s="67"/>
      <c r="CW116" s="67"/>
      <c r="CX116" s="67"/>
      <c r="CY116" s="67">
        <v>0</v>
      </c>
      <c r="CZ116" s="67"/>
      <c r="DA116" s="67"/>
      <c r="DB116" s="67"/>
      <c r="DC116" s="67"/>
      <c r="DF116" s="67"/>
      <c r="DG116" s="67">
        <v>0</v>
      </c>
      <c r="DH116" s="67">
        <v>0</v>
      </c>
      <c r="DI116" s="67">
        <v>0</v>
      </c>
      <c r="DJ116" s="67"/>
      <c r="DK116" s="67">
        <v>0</v>
      </c>
      <c r="DL116" s="67">
        <v>0</v>
      </c>
      <c r="DM116" s="67">
        <v>0</v>
      </c>
      <c r="DN116" s="67"/>
      <c r="DO116" s="67"/>
      <c r="DP116" s="67"/>
      <c r="DQ116" s="67">
        <v>0</v>
      </c>
      <c r="DR116" s="67">
        <v>0</v>
      </c>
      <c r="DS116" s="67"/>
      <c r="DT116" s="67"/>
      <c r="DU116" s="67">
        <v>0</v>
      </c>
      <c r="DV116" s="67">
        <v>0</v>
      </c>
      <c r="DW116" s="67">
        <v>0</v>
      </c>
      <c r="DX116" s="67">
        <v>0</v>
      </c>
      <c r="DY116" s="67"/>
      <c r="DZ116" s="67">
        <v>0</v>
      </c>
      <c r="EA116" s="67"/>
      <c r="EB116" s="67">
        <v>0</v>
      </c>
      <c r="EC116" s="67"/>
      <c r="ED116" s="67">
        <v>0</v>
      </c>
      <c r="EE116" s="67"/>
      <c r="EF116" s="67">
        <v>0</v>
      </c>
      <c r="EG116" s="67"/>
      <c r="EH116" s="67"/>
      <c r="EI116" s="67"/>
      <c r="EJ116" s="67"/>
      <c r="EK116" s="67"/>
      <c r="EL116" s="67"/>
      <c r="EM116" s="67"/>
      <c r="EN116" s="67"/>
      <c r="EO116" s="67"/>
      <c r="EP116" s="67">
        <v>0</v>
      </c>
      <c r="EQ116" s="67">
        <v>0</v>
      </c>
      <c r="ER116" s="67">
        <v>0</v>
      </c>
      <c r="ES116" s="67"/>
      <c r="ET116">
        <v>0</v>
      </c>
      <c r="EX116" s="67"/>
      <c r="EY116" s="67"/>
      <c r="EZ116" s="67"/>
      <c r="FA116" s="67">
        <v>3192</v>
      </c>
      <c r="FB116" s="67"/>
      <c r="FC116" s="67"/>
      <c r="FD116" s="67"/>
      <c r="FE116" s="67"/>
      <c r="FF116" s="67"/>
      <c r="FG116" s="67"/>
      <c r="FH116" s="67"/>
      <c r="FI116" s="67" t="s">
        <v>1600</v>
      </c>
    </row>
    <row r="117" spans="2:165" x14ac:dyDescent="0.2">
      <c r="B117" s="67" t="s">
        <v>305</v>
      </c>
      <c r="C117" s="67" t="s">
        <v>1660</v>
      </c>
      <c r="D117" s="67" t="s">
        <v>483</v>
      </c>
      <c r="E117" s="67" t="s">
        <v>732</v>
      </c>
      <c r="F117" s="67" t="s">
        <v>766</v>
      </c>
      <c r="G117" s="67" t="s">
        <v>1597</v>
      </c>
      <c r="H117" s="67"/>
      <c r="I117" s="67" t="s">
        <v>41</v>
      </c>
      <c r="J117" s="67" t="s">
        <v>68</v>
      </c>
      <c r="K117" s="67" t="s">
        <v>873</v>
      </c>
      <c r="L117" s="67" t="s">
        <v>767</v>
      </c>
      <c r="M117" s="67" t="s">
        <v>752</v>
      </c>
      <c r="N117" s="67" t="s">
        <v>1598</v>
      </c>
      <c r="O117" s="67" t="s">
        <v>1599</v>
      </c>
      <c r="P117" s="67"/>
      <c r="Q117" s="67">
        <v>0</v>
      </c>
      <c r="R117" s="67">
        <v>0</v>
      </c>
      <c r="S117" s="67">
        <v>0</v>
      </c>
      <c r="T117" s="67">
        <v>0</v>
      </c>
      <c r="U117" s="67">
        <v>0</v>
      </c>
      <c r="V117" s="67">
        <v>0</v>
      </c>
      <c r="W117" s="67">
        <v>0</v>
      </c>
      <c r="X117" s="67">
        <v>0</v>
      </c>
      <c r="Y117" s="67">
        <v>0</v>
      </c>
      <c r="Z117" s="67">
        <v>0</v>
      </c>
      <c r="AA117" s="67">
        <v>0</v>
      </c>
      <c r="AB117" s="67">
        <v>0</v>
      </c>
      <c r="AC117" s="67">
        <v>0</v>
      </c>
      <c r="AD117" s="67">
        <v>0</v>
      </c>
      <c r="AE117" s="67">
        <v>0</v>
      </c>
      <c r="AF117" s="67">
        <v>0</v>
      </c>
      <c r="AG117" s="67">
        <v>0</v>
      </c>
      <c r="AH117" s="67">
        <v>0</v>
      </c>
      <c r="AI117" s="67">
        <v>0</v>
      </c>
      <c r="AJ117" s="67">
        <v>0</v>
      </c>
      <c r="AK117" s="67">
        <v>0</v>
      </c>
      <c r="AL117" s="67">
        <v>0</v>
      </c>
      <c r="AM117" s="67">
        <v>0</v>
      </c>
      <c r="AN117" s="67">
        <v>0</v>
      </c>
      <c r="AO117" s="67">
        <v>0</v>
      </c>
      <c r="AP117" s="67">
        <v>0</v>
      </c>
      <c r="AQ117" s="67">
        <v>0</v>
      </c>
      <c r="AR117" s="67">
        <v>0</v>
      </c>
      <c r="AS117" s="67">
        <v>0</v>
      </c>
      <c r="AT117" s="67"/>
      <c r="AU117" s="67"/>
      <c r="AV117" s="67"/>
      <c r="AW117" s="67">
        <v>0</v>
      </c>
      <c r="AX117" s="67">
        <v>0</v>
      </c>
      <c r="AY117" s="67"/>
      <c r="AZ117" s="67"/>
      <c r="BA117" s="67"/>
      <c r="BB117" s="67"/>
      <c r="BC117" s="67"/>
      <c r="BD117" s="67"/>
      <c r="BE117" s="67"/>
      <c r="BG117" s="67"/>
      <c r="BH117" s="67"/>
      <c r="BI117" s="67"/>
      <c r="BJ117" s="67">
        <v>0</v>
      </c>
      <c r="BK117" s="67"/>
      <c r="BL117" s="67"/>
      <c r="BP117" s="67"/>
      <c r="BQ117" s="67">
        <v>0</v>
      </c>
      <c r="BR117" s="67"/>
      <c r="BS117" s="67"/>
      <c r="BT117" s="67">
        <v>0</v>
      </c>
      <c r="BU117" s="67"/>
      <c r="BV117" s="67"/>
      <c r="BW117" s="67">
        <v>0</v>
      </c>
      <c r="BX117" s="67">
        <v>0</v>
      </c>
      <c r="BY117" s="67">
        <v>0</v>
      </c>
      <c r="BZ117" s="67">
        <v>0</v>
      </c>
      <c r="CA117" s="67"/>
      <c r="CB117" s="67">
        <v>0</v>
      </c>
      <c r="CC117" s="67"/>
      <c r="CD117" s="67"/>
      <c r="CE117" s="67">
        <v>0</v>
      </c>
      <c r="CF117" s="67">
        <v>0</v>
      </c>
      <c r="CG117" s="67"/>
      <c r="CH117" s="67"/>
      <c r="CI117" s="67"/>
      <c r="CJ117" s="67"/>
      <c r="CK117" s="67">
        <v>0</v>
      </c>
      <c r="CL117" s="67">
        <v>0</v>
      </c>
      <c r="CM117" s="67"/>
      <c r="CN117" s="67"/>
      <c r="CO117" s="67">
        <v>0</v>
      </c>
      <c r="CP117" s="67">
        <v>0</v>
      </c>
      <c r="CQ117" s="67"/>
      <c r="CR117" s="67"/>
      <c r="CS117" s="67"/>
      <c r="CT117" s="67"/>
      <c r="CU117" s="67">
        <v>0</v>
      </c>
      <c r="CV117" s="67"/>
      <c r="CW117" s="67"/>
      <c r="CX117" s="67"/>
      <c r="CY117" s="67">
        <v>0</v>
      </c>
      <c r="CZ117" s="67"/>
      <c r="DA117" s="67"/>
      <c r="DB117" s="67"/>
      <c r="DC117" s="67"/>
      <c r="DF117" s="67"/>
      <c r="DG117" s="67">
        <v>0</v>
      </c>
      <c r="DH117" s="67">
        <v>0</v>
      </c>
      <c r="DI117" s="67">
        <v>0</v>
      </c>
      <c r="DJ117" s="67"/>
      <c r="DK117" s="67">
        <v>0</v>
      </c>
      <c r="DL117" s="67">
        <v>0</v>
      </c>
      <c r="DM117" s="67">
        <v>0</v>
      </c>
      <c r="DN117" s="67"/>
      <c r="DO117" s="67"/>
      <c r="DP117" s="67"/>
      <c r="DQ117" s="67">
        <v>0</v>
      </c>
      <c r="DR117" s="67">
        <v>0</v>
      </c>
      <c r="DS117" s="67"/>
      <c r="DT117" s="67"/>
      <c r="DU117" s="67">
        <v>0</v>
      </c>
      <c r="DV117" s="67">
        <v>0</v>
      </c>
      <c r="DW117" s="67">
        <v>0</v>
      </c>
      <c r="DX117" s="67">
        <v>0</v>
      </c>
      <c r="DY117" s="67"/>
      <c r="DZ117" s="67">
        <v>0</v>
      </c>
      <c r="EA117" s="67"/>
      <c r="EB117" s="67">
        <v>0</v>
      </c>
      <c r="EC117" s="67"/>
      <c r="ED117" s="67">
        <v>0</v>
      </c>
      <c r="EE117" s="67"/>
      <c r="EF117" s="67">
        <v>0</v>
      </c>
      <c r="EG117" s="67"/>
      <c r="EH117" s="67"/>
      <c r="EI117" s="67"/>
      <c r="EJ117" s="67"/>
      <c r="EK117" s="67"/>
      <c r="EL117" s="67"/>
      <c r="EM117" s="67"/>
      <c r="EN117" s="67"/>
      <c r="EO117" s="67"/>
      <c r="EP117" s="67">
        <v>0</v>
      </c>
      <c r="EQ117" s="67">
        <v>0</v>
      </c>
      <c r="ER117" s="67">
        <v>0</v>
      </c>
      <c r="ES117" s="67"/>
      <c r="ET117">
        <v>0</v>
      </c>
      <c r="EX117" s="67"/>
      <c r="EY117" s="67"/>
      <c r="EZ117" s="67"/>
      <c r="FA117" s="67">
        <v>0</v>
      </c>
      <c r="FB117" s="67"/>
      <c r="FC117" s="67"/>
      <c r="FD117" s="67"/>
      <c r="FE117" s="67"/>
      <c r="FF117" s="67"/>
      <c r="FG117" s="67"/>
      <c r="FH117" s="67"/>
      <c r="FI117" s="67" t="s">
        <v>1600</v>
      </c>
    </row>
    <row r="118" spans="2:165" ht="24" x14ac:dyDescent="0.2">
      <c r="B118" s="67" t="s">
        <v>484</v>
      </c>
      <c r="C118" s="67" t="s">
        <v>484</v>
      </c>
      <c r="D118" s="67" t="s">
        <v>485</v>
      </c>
      <c r="E118" s="67" t="s">
        <v>889</v>
      </c>
      <c r="F118" s="67" t="s">
        <v>1109</v>
      </c>
      <c r="G118" s="67" t="s">
        <v>1597</v>
      </c>
      <c r="H118" s="67"/>
      <c r="I118" s="67" t="s">
        <v>41</v>
      </c>
      <c r="J118" s="67" t="s">
        <v>68</v>
      </c>
      <c r="K118" s="67" t="s">
        <v>1659</v>
      </c>
      <c r="L118" s="67" t="s">
        <v>751</v>
      </c>
      <c r="M118" s="67" t="s">
        <v>752</v>
      </c>
      <c r="N118" s="67" t="s">
        <v>1598</v>
      </c>
      <c r="O118" s="67" t="s">
        <v>1599</v>
      </c>
      <c r="P118" s="67"/>
      <c r="Q118" s="67">
        <v>400</v>
      </c>
      <c r="R118" s="67">
        <v>0</v>
      </c>
      <c r="S118" s="67">
        <v>0</v>
      </c>
      <c r="T118" s="67">
        <v>0</v>
      </c>
      <c r="U118" s="67">
        <v>0</v>
      </c>
      <c r="V118" s="67">
        <v>0</v>
      </c>
      <c r="W118" s="67">
        <v>0</v>
      </c>
      <c r="X118" s="67">
        <v>0</v>
      </c>
      <c r="Y118" s="67">
        <v>0</v>
      </c>
      <c r="Z118" s="67">
        <v>0</v>
      </c>
      <c r="AA118" s="67">
        <v>0</v>
      </c>
      <c r="AB118" s="67">
        <v>0</v>
      </c>
      <c r="AC118" s="67">
        <v>0</v>
      </c>
      <c r="AD118" s="67">
        <v>400</v>
      </c>
      <c r="AE118" s="67">
        <v>0</v>
      </c>
      <c r="AF118" s="67">
        <v>0</v>
      </c>
      <c r="AG118" s="67">
        <v>0</v>
      </c>
      <c r="AH118" s="67">
        <v>0</v>
      </c>
      <c r="AI118" s="67">
        <v>0</v>
      </c>
      <c r="AJ118" s="67">
        <v>0</v>
      </c>
      <c r="AK118" s="67">
        <v>0</v>
      </c>
      <c r="AL118" s="67">
        <v>0</v>
      </c>
      <c r="AM118" s="67">
        <v>0</v>
      </c>
      <c r="AN118" s="67">
        <v>0</v>
      </c>
      <c r="AO118" s="67">
        <v>0</v>
      </c>
      <c r="AP118" s="67">
        <v>0</v>
      </c>
      <c r="AQ118" s="67">
        <v>0</v>
      </c>
      <c r="AR118" s="67">
        <v>0</v>
      </c>
      <c r="AS118" s="67">
        <v>0</v>
      </c>
      <c r="AT118" s="67"/>
      <c r="AU118" s="67"/>
      <c r="AV118" s="67"/>
      <c r="AW118" s="67">
        <v>0</v>
      </c>
      <c r="AX118" s="67">
        <v>0</v>
      </c>
      <c r="AY118" s="67"/>
      <c r="AZ118" s="67"/>
      <c r="BA118" s="67"/>
      <c r="BB118" s="67"/>
      <c r="BC118" s="67"/>
      <c r="BD118" s="67"/>
      <c r="BE118" s="67"/>
      <c r="BG118" s="67"/>
      <c r="BH118" s="67"/>
      <c r="BI118" s="67"/>
      <c r="BJ118" s="67">
        <v>0</v>
      </c>
      <c r="BK118" s="67"/>
      <c r="BL118" s="67"/>
      <c r="BP118" s="67"/>
      <c r="BQ118" s="67">
        <v>0</v>
      </c>
      <c r="BR118" s="67"/>
      <c r="BS118" s="67"/>
      <c r="BT118" s="67">
        <v>0</v>
      </c>
      <c r="BU118" s="67"/>
      <c r="BV118" s="67"/>
      <c r="BW118" s="67">
        <v>0</v>
      </c>
      <c r="BX118" s="67">
        <v>0</v>
      </c>
      <c r="BY118" s="67">
        <v>0</v>
      </c>
      <c r="BZ118" s="67">
        <v>0</v>
      </c>
      <c r="CA118" s="67"/>
      <c r="CB118" s="67">
        <v>0</v>
      </c>
      <c r="CC118" s="67"/>
      <c r="CD118" s="67"/>
      <c r="CE118" s="67">
        <v>0</v>
      </c>
      <c r="CF118" s="67">
        <v>0</v>
      </c>
      <c r="CG118" s="67"/>
      <c r="CH118" s="67"/>
      <c r="CI118" s="67"/>
      <c r="CJ118" s="67"/>
      <c r="CK118" s="67">
        <v>0</v>
      </c>
      <c r="CL118" s="67">
        <v>0</v>
      </c>
      <c r="CM118" s="67"/>
      <c r="CN118" s="67"/>
      <c r="CO118" s="67">
        <v>0</v>
      </c>
      <c r="CP118" s="67">
        <v>0</v>
      </c>
      <c r="CQ118" s="67"/>
      <c r="CR118" s="67"/>
      <c r="CS118" s="67"/>
      <c r="CT118" s="67"/>
      <c r="CU118" s="67">
        <v>0</v>
      </c>
      <c r="CV118" s="67"/>
      <c r="CW118" s="67"/>
      <c r="CX118" s="67"/>
      <c r="CY118" s="67">
        <v>0</v>
      </c>
      <c r="CZ118" s="67"/>
      <c r="DA118" s="67"/>
      <c r="DB118" s="67"/>
      <c r="DC118" s="67"/>
      <c r="DF118" s="67"/>
      <c r="DG118" s="67">
        <v>0</v>
      </c>
      <c r="DH118" s="67">
        <v>0</v>
      </c>
      <c r="DI118" s="67">
        <v>0</v>
      </c>
      <c r="DJ118" s="67"/>
      <c r="DK118" s="67">
        <v>0</v>
      </c>
      <c r="DL118" s="67">
        <v>0</v>
      </c>
      <c r="DM118" s="67">
        <v>0</v>
      </c>
      <c r="DN118" s="67"/>
      <c r="DO118" s="67"/>
      <c r="DP118" s="67"/>
      <c r="DQ118" s="67">
        <v>0</v>
      </c>
      <c r="DR118" s="67">
        <v>0</v>
      </c>
      <c r="DS118" s="67"/>
      <c r="DT118" s="67"/>
      <c r="DU118" s="67">
        <v>0</v>
      </c>
      <c r="DV118" s="67">
        <v>0</v>
      </c>
      <c r="DW118" s="67">
        <v>0</v>
      </c>
      <c r="DX118" s="67">
        <v>0</v>
      </c>
      <c r="DY118" s="67"/>
      <c r="DZ118" s="67">
        <v>0</v>
      </c>
      <c r="EA118" s="67"/>
      <c r="EB118" s="67">
        <v>0</v>
      </c>
      <c r="EC118" s="67"/>
      <c r="ED118" s="67">
        <v>0</v>
      </c>
      <c r="EE118" s="67"/>
      <c r="EF118" s="67">
        <v>0</v>
      </c>
      <c r="EG118" s="67"/>
      <c r="EH118" s="67"/>
      <c r="EI118" s="67"/>
      <c r="EJ118" s="67"/>
      <c r="EK118" s="67"/>
      <c r="EL118" s="67"/>
      <c r="EM118" s="67"/>
      <c r="EN118" s="67"/>
      <c r="EO118" s="67"/>
      <c r="EP118" s="67">
        <v>0</v>
      </c>
      <c r="EQ118" s="67">
        <v>0</v>
      </c>
      <c r="ER118" s="67">
        <v>0</v>
      </c>
      <c r="ES118" s="67"/>
      <c r="ET118">
        <v>0</v>
      </c>
      <c r="EX118" s="67"/>
      <c r="EY118" s="67"/>
      <c r="EZ118" s="67"/>
      <c r="FA118" s="67">
        <v>400</v>
      </c>
      <c r="FB118" s="67"/>
      <c r="FC118" s="67"/>
      <c r="FD118" s="67"/>
      <c r="FE118" s="67"/>
      <c r="FF118" s="67"/>
      <c r="FG118" s="67"/>
      <c r="FH118" s="67"/>
      <c r="FI118" s="67" t="s">
        <v>1600</v>
      </c>
    </row>
    <row r="119" spans="2:165" ht="24" x14ac:dyDescent="0.2">
      <c r="B119" s="67" t="s">
        <v>486</v>
      </c>
      <c r="C119" s="67" t="s">
        <v>486</v>
      </c>
      <c r="D119" s="67" t="s">
        <v>487</v>
      </c>
      <c r="E119" s="67" t="s">
        <v>889</v>
      </c>
      <c r="F119" s="67" t="s">
        <v>1109</v>
      </c>
      <c r="G119" s="67" t="s">
        <v>1597</v>
      </c>
      <c r="H119" s="67"/>
      <c r="I119" s="67" t="s">
        <v>41</v>
      </c>
      <c r="J119" s="67" t="s">
        <v>68</v>
      </c>
      <c r="K119" s="67" t="s">
        <v>1659</v>
      </c>
      <c r="L119" s="67" t="s">
        <v>751</v>
      </c>
      <c r="M119" s="67" t="s">
        <v>752</v>
      </c>
      <c r="N119" s="67" t="s">
        <v>1598</v>
      </c>
      <c r="O119" s="67" t="s">
        <v>1599</v>
      </c>
      <c r="P119" s="67"/>
      <c r="Q119" s="67">
        <v>200</v>
      </c>
      <c r="R119" s="67">
        <v>0</v>
      </c>
      <c r="S119" s="67">
        <v>0</v>
      </c>
      <c r="T119" s="67">
        <v>0</v>
      </c>
      <c r="U119" s="67">
        <v>0</v>
      </c>
      <c r="V119" s="67">
        <v>0</v>
      </c>
      <c r="W119" s="67">
        <v>0</v>
      </c>
      <c r="X119" s="67">
        <v>0</v>
      </c>
      <c r="Y119" s="67">
        <v>0</v>
      </c>
      <c r="Z119" s="67">
        <v>0</v>
      </c>
      <c r="AA119" s="67">
        <v>0</v>
      </c>
      <c r="AB119" s="67">
        <v>0</v>
      </c>
      <c r="AC119" s="67">
        <v>0</v>
      </c>
      <c r="AD119" s="67">
        <v>200</v>
      </c>
      <c r="AE119" s="67">
        <v>0</v>
      </c>
      <c r="AF119" s="67">
        <v>0</v>
      </c>
      <c r="AG119" s="67">
        <v>0</v>
      </c>
      <c r="AH119" s="67">
        <v>0</v>
      </c>
      <c r="AI119" s="67">
        <v>0</v>
      </c>
      <c r="AJ119" s="67">
        <v>0</v>
      </c>
      <c r="AK119" s="67">
        <v>0</v>
      </c>
      <c r="AL119" s="67">
        <v>0</v>
      </c>
      <c r="AM119" s="67">
        <v>0</v>
      </c>
      <c r="AN119" s="67">
        <v>0</v>
      </c>
      <c r="AO119" s="67">
        <v>0</v>
      </c>
      <c r="AP119" s="67">
        <v>0</v>
      </c>
      <c r="AQ119" s="67">
        <v>0</v>
      </c>
      <c r="AR119" s="67">
        <v>0</v>
      </c>
      <c r="AS119" s="67">
        <v>0</v>
      </c>
      <c r="AT119" s="67"/>
      <c r="AU119" s="67"/>
      <c r="AV119" s="67"/>
      <c r="AW119" s="67">
        <v>0</v>
      </c>
      <c r="AX119" s="67">
        <v>0</v>
      </c>
      <c r="AY119" s="67"/>
      <c r="AZ119" s="67"/>
      <c r="BA119" s="67"/>
      <c r="BB119" s="67"/>
      <c r="BC119" s="67"/>
      <c r="BD119" s="67"/>
      <c r="BE119" s="67"/>
      <c r="BG119" s="67"/>
      <c r="BH119" s="67"/>
      <c r="BI119" s="67"/>
      <c r="BJ119" s="67">
        <v>0</v>
      </c>
      <c r="BK119" s="67"/>
      <c r="BL119" s="67"/>
      <c r="BP119" s="67"/>
      <c r="BQ119" s="67">
        <v>0</v>
      </c>
      <c r="BR119" s="67"/>
      <c r="BS119" s="67"/>
      <c r="BT119" s="67">
        <v>0</v>
      </c>
      <c r="BU119" s="67"/>
      <c r="BV119" s="67"/>
      <c r="BW119" s="67">
        <v>0</v>
      </c>
      <c r="BX119" s="67">
        <v>0</v>
      </c>
      <c r="BY119" s="67">
        <v>0</v>
      </c>
      <c r="BZ119" s="67">
        <v>0</v>
      </c>
      <c r="CA119" s="67"/>
      <c r="CB119" s="67">
        <v>0</v>
      </c>
      <c r="CC119" s="67"/>
      <c r="CD119" s="67"/>
      <c r="CE119" s="67">
        <v>0</v>
      </c>
      <c r="CF119" s="67">
        <v>0</v>
      </c>
      <c r="CG119" s="67"/>
      <c r="CH119" s="67"/>
      <c r="CI119" s="67"/>
      <c r="CJ119" s="67"/>
      <c r="CK119" s="67">
        <v>0</v>
      </c>
      <c r="CL119" s="67">
        <v>0</v>
      </c>
      <c r="CM119" s="67"/>
      <c r="CN119" s="67"/>
      <c r="CO119" s="67">
        <v>0</v>
      </c>
      <c r="CP119" s="67">
        <v>0</v>
      </c>
      <c r="CQ119" s="67"/>
      <c r="CR119" s="67"/>
      <c r="CS119" s="67"/>
      <c r="CT119" s="67"/>
      <c r="CU119" s="67">
        <v>0</v>
      </c>
      <c r="CV119" s="67"/>
      <c r="CW119" s="67"/>
      <c r="CX119" s="67"/>
      <c r="CY119" s="67">
        <v>0</v>
      </c>
      <c r="CZ119" s="67"/>
      <c r="DA119" s="67"/>
      <c r="DB119" s="67"/>
      <c r="DC119" s="67"/>
      <c r="DF119" s="67"/>
      <c r="DG119" s="67">
        <v>0</v>
      </c>
      <c r="DH119" s="67">
        <v>0</v>
      </c>
      <c r="DI119" s="67">
        <v>0</v>
      </c>
      <c r="DJ119" s="67"/>
      <c r="DK119" s="67">
        <v>0</v>
      </c>
      <c r="DL119" s="67">
        <v>0</v>
      </c>
      <c r="DM119" s="67">
        <v>0</v>
      </c>
      <c r="DN119" s="67"/>
      <c r="DO119" s="67"/>
      <c r="DP119" s="67"/>
      <c r="DQ119" s="67">
        <v>0</v>
      </c>
      <c r="DR119" s="67">
        <v>0</v>
      </c>
      <c r="DS119" s="67"/>
      <c r="DT119" s="67"/>
      <c r="DU119" s="67">
        <v>0</v>
      </c>
      <c r="DV119" s="67">
        <v>0</v>
      </c>
      <c r="DW119" s="67">
        <v>0</v>
      </c>
      <c r="DX119" s="67">
        <v>0</v>
      </c>
      <c r="DY119" s="67"/>
      <c r="DZ119" s="67">
        <v>0</v>
      </c>
      <c r="EA119" s="67"/>
      <c r="EB119" s="67">
        <v>0</v>
      </c>
      <c r="EC119" s="67"/>
      <c r="ED119" s="67">
        <v>0</v>
      </c>
      <c r="EE119" s="67"/>
      <c r="EF119" s="67">
        <v>0</v>
      </c>
      <c r="EG119" s="67"/>
      <c r="EH119" s="67"/>
      <c r="EI119" s="67"/>
      <c r="EJ119" s="67"/>
      <c r="EK119" s="67"/>
      <c r="EL119" s="67"/>
      <c r="EM119" s="67"/>
      <c r="EN119" s="67"/>
      <c r="EO119" s="67"/>
      <c r="EP119" s="67">
        <v>0</v>
      </c>
      <c r="EQ119" s="67">
        <v>0</v>
      </c>
      <c r="ER119" s="67">
        <v>0</v>
      </c>
      <c r="ES119" s="67"/>
      <c r="ET119">
        <v>0</v>
      </c>
      <c r="EX119" s="67"/>
      <c r="EY119" s="67"/>
      <c r="EZ119" s="67"/>
      <c r="FA119" s="67">
        <v>200</v>
      </c>
      <c r="FB119" s="67"/>
      <c r="FC119" s="67"/>
      <c r="FD119" s="67"/>
      <c r="FE119" s="67"/>
      <c r="FF119" s="67"/>
      <c r="FG119" s="67"/>
      <c r="FH119" s="67"/>
      <c r="FI119" s="67" t="s">
        <v>1600</v>
      </c>
    </row>
    <row r="120" spans="2:165" ht="24" x14ac:dyDescent="0.2">
      <c r="B120" s="67" t="s">
        <v>488</v>
      </c>
      <c r="C120" s="67" t="s">
        <v>488</v>
      </c>
      <c r="D120" s="67" t="s">
        <v>489</v>
      </c>
      <c r="E120" s="67" t="s">
        <v>13</v>
      </c>
      <c r="F120" s="67" t="s">
        <v>1109</v>
      </c>
      <c r="G120" s="67" t="s">
        <v>1597</v>
      </c>
      <c r="H120" s="67"/>
      <c r="I120" s="67" t="s">
        <v>41</v>
      </c>
      <c r="J120" s="67" t="s">
        <v>68</v>
      </c>
      <c r="K120" s="67" t="s">
        <v>1659</v>
      </c>
      <c r="L120" s="67" t="s">
        <v>751</v>
      </c>
      <c r="M120" s="67" t="s">
        <v>752</v>
      </c>
      <c r="N120" s="67" t="s">
        <v>1598</v>
      </c>
      <c r="O120" s="67" t="s">
        <v>1599</v>
      </c>
      <c r="P120" s="67"/>
      <c r="Q120" s="67">
        <v>400</v>
      </c>
      <c r="R120" s="67">
        <v>0</v>
      </c>
      <c r="S120" s="67">
        <v>0</v>
      </c>
      <c r="T120" s="67">
        <v>0</v>
      </c>
      <c r="U120" s="67">
        <v>0</v>
      </c>
      <c r="V120" s="67">
        <v>0</v>
      </c>
      <c r="W120" s="67">
        <v>0</v>
      </c>
      <c r="X120" s="67">
        <v>0</v>
      </c>
      <c r="Y120" s="67">
        <v>0</v>
      </c>
      <c r="Z120" s="67">
        <v>0</v>
      </c>
      <c r="AA120" s="67">
        <v>0</v>
      </c>
      <c r="AB120" s="67">
        <v>0</v>
      </c>
      <c r="AC120" s="67">
        <v>0</v>
      </c>
      <c r="AD120" s="67">
        <v>400</v>
      </c>
      <c r="AE120" s="67">
        <v>0</v>
      </c>
      <c r="AF120" s="67">
        <v>0</v>
      </c>
      <c r="AG120" s="67">
        <v>0</v>
      </c>
      <c r="AH120" s="67">
        <v>0</v>
      </c>
      <c r="AI120" s="67">
        <v>0</v>
      </c>
      <c r="AJ120" s="67">
        <v>0</v>
      </c>
      <c r="AK120" s="67">
        <v>0</v>
      </c>
      <c r="AL120" s="67">
        <v>0</v>
      </c>
      <c r="AM120" s="67">
        <v>0</v>
      </c>
      <c r="AN120" s="67">
        <v>0</v>
      </c>
      <c r="AO120" s="67">
        <v>0</v>
      </c>
      <c r="AP120" s="67">
        <v>0</v>
      </c>
      <c r="AQ120" s="67">
        <v>0</v>
      </c>
      <c r="AR120" s="67">
        <v>0</v>
      </c>
      <c r="AS120" s="67">
        <v>0</v>
      </c>
      <c r="AT120" s="67"/>
      <c r="AU120" s="67"/>
      <c r="AV120" s="67"/>
      <c r="AW120" s="67">
        <v>0</v>
      </c>
      <c r="AX120" s="67">
        <v>0</v>
      </c>
      <c r="AY120" s="67"/>
      <c r="AZ120" s="67"/>
      <c r="BA120" s="67"/>
      <c r="BB120" s="67"/>
      <c r="BC120" s="67"/>
      <c r="BD120" s="67"/>
      <c r="BE120" s="67"/>
      <c r="BG120" s="67"/>
      <c r="BH120" s="67"/>
      <c r="BI120" s="67"/>
      <c r="BJ120" s="67">
        <v>0</v>
      </c>
      <c r="BK120" s="67"/>
      <c r="BL120" s="67"/>
      <c r="BP120" s="67"/>
      <c r="BQ120" s="67">
        <v>0</v>
      </c>
      <c r="BR120" s="67"/>
      <c r="BS120" s="67"/>
      <c r="BT120" s="67">
        <v>0</v>
      </c>
      <c r="BU120" s="67"/>
      <c r="BV120" s="67"/>
      <c r="BW120" s="67">
        <v>0</v>
      </c>
      <c r="BX120" s="67">
        <v>0</v>
      </c>
      <c r="BY120" s="67">
        <v>0</v>
      </c>
      <c r="BZ120" s="67">
        <v>0</v>
      </c>
      <c r="CA120" s="67"/>
      <c r="CB120" s="67">
        <v>0</v>
      </c>
      <c r="CC120" s="67"/>
      <c r="CD120" s="67"/>
      <c r="CE120" s="67">
        <v>0</v>
      </c>
      <c r="CF120" s="67">
        <v>0</v>
      </c>
      <c r="CG120" s="67"/>
      <c r="CH120" s="67"/>
      <c r="CI120" s="67"/>
      <c r="CJ120" s="67"/>
      <c r="CK120" s="67">
        <v>0</v>
      </c>
      <c r="CL120" s="67">
        <v>0</v>
      </c>
      <c r="CM120" s="67"/>
      <c r="CN120" s="67"/>
      <c r="CO120" s="67">
        <v>0</v>
      </c>
      <c r="CP120" s="67">
        <v>0</v>
      </c>
      <c r="CQ120" s="67"/>
      <c r="CR120" s="67"/>
      <c r="CS120" s="67"/>
      <c r="CT120" s="67"/>
      <c r="CU120" s="67">
        <v>0</v>
      </c>
      <c r="CV120" s="67"/>
      <c r="CW120" s="67"/>
      <c r="CX120" s="67"/>
      <c r="CY120" s="67">
        <v>0</v>
      </c>
      <c r="CZ120" s="67"/>
      <c r="DA120" s="67"/>
      <c r="DB120" s="67"/>
      <c r="DC120" s="67"/>
      <c r="DF120" s="67"/>
      <c r="DG120" s="67">
        <v>0</v>
      </c>
      <c r="DH120" s="67">
        <v>0</v>
      </c>
      <c r="DI120" s="67">
        <v>0</v>
      </c>
      <c r="DJ120" s="67"/>
      <c r="DK120" s="67">
        <v>0</v>
      </c>
      <c r="DL120" s="67">
        <v>0</v>
      </c>
      <c r="DM120" s="67">
        <v>0</v>
      </c>
      <c r="DN120" s="67"/>
      <c r="DO120" s="67"/>
      <c r="DP120" s="67"/>
      <c r="DQ120" s="67">
        <v>0</v>
      </c>
      <c r="DR120" s="67">
        <v>0</v>
      </c>
      <c r="DS120" s="67"/>
      <c r="DT120" s="67"/>
      <c r="DU120" s="67">
        <v>0</v>
      </c>
      <c r="DV120" s="67">
        <v>0</v>
      </c>
      <c r="DW120" s="67">
        <v>0</v>
      </c>
      <c r="DX120" s="67">
        <v>0</v>
      </c>
      <c r="DY120" s="67"/>
      <c r="DZ120" s="67">
        <v>0</v>
      </c>
      <c r="EA120" s="67"/>
      <c r="EB120" s="67">
        <v>0</v>
      </c>
      <c r="EC120" s="67"/>
      <c r="ED120" s="67">
        <v>0</v>
      </c>
      <c r="EE120" s="67"/>
      <c r="EF120" s="67">
        <v>0</v>
      </c>
      <c r="EG120" s="67"/>
      <c r="EH120" s="67"/>
      <c r="EI120" s="67"/>
      <c r="EJ120" s="67"/>
      <c r="EK120" s="67"/>
      <c r="EL120" s="67"/>
      <c r="EM120" s="67"/>
      <c r="EN120" s="67"/>
      <c r="EO120" s="67"/>
      <c r="EP120" s="67">
        <v>0</v>
      </c>
      <c r="EQ120" s="67">
        <v>0</v>
      </c>
      <c r="ER120" s="67">
        <v>0</v>
      </c>
      <c r="ES120" s="67"/>
      <c r="ET120">
        <v>0</v>
      </c>
      <c r="EX120" s="67"/>
      <c r="EY120" s="67"/>
      <c r="EZ120" s="67"/>
      <c r="FA120" s="67">
        <v>400</v>
      </c>
      <c r="FB120" s="67"/>
      <c r="FC120" s="67"/>
      <c r="FD120" s="67"/>
      <c r="FE120" s="67"/>
      <c r="FF120" s="67"/>
      <c r="FG120" s="67"/>
      <c r="FH120" s="67"/>
      <c r="FI120" s="67" t="s">
        <v>1600</v>
      </c>
    </row>
    <row r="121" spans="2:165" x14ac:dyDescent="0.2">
      <c r="B121" s="67" t="s">
        <v>490</v>
      </c>
      <c r="C121" s="67" t="s">
        <v>490</v>
      </c>
      <c r="D121" s="67" t="s">
        <v>491</v>
      </c>
      <c r="E121" s="67" t="s">
        <v>23</v>
      </c>
      <c r="F121" s="67" t="s">
        <v>1109</v>
      </c>
      <c r="G121" s="67" t="s">
        <v>1597</v>
      </c>
      <c r="H121" s="67"/>
      <c r="I121" s="67" t="s">
        <v>41</v>
      </c>
      <c r="J121" s="67" t="s">
        <v>68</v>
      </c>
      <c r="K121" s="67" t="s">
        <v>1659</v>
      </c>
      <c r="L121" s="67" t="s">
        <v>751</v>
      </c>
      <c r="M121" s="67" t="s">
        <v>752</v>
      </c>
      <c r="N121" s="67" t="s">
        <v>1598</v>
      </c>
      <c r="O121" s="67" t="s">
        <v>1606</v>
      </c>
      <c r="P121" s="67"/>
      <c r="Q121" s="67">
        <v>400</v>
      </c>
      <c r="R121" s="67">
        <v>0</v>
      </c>
      <c r="S121" s="67">
        <v>0</v>
      </c>
      <c r="T121" s="67">
        <v>0</v>
      </c>
      <c r="U121" s="67">
        <v>0</v>
      </c>
      <c r="V121" s="67">
        <v>0</v>
      </c>
      <c r="W121" s="67">
        <v>0</v>
      </c>
      <c r="X121" s="67">
        <v>0</v>
      </c>
      <c r="Y121" s="67">
        <v>0</v>
      </c>
      <c r="Z121" s="67">
        <v>0</v>
      </c>
      <c r="AA121" s="67">
        <v>0</v>
      </c>
      <c r="AB121" s="67">
        <v>0</v>
      </c>
      <c r="AC121" s="67">
        <v>0</v>
      </c>
      <c r="AD121" s="67">
        <v>400</v>
      </c>
      <c r="AE121" s="67">
        <v>0</v>
      </c>
      <c r="AF121" s="67">
        <v>0</v>
      </c>
      <c r="AG121" s="67">
        <v>0</v>
      </c>
      <c r="AH121" s="67">
        <v>0</v>
      </c>
      <c r="AI121" s="67">
        <v>0</v>
      </c>
      <c r="AJ121" s="67">
        <v>0</v>
      </c>
      <c r="AK121" s="67">
        <v>0</v>
      </c>
      <c r="AL121" s="67">
        <v>0</v>
      </c>
      <c r="AM121" s="67">
        <v>0</v>
      </c>
      <c r="AN121" s="67">
        <v>0</v>
      </c>
      <c r="AO121" s="67">
        <v>0</v>
      </c>
      <c r="AP121" s="67">
        <v>0</v>
      </c>
      <c r="AQ121" s="67">
        <v>0</v>
      </c>
      <c r="AR121" s="67">
        <v>0</v>
      </c>
      <c r="AS121" s="67">
        <v>0</v>
      </c>
      <c r="AT121" s="67"/>
      <c r="AU121" s="67"/>
      <c r="AV121" s="67"/>
      <c r="AW121" s="67">
        <v>0</v>
      </c>
      <c r="AX121" s="67">
        <v>0</v>
      </c>
      <c r="AY121" s="67"/>
      <c r="AZ121" s="67"/>
      <c r="BA121" s="67"/>
      <c r="BB121" s="67"/>
      <c r="BC121" s="67"/>
      <c r="BD121" s="67"/>
      <c r="BE121" s="67"/>
      <c r="BG121" s="67"/>
      <c r="BH121" s="67"/>
      <c r="BI121" s="67"/>
      <c r="BJ121" s="67">
        <v>0</v>
      </c>
      <c r="BK121" s="67"/>
      <c r="BL121" s="67"/>
      <c r="BP121" s="67"/>
      <c r="BQ121" s="67">
        <v>0</v>
      </c>
      <c r="BR121" s="67"/>
      <c r="BS121" s="67"/>
      <c r="BT121" s="67">
        <v>0</v>
      </c>
      <c r="BU121" s="67"/>
      <c r="BV121" s="67"/>
      <c r="BW121" s="67">
        <v>0</v>
      </c>
      <c r="BX121" s="67">
        <v>0</v>
      </c>
      <c r="BY121" s="67">
        <v>0</v>
      </c>
      <c r="BZ121" s="67">
        <v>0</v>
      </c>
      <c r="CA121" s="67"/>
      <c r="CB121" s="67">
        <v>0</v>
      </c>
      <c r="CC121" s="67"/>
      <c r="CD121" s="67"/>
      <c r="CE121" s="67">
        <v>0</v>
      </c>
      <c r="CF121" s="67">
        <v>0</v>
      </c>
      <c r="CG121" s="67"/>
      <c r="CH121" s="67"/>
      <c r="CI121" s="67"/>
      <c r="CJ121" s="67"/>
      <c r="CK121" s="67">
        <v>0</v>
      </c>
      <c r="CL121" s="67">
        <v>0</v>
      </c>
      <c r="CM121" s="67"/>
      <c r="CN121" s="67"/>
      <c r="CO121" s="67">
        <v>0</v>
      </c>
      <c r="CP121" s="67">
        <v>0</v>
      </c>
      <c r="CQ121" s="67"/>
      <c r="CR121" s="67"/>
      <c r="CS121" s="67"/>
      <c r="CT121" s="67"/>
      <c r="CU121" s="67">
        <v>0</v>
      </c>
      <c r="CV121" s="67"/>
      <c r="CW121" s="67"/>
      <c r="CX121" s="67"/>
      <c r="CY121" s="67">
        <v>0</v>
      </c>
      <c r="CZ121" s="67"/>
      <c r="DA121" s="67"/>
      <c r="DB121" s="67"/>
      <c r="DC121" s="67"/>
      <c r="DF121" s="67"/>
      <c r="DG121" s="67">
        <v>0</v>
      </c>
      <c r="DH121" s="67">
        <v>0</v>
      </c>
      <c r="DI121" s="67">
        <v>0</v>
      </c>
      <c r="DJ121" s="67"/>
      <c r="DK121" s="67">
        <v>0</v>
      </c>
      <c r="DL121" s="67">
        <v>0</v>
      </c>
      <c r="DM121" s="67">
        <v>0</v>
      </c>
      <c r="DN121" s="67"/>
      <c r="DO121" s="67"/>
      <c r="DP121" s="67"/>
      <c r="DQ121" s="67">
        <v>0</v>
      </c>
      <c r="DR121" s="67">
        <v>0</v>
      </c>
      <c r="DS121" s="67"/>
      <c r="DT121" s="67"/>
      <c r="DU121" s="67">
        <v>0</v>
      </c>
      <c r="DV121" s="67">
        <v>0</v>
      </c>
      <c r="DW121" s="67">
        <v>0</v>
      </c>
      <c r="DX121" s="67">
        <v>0</v>
      </c>
      <c r="DY121" s="67"/>
      <c r="DZ121" s="67">
        <v>0</v>
      </c>
      <c r="EA121" s="67"/>
      <c r="EB121" s="67">
        <v>0</v>
      </c>
      <c r="EC121" s="67"/>
      <c r="ED121" s="67">
        <v>0</v>
      </c>
      <c r="EE121" s="67"/>
      <c r="EF121" s="67">
        <v>0</v>
      </c>
      <c r="EG121" s="67"/>
      <c r="EH121" s="67"/>
      <c r="EI121" s="67"/>
      <c r="EJ121" s="67"/>
      <c r="EK121" s="67"/>
      <c r="EL121" s="67"/>
      <c r="EM121" s="67"/>
      <c r="EN121" s="67"/>
      <c r="EO121" s="67"/>
      <c r="EP121" s="67">
        <v>0</v>
      </c>
      <c r="EQ121" s="67">
        <v>0</v>
      </c>
      <c r="ER121" s="67">
        <v>0</v>
      </c>
      <c r="ES121" s="67"/>
      <c r="ET121">
        <v>0</v>
      </c>
      <c r="EX121" s="67"/>
      <c r="EY121" s="67"/>
      <c r="EZ121" s="67"/>
      <c r="FA121" s="67">
        <v>400</v>
      </c>
      <c r="FB121" s="67"/>
      <c r="FC121" s="67"/>
      <c r="FD121" s="67"/>
      <c r="FE121" s="67"/>
      <c r="FF121" s="67"/>
      <c r="FG121" s="67"/>
      <c r="FH121" s="67"/>
      <c r="FI121" s="67" t="s">
        <v>1600</v>
      </c>
    </row>
    <row r="122" spans="2:165" x14ac:dyDescent="0.2">
      <c r="B122" s="67" t="s">
        <v>492</v>
      </c>
      <c r="C122" s="67" t="s">
        <v>492</v>
      </c>
      <c r="D122" s="67" t="s">
        <v>493</v>
      </c>
      <c r="E122" s="67" t="s">
        <v>35</v>
      </c>
      <c r="F122" s="67" t="s">
        <v>1109</v>
      </c>
      <c r="G122" s="67" t="s">
        <v>1597</v>
      </c>
      <c r="H122" s="67"/>
      <c r="I122" s="67" t="s">
        <v>41</v>
      </c>
      <c r="J122" s="67" t="s">
        <v>68</v>
      </c>
      <c r="K122" s="67" t="s">
        <v>1659</v>
      </c>
      <c r="L122" s="67" t="s">
        <v>751</v>
      </c>
      <c r="M122" s="67" t="s">
        <v>752</v>
      </c>
      <c r="N122" s="67" t="s">
        <v>1598</v>
      </c>
      <c r="O122" s="67" t="s">
        <v>1599</v>
      </c>
      <c r="P122" s="67"/>
      <c r="Q122" s="67">
        <v>400</v>
      </c>
      <c r="R122" s="67">
        <v>0</v>
      </c>
      <c r="S122" s="67">
        <v>0</v>
      </c>
      <c r="T122" s="67">
        <v>0</v>
      </c>
      <c r="U122" s="67">
        <v>0</v>
      </c>
      <c r="V122" s="67">
        <v>0</v>
      </c>
      <c r="W122" s="67">
        <v>0</v>
      </c>
      <c r="X122" s="67">
        <v>0</v>
      </c>
      <c r="Y122" s="67">
        <v>0</v>
      </c>
      <c r="Z122" s="67">
        <v>0</v>
      </c>
      <c r="AA122" s="67">
        <v>0</v>
      </c>
      <c r="AB122" s="67">
        <v>0</v>
      </c>
      <c r="AC122" s="67">
        <v>0</v>
      </c>
      <c r="AD122" s="67">
        <v>400</v>
      </c>
      <c r="AE122" s="67">
        <v>0</v>
      </c>
      <c r="AF122" s="67">
        <v>0</v>
      </c>
      <c r="AG122" s="67">
        <v>0</v>
      </c>
      <c r="AH122" s="67">
        <v>0</v>
      </c>
      <c r="AI122" s="67">
        <v>0</v>
      </c>
      <c r="AJ122" s="67">
        <v>0</v>
      </c>
      <c r="AK122" s="67">
        <v>0</v>
      </c>
      <c r="AL122" s="67">
        <v>0</v>
      </c>
      <c r="AM122" s="67">
        <v>0</v>
      </c>
      <c r="AN122" s="67">
        <v>0</v>
      </c>
      <c r="AO122" s="67">
        <v>0</v>
      </c>
      <c r="AP122" s="67">
        <v>0</v>
      </c>
      <c r="AQ122" s="67">
        <v>0</v>
      </c>
      <c r="AR122" s="67">
        <v>0</v>
      </c>
      <c r="AS122" s="67">
        <v>0</v>
      </c>
      <c r="AT122" s="67"/>
      <c r="AU122" s="67"/>
      <c r="AV122" s="67"/>
      <c r="AW122" s="67">
        <v>0</v>
      </c>
      <c r="AX122" s="67">
        <v>0</v>
      </c>
      <c r="AY122" s="67"/>
      <c r="AZ122" s="67"/>
      <c r="BA122" s="67"/>
      <c r="BB122" s="67"/>
      <c r="BC122" s="67"/>
      <c r="BD122" s="67"/>
      <c r="BE122" s="67"/>
      <c r="BG122" s="67"/>
      <c r="BH122" s="67"/>
      <c r="BI122" s="67"/>
      <c r="BJ122" s="67">
        <v>0</v>
      </c>
      <c r="BK122" s="67"/>
      <c r="BL122" s="67"/>
      <c r="BP122" s="67"/>
      <c r="BQ122" s="67">
        <v>0</v>
      </c>
      <c r="BR122" s="67"/>
      <c r="BS122" s="67"/>
      <c r="BT122" s="67">
        <v>0</v>
      </c>
      <c r="BU122" s="67"/>
      <c r="BV122" s="67"/>
      <c r="BW122" s="67">
        <v>0</v>
      </c>
      <c r="BX122" s="67">
        <v>0</v>
      </c>
      <c r="BY122" s="67">
        <v>0</v>
      </c>
      <c r="BZ122" s="67">
        <v>0</v>
      </c>
      <c r="CA122" s="67"/>
      <c r="CB122" s="67">
        <v>0</v>
      </c>
      <c r="CC122" s="67"/>
      <c r="CD122" s="67"/>
      <c r="CE122" s="67">
        <v>0</v>
      </c>
      <c r="CF122" s="67">
        <v>0</v>
      </c>
      <c r="CG122" s="67"/>
      <c r="CH122" s="67"/>
      <c r="CI122" s="67"/>
      <c r="CJ122" s="67"/>
      <c r="CK122" s="67">
        <v>0</v>
      </c>
      <c r="CL122" s="67">
        <v>0</v>
      </c>
      <c r="CM122" s="67"/>
      <c r="CN122" s="67"/>
      <c r="CO122" s="67">
        <v>0</v>
      </c>
      <c r="CP122" s="67">
        <v>0</v>
      </c>
      <c r="CQ122" s="67"/>
      <c r="CR122" s="67"/>
      <c r="CS122" s="67"/>
      <c r="CT122" s="67"/>
      <c r="CU122" s="67">
        <v>0</v>
      </c>
      <c r="CV122" s="67"/>
      <c r="CW122" s="67"/>
      <c r="CX122" s="67"/>
      <c r="CY122" s="67">
        <v>0</v>
      </c>
      <c r="CZ122" s="67"/>
      <c r="DA122" s="67"/>
      <c r="DB122" s="67"/>
      <c r="DC122" s="67"/>
      <c r="DF122" s="67"/>
      <c r="DG122" s="67">
        <v>0</v>
      </c>
      <c r="DH122" s="67">
        <v>0</v>
      </c>
      <c r="DI122" s="67">
        <v>0</v>
      </c>
      <c r="DJ122" s="67"/>
      <c r="DK122" s="67">
        <v>0</v>
      </c>
      <c r="DL122" s="67">
        <v>0</v>
      </c>
      <c r="DM122" s="67">
        <v>0</v>
      </c>
      <c r="DN122" s="67"/>
      <c r="DO122" s="67"/>
      <c r="DP122" s="67"/>
      <c r="DQ122" s="67">
        <v>0</v>
      </c>
      <c r="DR122" s="67">
        <v>0</v>
      </c>
      <c r="DS122" s="67"/>
      <c r="DT122" s="67"/>
      <c r="DU122" s="67">
        <v>0</v>
      </c>
      <c r="DV122" s="67">
        <v>0</v>
      </c>
      <c r="DW122" s="67">
        <v>0</v>
      </c>
      <c r="DX122" s="67">
        <v>0</v>
      </c>
      <c r="DY122" s="67"/>
      <c r="DZ122" s="67">
        <v>0</v>
      </c>
      <c r="EA122" s="67"/>
      <c r="EB122" s="67">
        <v>0</v>
      </c>
      <c r="EC122" s="67"/>
      <c r="ED122" s="67">
        <v>0</v>
      </c>
      <c r="EE122" s="67"/>
      <c r="EF122" s="67">
        <v>0</v>
      </c>
      <c r="EG122" s="67"/>
      <c r="EH122" s="67"/>
      <c r="EI122" s="67"/>
      <c r="EJ122" s="67"/>
      <c r="EK122" s="67"/>
      <c r="EL122" s="67"/>
      <c r="EM122" s="67"/>
      <c r="EN122" s="67"/>
      <c r="EO122" s="67"/>
      <c r="EP122" s="67">
        <v>0</v>
      </c>
      <c r="EQ122" s="67">
        <v>0</v>
      </c>
      <c r="ER122" s="67">
        <v>0</v>
      </c>
      <c r="ES122" s="67"/>
      <c r="ET122">
        <v>0</v>
      </c>
      <c r="EX122" s="67"/>
      <c r="EY122" s="67"/>
      <c r="EZ122" s="67"/>
      <c r="FA122" s="67">
        <v>400</v>
      </c>
      <c r="FB122" s="67"/>
      <c r="FC122" s="67"/>
      <c r="FD122" s="67"/>
      <c r="FE122" s="67"/>
      <c r="FF122" s="67"/>
      <c r="FG122" s="67"/>
      <c r="FH122" s="67"/>
      <c r="FI122" s="67" t="s">
        <v>1600</v>
      </c>
    </row>
    <row r="123" spans="2:165" ht="24" x14ac:dyDescent="0.2">
      <c r="B123" s="67" t="s">
        <v>494</v>
      </c>
      <c r="C123" s="67" t="s">
        <v>494</v>
      </c>
      <c r="D123" s="67" t="s">
        <v>495</v>
      </c>
      <c r="E123" s="67" t="s">
        <v>889</v>
      </c>
      <c r="F123" s="67" t="s">
        <v>1109</v>
      </c>
      <c r="G123" s="67" t="s">
        <v>1597</v>
      </c>
      <c r="H123" s="67"/>
      <c r="I123" s="67" t="s">
        <v>41</v>
      </c>
      <c r="J123" s="67" t="s">
        <v>68</v>
      </c>
      <c r="K123" s="67" t="s">
        <v>1659</v>
      </c>
      <c r="L123" s="67" t="s">
        <v>751</v>
      </c>
      <c r="M123" s="67" t="s">
        <v>752</v>
      </c>
      <c r="N123" s="67" t="s">
        <v>1598</v>
      </c>
      <c r="O123" s="67" t="s">
        <v>1599</v>
      </c>
      <c r="P123" s="67"/>
      <c r="Q123" s="67">
        <v>400</v>
      </c>
      <c r="R123" s="67">
        <v>0</v>
      </c>
      <c r="S123" s="67">
        <v>0</v>
      </c>
      <c r="T123" s="67">
        <v>0</v>
      </c>
      <c r="U123" s="67">
        <v>0</v>
      </c>
      <c r="V123" s="67">
        <v>0</v>
      </c>
      <c r="W123" s="67">
        <v>0</v>
      </c>
      <c r="X123" s="67">
        <v>0</v>
      </c>
      <c r="Y123" s="67">
        <v>0</v>
      </c>
      <c r="Z123" s="67">
        <v>0</v>
      </c>
      <c r="AA123" s="67">
        <v>0</v>
      </c>
      <c r="AB123" s="67">
        <v>0</v>
      </c>
      <c r="AC123" s="67">
        <v>0</v>
      </c>
      <c r="AD123" s="67">
        <v>400</v>
      </c>
      <c r="AE123" s="67">
        <v>0</v>
      </c>
      <c r="AF123" s="67">
        <v>0</v>
      </c>
      <c r="AG123" s="67">
        <v>0</v>
      </c>
      <c r="AH123" s="67">
        <v>0</v>
      </c>
      <c r="AI123" s="67">
        <v>0</v>
      </c>
      <c r="AJ123" s="67">
        <v>0</v>
      </c>
      <c r="AK123" s="67">
        <v>0</v>
      </c>
      <c r="AL123" s="67">
        <v>0</v>
      </c>
      <c r="AM123" s="67">
        <v>0</v>
      </c>
      <c r="AN123" s="67">
        <v>0</v>
      </c>
      <c r="AO123" s="67">
        <v>0</v>
      </c>
      <c r="AP123" s="67">
        <v>0</v>
      </c>
      <c r="AQ123" s="67">
        <v>0</v>
      </c>
      <c r="AR123" s="67">
        <v>0</v>
      </c>
      <c r="AS123" s="67">
        <v>0</v>
      </c>
      <c r="AT123" s="67"/>
      <c r="AU123" s="67"/>
      <c r="AV123" s="67"/>
      <c r="AW123" s="67">
        <v>0</v>
      </c>
      <c r="AX123" s="67">
        <v>0</v>
      </c>
      <c r="AY123" s="67"/>
      <c r="AZ123" s="67"/>
      <c r="BA123" s="67"/>
      <c r="BB123" s="67"/>
      <c r="BC123" s="67"/>
      <c r="BD123" s="67"/>
      <c r="BE123" s="67"/>
      <c r="BG123" s="67"/>
      <c r="BH123" s="67"/>
      <c r="BI123" s="67"/>
      <c r="BJ123" s="67">
        <v>0</v>
      </c>
      <c r="BK123" s="67"/>
      <c r="BL123" s="67"/>
      <c r="BP123" s="67"/>
      <c r="BQ123" s="67">
        <v>0</v>
      </c>
      <c r="BR123" s="67"/>
      <c r="BS123" s="67"/>
      <c r="BT123" s="67">
        <v>0</v>
      </c>
      <c r="BU123" s="67"/>
      <c r="BV123" s="67"/>
      <c r="BW123" s="67">
        <v>0</v>
      </c>
      <c r="BX123" s="67">
        <v>0</v>
      </c>
      <c r="BY123" s="67">
        <v>0</v>
      </c>
      <c r="BZ123" s="67">
        <v>0</v>
      </c>
      <c r="CA123" s="67"/>
      <c r="CB123" s="67">
        <v>0</v>
      </c>
      <c r="CC123" s="67"/>
      <c r="CD123" s="67"/>
      <c r="CE123" s="67">
        <v>0</v>
      </c>
      <c r="CF123" s="67">
        <v>0</v>
      </c>
      <c r="CG123" s="67"/>
      <c r="CH123" s="67"/>
      <c r="CI123" s="67"/>
      <c r="CJ123" s="67"/>
      <c r="CK123" s="67">
        <v>0</v>
      </c>
      <c r="CL123" s="67">
        <v>0</v>
      </c>
      <c r="CM123" s="67"/>
      <c r="CN123" s="67"/>
      <c r="CO123" s="67">
        <v>0</v>
      </c>
      <c r="CP123" s="67">
        <v>0</v>
      </c>
      <c r="CQ123" s="67"/>
      <c r="CR123" s="67"/>
      <c r="CS123" s="67"/>
      <c r="CT123" s="67"/>
      <c r="CU123" s="67">
        <v>0</v>
      </c>
      <c r="CV123" s="67"/>
      <c r="CW123" s="67"/>
      <c r="CX123" s="67"/>
      <c r="CY123" s="67">
        <v>0</v>
      </c>
      <c r="CZ123" s="67"/>
      <c r="DA123" s="67"/>
      <c r="DB123" s="67"/>
      <c r="DC123" s="67"/>
      <c r="DF123" s="67"/>
      <c r="DG123" s="67">
        <v>0</v>
      </c>
      <c r="DH123" s="67">
        <v>0</v>
      </c>
      <c r="DI123" s="67">
        <v>0</v>
      </c>
      <c r="DJ123" s="67"/>
      <c r="DK123" s="67">
        <v>0</v>
      </c>
      <c r="DL123" s="67">
        <v>0</v>
      </c>
      <c r="DM123" s="67">
        <v>0</v>
      </c>
      <c r="DN123" s="67"/>
      <c r="DO123" s="67"/>
      <c r="DP123" s="67"/>
      <c r="DQ123" s="67">
        <v>0</v>
      </c>
      <c r="DR123" s="67">
        <v>0</v>
      </c>
      <c r="DS123" s="67"/>
      <c r="DT123" s="67"/>
      <c r="DU123" s="67">
        <v>0</v>
      </c>
      <c r="DV123" s="67">
        <v>0</v>
      </c>
      <c r="DW123" s="67">
        <v>0</v>
      </c>
      <c r="DX123" s="67">
        <v>0</v>
      </c>
      <c r="DY123" s="67"/>
      <c r="DZ123" s="67">
        <v>0</v>
      </c>
      <c r="EA123" s="67"/>
      <c r="EB123" s="67">
        <v>0</v>
      </c>
      <c r="EC123" s="67"/>
      <c r="ED123" s="67">
        <v>0</v>
      </c>
      <c r="EE123" s="67"/>
      <c r="EF123" s="67">
        <v>0</v>
      </c>
      <c r="EG123" s="67"/>
      <c r="EH123" s="67"/>
      <c r="EI123" s="67"/>
      <c r="EJ123" s="67"/>
      <c r="EK123" s="67"/>
      <c r="EL123" s="67"/>
      <c r="EM123" s="67"/>
      <c r="EN123" s="67"/>
      <c r="EO123" s="67"/>
      <c r="EP123" s="67">
        <v>0</v>
      </c>
      <c r="EQ123" s="67">
        <v>0</v>
      </c>
      <c r="ER123" s="67">
        <v>0</v>
      </c>
      <c r="ES123" s="67"/>
      <c r="ET123">
        <v>0</v>
      </c>
      <c r="EX123" s="67"/>
      <c r="EY123" s="67"/>
      <c r="EZ123" s="67"/>
      <c r="FA123" s="67">
        <v>400</v>
      </c>
      <c r="FB123" s="67"/>
      <c r="FC123" s="67"/>
      <c r="FD123" s="67"/>
      <c r="FE123" s="67"/>
      <c r="FF123" s="67"/>
      <c r="FG123" s="67"/>
      <c r="FH123" s="67"/>
      <c r="FI123" s="67" t="s">
        <v>1600</v>
      </c>
    </row>
    <row r="124" spans="2:165" ht="24" x14ac:dyDescent="0.2">
      <c r="B124" s="67" t="s">
        <v>305</v>
      </c>
      <c r="C124" s="67" t="s">
        <v>1661</v>
      </c>
      <c r="D124" s="67" t="s">
        <v>496</v>
      </c>
      <c r="E124" s="67" t="s">
        <v>13</v>
      </c>
      <c r="F124" s="67" t="s">
        <v>1284</v>
      </c>
      <c r="G124" s="67" t="s">
        <v>1614</v>
      </c>
      <c r="H124" s="67"/>
      <c r="I124" s="67" t="s">
        <v>22</v>
      </c>
      <c r="J124" s="67" t="s">
        <v>64</v>
      </c>
      <c r="K124" s="67" t="s">
        <v>985</v>
      </c>
      <c r="L124" s="67" t="s">
        <v>787</v>
      </c>
      <c r="M124" s="67" t="s">
        <v>1615</v>
      </c>
      <c r="N124" s="67" t="s">
        <v>1598</v>
      </c>
      <c r="O124" s="67" t="s">
        <v>1606</v>
      </c>
      <c r="P124" s="67"/>
      <c r="Q124" s="67">
        <v>0</v>
      </c>
      <c r="R124" s="67">
        <v>0</v>
      </c>
      <c r="S124" s="67">
        <v>0</v>
      </c>
      <c r="T124" s="67">
        <v>0</v>
      </c>
      <c r="U124" s="67">
        <v>0</v>
      </c>
      <c r="V124" s="67">
        <v>0</v>
      </c>
      <c r="W124" s="67">
        <v>0</v>
      </c>
      <c r="X124" s="67">
        <v>0</v>
      </c>
      <c r="Y124" s="67">
        <v>0</v>
      </c>
      <c r="Z124" s="67">
        <v>0</v>
      </c>
      <c r="AA124" s="67">
        <v>0</v>
      </c>
      <c r="AB124" s="67">
        <v>0</v>
      </c>
      <c r="AC124" s="67">
        <v>0</v>
      </c>
      <c r="AD124" s="67">
        <v>0</v>
      </c>
      <c r="AE124" s="67">
        <v>0</v>
      </c>
      <c r="AF124" s="67">
        <v>0</v>
      </c>
      <c r="AG124" s="67">
        <v>0</v>
      </c>
      <c r="AH124" s="67">
        <v>0</v>
      </c>
      <c r="AI124" s="67">
        <v>0</v>
      </c>
      <c r="AJ124" s="67">
        <v>0</v>
      </c>
      <c r="AK124" s="67">
        <v>0</v>
      </c>
      <c r="AL124" s="67">
        <v>0</v>
      </c>
      <c r="AM124" s="67">
        <v>0</v>
      </c>
      <c r="AN124" s="67">
        <v>0</v>
      </c>
      <c r="AO124" s="67">
        <v>0</v>
      </c>
      <c r="AP124" s="67">
        <v>0</v>
      </c>
      <c r="AQ124" s="67">
        <v>0</v>
      </c>
      <c r="AR124" s="67">
        <v>0</v>
      </c>
      <c r="AS124" s="67">
        <v>0</v>
      </c>
      <c r="AT124" s="67"/>
      <c r="AU124" s="67"/>
      <c r="AV124" s="67"/>
      <c r="AW124" s="67">
        <v>0</v>
      </c>
      <c r="AX124" s="67">
        <v>0</v>
      </c>
      <c r="AY124" s="67"/>
      <c r="AZ124" s="67"/>
      <c r="BA124" s="67"/>
      <c r="BB124" s="67"/>
      <c r="BC124" s="67"/>
      <c r="BD124" s="67"/>
      <c r="BE124" s="67"/>
      <c r="BG124" s="67"/>
      <c r="BH124" s="67"/>
      <c r="BI124" s="67"/>
      <c r="BJ124" s="67">
        <v>0</v>
      </c>
      <c r="BK124" s="67"/>
      <c r="BL124" s="67"/>
      <c r="BP124" s="67"/>
      <c r="BQ124" s="67">
        <v>0</v>
      </c>
      <c r="BR124" s="67"/>
      <c r="BS124" s="67"/>
      <c r="BT124" s="67">
        <v>0</v>
      </c>
      <c r="BU124" s="67"/>
      <c r="BV124" s="67"/>
      <c r="BW124" s="67">
        <v>0</v>
      </c>
      <c r="BX124" s="67">
        <v>0</v>
      </c>
      <c r="BY124" s="67">
        <v>0</v>
      </c>
      <c r="BZ124" s="67">
        <v>0</v>
      </c>
      <c r="CA124" s="67"/>
      <c r="CB124" s="67">
        <v>0</v>
      </c>
      <c r="CC124" s="67"/>
      <c r="CD124" s="67"/>
      <c r="CE124" s="67">
        <v>0</v>
      </c>
      <c r="CF124" s="67">
        <v>0</v>
      </c>
      <c r="CG124" s="67"/>
      <c r="CH124" s="67"/>
      <c r="CI124" s="67"/>
      <c r="CJ124" s="67"/>
      <c r="CK124" s="67">
        <v>0</v>
      </c>
      <c r="CL124" s="67">
        <v>0</v>
      </c>
      <c r="CM124" s="67"/>
      <c r="CN124" s="67"/>
      <c r="CO124" s="67">
        <v>0</v>
      </c>
      <c r="CP124" s="67">
        <v>0</v>
      </c>
      <c r="CQ124" s="67"/>
      <c r="CR124" s="67"/>
      <c r="CS124" s="67"/>
      <c r="CT124" s="67"/>
      <c r="CU124" s="67">
        <v>0</v>
      </c>
      <c r="CV124" s="67"/>
      <c r="CW124" s="67"/>
      <c r="CX124" s="67"/>
      <c r="CY124" s="67">
        <v>0</v>
      </c>
      <c r="CZ124" s="67"/>
      <c r="DA124" s="67"/>
      <c r="DB124" s="67"/>
      <c r="DC124" s="67"/>
      <c r="DF124" s="67"/>
      <c r="DG124" s="67">
        <v>0</v>
      </c>
      <c r="DH124" s="67">
        <v>0</v>
      </c>
      <c r="DI124" s="67">
        <v>0</v>
      </c>
      <c r="DJ124" s="67"/>
      <c r="DK124" s="67">
        <v>0</v>
      </c>
      <c r="DL124" s="67">
        <v>0</v>
      </c>
      <c r="DM124" s="67">
        <v>0</v>
      </c>
      <c r="DN124" s="67"/>
      <c r="DO124" s="67"/>
      <c r="DP124" s="67"/>
      <c r="DQ124" s="67">
        <v>0</v>
      </c>
      <c r="DR124" s="67">
        <v>0</v>
      </c>
      <c r="DS124" s="67"/>
      <c r="DT124" s="67"/>
      <c r="DU124" s="67">
        <v>0</v>
      </c>
      <c r="DV124" s="67">
        <v>0</v>
      </c>
      <c r="DW124" s="67">
        <v>0</v>
      </c>
      <c r="DX124" s="67">
        <v>0</v>
      </c>
      <c r="DY124" s="67"/>
      <c r="DZ124" s="67">
        <v>0</v>
      </c>
      <c r="EA124" s="67"/>
      <c r="EB124" s="67">
        <v>0</v>
      </c>
      <c r="EC124" s="67"/>
      <c r="ED124" s="67">
        <v>0</v>
      </c>
      <c r="EE124" s="67"/>
      <c r="EF124" s="67">
        <v>0</v>
      </c>
      <c r="EG124" s="67"/>
      <c r="EH124" s="67"/>
      <c r="EI124" s="67"/>
      <c r="EJ124" s="67"/>
      <c r="EK124" s="67"/>
      <c r="EL124" s="67"/>
      <c r="EM124" s="67"/>
      <c r="EN124" s="67"/>
      <c r="EO124" s="67"/>
      <c r="EP124" s="67">
        <v>0</v>
      </c>
      <c r="EQ124" s="67">
        <v>0</v>
      </c>
      <c r="ER124" s="67">
        <v>0</v>
      </c>
      <c r="ES124" s="67"/>
      <c r="ET124">
        <v>0</v>
      </c>
      <c r="EX124" s="67"/>
      <c r="EY124" s="67"/>
      <c r="EZ124" s="67"/>
      <c r="FA124" s="67">
        <v>0</v>
      </c>
      <c r="FB124" s="67"/>
      <c r="FC124" s="67"/>
      <c r="FD124" s="67"/>
      <c r="FE124" s="67"/>
      <c r="FF124" s="67"/>
      <c r="FG124" s="67"/>
      <c r="FH124" s="67"/>
      <c r="FI124" s="67" t="s">
        <v>1600</v>
      </c>
    </row>
    <row r="125" spans="2:165" ht="24" x14ac:dyDescent="0.2">
      <c r="B125" s="67" t="s">
        <v>305</v>
      </c>
      <c r="C125" s="67" t="s">
        <v>1662</v>
      </c>
      <c r="D125" s="67" t="s">
        <v>497</v>
      </c>
      <c r="E125" s="67" t="s">
        <v>13</v>
      </c>
      <c r="F125" s="67" t="s">
        <v>1284</v>
      </c>
      <c r="G125" s="67" t="s">
        <v>1614</v>
      </c>
      <c r="H125" s="67"/>
      <c r="I125" s="67" t="s">
        <v>22</v>
      </c>
      <c r="J125" s="67" t="s">
        <v>64</v>
      </c>
      <c r="K125" s="67" t="s">
        <v>985</v>
      </c>
      <c r="L125" s="67" t="s">
        <v>787</v>
      </c>
      <c r="M125" s="67" t="s">
        <v>1615</v>
      </c>
      <c r="N125" s="67" t="s">
        <v>1607</v>
      </c>
      <c r="O125" s="67" t="s">
        <v>1599</v>
      </c>
      <c r="P125" s="67"/>
      <c r="Q125" s="67">
        <v>0</v>
      </c>
      <c r="R125" s="67">
        <v>0</v>
      </c>
      <c r="S125" s="67">
        <v>0</v>
      </c>
      <c r="T125" s="67">
        <v>0</v>
      </c>
      <c r="U125" s="67">
        <v>0</v>
      </c>
      <c r="V125" s="67">
        <v>0</v>
      </c>
      <c r="W125" s="67">
        <v>0</v>
      </c>
      <c r="X125" s="67">
        <v>0</v>
      </c>
      <c r="Y125" s="67">
        <v>0</v>
      </c>
      <c r="Z125" s="67">
        <v>0</v>
      </c>
      <c r="AA125" s="67">
        <v>0</v>
      </c>
      <c r="AB125" s="67">
        <v>0</v>
      </c>
      <c r="AC125" s="67">
        <v>0</v>
      </c>
      <c r="AD125" s="67">
        <v>0</v>
      </c>
      <c r="AE125" s="67">
        <v>0</v>
      </c>
      <c r="AF125" s="67">
        <v>0</v>
      </c>
      <c r="AG125" s="67">
        <v>0</v>
      </c>
      <c r="AH125" s="67">
        <v>0</v>
      </c>
      <c r="AI125" s="67">
        <v>0</v>
      </c>
      <c r="AJ125" s="67">
        <v>0</v>
      </c>
      <c r="AK125" s="67">
        <v>0</v>
      </c>
      <c r="AL125" s="67">
        <v>0</v>
      </c>
      <c r="AM125" s="67">
        <v>0</v>
      </c>
      <c r="AN125" s="67">
        <v>0</v>
      </c>
      <c r="AO125" s="67">
        <v>0</v>
      </c>
      <c r="AP125" s="67">
        <v>0</v>
      </c>
      <c r="AQ125" s="67">
        <v>0</v>
      </c>
      <c r="AR125" s="67">
        <v>0</v>
      </c>
      <c r="AS125" s="67">
        <v>0</v>
      </c>
      <c r="AT125" s="67"/>
      <c r="AU125" s="67"/>
      <c r="AV125" s="67"/>
      <c r="AW125" s="67">
        <v>0</v>
      </c>
      <c r="AX125" s="67">
        <v>0</v>
      </c>
      <c r="AY125" s="67"/>
      <c r="AZ125" s="67"/>
      <c r="BA125" s="67"/>
      <c r="BB125" s="67"/>
      <c r="BC125" s="67"/>
      <c r="BD125" s="67"/>
      <c r="BE125" s="67"/>
      <c r="BG125" s="67"/>
      <c r="BH125" s="67"/>
      <c r="BI125" s="67"/>
      <c r="BJ125" s="67">
        <v>0</v>
      </c>
      <c r="BK125" s="67"/>
      <c r="BL125" s="67"/>
      <c r="BP125" s="67"/>
      <c r="BQ125" s="67">
        <v>0</v>
      </c>
      <c r="BR125" s="67"/>
      <c r="BS125" s="67"/>
      <c r="BT125" s="67">
        <v>0</v>
      </c>
      <c r="BU125" s="67"/>
      <c r="BV125" s="67"/>
      <c r="BW125" s="67">
        <v>0</v>
      </c>
      <c r="BX125" s="67">
        <v>0</v>
      </c>
      <c r="BY125" s="67">
        <v>0</v>
      </c>
      <c r="BZ125" s="67">
        <v>0</v>
      </c>
      <c r="CA125" s="67"/>
      <c r="CB125" s="67">
        <v>0</v>
      </c>
      <c r="CC125" s="67"/>
      <c r="CD125" s="67"/>
      <c r="CE125" s="67">
        <v>0</v>
      </c>
      <c r="CF125" s="67">
        <v>0</v>
      </c>
      <c r="CG125" s="67"/>
      <c r="CH125" s="67"/>
      <c r="CI125" s="67"/>
      <c r="CJ125" s="67"/>
      <c r="CK125" s="67">
        <v>0</v>
      </c>
      <c r="CL125" s="67">
        <v>0</v>
      </c>
      <c r="CM125" s="67"/>
      <c r="CN125" s="67"/>
      <c r="CO125" s="67">
        <v>0</v>
      </c>
      <c r="CP125" s="67">
        <v>0</v>
      </c>
      <c r="CQ125" s="67"/>
      <c r="CR125" s="67"/>
      <c r="CS125" s="67"/>
      <c r="CT125" s="67"/>
      <c r="CU125" s="67">
        <v>0</v>
      </c>
      <c r="CV125" s="67"/>
      <c r="CW125" s="67"/>
      <c r="CX125" s="67"/>
      <c r="CY125" s="67">
        <v>0</v>
      </c>
      <c r="CZ125" s="67"/>
      <c r="DA125" s="67"/>
      <c r="DB125" s="67"/>
      <c r="DC125" s="67"/>
      <c r="DF125" s="67"/>
      <c r="DG125" s="67">
        <v>0</v>
      </c>
      <c r="DH125" s="67">
        <v>0</v>
      </c>
      <c r="DI125" s="67">
        <v>0</v>
      </c>
      <c r="DJ125" s="67"/>
      <c r="DK125" s="67">
        <v>0</v>
      </c>
      <c r="DL125" s="67">
        <v>0</v>
      </c>
      <c r="DM125" s="67">
        <v>0</v>
      </c>
      <c r="DN125" s="67"/>
      <c r="DO125" s="67"/>
      <c r="DP125" s="67"/>
      <c r="DQ125" s="67">
        <v>0</v>
      </c>
      <c r="DR125" s="67">
        <v>0</v>
      </c>
      <c r="DS125" s="67"/>
      <c r="DT125" s="67"/>
      <c r="DU125" s="67">
        <v>0</v>
      </c>
      <c r="DV125" s="67">
        <v>0</v>
      </c>
      <c r="DW125" s="67">
        <v>0</v>
      </c>
      <c r="DX125" s="67">
        <v>0</v>
      </c>
      <c r="DY125" s="67"/>
      <c r="DZ125" s="67">
        <v>0</v>
      </c>
      <c r="EA125" s="67"/>
      <c r="EB125" s="67">
        <v>0</v>
      </c>
      <c r="EC125" s="67"/>
      <c r="ED125" s="67">
        <v>0</v>
      </c>
      <c r="EE125" s="67"/>
      <c r="EF125" s="67">
        <v>0</v>
      </c>
      <c r="EG125" s="67"/>
      <c r="EH125" s="67"/>
      <c r="EI125" s="67"/>
      <c r="EJ125" s="67"/>
      <c r="EK125" s="67"/>
      <c r="EL125" s="67"/>
      <c r="EM125" s="67"/>
      <c r="EN125" s="67"/>
      <c r="EO125" s="67"/>
      <c r="EP125" s="67">
        <v>0</v>
      </c>
      <c r="EQ125" s="67">
        <v>0</v>
      </c>
      <c r="ER125" s="67">
        <v>0</v>
      </c>
      <c r="ES125" s="67"/>
      <c r="ET125">
        <v>0</v>
      </c>
      <c r="EX125" s="67"/>
      <c r="EY125" s="67"/>
      <c r="EZ125" s="67"/>
      <c r="FA125" s="67">
        <v>0</v>
      </c>
      <c r="FB125" s="67"/>
      <c r="FC125" s="67"/>
      <c r="FD125" s="67"/>
      <c r="FE125" s="67"/>
      <c r="FF125" s="67"/>
      <c r="FG125" s="67"/>
      <c r="FH125" s="67"/>
      <c r="FI125" s="67" t="s">
        <v>1600</v>
      </c>
    </row>
    <row r="126" spans="2:165" ht="24" x14ac:dyDescent="0.2">
      <c r="B126" s="67" t="s">
        <v>305</v>
      </c>
      <c r="C126" s="67" t="s">
        <v>1663</v>
      </c>
      <c r="D126" s="67" t="s">
        <v>498</v>
      </c>
      <c r="E126" s="67" t="s">
        <v>13</v>
      </c>
      <c r="F126" s="67" t="s">
        <v>1284</v>
      </c>
      <c r="G126" s="67" t="s">
        <v>1614</v>
      </c>
      <c r="H126" s="67"/>
      <c r="I126" s="67" t="s">
        <v>22</v>
      </c>
      <c r="J126" s="67" t="s">
        <v>64</v>
      </c>
      <c r="K126" s="67" t="s">
        <v>985</v>
      </c>
      <c r="L126" s="67" t="s">
        <v>787</v>
      </c>
      <c r="M126" s="67" t="s">
        <v>1615</v>
      </c>
      <c r="N126" s="67" t="s">
        <v>1607</v>
      </c>
      <c r="O126" s="67" t="s">
        <v>1608</v>
      </c>
      <c r="P126" s="67"/>
      <c r="Q126" s="67">
        <v>0</v>
      </c>
      <c r="R126" s="67">
        <v>0</v>
      </c>
      <c r="S126" s="67">
        <v>0</v>
      </c>
      <c r="T126" s="67">
        <v>0</v>
      </c>
      <c r="U126" s="67">
        <v>0</v>
      </c>
      <c r="V126" s="67">
        <v>0</v>
      </c>
      <c r="W126" s="67">
        <v>0</v>
      </c>
      <c r="X126" s="67">
        <v>0</v>
      </c>
      <c r="Y126" s="67">
        <v>0</v>
      </c>
      <c r="Z126" s="67">
        <v>0</v>
      </c>
      <c r="AA126" s="67">
        <v>0</v>
      </c>
      <c r="AB126" s="67">
        <v>0</v>
      </c>
      <c r="AC126" s="67">
        <v>0</v>
      </c>
      <c r="AD126" s="67">
        <v>0</v>
      </c>
      <c r="AE126" s="67">
        <v>0</v>
      </c>
      <c r="AF126" s="67">
        <v>0</v>
      </c>
      <c r="AG126" s="67">
        <v>0</v>
      </c>
      <c r="AH126" s="67">
        <v>0</v>
      </c>
      <c r="AI126" s="67">
        <v>0</v>
      </c>
      <c r="AJ126" s="67">
        <v>0</v>
      </c>
      <c r="AK126" s="67">
        <v>0</v>
      </c>
      <c r="AL126" s="67">
        <v>0</v>
      </c>
      <c r="AM126" s="67">
        <v>0</v>
      </c>
      <c r="AN126" s="67">
        <v>0</v>
      </c>
      <c r="AO126" s="67">
        <v>0</v>
      </c>
      <c r="AP126" s="67">
        <v>0</v>
      </c>
      <c r="AQ126" s="67">
        <v>0</v>
      </c>
      <c r="AR126" s="67">
        <v>0</v>
      </c>
      <c r="AS126" s="67">
        <v>0</v>
      </c>
      <c r="AT126" s="67"/>
      <c r="AU126" s="67"/>
      <c r="AV126" s="67"/>
      <c r="AW126" s="67">
        <v>0</v>
      </c>
      <c r="AX126" s="67">
        <v>0</v>
      </c>
      <c r="AY126" s="67"/>
      <c r="AZ126" s="67"/>
      <c r="BA126" s="67"/>
      <c r="BB126" s="67"/>
      <c r="BC126" s="67"/>
      <c r="BD126" s="67"/>
      <c r="BE126" s="67"/>
      <c r="BG126" s="67"/>
      <c r="BH126" s="67"/>
      <c r="BI126" s="67"/>
      <c r="BJ126" s="67">
        <v>0</v>
      </c>
      <c r="BK126" s="67"/>
      <c r="BL126" s="67"/>
      <c r="BP126" s="67"/>
      <c r="BQ126" s="67">
        <v>0</v>
      </c>
      <c r="BR126" s="67"/>
      <c r="BS126" s="67"/>
      <c r="BT126" s="67">
        <v>0</v>
      </c>
      <c r="BU126" s="67"/>
      <c r="BV126" s="67"/>
      <c r="BW126" s="67">
        <v>0</v>
      </c>
      <c r="BX126" s="67">
        <v>0</v>
      </c>
      <c r="BY126" s="67">
        <v>0</v>
      </c>
      <c r="BZ126" s="67">
        <v>0</v>
      </c>
      <c r="CA126" s="67"/>
      <c r="CB126" s="67">
        <v>0</v>
      </c>
      <c r="CC126" s="67"/>
      <c r="CD126" s="67"/>
      <c r="CE126" s="67">
        <v>0</v>
      </c>
      <c r="CF126" s="67">
        <v>0</v>
      </c>
      <c r="CG126" s="67"/>
      <c r="CH126" s="67"/>
      <c r="CI126" s="67"/>
      <c r="CJ126" s="67"/>
      <c r="CK126" s="67">
        <v>0</v>
      </c>
      <c r="CL126" s="67">
        <v>0</v>
      </c>
      <c r="CM126" s="67"/>
      <c r="CN126" s="67"/>
      <c r="CO126" s="67">
        <v>0</v>
      </c>
      <c r="CP126" s="67">
        <v>0</v>
      </c>
      <c r="CQ126" s="67"/>
      <c r="CR126" s="67"/>
      <c r="CS126" s="67"/>
      <c r="CT126" s="67"/>
      <c r="CU126" s="67">
        <v>0</v>
      </c>
      <c r="CV126" s="67"/>
      <c r="CW126" s="67"/>
      <c r="CX126" s="67"/>
      <c r="CY126" s="67">
        <v>0</v>
      </c>
      <c r="CZ126" s="67"/>
      <c r="DA126" s="67"/>
      <c r="DB126" s="67"/>
      <c r="DC126" s="67"/>
      <c r="DF126" s="67"/>
      <c r="DG126" s="67">
        <v>0</v>
      </c>
      <c r="DH126" s="67">
        <v>0</v>
      </c>
      <c r="DI126" s="67">
        <v>0</v>
      </c>
      <c r="DJ126" s="67"/>
      <c r="DK126" s="67">
        <v>0</v>
      </c>
      <c r="DL126" s="67">
        <v>0</v>
      </c>
      <c r="DM126" s="67">
        <v>0</v>
      </c>
      <c r="DN126" s="67"/>
      <c r="DO126" s="67"/>
      <c r="DP126" s="67"/>
      <c r="DQ126" s="67">
        <v>0</v>
      </c>
      <c r="DR126" s="67">
        <v>0</v>
      </c>
      <c r="DS126" s="67"/>
      <c r="DT126" s="67"/>
      <c r="DU126" s="67">
        <v>0</v>
      </c>
      <c r="DV126" s="67">
        <v>0</v>
      </c>
      <c r="DW126" s="67">
        <v>0</v>
      </c>
      <c r="DX126" s="67">
        <v>0</v>
      </c>
      <c r="DY126" s="67"/>
      <c r="DZ126" s="67">
        <v>0</v>
      </c>
      <c r="EA126" s="67"/>
      <c r="EB126" s="67">
        <v>0</v>
      </c>
      <c r="EC126" s="67"/>
      <c r="ED126" s="67">
        <v>0</v>
      </c>
      <c r="EE126" s="67"/>
      <c r="EF126" s="67">
        <v>0</v>
      </c>
      <c r="EG126" s="67"/>
      <c r="EH126" s="67"/>
      <c r="EI126" s="67"/>
      <c r="EJ126" s="67"/>
      <c r="EK126" s="67"/>
      <c r="EL126" s="67"/>
      <c r="EM126" s="67"/>
      <c r="EN126" s="67"/>
      <c r="EO126" s="67"/>
      <c r="EP126" s="67">
        <v>0</v>
      </c>
      <c r="EQ126" s="67">
        <v>0</v>
      </c>
      <c r="ER126" s="67">
        <v>0</v>
      </c>
      <c r="ES126" s="67"/>
      <c r="ET126">
        <v>0</v>
      </c>
      <c r="EX126" s="67"/>
      <c r="EY126" s="67"/>
      <c r="EZ126" s="67"/>
      <c r="FA126" s="67">
        <v>0</v>
      </c>
      <c r="FB126" s="67"/>
      <c r="FC126" s="67"/>
      <c r="FD126" s="67"/>
      <c r="FE126" s="67"/>
      <c r="FF126" s="67"/>
      <c r="FG126" s="67"/>
      <c r="FH126" s="67"/>
      <c r="FI126" s="67" t="s">
        <v>1600</v>
      </c>
    </row>
    <row r="127" spans="2:165" ht="24" x14ac:dyDescent="0.2">
      <c r="B127" s="67" t="s">
        <v>499</v>
      </c>
      <c r="C127" s="67" t="s">
        <v>499</v>
      </c>
      <c r="D127" s="67" t="s">
        <v>500</v>
      </c>
      <c r="E127" s="67" t="s">
        <v>13</v>
      </c>
      <c r="F127" s="67" t="s">
        <v>933</v>
      </c>
      <c r="G127" s="67" t="s">
        <v>1597</v>
      </c>
      <c r="H127" s="67"/>
      <c r="I127" s="67" t="s">
        <v>41</v>
      </c>
      <c r="J127" s="67" t="s">
        <v>64</v>
      </c>
      <c r="K127" s="67" t="s">
        <v>1639</v>
      </c>
      <c r="L127" s="67" t="s">
        <v>787</v>
      </c>
      <c r="M127" s="67" t="s">
        <v>752</v>
      </c>
      <c r="N127" s="67" t="s">
        <v>1601</v>
      </c>
      <c r="O127" s="67" t="s">
        <v>1599</v>
      </c>
      <c r="P127" s="67"/>
      <c r="Q127" s="67">
        <v>200</v>
      </c>
      <c r="R127" s="67">
        <v>0</v>
      </c>
      <c r="S127" s="67">
        <v>0</v>
      </c>
      <c r="T127" s="67">
        <v>0</v>
      </c>
      <c r="U127" s="67">
        <v>0</v>
      </c>
      <c r="V127" s="67">
        <v>0</v>
      </c>
      <c r="W127" s="67">
        <v>0</v>
      </c>
      <c r="X127" s="67">
        <v>0</v>
      </c>
      <c r="Y127" s="67">
        <v>0</v>
      </c>
      <c r="Z127" s="67">
        <v>0</v>
      </c>
      <c r="AA127" s="67">
        <v>0</v>
      </c>
      <c r="AB127" s="67">
        <v>0</v>
      </c>
      <c r="AC127" s="67">
        <v>0</v>
      </c>
      <c r="AD127" s="67">
        <v>0</v>
      </c>
      <c r="AE127" s="67">
        <v>0</v>
      </c>
      <c r="AF127" s="67">
        <v>200</v>
      </c>
      <c r="AG127" s="67">
        <v>0</v>
      </c>
      <c r="AH127" s="67">
        <v>0</v>
      </c>
      <c r="AI127" s="67">
        <v>0</v>
      </c>
      <c r="AJ127" s="67">
        <v>0</v>
      </c>
      <c r="AK127" s="67">
        <v>0</v>
      </c>
      <c r="AL127" s="67">
        <v>0</v>
      </c>
      <c r="AM127" s="67">
        <v>0</v>
      </c>
      <c r="AN127" s="67">
        <v>0</v>
      </c>
      <c r="AO127" s="67">
        <v>0</v>
      </c>
      <c r="AP127" s="67">
        <v>0</v>
      </c>
      <c r="AQ127" s="67">
        <v>0</v>
      </c>
      <c r="AR127" s="67">
        <v>0</v>
      </c>
      <c r="AS127" s="67">
        <v>0</v>
      </c>
      <c r="AT127" s="67"/>
      <c r="AU127" s="67"/>
      <c r="AV127" s="67"/>
      <c r="AW127" s="67">
        <v>0</v>
      </c>
      <c r="AX127" s="67">
        <v>0</v>
      </c>
      <c r="AY127" s="67"/>
      <c r="AZ127" s="67"/>
      <c r="BA127" s="67"/>
      <c r="BB127" s="67"/>
      <c r="BC127" s="67"/>
      <c r="BD127" s="67"/>
      <c r="BE127" s="67"/>
      <c r="BG127" s="67"/>
      <c r="BH127" s="67"/>
      <c r="BI127" s="67"/>
      <c r="BJ127" s="67">
        <v>0</v>
      </c>
      <c r="BK127" s="67"/>
      <c r="BL127" s="67"/>
      <c r="BP127" s="67"/>
      <c r="BQ127" s="67">
        <v>0</v>
      </c>
      <c r="BR127" s="67"/>
      <c r="BS127" s="67"/>
      <c r="BT127" s="67">
        <v>0</v>
      </c>
      <c r="BU127" s="67"/>
      <c r="BV127" s="67"/>
      <c r="BW127" s="67">
        <v>0</v>
      </c>
      <c r="BX127" s="67">
        <v>0</v>
      </c>
      <c r="BY127" s="67">
        <v>0</v>
      </c>
      <c r="BZ127" s="67">
        <v>0</v>
      </c>
      <c r="CA127" s="67"/>
      <c r="CB127" s="67">
        <v>0</v>
      </c>
      <c r="CC127" s="67"/>
      <c r="CD127" s="67"/>
      <c r="CE127" s="67">
        <v>0</v>
      </c>
      <c r="CF127" s="67">
        <v>0</v>
      </c>
      <c r="CG127" s="67"/>
      <c r="CH127" s="67"/>
      <c r="CI127" s="67"/>
      <c r="CJ127" s="67"/>
      <c r="CK127" s="67">
        <v>0</v>
      </c>
      <c r="CL127" s="67">
        <v>0</v>
      </c>
      <c r="CM127" s="67"/>
      <c r="CN127" s="67"/>
      <c r="CO127" s="67">
        <v>0</v>
      </c>
      <c r="CP127" s="67">
        <v>0</v>
      </c>
      <c r="CQ127" s="67"/>
      <c r="CR127" s="67"/>
      <c r="CS127" s="67"/>
      <c r="CT127" s="67"/>
      <c r="CU127" s="67">
        <v>0</v>
      </c>
      <c r="CV127" s="67"/>
      <c r="CW127" s="67"/>
      <c r="CX127" s="67"/>
      <c r="CY127" s="67">
        <v>0</v>
      </c>
      <c r="CZ127" s="67"/>
      <c r="DA127" s="67"/>
      <c r="DB127" s="67"/>
      <c r="DC127" s="67"/>
      <c r="DF127" s="67"/>
      <c r="DG127" s="67">
        <v>0</v>
      </c>
      <c r="DH127" s="67">
        <v>0</v>
      </c>
      <c r="DI127" s="67">
        <v>0</v>
      </c>
      <c r="DJ127" s="67"/>
      <c r="DK127" s="67">
        <v>0</v>
      </c>
      <c r="DL127" s="67">
        <v>0</v>
      </c>
      <c r="DM127" s="67">
        <v>0</v>
      </c>
      <c r="DN127" s="67"/>
      <c r="DO127" s="67"/>
      <c r="DP127" s="67"/>
      <c r="DQ127" s="67">
        <v>0</v>
      </c>
      <c r="DR127" s="67">
        <v>0</v>
      </c>
      <c r="DS127" s="67"/>
      <c r="DT127" s="67"/>
      <c r="DU127" s="67">
        <v>0</v>
      </c>
      <c r="DV127" s="67">
        <v>0</v>
      </c>
      <c r="DW127" s="67">
        <v>0</v>
      </c>
      <c r="DX127" s="67">
        <v>0</v>
      </c>
      <c r="DY127" s="67"/>
      <c r="DZ127" s="67">
        <v>0</v>
      </c>
      <c r="EA127" s="67"/>
      <c r="EB127" s="67">
        <v>0</v>
      </c>
      <c r="EC127" s="67"/>
      <c r="ED127" s="67">
        <v>0</v>
      </c>
      <c r="EE127" s="67"/>
      <c r="EF127" s="67">
        <v>0</v>
      </c>
      <c r="EG127" s="67"/>
      <c r="EH127" s="67"/>
      <c r="EI127" s="67"/>
      <c r="EJ127" s="67"/>
      <c r="EK127" s="67"/>
      <c r="EL127" s="67"/>
      <c r="EM127" s="67"/>
      <c r="EN127" s="67"/>
      <c r="EO127" s="67"/>
      <c r="EP127" s="67">
        <v>0</v>
      </c>
      <c r="EQ127" s="67">
        <v>0</v>
      </c>
      <c r="ER127" s="67">
        <v>0</v>
      </c>
      <c r="ES127" s="67"/>
      <c r="ET127">
        <v>0</v>
      </c>
      <c r="EX127" s="67"/>
      <c r="EY127" s="67"/>
      <c r="EZ127" s="67"/>
      <c r="FA127" s="67">
        <v>200</v>
      </c>
      <c r="FB127" s="67"/>
      <c r="FC127" s="67"/>
      <c r="FD127" s="67"/>
      <c r="FE127" s="67"/>
      <c r="FF127" s="67"/>
      <c r="FG127" s="67"/>
      <c r="FH127" s="67"/>
      <c r="FI127" s="67" t="s">
        <v>1600</v>
      </c>
    </row>
    <row r="128" spans="2:165" ht="24" x14ac:dyDescent="0.2">
      <c r="B128" s="67" t="s">
        <v>501</v>
      </c>
      <c r="C128" s="67" t="s">
        <v>501</v>
      </c>
      <c r="D128" s="67" t="s">
        <v>502</v>
      </c>
      <c r="E128" s="67" t="s">
        <v>13</v>
      </c>
      <c r="F128" s="67" t="s">
        <v>933</v>
      </c>
      <c r="G128" s="67" t="s">
        <v>1597</v>
      </c>
      <c r="H128" s="67"/>
      <c r="I128" s="67" t="s">
        <v>41</v>
      </c>
      <c r="J128" s="67" t="s">
        <v>64</v>
      </c>
      <c r="K128" s="67" t="s">
        <v>1639</v>
      </c>
      <c r="L128" s="67" t="s">
        <v>787</v>
      </c>
      <c r="M128" s="67" t="s">
        <v>752</v>
      </c>
      <c r="N128" s="67" t="s">
        <v>1598</v>
      </c>
      <c r="O128" s="67" t="s">
        <v>1599</v>
      </c>
      <c r="P128" s="67"/>
      <c r="Q128" s="67">
        <v>400</v>
      </c>
      <c r="R128" s="67">
        <v>0</v>
      </c>
      <c r="S128" s="67">
        <v>0</v>
      </c>
      <c r="T128" s="67">
        <v>0</v>
      </c>
      <c r="U128" s="67">
        <v>0</v>
      </c>
      <c r="V128" s="67">
        <v>0</v>
      </c>
      <c r="W128" s="67">
        <v>0</v>
      </c>
      <c r="X128" s="67">
        <v>0</v>
      </c>
      <c r="Y128" s="67">
        <v>0</v>
      </c>
      <c r="Z128" s="67">
        <v>0</v>
      </c>
      <c r="AA128" s="67">
        <v>0</v>
      </c>
      <c r="AB128" s="67">
        <v>0</v>
      </c>
      <c r="AC128" s="67">
        <v>0</v>
      </c>
      <c r="AD128" s="67">
        <v>0</v>
      </c>
      <c r="AE128" s="67">
        <v>0</v>
      </c>
      <c r="AF128" s="67">
        <v>400</v>
      </c>
      <c r="AG128" s="67">
        <v>0</v>
      </c>
      <c r="AH128" s="67">
        <v>0</v>
      </c>
      <c r="AI128" s="67">
        <v>0</v>
      </c>
      <c r="AJ128" s="67">
        <v>0</v>
      </c>
      <c r="AK128" s="67">
        <v>0</v>
      </c>
      <c r="AL128" s="67">
        <v>0</v>
      </c>
      <c r="AM128" s="67">
        <v>0</v>
      </c>
      <c r="AN128" s="67">
        <v>0</v>
      </c>
      <c r="AO128" s="67">
        <v>0</v>
      </c>
      <c r="AP128" s="67">
        <v>0</v>
      </c>
      <c r="AQ128" s="67">
        <v>0</v>
      </c>
      <c r="AR128" s="67">
        <v>0</v>
      </c>
      <c r="AS128" s="67">
        <v>0</v>
      </c>
      <c r="AT128" s="67"/>
      <c r="AU128" s="67"/>
      <c r="AV128" s="67"/>
      <c r="AW128" s="67">
        <v>0</v>
      </c>
      <c r="AX128" s="67">
        <v>0</v>
      </c>
      <c r="AY128" s="67"/>
      <c r="AZ128" s="67"/>
      <c r="BA128" s="67"/>
      <c r="BB128" s="67"/>
      <c r="BC128" s="67"/>
      <c r="BD128" s="67"/>
      <c r="BE128" s="67"/>
      <c r="BG128" s="67"/>
      <c r="BH128" s="67"/>
      <c r="BI128" s="67"/>
      <c r="BJ128" s="67">
        <v>0</v>
      </c>
      <c r="BK128" s="67"/>
      <c r="BL128" s="67"/>
      <c r="BP128" s="67"/>
      <c r="BQ128" s="67">
        <v>0</v>
      </c>
      <c r="BR128" s="67"/>
      <c r="BS128" s="67"/>
      <c r="BT128" s="67">
        <v>0</v>
      </c>
      <c r="BU128" s="67"/>
      <c r="BV128" s="67"/>
      <c r="BW128" s="67">
        <v>0</v>
      </c>
      <c r="BX128" s="67">
        <v>0</v>
      </c>
      <c r="BY128" s="67">
        <v>0</v>
      </c>
      <c r="BZ128" s="67">
        <v>0</v>
      </c>
      <c r="CA128" s="67"/>
      <c r="CB128" s="67">
        <v>0</v>
      </c>
      <c r="CC128" s="67"/>
      <c r="CD128" s="67"/>
      <c r="CE128" s="67">
        <v>0</v>
      </c>
      <c r="CF128" s="67">
        <v>0</v>
      </c>
      <c r="CG128" s="67"/>
      <c r="CH128" s="67"/>
      <c r="CI128" s="67"/>
      <c r="CJ128" s="67"/>
      <c r="CK128" s="67">
        <v>0</v>
      </c>
      <c r="CL128" s="67">
        <v>0</v>
      </c>
      <c r="CM128" s="67"/>
      <c r="CN128" s="67"/>
      <c r="CO128" s="67">
        <v>0</v>
      </c>
      <c r="CP128" s="67">
        <v>0</v>
      </c>
      <c r="CQ128" s="67"/>
      <c r="CR128" s="67"/>
      <c r="CS128" s="67"/>
      <c r="CT128" s="67"/>
      <c r="CU128" s="67">
        <v>0</v>
      </c>
      <c r="CV128" s="67"/>
      <c r="CW128" s="67"/>
      <c r="CX128" s="67"/>
      <c r="CY128" s="67">
        <v>0</v>
      </c>
      <c r="CZ128" s="67"/>
      <c r="DA128" s="67"/>
      <c r="DB128" s="67"/>
      <c r="DC128" s="67"/>
      <c r="DF128" s="67"/>
      <c r="DG128" s="67">
        <v>0</v>
      </c>
      <c r="DH128" s="67">
        <v>0</v>
      </c>
      <c r="DI128" s="67">
        <v>0</v>
      </c>
      <c r="DJ128" s="67"/>
      <c r="DK128" s="67">
        <v>0</v>
      </c>
      <c r="DL128" s="67">
        <v>0</v>
      </c>
      <c r="DM128" s="67">
        <v>0</v>
      </c>
      <c r="DN128" s="67"/>
      <c r="DO128" s="67"/>
      <c r="DP128" s="67"/>
      <c r="DQ128" s="67">
        <v>0</v>
      </c>
      <c r="DR128" s="67">
        <v>0</v>
      </c>
      <c r="DS128" s="67"/>
      <c r="DT128" s="67"/>
      <c r="DU128" s="67">
        <v>0</v>
      </c>
      <c r="DV128" s="67">
        <v>0</v>
      </c>
      <c r="DW128" s="67">
        <v>0</v>
      </c>
      <c r="DX128" s="67">
        <v>0</v>
      </c>
      <c r="DY128" s="67"/>
      <c r="DZ128" s="67">
        <v>0</v>
      </c>
      <c r="EA128" s="67"/>
      <c r="EB128" s="67">
        <v>0</v>
      </c>
      <c r="EC128" s="67"/>
      <c r="ED128" s="67">
        <v>0</v>
      </c>
      <c r="EE128" s="67"/>
      <c r="EF128" s="67">
        <v>0</v>
      </c>
      <c r="EG128" s="67"/>
      <c r="EH128" s="67"/>
      <c r="EI128" s="67"/>
      <c r="EJ128" s="67"/>
      <c r="EK128" s="67"/>
      <c r="EL128" s="67"/>
      <c r="EM128" s="67"/>
      <c r="EN128" s="67"/>
      <c r="EO128" s="67"/>
      <c r="EP128" s="67">
        <v>0</v>
      </c>
      <c r="EQ128" s="67">
        <v>0</v>
      </c>
      <c r="ER128" s="67">
        <v>0</v>
      </c>
      <c r="ES128" s="67"/>
      <c r="ET128">
        <v>0</v>
      </c>
      <c r="EX128" s="67"/>
      <c r="EY128" s="67"/>
      <c r="EZ128" s="67"/>
      <c r="FA128" s="67">
        <v>400</v>
      </c>
      <c r="FB128" s="67"/>
      <c r="FC128" s="67"/>
      <c r="FD128" s="67"/>
      <c r="FE128" s="67"/>
      <c r="FF128" s="67"/>
      <c r="FG128" s="67"/>
      <c r="FH128" s="67"/>
      <c r="FI128" s="67" t="s">
        <v>1600</v>
      </c>
    </row>
    <row r="129" spans="2:165" ht="24" x14ac:dyDescent="0.2">
      <c r="B129" s="67" t="s">
        <v>503</v>
      </c>
      <c r="C129" s="67" t="s">
        <v>503</v>
      </c>
      <c r="D129" s="67" t="s">
        <v>504</v>
      </c>
      <c r="E129" s="67" t="s">
        <v>13</v>
      </c>
      <c r="F129" s="67" t="s">
        <v>933</v>
      </c>
      <c r="G129" s="67" t="s">
        <v>1597</v>
      </c>
      <c r="H129" s="67"/>
      <c r="I129" s="67" t="s">
        <v>41</v>
      </c>
      <c r="J129" s="67" t="s">
        <v>64</v>
      </c>
      <c r="K129" s="67" t="s">
        <v>1639</v>
      </c>
      <c r="L129" s="67" t="s">
        <v>787</v>
      </c>
      <c r="M129" s="67" t="s">
        <v>752</v>
      </c>
      <c r="N129" s="67" t="s">
        <v>1598</v>
      </c>
      <c r="O129" s="67" t="s">
        <v>1599</v>
      </c>
      <c r="P129" s="67"/>
      <c r="Q129" s="67">
        <v>504</v>
      </c>
      <c r="R129" s="67">
        <v>0</v>
      </c>
      <c r="S129" s="67">
        <v>0</v>
      </c>
      <c r="T129" s="67">
        <v>0</v>
      </c>
      <c r="U129" s="67">
        <v>0</v>
      </c>
      <c r="V129" s="67">
        <v>0</v>
      </c>
      <c r="W129" s="67">
        <v>0</v>
      </c>
      <c r="X129" s="67">
        <v>0</v>
      </c>
      <c r="Y129" s="67">
        <v>0</v>
      </c>
      <c r="Z129" s="67">
        <v>0</v>
      </c>
      <c r="AA129" s="67">
        <v>0</v>
      </c>
      <c r="AB129" s="67">
        <v>0</v>
      </c>
      <c r="AC129" s="67">
        <v>0</v>
      </c>
      <c r="AD129" s="67">
        <v>0</v>
      </c>
      <c r="AE129" s="67">
        <v>0</v>
      </c>
      <c r="AF129" s="67">
        <v>504</v>
      </c>
      <c r="AG129" s="67">
        <v>0</v>
      </c>
      <c r="AH129" s="67">
        <v>0</v>
      </c>
      <c r="AI129" s="67">
        <v>0</v>
      </c>
      <c r="AJ129" s="67">
        <v>0</v>
      </c>
      <c r="AK129" s="67">
        <v>0</v>
      </c>
      <c r="AL129" s="67">
        <v>0</v>
      </c>
      <c r="AM129" s="67">
        <v>0</v>
      </c>
      <c r="AN129" s="67">
        <v>0</v>
      </c>
      <c r="AO129" s="67">
        <v>0</v>
      </c>
      <c r="AP129" s="67">
        <v>0</v>
      </c>
      <c r="AQ129" s="67">
        <v>0</v>
      </c>
      <c r="AR129" s="67">
        <v>0</v>
      </c>
      <c r="AS129" s="67">
        <v>0</v>
      </c>
      <c r="AT129" s="67"/>
      <c r="AU129" s="67"/>
      <c r="AV129" s="67"/>
      <c r="AW129" s="67">
        <v>0</v>
      </c>
      <c r="AX129" s="67">
        <v>0</v>
      </c>
      <c r="AY129" s="67"/>
      <c r="AZ129" s="67"/>
      <c r="BA129" s="67"/>
      <c r="BB129" s="67"/>
      <c r="BC129" s="67"/>
      <c r="BD129" s="67"/>
      <c r="BE129" s="67"/>
      <c r="BG129" s="67"/>
      <c r="BH129" s="67"/>
      <c r="BI129" s="67"/>
      <c r="BJ129" s="67">
        <v>0</v>
      </c>
      <c r="BK129" s="67"/>
      <c r="BL129" s="67"/>
      <c r="BP129" s="67"/>
      <c r="BQ129" s="67">
        <v>0</v>
      </c>
      <c r="BR129" s="67"/>
      <c r="BS129" s="67"/>
      <c r="BT129" s="67">
        <v>0</v>
      </c>
      <c r="BU129" s="67"/>
      <c r="BV129" s="67"/>
      <c r="BW129" s="67">
        <v>0</v>
      </c>
      <c r="BX129" s="67">
        <v>0</v>
      </c>
      <c r="BY129" s="67">
        <v>0</v>
      </c>
      <c r="BZ129" s="67">
        <v>0</v>
      </c>
      <c r="CA129" s="67"/>
      <c r="CB129" s="67">
        <v>0</v>
      </c>
      <c r="CC129" s="67"/>
      <c r="CD129" s="67"/>
      <c r="CE129" s="67">
        <v>0</v>
      </c>
      <c r="CF129" s="67">
        <v>0</v>
      </c>
      <c r="CG129" s="67"/>
      <c r="CH129" s="67"/>
      <c r="CI129" s="67"/>
      <c r="CJ129" s="67"/>
      <c r="CK129" s="67">
        <v>0</v>
      </c>
      <c r="CL129" s="67">
        <v>0</v>
      </c>
      <c r="CM129" s="67"/>
      <c r="CN129" s="67"/>
      <c r="CO129" s="67">
        <v>0</v>
      </c>
      <c r="CP129" s="67">
        <v>0</v>
      </c>
      <c r="CQ129" s="67"/>
      <c r="CR129" s="67"/>
      <c r="CS129" s="67"/>
      <c r="CT129" s="67"/>
      <c r="CU129" s="67">
        <v>0</v>
      </c>
      <c r="CV129" s="67"/>
      <c r="CW129" s="67"/>
      <c r="CX129" s="67"/>
      <c r="CY129" s="67">
        <v>0</v>
      </c>
      <c r="CZ129" s="67"/>
      <c r="DA129" s="67"/>
      <c r="DB129" s="67"/>
      <c r="DC129" s="67"/>
      <c r="DF129" s="67"/>
      <c r="DG129" s="67">
        <v>0</v>
      </c>
      <c r="DH129" s="67">
        <v>0</v>
      </c>
      <c r="DI129" s="67">
        <v>0</v>
      </c>
      <c r="DJ129" s="67"/>
      <c r="DK129" s="67">
        <v>0</v>
      </c>
      <c r="DL129" s="67">
        <v>0</v>
      </c>
      <c r="DM129" s="67">
        <v>0</v>
      </c>
      <c r="DN129" s="67"/>
      <c r="DO129" s="67"/>
      <c r="DP129" s="67"/>
      <c r="DQ129" s="67">
        <v>0</v>
      </c>
      <c r="DR129" s="67">
        <v>0</v>
      </c>
      <c r="DS129" s="67"/>
      <c r="DT129" s="67"/>
      <c r="DU129" s="67">
        <v>0</v>
      </c>
      <c r="DV129" s="67">
        <v>0</v>
      </c>
      <c r="DW129" s="67">
        <v>0</v>
      </c>
      <c r="DX129" s="67">
        <v>0</v>
      </c>
      <c r="DY129" s="67"/>
      <c r="DZ129" s="67">
        <v>0</v>
      </c>
      <c r="EA129" s="67"/>
      <c r="EB129" s="67">
        <v>0</v>
      </c>
      <c r="EC129" s="67"/>
      <c r="ED129" s="67">
        <v>0</v>
      </c>
      <c r="EE129" s="67"/>
      <c r="EF129" s="67">
        <v>0</v>
      </c>
      <c r="EG129" s="67"/>
      <c r="EH129" s="67"/>
      <c r="EI129" s="67"/>
      <c r="EJ129" s="67"/>
      <c r="EK129" s="67"/>
      <c r="EL129" s="67"/>
      <c r="EM129" s="67"/>
      <c r="EN129" s="67"/>
      <c r="EO129" s="67"/>
      <c r="EP129" s="67">
        <v>0</v>
      </c>
      <c r="EQ129" s="67">
        <v>0</v>
      </c>
      <c r="ER129" s="67">
        <v>0</v>
      </c>
      <c r="ES129" s="67"/>
      <c r="ET129">
        <v>0</v>
      </c>
      <c r="EX129" s="67"/>
      <c r="EY129" s="67"/>
      <c r="EZ129" s="67"/>
      <c r="FA129" s="67">
        <v>504</v>
      </c>
      <c r="FB129" s="67"/>
      <c r="FC129" s="67"/>
      <c r="FD129" s="67"/>
      <c r="FE129" s="67"/>
      <c r="FF129" s="67"/>
      <c r="FG129" s="67"/>
      <c r="FH129" s="67"/>
      <c r="FI129" s="67" t="s">
        <v>1600</v>
      </c>
    </row>
    <row r="130" spans="2:165" ht="24" x14ac:dyDescent="0.2">
      <c r="B130" s="67" t="s">
        <v>505</v>
      </c>
      <c r="C130" s="67" t="s">
        <v>505</v>
      </c>
      <c r="D130" s="67" t="s">
        <v>506</v>
      </c>
      <c r="E130" s="67" t="s">
        <v>13</v>
      </c>
      <c r="F130" s="67" t="s">
        <v>933</v>
      </c>
      <c r="G130" s="67" t="s">
        <v>1597</v>
      </c>
      <c r="H130" s="67"/>
      <c r="I130" s="67" t="s">
        <v>22</v>
      </c>
      <c r="J130" s="67" t="s">
        <v>64</v>
      </c>
      <c r="K130" s="67" t="s">
        <v>1639</v>
      </c>
      <c r="L130" s="67" t="s">
        <v>934</v>
      </c>
      <c r="M130" s="67" t="s">
        <v>752</v>
      </c>
      <c r="N130" s="67" t="s">
        <v>1598</v>
      </c>
      <c r="O130" s="67" t="s">
        <v>1599</v>
      </c>
      <c r="P130" s="67"/>
      <c r="Q130" s="67">
        <v>384</v>
      </c>
      <c r="R130" s="67">
        <v>0</v>
      </c>
      <c r="S130" s="67">
        <v>0</v>
      </c>
      <c r="T130" s="67">
        <v>0</v>
      </c>
      <c r="U130" s="67">
        <v>0</v>
      </c>
      <c r="V130" s="67">
        <v>0</v>
      </c>
      <c r="W130" s="67">
        <v>0</v>
      </c>
      <c r="X130" s="67">
        <v>0</v>
      </c>
      <c r="Y130" s="67">
        <v>0</v>
      </c>
      <c r="Z130" s="67">
        <v>0</v>
      </c>
      <c r="AA130" s="67">
        <v>0</v>
      </c>
      <c r="AB130" s="67">
        <v>0</v>
      </c>
      <c r="AC130" s="67">
        <v>0</v>
      </c>
      <c r="AD130" s="67">
        <v>0</v>
      </c>
      <c r="AE130" s="67">
        <v>0</v>
      </c>
      <c r="AF130" s="67">
        <v>384</v>
      </c>
      <c r="AG130" s="67">
        <v>0</v>
      </c>
      <c r="AH130" s="67">
        <v>0</v>
      </c>
      <c r="AI130" s="67">
        <v>0</v>
      </c>
      <c r="AJ130" s="67">
        <v>0</v>
      </c>
      <c r="AK130" s="67">
        <v>0</v>
      </c>
      <c r="AL130" s="67">
        <v>0</v>
      </c>
      <c r="AM130" s="67">
        <v>0</v>
      </c>
      <c r="AN130" s="67">
        <v>0</v>
      </c>
      <c r="AO130" s="67">
        <v>0</v>
      </c>
      <c r="AP130" s="67">
        <v>0</v>
      </c>
      <c r="AQ130" s="67">
        <v>0</v>
      </c>
      <c r="AR130" s="67">
        <v>0</v>
      </c>
      <c r="AS130" s="67">
        <v>0</v>
      </c>
      <c r="AT130" s="67"/>
      <c r="AU130" s="67"/>
      <c r="AV130" s="67"/>
      <c r="AW130" s="67">
        <v>0</v>
      </c>
      <c r="AX130" s="67">
        <v>0</v>
      </c>
      <c r="AY130" s="67"/>
      <c r="AZ130" s="67"/>
      <c r="BA130" s="67"/>
      <c r="BB130" s="67"/>
      <c r="BC130" s="67"/>
      <c r="BD130" s="67"/>
      <c r="BE130" s="67"/>
      <c r="BG130" s="67"/>
      <c r="BH130" s="67"/>
      <c r="BI130" s="67"/>
      <c r="BJ130" s="67">
        <v>0</v>
      </c>
      <c r="BK130" s="67"/>
      <c r="BL130" s="67"/>
      <c r="BP130" s="67"/>
      <c r="BQ130" s="67">
        <v>0</v>
      </c>
      <c r="BR130" s="67"/>
      <c r="BS130" s="67"/>
      <c r="BT130" s="67">
        <v>0</v>
      </c>
      <c r="BU130" s="67"/>
      <c r="BV130" s="67"/>
      <c r="BW130" s="67">
        <v>0</v>
      </c>
      <c r="BX130" s="67">
        <v>0</v>
      </c>
      <c r="BY130" s="67">
        <v>0</v>
      </c>
      <c r="BZ130" s="67">
        <v>0</v>
      </c>
      <c r="CA130" s="67"/>
      <c r="CB130" s="67">
        <v>0</v>
      </c>
      <c r="CC130" s="67"/>
      <c r="CD130" s="67"/>
      <c r="CE130" s="67">
        <v>0</v>
      </c>
      <c r="CF130" s="67">
        <v>0</v>
      </c>
      <c r="CG130" s="67"/>
      <c r="CH130" s="67"/>
      <c r="CI130" s="67"/>
      <c r="CJ130" s="67"/>
      <c r="CK130" s="67">
        <v>0</v>
      </c>
      <c r="CL130" s="67">
        <v>0</v>
      </c>
      <c r="CM130" s="67"/>
      <c r="CN130" s="67"/>
      <c r="CO130" s="67">
        <v>0</v>
      </c>
      <c r="CP130" s="67">
        <v>0</v>
      </c>
      <c r="CQ130" s="67"/>
      <c r="CR130" s="67"/>
      <c r="CS130" s="67"/>
      <c r="CT130" s="67"/>
      <c r="CU130" s="67">
        <v>0</v>
      </c>
      <c r="CV130" s="67"/>
      <c r="CW130" s="67"/>
      <c r="CX130" s="67"/>
      <c r="CY130" s="67">
        <v>0</v>
      </c>
      <c r="CZ130" s="67"/>
      <c r="DA130" s="67"/>
      <c r="DB130" s="67"/>
      <c r="DC130" s="67"/>
      <c r="DF130" s="67"/>
      <c r="DG130" s="67">
        <v>0</v>
      </c>
      <c r="DH130" s="67">
        <v>0</v>
      </c>
      <c r="DI130" s="67">
        <v>0</v>
      </c>
      <c r="DJ130" s="67"/>
      <c r="DK130" s="67">
        <v>0</v>
      </c>
      <c r="DL130" s="67">
        <v>0</v>
      </c>
      <c r="DM130" s="67">
        <v>0</v>
      </c>
      <c r="DN130" s="67"/>
      <c r="DO130" s="67"/>
      <c r="DP130" s="67"/>
      <c r="DQ130" s="67">
        <v>0</v>
      </c>
      <c r="DR130" s="67">
        <v>0</v>
      </c>
      <c r="DS130" s="67"/>
      <c r="DT130" s="67"/>
      <c r="DU130" s="67">
        <v>0</v>
      </c>
      <c r="DV130" s="67">
        <v>0</v>
      </c>
      <c r="DW130" s="67">
        <v>0</v>
      </c>
      <c r="DX130" s="67">
        <v>0</v>
      </c>
      <c r="DY130" s="67"/>
      <c r="DZ130" s="67">
        <v>0</v>
      </c>
      <c r="EA130" s="67"/>
      <c r="EB130" s="67">
        <v>0</v>
      </c>
      <c r="EC130" s="67"/>
      <c r="ED130" s="67">
        <v>0</v>
      </c>
      <c r="EE130" s="67"/>
      <c r="EF130" s="67">
        <v>0</v>
      </c>
      <c r="EG130" s="67"/>
      <c r="EH130" s="67"/>
      <c r="EI130" s="67"/>
      <c r="EJ130" s="67"/>
      <c r="EK130" s="67"/>
      <c r="EL130" s="67"/>
      <c r="EM130" s="67"/>
      <c r="EN130" s="67"/>
      <c r="EO130" s="67"/>
      <c r="EP130" s="67">
        <v>0</v>
      </c>
      <c r="EQ130" s="67">
        <v>0</v>
      </c>
      <c r="ER130" s="67">
        <v>0</v>
      </c>
      <c r="ES130" s="67"/>
      <c r="ET130">
        <v>0</v>
      </c>
      <c r="EX130" s="67"/>
      <c r="EY130" s="67"/>
      <c r="EZ130" s="67"/>
      <c r="FA130" s="67">
        <v>384</v>
      </c>
      <c r="FB130" s="67"/>
      <c r="FC130" s="67"/>
      <c r="FD130" s="67"/>
      <c r="FE130" s="67"/>
      <c r="FF130" s="67"/>
      <c r="FG130" s="67"/>
      <c r="FH130" s="67"/>
      <c r="FI130" s="67" t="s">
        <v>1600</v>
      </c>
    </row>
    <row r="131" spans="2:165" ht="24" x14ac:dyDescent="0.2">
      <c r="B131" s="67"/>
      <c r="C131" s="67" t="s">
        <v>1664</v>
      </c>
      <c r="D131" s="67" t="s">
        <v>507</v>
      </c>
      <c r="E131" s="67" t="s">
        <v>13</v>
      </c>
      <c r="F131" s="67" t="s">
        <v>984</v>
      </c>
      <c r="G131" s="67" t="s">
        <v>1597</v>
      </c>
      <c r="H131" s="67"/>
      <c r="I131" s="67" t="s">
        <v>41</v>
      </c>
      <c r="J131" s="67" t="s">
        <v>64</v>
      </c>
      <c r="K131" s="67" t="s">
        <v>985</v>
      </c>
      <c r="L131" s="67" t="s">
        <v>934</v>
      </c>
      <c r="M131" s="67" t="s">
        <v>752</v>
      </c>
      <c r="N131" s="67" t="s">
        <v>1604</v>
      </c>
      <c r="O131" s="67" t="s">
        <v>1605</v>
      </c>
      <c r="P131" s="67"/>
      <c r="Q131" s="67">
        <v>0</v>
      </c>
      <c r="R131" s="67">
        <v>0</v>
      </c>
      <c r="S131" s="67">
        <v>0</v>
      </c>
      <c r="T131" s="67">
        <v>0</v>
      </c>
      <c r="U131" s="67">
        <v>0</v>
      </c>
      <c r="V131" s="67">
        <v>0</v>
      </c>
      <c r="W131" s="67">
        <v>0</v>
      </c>
      <c r="X131" s="67">
        <v>0</v>
      </c>
      <c r="Y131" s="67">
        <v>0</v>
      </c>
      <c r="Z131" s="67">
        <v>0</v>
      </c>
      <c r="AA131" s="67">
        <v>0</v>
      </c>
      <c r="AB131" s="67">
        <v>0</v>
      </c>
      <c r="AC131" s="67">
        <v>0</v>
      </c>
      <c r="AD131" s="67">
        <v>0</v>
      </c>
      <c r="AE131" s="67">
        <v>0</v>
      </c>
      <c r="AF131" s="67">
        <v>0</v>
      </c>
      <c r="AG131" s="67">
        <v>0</v>
      </c>
      <c r="AH131" s="67">
        <v>0</v>
      </c>
      <c r="AI131" s="67">
        <v>0</v>
      </c>
      <c r="AJ131" s="67">
        <v>0</v>
      </c>
      <c r="AK131" s="67">
        <v>0</v>
      </c>
      <c r="AL131" s="67">
        <v>0</v>
      </c>
      <c r="AM131" s="67">
        <v>0</v>
      </c>
      <c r="AN131" s="67">
        <v>0</v>
      </c>
      <c r="AO131" s="67">
        <v>0</v>
      </c>
      <c r="AP131" s="67">
        <v>0</v>
      </c>
      <c r="AQ131" s="67">
        <v>0</v>
      </c>
      <c r="AR131" s="67">
        <v>0</v>
      </c>
      <c r="AS131" s="67">
        <v>0</v>
      </c>
      <c r="AT131" s="67"/>
      <c r="AU131" s="67"/>
      <c r="AV131" s="67"/>
      <c r="AW131" s="67">
        <v>0</v>
      </c>
      <c r="AX131" s="67">
        <v>0</v>
      </c>
      <c r="AY131" s="67"/>
      <c r="AZ131" s="67"/>
      <c r="BA131" s="67"/>
      <c r="BB131" s="67"/>
      <c r="BC131" s="67"/>
      <c r="BD131" s="67"/>
      <c r="BE131" s="67"/>
      <c r="BG131" s="67"/>
      <c r="BH131" s="67"/>
      <c r="BI131" s="67"/>
      <c r="BJ131" s="67">
        <v>0</v>
      </c>
      <c r="BK131" s="67"/>
      <c r="BL131" s="67"/>
      <c r="BP131" s="67"/>
      <c r="BQ131" s="67">
        <v>0</v>
      </c>
      <c r="BR131" s="67"/>
      <c r="BS131" s="67"/>
      <c r="BT131" s="67">
        <v>0</v>
      </c>
      <c r="BU131" s="67"/>
      <c r="BV131" s="67"/>
      <c r="BW131" s="67">
        <v>0</v>
      </c>
      <c r="BX131" s="67">
        <v>0</v>
      </c>
      <c r="BY131" s="67">
        <v>0</v>
      </c>
      <c r="BZ131" s="67">
        <v>0</v>
      </c>
      <c r="CA131" s="67"/>
      <c r="CB131" s="67">
        <v>0</v>
      </c>
      <c r="CC131" s="67"/>
      <c r="CD131" s="67"/>
      <c r="CE131" s="67">
        <v>0</v>
      </c>
      <c r="CF131" s="67">
        <v>0</v>
      </c>
      <c r="CG131" s="67"/>
      <c r="CH131" s="67"/>
      <c r="CI131" s="67"/>
      <c r="CJ131" s="67"/>
      <c r="CK131" s="67">
        <v>0</v>
      </c>
      <c r="CL131" s="67">
        <v>0</v>
      </c>
      <c r="CM131" s="67"/>
      <c r="CN131" s="67"/>
      <c r="CO131" s="67">
        <v>0</v>
      </c>
      <c r="CP131" s="67">
        <v>0</v>
      </c>
      <c r="CQ131" s="67"/>
      <c r="CR131" s="67"/>
      <c r="CS131" s="67"/>
      <c r="CT131" s="67"/>
      <c r="CU131" s="67">
        <v>0</v>
      </c>
      <c r="CV131" s="67"/>
      <c r="CW131" s="67"/>
      <c r="CX131" s="67"/>
      <c r="CY131" s="67">
        <v>0</v>
      </c>
      <c r="CZ131" s="67"/>
      <c r="DA131" s="67"/>
      <c r="DB131" s="67"/>
      <c r="DC131" s="67"/>
      <c r="DF131" s="67"/>
      <c r="DG131" s="67">
        <v>0</v>
      </c>
      <c r="DH131" s="67">
        <v>0</v>
      </c>
      <c r="DI131" s="67">
        <v>0</v>
      </c>
      <c r="DJ131" s="67"/>
      <c r="DK131" s="67">
        <v>0</v>
      </c>
      <c r="DL131" s="67">
        <v>0</v>
      </c>
      <c r="DM131" s="67">
        <v>0</v>
      </c>
      <c r="DN131" s="67"/>
      <c r="DO131" s="67"/>
      <c r="DP131" s="67"/>
      <c r="DQ131" s="67">
        <v>0</v>
      </c>
      <c r="DR131" s="67">
        <v>0</v>
      </c>
      <c r="DS131" s="67"/>
      <c r="DT131" s="67"/>
      <c r="DU131" s="67">
        <v>0</v>
      </c>
      <c r="DV131" s="67">
        <v>0</v>
      </c>
      <c r="DW131" s="67">
        <v>0</v>
      </c>
      <c r="DX131" s="67">
        <v>0</v>
      </c>
      <c r="DY131" s="67"/>
      <c r="DZ131" s="67">
        <v>0</v>
      </c>
      <c r="EA131" s="67"/>
      <c r="EB131" s="67">
        <v>0</v>
      </c>
      <c r="EC131" s="67"/>
      <c r="ED131" s="67">
        <v>0</v>
      </c>
      <c r="EE131" s="67"/>
      <c r="EF131" s="67">
        <v>0</v>
      </c>
      <c r="EG131" s="67"/>
      <c r="EH131" s="67"/>
      <c r="EI131" s="67"/>
      <c r="EJ131" s="67"/>
      <c r="EK131" s="67"/>
      <c r="EL131" s="67"/>
      <c r="EM131" s="67"/>
      <c r="EN131" s="67"/>
      <c r="EO131" s="67"/>
      <c r="EP131" s="67">
        <v>0</v>
      </c>
      <c r="EQ131" s="67">
        <v>30</v>
      </c>
      <c r="ER131" s="67">
        <v>30</v>
      </c>
      <c r="ES131" s="67"/>
      <c r="ET131">
        <v>0</v>
      </c>
      <c r="EX131" s="67"/>
      <c r="EY131" s="67"/>
      <c r="EZ131" s="67"/>
      <c r="FA131" s="67">
        <v>0</v>
      </c>
      <c r="FB131" s="67"/>
      <c r="FC131" s="67"/>
      <c r="FD131" s="67"/>
      <c r="FE131" s="67"/>
      <c r="FF131" s="67"/>
      <c r="FG131" s="67"/>
      <c r="FH131" s="67"/>
      <c r="FI131" s="67" t="s">
        <v>1600</v>
      </c>
    </row>
    <row r="132" spans="2:165" ht="24" x14ac:dyDescent="0.2">
      <c r="B132" s="67" t="s">
        <v>508</v>
      </c>
      <c r="C132" s="67" t="s">
        <v>508</v>
      </c>
      <c r="D132" s="67" t="s">
        <v>509</v>
      </c>
      <c r="E132" s="67" t="s">
        <v>13</v>
      </c>
      <c r="F132" s="67" t="s">
        <v>1618</v>
      </c>
      <c r="G132" s="67" t="s">
        <v>1597</v>
      </c>
      <c r="H132" s="67"/>
      <c r="I132" s="67" t="s">
        <v>41</v>
      </c>
      <c r="J132" s="67" t="s">
        <v>64</v>
      </c>
      <c r="K132" s="67" t="s">
        <v>839</v>
      </c>
      <c r="L132" s="67" t="s">
        <v>767</v>
      </c>
      <c r="M132" s="67" t="s">
        <v>752</v>
      </c>
      <c r="N132" s="67" t="s">
        <v>1598</v>
      </c>
      <c r="O132" s="67" t="s">
        <v>1610</v>
      </c>
      <c r="P132" s="67"/>
      <c r="Q132" s="67">
        <v>50</v>
      </c>
      <c r="R132" s="67">
        <v>0</v>
      </c>
      <c r="S132" s="67">
        <v>0</v>
      </c>
      <c r="T132" s="67">
        <v>0</v>
      </c>
      <c r="U132" s="67">
        <v>0</v>
      </c>
      <c r="V132" s="67">
        <v>0</v>
      </c>
      <c r="W132" s="67">
        <v>0</v>
      </c>
      <c r="X132" s="67">
        <v>0</v>
      </c>
      <c r="Y132" s="67">
        <v>0</v>
      </c>
      <c r="Z132" s="67">
        <v>0</v>
      </c>
      <c r="AA132" s="67">
        <v>0</v>
      </c>
      <c r="AB132" s="67">
        <v>0</v>
      </c>
      <c r="AC132" s="67">
        <v>0</v>
      </c>
      <c r="AD132" s="67">
        <v>0</v>
      </c>
      <c r="AE132" s="67">
        <v>0</v>
      </c>
      <c r="AF132" s="67">
        <v>0</v>
      </c>
      <c r="AG132" s="67">
        <v>0</v>
      </c>
      <c r="AH132" s="67">
        <v>0</v>
      </c>
      <c r="AI132" s="67">
        <v>0</v>
      </c>
      <c r="AJ132" s="67">
        <v>0</v>
      </c>
      <c r="AK132" s="67">
        <v>0</v>
      </c>
      <c r="AL132" s="67">
        <v>50</v>
      </c>
      <c r="AM132" s="67">
        <v>0</v>
      </c>
      <c r="AN132" s="67">
        <v>0</v>
      </c>
      <c r="AO132" s="67">
        <v>0</v>
      </c>
      <c r="AP132" s="67">
        <v>0</v>
      </c>
      <c r="AQ132" s="67">
        <v>0</v>
      </c>
      <c r="AR132" s="67">
        <v>0</v>
      </c>
      <c r="AS132" s="67">
        <v>0</v>
      </c>
      <c r="AT132" s="67"/>
      <c r="AU132" s="67"/>
      <c r="AV132" s="67"/>
      <c r="AW132" s="67">
        <v>0</v>
      </c>
      <c r="AX132" s="67">
        <v>0</v>
      </c>
      <c r="AY132" s="67"/>
      <c r="AZ132" s="67"/>
      <c r="BA132" s="67"/>
      <c r="BB132" s="67"/>
      <c r="BC132" s="67"/>
      <c r="BD132" s="67"/>
      <c r="BE132" s="67"/>
      <c r="BG132" s="67"/>
      <c r="BH132" s="67"/>
      <c r="BI132" s="67"/>
      <c r="BJ132" s="67">
        <v>0</v>
      </c>
      <c r="BK132" s="67"/>
      <c r="BL132" s="67"/>
      <c r="BP132" s="67"/>
      <c r="BQ132" s="67">
        <v>0</v>
      </c>
      <c r="BR132" s="67"/>
      <c r="BS132" s="67"/>
      <c r="BT132" s="67">
        <v>0</v>
      </c>
      <c r="BU132" s="67"/>
      <c r="BV132" s="67"/>
      <c r="BW132" s="67">
        <v>0</v>
      </c>
      <c r="BX132" s="67">
        <v>0</v>
      </c>
      <c r="BY132" s="67">
        <v>0</v>
      </c>
      <c r="BZ132" s="67">
        <v>0</v>
      </c>
      <c r="CA132" s="67"/>
      <c r="CB132" s="67">
        <v>0</v>
      </c>
      <c r="CC132" s="67"/>
      <c r="CD132" s="67"/>
      <c r="CE132" s="67">
        <v>0</v>
      </c>
      <c r="CF132" s="67">
        <v>0</v>
      </c>
      <c r="CG132" s="67"/>
      <c r="CH132" s="67"/>
      <c r="CI132" s="67"/>
      <c r="CJ132" s="67"/>
      <c r="CK132" s="67">
        <v>0</v>
      </c>
      <c r="CL132" s="67">
        <v>0</v>
      </c>
      <c r="CM132" s="67"/>
      <c r="CN132" s="67"/>
      <c r="CO132" s="67">
        <v>0</v>
      </c>
      <c r="CP132" s="67">
        <v>0</v>
      </c>
      <c r="CQ132" s="67"/>
      <c r="CR132" s="67"/>
      <c r="CS132" s="67"/>
      <c r="CT132" s="67"/>
      <c r="CU132" s="67">
        <v>0</v>
      </c>
      <c r="CV132" s="67"/>
      <c r="CW132" s="67"/>
      <c r="CX132" s="67"/>
      <c r="CY132" s="67">
        <v>0</v>
      </c>
      <c r="CZ132" s="67"/>
      <c r="DA132" s="67"/>
      <c r="DB132" s="67"/>
      <c r="DC132" s="67"/>
      <c r="DF132" s="67"/>
      <c r="DG132" s="67">
        <v>0</v>
      </c>
      <c r="DH132" s="67">
        <v>0</v>
      </c>
      <c r="DI132" s="67">
        <v>0</v>
      </c>
      <c r="DJ132" s="67"/>
      <c r="DK132" s="67">
        <v>0</v>
      </c>
      <c r="DL132" s="67">
        <v>0</v>
      </c>
      <c r="DM132" s="67">
        <v>0</v>
      </c>
      <c r="DN132" s="67"/>
      <c r="DO132" s="67"/>
      <c r="DP132" s="67"/>
      <c r="DQ132" s="67">
        <v>0</v>
      </c>
      <c r="DR132" s="67">
        <v>0</v>
      </c>
      <c r="DS132" s="67"/>
      <c r="DT132" s="67"/>
      <c r="DU132" s="67">
        <v>0</v>
      </c>
      <c r="DV132" s="67">
        <v>0</v>
      </c>
      <c r="DW132" s="67">
        <v>0</v>
      </c>
      <c r="DX132" s="67">
        <v>0</v>
      </c>
      <c r="DY132" s="67"/>
      <c r="DZ132" s="67">
        <v>0</v>
      </c>
      <c r="EA132" s="67"/>
      <c r="EB132" s="67">
        <v>0</v>
      </c>
      <c r="EC132" s="67"/>
      <c r="ED132" s="67">
        <v>0</v>
      </c>
      <c r="EE132" s="67"/>
      <c r="EF132" s="67">
        <v>0</v>
      </c>
      <c r="EG132" s="67"/>
      <c r="EH132" s="67"/>
      <c r="EI132" s="67"/>
      <c r="EJ132" s="67"/>
      <c r="EK132" s="67"/>
      <c r="EL132" s="67"/>
      <c r="EM132" s="67"/>
      <c r="EN132" s="67"/>
      <c r="EO132" s="67"/>
      <c r="EP132" s="67">
        <v>0</v>
      </c>
      <c r="EQ132" s="67">
        <v>0</v>
      </c>
      <c r="ER132" s="67">
        <v>0</v>
      </c>
      <c r="ES132" s="67"/>
      <c r="ET132">
        <v>0</v>
      </c>
      <c r="EX132" s="67"/>
      <c r="EY132" s="67"/>
      <c r="EZ132" s="67"/>
      <c r="FA132" s="67">
        <v>50</v>
      </c>
      <c r="FB132" s="67"/>
      <c r="FC132" s="67"/>
      <c r="FD132" s="67"/>
      <c r="FE132" s="67"/>
      <c r="FF132" s="67"/>
      <c r="FG132" s="67"/>
      <c r="FH132" s="67"/>
      <c r="FI132" s="67" t="s">
        <v>1600</v>
      </c>
    </row>
    <row r="133" spans="2:165" ht="24" x14ac:dyDescent="0.2">
      <c r="B133" s="67" t="s">
        <v>510</v>
      </c>
      <c r="C133" s="67" t="s">
        <v>510</v>
      </c>
      <c r="D133" s="67" t="s">
        <v>511</v>
      </c>
      <c r="E133" s="67" t="s">
        <v>13</v>
      </c>
      <c r="F133" s="67" t="s">
        <v>1618</v>
      </c>
      <c r="G133" s="67" t="s">
        <v>1597</v>
      </c>
      <c r="H133" s="67"/>
      <c r="I133" s="67" t="s">
        <v>22</v>
      </c>
      <c r="J133" s="67" t="s">
        <v>64</v>
      </c>
      <c r="K133" s="67" t="s">
        <v>839</v>
      </c>
      <c r="L133" s="67" t="s">
        <v>767</v>
      </c>
      <c r="M133" s="67" t="s">
        <v>752</v>
      </c>
      <c r="N133" s="67" t="s">
        <v>1598</v>
      </c>
      <c r="O133" s="67" t="s">
        <v>1608</v>
      </c>
      <c r="P133" s="67"/>
      <c r="Q133" s="67">
        <v>150</v>
      </c>
      <c r="R133" s="67">
        <v>0</v>
      </c>
      <c r="S133" s="67">
        <v>0</v>
      </c>
      <c r="T133" s="67">
        <v>0</v>
      </c>
      <c r="U133" s="67">
        <v>0</v>
      </c>
      <c r="V133" s="67">
        <v>0</v>
      </c>
      <c r="W133" s="67">
        <v>0</v>
      </c>
      <c r="X133" s="67">
        <v>0</v>
      </c>
      <c r="Y133" s="67">
        <v>0</v>
      </c>
      <c r="Z133" s="67">
        <v>0</v>
      </c>
      <c r="AA133" s="67">
        <v>0</v>
      </c>
      <c r="AB133" s="67">
        <v>0</v>
      </c>
      <c r="AC133" s="67">
        <v>0</v>
      </c>
      <c r="AD133" s="67">
        <v>0</v>
      </c>
      <c r="AE133" s="67">
        <v>0</v>
      </c>
      <c r="AF133" s="67">
        <v>0</v>
      </c>
      <c r="AG133" s="67">
        <v>0</v>
      </c>
      <c r="AH133" s="67">
        <v>0</v>
      </c>
      <c r="AI133" s="67">
        <v>0</v>
      </c>
      <c r="AJ133" s="67">
        <v>0</v>
      </c>
      <c r="AK133" s="67">
        <v>0</v>
      </c>
      <c r="AL133" s="67">
        <v>150</v>
      </c>
      <c r="AM133" s="67">
        <v>0</v>
      </c>
      <c r="AN133" s="67">
        <v>0</v>
      </c>
      <c r="AO133" s="67">
        <v>0</v>
      </c>
      <c r="AP133" s="67">
        <v>0</v>
      </c>
      <c r="AQ133" s="67">
        <v>0</v>
      </c>
      <c r="AR133" s="67">
        <v>0</v>
      </c>
      <c r="AS133" s="67">
        <v>0</v>
      </c>
      <c r="AT133" s="67"/>
      <c r="AU133" s="67"/>
      <c r="AV133" s="67"/>
      <c r="AW133" s="67">
        <v>0</v>
      </c>
      <c r="AX133" s="67">
        <v>0</v>
      </c>
      <c r="AY133" s="67"/>
      <c r="AZ133" s="67"/>
      <c r="BA133" s="67"/>
      <c r="BB133" s="67"/>
      <c r="BC133" s="67"/>
      <c r="BD133" s="67"/>
      <c r="BE133" s="67"/>
      <c r="BG133" s="67"/>
      <c r="BH133" s="67"/>
      <c r="BI133" s="67"/>
      <c r="BJ133" s="67">
        <v>0</v>
      </c>
      <c r="BK133" s="67"/>
      <c r="BL133" s="67"/>
      <c r="BP133" s="67"/>
      <c r="BQ133" s="67">
        <v>0</v>
      </c>
      <c r="BR133" s="67"/>
      <c r="BS133" s="67"/>
      <c r="BT133" s="67">
        <v>0</v>
      </c>
      <c r="BU133" s="67"/>
      <c r="BV133" s="67"/>
      <c r="BW133" s="67">
        <v>0</v>
      </c>
      <c r="BX133" s="67">
        <v>0</v>
      </c>
      <c r="BY133" s="67">
        <v>0</v>
      </c>
      <c r="BZ133" s="67">
        <v>0</v>
      </c>
      <c r="CA133" s="67"/>
      <c r="CB133" s="67">
        <v>0</v>
      </c>
      <c r="CC133" s="67"/>
      <c r="CD133" s="67"/>
      <c r="CE133" s="67">
        <v>0</v>
      </c>
      <c r="CF133" s="67">
        <v>0</v>
      </c>
      <c r="CG133" s="67"/>
      <c r="CH133" s="67"/>
      <c r="CI133" s="67"/>
      <c r="CJ133" s="67"/>
      <c r="CK133" s="67">
        <v>0</v>
      </c>
      <c r="CL133" s="67">
        <v>0</v>
      </c>
      <c r="CM133" s="67"/>
      <c r="CN133" s="67"/>
      <c r="CO133" s="67">
        <v>0</v>
      </c>
      <c r="CP133" s="67">
        <v>0</v>
      </c>
      <c r="CQ133" s="67"/>
      <c r="CR133" s="67"/>
      <c r="CS133" s="67"/>
      <c r="CT133" s="67"/>
      <c r="CU133" s="67">
        <v>0</v>
      </c>
      <c r="CV133" s="67"/>
      <c r="CW133" s="67"/>
      <c r="CX133" s="67"/>
      <c r="CY133" s="67">
        <v>0</v>
      </c>
      <c r="CZ133" s="67"/>
      <c r="DA133" s="67"/>
      <c r="DB133" s="67"/>
      <c r="DC133" s="67"/>
      <c r="DF133" s="67"/>
      <c r="DG133" s="67">
        <v>200</v>
      </c>
      <c r="DH133" s="67">
        <v>200</v>
      </c>
      <c r="DI133" s="67">
        <v>0</v>
      </c>
      <c r="DJ133" s="67"/>
      <c r="DK133" s="67">
        <v>0</v>
      </c>
      <c r="DL133" s="67">
        <v>0</v>
      </c>
      <c r="DM133" s="67">
        <v>0</v>
      </c>
      <c r="DN133" s="67"/>
      <c r="DO133" s="67"/>
      <c r="DP133" s="67"/>
      <c r="DQ133" s="67">
        <v>0</v>
      </c>
      <c r="DR133" s="67">
        <v>0</v>
      </c>
      <c r="DS133" s="67"/>
      <c r="DT133" s="67"/>
      <c r="DU133" s="67">
        <v>0</v>
      </c>
      <c r="DV133" s="67">
        <v>0</v>
      </c>
      <c r="DW133" s="67">
        <v>0</v>
      </c>
      <c r="DX133" s="67">
        <v>0</v>
      </c>
      <c r="DY133" s="67"/>
      <c r="DZ133" s="67">
        <v>0</v>
      </c>
      <c r="EA133" s="67"/>
      <c r="EB133" s="67">
        <v>0</v>
      </c>
      <c r="EC133" s="67"/>
      <c r="ED133" s="67">
        <v>0</v>
      </c>
      <c r="EE133" s="67"/>
      <c r="EF133" s="67">
        <v>0</v>
      </c>
      <c r="EG133" s="67"/>
      <c r="EH133" s="67"/>
      <c r="EI133" s="67"/>
      <c r="EJ133" s="67"/>
      <c r="EK133" s="67"/>
      <c r="EL133" s="67"/>
      <c r="EM133" s="67"/>
      <c r="EN133" s="67"/>
      <c r="EO133" s="67"/>
      <c r="EP133" s="67">
        <v>0</v>
      </c>
      <c r="EQ133" s="67">
        <v>0</v>
      </c>
      <c r="ER133" s="67">
        <v>0</v>
      </c>
      <c r="ES133" s="67"/>
      <c r="ET133">
        <v>0</v>
      </c>
      <c r="EX133" s="67"/>
      <c r="EY133" s="67"/>
      <c r="EZ133" s="67"/>
      <c r="FA133" s="67">
        <v>350</v>
      </c>
      <c r="FB133" s="67"/>
      <c r="FC133" s="67"/>
      <c r="FD133" s="67"/>
      <c r="FE133" s="67"/>
      <c r="FF133" s="67"/>
      <c r="FG133" s="67"/>
      <c r="FH133" s="67"/>
      <c r="FI133" s="67" t="s">
        <v>1600</v>
      </c>
    </row>
    <row r="134" spans="2:165" x14ac:dyDescent="0.2">
      <c r="B134" s="67" t="s">
        <v>512</v>
      </c>
      <c r="C134" s="67" t="s">
        <v>512</v>
      </c>
      <c r="D134" s="67" t="s">
        <v>513</v>
      </c>
      <c r="E134" s="67" t="s">
        <v>37</v>
      </c>
      <c r="F134" s="67" t="s">
        <v>1618</v>
      </c>
      <c r="G134" s="67" t="s">
        <v>1597</v>
      </c>
      <c r="H134" s="67"/>
      <c r="I134" s="67" t="s">
        <v>41</v>
      </c>
      <c r="J134" s="67" t="s">
        <v>64</v>
      </c>
      <c r="K134" s="67" t="s">
        <v>839</v>
      </c>
      <c r="L134" s="67" t="s">
        <v>767</v>
      </c>
      <c r="M134" s="67" t="s">
        <v>752</v>
      </c>
      <c r="N134" s="67" t="s">
        <v>1601</v>
      </c>
      <c r="O134" s="67" t="s">
        <v>1606</v>
      </c>
      <c r="P134" s="67"/>
      <c r="Q134" s="67">
        <v>100</v>
      </c>
      <c r="R134" s="67">
        <v>0</v>
      </c>
      <c r="S134" s="67">
        <v>0</v>
      </c>
      <c r="T134" s="67">
        <v>0</v>
      </c>
      <c r="U134" s="67">
        <v>0</v>
      </c>
      <c r="V134" s="67">
        <v>0</v>
      </c>
      <c r="W134" s="67">
        <v>0</v>
      </c>
      <c r="X134" s="67">
        <v>0</v>
      </c>
      <c r="Y134" s="67">
        <v>0</v>
      </c>
      <c r="Z134" s="67">
        <v>0</v>
      </c>
      <c r="AA134" s="67">
        <v>0</v>
      </c>
      <c r="AB134" s="67">
        <v>0</v>
      </c>
      <c r="AC134" s="67">
        <v>0</v>
      </c>
      <c r="AD134" s="67">
        <v>0</v>
      </c>
      <c r="AE134" s="67">
        <v>0</v>
      </c>
      <c r="AF134" s="67">
        <v>0</v>
      </c>
      <c r="AG134" s="67">
        <v>0</v>
      </c>
      <c r="AH134" s="67">
        <v>0</v>
      </c>
      <c r="AI134" s="67">
        <v>0</v>
      </c>
      <c r="AJ134" s="67">
        <v>0</v>
      </c>
      <c r="AK134" s="67">
        <v>0</v>
      </c>
      <c r="AL134" s="67">
        <v>100</v>
      </c>
      <c r="AM134" s="67">
        <v>0</v>
      </c>
      <c r="AN134" s="67">
        <v>0</v>
      </c>
      <c r="AO134" s="67">
        <v>0</v>
      </c>
      <c r="AP134" s="67">
        <v>0</v>
      </c>
      <c r="AQ134" s="67">
        <v>0</v>
      </c>
      <c r="AR134" s="67">
        <v>0</v>
      </c>
      <c r="AS134" s="67">
        <v>0</v>
      </c>
      <c r="AT134" s="67"/>
      <c r="AU134" s="67"/>
      <c r="AV134" s="67"/>
      <c r="AW134" s="67">
        <v>0</v>
      </c>
      <c r="AX134" s="67">
        <v>0</v>
      </c>
      <c r="AY134" s="67"/>
      <c r="AZ134" s="67"/>
      <c r="BA134" s="67"/>
      <c r="BB134" s="67"/>
      <c r="BC134" s="67"/>
      <c r="BD134" s="67"/>
      <c r="BE134" s="67"/>
      <c r="BG134" s="67"/>
      <c r="BH134" s="67"/>
      <c r="BI134" s="67"/>
      <c r="BJ134" s="67">
        <v>0</v>
      </c>
      <c r="BK134" s="67"/>
      <c r="BL134" s="67"/>
      <c r="BP134" s="67"/>
      <c r="BQ134" s="67">
        <v>0</v>
      </c>
      <c r="BR134" s="67"/>
      <c r="BS134" s="67"/>
      <c r="BT134" s="67">
        <v>0</v>
      </c>
      <c r="BU134" s="67"/>
      <c r="BV134" s="67"/>
      <c r="BW134" s="67">
        <v>0</v>
      </c>
      <c r="BX134" s="67">
        <v>0</v>
      </c>
      <c r="BY134" s="67">
        <v>0</v>
      </c>
      <c r="BZ134" s="67">
        <v>0</v>
      </c>
      <c r="CA134" s="67"/>
      <c r="CB134" s="67">
        <v>0</v>
      </c>
      <c r="CC134" s="67"/>
      <c r="CD134" s="67"/>
      <c r="CE134" s="67">
        <v>0</v>
      </c>
      <c r="CF134" s="67">
        <v>0</v>
      </c>
      <c r="CG134" s="67"/>
      <c r="CH134" s="67"/>
      <c r="CI134" s="67"/>
      <c r="CJ134" s="67"/>
      <c r="CK134" s="67">
        <v>0</v>
      </c>
      <c r="CL134" s="67">
        <v>0</v>
      </c>
      <c r="CM134" s="67"/>
      <c r="CN134" s="67"/>
      <c r="CO134" s="67">
        <v>0</v>
      </c>
      <c r="CP134" s="67">
        <v>0</v>
      </c>
      <c r="CQ134" s="67"/>
      <c r="CR134" s="67"/>
      <c r="CS134" s="67"/>
      <c r="CT134" s="67"/>
      <c r="CU134" s="67">
        <v>0</v>
      </c>
      <c r="CV134" s="67"/>
      <c r="CW134" s="67"/>
      <c r="CX134" s="67"/>
      <c r="CY134" s="67">
        <v>0</v>
      </c>
      <c r="CZ134" s="67"/>
      <c r="DA134" s="67"/>
      <c r="DB134" s="67"/>
      <c r="DC134" s="67"/>
      <c r="DF134" s="67"/>
      <c r="DG134" s="67">
        <v>0</v>
      </c>
      <c r="DH134" s="67">
        <v>0</v>
      </c>
      <c r="DI134" s="67">
        <v>0</v>
      </c>
      <c r="DJ134" s="67"/>
      <c r="DK134" s="67">
        <v>0</v>
      </c>
      <c r="DL134" s="67">
        <v>0</v>
      </c>
      <c r="DM134" s="67">
        <v>0</v>
      </c>
      <c r="DN134" s="67"/>
      <c r="DO134" s="67"/>
      <c r="DP134" s="67"/>
      <c r="DQ134" s="67">
        <v>0</v>
      </c>
      <c r="DR134" s="67">
        <v>0</v>
      </c>
      <c r="DS134" s="67"/>
      <c r="DT134" s="67"/>
      <c r="DU134" s="67">
        <v>0</v>
      </c>
      <c r="DV134" s="67">
        <v>0</v>
      </c>
      <c r="DW134" s="67">
        <v>0</v>
      </c>
      <c r="DX134" s="67">
        <v>0</v>
      </c>
      <c r="DY134" s="67"/>
      <c r="DZ134" s="67">
        <v>0</v>
      </c>
      <c r="EA134" s="67"/>
      <c r="EB134" s="67">
        <v>0</v>
      </c>
      <c r="EC134" s="67"/>
      <c r="ED134" s="67">
        <v>0</v>
      </c>
      <c r="EE134" s="67"/>
      <c r="EF134" s="67">
        <v>0</v>
      </c>
      <c r="EG134" s="67"/>
      <c r="EH134" s="67"/>
      <c r="EI134" s="67"/>
      <c r="EJ134" s="67"/>
      <c r="EK134" s="67"/>
      <c r="EL134" s="67"/>
      <c r="EM134" s="67"/>
      <c r="EN134" s="67"/>
      <c r="EO134" s="67"/>
      <c r="EP134" s="67">
        <v>0</v>
      </c>
      <c r="EQ134" s="67">
        <v>0</v>
      </c>
      <c r="ER134" s="67">
        <v>0</v>
      </c>
      <c r="ES134" s="67"/>
      <c r="ET134">
        <v>0</v>
      </c>
      <c r="EX134" s="67"/>
      <c r="EY134" s="67"/>
      <c r="EZ134" s="67"/>
      <c r="FA134" s="67">
        <v>100</v>
      </c>
      <c r="FB134" s="67"/>
      <c r="FC134" s="67"/>
      <c r="FD134" s="67"/>
      <c r="FE134" s="67"/>
      <c r="FF134" s="67"/>
      <c r="FG134" s="67"/>
      <c r="FH134" s="67"/>
      <c r="FI134" s="67" t="s">
        <v>1600</v>
      </c>
    </row>
    <row r="135" spans="2:165" x14ac:dyDescent="0.2">
      <c r="B135" s="67" t="s">
        <v>514</v>
      </c>
      <c r="C135" s="67" t="s">
        <v>514</v>
      </c>
      <c r="D135" s="67" t="s">
        <v>515</v>
      </c>
      <c r="E135" s="67" t="s">
        <v>37</v>
      </c>
      <c r="F135" s="67" t="s">
        <v>1618</v>
      </c>
      <c r="G135" s="67" t="s">
        <v>1597</v>
      </c>
      <c r="H135" s="67"/>
      <c r="I135" s="67" t="s">
        <v>41</v>
      </c>
      <c r="J135" s="67" t="s">
        <v>64</v>
      </c>
      <c r="K135" s="67" t="s">
        <v>839</v>
      </c>
      <c r="L135" s="67" t="s">
        <v>767</v>
      </c>
      <c r="M135" s="67" t="s">
        <v>752</v>
      </c>
      <c r="N135" s="67" t="s">
        <v>1604</v>
      </c>
      <c r="O135" s="67" t="s">
        <v>1599</v>
      </c>
      <c r="P135" s="67"/>
      <c r="Q135" s="67">
        <v>125</v>
      </c>
      <c r="R135" s="67">
        <v>0</v>
      </c>
      <c r="S135" s="67">
        <v>0</v>
      </c>
      <c r="T135" s="67">
        <v>0</v>
      </c>
      <c r="U135" s="67">
        <v>0</v>
      </c>
      <c r="V135" s="67">
        <v>0</v>
      </c>
      <c r="W135" s="67">
        <v>0</v>
      </c>
      <c r="X135" s="67">
        <v>0</v>
      </c>
      <c r="Y135" s="67">
        <v>0</v>
      </c>
      <c r="Z135" s="67">
        <v>0</v>
      </c>
      <c r="AA135" s="67">
        <v>0</v>
      </c>
      <c r="AB135" s="67">
        <v>0</v>
      </c>
      <c r="AC135" s="67">
        <v>0</v>
      </c>
      <c r="AD135" s="67">
        <v>0</v>
      </c>
      <c r="AE135" s="67">
        <v>0</v>
      </c>
      <c r="AF135" s="67">
        <v>0</v>
      </c>
      <c r="AG135" s="67">
        <v>0</v>
      </c>
      <c r="AH135" s="67">
        <v>0</v>
      </c>
      <c r="AI135" s="67">
        <v>0</v>
      </c>
      <c r="AJ135" s="67">
        <v>0</v>
      </c>
      <c r="AK135" s="67">
        <v>0</v>
      </c>
      <c r="AL135" s="67">
        <v>125</v>
      </c>
      <c r="AM135" s="67">
        <v>0</v>
      </c>
      <c r="AN135" s="67">
        <v>0</v>
      </c>
      <c r="AO135" s="67">
        <v>0</v>
      </c>
      <c r="AP135" s="67">
        <v>0</v>
      </c>
      <c r="AQ135" s="67">
        <v>0</v>
      </c>
      <c r="AR135" s="67">
        <v>0</v>
      </c>
      <c r="AS135" s="67">
        <v>0</v>
      </c>
      <c r="AT135" s="67"/>
      <c r="AU135" s="67"/>
      <c r="AV135" s="67"/>
      <c r="AW135" s="67">
        <v>0</v>
      </c>
      <c r="AX135" s="67">
        <v>0</v>
      </c>
      <c r="AY135" s="67"/>
      <c r="AZ135" s="67"/>
      <c r="BA135" s="67"/>
      <c r="BB135" s="67"/>
      <c r="BC135" s="67"/>
      <c r="BD135" s="67"/>
      <c r="BE135" s="67"/>
      <c r="BG135" s="67"/>
      <c r="BH135" s="67"/>
      <c r="BI135" s="67"/>
      <c r="BJ135" s="67">
        <v>0</v>
      </c>
      <c r="BK135" s="67"/>
      <c r="BL135" s="67"/>
      <c r="BP135" s="67"/>
      <c r="BQ135" s="67">
        <v>0</v>
      </c>
      <c r="BR135" s="67"/>
      <c r="BS135" s="67"/>
      <c r="BT135" s="67">
        <v>0</v>
      </c>
      <c r="BU135" s="67"/>
      <c r="BV135" s="67"/>
      <c r="BW135" s="67">
        <v>0</v>
      </c>
      <c r="BX135" s="67">
        <v>0</v>
      </c>
      <c r="BY135" s="67">
        <v>0</v>
      </c>
      <c r="BZ135" s="67">
        <v>0</v>
      </c>
      <c r="CA135" s="67"/>
      <c r="CB135" s="67">
        <v>0</v>
      </c>
      <c r="CC135" s="67"/>
      <c r="CD135" s="67"/>
      <c r="CE135" s="67">
        <v>0</v>
      </c>
      <c r="CF135" s="67">
        <v>0</v>
      </c>
      <c r="CG135" s="67"/>
      <c r="CH135" s="67"/>
      <c r="CI135" s="67"/>
      <c r="CJ135" s="67"/>
      <c r="CK135" s="67">
        <v>0</v>
      </c>
      <c r="CL135" s="67">
        <v>0</v>
      </c>
      <c r="CM135" s="67"/>
      <c r="CN135" s="67"/>
      <c r="CO135" s="67">
        <v>0</v>
      </c>
      <c r="CP135" s="67">
        <v>0</v>
      </c>
      <c r="CQ135" s="67"/>
      <c r="CR135" s="67"/>
      <c r="CS135" s="67"/>
      <c r="CT135" s="67"/>
      <c r="CU135" s="67">
        <v>0</v>
      </c>
      <c r="CV135" s="67"/>
      <c r="CW135" s="67"/>
      <c r="CX135" s="67"/>
      <c r="CY135" s="67">
        <v>0</v>
      </c>
      <c r="CZ135" s="67"/>
      <c r="DA135" s="67"/>
      <c r="DB135" s="67"/>
      <c r="DC135" s="67"/>
      <c r="DF135" s="67"/>
      <c r="DG135" s="67">
        <v>50</v>
      </c>
      <c r="DH135" s="67">
        <v>50</v>
      </c>
      <c r="DI135" s="67">
        <v>0</v>
      </c>
      <c r="DJ135" s="67"/>
      <c r="DK135" s="67">
        <v>0</v>
      </c>
      <c r="DL135" s="67">
        <v>0</v>
      </c>
      <c r="DM135" s="67">
        <v>0</v>
      </c>
      <c r="DN135" s="67"/>
      <c r="DO135" s="67"/>
      <c r="DP135" s="67"/>
      <c r="DQ135" s="67">
        <v>0</v>
      </c>
      <c r="DR135" s="67">
        <v>0</v>
      </c>
      <c r="DS135" s="67"/>
      <c r="DT135" s="67"/>
      <c r="DU135" s="67">
        <v>0</v>
      </c>
      <c r="DV135" s="67">
        <v>0</v>
      </c>
      <c r="DW135" s="67">
        <v>0</v>
      </c>
      <c r="DX135" s="67">
        <v>0</v>
      </c>
      <c r="DY135" s="67"/>
      <c r="DZ135" s="67">
        <v>0</v>
      </c>
      <c r="EA135" s="67"/>
      <c r="EB135" s="67">
        <v>0</v>
      </c>
      <c r="EC135" s="67"/>
      <c r="ED135" s="67">
        <v>0</v>
      </c>
      <c r="EE135" s="67"/>
      <c r="EF135" s="67">
        <v>0</v>
      </c>
      <c r="EG135" s="67"/>
      <c r="EH135" s="67"/>
      <c r="EI135" s="67"/>
      <c r="EJ135" s="67"/>
      <c r="EK135" s="67"/>
      <c r="EL135" s="67"/>
      <c r="EM135" s="67"/>
      <c r="EN135" s="67"/>
      <c r="EO135" s="67"/>
      <c r="EP135" s="67">
        <v>0</v>
      </c>
      <c r="EQ135" s="67">
        <v>0</v>
      </c>
      <c r="ER135" s="67">
        <v>0</v>
      </c>
      <c r="ES135" s="67"/>
      <c r="ET135">
        <v>0</v>
      </c>
      <c r="EX135" s="67"/>
      <c r="EY135" s="67"/>
      <c r="EZ135" s="67"/>
      <c r="FA135" s="67">
        <v>175</v>
      </c>
      <c r="FB135" s="67"/>
      <c r="FC135" s="67"/>
      <c r="FD135" s="67"/>
      <c r="FE135" s="67"/>
      <c r="FF135" s="67"/>
      <c r="FG135" s="67"/>
      <c r="FH135" s="67"/>
      <c r="FI135" s="67" t="s">
        <v>1600</v>
      </c>
    </row>
    <row r="136" spans="2:165" ht="24" x14ac:dyDescent="0.2">
      <c r="B136" s="67" t="s">
        <v>516</v>
      </c>
      <c r="C136" s="67" t="s">
        <v>516</v>
      </c>
      <c r="D136" s="67" t="s">
        <v>517</v>
      </c>
      <c r="E136" s="67" t="s">
        <v>13</v>
      </c>
      <c r="F136" s="67" t="s">
        <v>1618</v>
      </c>
      <c r="G136" s="67" t="s">
        <v>1597</v>
      </c>
      <c r="H136" s="67"/>
      <c r="I136" s="67" t="s">
        <v>22</v>
      </c>
      <c r="J136" s="67" t="s">
        <v>64</v>
      </c>
      <c r="K136" s="67" t="s">
        <v>839</v>
      </c>
      <c r="L136" s="67" t="s">
        <v>767</v>
      </c>
      <c r="M136" s="67" t="s">
        <v>752</v>
      </c>
      <c r="N136" s="67" t="s">
        <v>1601</v>
      </c>
      <c r="O136" s="67" t="s">
        <v>1608</v>
      </c>
      <c r="P136" s="67"/>
      <c r="Q136" s="67">
        <v>125</v>
      </c>
      <c r="R136" s="67">
        <v>0</v>
      </c>
      <c r="S136" s="67">
        <v>0</v>
      </c>
      <c r="T136" s="67">
        <v>0</v>
      </c>
      <c r="U136" s="67">
        <v>0</v>
      </c>
      <c r="V136" s="67">
        <v>0</v>
      </c>
      <c r="W136" s="67">
        <v>0</v>
      </c>
      <c r="X136" s="67">
        <v>0</v>
      </c>
      <c r="Y136" s="67">
        <v>0</v>
      </c>
      <c r="Z136" s="67">
        <v>0</v>
      </c>
      <c r="AA136" s="67">
        <v>0</v>
      </c>
      <c r="AB136" s="67">
        <v>0</v>
      </c>
      <c r="AC136" s="67">
        <v>0</v>
      </c>
      <c r="AD136" s="67">
        <v>0</v>
      </c>
      <c r="AE136" s="67">
        <v>0</v>
      </c>
      <c r="AF136" s="67">
        <v>0</v>
      </c>
      <c r="AG136" s="67">
        <v>0</v>
      </c>
      <c r="AH136" s="67">
        <v>0</v>
      </c>
      <c r="AI136" s="67">
        <v>0</v>
      </c>
      <c r="AJ136" s="67">
        <v>0</v>
      </c>
      <c r="AK136" s="67">
        <v>0</v>
      </c>
      <c r="AL136" s="67">
        <v>125</v>
      </c>
      <c r="AM136" s="67">
        <v>0</v>
      </c>
      <c r="AN136" s="67">
        <v>0</v>
      </c>
      <c r="AO136" s="67">
        <v>0</v>
      </c>
      <c r="AP136" s="67">
        <v>0</v>
      </c>
      <c r="AQ136" s="67">
        <v>0</v>
      </c>
      <c r="AR136" s="67">
        <v>0</v>
      </c>
      <c r="AS136" s="67">
        <v>0</v>
      </c>
      <c r="AT136" s="67"/>
      <c r="AU136" s="67"/>
      <c r="AV136" s="67"/>
      <c r="AW136" s="67">
        <v>0</v>
      </c>
      <c r="AX136" s="67">
        <v>0</v>
      </c>
      <c r="AY136" s="67"/>
      <c r="AZ136" s="67"/>
      <c r="BA136" s="67"/>
      <c r="BB136" s="67"/>
      <c r="BC136" s="67"/>
      <c r="BD136" s="67"/>
      <c r="BE136" s="67"/>
      <c r="BG136" s="67"/>
      <c r="BH136" s="67"/>
      <c r="BI136" s="67"/>
      <c r="BJ136" s="67">
        <v>0</v>
      </c>
      <c r="BK136" s="67"/>
      <c r="BL136" s="67"/>
      <c r="BP136" s="67"/>
      <c r="BQ136" s="67">
        <v>0</v>
      </c>
      <c r="BR136" s="67"/>
      <c r="BS136" s="67"/>
      <c r="BT136" s="67">
        <v>0</v>
      </c>
      <c r="BU136" s="67"/>
      <c r="BV136" s="67"/>
      <c r="BW136" s="67">
        <v>0</v>
      </c>
      <c r="BX136" s="67">
        <v>0</v>
      </c>
      <c r="BY136" s="67">
        <v>0</v>
      </c>
      <c r="BZ136" s="67">
        <v>0</v>
      </c>
      <c r="CA136" s="67"/>
      <c r="CB136" s="67">
        <v>0</v>
      </c>
      <c r="CC136" s="67"/>
      <c r="CD136" s="67"/>
      <c r="CE136" s="67">
        <v>0</v>
      </c>
      <c r="CF136" s="67">
        <v>0</v>
      </c>
      <c r="CG136" s="67"/>
      <c r="CH136" s="67"/>
      <c r="CI136" s="67"/>
      <c r="CJ136" s="67"/>
      <c r="CK136" s="67">
        <v>0</v>
      </c>
      <c r="CL136" s="67">
        <v>0</v>
      </c>
      <c r="CM136" s="67"/>
      <c r="CN136" s="67"/>
      <c r="CO136" s="67">
        <v>0</v>
      </c>
      <c r="CP136" s="67">
        <v>0</v>
      </c>
      <c r="CQ136" s="67"/>
      <c r="CR136" s="67"/>
      <c r="CS136" s="67"/>
      <c r="CT136" s="67"/>
      <c r="CU136" s="67">
        <v>0</v>
      </c>
      <c r="CV136" s="67"/>
      <c r="CW136" s="67"/>
      <c r="CX136" s="67"/>
      <c r="CY136" s="67">
        <v>0</v>
      </c>
      <c r="CZ136" s="67"/>
      <c r="DA136" s="67"/>
      <c r="DB136" s="67"/>
      <c r="DC136" s="67"/>
      <c r="DF136" s="67"/>
      <c r="DG136" s="67">
        <v>50</v>
      </c>
      <c r="DH136" s="67">
        <v>50</v>
      </c>
      <c r="DI136" s="67">
        <v>0</v>
      </c>
      <c r="DJ136" s="67"/>
      <c r="DK136" s="67">
        <v>0</v>
      </c>
      <c r="DL136" s="67">
        <v>0</v>
      </c>
      <c r="DM136" s="67">
        <v>0</v>
      </c>
      <c r="DN136" s="67"/>
      <c r="DO136" s="67"/>
      <c r="DP136" s="67"/>
      <c r="DQ136" s="67">
        <v>0</v>
      </c>
      <c r="DR136" s="67">
        <v>0</v>
      </c>
      <c r="DS136" s="67"/>
      <c r="DT136" s="67"/>
      <c r="DU136" s="67">
        <v>0</v>
      </c>
      <c r="DV136" s="67">
        <v>0</v>
      </c>
      <c r="DW136" s="67">
        <v>0</v>
      </c>
      <c r="DX136" s="67">
        <v>0</v>
      </c>
      <c r="DY136" s="67"/>
      <c r="DZ136" s="67">
        <v>0</v>
      </c>
      <c r="EA136" s="67"/>
      <c r="EB136" s="67">
        <v>0</v>
      </c>
      <c r="EC136" s="67"/>
      <c r="ED136" s="67">
        <v>0</v>
      </c>
      <c r="EE136" s="67"/>
      <c r="EF136" s="67">
        <v>0</v>
      </c>
      <c r="EG136" s="67"/>
      <c r="EH136" s="67"/>
      <c r="EI136" s="67"/>
      <c r="EJ136" s="67"/>
      <c r="EK136" s="67"/>
      <c r="EL136" s="67"/>
      <c r="EM136" s="67"/>
      <c r="EN136" s="67"/>
      <c r="EO136" s="67"/>
      <c r="EP136" s="67">
        <v>0</v>
      </c>
      <c r="EQ136" s="67">
        <v>0</v>
      </c>
      <c r="ER136" s="67">
        <v>0</v>
      </c>
      <c r="ES136" s="67"/>
      <c r="ET136">
        <v>0</v>
      </c>
      <c r="EX136" s="67"/>
      <c r="EY136" s="67"/>
      <c r="EZ136" s="67"/>
      <c r="FA136" s="67">
        <v>175</v>
      </c>
      <c r="FB136" s="67"/>
      <c r="FC136" s="67"/>
      <c r="FD136" s="67"/>
      <c r="FE136" s="67"/>
      <c r="FF136" s="67"/>
      <c r="FG136" s="67"/>
      <c r="FH136" s="67"/>
      <c r="FI136" s="67" t="s">
        <v>1600</v>
      </c>
    </row>
    <row r="137" spans="2:165" ht="24" x14ac:dyDescent="0.2">
      <c r="B137" s="67" t="s">
        <v>518</v>
      </c>
      <c r="C137" s="67" t="s">
        <v>518</v>
      </c>
      <c r="D137" s="67" t="s">
        <v>519</v>
      </c>
      <c r="E137" s="67" t="s">
        <v>13</v>
      </c>
      <c r="F137" s="67" t="s">
        <v>1618</v>
      </c>
      <c r="G137" s="67" t="s">
        <v>1597</v>
      </c>
      <c r="H137" s="67"/>
      <c r="I137" s="67" t="s">
        <v>41</v>
      </c>
      <c r="J137" s="67" t="s">
        <v>64</v>
      </c>
      <c r="K137" s="67" t="s">
        <v>839</v>
      </c>
      <c r="L137" s="67" t="s">
        <v>767</v>
      </c>
      <c r="M137" s="67" t="s">
        <v>752</v>
      </c>
      <c r="N137" s="67" t="s">
        <v>1601</v>
      </c>
      <c r="O137" s="67" t="s">
        <v>1606</v>
      </c>
      <c r="P137" s="67"/>
      <c r="Q137" s="67">
        <v>50</v>
      </c>
      <c r="R137" s="67">
        <v>0</v>
      </c>
      <c r="S137" s="67">
        <v>0</v>
      </c>
      <c r="T137" s="67">
        <v>0</v>
      </c>
      <c r="U137" s="67">
        <v>0</v>
      </c>
      <c r="V137" s="67">
        <v>0</v>
      </c>
      <c r="W137" s="67">
        <v>0</v>
      </c>
      <c r="X137" s="67">
        <v>0</v>
      </c>
      <c r="Y137" s="67">
        <v>0</v>
      </c>
      <c r="Z137" s="67">
        <v>0</v>
      </c>
      <c r="AA137" s="67">
        <v>0</v>
      </c>
      <c r="AB137" s="67">
        <v>0</v>
      </c>
      <c r="AC137" s="67">
        <v>0</v>
      </c>
      <c r="AD137" s="67">
        <v>0</v>
      </c>
      <c r="AE137" s="67">
        <v>0</v>
      </c>
      <c r="AF137" s="67">
        <v>0</v>
      </c>
      <c r="AG137" s="67">
        <v>0</v>
      </c>
      <c r="AH137" s="67">
        <v>0</v>
      </c>
      <c r="AI137" s="67">
        <v>0</v>
      </c>
      <c r="AJ137" s="67">
        <v>0</v>
      </c>
      <c r="AK137" s="67">
        <v>0</v>
      </c>
      <c r="AL137" s="67">
        <v>50</v>
      </c>
      <c r="AM137" s="67">
        <v>0</v>
      </c>
      <c r="AN137" s="67">
        <v>0</v>
      </c>
      <c r="AO137" s="67">
        <v>0</v>
      </c>
      <c r="AP137" s="67">
        <v>0</v>
      </c>
      <c r="AQ137" s="67">
        <v>0</v>
      </c>
      <c r="AR137" s="67">
        <v>0</v>
      </c>
      <c r="AS137" s="67">
        <v>0</v>
      </c>
      <c r="AT137" s="67"/>
      <c r="AU137" s="67"/>
      <c r="AV137" s="67"/>
      <c r="AW137" s="67">
        <v>0</v>
      </c>
      <c r="AX137" s="67">
        <v>0</v>
      </c>
      <c r="AY137" s="67"/>
      <c r="AZ137" s="67"/>
      <c r="BA137" s="67"/>
      <c r="BB137" s="67"/>
      <c r="BC137" s="67"/>
      <c r="BD137" s="67"/>
      <c r="BE137" s="67"/>
      <c r="BG137" s="67"/>
      <c r="BH137" s="67"/>
      <c r="BI137" s="67"/>
      <c r="BJ137" s="67">
        <v>0</v>
      </c>
      <c r="BK137" s="67"/>
      <c r="BL137" s="67"/>
      <c r="BP137" s="67"/>
      <c r="BQ137" s="67">
        <v>0</v>
      </c>
      <c r="BR137" s="67"/>
      <c r="BS137" s="67"/>
      <c r="BT137" s="67">
        <v>0</v>
      </c>
      <c r="BU137" s="67"/>
      <c r="BV137" s="67"/>
      <c r="BW137" s="67">
        <v>0</v>
      </c>
      <c r="BX137" s="67">
        <v>0</v>
      </c>
      <c r="BY137" s="67">
        <v>0</v>
      </c>
      <c r="BZ137" s="67">
        <v>0</v>
      </c>
      <c r="CA137" s="67"/>
      <c r="CB137" s="67">
        <v>0</v>
      </c>
      <c r="CC137" s="67"/>
      <c r="CD137" s="67"/>
      <c r="CE137" s="67">
        <v>0</v>
      </c>
      <c r="CF137" s="67">
        <v>0</v>
      </c>
      <c r="CG137" s="67"/>
      <c r="CH137" s="67"/>
      <c r="CI137" s="67"/>
      <c r="CJ137" s="67"/>
      <c r="CK137" s="67">
        <v>0</v>
      </c>
      <c r="CL137" s="67">
        <v>0</v>
      </c>
      <c r="CM137" s="67"/>
      <c r="CN137" s="67"/>
      <c r="CO137" s="67">
        <v>0</v>
      </c>
      <c r="CP137" s="67">
        <v>0</v>
      </c>
      <c r="CQ137" s="67"/>
      <c r="CR137" s="67"/>
      <c r="CS137" s="67"/>
      <c r="CT137" s="67"/>
      <c r="CU137" s="67">
        <v>0</v>
      </c>
      <c r="CV137" s="67"/>
      <c r="CW137" s="67"/>
      <c r="CX137" s="67"/>
      <c r="CY137" s="67">
        <v>0</v>
      </c>
      <c r="CZ137" s="67"/>
      <c r="DA137" s="67"/>
      <c r="DB137" s="67"/>
      <c r="DC137" s="67"/>
      <c r="DF137" s="67"/>
      <c r="DG137" s="67">
        <v>0</v>
      </c>
      <c r="DH137" s="67">
        <v>0</v>
      </c>
      <c r="DI137" s="67">
        <v>0</v>
      </c>
      <c r="DJ137" s="67"/>
      <c r="DK137" s="67">
        <v>0</v>
      </c>
      <c r="DL137" s="67">
        <v>0</v>
      </c>
      <c r="DM137" s="67">
        <v>0</v>
      </c>
      <c r="DN137" s="67"/>
      <c r="DO137" s="67"/>
      <c r="DP137" s="67"/>
      <c r="DQ137" s="67">
        <v>0</v>
      </c>
      <c r="DR137" s="67">
        <v>0</v>
      </c>
      <c r="DS137" s="67"/>
      <c r="DT137" s="67"/>
      <c r="DU137" s="67">
        <v>0</v>
      </c>
      <c r="DV137" s="67">
        <v>0</v>
      </c>
      <c r="DW137" s="67">
        <v>0</v>
      </c>
      <c r="DX137" s="67">
        <v>0</v>
      </c>
      <c r="DY137" s="67"/>
      <c r="DZ137" s="67">
        <v>0</v>
      </c>
      <c r="EA137" s="67"/>
      <c r="EB137" s="67">
        <v>0</v>
      </c>
      <c r="EC137" s="67"/>
      <c r="ED137" s="67">
        <v>0</v>
      </c>
      <c r="EE137" s="67"/>
      <c r="EF137" s="67">
        <v>0</v>
      </c>
      <c r="EG137" s="67"/>
      <c r="EH137" s="67"/>
      <c r="EI137" s="67"/>
      <c r="EJ137" s="67"/>
      <c r="EK137" s="67"/>
      <c r="EL137" s="67"/>
      <c r="EM137" s="67"/>
      <c r="EN137" s="67"/>
      <c r="EO137" s="67"/>
      <c r="EP137" s="67">
        <v>0</v>
      </c>
      <c r="EQ137" s="67">
        <v>0</v>
      </c>
      <c r="ER137" s="67">
        <v>0</v>
      </c>
      <c r="ES137" s="67"/>
      <c r="ET137">
        <v>0</v>
      </c>
      <c r="EX137" s="67"/>
      <c r="EY137" s="67"/>
      <c r="EZ137" s="67"/>
      <c r="FA137" s="67">
        <v>50</v>
      </c>
      <c r="FB137" s="67"/>
      <c r="FC137" s="67"/>
      <c r="FD137" s="67"/>
      <c r="FE137" s="67"/>
      <c r="FF137" s="67"/>
      <c r="FG137" s="67"/>
      <c r="FH137" s="67"/>
      <c r="FI137" s="67" t="s">
        <v>1600</v>
      </c>
    </row>
    <row r="138" spans="2:165" x14ac:dyDescent="0.2">
      <c r="B138" s="67" t="s">
        <v>520</v>
      </c>
      <c r="C138" s="67" t="s">
        <v>520</v>
      </c>
      <c r="D138" s="67" t="s">
        <v>521</v>
      </c>
      <c r="E138" s="67" t="s">
        <v>732</v>
      </c>
      <c r="F138" s="67" t="s">
        <v>1618</v>
      </c>
      <c r="G138" s="67" t="s">
        <v>1597</v>
      </c>
      <c r="H138" s="67"/>
      <c r="I138" s="67" t="s">
        <v>43</v>
      </c>
      <c r="J138" s="67" t="s">
        <v>71</v>
      </c>
      <c r="K138" s="67" t="s">
        <v>839</v>
      </c>
      <c r="L138" s="67" t="s">
        <v>767</v>
      </c>
      <c r="M138" s="67" t="s">
        <v>752</v>
      </c>
      <c r="N138" s="67" t="s">
        <v>1601</v>
      </c>
      <c r="O138" s="67" t="s">
        <v>1599</v>
      </c>
      <c r="P138" s="67"/>
      <c r="Q138" s="67">
        <v>150</v>
      </c>
      <c r="R138" s="67">
        <v>0</v>
      </c>
      <c r="S138" s="67">
        <v>0</v>
      </c>
      <c r="T138" s="67">
        <v>0</v>
      </c>
      <c r="U138" s="67">
        <v>0</v>
      </c>
      <c r="V138" s="67">
        <v>0</v>
      </c>
      <c r="W138" s="67">
        <v>0</v>
      </c>
      <c r="X138" s="67">
        <v>0</v>
      </c>
      <c r="Y138" s="67">
        <v>0</v>
      </c>
      <c r="Z138" s="67">
        <v>0</v>
      </c>
      <c r="AA138" s="67">
        <v>0</v>
      </c>
      <c r="AB138" s="67">
        <v>0</v>
      </c>
      <c r="AC138" s="67">
        <v>0</v>
      </c>
      <c r="AD138" s="67">
        <v>0</v>
      </c>
      <c r="AE138" s="67">
        <v>0</v>
      </c>
      <c r="AF138" s="67">
        <v>0</v>
      </c>
      <c r="AG138" s="67">
        <v>0</v>
      </c>
      <c r="AH138" s="67">
        <v>0</v>
      </c>
      <c r="AI138" s="67">
        <v>0</v>
      </c>
      <c r="AJ138" s="67">
        <v>100</v>
      </c>
      <c r="AK138" s="67">
        <v>0</v>
      </c>
      <c r="AL138" s="67">
        <v>50</v>
      </c>
      <c r="AM138" s="67">
        <v>0</v>
      </c>
      <c r="AN138" s="67">
        <v>0</v>
      </c>
      <c r="AO138" s="67">
        <v>0</v>
      </c>
      <c r="AP138" s="67">
        <v>0</v>
      </c>
      <c r="AQ138" s="67">
        <v>0</v>
      </c>
      <c r="AR138" s="67">
        <v>0</v>
      </c>
      <c r="AS138" s="67">
        <v>0</v>
      </c>
      <c r="AT138" s="67"/>
      <c r="AU138" s="67"/>
      <c r="AV138" s="67"/>
      <c r="AW138" s="67">
        <v>0</v>
      </c>
      <c r="AX138" s="67">
        <v>0</v>
      </c>
      <c r="AY138" s="67"/>
      <c r="AZ138" s="67"/>
      <c r="BA138" s="67"/>
      <c r="BB138" s="67"/>
      <c r="BC138" s="67"/>
      <c r="BD138" s="67"/>
      <c r="BE138" s="67"/>
      <c r="BG138" s="67"/>
      <c r="BH138" s="67"/>
      <c r="BI138" s="67"/>
      <c r="BJ138" s="67">
        <v>0</v>
      </c>
      <c r="BK138" s="67"/>
      <c r="BL138" s="67"/>
      <c r="BP138" s="67"/>
      <c r="BQ138" s="67">
        <v>0</v>
      </c>
      <c r="BR138" s="67"/>
      <c r="BS138" s="67"/>
      <c r="BT138" s="67">
        <v>0</v>
      </c>
      <c r="BU138" s="67"/>
      <c r="BV138" s="67"/>
      <c r="BW138" s="67">
        <v>0</v>
      </c>
      <c r="BX138" s="67">
        <v>0</v>
      </c>
      <c r="BY138" s="67">
        <v>0</v>
      </c>
      <c r="BZ138" s="67">
        <v>0</v>
      </c>
      <c r="CA138" s="67"/>
      <c r="CB138" s="67">
        <v>0</v>
      </c>
      <c r="CC138" s="67"/>
      <c r="CD138" s="67"/>
      <c r="CE138" s="67">
        <v>0</v>
      </c>
      <c r="CF138" s="67">
        <v>0</v>
      </c>
      <c r="CG138" s="67"/>
      <c r="CH138" s="67"/>
      <c r="CI138" s="67"/>
      <c r="CJ138" s="67"/>
      <c r="CK138" s="67">
        <v>0</v>
      </c>
      <c r="CL138" s="67">
        <v>0</v>
      </c>
      <c r="CM138" s="67"/>
      <c r="CN138" s="67"/>
      <c r="CO138" s="67">
        <v>0</v>
      </c>
      <c r="CP138" s="67">
        <v>0</v>
      </c>
      <c r="CQ138" s="67"/>
      <c r="CR138" s="67"/>
      <c r="CS138" s="67"/>
      <c r="CT138" s="67"/>
      <c r="CU138" s="67">
        <v>0</v>
      </c>
      <c r="CV138" s="67"/>
      <c r="CW138" s="67"/>
      <c r="CX138" s="67"/>
      <c r="CY138" s="67">
        <v>0</v>
      </c>
      <c r="CZ138" s="67"/>
      <c r="DA138" s="67"/>
      <c r="DB138" s="67"/>
      <c r="DC138" s="67"/>
      <c r="DF138" s="67"/>
      <c r="DG138" s="67">
        <v>0</v>
      </c>
      <c r="DH138" s="67">
        <v>0</v>
      </c>
      <c r="DI138" s="67">
        <v>0</v>
      </c>
      <c r="DJ138" s="67"/>
      <c r="DK138" s="67">
        <v>0</v>
      </c>
      <c r="DL138" s="67">
        <v>0</v>
      </c>
      <c r="DM138" s="67">
        <v>0</v>
      </c>
      <c r="DN138" s="67"/>
      <c r="DO138" s="67"/>
      <c r="DP138" s="67"/>
      <c r="DQ138" s="67">
        <v>0</v>
      </c>
      <c r="DR138" s="67">
        <v>0</v>
      </c>
      <c r="DS138" s="67"/>
      <c r="DT138" s="67"/>
      <c r="DU138" s="67">
        <v>0</v>
      </c>
      <c r="DV138" s="67">
        <v>0</v>
      </c>
      <c r="DW138" s="67">
        <v>0</v>
      </c>
      <c r="DX138" s="67">
        <v>0</v>
      </c>
      <c r="DY138" s="67"/>
      <c r="DZ138" s="67">
        <v>0</v>
      </c>
      <c r="EA138" s="67"/>
      <c r="EB138" s="67">
        <v>0</v>
      </c>
      <c r="EC138" s="67"/>
      <c r="ED138" s="67">
        <v>0</v>
      </c>
      <c r="EE138" s="67"/>
      <c r="EF138" s="67">
        <v>0</v>
      </c>
      <c r="EG138" s="67"/>
      <c r="EH138" s="67"/>
      <c r="EI138" s="67"/>
      <c r="EJ138" s="67"/>
      <c r="EK138" s="67"/>
      <c r="EL138" s="67"/>
      <c r="EM138" s="67"/>
      <c r="EN138" s="67"/>
      <c r="EO138" s="67"/>
      <c r="EP138" s="67">
        <v>0</v>
      </c>
      <c r="EQ138" s="67">
        <v>0</v>
      </c>
      <c r="ER138" s="67">
        <v>0</v>
      </c>
      <c r="ES138" s="67"/>
      <c r="ET138">
        <v>0</v>
      </c>
      <c r="EX138" s="67"/>
      <c r="EY138" s="67"/>
      <c r="EZ138" s="67"/>
      <c r="FA138" s="67">
        <v>150</v>
      </c>
      <c r="FB138" s="67"/>
      <c r="FC138" s="67"/>
      <c r="FD138" s="67"/>
      <c r="FE138" s="67"/>
      <c r="FF138" s="67"/>
      <c r="FG138" s="67"/>
      <c r="FH138" s="67"/>
      <c r="FI138" s="67" t="s">
        <v>1600</v>
      </c>
    </row>
    <row r="139" spans="2:165" ht="24" x14ac:dyDescent="0.2">
      <c r="B139" s="67" t="s">
        <v>522</v>
      </c>
      <c r="C139" s="67" t="s">
        <v>522</v>
      </c>
      <c r="D139" s="67" t="s">
        <v>523</v>
      </c>
      <c r="E139" s="67" t="s">
        <v>13</v>
      </c>
      <c r="F139" s="67" t="s">
        <v>1618</v>
      </c>
      <c r="G139" s="67" t="s">
        <v>1597</v>
      </c>
      <c r="H139" s="67"/>
      <c r="I139" s="67" t="s">
        <v>41</v>
      </c>
      <c r="J139" s="67" t="s">
        <v>64</v>
      </c>
      <c r="K139" s="67" t="s">
        <v>839</v>
      </c>
      <c r="L139" s="67" t="s">
        <v>767</v>
      </c>
      <c r="M139" s="67" t="s">
        <v>752</v>
      </c>
      <c r="N139" s="67" t="s">
        <v>1598</v>
      </c>
      <c r="O139" s="67" t="s">
        <v>1606</v>
      </c>
      <c r="P139" s="67"/>
      <c r="Q139" s="67">
        <v>350</v>
      </c>
      <c r="R139" s="67">
        <v>0</v>
      </c>
      <c r="S139" s="67">
        <v>0</v>
      </c>
      <c r="T139" s="67">
        <v>0</v>
      </c>
      <c r="U139" s="67">
        <v>0</v>
      </c>
      <c r="V139" s="67">
        <v>0</v>
      </c>
      <c r="W139" s="67">
        <v>0</v>
      </c>
      <c r="X139" s="67">
        <v>0</v>
      </c>
      <c r="Y139" s="67">
        <v>0</v>
      </c>
      <c r="Z139" s="67">
        <v>0</v>
      </c>
      <c r="AA139" s="67">
        <v>0</v>
      </c>
      <c r="AB139" s="67">
        <v>0</v>
      </c>
      <c r="AC139" s="67">
        <v>0</v>
      </c>
      <c r="AD139" s="67">
        <v>0</v>
      </c>
      <c r="AE139" s="67">
        <v>0</v>
      </c>
      <c r="AF139" s="67">
        <v>0</v>
      </c>
      <c r="AG139" s="67">
        <v>0</v>
      </c>
      <c r="AH139" s="67">
        <v>0</v>
      </c>
      <c r="AI139" s="67">
        <v>0</v>
      </c>
      <c r="AJ139" s="67">
        <v>0</v>
      </c>
      <c r="AK139" s="67">
        <v>0</v>
      </c>
      <c r="AL139" s="67">
        <v>350</v>
      </c>
      <c r="AM139" s="67">
        <v>0</v>
      </c>
      <c r="AN139" s="67">
        <v>0</v>
      </c>
      <c r="AO139" s="67">
        <v>0</v>
      </c>
      <c r="AP139" s="67">
        <v>0</v>
      </c>
      <c r="AQ139" s="67">
        <v>0</v>
      </c>
      <c r="AR139" s="67">
        <v>0</v>
      </c>
      <c r="AS139" s="67">
        <v>0</v>
      </c>
      <c r="AT139" s="67"/>
      <c r="AU139" s="67"/>
      <c r="AV139" s="67"/>
      <c r="AW139" s="67">
        <v>0</v>
      </c>
      <c r="AX139" s="67">
        <v>0</v>
      </c>
      <c r="AY139" s="67"/>
      <c r="AZ139" s="67"/>
      <c r="BA139" s="67"/>
      <c r="BB139" s="67"/>
      <c r="BC139" s="67"/>
      <c r="BD139" s="67"/>
      <c r="BE139" s="67"/>
      <c r="BG139" s="67"/>
      <c r="BH139" s="67"/>
      <c r="BI139" s="67"/>
      <c r="BJ139" s="67">
        <v>0</v>
      </c>
      <c r="BK139" s="67"/>
      <c r="BL139" s="67"/>
      <c r="BP139" s="67"/>
      <c r="BQ139" s="67">
        <v>0</v>
      </c>
      <c r="BR139" s="67"/>
      <c r="BS139" s="67"/>
      <c r="BT139" s="67">
        <v>0</v>
      </c>
      <c r="BU139" s="67"/>
      <c r="BV139" s="67"/>
      <c r="BW139" s="67">
        <v>0</v>
      </c>
      <c r="BX139" s="67">
        <v>0</v>
      </c>
      <c r="BY139" s="67">
        <v>0</v>
      </c>
      <c r="BZ139" s="67">
        <v>0</v>
      </c>
      <c r="CA139" s="67"/>
      <c r="CB139" s="67">
        <v>0</v>
      </c>
      <c r="CC139" s="67"/>
      <c r="CD139" s="67"/>
      <c r="CE139" s="67">
        <v>0</v>
      </c>
      <c r="CF139" s="67">
        <v>0</v>
      </c>
      <c r="CG139" s="67"/>
      <c r="CH139" s="67"/>
      <c r="CI139" s="67"/>
      <c r="CJ139" s="67"/>
      <c r="CK139" s="67">
        <v>0</v>
      </c>
      <c r="CL139" s="67">
        <v>0</v>
      </c>
      <c r="CM139" s="67"/>
      <c r="CN139" s="67"/>
      <c r="CO139" s="67">
        <v>0</v>
      </c>
      <c r="CP139" s="67">
        <v>0</v>
      </c>
      <c r="CQ139" s="67"/>
      <c r="CR139" s="67"/>
      <c r="CS139" s="67"/>
      <c r="CT139" s="67"/>
      <c r="CU139" s="67">
        <v>0</v>
      </c>
      <c r="CV139" s="67"/>
      <c r="CW139" s="67"/>
      <c r="CX139" s="67"/>
      <c r="CY139" s="67">
        <v>0</v>
      </c>
      <c r="CZ139" s="67"/>
      <c r="DA139" s="67"/>
      <c r="DB139" s="67"/>
      <c r="DC139" s="67"/>
      <c r="DF139" s="67"/>
      <c r="DG139" s="67">
        <v>50</v>
      </c>
      <c r="DH139" s="67">
        <v>50</v>
      </c>
      <c r="DI139" s="67">
        <v>0</v>
      </c>
      <c r="DJ139" s="67"/>
      <c r="DK139" s="67">
        <v>0</v>
      </c>
      <c r="DL139" s="67">
        <v>0</v>
      </c>
      <c r="DM139" s="67">
        <v>0</v>
      </c>
      <c r="DN139" s="67"/>
      <c r="DO139" s="67"/>
      <c r="DP139" s="67"/>
      <c r="DQ139" s="67">
        <v>0</v>
      </c>
      <c r="DR139" s="67">
        <v>0</v>
      </c>
      <c r="DS139" s="67"/>
      <c r="DT139" s="67"/>
      <c r="DU139" s="67">
        <v>0</v>
      </c>
      <c r="DV139" s="67">
        <v>0</v>
      </c>
      <c r="DW139" s="67">
        <v>0</v>
      </c>
      <c r="DX139" s="67">
        <v>0</v>
      </c>
      <c r="DY139" s="67"/>
      <c r="DZ139" s="67">
        <v>0</v>
      </c>
      <c r="EA139" s="67"/>
      <c r="EB139" s="67">
        <v>0</v>
      </c>
      <c r="EC139" s="67"/>
      <c r="ED139" s="67">
        <v>0</v>
      </c>
      <c r="EE139" s="67"/>
      <c r="EF139" s="67">
        <v>0</v>
      </c>
      <c r="EG139" s="67"/>
      <c r="EH139" s="67"/>
      <c r="EI139" s="67"/>
      <c r="EJ139" s="67"/>
      <c r="EK139" s="67"/>
      <c r="EL139" s="67"/>
      <c r="EM139" s="67"/>
      <c r="EN139" s="67"/>
      <c r="EO139" s="67"/>
      <c r="EP139" s="67">
        <v>0</v>
      </c>
      <c r="EQ139" s="67">
        <v>0</v>
      </c>
      <c r="ER139" s="67">
        <v>0</v>
      </c>
      <c r="ES139" s="67"/>
      <c r="ET139">
        <v>0</v>
      </c>
      <c r="EX139" s="67"/>
      <c r="EY139" s="67"/>
      <c r="EZ139" s="67"/>
      <c r="FA139" s="67">
        <v>400</v>
      </c>
      <c r="FB139" s="67"/>
      <c r="FC139" s="67"/>
      <c r="FD139" s="67"/>
      <c r="FE139" s="67"/>
      <c r="FF139" s="67"/>
      <c r="FG139" s="67"/>
      <c r="FH139" s="67"/>
      <c r="FI139" s="67" t="s">
        <v>1600</v>
      </c>
    </row>
    <row r="140" spans="2:165" ht="24" x14ac:dyDescent="0.2">
      <c r="B140" s="67" t="s">
        <v>524</v>
      </c>
      <c r="C140" s="67" t="s">
        <v>524</v>
      </c>
      <c r="D140" s="67" t="s">
        <v>525</v>
      </c>
      <c r="E140" s="67" t="s">
        <v>13</v>
      </c>
      <c r="F140" s="67" t="s">
        <v>1618</v>
      </c>
      <c r="G140" s="67" t="s">
        <v>1597</v>
      </c>
      <c r="H140" s="67"/>
      <c r="I140" s="67" t="s">
        <v>22</v>
      </c>
      <c r="J140" s="67" t="s">
        <v>64</v>
      </c>
      <c r="K140" s="67" t="s">
        <v>839</v>
      </c>
      <c r="L140" s="67" t="s">
        <v>767</v>
      </c>
      <c r="M140" s="67" t="s">
        <v>752</v>
      </c>
      <c r="N140" s="67" t="s">
        <v>1598</v>
      </c>
      <c r="O140" s="67" t="s">
        <v>1599</v>
      </c>
      <c r="P140" s="67"/>
      <c r="Q140" s="67">
        <v>190</v>
      </c>
      <c r="R140" s="67">
        <v>0</v>
      </c>
      <c r="S140" s="67">
        <v>0</v>
      </c>
      <c r="T140" s="67">
        <v>0</v>
      </c>
      <c r="U140" s="67">
        <v>0</v>
      </c>
      <c r="V140" s="67">
        <v>0</v>
      </c>
      <c r="W140" s="67">
        <v>0</v>
      </c>
      <c r="X140" s="67">
        <v>0</v>
      </c>
      <c r="Y140" s="67">
        <v>0</v>
      </c>
      <c r="Z140" s="67">
        <v>0</v>
      </c>
      <c r="AA140" s="67">
        <v>0</v>
      </c>
      <c r="AB140" s="67">
        <v>0</v>
      </c>
      <c r="AC140" s="67">
        <v>0</v>
      </c>
      <c r="AD140" s="67">
        <v>0</v>
      </c>
      <c r="AE140" s="67">
        <v>0</v>
      </c>
      <c r="AF140" s="67">
        <v>0</v>
      </c>
      <c r="AG140" s="67">
        <v>0</v>
      </c>
      <c r="AH140" s="67">
        <v>0</v>
      </c>
      <c r="AI140" s="67">
        <v>0</v>
      </c>
      <c r="AJ140" s="67">
        <v>0</v>
      </c>
      <c r="AK140" s="67">
        <v>120</v>
      </c>
      <c r="AL140" s="67">
        <v>70</v>
      </c>
      <c r="AM140" s="67">
        <v>0</v>
      </c>
      <c r="AN140" s="67">
        <v>0</v>
      </c>
      <c r="AO140" s="67">
        <v>0</v>
      </c>
      <c r="AP140" s="67">
        <v>0</v>
      </c>
      <c r="AQ140" s="67">
        <v>0</v>
      </c>
      <c r="AR140" s="67">
        <v>0</v>
      </c>
      <c r="AS140" s="67">
        <v>0</v>
      </c>
      <c r="AT140" s="67"/>
      <c r="AU140" s="67"/>
      <c r="AV140" s="67"/>
      <c r="AW140" s="67">
        <v>0</v>
      </c>
      <c r="AX140" s="67">
        <v>0</v>
      </c>
      <c r="AY140" s="67"/>
      <c r="AZ140" s="67"/>
      <c r="BA140" s="67"/>
      <c r="BB140" s="67"/>
      <c r="BC140" s="67"/>
      <c r="BD140" s="67"/>
      <c r="BE140" s="67"/>
      <c r="BG140" s="67"/>
      <c r="BH140" s="67"/>
      <c r="BI140" s="67"/>
      <c r="BJ140" s="67">
        <v>0</v>
      </c>
      <c r="BK140" s="67"/>
      <c r="BL140" s="67"/>
      <c r="BP140" s="67"/>
      <c r="BQ140" s="67">
        <v>0</v>
      </c>
      <c r="BR140" s="67"/>
      <c r="BS140" s="67"/>
      <c r="BT140" s="67">
        <v>0</v>
      </c>
      <c r="BU140" s="67"/>
      <c r="BV140" s="67"/>
      <c r="BW140" s="67">
        <v>0</v>
      </c>
      <c r="BX140" s="67">
        <v>0</v>
      </c>
      <c r="BY140" s="67">
        <v>0</v>
      </c>
      <c r="BZ140" s="67">
        <v>0</v>
      </c>
      <c r="CA140" s="67"/>
      <c r="CB140" s="67">
        <v>0</v>
      </c>
      <c r="CC140" s="67"/>
      <c r="CD140" s="67"/>
      <c r="CE140" s="67">
        <v>0</v>
      </c>
      <c r="CF140" s="67">
        <v>0</v>
      </c>
      <c r="CG140" s="67"/>
      <c r="CH140" s="67"/>
      <c r="CI140" s="67"/>
      <c r="CJ140" s="67"/>
      <c r="CK140" s="67">
        <v>0</v>
      </c>
      <c r="CL140" s="67">
        <v>0</v>
      </c>
      <c r="CM140" s="67"/>
      <c r="CN140" s="67"/>
      <c r="CO140" s="67">
        <v>0</v>
      </c>
      <c r="CP140" s="67">
        <v>0</v>
      </c>
      <c r="CQ140" s="67"/>
      <c r="CR140" s="67"/>
      <c r="CS140" s="67"/>
      <c r="CT140" s="67"/>
      <c r="CU140" s="67">
        <v>0</v>
      </c>
      <c r="CV140" s="67"/>
      <c r="CW140" s="67"/>
      <c r="CX140" s="67"/>
      <c r="CY140" s="67">
        <v>0</v>
      </c>
      <c r="CZ140" s="67"/>
      <c r="DA140" s="67"/>
      <c r="DB140" s="67"/>
      <c r="DC140" s="67"/>
      <c r="DF140" s="67"/>
      <c r="DG140" s="67">
        <v>50</v>
      </c>
      <c r="DH140" s="67">
        <v>50</v>
      </c>
      <c r="DI140" s="67">
        <v>0</v>
      </c>
      <c r="DJ140" s="67"/>
      <c r="DK140" s="67">
        <v>0</v>
      </c>
      <c r="DL140" s="67">
        <v>0</v>
      </c>
      <c r="DM140" s="67">
        <v>0</v>
      </c>
      <c r="DN140" s="67"/>
      <c r="DO140" s="67"/>
      <c r="DP140" s="67"/>
      <c r="DQ140" s="67">
        <v>0</v>
      </c>
      <c r="DR140" s="67">
        <v>0</v>
      </c>
      <c r="DS140" s="67"/>
      <c r="DT140" s="67"/>
      <c r="DU140" s="67">
        <v>0</v>
      </c>
      <c r="DV140" s="67">
        <v>0</v>
      </c>
      <c r="DW140" s="67">
        <v>0</v>
      </c>
      <c r="DX140" s="67">
        <v>0</v>
      </c>
      <c r="DY140" s="67"/>
      <c r="DZ140" s="67">
        <v>0</v>
      </c>
      <c r="EA140" s="67"/>
      <c r="EB140" s="67">
        <v>0</v>
      </c>
      <c r="EC140" s="67"/>
      <c r="ED140" s="67">
        <v>0</v>
      </c>
      <c r="EE140" s="67"/>
      <c r="EF140" s="67">
        <v>0</v>
      </c>
      <c r="EG140" s="67"/>
      <c r="EH140" s="67"/>
      <c r="EI140" s="67"/>
      <c r="EJ140" s="67"/>
      <c r="EK140" s="67"/>
      <c r="EL140" s="67"/>
      <c r="EM140" s="67"/>
      <c r="EN140" s="67"/>
      <c r="EO140" s="67"/>
      <c r="EP140" s="67">
        <v>0</v>
      </c>
      <c r="EQ140" s="67">
        <v>0</v>
      </c>
      <c r="ER140" s="67">
        <v>0</v>
      </c>
      <c r="ES140" s="67"/>
      <c r="ET140">
        <v>0</v>
      </c>
      <c r="EX140" s="67"/>
      <c r="EY140" s="67"/>
      <c r="EZ140" s="67"/>
      <c r="FA140" s="67">
        <v>240</v>
      </c>
      <c r="FB140" s="67"/>
      <c r="FC140" s="67"/>
      <c r="FD140" s="67"/>
      <c r="FE140" s="67"/>
      <c r="FF140" s="67"/>
      <c r="FG140" s="67"/>
      <c r="FH140" s="67"/>
      <c r="FI140" s="67" t="s">
        <v>1600</v>
      </c>
    </row>
    <row r="141" spans="2:165" ht="24" x14ac:dyDescent="0.2">
      <c r="B141" s="67" t="s">
        <v>526</v>
      </c>
      <c r="C141" s="67" t="s">
        <v>526</v>
      </c>
      <c r="D141" s="67" t="s">
        <v>527</v>
      </c>
      <c r="E141" s="67" t="s">
        <v>13</v>
      </c>
      <c r="F141" s="67" t="s">
        <v>1618</v>
      </c>
      <c r="G141" s="67" t="s">
        <v>1597</v>
      </c>
      <c r="H141" s="67"/>
      <c r="I141" s="67" t="s">
        <v>41</v>
      </c>
      <c r="J141" s="67" t="s">
        <v>71</v>
      </c>
      <c r="K141" s="67" t="s">
        <v>839</v>
      </c>
      <c r="L141" s="67" t="s">
        <v>767</v>
      </c>
      <c r="M141" s="67" t="s">
        <v>752</v>
      </c>
      <c r="N141" s="67" t="s">
        <v>1607</v>
      </c>
      <c r="O141" s="67" t="s">
        <v>1599</v>
      </c>
      <c r="P141" s="67"/>
      <c r="Q141" s="67">
        <v>295</v>
      </c>
      <c r="R141" s="67">
        <v>0</v>
      </c>
      <c r="S141" s="67">
        <v>0</v>
      </c>
      <c r="T141" s="67">
        <v>0</v>
      </c>
      <c r="U141" s="67">
        <v>0</v>
      </c>
      <c r="V141" s="67">
        <v>0</v>
      </c>
      <c r="W141" s="67">
        <v>0</v>
      </c>
      <c r="X141" s="67">
        <v>0</v>
      </c>
      <c r="Y141" s="67">
        <v>0</v>
      </c>
      <c r="Z141" s="67">
        <v>0</v>
      </c>
      <c r="AA141" s="67">
        <v>0</v>
      </c>
      <c r="AB141" s="67">
        <v>0</v>
      </c>
      <c r="AC141" s="67">
        <v>0</v>
      </c>
      <c r="AD141" s="67">
        <v>0</v>
      </c>
      <c r="AE141" s="67">
        <v>0</v>
      </c>
      <c r="AF141" s="67">
        <v>0</v>
      </c>
      <c r="AG141" s="67">
        <v>0</v>
      </c>
      <c r="AH141" s="67">
        <v>0</v>
      </c>
      <c r="AI141" s="67">
        <v>0</v>
      </c>
      <c r="AJ141" s="67">
        <v>295</v>
      </c>
      <c r="AK141" s="67">
        <v>0</v>
      </c>
      <c r="AL141" s="67">
        <v>0</v>
      </c>
      <c r="AM141" s="67">
        <v>0</v>
      </c>
      <c r="AN141" s="67">
        <v>0</v>
      </c>
      <c r="AO141" s="67">
        <v>0</v>
      </c>
      <c r="AP141" s="67">
        <v>0</v>
      </c>
      <c r="AQ141" s="67">
        <v>0</v>
      </c>
      <c r="AR141" s="67">
        <v>0</v>
      </c>
      <c r="AS141" s="67">
        <v>0</v>
      </c>
      <c r="AT141" s="67"/>
      <c r="AU141" s="67"/>
      <c r="AV141" s="67"/>
      <c r="AW141" s="67">
        <v>0</v>
      </c>
      <c r="AX141" s="67">
        <v>0</v>
      </c>
      <c r="AY141" s="67"/>
      <c r="AZ141" s="67"/>
      <c r="BA141" s="67"/>
      <c r="BB141" s="67"/>
      <c r="BC141" s="67"/>
      <c r="BD141" s="67"/>
      <c r="BE141" s="67"/>
      <c r="BG141" s="67"/>
      <c r="BH141" s="67"/>
      <c r="BI141" s="67"/>
      <c r="BJ141" s="67">
        <v>0</v>
      </c>
      <c r="BK141" s="67"/>
      <c r="BL141" s="67"/>
      <c r="BP141" s="67"/>
      <c r="BQ141" s="67">
        <v>0</v>
      </c>
      <c r="BR141" s="67"/>
      <c r="BS141" s="67"/>
      <c r="BT141" s="67">
        <v>0</v>
      </c>
      <c r="BU141" s="67"/>
      <c r="BV141" s="67"/>
      <c r="BW141" s="67">
        <v>0</v>
      </c>
      <c r="BX141" s="67">
        <v>0</v>
      </c>
      <c r="BY141" s="67">
        <v>0</v>
      </c>
      <c r="BZ141" s="67">
        <v>0</v>
      </c>
      <c r="CA141" s="67"/>
      <c r="CB141" s="67">
        <v>0</v>
      </c>
      <c r="CC141" s="67"/>
      <c r="CD141" s="67"/>
      <c r="CE141" s="67">
        <v>0</v>
      </c>
      <c r="CF141" s="67">
        <v>0</v>
      </c>
      <c r="CG141" s="67"/>
      <c r="CH141" s="67"/>
      <c r="CI141" s="67"/>
      <c r="CJ141" s="67"/>
      <c r="CK141" s="67">
        <v>0</v>
      </c>
      <c r="CL141" s="67">
        <v>0</v>
      </c>
      <c r="CM141" s="67"/>
      <c r="CN141" s="67"/>
      <c r="CO141" s="67">
        <v>0</v>
      </c>
      <c r="CP141" s="67">
        <v>0</v>
      </c>
      <c r="CQ141" s="67"/>
      <c r="CR141" s="67"/>
      <c r="CS141" s="67"/>
      <c r="CT141" s="67"/>
      <c r="CU141" s="67">
        <v>0</v>
      </c>
      <c r="CV141" s="67"/>
      <c r="CW141" s="67"/>
      <c r="CX141" s="67"/>
      <c r="CY141" s="67">
        <v>0</v>
      </c>
      <c r="CZ141" s="67"/>
      <c r="DA141" s="67"/>
      <c r="DB141" s="67"/>
      <c r="DC141" s="67"/>
      <c r="DF141" s="67"/>
      <c r="DG141" s="67">
        <v>50</v>
      </c>
      <c r="DH141" s="67">
        <v>50</v>
      </c>
      <c r="DI141" s="67">
        <v>0</v>
      </c>
      <c r="DJ141" s="67"/>
      <c r="DK141" s="67">
        <v>0</v>
      </c>
      <c r="DL141" s="67">
        <v>0</v>
      </c>
      <c r="DM141" s="67">
        <v>0</v>
      </c>
      <c r="DN141" s="67"/>
      <c r="DO141" s="67"/>
      <c r="DP141" s="67"/>
      <c r="DQ141" s="67">
        <v>0</v>
      </c>
      <c r="DR141" s="67">
        <v>0</v>
      </c>
      <c r="DS141" s="67"/>
      <c r="DT141" s="67"/>
      <c r="DU141" s="67">
        <v>0</v>
      </c>
      <c r="DV141" s="67">
        <v>0</v>
      </c>
      <c r="DW141" s="67">
        <v>0</v>
      </c>
      <c r="DX141" s="67">
        <v>0</v>
      </c>
      <c r="DY141" s="67"/>
      <c r="DZ141" s="67">
        <v>0</v>
      </c>
      <c r="EA141" s="67"/>
      <c r="EB141" s="67">
        <v>0</v>
      </c>
      <c r="EC141" s="67"/>
      <c r="ED141" s="67">
        <v>0</v>
      </c>
      <c r="EE141" s="67"/>
      <c r="EF141" s="67">
        <v>0</v>
      </c>
      <c r="EG141" s="67"/>
      <c r="EH141" s="67"/>
      <c r="EI141" s="67"/>
      <c r="EJ141" s="67"/>
      <c r="EK141" s="67"/>
      <c r="EL141" s="67"/>
      <c r="EM141" s="67"/>
      <c r="EN141" s="67"/>
      <c r="EO141" s="67"/>
      <c r="EP141" s="67">
        <v>0</v>
      </c>
      <c r="EQ141" s="67">
        <v>0</v>
      </c>
      <c r="ER141" s="67">
        <v>0</v>
      </c>
      <c r="ES141" s="67"/>
      <c r="ET141">
        <v>0</v>
      </c>
      <c r="EX141" s="67"/>
      <c r="EY141" s="67"/>
      <c r="EZ141" s="67"/>
      <c r="FA141" s="67">
        <v>345</v>
      </c>
      <c r="FB141" s="67"/>
      <c r="FC141" s="67"/>
      <c r="FD141" s="67"/>
      <c r="FE141" s="67"/>
      <c r="FF141" s="67"/>
      <c r="FG141" s="67"/>
      <c r="FH141" s="67"/>
      <c r="FI141" s="67" t="s">
        <v>1600</v>
      </c>
    </row>
    <row r="142" spans="2:165" ht="24" x14ac:dyDescent="0.2">
      <c r="B142" s="67"/>
      <c r="C142" s="67" t="s">
        <v>1665</v>
      </c>
      <c r="D142" s="67" t="s">
        <v>528</v>
      </c>
      <c r="E142" s="67" t="s">
        <v>13</v>
      </c>
      <c r="F142" s="67" t="s">
        <v>1618</v>
      </c>
      <c r="G142" s="67" t="s">
        <v>345</v>
      </c>
      <c r="H142" s="67"/>
      <c r="I142" s="67" t="s">
        <v>41</v>
      </c>
      <c r="J142" s="67" t="s">
        <v>64</v>
      </c>
      <c r="K142" s="67" t="s">
        <v>839</v>
      </c>
      <c r="L142" s="67" t="s">
        <v>787</v>
      </c>
      <c r="M142" s="67" t="s">
        <v>1615</v>
      </c>
      <c r="N142" s="67" t="s">
        <v>1607</v>
      </c>
      <c r="O142" s="67" t="s">
        <v>1608</v>
      </c>
      <c r="P142" s="67" t="s">
        <v>346</v>
      </c>
      <c r="Q142" s="67">
        <v>25</v>
      </c>
      <c r="R142" s="67">
        <v>0</v>
      </c>
      <c r="S142" s="67">
        <v>0</v>
      </c>
      <c r="T142" s="67">
        <v>0</v>
      </c>
      <c r="U142" s="67">
        <v>0</v>
      </c>
      <c r="V142" s="67">
        <v>0</v>
      </c>
      <c r="W142" s="67">
        <v>0</v>
      </c>
      <c r="X142" s="67">
        <v>0</v>
      </c>
      <c r="Y142" s="67">
        <v>0</v>
      </c>
      <c r="Z142" s="67">
        <v>0</v>
      </c>
      <c r="AA142" s="67">
        <v>0</v>
      </c>
      <c r="AB142" s="67">
        <v>0</v>
      </c>
      <c r="AC142" s="67">
        <v>0</v>
      </c>
      <c r="AD142" s="67">
        <v>0</v>
      </c>
      <c r="AE142" s="67">
        <v>0</v>
      </c>
      <c r="AF142" s="67">
        <v>0</v>
      </c>
      <c r="AG142" s="67">
        <v>0</v>
      </c>
      <c r="AH142" s="67">
        <v>0</v>
      </c>
      <c r="AI142" s="67">
        <v>0</v>
      </c>
      <c r="AJ142" s="67">
        <v>0</v>
      </c>
      <c r="AK142" s="67">
        <v>0</v>
      </c>
      <c r="AL142" s="67">
        <v>25</v>
      </c>
      <c r="AM142" s="67">
        <v>0</v>
      </c>
      <c r="AN142" s="67">
        <v>0</v>
      </c>
      <c r="AO142" s="67">
        <v>0</v>
      </c>
      <c r="AP142" s="67">
        <v>0</v>
      </c>
      <c r="AQ142" s="67">
        <v>0</v>
      </c>
      <c r="AR142" s="67">
        <v>0</v>
      </c>
      <c r="AS142" s="67">
        <v>0</v>
      </c>
      <c r="AT142" s="67"/>
      <c r="AU142" s="67"/>
      <c r="AV142" s="67"/>
      <c r="AW142" s="67">
        <v>0</v>
      </c>
      <c r="AX142" s="67">
        <v>0</v>
      </c>
      <c r="AY142" s="67"/>
      <c r="AZ142" s="67"/>
      <c r="BA142" s="67"/>
      <c r="BB142" s="67"/>
      <c r="BC142" s="67"/>
      <c r="BD142" s="67"/>
      <c r="BE142" s="67"/>
      <c r="BG142" s="67"/>
      <c r="BH142" s="67"/>
      <c r="BI142" s="67"/>
      <c r="BJ142" s="67">
        <v>0</v>
      </c>
      <c r="BK142" s="67"/>
      <c r="BL142" s="67"/>
      <c r="BP142" s="67"/>
      <c r="BQ142" s="67">
        <v>0</v>
      </c>
      <c r="BR142" s="67"/>
      <c r="BS142" s="67"/>
      <c r="BT142" s="67">
        <v>0</v>
      </c>
      <c r="BU142" s="67"/>
      <c r="BV142" s="67"/>
      <c r="BW142" s="67">
        <v>0</v>
      </c>
      <c r="BX142" s="67">
        <v>0</v>
      </c>
      <c r="BY142" s="67">
        <v>0</v>
      </c>
      <c r="BZ142" s="67">
        <v>0</v>
      </c>
      <c r="CA142" s="67"/>
      <c r="CB142" s="67">
        <v>0</v>
      </c>
      <c r="CC142" s="67"/>
      <c r="CD142" s="67"/>
      <c r="CE142" s="67">
        <v>0</v>
      </c>
      <c r="CF142" s="67">
        <v>0</v>
      </c>
      <c r="CG142" s="67"/>
      <c r="CH142" s="67"/>
      <c r="CI142" s="67"/>
      <c r="CJ142" s="67"/>
      <c r="CK142" s="67">
        <v>0</v>
      </c>
      <c r="CL142" s="67">
        <v>0</v>
      </c>
      <c r="CM142" s="67"/>
      <c r="CN142" s="67"/>
      <c r="CO142" s="67">
        <v>0</v>
      </c>
      <c r="CP142" s="67">
        <v>0</v>
      </c>
      <c r="CQ142" s="67"/>
      <c r="CR142" s="67"/>
      <c r="CS142" s="67"/>
      <c r="CT142" s="67"/>
      <c r="CU142" s="67">
        <v>0</v>
      </c>
      <c r="CV142" s="67"/>
      <c r="CW142" s="67"/>
      <c r="CX142" s="67"/>
      <c r="CY142" s="67">
        <v>0</v>
      </c>
      <c r="CZ142" s="67"/>
      <c r="DA142" s="67"/>
      <c r="DB142" s="67"/>
      <c r="DC142" s="67"/>
      <c r="DF142" s="67"/>
      <c r="DG142" s="67">
        <v>0</v>
      </c>
      <c r="DH142" s="67">
        <v>0</v>
      </c>
      <c r="DI142" s="67">
        <v>0</v>
      </c>
      <c r="DJ142" s="67"/>
      <c r="DK142" s="67">
        <v>0</v>
      </c>
      <c r="DL142" s="67">
        <v>0</v>
      </c>
      <c r="DM142" s="67">
        <v>0</v>
      </c>
      <c r="DN142" s="67"/>
      <c r="DO142" s="67"/>
      <c r="DP142" s="67"/>
      <c r="DQ142" s="67">
        <v>0</v>
      </c>
      <c r="DR142" s="67">
        <v>0</v>
      </c>
      <c r="DS142" s="67"/>
      <c r="DT142" s="67"/>
      <c r="DU142" s="67">
        <v>0</v>
      </c>
      <c r="DV142" s="67">
        <v>0</v>
      </c>
      <c r="DW142" s="67">
        <v>0</v>
      </c>
      <c r="DX142" s="67">
        <v>0</v>
      </c>
      <c r="DY142" s="67"/>
      <c r="DZ142" s="67">
        <v>0</v>
      </c>
      <c r="EA142" s="67"/>
      <c r="EB142" s="67">
        <v>0</v>
      </c>
      <c r="EC142" s="67"/>
      <c r="ED142" s="67">
        <v>0</v>
      </c>
      <c r="EE142" s="67"/>
      <c r="EF142" s="67">
        <v>0</v>
      </c>
      <c r="EG142" s="67"/>
      <c r="EH142" s="67"/>
      <c r="EI142" s="67"/>
      <c r="EJ142" s="67"/>
      <c r="EK142" s="67"/>
      <c r="EL142" s="67"/>
      <c r="EM142" s="67"/>
      <c r="EN142" s="67"/>
      <c r="EO142" s="67"/>
      <c r="EP142" s="67">
        <v>0</v>
      </c>
      <c r="EQ142" s="67">
        <v>0</v>
      </c>
      <c r="ER142" s="67">
        <v>0</v>
      </c>
      <c r="ES142" s="67"/>
      <c r="ET142">
        <v>0</v>
      </c>
      <c r="EX142" s="67"/>
      <c r="EY142" s="67"/>
      <c r="EZ142" s="67"/>
      <c r="FA142" s="67">
        <v>25</v>
      </c>
      <c r="FB142" s="67"/>
      <c r="FC142" s="67"/>
      <c r="FD142" s="67"/>
      <c r="FE142" s="67"/>
      <c r="FF142" s="67"/>
      <c r="FG142" s="67"/>
      <c r="FH142" s="67"/>
      <c r="FI142" s="67" t="s">
        <v>1600</v>
      </c>
    </row>
    <row r="143" spans="2:165" x14ac:dyDescent="0.2">
      <c r="B143" s="67" t="s">
        <v>529</v>
      </c>
      <c r="C143" s="67" t="s">
        <v>529</v>
      </c>
      <c r="D143" s="67" t="s">
        <v>530</v>
      </c>
      <c r="E143" s="67" t="s">
        <v>23</v>
      </c>
      <c r="F143" s="67" t="s">
        <v>1618</v>
      </c>
      <c r="G143" s="67" t="s">
        <v>1597</v>
      </c>
      <c r="H143" s="67"/>
      <c r="I143" s="67" t="s">
        <v>43</v>
      </c>
      <c r="J143" s="67" t="s">
        <v>71</v>
      </c>
      <c r="K143" s="67" t="s">
        <v>839</v>
      </c>
      <c r="L143" s="67" t="s">
        <v>767</v>
      </c>
      <c r="M143" s="67" t="s">
        <v>752</v>
      </c>
      <c r="N143" s="67" t="s">
        <v>1604</v>
      </c>
      <c r="O143" s="67" t="s">
        <v>1599</v>
      </c>
      <c r="P143" s="67"/>
      <c r="Q143" s="67">
        <v>95</v>
      </c>
      <c r="R143" s="67">
        <v>0</v>
      </c>
      <c r="S143" s="67">
        <v>0</v>
      </c>
      <c r="T143" s="67">
        <v>0</v>
      </c>
      <c r="U143" s="67">
        <v>0</v>
      </c>
      <c r="V143" s="67">
        <v>0</v>
      </c>
      <c r="W143" s="67">
        <v>0</v>
      </c>
      <c r="X143" s="67">
        <v>0</v>
      </c>
      <c r="Y143" s="67">
        <v>0</v>
      </c>
      <c r="Z143" s="67">
        <v>0</v>
      </c>
      <c r="AA143" s="67">
        <v>0</v>
      </c>
      <c r="AB143" s="67">
        <v>0</v>
      </c>
      <c r="AC143" s="67">
        <v>0</v>
      </c>
      <c r="AD143" s="67">
        <v>0</v>
      </c>
      <c r="AE143" s="67">
        <v>0</v>
      </c>
      <c r="AF143" s="67">
        <v>0</v>
      </c>
      <c r="AG143" s="67">
        <v>0</v>
      </c>
      <c r="AH143" s="67">
        <v>0</v>
      </c>
      <c r="AI143" s="67">
        <v>0</v>
      </c>
      <c r="AJ143" s="67">
        <v>95</v>
      </c>
      <c r="AK143" s="67">
        <v>0</v>
      </c>
      <c r="AL143" s="67">
        <v>0</v>
      </c>
      <c r="AM143" s="67">
        <v>0</v>
      </c>
      <c r="AN143" s="67">
        <v>0</v>
      </c>
      <c r="AO143" s="67">
        <v>0</v>
      </c>
      <c r="AP143" s="67">
        <v>0</v>
      </c>
      <c r="AQ143" s="67">
        <v>0</v>
      </c>
      <c r="AR143" s="67">
        <v>0</v>
      </c>
      <c r="AS143" s="67">
        <v>0</v>
      </c>
      <c r="AT143" s="67"/>
      <c r="AU143" s="67"/>
      <c r="AV143" s="67"/>
      <c r="AW143" s="67">
        <v>0</v>
      </c>
      <c r="AX143" s="67">
        <v>0</v>
      </c>
      <c r="AY143" s="67"/>
      <c r="AZ143" s="67"/>
      <c r="BA143" s="67"/>
      <c r="BB143" s="67"/>
      <c r="BC143" s="67"/>
      <c r="BD143" s="67"/>
      <c r="BE143" s="67"/>
      <c r="BG143" s="67"/>
      <c r="BH143" s="67"/>
      <c r="BI143" s="67"/>
      <c r="BJ143" s="67">
        <v>0</v>
      </c>
      <c r="BK143" s="67"/>
      <c r="BL143" s="67"/>
      <c r="BP143" s="67"/>
      <c r="BQ143" s="67">
        <v>0</v>
      </c>
      <c r="BR143" s="67"/>
      <c r="BS143" s="67"/>
      <c r="BT143" s="67">
        <v>0</v>
      </c>
      <c r="BU143" s="67"/>
      <c r="BV143" s="67"/>
      <c r="BW143" s="67">
        <v>0</v>
      </c>
      <c r="BX143" s="67">
        <v>0</v>
      </c>
      <c r="BY143" s="67">
        <v>0</v>
      </c>
      <c r="BZ143" s="67">
        <v>0</v>
      </c>
      <c r="CA143" s="67"/>
      <c r="CB143" s="67">
        <v>0</v>
      </c>
      <c r="CC143" s="67"/>
      <c r="CD143" s="67"/>
      <c r="CE143" s="67">
        <v>0</v>
      </c>
      <c r="CF143" s="67">
        <v>0</v>
      </c>
      <c r="CG143" s="67"/>
      <c r="CH143" s="67"/>
      <c r="CI143" s="67"/>
      <c r="CJ143" s="67"/>
      <c r="CK143" s="67">
        <v>0</v>
      </c>
      <c r="CL143" s="67">
        <v>0</v>
      </c>
      <c r="CM143" s="67"/>
      <c r="CN143" s="67"/>
      <c r="CO143" s="67">
        <v>0</v>
      </c>
      <c r="CP143" s="67">
        <v>0</v>
      </c>
      <c r="CQ143" s="67"/>
      <c r="CR143" s="67"/>
      <c r="CS143" s="67"/>
      <c r="CT143" s="67"/>
      <c r="CU143" s="67">
        <v>0</v>
      </c>
      <c r="CV143" s="67"/>
      <c r="CW143" s="67"/>
      <c r="CX143" s="67"/>
      <c r="CY143" s="67">
        <v>0</v>
      </c>
      <c r="CZ143" s="67"/>
      <c r="DA143" s="67"/>
      <c r="DB143" s="67"/>
      <c r="DC143" s="67"/>
      <c r="DF143" s="67"/>
      <c r="DG143" s="67">
        <v>50</v>
      </c>
      <c r="DH143" s="67">
        <v>50</v>
      </c>
      <c r="DI143" s="67">
        <v>0</v>
      </c>
      <c r="DJ143" s="67"/>
      <c r="DK143" s="67">
        <v>0</v>
      </c>
      <c r="DL143" s="67">
        <v>0</v>
      </c>
      <c r="DM143" s="67">
        <v>0</v>
      </c>
      <c r="DN143" s="67"/>
      <c r="DO143" s="67"/>
      <c r="DP143" s="67"/>
      <c r="DQ143" s="67">
        <v>0</v>
      </c>
      <c r="DR143" s="67">
        <v>0</v>
      </c>
      <c r="DS143" s="67"/>
      <c r="DT143" s="67"/>
      <c r="DU143" s="67">
        <v>0</v>
      </c>
      <c r="DV143" s="67">
        <v>0</v>
      </c>
      <c r="DW143" s="67">
        <v>0</v>
      </c>
      <c r="DX143" s="67">
        <v>0</v>
      </c>
      <c r="DY143" s="67"/>
      <c r="DZ143" s="67">
        <v>0</v>
      </c>
      <c r="EA143" s="67"/>
      <c r="EB143" s="67">
        <v>0</v>
      </c>
      <c r="EC143" s="67"/>
      <c r="ED143" s="67">
        <v>0</v>
      </c>
      <c r="EE143" s="67"/>
      <c r="EF143" s="67">
        <v>0</v>
      </c>
      <c r="EG143" s="67"/>
      <c r="EH143" s="67"/>
      <c r="EI143" s="67"/>
      <c r="EJ143" s="67"/>
      <c r="EK143" s="67"/>
      <c r="EL143" s="67"/>
      <c r="EM143" s="67"/>
      <c r="EN143" s="67"/>
      <c r="EO143" s="67"/>
      <c r="EP143" s="67">
        <v>0</v>
      </c>
      <c r="EQ143" s="67">
        <v>0</v>
      </c>
      <c r="ER143" s="67">
        <v>0</v>
      </c>
      <c r="ES143" s="67"/>
      <c r="ET143">
        <v>0</v>
      </c>
      <c r="EX143" s="67"/>
      <c r="EY143" s="67"/>
      <c r="EZ143" s="67"/>
      <c r="FA143" s="67">
        <v>145</v>
      </c>
      <c r="FB143" s="67"/>
      <c r="FC143" s="67"/>
      <c r="FD143" s="67"/>
      <c r="FE143" s="67"/>
      <c r="FF143" s="67"/>
      <c r="FG143" s="67"/>
      <c r="FH143" s="67"/>
      <c r="FI143" s="67" t="s">
        <v>1600</v>
      </c>
    </row>
    <row r="144" spans="2:165" x14ac:dyDescent="0.2">
      <c r="B144" s="67" t="s">
        <v>531</v>
      </c>
      <c r="C144" s="67" t="s">
        <v>531</v>
      </c>
      <c r="D144" s="67" t="s">
        <v>532</v>
      </c>
      <c r="E144" s="67" t="s">
        <v>23</v>
      </c>
      <c r="F144" s="67" t="s">
        <v>1618</v>
      </c>
      <c r="G144" s="67" t="s">
        <v>1597</v>
      </c>
      <c r="H144" s="67"/>
      <c r="I144" s="67" t="s">
        <v>43</v>
      </c>
      <c r="J144" s="67" t="s">
        <v>71</v>
      </c>
      <c r="K144" s="67" t="s">
        <v>839</v>
      </c>
      <c r="L144" s="67" t="s">
        <v>767</v>
      </c>
      <c r="M144" s="67" t="s">
        <v>752</v>
      </c>
      <c r="N144" s="67" t="s">
        <v>1598</v>
      </c>
      <c r="O144" s="67" t="s">
        <v>1610</v>
      </c>
      <c r="P144" s="67"/>
      <c r="Q144" s="67">
        <v>120</v>
      </c>
      <c r="R144" s="67">
        <v>0</v>
      </c>
      <c r="S144" s="67">
        <v>0</v>
      </c>
      <c r="T144" s="67">
        <v>0</v>
      </c>
      <c r="U144" s="67">
        <v>0</v>
      </c>
      <c r="V144" s="67">
        <v>0</v>
      </c>
      <c r="W144" s="67">
        <v>0</v>
      </c>
      <c r="X144" s="67">
        <v>0</v>
      </c>
      <c r="Y144" s="67">
        <v>0</v>
      </c>
      <c r="Z144" s="67">
        <v>0</v>
      </c>
      <c r="AA144" s="67">
        <v>0</v>
      </c>
      <c r="AB144" s="67">
        <v>0</v>
      </c>
      <c r="AC144" s="67">
        <v>0</v>
      </c>
      <c r="AD144" s="67">
        <v>0</v>
      </c>
      <c r="AE144" s="67">
        <v>0</v>
      </c>
      <c r="AF144" s="67">
        <v>0</v>
      </c>
      <c r="AG144" s="67">
        <v>0</v>
      </c>
      <c r="AH144" s="67">
        <v>0</v>
      </c>
      <c r="AI144" s="67">
        <v>0</v>
      </c>
      <c r="AJ144" s="67">
        <v>120</v>
      </c>
      <c r="AK144" s="67">
        <v>0</v>
      </c>
      <c r="AL144" s="67">
        <v>0</v>
      </c>
      <c r="AM144" s="67">
        <v>0</v>
      </c>
      <c r="AN144" s="67">
        <v>0</v>
      </c>
      <c r="AO144" s="67">
        <v>0</v>
      </c>
      <c r="AP144" s="67">
        <v>0</v>
      </c>
      <c r="AQ144" s="67">
        <v>0</v>
      </c>
      <c r="AR144" s="67">
        <v>0</v>
      </c>
      <c r="AS144" s="67">
        <v>0</v>
      </c>
      <c r="AT144" s="67"/>
      <c r="AU144" s="67"/>
      <c r="AV144" s="67"/>
      <c r="AW144" s="67">
        <v>0</v>
      </c>
      <c r="AX144" s="67">
        <v>0</v>
      </c>
      <c r="AY144" s="67"/>
      <c r="AZ144" s="67"/>
      <c r="BA144" s="67"/>
      <c r="BB144" s="67"/>
      <c r="BC144" s="67"/>
      <c r="BD144" s="67"/>
      <c r="BE144" s="67"/>
      <c r="BG144" s="67"/>
      <c r="BH144" s="67"/>
      <c r="BI144" s="67"/>
      <c r="BJ144" s="67">
        <v>0</v>
      </c>
      <c r="BK144" s="67"/>
      <c r="BL144" s="67"/>
      <c r="BP144" s="67"/>
      <c r="BQ144" s="67">
        <v>0</v>
      </c>
      <c r="BR144" s="67"/>
      <c r="BS144" s="67"/>
      <c r="BT144" s="67">
        <v>0</v>
      </c>
      <c r="BU144" s="67"/>
      <c r="BV144" s="67"/>
      <c r="BW144" s="67">
        <v>0</v>
      </c>
      <c r="BX144" s="67">
        <v>0</v>
      </c>
      <c r="BY144" s="67">
        <v>0</v>
      </c>
      <c r="BZ144" s="67">
        <v>0</v>
      </c>
      <c r="CA144" s="67"/>
      <c r="CB144" s="67">
        <v>0</v>
      </c>
      <c r="CC144" s="67"/>
      <c r="CD144" s="67"/>
      <c r="CE144" s="67">
        <v>0</v>
      </c>
      <c r="CF144" s="67">
        <v>0</v>
      </c>
      <c r="CG144" s="67"/>
      <c r="CH144" s="67"/>
      <c r="CI144" s="67"/>
      <c r="CJ144" s="67"/>
      <c r="CK144" s="67">
        <v>0</v>
      </c>
      <c r="CL144" s="67">
        <v>0</v>
      </c>
      <c r="CM144" s="67"/>
      <c r="CN144" s="67"/>
      <c r="CO144" s="67">
        <v>0</v>
      </c>
      <c r="CP144" s="67">
        <v>0</v>
      </c>
      <c r="CQ144" s="67"/>
      <c r="CR144" s="67"/>
      <c r="CS144" s="67"/>
      <c r="CT144" s="67"/>
      <c r="CU144" s="67">
        <v>0</v>
      </c>
      <c r="CV144" s="67"/>
      <c r="CW144" s="67"/>
      <c r="CX144" s="67"/>
      <c r="CY144" s="67">
        <v>0</v>
      </c>
      <c r="CZ144" s="67"/>
      <c r="DA144" s="67"/>
      <c r="DB144" s="67"/>
      <c r="DC144" s="67"/>
      <c r="DF144" s="67"/>
      <c r="DG144" s="67">
        <v>50</v>
      </c>
      <c r="DH144" s="67">
        <v>50</v>
      </c>
      <c r="DI144" s="67">
        <v>0</v>
      </c>
      <c r="DJ144" s="67"/>
      <c r="DK144" s="67">
        <v>0</v>
      </c>
      <c r="DL144" s="67">
        <v>0</v>
      </c>
      <c r="DM144" s="67">
        <v>0</v>
      </c>
      <c r="DN144" s="67"/>
      <c r="DO144" s="67"/>
      <c r="DP144" s="67"/>
      <c r="DQ144" s="67">
        <v>0</v>
      </c>
      <c r="DR144" s="67">
        <v>0</v>
      </c>
      <c r="DS144" s="67"/>
      <c r="DT144" s="67"/>
      <c r="DU144" s="67">
        <v>0</v>
      </c>
      <c r="DV144" s="67">
        <v>0</v>
      </c>
      <c r="DW144" s="67">
        <v>0</v>
      </c>
      <c r="DX144" s="67">
        <v>0</v>
      </c>
      <c r="DY144" s="67"/>
      <c r="DZ144" s="67">
        <v>0</v>
      </c>
      <c r="EA144" s="67"/>
      <c r="EB144" s="67">
        <v>0</v>
      </c>
      <c r="EC144" s="67"/>
      <c r="ED144" s="67">
        <v>0</v>
      </c>
      <c r="EE144" s="67"/>
      <c r="EF144" s="67">
        <v>0</v>
      </c>
      <c r="EG144" s="67"/>
      <c r="EH144" s="67"/>
      <c r="EI144" s="67"/>
      <c r="EJ144" s="67"/>
      <c r="EK144" s="67"/>
      <c r="EL144" s="67"/>
      <c r="EM144" s="67"/>
      <c r="EN144" s="67"/>
      <c r="EO144" s="67"/>
      <c r="EP144" s="67">
        <v>0</v>
      </c>
      <c r="EQ144" s="67">
        <v>0</v>
      </c>
      <c r="ER144" s="67">
        <v>0</v>
      </c>
      <c r="ES144" s="67"/>
      <c r="ET144">
        <v>0</v>
      </c>
      <c r="EX144" s="67"/>
      <c r="EY144" s="67"/>
      <c r="EZ144" s="67"/>
      <c r="FA144" s="67">
        <v>170</v>
      </c>
      <c r="FB144" s="67"/>
      <c r="FC144" s="67"/>
      <c r="FD144" s="67"/>
      <c r="FE144" s="67"/>
      <c r="FF144" s="67"/>
      <c r="FG144" s="67"/>
      <c r="FH144" s="67"/>
      <c r="FI144" s="67" t="s">
        <v>1600</v>
      </c>
    </row>
    <row r="145" spans="2:165" ht="24" x14ac:dyDescent="0.2">
      <c r="B145" s="67" t="s">
        <v>533</v>
      </c>
      <c r="C145" s="67" t="s">
        <v>533</v>
      </c>
      <c r="D145" s="67" t="s">
        <v>534</v>
      </c>
      <c r="E145" s="67" t="s">
        <v>13</v>
      </c>
      <c r="F145" s="67" t="s">
        <v>766</v>
      </c>
      <c r="G145" s="67" t="s">
        <v>1597</v>
      </c>
      <c r="H145" s="67"/>
      <c r="I145" s="67" t="s">
        <v>41</v>
      </c>
      <c r="J145" s="67" t="s">
        <v>68</v>
      </c>
      <c r="K145" s="67" t="s">
        <v>774</v>
      </c>
      <c r="L145" s="67" t="s">
        <v>767</v>
      </c>
      <c r="M145" s="67" t="s">
        <v>752</v>
      </c>
      <c r="N145" s="67" t="s">
        <v>1601</v>
      </c>
      <c r="O145" s="67" t="s">
        <v>1599</v>
      </c>
      <c r="P145" s="67"/>
      <c r="Q145" s="67">
        <v>200</v>
      </c>
      <c r="R145" s="67">
        <v>0</v>
      </c>
      <c r="S145" s="67">
        <v>0</v>
      </c>
      <c r="T145" s="67">
        <v>0</v>
      </c>
      <c r="U145" s="67">
        <v>0</v>
      </c>
      <c r="V145" s="67">
        <v>0</v>
      </c>
      <c r="W145" s="67">
        <v>0</v>
      </c>
      <c r="X145" s="67">
        <v>0</v>
      </c>
      <c r="Y145" s="67">
        <v>0</v>
      </c>
      <c r="Z145" s="67">
        <v>0</v>
      </c>
      <c r="AA145" s="67">
        <v>0</v>
      </c>
      <c r="AB145" s="67">
        <v>0</v>
      </c>
      <c r="AC145" s="67">
        <v>0</v>
      </c>
      <c r="AD145" s="67">
        <v>0</v>
      </c>
      <c r="AE145" s="67">
        <v>0</v>
      </c>
      <c r="AF145" s="67">
        <v>0</v>
      </c>
      <c r="AG145" s="67">
        <v>200</v>
      </c>
      <c r="AH145" s="67">
        <v>0</v>
      </c>
      <c r="AI145" s="67">
        <v>0</v>
      </c>
      <c r="AJ145" s="67">
        <v>0</v>
      </c>
      <c r="AK145" s="67">
        <v>0</v>
      </c>
      <c r="AL145" s="67">
        <v>0</v>
      </c>
      <c r="AM145" s="67">
        <v>0</v>
      </c>
      <c r="AN145" s="67">
        <v>0</v>
      </c>
      <c r="AO145" s="67">
        <v>0</v>
      </c>
      <c r="AP145" s="67">
        <v>0</v>
      </c>
      <c r="AQ145" s="67">
        <v>0</v>
      </c>
      <c r="AR145" s="67">
        <v>0</v>
      </c>
      <c r="AS145" s="67">
        <v>0</v>
      </c>
      <c r="AT145" s="67"/>
      <c r="AU145" s="67"/>
      <c r="AV145" s="67"/>
      <c r="AW145" s="67">
        <v>0</v>
      </c>
      <c r="AX145" s="67">
        <v>0</v>
      </c>
      <c r="AY145" s="67"/>
      <c r="AZ145" s="67"/>
      <c r="BA145" s="67"/>
      <c r="BB145" s="67"/>
      <c r="BC145" s="67"/>
      <c r="BD145" s="67"/>
      <c r="BE145" s="67"/>
      <c r="BG145" s="67"/>
      <c r="BH145" s="67"/>
      <c r="BI145" s="67"/>
      <c r="BJ145" s="67">
        <v>0</v>
      </c>
      <c r="BK145" s="67"/>
      <c r="BL145" s="67"/>
      <c r="BP145" s="67"/>
      <c r="BQ145" s="67">
        <v>0</v>
      </c>
      <c r="BR145" s="67"/>
      <c r="BS145" s="67"/>
      <c r="BT145" s="67">
        <v>0</v>
      </c>
      <c r="BU145" s="67"/>
      <c r="BV145" s="67"/>
      <c r="BW145" s="67">
        <v>0</v>
      </c>
      <c r="BX145" s="67">
        <v>0</v>
      </c>
      <c r="BY145" s="67">
        <v>0</v>
      </c>
      <c r="BZ145" s="67">
        <v>0</v>
      </c>
      <c r="CA145" s="67"/>
      <c r="CB145" s="67">
        <v>0</v>
      </c>
      <c r="CC145" s="67"/>
      <c r="CD145" s="67"/>
      <c r="CE145" s="67">
        <v>0</v>
      </c>
      <c r="CF145" s="67">
        <v>0</v>
      </c>
      <c r="CG145" s="67"/>
      <c r="CH145" s="67"/>
      <c r="CI145" s="67"/>
      <c r="CJ145" s="67"/>
      <c r="CK145" s="67">
        <v>0</v>
      </c>
      <c r="CL145" s="67">
        <v>0</v>
      </c>
      <c r="CM145" s="67"/>
      <c r="CN145" s="67"/>
      <c r="CO145" s="67">
        <v>0</v>
      </c>
      <c r="CP145" s="67">
        <v>0</v>
      </c>
      <c r="CQ145" s="67"/>
      <c r="CR145" s="67"/>
      <c r="CS145" s="67"/>
      <c r="CT145" s="67"/>
      <c r="CU145" s="67">
        <v>0</v>
      </c>
      <c r="CV145" s="67"/>
      <c r="CW145" s="67"/>
      <c r="CX145" s="67"/>
      <c r="CY145" s="67">
        <v>0</v>
      </c>
      <c r="CZ145" s="67"/>
      <c r="DA145" s="67"/>
      <c r="DB145" s="67"/>
      <c r="DC145" s="67"/>
      <c r="DF145" s="67"/>
      <c r="DG145" s="67">
        <v>0</v>
      </c>
      <c r="DH145" s="67">
        <v>0</v>
      </c>
      <c r="DI145" s="67">
        <v>0</v>
      </c>
      <c r="DJ145" s="67"/>
      <c r="DK145" s="67">
        <v>0</v>
      </c>
      <c r="DL145" s="67">
        <v>0</v>
      </c>
      <c r="DM145" s="67">
        <v>0</v>
      </c>
      <c r="DN145" s="67"/>
      <c r="DO145" s="67"/>
      <c r="DP145" s="67"/>
      <c r="DQ145" s="67">
        <v>0</v>
      </c>
      <c r="DR145" s="67">
        <v>0</v>
      </c>
      <c r="DS145" s="67"/>
      <c r="DT145" s="67"/>
      <c r="DU145" s="67">
        <v>0</v>
      </c>
      <c r="DV145" s="67">
        <v>0</v>
      </c>
      <c r="DW145" s="67">
        <v>0</v>
      </c>
      <c r="DX145" s="67">
        <v>0</v>
      </c>
      <c r="DY145" s="67"/>
      <c r="DZ145" s="67">
        <v>0</v>
      </c>
      <c r="EA145" s="67"/>
      <c r="EB145" s="67">
        <v>0</v>
      </c>
      <c r="EC145" s="67"/>
      <c r="ED145" s="67">
        <v>0</v>
      </c>
      <c r="EE145" s="67"/>
      <c r="EF145" s="67">
        <v>0</v>
      </c>
      <c r="EG145" s="67"/>
      <c r="EH145" s="67"/>
      <c r="EI145" s="67"/>
      <c r="EJ145" s="67"/>
      <c r="EK145" s="67"/>
      <c r="EL145" s="67"/>
      <c r="EM145" s="67"/>
      <c r="EN145" s="67"/>
      <c r="EO145" s="67"/>
      <c r="EP145" s="67">
        <v>0</v>
      </c>
      <c r="EQ145" s="67">
        <v>0</v>
      </c>
      <c r="ER145" s="67">
        <v>0</v>
      </c>
      <c r="ES145" s="67"/>
      <c r="ET145">
        <v>0</v>
      </c>
      <c r="EX145" s="67"/>
      <c r="EY145" s="67"/>
      <c r="EZ145" s="67"/>
      <c r="FA145" s="67">
        <v>200</v>
      </c>
      <c r="FB145" s="67"/>
      <c r="FC145" s="67"/>
      <c r="FD145" s="67"/>
      <c r="FE145" s="67"/>
      <c r="FF145" s="67"/>
      <c r="FG145" s="67"/>
      <c r="FH145" s="67"/>
      <c r="FI145" s="67" t="s">
        <v>1600</v>
      </c>
    </row>
    <row r="146" spans="2:165" x14ac:dyDescent="0.2">
      <c r="B146" s="67" t="s">
        <v>305</v>
      </c>
      <c r="C146" s="67" t="s">
        <v>1666</v>
      </c>
      <c r="D146" s="67" t="s">
        <v>535</v>
      </c>
      <c r="E146" s="67" t="s">
        <v>37</v>
      </c>
      <c r="F146" s="67" t="s">
        <v>810</v>
      </c>
      <c r="G146" s="67" t="s">
        <v>345</v>
      </c>
      <c r="H146" s="67"/>
      <c r="I146" s="67" t="s">
        <v>43</v>
      </c>
      <c r="J146" s="67" t="s">
        <v>71</v>
      </c>
      <c r="K146" s="67" t="s">
        <v>811</v>
      </c>
      <c r="L146" s="67" t="s">
        <v>787</v>
      </c>
      <c r="M146" s="67" t="s">
        <v>1615</v>
      </c>
      <c r="N146" s="67" t="s">
        <v>1604</v>
      </c>
      <c r="O146" s="67" t="s">
        <v>1605</v>
      </c>
      <c r="P146" s="67" t="s">
        <v>346</v>
      </c>
      <c r="Q146" s="67">
        <v>0</v>
      </c>
      <c r="R146" s="67">
        <v>0</v>
      </c>
      <c r="S146" s="67">
        <v>0</v>
      </c>
      <c r="T146" s="67">
        <v>0</v>
      </c>
      <c r="U146" s="67">
        <v>0</v>
      </c>
      <c r="V146" s="67">
        <v>0</v>
      </c>
      <c r="W146" s="67">
        <v>0</v>
      </c>
      <c r="X146" s="67">
        <v>0</v>
      </c>
      <c r="Y146" s="67">
        <v>0</v>
      </c>
      <c r="Z146" s="67">
        <v>0</v>
      </c>
      <c r="AA146" s="67">
        <v>0</v>
      </c>
      <c r="AB146" s="67">
        <v>0</v>
      </c>
      <c r="AC146" s="67">
        <v>0</v>
      </c>
      <c r="AD146" s="67">
        <v>0</v>
      </c>
      <c r="AE146" s="67">
        <v>0</v>
      </c>
      <c r="AF146" s="67">
        <v>0</v>
      </c>
      <c r="AG146" s="67">
        <v>0</v>
      </c>
      <c r="AH146" s="67">
        <v>0</v>
      </c>
      <c r="AI146" s="67">
        <v>0</v>
      </c>
      <c r="AJ146" s="67">
        <v>0</v>
      </c>
      <c r="AK146" s="67">
        <v>0</v>
      </c>
      <c r="AL146" s="67">
        <v>0</v>
      </c>
      <c r="AM146" s="67">
        <v>0</v>
      </c>
      <c r="AN146" s="67">
        <v>0</v>
      </c>
      <c r="AO146" s="67">
        <v>0</v>
      </c>
      <c r="AP146" s="67">
        <v>0</v>
      </c>
      <c r="AQ146" s="67">
        <v>0</v>
      </c>
      <c r="AR146" s="67">
        <v>0</v>
      </c>
      <c r="AS146" s="67">
        <v>0</v>
      </c>
      <c r="AT146" s="67"/>
      <c r="AU146" s="67"/>
      <c r="AV146" s="67"/>
      <c r="AW146" s="67">
        <v>0</v>
      </c>
      <c r="AX146" s="67">
        <v>0</v>
      </c>
      <c r="AY146" s="67"/>
      <c r="AZ146" s="67"/>
      <c r="BA146" s="67"/>
      <c r="BB146" s="67"/>
      <c r="BC146" s="67"/>
      <c r="BD146" s="67"/>
      <c r="BE146" s="67"/>
      <c r="BG146" s="67"/>
      <c r="BH146" s="67"/>
      <c r="BI146" s="67"/>
      <c r="BJ146" s="67">
        <v>0</v>
      </c>
      <c r="BK146" s="67"/>
      <c r="BL146" s="67"/>
      <c r="BP146" s="67"/>
      <c r="BQ146" s="67">
        <v>0</v>
      </c>
      <c r="BR146" s="67"/>
      <c r="BS146" s="67"/>
      <c r="BT146" s="67">
        <v>0</v>
      </c>
      <c r="BU146" s="67"/>
      <c r="BV146" s="67"/>
      <c r="BW146" s="67">
        <v>0</v>
      </c>
      <c r="BX146" s="67">
        <v>0</v>
      </c>
      <c r="BY146" s="67">
        <v>0</v>
      </c>
      <c r="BZ146" s="67">
        <v>0</v>
      </c>
      <c r="CA146" s="67"/>
      <c r="CB146" s="67">
        <v>0</v>
      </c>
      <c r="CC146" s="67"/>
      <c r="CD146" s="67"/>
      <c r="CE146" s="67">
        <v>0</v>
      </c>
      <c r="CF146" s="67">
        <v>0</v>
      </c>
      <c r="CG146" s="67"/>
      <c r="CH146" s="67"/>
      <c r="CI146" s="67"/>
      <c r="CJ146" s="67"/>
      <c r="CK146" s="67">
        <v>0</v>
      </c>
      <c r="CL146" s="67">
        <v>0</v>
      </c>
      <c r="CM146" s="67"/>
      <c r="CN146" s="67"/>
      <c r="CO146" s="67">
        <v>0</v>
      </c>
      <c r="CP146" s="67">
        <v>0</v>
      </c>
      <c r="CQ146" s="67"/>
      <c r="CR146" s="67"/>
      <c r="CS146" s="67"/>
      <c r="CT146" s="67"/>
      <c r="CU146" s="67">
        <v>0</v>
      </c>
      <c r="CV146" s="67"/>
      <c r="CW146" s="67"/>
      <c r="CX146" s="67"/>
      <c r="CY146" s="67">
        <v>0</v>
      </c>
      <c r="CZ146" s="67"/>
      <c r="DA146" s="67"/>
      <c r="DB146" s="67"/>
      <c r="DC146" s="67"/>
      <c r="DF146" s="67"/>
      <c r="DG146" s="67">
        <v>0</v>
      </c>
      <c r="DH146" s="67">
        <v>0</v>
      </c>
      <c r="DI146" s="67">
        <v>0</v>
      </c>
      <c r="DJ146" s="67"/>
      <c r="DK146" s="67">
        <v>0</v>
      </c>
      <c r="DL146" s="67">
        <v>0</v>
      </c>
      <c r="DM146" s="67">
        <v>0</v>
      </c>
      <c r="DN146" s="67"/>
      <c r="DO146" s="67"/>
      <c r="DP146" s="67"/>
      <c r="DQ146" s="67">
        <v>0</v>
      </c>
      <c r="DR146" s="67">
        <v>0</v>
      </c>
      <c r="DS146" s="67"/>
      <c r="DT146" s="67"/>
      <c r="DU146" s="67">
        <v>0</v>
      </c>
      <c r="DV146" s="67">
        <v>0</v>
      </c>
      <c r="DW146" s="67">
        <v>0</v>
      </c>
      <c r="DX146" s="67">
        <v>0</v>
      </c>
      <c r="DY146" s="67"/>
      <c r="DZ146" s="67">
        <v>0</v>
      </c>
      <c r="EA146" s="67"/>
      <c r="EB146" s="67">
        <v>0</v>
      </c>
      <c r="EC146" s="67"/>
      <c r="ED146" s="67">
        <v>0</v>
      </c>
      <c r="EE146" s="67"/>
      <c r="EF146" s="67">
        <v>0</v>
      </c>
      <c r="EG146" s="67"/>
      <c r="EH146" s="67"/>
      <c r="EI146" s="67"/>
      <c r="EJ146" s="67"/>
      <c r="EK146" s="67"/>
      <c r="EL146" s="67"/>
      <c r="EM146" s="67"/>
      <c r="EN146" s="67"/>
      <c r="EO146" s="67"/>
      <c r="EP146" s="67">
        <v>0</v>
      </c>
      <c r="EQ146" s="67">
        <v>0</v>
      </c>
      <c r="ER146" s="67">
        <v>0</v>
      </c>
      <c r="ES146" s="67"/>
      <c r="ET146">
        <v>0</v>
      </c>
      <c r="EX146" s="67"/>
      <c r="EY146" s="67"/>
      <c r="EZ146" s="67"/>
      <c r="FA146" s="67">
        <v>0</v>
      </c>
      <c r="FB146" s="67"/>
      <c r="FC146" s="67"/>
      <c r="FD146" s="67"/>
      <c r="FE146" s="67"/>
      <c r="FF146" s="67"/>
      <c r="FG146" s="67"/>
      <c r="FH146" s="67"/>
      <c r="FI146" s="67" t="s">
        <v>1600</v>
      </c>
    </row>
    <row r="147" spans="2:165" ht="24" x14ac:dyDescent="0.2">
      <c r="B147" s="67" t="s">
        <v>536</v>
      </c>
      <c r="C147" s="67" t="s">
        <v>536</v>
      </c>
      <c r="D147" s="67" t="s">
        <v>537</v>
      </c>
      <c r="E147" s="67" t="s">
        <v>13</v>
      </c>
      <c r="F147" s="67" t="s">
        <v>810</v>
      </c>
      <c r="G147" s="67" t="s">
        <v>1597</v>
      </c>
      <c r="H147" s="67"/>
      <c r="I147" s="67" t="s">
        <v>41</v>
      </c>
      <c r="J147" s="67" t="s">
        <v>71</v>
      </c>
      <c r="K147" s="67" t="s">
        <v>811</v>
      </c>
      <c r="L147" s="67" t="s">
        <v>779</v>
      </c>
      <c r="M147" s="67" t="s">
        <v>752</v>
      </c>
      <c r="N147" s="67" t="s">
        <v>1598</v>
      </c>
      <c r="O147" s="67" t="s">
        <v>1599</v>
      </c>
      <c r="P147" s="67"/>
      <c r="Q147" s="67">
        <v>550</v>
      </c>
      <c r="R147" s="67">
        <v>0</v>
      </c>
      <c r="S147" s="67">
        <v>0</v>
      </c>
      <c r="T147" s="67">
        <v>0</v>
      </c>
      <c r="U147" s="67">
        <v>0</v>
      </c>
      <c r="V147" s="67">
        <v>0</v>
      </c>
      <c r="W147" s="67">
        <v>550</v>
      </c>
      <c r="X147" s="67">
        <v>0</v>
      </c>
      <c r="Y147" s="67">
        <v>0</v>
      </c>
      <c r="Z147" s="67">
        <v>0</v>
      </c>
      <c r="AA147" s="67">
        <v>0</v>
      </c>
      <c r="AB147" s="67">
        <v>0</v>
      </c>
      <c r="AC147" s="67">
        <v>0</v>
      </c>
      <c r="AD147" s="67">
        <v>0</v>
      </c>
      <c r="AE147" s="67">
        <v>0</v>
      </c>
      <c r="AF147" s="67">
        <v>0</v>
      </c>
      <c r="AG147" s="67">
        <v>0</v>
      </c>
      <c r="AH147" s="67">
        <v>0</v>
      </c>
      <c r="AI147" s="67">
        <v>0</v>
      </c>
      <c r="AJ147" s="67">
        <v>0</v>
      </c>
      <c r="AK147" s="67">
        <v>0</v>
      </c>
      <c r="AL147" s="67">
        <v>0</v>
      </c>
      <c r="AM147" s="67">
        <v>0</v>
      </c>
      <c r="AN147" s="67">
        <v>0</v>
      </c>
      <c r="AO147" s="67">
        <v>0</v>
      </c>
      <c r="AP147" s="67">
        <v>0</v>
      </c>
      <c r="AQ147" s="67">
        <v>0</v>
      </c>
      <c r="AR147" s="67">
        <v>0</v>
      </c>
      <c r="AS147" s="67">
        <v>0</v>
      </c>
      <c r="AT147" s="67"/>
      <c r="AU147" s="67"/>
      <c r="AV147" s="67"/>
      <c r="AW147" s="67">
        <v>0</v>
      </c>
      <c r="AX147" s="67">
        <v>0</v>
      </c>
      <c r="AY147" s="67"/>
      <c r="AZ147" s="67"/>
      <c r="BA147" s="67"/>
      <c r="BB147" s="67"/>
      <c r="BC147" s="67"/>
      <c r="BD147" s="67"/>
      <c r="BE147" s="67"/>
      <c r="BG147" s="67"/>
      <c r="BH147" s="67"/>
      <c r="BI147" s="67"/>
      <c r="BJ147" s="67">
        <v>0</v>
      </c>
      <c r="BK147" s="67"/>
      <c r="BL147" s="67"/>
      <c r="BP147" s="67"/>
      <c r="BQ147" s="67">
        <v>0</v>
      </c>
      <c r="BR147" s="67"/>
      <c r="BS147" s="67"/>
      <c r="BT147" s="67">
        <v>0</v>
      </c>
      <c r="BU147" s="67"/>
      <c r="BV147" s="67"/>
      <c r="BW147" s="67">
        <v>0</v>
      </c>
      <c r="BX147" s="67">
        <v>0</v>
      </c>
      <c r="BY147" s="67">
        <v>0</v>
      </c>
      <c r="BZ147" s="67">
        <v>0</v>
      </c>
      <c r="CA147" s="67"/>
      <c r="CB147" s="67">
        <v>0</v>
      </c>
      <c r="CC147" s="67"/>
      <c r="CD147" s="67"/>
      <c r="CE147" s="67">
        <v>0</v>
      </c>
      <c r="CF147" s="67">
        <v>0</v>
      </c>
      <c r="CG147" s="67"/>
      <c r="CH147" s="67"/>
      <c r="CI147" s="67"/>
      <c r="CJ147" s="67"/>
      <c r="CK147" s="67">
        <v>0</v>
      </c>
      <c r="CL147" s="67">
        <v>0</v>
      </c>
      <c r="CM147" s="67"/>
      <c r="CN147" s="67"/>
      <c r="CO147" s="67">
        <v>0</v>
      </c>
      <c r="CP147" s="67">
        <v>0</v>
      </c>
      <c r="CQ147" s="67"/>
      <c r="CR147" s="67"/>
      <c r="CS147" s="67"/>
      <c r="CT147" s="67"/>
      <c r="CU147" s="67">
        <v>0</v>
      </c>
      <c r="CV147" s="67"/>
      <c r="CW147" s="67"/>
      <c r="CX147" s="67"/>
      <c r="CY147" s="67">
        <v>0</v>
      </c>
      <c r="CZ147" s="67"/>
      <c r="DA147" s="67"/>
      <c r="DB147" s="67"/>
      <c r="DC147" s="67"/>
      <c r="DF147" s="67"/>
      <c r="DG147" s="67">
        <v>0</v>
      </c>
      <c r="DH147" s="67">
        <v>0</v>
      </c>
      <c r="DI147" s="67">
        <v>0</v>
      </c>
      <c r="DJ147" s="67"/>
      <c r="DK147" s="67">
        <v>0</v>
      </c>
      <c r="DL147" s="67">
        <v>0</v>
      </c>
      <c r="DM147" s="67">
        <v>0</v>
      </c>
      <c r="DN147" s="67"/>
      <c r="DO147" s="67"/>
      <c r="DP147" s="67"/>
      <c r="DQ147" s="67">
        <v>0</v>
      </c>
      <c r="DR147" s="67">
        <v>0</v>
      </c>
      <c r="DS147" s="67"/>
      <c r="DT147" s="67"/>
      <c r="DU147" s="67">
        <v>0</v>
      </c>
      <c r="DV147" s="67">
        <v>0</v>
      </c>
      <c r="DW147" s="67">
        <v>0</v>
      </c>
      <c r="DX147" s="67">
        <v>0</v>
      </c>
      <c r="DY147" s="67"/>
      <c r="DZ147" s="67">
        <v>0</v>
      </c>
      <c r="EA147" s="67"/>
      <c r="EB147" s="67">
        <v>0</v>
      </c>
      <c r="EC147" s="67"/>
      <c r="ED147" s="67">
        <v>0</v>
      </c>
      <c r="EE147" s="67"/>
      <c r="EF147" s="67">
        <v>0</v>
      </c>
      <c r="EG147" s="67"/>
      <c r="EH147" s="67"/>
      <c r="EI147" s="67"/>
      <c r="EJ147" s="67"/>
      <c r="EK147" s="67"/>
      <c r="EL147" s="67"/>
      <c r="EM147" s="67"/>
      <c r="EN147" s="67"/>
      <c r="EO147" s="67"/>
      <c r="EP147" s="67">
        <v>0</v>
      </c>
      <c r="EQ147" s="67">
        <v>0</v>
      </c>
      <c r="ER147" s="67">
        <v>0</v>
      </c>
      <c r="ES147" s="67"/>
      <c r="ET147">
        <v>0</v>
      </c>
      <c r="EX147" s="67"/>
      <c r="EY147" s="67"/>
      <c r="EZ147" s="67"/>
      <c r="FA147" s="67">
        <v>550</v>
      </c>
      <c r="FB147" s="67"/>
      <c r="FC147" s="67"/>
      <c r="FD147" s="67"/>
      <c r="FE147" s="67"/>
      <c r="FF147" s="67"/>
      <c r="FG147" s="67"/>
      <c r="FH147" s="67"/>
      <c r="FI147" s="67" t="s">
        <v>1600</v>
      </c>
    </row>
    <row r="148" spans="2:165" ht="24" x14ac:dyDescent="0.2">
      <c r="B148" s="67" t="s">
        <v>305</v>
      </c>
      <c r="C148" s="67" t="s">
        <v>1667</v>
      </c>
      <c r="D148" s="67" t="s">
        <v>538</v>
      </c>
      <c r="E148" s="67" t="s">
        <v>13</v>
      </c>
      <c r="F148" s="67" t="s">
        <v>810</v>
      </c>
      <c r="G148" s="67" t="s">
        <v>1597</v>
      </c>
      <c r="H148" s="67"/>
      <c r="I148" s="67" t="s">
        <v>41</v>
      </c>
      <c r="J148" s="67" t="s">
        <v>71</v>
      </c>
      <c r="K148" s="67" t="s">
        <v>811</v>
      </c>
      <c r="L148" s="67" t="s">
        <v>779</v>
      </c>
      <c r="M148" s="67" t="s">
        <v>752</v>
      </c>
      <c r="N148" s="67" t="s">
        <v>1604</v>
      </c>
      <c r="O148" s="67" t="s">
        <v>1605</v>
      </c>
      <c r="P148" s="67"/>
      <c r="Q148" s="67">
        <v>0</v>
      </c>
      <c r="R148" s="67">
        <v>0</v>
      </c>
      <c r="S148" s="67">
        <v>0</v>
      </c>
      <c r="T148" s="67">
        <v>0</v>
      </c>
      <c r="U148" s="67">
        <v>0</v>
      </c>
      <c r="V148" s="67">
        <v>0</v>
      </c>
      <c r="W148" s="67">
        <v>0</v>
      </c>
      <c r="X148" s="67">
        <v>0</v>
      </c>
      <c r="Y148" s="67">
        <v>0</v>
      </c>
      <c r="Z148" s="67">
        <v>0</v>
      </c>
      <c r="AA148" s="67">
        <v>0</v>
      </c>
      <c r="AB148" s="67">
        <v>0</v>
      </c>
      <c r="AC148" s="67">
        <v>0</v>
      </c>
      <c r="AD148" s="67">
        <v>0</v>
      </c>
      <c r="AE148" s="67">
        <v>0</v>
      </c>
      <c r="AF148" s="67">
        <v>0</v>
      </c>
      <c r="AG148" s="67">
        <v>0</v>
      </c>
      <c r="AH148" s="67">
        <v>0</v>
      </c>
      <c r="AI148" s="67">
        <v>0</v>
      </c>
      <c r="AJ148" s="67">
        <v>0</v>
      </c>
      <c r="AK148" s="67">
        <v>0</v>
      </c>
      <c r="AL148" s="67">
        <v>0</v>
      </c>
      <c r="AM148" s="67">
        <v>0</v>
      </c>
      <c r="AN148" s="67">
        <v>0</v>
      </c>
      <c r="AO148" s="67">
        <v>0</v>
      </c>
      <c r="AP148" s="67">
        <v>0</v>
      </c>
      <c r="AQ148" s="67">
        <v>0</v>
      </c>
      <c r="AR148" s="67">
        <v>0</v>
      </c>
      <c r="AS148" s="67">
        <v>0</v>
      </c>
      <c r="AT148" s="67"/>
      <c r="AU148" s="67"/>
      <c r="AV148" s="67"/>
      <c r="AW148" s="67">
        <v>0</v>
      </c>
      <c r="AX148" s="67">
        <v>0</v>
      </c>
      <c r="AY148" s="67"/>
      <c r="AZ148" s="67"/>
      <c r="BA148" s="67"/>
      <c r="BB148" s="67"/>
      <c r="BC148" s="67"/>
      <c r="BD148" s="67"/>
      <c r="BE148" s="67"/>
      <c r="BG148" s="67"/>
      <c r="BH148" s="67"/>
      <c r="BI148" s="67"/>
      <c r="BJ148" s="67">
        <v>0</v>
      </c>
      <c r="BK148" s="67"/>
      <c r="BL148" s="67"/>
      <c r="BP148" s="67"/>
      <c r="BQ148" s="67">
        <v>0</v>
      </c>
      <c r="BR148" s="67"/>
      <c r="BS148" s="67"/>
      <c r="BT148" s="67">
        <v>0</v>
      </c>
      <c r="BU148" s="67"/>
      <c r="BV148" s="67"/>
      <c r="BW148" s="67">
        <v>0</v>
      </c>
      <c r="BX148" s="67">
        <v>0</v>
      </c>
      <c r="BY148" s="67">
        <v>0</v>
      </c>
      <c r="BZ148" s="67">
        <v>0</v>
      </c>
      <c r="CA148" s="67"/>
      <c r="CB148" s="67">
        <v>0</v>
      </c>
      <c r="CC148" s="67"/>
      <c r="CD148" s="67"/>
      <c r="CE148" s="67">
        <v>0</v>
      </c>
      <c r="CF148" s="67">
        <v>0</v>
      </c>
      <c r="CG148" s="67"/>
      <c r="CH148" s="67"/>
      <c r="CI148" s="67"/>
      <c r="CJ148" s="67"/>
      <c r="CK148" s="67">
        <v>0</v>
      </c>
      <c r="CL148" s="67">
        <v>0</v>
      </c>
      <c r="CM148" s="67"/>
      <c r="CN148" s="67"/>
      <c r="CO148" s="67">
        <v>0</v>
      </c>
      <c r="CP148" s="67">
        <v>0</v>
      </c>
      <c r="CQ148" s="67"/>
      <c r="CR148" s="67"/>
      <c r="CS148" s="67"/>
      <c r="CT148" s="67"/>
      <c r="CU148" s="67">
        <v>0</v>
      </c>
      <c r="CV148" s="67"/>
      <c r="CW148" s="67"/>
      <c r="CX148" s="67"/>
      <c r="CY148" s="67">
        <v>0</v>
      </c>
      <c r="CZ148" s="67"/>
      <c r="DA148" s="67"/>
      <c r="DB148" s="67"/>
      <c r="DC148" s="67"/>
      <c r="DF148" s="67"/>
      <c r="DG148" s="67">
        <v>0</v>
      </c>
      <c r="DH148" s="67">
        <v>0</v>
      </c>
      <c r="DI148" s="67">
        <v>0</v>
      </c>
      <c r="DJ148" s="67"/>
      <c r="DK148" s="67">
        <v>0</v>
      </c>
      <c r="DL148" s="67">
        <v>0</v>
      </c>
      <c r="DM148" s="67">
        <v>0</v>
      </c>
      <c r="DN148" s="67"/>
      <c r="DO148" s="67"/>
      <c r="DP148" s="67"/>
      <c r="DQ148" s="67">
        <v>0</v>
      </c>
      <c r="DR148" s="67">
        <v>0</v>
      </c>
      <c r="DS148" s="67"/>
      <c r="DT148" s="67"/>
      <c r="DU148" s="67">
        <v>0</v>
      </c>
      <c r="DV148" s="67">
        <v>0</v>
      </c>
      <c r="DW148" s="67">
        <v>0</v>
      </c>
      <c r="DX148" s="67">
        <v>0</v>
      </c>
      <c r="DY148" s="67"/>
      <c r="DZ148" s="67">
        <v>0</v>
      </c>
      <c r="EA148" s="67"/>
      <c r="EB148" s="67">
        <v>0</v>
      </c>
      <c r="EC148" s="67"/>
      <c r="ED148" s="67">
        <v>0</v>
      </c>
      <c r="EE148" s="67"/>
      <c r="EF148" s="67">
        <v>0</v>
      </c>
      <c r="EG148" s="67"/>
      <c r="EH148" s="67"/>
      <c r="EI148" s="67"/>
      <c r="EJ148" s="67"/>
      <c r="EK148" s="67"/>
      <c r="EL148" s="67"/>
      <c r="EM148" s="67"/>
      <c r="EN148" s="67"/>
      <c r="EO148" s="67"/>
      <c r="EP148" s="67">
        <v>0</v>
      </c>
      <c r="EQ148" s="67">
        <v>0</v>
      </c>
      <c r="ER148" s="67">
        <v>0</v>
      </c>
      <c r="ES148" s="67"/>
      <c r="ET148">
        <v>0</v>
      </c>
      <c r="EX148" s="67"/>
      <c r="EY148" s="67"/>
      <c r="EZ148" s="67"/>
      <c r="FA148" s="67">
        <v>0</v>
      </c>
      <c r="FB148" s="67"/>
      <c r="FC148" s="67"/>
      <c r="FD148" s="67"/>
      <c r="FE148" s="67"/>
      <c r="FF148" s="67"/>
      <c r="FG148" s="67"/>
      <c r="FH148" s="67"/>
      <c r="FI148" s="67" t="s">
        <v>1600</v>
      </c>
    </row>
    <row r="149" spans="2:165" ht="24" x14ac:dyDescent="0.2">
      <c r="B149" s="67" t="s">
        <v>539</v>
      </c>
      <c r="C149" s="67" t="s">
        <v>539</v>
      </c>
      <c r="D149" s="67" t="s">
        <v>540</v>
      </c>
      <c r="E149" s="67" t="s">
        <v>13</v>
      </c>
      <c r="F149" s="67" t="s">
        <v>810</v>
      </c>
      <c r="G149" s="67" t="s">
        <v>1597</v>
      </c>
      <c r="H149" s="67"/>
      <c r="I149" s="67" t="s">
        <v>41</v>
      </c>
      <c r="J149" s="67" t="s">
        <v>71</v>
      </c>
      <c r="K149" s="67" t="s">
        <v>811</v>
      </c>
      <c r="L149" s="67" t="s">
        <v>779</v>
      </c>
      <c r="M149" s="67" t="s">
        <v>752</v>
      </c>
      <c r="N149" s="67" t="s">
        <v>1598</v>
      </c>
      <c r="O149" s="67" t="s">
        <v>1599</v>
      </c>
      <c r="P149" s="67"/>
      <c r="Q149" s="67">
        <v>50</v>
      </c>
      <c r="R149" s="67">
        <v>0</v>
      </c>
      <c r="S149" s="67">
        <v>0</v>
      </c>
      <c r="T149" s="67">
        <v>0</v>
      </c>
      <c r="U149" s="67">
        <v>0</v>
      </c>
      <c r="V149" s="67">
        <v>0</v>
      </c>
      <c r="W149" s="67">
        <v>50</v>
      </c>
      <c r="X149" s="67">
        <v>0</v>
      </c>
      <c r="Y149" s="67">
        <v>0</v>
      </c>
      <c r="Z149" s="67">
        <v>0</v>
      </c>
      <c r="AA149" s="67">
        <v>0</v>
      </c>
      <c r="AB149" s="67">
        <v>0</v>
      </c>
      <c r="AC149" s="67">
        <v>0</v>
      </c>
      <c r="AD149" s="67">
        <v>0</v>
      </c>
      <c r="AE149" s="67">
        <v>0</v>
      </c>
      <c r="AF149" s="67">
        <v>0</v>
      </c>
      <c r="AG149" s="67">
        <v>0</v>
      </c>
      <c r="AH149" s="67">
        <v>0</v>
      </c>
      <c r="AI149" s="67">
        <v>0</v>
      </c>
      <c r="AJ149" s="67">
        <v>0</v>
      </c>
      <c r="AK149" s="67">
        <v>0</v>
      </c>
      <c r="AL149" s="67">
        <v>0</v>
      </c>
      <c r="AM149" s="67">
        <v>0</v>
      </c>
      <c r="AN149" s="67">
        <v>0</v>
      </c>
      <c r="AO149" s="67">
        <v>0</v>
      </c>
      <c r="AP149" s="67">
        <v>0</v>
      </c>
      <c r="AQ149" s="67">
        <v>0</v>
      </c>
      <c r="AR149" s="67">
        <v>0</v>
      </c>
      <c r="AS149" s="67">
        <v>0</v>
      </c>
      <c r="AT149" s="67"/>
      <c r="AU149" s="67"/>
      <c r="AV149" s="67"/>
      <c r="AW149" s="67">
        <v>0</v>
      </c>
      <c r="AX149" s="67">
        <v>0</v>
      </c>
      <c r="AY149" s="67"/>
      <c r="AZ149" s="67"/>
      <c r="BA149" s="67"/>
      <c r="BB149" s="67"/>
      <c r="BC149" s="67"/>
      <c r="BD149" s="67"/>
      <c r="BE149" s="67"/>
      <c r="BG149" s="67"/>
      <c r="BH149" s="67"/>
      <c r="BI149" s="67"/>
      <c r="BJ149" s="67">
        <v>0</v>
      </c>
      <c r="BK149" s="67"/>
      <c r="BL149" s="67"/>
      <c r="BP149" s="67"/>
      <c r="BQ149" s="67">
        <v>0</v>
      </c>
      <c r="BR149" s="67"/>
      <c r="BS149" s="67"/>
      <c r="BT149" s="67">
        <v>0</v>
      </c>
      <c r="BU149" s="67"/>
      <c r="BV149" s="67"/>
      <c r="BW149" s="67">
        <v>0</v>
      </c>
      <c r="BX149" s="67">
        <v>0</v>
      </c>
      <c r="BY149" s="67">
        <v>0</v>
      </c>
      <c r="BZ149" s="67">
        <v>0</v>
      </c>
      <c r="CA149" s="67"/>
      <c r="CB149" s="67">
        <v>0</v>
      </c>
      <c r="CC149" s="67"/>
      <c r="CD149" s="67"/>
      <c r="CE149" s="67">
        <v>0</v>
      </c>
      <c r="CF149" s="67">
        <v>0</v>
      </c>
      <c r="CG149" s="67"/>
      <c r="CH149" s="67"/>
      <c r="CI149" s="67"/>
      <c r="CJ149" s="67"/>
      <c r="CK149" s="67">
        <v>0</v>
      </c>
      <c r="CL149" s="67">
        <v>0</v>
      </c>
      <c r="CM149" s="67"/>
      <c r="CN149" s="67"/>
      <c r="CO149" s="67">
        <v>0</v>
      </c>
      <c r="CP149" s="67">
        <v>0</v>
      </c>
      <c r="CQ149" s="67"/>
      <c r="CR149" s="67"/>
      <c r="CS149" s="67"/>
      <c r="CT149" s="67"/>
      <c r="CU149" s="67">
        <v>0</v>
      </c>
      <c r="CV149" s="67"/>
      <c r="CW149" s="67"/>
      <c r="CX149" s="67"/>
      <c r="CY149" s="67">
        <v>0</v>
      </c>
      <c r="CZ149" s="67"/>
      <c r="DA149" s="67"/>
      <c r="DB149" s="67"/>
      <c r="DC149" s="67"/>
      <c r="DF149" s="67"/>
      <c r="DG149" s="67">
        <v>0</v>
      </c>
      <c r="DH149" s="67">
        <v>0</v>
      </c>
      <c r="DI149" s="67">
        <v>0</v>
      </c>
      <c r="DJ149" s="67"/>
      <c r="DK149" s="67">
        <v>0</v>
      </c>
      <c r="DL149" s="67">
        <v>0</v>
      </c>
      <c r="DM149" s="67">
        <v>0</v>
      </c>
      <c r="DN149" s="67"/>
      <c r="DO149" s="67"/>
      <c r="DP149" s="67"/>
      <c r="DQ149" s="67">
        <v>0</v>
      </c>
      <c r="DR149" s="67">
        <v>0</v>
      </c>
      <c r="DS149" s="67"/>
      <c r="DT149" s="67"/>
      <c r="DU149" s="67">
        <v>0</v>
      </c>
      <c r="DV149" s="67">
        <v>0</v>
      </c>
      <c r="DW149" s="67">
        <v>0</v>
      </c>
      <c r="DX149" s="67">
        <v>0</v>
      </c>
      <c r="DY149" s="67"/>
      <c r="DZ149" s="67">
        <v>0</v>
      </c>
      <c r="EA149" s="67"/>
      <c r="EB149" s="67">
        <v>0</v>
      </c>
      <c r="EC149" s="67"/>
      <c r="ED149" s="67">
        <v>0</v>
      </c>
      <c r="EE149" s="67"/>
      <c r="EF149" s="67">
        <v>0</v>
      </c>
      <c r="EG149" s="67"/>
      <c r="EH149" s="67"/>
      <c r="EI149" s="67"/>
      <c r="EJ149" s="67"/>
      <c r="EK149" s="67"/>
      <c r="EL149" s="67"/>
      <c r="EM149" s="67"/>
      <c r="EN149" s="67"/>
      <c r="EO149" s="67"/>
      <c r="EP149" s="67">
        <v>0</v>
      </c>
      <c r="EQ149" s="67">
        <v>0</v>
      </c>
      <c r="ER149" s="67">
        <v>0</v>
      </c>
      <c r="ES149" s="67"/>
      <c r="ET149">
        <v>0</v>
      </c>
      <c r="EX149" s="67"/>
      <c r="EY149" s="67"/>
      <c r="EZ149" s="67"/>
      <c r="FA149" s="67">
        <v>50</v>
      </c>
      <c r="FB149" s="67"/>
      <c r="FC149" s="67"/>
      <c r="FD149" s="67"/>
      <c r="FE149" s="67"/>
      <c r="FF149" s="67"/>
      <c r="FG149" s="67"/>
      <c r="FH149" s="67"/>
      <c r="FI149" s="67" t="s">
        <v>1600</v>
      </c>
    </row>
    <row r="150" spans="2:165" x14ac:dyDescent="0.2">
      <c r="B150" s="67" t="s">
        <v>541</v>
      </c>
      <c r="C150" s="67" t="s">
        <v>541</v>
      </c>
      <c r="D150" s="67" t="s">
        <v>542</v>
      </c>
      <c r="E150" s="67" t="s">
        <v>20</v>
      </c>
      <c r="F150" s="67" t="s">
        <v>810</v>
      </c>
      <c r="G150" s="67" t="s">
        <v>1597</v>
      </c>
      <c r="H150" s="67"/>
      <c r="I150" s="67" t="s">
        <v>41</v>
      </c>
      <c r="J150" s="67" t="s">
        <v>71</v>
      </c>
      <c r="K150" s="67" t="s">
        <v>811</v>
      </c>
      <c r="L150" s="67" t="s">
        <v>779</v>
      </c>
      <c r="M150" s="67" t="s">
        <v>752</v>
      </c>
      <c r="N150" s="67" t="s">
        <v>1601</v>
      </c>
      <c r="O150" s="67" t="s">
        <v>1599</v>
      </c>
      <c r="P150" s="67"/>
      <c r="Q150" s="67">
        <v>200</v>
      </c>
      <c r="R150" s="67">
        <v>0</v>
      </c>
      <c r="S150" s="67">
        <v>0</v>
      </c>
      <c r="T150" s="67">
        <v>0</v>
      </c>
      <c r="U150" s="67">
        <v>0</v>
      </c>
      <c r="V150" s="67">
        <v>0</v>
      </c>
      <c r="W150" s="67">
        <v>200</v>
      </c>
      <c r="X150" s="67">
        <v>0</v>
      </c>
      <c r="Y150" s="67">
        <v>0</v>
      </c>
      <c r="Z150" s="67">
        <v>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67">
        <v>0</v>
      </c>
      <c r="AQ150" s="67">
        <v>0</v>
      </c>
      <c r="AR150" s="67">
        <v>0</v>
      </c>
      <c r="AS150" s="67">
        <v>0</v>
      </c>
      <c r="AT150" s="67"/>
      <c r="AU150" s="67"/>
      <c r="AV150" s="67"/>
      <c r="AW150" s="67">
        <v>0</v>
      </c>
      <c r="AX150" s="67">
        <v>0</v>
      </c>
      <c r="AY150" s="67"/>
      <c r="AZ150" s="67"/>
      <c r="BA150" s="67"/>
      <c r="BB150" s="67"/>
      <c r="BC150" s="67"/>
      <c r="BD150" s="67"/>
      <c r="BE150" s="67"/>
      <c r="BG150" s="67"/>
      <c r="BH150" s="67"/>
      <c r="BI150" s="67"/>
      <c r="BJ150" s="67">
        <v>0</v>
      </c>
      <c r="BK150" s="67"/>
      <c r="BL150" s="67"/>
      <c r="BP150" s="67"/>
      <c r="BQ150" s="67">
        <v>0</v>
      </c>
      <c r="BR150" s="67"/>
      <c r="BS150" s="67"/>
      <c r="BT150" s="67">
        <v>0</v>
      </c>
      <c r="BU150" s="67"/>
      <c r="BV150" s="67"/>
      <c r="BW150" s="67">
        <v>0</v>
      </c>
      <c r="BX150" s="67">
        <v>0</v>
      </c>
      <c r="BY150" s="67">
        <v>0</v>
      </c>
      <c r="BZ150" s="67">
        <v>0</v>
      </c>
      <c r="CA150" s="67"/>
      <c r="CB150" s="67">
        <v>0</v>
      </c>
      <c r="CC150" s="67"/>
      <c r="CD150" s="67"/>
      <c r="CE150" s="67">
        <v>0</v>
      </c>
      <c r="CF150" s="67">
        <v>0</v>
      </c>
      <c r="CG150" s="67"/>
      <c r="CH150" s="67"/>
      <c r="CI150" s="67"/>
      <c r="CJ150" s="67"/>
      <c r="CK150" s="67">
        <v>0</v>
      </c>
      <c r="CL150" s="67">
        <v>0</v>
      </c>
      <c r="CM150" s="67"/>
      <c r="CN150" s="67"/>
      <c r="CO150" s="67">
        <v>0</v>
      </c>
      <c r="CP150" s="67">
        <v>0</v>
      </c>
      <c r="CQ150" s="67"/>
      <c r="CR150" s="67"/>
      <c r="CS150" s="67"/>
      <c r="CT150" s="67"/>
      <c r="CU150" s="67">
        <v>0</v>
      </c>
      <c r="CV150" s="67"/>
      <c r="CW150" s="67"/>
      <c r="CX150" s="67"/>
      <c r="CY150" s="67">
        <v>0</v>
      </c>
      <c r="CZ150" s="67"/>
      <c r="DA150" s="67"/>
      <c r="DB150" s="67"/>
      <c r="DC150" s="67"/>
      <c r="DF150" s="67"/>
      <c r="DG150" s="67">
        <v>0</v>
      </c>
      <c r="DH150" s="67">
        <v>0</v>
      </c>
      <c r="DI150" s="67">
        <v>0</v>
      </c>
      <c r="DJ150" s="67"/>
      <c r="DK150" s="67">
        <v>0</v>
      </c>
      <c r="DL150" s="67">
        <v>0</v>
      </c>
      <c r="DM150" s="67">
        <v>0</v>
      </c>
      <c r="DN150" s="67"/>
      <c r="DO150" s="67"/>
      <c r="DP150" s="67"/>
      <c r="DQ150" s="67">
        <v>0</v>
      </c>
      <c r="DR150" s="67">
        <v>0</v>
      </c>
      <c r="DS150" s="67"/>
      <c r="DT150" s="67"/>
      <c r="DU150" s="67">
        <v>0</v>
      </c>
      <c r="DV150" s="67">
        <v>0</v>
      </c>
      <c r="DW150" s="67">
        <v>0</v>
      </c>
      <c r="DX150" s="67">
        <v>0</v>
      </c>
      <c r="DY150" s="67"/>
      <c r="DZ150" s="67">
        <v>0</v>
      </c>
      <c r="EA150" s="67"/>
      <c r="EB150" s="67">
        <v>0</v>
      </c>
      <c r="EC150" s="67"/>
      <c r="ED150" s="67">
        <v>0</v>
      </c>
      <c r="EE150" s="67"/>
      <c r="EF150" s="67">
        <v>0</v>
      </c>
      <c r="EG150" s="67"/>
      <c r="EH150" s="67"/>
      <c r="EI150" s="67"/>
      <c r="EJ150" s="67"/>
      <c r="EK150" s="67"/>
      <c r="EL150" s="67"/>
      <c r="EM150" s="67"/>
      <c r="EN150" s="67"/>
      <c r="EO150" s="67"/>
      <c r="EP150" s="67">
        <v>0</v>
      </c>
      <c r="EQ150" s="67">
        <v>0</v>
      </c>
      <c r="ER150" s="67">
        <v>0</v>
      </c>
      <c r="ES150" s="67"/>
      <c r="ET150">
        <v>0</v>
      </c>
      <c r="EX150" s="67"/>
      <c r="EY150" s="67"/>
      <c r="EZ150" s="67"/>
      <c r="FA150" s="67">
        <v>200</v>
      </c>
      <c r="FB150" s="67"/>
      <c r="FC150" s="67"/>
      <c r="FD150" s="67"/>
      <c r="FE150" s="67"/>
      <c r="FF150" s="67"/>
      <c r="FG150" s="67"/>
      <c r="FH150" s="67"/>
      <c r="FI150" s="67" t="s">
        <v>1600</v>
      </c>
    </row>
    <row r="151" spans="2:165" x14ac:dyDescent="0.2">
      <c r="B151" s="67"/>
      <c r="C151" s="67" t="s">
        <v>1668</v>
      </c>
      <c r="D151" s="67" t="s">
        <v>543</v>
      </c>
      <c r="E151" s="67" t="s">
        <v>37</v>
      </c>
      <c r="F151" s="67" t="s">
        <v>810</v>
      </c>
      <c r="G151" s="67" t="s">
        <v>1597</v>
      </c>
      <c r="H151" s="67"/>
      <c r="I151" s="67" t="s">
        <v>43</v>
      </c>
      <c r="J151" s="67" t="s">
        <v>71</v>
      </c>
      <c r="K151" s="67" t="s">
        <v>811</v>
      </c>
      <c r="L151" s="67" t="s">
        <v>779</v>
      </c>
      <c r="M151" s="67" t="s">
        <v>752</v>
      </c>
      <c r="N151" s="67" t="s">
        <v>1604</v>
      </c>
      <c r="O151" s="67" t="s">
        <v>1605</v>
      </c>
      <c r="P151" s="67"/>
      <c r="Q151" s="67">
        <v>0</v>
      </c>
      <c r="R151" s="67">
        <v>0</v>
      </c>
      <c r="S151" s="67">
        <v>0</v>
      </c>
      <c r="T151" s="67">
        <v>0</v>
      </c>
      <c r="U151" s="67">
        <v>0</v>
      </c>
      <c r="V151" s="67">
        <v>0</v>
      </c>
      <c r="W151" s="67">
        <v>0</v>
      </c>
      <c r="X151" s="67">
        <v>0</v>
      </c>
      <c r="Y151" s="67">
        <v>0</v>
      </c>
      <c r="Z151" s="67">
        <v>0</v>
      </c>
      <c r="AA151" s="67">
        <v>0</v>
      </c>
      <c r="AB151" s="67">
        <v>0</v>
      </c>
      <c r="AC151" s="67">
        <v>0</v>
      </c>
      <c r="AD151" s="67">
        <v>0</v>
      </c>
      <c r="AE151" s="67">
        <v>0</v>
      </c>
      <c r="AF151" s="67">
        <v>0</v>
      </c>
      <c r="AG151" s="67">
        <v>0</v>
      </c>
      <c r="AH151" s="67">
        <v>0</v>
      </c>
      <c r="AI151" s="67">
        <v>0</v>
      </c>
      <c r="AJ151" s="67">
        <v>0</v>
      </c>
      <c r="AK151" s="67">
        <v>0</v>
      </c>
      <c r="AL151" s="67">
        <v>0</v>
      </c>
      <c r="AM151" s="67">
        <v>0</v>
      </c>
      <c r="AN151" s="67">
        <v>0</v>
      </c>
      <c r="AO151" s="67">
        <v>0</v>
      </c>
      <c r="AP151" s="67">
        <v>0</v>
      </c>
      <c r="AQ151" s="67">
        <v>0</v>
      </c>
      <c r="AR151" s="67">
        <v>0</v>
      </c>
      <c r="AS151" s="67">
        <v>0</v>
      </c>
      <c r="AT151" s="67"/>
      <c r="AU151" s="67"/>
      <c r="AV151" s="67"/>
      <c r="AW151" s="67">
        <v>0</v>
      </c>
      <c r="AX151" s="67">
        <v>0</v>
      </c>
      <c r="AY151" s="67"/>
      <c r="AZ151" s="67"/>
      <c r="BA151" s="67"/>
      <c r="BB151" s="67"/>
      <c r="BC151" s="67"/>
      <c r="BD151" s="67"/>
      <c r="BE151" s="67"/>
      <c r="BG151" s="67"/>
      <c r="BH151" s="67"/>
      <c r="BI151" s="67"/>
      <c r="BJ151" s="67">
        <v>0</v>
      </c>
      <c r="BK151" s="67"/>
      <c r="BL151" s="67"/>
      <c r="BP151" s="67"/>
      <c r="BQ151" s="67">
        <v>0</v>
      </c>
      <c r="BR151" s="67"/>
      <c r="BS151" s="67"/>
      <c r="BT151" s="67">
        <v>0</v>
      </c>
      <c r="BU151" s="67"/>
      <c r="BV151" s="67"/>
      <c r="BW151" s="67">
        <v>0</v>
      </c>
      <c r="BX151" s="67">
        <v>0</v>
      </c>
      <c r="BY151" s="67">
        <v>0</v>
      </c>
      <c r="BZ151" s="67">
        <v>0</v>
      </c>
      <c r="CA151" s="67"/>
      <c r="CB151" s="67">
        <v>0</v>
      </c>
      <c r="CC151" s="67"/>
      <c r="CD151" s="67"/>
      <c r="CE151" s="67">
        <v>0</v>
      </c>
      <c r="CF151" s="67">
        <v>0</v>
      </c>
      <c r="CG151" s="67"/>
      <c r="CH151" s="67"/>
      <c r="CI151" s="67"/>
      <c r="CJ151" s="67"/>
      <c r="CK151" s="67">
        <v>0</v>
      </c>
      <c r="CL151" s="67">
        <v>0</v>
      </c>
      <c r="CM151" s="67"/>
      <c r="CN151" s="67"/>
      <c r="CO151" s="67">
        <v>0</v>
      </c>
      <c r="CP151" s="67">
        <v>0</v>
      </c>
      <c r="CQ151" s="67"/>
      <c r="CR151" s="67"/>
      <c r="CS151" s="67"/>
      <c r="CT151" s="67"/>
      <c r="CU151" s="67">
        <v>0</v>
      </c>
      <c r="CV151" s="67"/>
      <c r="CW151" s="67"/>
      <c r="CX151" s="67"/>
      <c r="CY151" s="67">
        <v>0</v>
      </c>
      <c r="CZ151" s="67"/>
      <c r="DA151" s="67"/>
      <c r="DB151" s="67"/>
      <c r="DC151" s="67"/>
      <c r="DF151" s="67"/>
      <c r="DG151" s="67">
        <v>0</v>
      </c>
      <c r="DH151" s="67">
        <v>0</v>
      </c>
      <c r="DI151" s="67">
        <v>0</v>
      </c>
      <c r="DJ151" s="67"/>
      <c r="DK151" s="67">
        <v>0</v>
      </c>
      <c r="DL151" s="67">
        <v>0</v>
      </c>
      <c r="DM151" s="67">
        <v>0</v>
      </c>
      <c r="DN151" s="67"/>
      <c r="DO151" s="67"/>
      <c r="DP151" s="67"/>
      <c r="DQ151" s="67">
        <v>0</v>
      </c>
      <c r="DR151" s="67">
        <v>0</v>
      </c>
      <c r="DS151" s="67"/>
      <c r="DT151" s="67"/>
      <c r="DU151" s="67">
        <v>0</v>
      </c>
      <c r="DV151" s="67">
        <v>0</v>
      </c>
      <c r="DW151" s="67">
        <v>0</v>
      </c>
      <c r="DX151" s="67">
        <v>0</v>
      </c>
      <c r="DY151" s="67"/>
      <c r="DZ151" s="67">
        <v>0</v>
      </c>
      <c r="EA151" s="67"/>
      <c r="EB151" s="67">
        <v>0</v>
      </c>
      <c r="EC151" s="67"/>
      <c r="ED151" s="67">
        <v>0</v>
      </c>
      <c r="EE151" s="67"/>
      <c r="EF151" s="67">
        <v>0</v>
      </c>
      <c r="EG151" s="67"/>
      <c r="EH151" s="67"/>
      <c r="EI151" s="67"/>
      <c r="EJ151" s="67"/>
      <c r="EK151" s="67"/>
      <c r="EL151" s="67"/>
      <c r="EM151" s="67"/>
      <c r="EN151" s="67"/>
      <c r="EO151" s="67"/>
      <c r="EP151" s="67">
        <v>0</v>
      </c>
      <c r="EQ151" s="67">
        <v>0</v>
      </c>
      <c r="ER151" s="67">
        <v>0</v>
      </c>
      <c r="ES151" s="67"/>
      <c r="ET151">
        <v>0</v>
      </c>
      <c r="EX151" s="67"/>
      <c r="EY151" s="67"/>
      <c r="EZ151" s="67"/>
      <c r="FA151" s="67">
        <v>0</v>
      </c>
      <c r="FB151" s="67"/>
      <c r="FC151" s="67"/>
      <c r="FD151" s="67"/>
      <c r="FE151" s="67"/>
      <c r="FF151" s="67"/>
      <c r="FG151" s="67"/>
      <c r="FH151" s="67"/>
      <c r="FI151" s="67" t="s">
        <v>1600</v>
      </c>
    </row>
    <row r="152" spans="2:165" x14ac:dyDescent="0.2">
      <c r="B152" s="67"/>
      <c r="C152" s="67" t="s">
        <v>1669</v>
      </c>
      <c r="D152" s="67" t="s">
        <v>544</v>
      </c>
      <c r="E152" s="67" t="s">
        <v>35</v>
      </c>
      <c r="F152" s="67" t="s">
        <v>810</v>
      </c>
      <c r="G152" s="67" t="s">
        <v>1597</v>
      </c>
      <c r="H152" s="67"/>
      <c r="I152" s="67" t="s">
        <v>41</v>
      </c>
      <c r="J152" s="67" t="s">
        <v>71</v>
      </c>
      <c r="K152" s="67" t="s">
        <v>880</v>
      </c>
      <c r="L152" s="67" t="s">
        <v>779</v>
      </c>
      <c r="M152" s="67" t="s">
        <v>752</v>
      </c>
      <c r="N152" s="67" t="s">
        <v>1604</v>
      </c>
      <c r="O152" s="67" t="s">
        <v>1605</v>
      </c>
      <c r="P152" s="67"/>
      <c r="Q152" s="67">
        <v>0</v>
      </c>
      <c r="R152" s="67">
        <v>0</v>
      </c>
      <c r="S152" s="67">
        <v>0</v>
      </c>
      <c r="T152" s="67">
        <v>0</v>
      </c>
      <c r="U152" s="67">
        <v>0</v>
      </c>
      <c r="V152" s="67">
        <v>0</v>
      </c>
      <c r="W152" s="67">
        <v>0</v>
      </c>
      <c r="X152" s="67">
        <v>0</v>
      </c>
      <c r="Y152" s="67">
        <v>0</v>
      </c>
      <c r="Z152" s="67">
        <v>0</v>
      </c>
      <c r="AA152" s="67">
        <v>0</v>
      </c>
      <c r="AB152" s="67">
        <v>0</v>
      </c>
      <c r="AC152" s="67">
        <v>0</v>
      </c>
      <c r="AD152" s="67">
        <v>0</v>
      </c>
      <c r="AE152" s="67">
        <v>0</v>
      </c>
      <c r="AF152" s="67">
        <v>0</v>
      </c>
      <c r="AG152" s="67">
        <v>0</v>
      </c>
      <c r="AH152" s="67">
        <v>0</v>
      </c>
      <c r="AI152" s="67">
        <v>0</v>
      </c>
      <c r="AJ152" s="67">
        <v>0</v>
      </c>
      <c r="AK152" s="67">
        <v>0</v>
      </c>
      <c r="AL152" s="67">
        <v>0</v>
      </c>
      <c r="AM152" s="67">
        <v>0</v>
      </c>
      <c r="AN152" s="67">
        <v>0</v>
      </c>
      <c r="AO152" s="67">
        <v>0</v>
      </c>
      <c r="AP152" s="67">
        <v>0</v>
      </c>
      <c r="AQ152" s="67">
        <v>0</v>
      </c>
      <c r="AR152" s="67">
        <v>0</v>
      </c>
      <c r="AS152" s="67">
        <v>0</v>
      </c>
      <c r="AT152" s="67"/>
      <c r="AU152" s="67"/>
      <c r="AV152" s="67"/>
      <c r="AW152" s="67">
        <v>0</v>
      </c>
      <c r="AX152" s="67">
        <v>0</v>
      </c>
      <c r="AY152" s="67"/>
      <c r="AZ152" s="67"/>
      <c r="BA152" s="67"/>
      <c r="BB152" s="67"/>
      <c r="BC152" s="67"/>
      <c r="BD152" s="67"/>
      <c r="BE152" s="67"/>
      <c r="BG152" s="67"/>
      <c r="BH152" s="67"/>
      <c r="BI152" s="67"/>
      <c r="BJ152" s="67">
        <v>0</v>
      </c>
      <c r="BK152" s="67"/>
      <c r="BL152" s="67"/>
      <c r="BP152" s="67"/>
      <c r="BQ152" s="67">
        <v>0</v>
      </c>
      <c r="BR152" s="67"/>
      <c r="BS152" s="67"/>
      <c r="BT152" s="67">
        <v>0</v>
      </c>
      <c r="BU152" s="67"/>
      <c r="BV152" s="67"/>
      <c r="BW152" s="67">
        <v>0</v>
      </c>
      <c r="BX152" s="67">
        <v>0</v>
      </c>
      <c r="BY152" s="67">
        <v>0</v>
      </c>
      <c r="BZ152" s="67">
        <v>0</v>
      </c>
      <c r="CA152" s="67"/>
      <c r="CB152" s="67">
        <v>0</v>
      </c>
      <c r="CC152" s="67"/>
      <c r="CD152" s="67"/>
      <c r="CE152" s="67">
        <v>0</v>
      </c>
      <c r="CF152" s="67">
        <v>0</v>
      </c>
      <c r="CG152" s="67"/>
      <c r="CH152" s="67"/>
      <c r="CI152" s="67"/>
      <c r="CJ152" s="67"/>
      <c r="CK152" s="67">
        <v>0</v>
      </c>
      <c r="CL152" s="67">
        <v>0</v>
      </c>
      <c r="CM152" s="67"/>
      <c r="CN152" s="67"/>
      <c r="CO152" s="67">
        <v>0</v>
      </c>
      <c r="CP152" s="67">
        <v>0</v>
      </c>
      <c r="CQ152" s="67"/>
      <c r="CR152" s="67"/>
      <c r="CS152" s="67"/>
      <c r="CT152" s="67"/>
      <c r="CU152" s="67">
        <v>0</v>
      </c>
      <c r="CV152" s="67"/>
      <c r="CW152" s="67"/>
      <c r="CX152" s="67"/>
      <c r="CY152" s="67">
        <v>0</v>
      </c>
      <c r="CZ152" s="67"/>
      <c r="DA152" s="67"/>
      <c r="DB152" s="67"/>
      <c r="DC152" s="67"/>
      <c r="DF152" s="67"/>
      <c r="DG152" s="67">
        <v>0</v>
      </c>
      <c r="DH152" s="67">
        <v>0</v>
      </c>
      <c r="DI152" s="67">
        <v>0</v>
      </c>
      <c r="DJ152" s="67"/>
      <c r="DK152" s="67">
        <v>0</v>
      </c>
      <c r="DL152" s="67">
        <v>0</v>
      </c>
      <c r="DM152" s="67">
        <v>0</v>
      </c>
      <c r="DN152" s="67"/>
      <c r="DO152" s="67"/>
      <c r="DP152" s="67"/>
      <c r="DQ152" s="67">
        <v>0</v>
      </c>
      <c r="DR152" s="67">
        <v>0</v>
      </c>
      <c r="DS152" s="67"/>
      <c r="DT152" s="67"/>
      <c r="DU152" s="67">
        <v>0</v>
      </c>
      <c r="DV152" s="67">
        <v>0</v>
      </c>
      <c r="DW152" s="67">
        <v>0</v>
      </c>
      <c r="DX152" s="67">
        <v>0</v>
      </c>
      <c r="DY152" s="67"/>
      <c r="DZ152" s="67">
        <v>0</v>
      </c>
      <c r="EA152" s="67"/>
      <c r="EB152" s="67">
        <v>0</v>
      </c>
      <c r="EC152" s="67"/>
      <c r="ED152" s="67">
        <v>0</v>
      </c>
      <c r="EE152" s="67"/>
      <c r="EF152" s="67">
        <v>0</v>
      </c>
      <c r="EG152" s="67"/>
      <c r="EH152" s="67"/>
      <c r="EI152" s="67"/>
      <c r="EJ152" s="67"/>
      <c r="EK152" s="67"/>
      <c r="EL152" s="67"/>
      <c r="EM152" s="67"/>
      <c r="EN152" s="67"/>
      <c r="EO152" s="67"/>
      <c r="EP152" s="67">
        <v>0</v>
      </c>
      <c r="EQ152" s="67">
        <v>0</v>
      </c>
      <c r="ER152" s="67">
        <v>0</v>
      </c>
      <c r="ES152" s="67"/>
      <c r="ET152">
        <v>0</v>
      </c>
      <c r="EX152" s="67"/>
      <c r="EY152" s="67"/>
      <c r="EZ152" s="67"/>
      <c r="FA152" s="67">
        <v>0</v>
      </c>
      <c r="FB152" s="67"/>
      <c r="FC152" s="67"/>
      <c r="FD152" s="67"/>
      <c r="FE152" s="67"/>
      <c r="FF152" s="67"/>
      <c r="FG152" s="67"/>
      <c r="FH152" s="67"/>
      <c r="FI152" s="67" t="s">
        <v>1600</v>
      </c>
    </row>
    <row r="153" spans="2:165" ht="24" x14ac:dyDescent="0.2">
      <c r="B153" s="67"/>
      <c r="C153" s="67" t="s">
        <v>1670</v>
      </c>
      <c r="D153" s="67" t="s">
        <v>545</v>
      </c>
      <c r="E153" s="67" t="s">
        <v>13</v>
      </c>
      <c r="F153" s="67" t="s">
        <v>1671</v>
      </c>
      <c r="G153" s="67" t="s">
        <v>345</v>
      </c>
      <c r="H153" s="67"/>
      <c r="I153" s="67" t="s">
        <v>41</v>
      </c>
      <c r="J153" s="67" t="s">
        <v>68</v>
      </c>
      <c r="K153" s="67" t="s">
        <v>1672</v>
      </c>
      <c r="L153" s="67" t="s">
        <v>787</v>
      </c>
      <c r="M153" s="67" t="s">
        <v>752</v>
      </c>
      <c r="N153" s="67" t="s">
        <v>1598</v>
      </c>
      <c r="O153" s="67" t="s">
        <v>1599</v>
      </c>
      <c r="P153" s="67"/>
      <c r="Q153" s="67">
        <v>1200</v>
      </c>
      <c r="R153" s="67">
        <v>0</v>
      </c>
      <c r="S153" s="67">
        <v>0</v>
      </c>
      <c r="T153" s="67">
        <v>0</v>
      </c>
      <c r="U153" s="67">
        <v>0</v>
      </c>
      <c r="V153" s="67">
        <v>0</v>
      </c>
      <c r="W153" s="67">
        <v>0</v>
      </c>
      <c r="X153" s="67">
        <v>0</v>
      </c>
      <c r="Y153" s="67">
        <v>0</v>
      </c>
      <c r="Z153" s="67">
        <v>0</v>
      </c>
      <c r="AA153" s="67">
        <v>0</v>
      </c>
      <c r="AB153" s="67">
        <v>0</v>
      </c>
      <c r="AC153" s="67">
        <v>0</v>
      </c>
      <c r="AD153" s="67">
        <v>0</v>
      </c>
      <c r="AE153" s="67">
        <v>0</v>
      </c>
      <c r="AF153" s="67">
        <v>0</v>
      </c>
      <c r="AG153" s="67">
        <v>0</v>
      </c>
      <c r="AH153" s="67">
        <v>0</v>
      </c>
      <c r="AI153" s="67">
        <v>0</v>
      </c>
      <c r="AJ153" s="67">
        <v>0</v>
      </c>
      <c r="AK153" s="67">
        <v>0</v>
      </c>
      <c r="AL153" s="67">
        <v>0</v>
      </c>
      <c r="AM153" s="67">
        <v>0</v>
      </c>
      <c r="AN153" s="67">
        <v>1200</v>
      </c>
      <c r="AO153" s="67">
        <v>0</v>
      </c>
      <c r="AP153" s="67">
        <v>0</v>
      </c>
      <c r="AQ153" s="67">
        <v>0</v>
      </c>
      <c r="AR153" s="67">
        <v>0</v>
      </c>
      <c r="AS153" s="67">
        <v>0</v>
      </c>
      <c r="AT153" s="67"/>
      <c r="AU153" s="67"/>
      <c r="AV153" s="67"/>
      <c r="AW153" s="67">
        <v>0</v>
      </c>
      <c r="AX153" s="67">
        <v>0</v>
      </c>
      <c r="AY153" s="67"/>
      <c r="AZ153" s="67"/>
      <c r="BA153" s="67"/>
      <c r="BB153" s="67"/>
      <c r="BC153" s="67"/>
      <c r="BD153" s="67"/>
      <c r="BE153" s="67"/>
      <c r="BG153" s="67"/>
      <c r="BH153" s="67"/>
      <c r="BI153" s="67"/>
      <c r="BJ153" s="67">
        <v>0</v>
      </c>
      <c r="BK153" s="67"/>
      <c r="BL153" s="67"/>
      <c r="BP153" s="67"/>
      <c r="BQ153" s="67">
        <v>0</v>
      </c>
      <c r="BR153" s="67"/>
      <c r="BS153" s="67"/>
      <c r="BT153" s="67">
        <v>0</v>
      </c>
      <c r="BU153" s="67"/>
      <c r="BV153" s="67"/>
      <c r="BW153" s="67">
        <v>0</v>
      </c>
      <c r="BX153" s="67">
        <v>0</v>
      </c>
      <c r="BY153" s="67">
        <v>0</v>
      </c>
      <c r="BZ153" s="67">
        <v>0</v>
      </c>
      <c r="CA153" s="67"/>
      <c r="CB153" s="67">
        <v>0</v>
      </c>
      <c r="CC153" s="67"/>
      <c r="CD153" s="67"/>
      <c r="CE153" s="67">
        <v>0</v>
      </c>
      <c r="CF153" s="67">
        <v>0</v>
      </c>
      <c r="CG153" s="67"/>
      <c r="CH153" s="67"/>
      <c r="CI153" s="67"/>
      <c r="CJ153" s="67"/>
      <c r="CK153" s="67">
        <v>0</v>
      </c>
      <c r="CL153" s="67">
        <v>0</v>
      </c>
      <c r="CM153" s="67"/>
      <c r="CN153" s="67"/>
      <c r="CO153" s="67">
        <v>0</v>
      </c>
      <c r="CP153" s="67">
        <v>0</v>
      </c>
      <c r="CQ153" s="67"/>
      <c r="CR153" s="67"/>
      <c r="CS153" s="67"/>
      <c r="CT153" s="67"/>
      <c r="CU153" s="67">
        <v>0</v>
      </c>
      <c r="CV153" s="67"/>
      <c r="CW153" s="67"/>
      <c r="CX153" s="67"/>
      <c r="CY153" s="67">
        <v>0</v>
      </c>
      <c r="CZ153" s="67"/>
      <c r="DA153" s="67"/>
      <c r="DB153" s="67"/>
      <c r="DC153" s="67"/>
      <c r="DF153" s="67"/>
      <c r="DG153" s="67">
        <v>0</v>
      </c>
      <c r="DH153" s="67">
        <v>0</v>
      </c>
      <c r="DI153" s="67">
        <v>0</v>
      </c>
      <c r="DJ153" s="67"/>
      <c r="DK153" s="67">
        <v>0</v>
      </c>
      <c r="DL153" s="67">
        <v>0</v>
      </c>
      <c r="DM153" s="67">
        <v>0</v>
      </c>
      <c r="DN153" s="67"/>
      <c r="DO153" s="67"/>
      <c r="DP153" s="67"/>
      <c r="DQ153" s="67">
        <v>0</v>
      </c>
      <c r="DR153" s="67">
        <v>0</v>
      </c>
      <c r="DS153" s="67"/>
      <c r="DT153" s="67"/>
      <c r="DU153" s="67">
        <v>0</v>
      </c>
      <c r="DV153" s="67">
        <v>0</v>
      </c>
      <c r="DW153" s="67">
        <v>0</v>
      </c>
      <c r="DX153" s="67">
        <v>0</v>
      </c>
      <c r="DY153" s="67"/>
      <c r="DZ153" s="67">
        <v>0</v>
      </c>
      <c r="EA153" s="67"/>
      <c r="EB153" s="67">
        <v>0</v>
      </c>
      <c r="EC153" s="67"/>
      <c r="ED153" s="67">
        <v>0</v>
      </c>
      <c r="EE153" s="67"/>
      <c r="EF153" s="67">
        <v>0</v>
      </c>
      <c r="EG153" s="67"/>
      <c r="EH153" s="67"/>
      <c r="EI153" s="67"/>
      <c r="EJ153" s="67"/>
      <c r="EK153" s="67"/>
      <c r="EL153" s="67"/>
      <c r="EM153" s="67"/>
      <c r="EN153" s="67"/>
      <c r="EO153" s="67"/>
      <c r="EP153" s="67">
        <v>0</v>
      </c>
      <c r="EQ153" s="67">
        <v>0</v>
      </c>
      <c r="ER153" s="67">
        <v>0</v>
      </c>
      <c r="ES153" s="67"/>
      <c r="ET153">
        <v>0</v>
      </c>
      <c r="EX153" s="67"/>
      <c r="EY153" s="67"/>
      <c r="EZ153" s="67"/>
      <c r="FA153" s="67">
        <v>1200</v>
      </c>
      <c r="FB153" s="67"/>
      <c r="FC153" s="67"/>
      <c r="FD153" s="67"/>
      <c r="FE153" s="67"/>
      <c r="FF153" s="67"/>
      <c r="FG153" s="67"/>
      <c r="FH153" s="67"/>
      <c r="FI153" s="67" t="s">
        <v>1600</v>
      </c>
    </row>
    <row r="154" spans="2:165" ht="24" x14ac:dyDescent="0.2">
      <c r="B154" s="67"/>
      <c r="C154" s="67" t="s">
        <v>1673</v>
      </c>
      <c r="D154" s="67" t="s">
        <v>546</v>
      </c>
      <c r="E154" s="67" t="s">
        <v>13</v>
      </c>
      <c r="F154" s="67" t="s">
        <v>766</v>
      </c>
      <c r="G154" s="67" t="s">
        <v>345</v>
      </c>
      <c r="H154" s="67"/>
      <c r="I154" s="67" t="s">
        <v>41</v>
      </c>
      <c r="J154" s="67" t="s">
        <v>68</v>
      </c>
      <c r="K154" s="67" t="s">
        <v>1672</v>
      </c>
      <c r="L154" s="67" t="s">
        <v>787</v>
      </c>
      <c r="M154" s="67" t="s">
        <v>752</v>
      </c>
      <c r="N154" s="67" t="s">
        <v>1598</v>
      </c>
      <c r="O154" s="67" t="s">
        <v>1599</v>
      </c>
      <c r="P154" s="67"/>
      <c r="Q154" s="67">
        <v>0</v>
      </c>
      <c r="R154" s="67">
        <v>0</v>
      </c>
      <c r="S154" s="67">
        <v>0</v>
      </c>
      <c r="T154" s="67">
        <v>0</v>
      </c>
      <c r="U154" s="67">
        <v>0</v>
      </c>
      <c r="V154" s="67">
        <v>0</v>
      </c>
      <c r="W154" s="67">
        <v>0</v>
      </c>
      <c r="X154" s="67">
        <v>0</v>
      </c>
      <c r="Y154" s="67">
        <v>0</v>
      </c>
      <c r="Z154" s="67">
        <v>0</v>
      </c>
      <c r="AA154" s="67">
        <v>0</v>
      </c>
      <c r="AB154" s="67">
        <v>0</v>
      </c>
      <c r="AC154" s="67">
        <v>0</v>
      </c>
      <c r="AD154" s="67">
        <v>0</v>
      </c>
      <c r="AE154" s="67">
        <v>0</v>
      </c>
      <c r="AF154" s="67">
        <v>0</v>
      </c>
      <c r="AG154" s="67">
        <v>0</v>
      </c>
      <c r="AH154" s="67">
        <v>0</v>
      </c>
      <c r="AI154" s="67">
        <v>0</v>
      </c>
      <c r="AJ154" s="67">
        <v>0</v>
      </c>
      <c r="AK154" s="67">
        <v>0</v>
      </c>
      <c r="AL154" s="67">
        <v>0</v>
      </c>
      <c r="AM154" s="67">
        <v>0</v>
      </c>
      <c r="AN154" s="67">
        <v>0</v>
      </c>
      <c r="AO154" s="67">
        <v>0</v>
      </c>
      <c r="AP154" s="67">
        <v>0</v>
      </c>
      <c r="AQ154" s="67">
        <v>0</v>
      </c>
      <c r="AR154" s="67">
        <v>0</v>
      </c>
      <c r="AS154" s="67">
        <v>0</v>
      </c>
      <c r="AT154" s="67"/>
      <c r="AU154" s="67"/>
      <c r="AV154" s="67"/>
      <c r="AW154" s="67">
        <v>0</v>
      </c>
      <c r="AX154" s="67">
        <v>0</v>
      </c>
      <c r="AY154" s="67"/>
      <c r="AZ154" s="67"/>
      <c r="BA154" s="67"/>
      <c r="BB154" s="67"/>
      <c r="BC154" s="67"/>
      <c r="BD154" s="67"/>
      <c r="BE154" s="67"/>
      <c r="BG154" s="67"/>
      <c r="BH154" s="67"/>
      <c r="BI154" s="67"/>
      <c r="BJ154" s="67">
        <v>0</v>
      </c>
      <c r="BK154" s="67"/>
      <c r="BL154" s="67"/>
      <c r="BP154" s="67"/>
      <c r="BQ154" s="67">
        <v>0</v>
      </c>
      <c r="BR154" s="67"/>
      <c r="BS154" s="67"/>
      <c r="BT154" s="67">
        <v>0</v>
      </c>
      <c r="BU154" s="67"/>
      <c r="BV154" s="67"/>
      <c r="BW154" s="67">
        <v>0</v>
      </c>
      <c r="BX154" s="67">
        <v>0</v>
      </c>
      <c r="BY154" s="67">
        <v>0</v>
      </c>
      <c r="BZ154" s="67">
        <v>0</v>
      </c>
      <c r="CA154" s="67"/>
      <c r="CB154" s="67">
        <v>0</v>
      </c>
      <c r="CC154" s="67"/>
      <c r="CD154" s="67"/>
      <c r="CE154" s="67">
        <v>0</v>
      </c>
      <c r="CF154" s="67">
        <v>0</v>
      </c>
      <c r="CG154" s="67"/>
      <c r="CH154" s="67"/>
      <c r="CI154" s="67"/>
      <c r="CJ154" s="67"/>
      <c r="CK154" s="67">
        <v>0</v>
      </c>
      <c r="CL154" s="67">
        <v>0</v>
      </c>
      <c r="CM154" s="67"/>
      <c r="CN154" s="67"/>
      <c r="CO154" s="67">
        <v>0</v>
      </c>
      <c r="CP154" s="67">
        <v>0</v>
      </c>
      <c r="CQ154" s="67"/>
      <c r="CR154" s="67"/>
      <c r="CS154" s="67"/>
      <c r="CT154" s="67"/>
      <c r="CU154" s="67">
        <v>0</v>
      </c>
      <c r="CV154" s="67"/>
      <c r="CW154" s="67"/>
      <c r="CX154" s="67"/>
      <c r="CY154" s="67">
        <v>0</v>
      </c>
      <c r="CZ154" s="67"/>
      <c r="DA154" s="67"/>
      <c r="DB154" s="67"/>
      <c r="DC154" s="67"/>
      <c r="DF154" s="67"/>
      <c r="DG154" s="67">
        <v>0</v>
      </c>
      <c r="DH154" s="67">
        <v>0</v>
      </c>
      <c r="DI154" s="67">
        <v>0</v>
      </c>
      <c r="DJ154" s="67"/>
      <c r="DK154" s="67">
        <v>0</v>
      </c>
      <c r="DL154" s="67">
        <v>0</v>
      </c>
      <c r="DM154" s="67">
        <v>0</v>
      </c>
      <c r="DN154" s="67"/>
      <c r="DO154" s="67"/>
      <c r="DP154" s="67"/>
      <c r="DQ154" s="67">
        <v>0</v>
      </c>
      <c r="DR154" s="67">
        <v>0</v>
      </c>
      <c r="DS154" s="67"/>
      <c r="DT154" s="67"/>
      <c r="DU154" s="67">
        <v>0</v>
      </c>
      <c r="DV154" s="67">
        <v>0</v>
      </c>
      <c r="DW154" s="67">
        <v>0</v>
      </c>
      <c r="DX154" s="67">
        <v>0</v>
      </c>
      <c r="DY154" s="67"/>
      <c r="DZ154" s="67">
        <v>0</v>
      </c>
      <c r="EA154" s="67"/>
      <c r="EB154" s="67">
        <v>0</v>
      </c>
      <c r="EC154" s="67"/>
      <c r="ED154" s="67">
        <v>0</v>
      </c>
      <c r="EE154" s="67"/>
      <c r="EF154" s="67">
        <v>0</v>
      </c>
      <c r="EG154" s="67"/>
      <c r="EH154" s="67"/>
      <c r="EI154" s="67"/>
      <c r="EJ154" s="67"/>
      <c r="EK154" s="67"/>
      <c r="EL154" s="67"/>
      <c r="EM154" s="67"/>
      <c r="EN154" s="67"/>
      <c r="EO154" s="67"/>
      <c r="EP154" s="67">
        <v>0</v>
      </c>
      <c r="EQ154" s="67">
        <v>0</v>
      </c>
      <c r="ER154" s="67">
        <v>0</v>
      </c>
      <c r="ES154" s="67"/>
      <c r="ET154">
        <v>0</v>
      </c>
      <c r="EX154" s="67"/>
      <c r="EY154" s="67"/>
      <c r="EZ154" s="67"/>
      <c r="FA154" s="67">
        <v>0</v>
      </c>
      <c r="FB154" s="67"/>
      <c r="FC154" s="67"/>
      <c r="FD154" s="67"/>
      <c r="FE154" s="67"/>
      <c r="FF154" s="67"/>
      <c r="FG154" s="67"/>
      <c r="FH154" s="67"/>
      <c r="FI154" s="67" t="s">
        <v>1600</v>
      </c>
    </row>
    <row r="155" spans="2:165" x14ac:dyDescent="0.2">
      <c r="B155" s="67"/>
      <c r="C155" s="67" t="s">
        <v>1674</v>
      </c>
      <c r="D155" s="67" t="s">
        <v>547</v>
      </c>
      <c r="E155" s="67" t="s">
        <v>37</v>
      </c>
      <c r="F155" s="67" t="s">
        <v>1641</v>
      </c>
      <c r="G155" s="67" t="s">
        <v>345</v>
      </c>
      <c r="H155" s="67"/>
      <c r="I155" s="67" t="s">
        <v>41</v>
      </c>
      <c r="J155" s="67" t="s">
        <v>68</v>
      </c>
      <c r="K155" s="67" t="s">
        <v>1672</v>
      </c>
      <c r="L155" s="67" t="s">
        <v>787</v>
      </c>
      <c r="M155" s="67" t="s">
        <v>752</v>
      </c>
      <c r="N155" s="67" t="s">
        <v>1607</v>
      </c>
      <c r="O155" s="67" t="s">
        <v>1599</v>
      </c>
      <c r="P155" s="67"/>
      <c r="Q155" s="67">
        <v>340</v>
      </c>
      <c r="R155" s="67">
        <v>340</v>
      </c>
      <c r="S155" s="67">
        <v>0</v>
      </c>
      <c r="T155" s="67">
        <v>0</v>
      </c>
      <c r="U155" s="67">
        <v>0</v>
      </c>
      <c r="V155" s="67">
        <v>0</v>
      </c>
      <c r="W155" s="67">
        <v>0</v>
      </c>
      <c r="X155" s="67">
        <v>0</v>
      </c>
      <c r="Y155" s="67">
        <v>0</v>
      </c>
      <c r="Z155" s="67">
        <v>0</v>
      </c>
      <c r="AA155" s="67">
        <v>0</v>
      </c>
      <c r="AB155" s="67">
        <v>0</v>
      </c>
      <c r="AC155" s="67">
        <v>0</v>
      </c>
      <c r="AD155" s="67">
        <v>0</v>
      </c>
      <c r="AE155" s="67">
        <v>0</v>
      </c>
      <c r="AF155" s="67">
        <v>0</v>
      </c>
      <c r="AG155" s="67">
        <v>0</v>
      </c>
      <c r="AH155" s="67">
        <v>0</v>
      </c>
      <c r="AI155" s="67">
        <v>0</v>
      </c>
      <c r="AJ155" s="67">
        <v>0</v>
      </c>
      <c r="AK155" s="67">
        <v>0</v>
      </c>
      <c r="AL155" s="67">
        <v>0</v>
      </c>
      <c r="AM155" s="67">
        <v>0</v>
      </c>
      <c r="AN155" s="67">
        <v>0</v>
      </c>
      <c r="AO155" s="67">
        <v>0</v>
      </c>
      <c r="AP155" s="67">
        <v>0</v>
      </c>
      <c r="AQ155" s="67">
        <v>0</v>
      </c>
      <c r="AR155" s="67">
        <v>0</v>
      </c>
      <c r="AS155" s="67">
        <v>0</v>
      </c>
      <c r="AT155" s="67"/>
      <c r="AU155" s="67"/>
      <c r="AV155" s="67"/>
      <c r="AW155" s="67">
        <v>0</v>
      </c>
      <c r="AX155" s="67">
        <v>0</v>
      </c>
      <c r="AY155" s="67"/>
      <c r="AZ155" s="67"/>
      <c r="BA155" s="67"/>
      <c r="BB155" s="67"/>
      <c r="BC155" s="67"/>
      <c r="BD155" s="67"/>
      <c r="BE155" s="67"/>
      <c r="BG155" s="67"/>
      <c r="BH155" s="67"/>
      <c r="BI155" s="67"/>
      <c r="BJ155" s="67">
        <v>0</v>
      </c>
      <c r="BK155" s="67"/>
      <c r="BL155" s="67"/>
      <c r="BP155" s="67"/>
      <c r="BQ155" s="67">
        <v>0</v>
      </c>
      <c r="BR155" s="67"/>
      <c r="BS155" s="67"/>
      <c r="BT155" s="67">
        <v>0</v>
      </c>
      <c r="BU155" s="67"/>
      <c r="BV155" s="67"/>
      <c r="BW155" s="67">
        <v>0</v>
      </c>
      <c r="BX155" s="67">
        <v>0</v>
      </c>
      <c r="BY155" s="67">
        <v>0</v>
      </c>
      <c r="BZ155" s="67">
        <v>0</v>
      </c>
      <c r="CA155" s="67"/>
      <c r="CB155" s="67">
        <v>0</v>
      </c>
      <c r="CC155" s="67"/>
      <c r="CD155" s="67"/>
      <c r="CE155" s="67">
        <v>0</v>
      </c>
      <c r="CF155" s="67">
        <v>0</v>
      </c>
      <c r="CG155" s="67"/>
      <c r="CH155" s="67"/>
      <c r="CI155" s="67"/>
      <c r="CJ155" s="67"/>
      <c r="CK155" s="67">
        <v>0</v>
      </c>
      <c r="CL155" s="67">
        <v>0</v>
      </c>
      <c r="CM155" s="67"/>
      <c r="CN155" s="67"/>
      <c r="CO155" s="67">
        <v>0</v>
      </c>
      <c r="CP155" s="67">
        <v>0</v>
      </c>
      <c r="CQ155" s="67"/>
      <c r="CR155" s="67"/>
      <c r="CS155" s="67"/>
      <c r="CT155" s="67"/>
      <c r="CU155" s="67">
        <v>0</v>
      </c>
      <c r="CV155" s="67"/>
      <c r="CW155" s="67"/>
      <c r="CX155" s="67"/>
      <c r="CY155" s="67">
        <v>0</v>
      </c>
      <c r="CZ155" s="67"/>
      <c r="DA155" s="67"/>
      <c r="DB155" s="67"/>
      <c r="DC155" s="67"/>
      <c r="DF155" s="67"/>
      <c r="DG155" s="67">
        <v>0</v>
      </c>
      <c r="DH155" s="67">
        <v>0</v>
      </c>
      <c r="DI155" s="67">
        <v>0</v>
      </c>
      <c r="DJ155" s="67"/>
      <c r="DK155" s="67">
        <v>0</v>
      </c>
      <c r="DL155" s="67">
        <v>0</v>
      </c>
      <c r="DM155" s="67">
        <v>0</v>
      </c>
      <c r="DN155" s="67"/>
      <c r="DO155" s="67"/>
      <c r="DP155" s="67"/>
      <c r="DQ155" s="67">
        <v>0</v>
      </c>
      <c r="DR155" s="67">
        <v>0</v>
      </c>
      <c r="DS155" s="67"/>
      <c r="DT155" s="67"/>
      <c r="DU155" s="67">
        <v>0</v>
      </c>
      <c r="DV155" s="67">
        <v>0</v>
      </c>
      <c r="DW155" s="67">
        <v>0</v>
      </c>
      <c r="DX155" s="67">
        <v>0</v>
      </c>
      <c r="DY155" s="67"/>
      <c r="DZ155" s="67">
        <v>0</v>
      </c>
      <c r="EA155" s="67"/>
      <c r="EB155" s="67">
        <v>0</v>
      </c>
      <c r="EC155" s="67"/>
      <c r="ED155" s="67">
        <v>0</v>
      </c>
      <c r="EE155" s="67"/>
      <c r="EF155" s="67">
        <v>0</v>
      </c>
      <c r="EG155" s="67"/>
      <c r="EH155" s="67"/>
      <c r="EI155" s="67"/>
      <c r="EJ155" s="67"/>
      <c r="EK155" s="67"/>
      <c r="EL155" s="67"/>
      <c r="EM155" s="67"/>
      <c r="EN155" s="67"/>
      <c r="EO155" s="67"/>
      <c r="EP155" s="67">
        <v>0</v>
      </c>
      <c r="EQ155" s="67">
        <v>0</v>
      </c>
      <c r="ER155" s="67">
        <v>0</v>
      </c>
      <c r="ES155" s="67"/>
      <c r="ET155">
        <v>0</v>
      </c>
      <c r="EX155" s="67"/>
      <c r="EY155" s="67"/>
      <c r="EZ155" s="67"/>
      <c r="FA155" s="67">
        <v>340</v>
      </c>
      <c r="FB155" s="67"/>
      <c r="FC155" s="67"/>
      <c r="FD155" s="67"/>
      <c r="FE155" s="67"/>
      <c r="FF155" s="67"/>
      <c r="FG155" s="67"/>
      <c r="FH155" s="67"/>
      <c r="FI155" s="67" t="s">
        <v>1600</v>
      </c>
    </row>
    <row r="156" spans="2:165" ht="24" x14ac:dyDescent="0.2">
      <c r="B156" s="67"/>
      <c r="C156" s="67" t="s">
        <v>1675</v>
      </c>
      <c r="D156" s="67" t="s">
        <v>548</v>
      </c>
      <c r="E156" s="67" t="s">
        <v>13</v>
      </c>
      <c r="F156" s="67" t="s">
        <v>898</v>
      </c>
      <c r="G156" s="67" t="s">
        <v>1597</v>
      </c>
      <c r="H156" s="67"/>
      <c r="I156" s="67" t="s">
        <v>41</v>
      </c>
      <c r="J156" s="67" t="s">
        <v>71</v>
      </c>
      <c r="K156" s="67" t="s">
        <v>791</v>
      </c>
      <c r="L156" s="67" t="s">
        <v>779</v>
      </c>
      <c r="M156" s="67" t="s">
        <v>752</v>
      </c>
      <c r="N156" s="67" t="s">
        <v>1607</v>
      </c>
      <c r="O156" s="67" t="s">
        <v>1599</v>
      </c>
      <c r="P156" s="67"/>
      <c r="Q156" s="67">
        <v>0</v>
      </c>
      <c r="R156" s="67">
        <v>0</v>
      </c>
      <c r="S156" s="67">
        <v>0</v>
      </c>
      <c r="T156" s="67">
        <v>0</v>
      </c>
      <c r="U156" s="67">
        <v>0</v>
      </c>
      <c r="V156" s="67">
        <v>0</v>
      </c>
      <c r="W156" s="67">
        <v>0</v>
      </c>
      <c r="X156" s="67">
        <v>0</v>
      </c>
      <c r="Y156" s="67">
        <v>0</v>
      </c>
      <c r="Z156" s="67">
        <v>0</v>
      </c>
      <c r="AA156" s="67">
        <v>0</v>
      </c>
      <c r="AB156" s="67">
        <v>0</v>
      </c>
      <c r="AC156" s="67">
        <v>0</v>
      </c>
      <c r="AD156" s="67">
        <v>0</v>
      </c>
      <c r="AE156" s="67">
        <v>0</v>
      </c>
      <c r="AF156" s="67">
        <v>0</v>
      </c>
      <c r="AG156" s="67">
        <v>0</v>
      </c>
      <c r="AH156" s="67">
        <v>0</v>
      </c>
      <c r="AI156" s="67">
        <v>0</v>
      </c>
      <c r="AJ156" s="67">
        <v>0</v>
      </c>
      <c r="AK156" s="67">
        <v>0</v>
      </c>
      <c r="AL156" s="67">
        <v>0</v>
      </c>
      <c r="AM156" s="67">
        <v>0</v>
      </c>
      <c r="AN156" s="67">
        <v>0</v>
      </c>
      <c r="AO156" s="67">
        <v>0</v>
      </c>
      <c r="AP156" s="67">
        <v>0</v>
      </c>
      <c r="AQ156" s="67">
        <v>0</v>
      </c>
      <c r="AR156" s="67">
        <v>0</v>
      </c>
      <c r="AS156" s="67">
        <v>0</v>
      </c>
      <c r="AT156" s="67"/>
      <c r="AU156" s="67"/>
      <c r="AV156" s="67"/>
      <c r="AW156" s="67">
        <v>0</v>
      </c>
      <c r="AX156" s="67">
        <v>0</v>
      </c>
      <c r="AY156" s="67"/>
      <c r="AZ156" s="67"/>
      <c r="BA156" s="67"/>
      <c r="BB156" s="67"/>
      <c r="BC156" s="67"/>
      <c r="BD156" s="67"/>
      <c r="BE156" s="67"/>
      <c r="BG156" s="67"/>
      <c r="BH156" s="67"/>
      <c r="BI156" s="67"/>
      <c r="BJ156" s="67">
        <v>0</v>
      </c>
      <c r="BK156" s="67"/>
      <c r="BL156" s="67"/>
      <c r="BP156" s="67"/>
      <c r="BQ156" s="67">
        <v>0</v>
      </c>
      <c r="BR156" s="67"/>
      <c r="BS156" s="67"/>
      <c r="BT156" s="67">
        <v>0</v>
      </c>
      <c r="BU156" s="67"/>
      <c r="BV156" s="67"/>
      <c r="BW156" s="67">
        <v>0</v>
      </c>
      <c r="BX156" s="67">
        <v>0</v>
      </c>
      <c r="BY156" s="67">
        <v>0</v>
      </c>
      <c r="BZ156" s="67">
        <v>0</v>
      </c>
      <c r="CA156" s="67"/>
      <c r="CB156" s="67">
        <v>0</v>
      </c>
      <c r="CC156" s="67"/>
      <c r="CD156" s="67"/>
      <c r="CE156" s="67">
        <v>0</v>
      </c>
      <c r="CF156" s="67">
        <v>0</v>
      </c>
      <c r="CG156" s="67"/>
      <c r="CH156" s="67"/>
      <c r="CI156" s="67"/>
      <c r="CJ156" s="67"/>
      <c r="CK156" s="67">
        <v>0</v>
      </c>
      <c r="CL156" s="67">
        <v>0</v>
      </c>
      <c r="CM156" s="67"/>
      <c r="CN156" s="67"/>
      <c r="CO156" s="67">
        <v>0</v>
      </c>
      <c r="CP156" s="67">
        <v>0</v>
      </c>
      <c r="CQ156" s="67"/>
      <c r="CR156" s="67"/>
      <c r="CS156" s="67"/>
      <c r="CT156" s="67"/>
      <c r="CU156" s="67">
        <v>0</v>
      </c>
      <c r="CV156" s="67"/>
      <c r="CW156" s="67"/>
      <c r="CX156" s="67"/>
      <c r="CY156" s="67">
        <v>0</v>
      </c>
      <c r="CZ156" s="67"/>
      <c r="DA156" s="67"/>
      <c r="DB156" s="67"/>
      <c r="DC156" s="67"/>
      <c r="DF156" s="67"/>
      <c r="DG156" s="67">
        <v>0</v>
      </c>
      <c r="DH156" s="67">
        <v>0</v>
      </c>
      <c r="DI156" s="67">
        <v>0</v>
      </c>
      <c r="DJ156" s="67"/>
      <c r="DK156" s="67">
        <v>0</v>
      </c>
      <c r="DL156" s="67">
        <v>0</v>
      </c>
      <c r="DM156" s="67">
        <v>0</v>
      </c>
      <c r="DN156" s="67"/>
      <c r="DO156" s="67"/>
      <c r="DP156" s="67"/>
      <c r="DQ156" s="67">
        <v>0</v>
      </c>
      <c r="DR156" s="67">
        <v>0</v>
      </c>
      <c r="DS156" s="67"/>
      <c r="DT156" s="67"/>
      <c r="DU156" s="67">
        <v>0</v>
      </c>
      <c r="DV156" s="67">
        <v>0</v>
      </c>
      <c r="DW156" s="67">
        <v>0</v>
      </c>
      <c r="DX156" s="67">
        <v>0</v>
      </c>
      <c r="DY156" s="67"/>
      <c r="DZ156" s="67">
        <v>0</v>
      </c>
      <c r="EA156" s="67"/>
      <c r="EB156" s="67">
        <v>0</v>
      </c>
      <c r="EC156" s="67"/>
      <c r="ED156" s="67">
        <v>0</v>
      </c>
      <c r="EE156" s="67"/>
      <c r="EF156" s="67">
        <v>0</v>
      </c>
      <c r="EG156" s="67"/>
      <c r="EH156" s="67"/>
      <c r="EI156" s="67"/>
      <c r="EJ156" s="67"/>
      <c r="EK156" s="67"/>
      <c r="EL156" s="67"/>
      <c r="EM156" s="67"/>
      <c r="EN156" s="67"/>
      <c r="EO156" s="67"/>
      <c r="EP156" s="67">
        <v>0</v>
      </c>
      <c r="EQ156" s="67">
        <v>0</v>
      </c>
      <c r="ER156" s="67">
        <v>0</v>
      </c>
      <c r="ES156" s="67"/>
      <c r="ET156">
        <v>0</v>
      </c>
      <c r="EX156" s="67"/>
      <c r="EY156" s="67"/>
      <c r="EZ156" s="67"/>
      <c r="FA156" s="67">
        <v>0</v>
      </c>
      <c r="FB156" s="67"/>
      <c r="FC156" s="67"/>
      <c r="FD156" s="67"/>
      <c r="FE156" s="67"/>
      <c r="FF156" s="67"/>
      <c r="FG156" s="67"/>
      <c r="FH156" s="67"/>
      <c r="FI156" s="67" t="s">
        <v>1600</v>
      </c>
    </row>
    <row r="157" spans="2:165" ht="24" x14ac:dyDescent="0.2">
      <c r="B157" s="67" t="s">
        <v>549</v>
      </c>
      <c r="C157" s="67" t="s">
        <v>549</v>
      </c>
      <c r="D157" s="67" t="s">
        <v>550</v>
      </c>
      <c r="E157" s="67" t="s">
        <v>13</v>
      </c>
      <c r="F157" s="67" t="s">
        <v>933</v>
      </c>
      <c r="G157" s="67" t="s">
        <v>1597</v>
      </c>
      <c r="H157" s="67"/>
      <c r="I157" s="67" t="s">
        <v>41</v>
      </c>
      <c r="J157" s="67" t="s">
        <v>64</v>
      </c>
      <c r="K157" s="67" t="s">
        <v>1639</v>
      </c>
      <c r="L157" s="67" t="s">
        <v>934</v>
      </c>
      <c r="M157" s="67" t="s">
        <v>752</v>
      </c>
      <c r="N157" s="67" t="s">
        <v>1601</v>
      </c>
      <c r="O157" s="67" t="s">
        <v>1599</v>
      </c>
      <c r="P157" s="67"/>
      <c r="Q157" s="67">
        <v>110</v>
      </c>
      <c r="R157" s="67">
        <v>0</v>
      </c>
      <c r="S157" s="67">
        <v>0</v>
      </c>
      <c r="T157" s="67">
        <v>0</v>
      </c>
      <c r="U157" s="67">
        <v>0</v>
      </c>
      <c r="V157" s="67">
        <v>0</v>
      </c>
      <c r="W157" s="67">
        <v>0</v>
      </c>
      <c r="X157" s="67">
        <v>0</v>
      </c>
      <c r="Y157" s="67">
        <v>0</v>
      </c>
      <c r="Z157" s="67">
        <v>0</v>
      </c>
      <c r="AA157" s="67">
        <v>0</v>
      </c>
      <c r="AB157" s="67">
        <v>0</v>
      </c>
      <c r="AC157" s="67">
        <v>0</v>
      </c>
      <c r="AD157" s="67">
        <v>0</v>
      </c>
      <c r="AE157" s="67">
        <v>0</v>
      </c>
      <c r="AF157" s="67">
        <v>110</v>
      </c>
      <c r="AG157" s="67">
        <v>0</v>
      </c>
      <c r="AH157" s="67">
        <v>0</v>
      </c>
      <c r="AI157" s="67">
        <v>0</v>
      </c>
      <c r="AJ157" s="67">
        <v>0</v>
      </c>
      <c r="AK157" s="67">
        <v>0</v>
      </c>
      <c r="AL157" s="67">
        <v>0</v>
      </c>
      <c r="AM157" s="67">
        <v>0</v>
      </c>
      <c r="AN157" s="67">
        <v>0</v>
      </c>
      <c r="AO157" s="67">
        <v>0</v>
      </c>
      <c r="AP157" s="67">
        <v>0</v>
      </c>
      <c r="AQ157" s="67">
        <v>0</v>
      </c>
      <c r="AR157" s="67">
        <v>0</v>
      </c>
      <c r="AS157" s="67">
        <v>0</v>
      </c>
      <c r="AT157" s="67"/>
      <c r="AU157" s="67"/>
      <c r="AV157" s="67"/>
      <c r="AW157" s="67">
        <v>0</v>
      </c>
      <c r="AX157" s="67">
        <v>0</v>
      </c>
      <c r="AY157" s="67"/>
      <c r="AZ157" s="67"/>
      <c r="BA157" s="67"/>
      <c r="BB157" s="67"/>
      <c r="BC157" s="67"/>
      <c r="BD157" s="67"/>
      <c r="BE157" s="67"/>
      <c r="BG157" s="67"/>
      <c r="BH157" s="67"/>
      <c r="BI157" s="67"/>
      <c r="BJ157" s="67">
        <v>0</v>
      </c>
      <c r="BK157" s="67"/>
      <c r="BL157" s="67"/>
      <c r="BP157" s="67"/>
      <c r="BQ157" s="67">
        <v>0</v>
      </c>
      <c r="BR157" s="67"/>
      <c r="BS157" s="67"/>
      <c r="BT157" s="67">
        <v>0</v>
      </c>
      <c r="BU157" s="67"/>
      <c r="BV157" s="67"/>
      <c r="BW157" s="67">
        <v>0</v>
      </c>
      <c r="BX157" s="67">
        <v>0</v>
      </c>
      <c r="BY157" s="67">
        <v>0</v>
      </c>
      <c r="BZ157" s="67">
        <v>0</v>
      </c>
      <c r="CA157" s="67"/>
      <c r="CB157" s="67">
        <v>0</v>
      </c>
      <c r="CC157" s="67"/>
      <c r="CD157" s="67"/>
      <c r="CE157" s="67">
        <v>0</v>
      </c>
      <c r="CF157" s="67">
        <v>0</v>
      </c>
      <c r="CG157" s="67"/>
      <c r="CH157" s="67"/>
      <c r="CI157" s="67"/>
      <c r="CJ157" s="67"/>
      <c r="CK157" s="67">
        <v>0</v>
      </c>
      <c r="CL157" s="67">
        <v>0</v>
      </c>
      <c r="CM157" s="67"/>
      <c r="CN157" s="67"/>
      <c r="CO157" s="67">
        <v>0</v>
      </c>
      <c r="CP157" s="67">
        <v>0</v>
      </c>
      <c r="CQ157" s="67"/>
      <c r="CR157" s="67"/>
      <c r="CS157" s="67"/>
      <c r="CT157" s="67"/>
      <c r="CU157" s="67">
        <v>0</v>
      </c>
      <c r="CV157" s="67"/>
      <c r="CW157" s="67"/>
      <c r="CX157" s="67"/>
      <c r="CY157" s="67">
        <v>0</v>
      </c>
      <c r="CZ157" s="67"/>
      <c r="DA157" s="67"/>
      <c r="DB157" s="67"/>
      <c r="DC157" s="67"/>
      <c r="DF157" s="67"/>
      <c r="DG157" s="67">
        <v>0</v>
      </c>
      <c r="DH157" s="67">
        <v>0</v>
      </c>
      <c r="DI157" s="67">
        <v>0</v>
      </c>
      <c r="DJ157" s="67"/>
      <c r="DK157" s="67">
        <v>0</v>
      </c>
      <c r="DL157" s="67">
        <v>0</v>
      </c>
      <c r="DM157" s="67">
        <v>0</v>
      </c>
      <c r="DN157" s="67"/>
      <c r="DO157" s="67"/>
      <c r="DP157" s="67"/>
      <c r="DQ157" s="67">
        <v>0</v>
      </c>
      <c r="DR157" s="67">
        <v>0</v>
      </c>
      <c r="DS157" s="67"/>
      <c r="DT157" s="67"/>
      <c r="DU157" s="67">
        <v>0</v>
      </c>
      <c r="DV157" s="67">
        <v>0</v>
      </c>
      <c r="DW157" s="67">
        <v>0</v>
      </c>
      <c r="DX157" s="67">
        <v>0</v>
      </c>
      <c r="DY157" s="67"/>
      <c r="DZ157" s="67">
        <v>0</v>
      </c>
      <c r="EA157" s="67"/>
      <c r="EB157" s="67">
        <v>0</v>
      </c>
      <c r="EC157" s="67"/>
      <c r="ED157" s="67">
        <v>0</v>
      </c>
      <c r="EE157" s="67"/>
      <c r="EF157" s="67">
        <v>0</v>
      </c>
      <c r="EG157" s="67"/>
      <c r="EH157" s="67"/>
      <c r="EI157" s="67"/>
      <c r="EJ157" s="67"/>
      <c r="EK157" s="67"/>
      <c r="EL157" s="67"/>
      <c r="EM157" s="67"/>
      <c r="EN157" s="67"/>
      <c r="EO157" s="67"/>
      <c r="EP157" s="67">
        <v>0</v>
      </c>
      <c r="EQ157" s="67">
        <v>0</v>
      </c>
      <c r="ER157" s="67">
        <v>0</v>
      </c>
      <c r="ES157" s="67"/>
      <c r="ET157">
        <v>0</v>
      </c>
      <c r="EX157" s="67"/>
      <c r="EY157" s="67"/>
      <c r="EZ157" s="67"/>
      <c r="FA157" s="67">
        <v>110</v>
      </c>
      <c r="FB157" s="67"/>
      <c r="FC157" s="67"/>
      <c r="FD157" s="67"/>
      <c r="FE157" s="67"/>
      <c r="FF157" s="67"/>
      <c r="FG157" s="67"/>
      <c r="FH157" s="67"/>
      <c r="FI157" s="67" t="s">
        <v>1600</v>
      </c>
    </row>
    <row r="158" spans="2:165" x14ac:dyDescent="0.2">
      <c r="B158" s="67" t="s">
        <v>551</v>
      </c>
      <c r="C158" s="67" t="s">
        <v>551</v>
      </c>
      <c r="D158" s="67" t="s">
        <v>552</v>
      </c>
      <c r="E158" s="67" t="s">
        <v>35</v>
      </c>
      <c r="F158" s="67" t="s">
        <v>1473</v>
      </c>
      <c r="G158" s="67" t="s">
        <v>1597</v>
      </c>
      <c r="H158" s="67"/>
      <c r="I158" s="67" t="s">
        <v>786</v>
      </c>
      <c r="J158" s="67" t="s">
        <v>95</v>
      </c>
      <c r="K158" s="67" t="s">
        <v>839</v>
      </c>
      <c r="L158" s="67" t="s">
        <v>767</v>
      </c>
      <c r="M158" s="67" t="s">
        <v>752</v>
      </c>
      <c r="N158" s="67" t="s">
        <v>1598</v>
      </c>
      <c r="O158" s="67" t="s">
        <v>1610</v>
      </c>
      <c r="P158" s="67"/>
      <c r="Q158" s="67">
        <v>150</v>
      </c>
      <c r="R158" s="67">
        <v>0</v>
      </c>
      <c r="S158" s="67">
        <v>0</v>
      </c>
      <c r="T158" s="67">
        <v>0</v>
      </c>
      <c r="U158" s="67">
        <v>0</v>
      </c>
      <c r="V158" s="67">
        <v>0</v>
      </c>
      <c r="W158" s="67">
        <v>0</v>
      </c>
      <c r="X158" s="67">
        <v>0</v>
      </c>
      <c r="Y158" s="67">
        <v>0</v>
      </c>
      <c r="Z158" s="67">
        <v>0</v>
      </c>
      <c r="AA158" s="67">
        <v>0</v>
      </c>
      <c r="AB158" s="67">
        <v>0</v>
      </c>
      <c r="AC158" s="67">
        <v>0</v>
      </c>
      <c r="AD158" s="67">
        <v>0</v>
      </c>
      <c r="AE158" s="67">
        <v>0</v>
      </c>
      <c r="AF158" s="67">
        <v>0</v>
      </c>
      <c r="AG158" s="67">
        <v>0</v>
      </c>
      <c r="AH158" s="67">
        <v>0</v>
      </c>
      <c r="AI158" s="67">
        <v>0</v>
      </c>
      <c r="AJ158" s="67">
        <v>50</v>
      </c>
      <c r="AK158" s="67">
        <v>0</v>
      </c>
      <c r="AL158" s="67">
        <v>100</v>
      </c>
      <c r="AM158" s="67">
        <v>0</v>
      </c>
      <c r="AN158" s="67">
        <v>0</v>
      </c>
      <c r="AO158" s="67">
        <v>0</v>
      </c>
      <c r="AP158" s="67">
        <v>0</v>
      </c>
      <c r="AQ158" s="67">
        <v>0</v>
      </c>
      <c r="AR158" s="67">
        <v>0</v>
      </c>
      <c r="AS158" s="67">
        <v>0</v>
      </c>
      <c r="AT158" s="67"/>
      <c r="AU158" s="67"/>
      <c r="AV158" s="67"/>
      <c r="AW158" s="67">
        <v>0</v>
      </c>
      <c r="AX158" s="67">
        <v>0</v>
      </c>
      <c r="AY158" s="67"/>
      <c r="AZ158" s="67"/>
      <c r="BA158" s="67"/>
      <c r="BB158" s="67"/>
      <c r="BC158" s="67"/>
      <c r="BD158" s="67"/>
      <c r="BE158" s="67"/>
      <c r="BG158" s="67"/>
      <c r="BH158" s="67"/>
      <c r="BI158" s="67"/>
      <c r="BJ158" s="67">
        <v>0</v>
      </c>
      <c r="BK158" s="67"/>
      <c r="BL158" s="67"/>
      <c r="BP158" s="67"/>
      <c r="BQ158" s="67">
        <v>0</v>
      </c>
      <c r="BR158" s="67"/>
      <c r="BS158" s="67"/>
      <c r="BT158" s="67">
        <v>0</v>
      </c>
      <c r="BU158" s="67"/>
      <c r="BV158" s="67"/>
      <c r="BW158" s="67">
        <v>0</v>
      </c>
      <c r="BX158" s="67">
        <v>0</v>
      </c>
      <c r="BY158" s="67">
        <v>0</v>
      </c>
      <c r="BZ158" s="67">
        <v>0</v>
      </c>
      <c r="CA158" s="67"/>
      <c r="CB158" s="67">
        <v>0</v>
      </c>
      <c r="CC158" s="67"/>
      <c r="CD158" s="67"/>
      <c r="CE158" s="67">
        <v>0</v>
      </c>
      <c r="CF158" s="67">
        <v>0</v>
      </c>
      <c r="CG158" s="67"/>
      <c r="CH158" s="67"/>
      <c r="CI158" s="67"/>
      <c r="CJ158" s="67"/>
      <c r="CK158" s="67">
        <v>0</v>
      </c>
      <c r="CL158" s="67">
        <v>0</v>
      </c>
      <c r="CM158" s="67"/>
      <c r="CN158" s="67"/>
      <c r="CO158" s="67">
        <v>0</v>
      </c>
      <c r="CP158" s="67">
        <v>0</v>
      </c>
      <c r="CQ158" s="67"/>
      <c r="CR158" s="67"/>
      <c r="CS158" s="67"/>
      <c r="CT158" s="67"/>
      <c r="CU158" s="67">
        <v>0</v>
      </c>
      <c r="CV158" s="67"/>
      <c r="CW158" s="67"/>
      <c r="CX158" s="67"/>
      <c r="CY158" s="67">
        <v>0</v>
      </c>
      <c r="CZ158" s="67"/>
      <c r="DA158" s="67"/>
      <c r="DB158" s="67"/>
      <c r="DC158" s="67"/>
      <c r="DF158" s="67"/>
      <c r="DG158" s="67">
        <v>0</v>
      </c>
      <c r="DH158" s="67">
        <v>0</v>
      </c>
      <c r="DI158" s="67">
        <v>0</v>
      </c>
      <c r="DJ158" s="67"/>
      <c r="DK158" s="67">
        <v>0</v>
      </c>
      <c r="DL158" s="67">
        <v>0</v>
      </c>
      <c r="DM158" s="67">
        <v>0</v>
      </c>
      <c r="DN158" s="67"/>
      <c r="DO158" s="67"/>
      <c r="DP158" s="67"/>
      <c r="DQ158" s="67">
        <v>0</v>
      </c>
      <c r="DR158" s="67">
        <v>0</v>
      </c>
      <c r="DS158" s="67"/>
      <c r="DT158" s="67"/>
      <c r="DU158" s="67">
        <v>0</v>
      </c>
      <c r="DV158" s="67">
        <v>0</v>
      </c>
      <c r="DW158" s="67">
        <v>0</v>
      </c>
      <c r="DX158" s="67">
        <v>0</v>
      </c>
      <c r="DY158" s="67"/>
      <c r="DZ158" s="67">
        <v>0</v>
      </c>
      <c r="EA158" s="67"/>
      <c r="EB158" s="67">
        <v>0</v>
      </c>
      <c r="EC158" s="67"/>
      <c r="ED158" s="67">
        <v>0</v>
      </c>
      <c r="EE158" s="67"/>
      <c r="EF158" s="67">
        <v>0</v>
      </c>
      <c r="EG158" s="67"/>
      <c r="EH158" s="67"/>
      <c r="EI158" s="67"/>
      <c r="EJ158" s="67"/>
      <c r="EK158" s="67"/>
      <c r="EL158" s="67"/>
      <c r="EM158" s="67"/>
      <c r="EN158" s="67"/>
      <c r="EO158" s="67"/>
      <c r="EP158" s="67">
        <v>0</v>
      </c>
      <c r="EQ158" s="67">
        <v>0</v>
      </c>
      <c r="ER158" s="67">
        <v>0</v>
      </c>
      <c r="ES158" s="67"/>
      <c r="ET158">
        <v>0</v>
      </c>
      <c r="EX158" s="67"/>
      <c r="EY158" s="67"/>
      <c r="EZ158" s="67"/>
      <c r="FA158" s="67">
        <v>150</v>
      </c>
      <c r="FB158" s="67"/>
      <c r="FC158" s="67"/>
      <c r="FD158" s="67"/>
      <c r="FE158" s="67"/>
      <c r="FF158" s="67"/>
      <c r="FG158" s="67"/>
      <c r="FH158" s="67"/>
      <c r="FI158" s="67" t="s">
        <v>1600</v>
      </c>
    </row>
    <row r="159" spans="2:165" ht="24" x14ac:dyDescent="0.2">
      <c r="B159" s="67" t="s">
        <v>305</v>
      </c>
      <c r="C159" s="67" t="s">
        <v>1676</v>
      </c>
      <c r="D159" s="67" t="s">
        <v>553</v>
      </c>
      <c r="E159" s="67" t="s">
        <v>13</v>
      </c>
      <c r="F159" s="67" t="s">
        <v>1618</v>
      </c>
      <c r="G159" s="67" t="s">
        <v>1597</v>
      </c>
      <c r="H159" s="67"/>
      <c r="I159" s="67" t="s">
        <v>22</v>
      </c>
      <c r="J159" s="67" t="s">
        <v>71</v>
      </c>
      <c r="K159" s="67" t="s">
        <v>839</v>
      </c>
      <c r="L159" s="67" t="s">
        <v>767</v>
      </c>
      <c r="M159" s="67" t="s">
        <v>752</v>
      </c>
      <c r="N159" s="67" t="s">
        <v>1604</v>
      </c>
      <c r="O159" s="67" t="s">
        <v>1605</v>
      </c>
      <c r="P159" s="67"/>
      <c r="Q159" s="67">
        <v>0</v>
      </c>
      <c r="R159" s="67">
        <v>0</v>
      </c>
      <c r="S159" s="67">
        <v>0</v>
      </c>
      <c r="T159" s="67">
        <v>0</v>
      </c>
      <c r="U159" s="67">
        <v>0</v>
      </c>
      <c r="V159" s="67">
        <v>0</v>
      </c>
      <c r="W159" s="67">
        <v>0</v>
      </c>
      <c r="X159" s="67">
        <v>0</v>
      </c>
      <c r="Y159" s="67">
        <v>0</v>
      </c>
      <c r="Z159" s="67">
        <v>0</v>
      </c>
      <c r="AA159" s="67">
        <v>0</v>
      </c>
      <c r="AB159" s="67">
        <v>0</v>
      </c>
      <c r="AC159" s="67">
        <v>0</v>
      </c>
      <c r="AD159" s="67">
        <v>0</v>
      </c>
      <c r="AE159" s="67">
        <v>0</v>
      </c>
      <c r="AF159" s="67">
        <v>0</v>
      </c>
      <c r="AG159" s="67">
        <v>0</v>
      </c>
      <c r="AH159" s="67">
        <v>0</v>
      </c>
      <c r="AI159" s="67">
        <v>0</v>
      </c>
      <c r="AJ159" s="67">
        <v>0</v>
      </c>
      <c r="AK159" s="67">
        <v>0</v>
      </c>
      <c r="AL159" s="67">
        <v>0</v>
      </c>
      <c r="AM159" s="67">
        <v>0</v>
      </c>
      <c r="AN159" s="67">
        <v>0</v>
      </c>
      <c r="AO159" s="67">
        <v>0</v>
      </c>
      <c r="AP159" s="67">
        <v>0</v>
      </c>
      <c r="AQ159" s="67">
        <v>0</v>
      </c>
      <c r="AR159" s="67">
        <v>0</v>
      </c>
      <c r="AS159" s="67">
        <v>0</v>
      </c>
      <c r="AT159" s="67"/>
      <c r="AU159" s="67"/>
      <c r="AV159" s="67"/>
      <c r="AW159" s="67">
        <v>0</v>
      </c>
      <c r="AX159" s="67">
        <v>0</v>
      </c>
      <c r="AY159" s="67"/>
      <c r="AZ159" s="67"/>
      <c r="BA159" s="67"/>
      <c r="BB159" s="67"/>
      <c r="BC159" s="67"/>
      <c r="BD159" s="67"/>
      <c r="BE159" s="67"/>
      <c r="BG159" s="67"/>
      <c r="BH159" s="67"/>
      <c r="BI159" s="67"/>
      <c r="BJ159" s="67">
        <v>0</v>
      </c>
      <c r="BK159" s="67"/>
      <c r="BL159" s="67"/>
      <c r="BP159" s="67"/>
      <c r="BQ159" s="67">
        <v>0</v>
      </c>
      <c r="BR159" s="67"/>
      <c r="BS159" s="67"/>
      <c r="BT159" s="67">
        <v>0</v>
      </c>
      <c r="BU159" s="67"/>
      <c r="BV159" s="67"/>
      <c r="BW159" s="67">
        <v>0</v>
      </c>
      <c r="BX159" s="67">
        <v>0</v>
      </c>
      <c r="BY159" s="67">
        <v>0</v>
      </c>
      <c r="BZ159" s="67">
        <v>0</v>
      </c>
      <c r="CA159" s="67"/>
      <c r="CB159" s="67">
        <v>0</v>
      </c>
      <c r="CC159" s="67"/>
      <c r="CD159" s="67"/>
      <c r="CE159" s="67">
        <v>0</v>
      </c>
      <c r="CF159" s="67">
        <v>0</v>
      </c>
      <c r="CG159" s="67"/>
      <c r="CH159" s="67"/>
      <c r="CI159" s="67"/>
      <c r="CJ159" s="67"/>
      <c r="CK159" s="67">
        <v>0</v>
      </c>
      <c r="CL159" s="67">
        <v>0</v>
      </c>
      <c r="CM159" s="67"/>
      <c r="CN159" s="67"/>
      <c r="CO159" s="67">
        <v>0</v>
      </c>
      <c r="CP159" s="67">
        <v>0</v>
      </c>
      <c r="CQ159" s="67"/>
      <c r="CR159" s="67"/>
      <c r="CS159" s="67"/>
      <c r="CT159" s="67"/>
      <c r="CU159" s="67">
        <v>0</v>
      </c>
      <c r="CV159" s="67"/>
      <c r="CW159" s="67"/>
      <c r="CX159" s="67"/>
      <c r="CY159" s="67">
        <v>0</v>
      </c>
      <c r="CZ159" s="67"/>
      <c r="DA159" s="67"/>
      <c r="DB159" s="67"/>
      <c r="DC159" s="67"/>
      <c r="DF159" s="67"/>
      <c r="DG159" s="67">
        <v>0</v>
      </c>
      <c r="DH159" s="67">
        <v>0</v>
      </c>
      <c r="DI159" s="67">
        <v>0</v>
      </c>
      <c r="DJ159" s="67"/>
      <c r="DK159" s="67">
        <v>0</v>
      </c>
      <c r="DL159" s="67">
        <v>0</v>
      </c>
      <c r="DM159" s="67">
        <v>0</v>
      </c>
      <c r="DN159" s="67"/>
      <c r="DO159" s="67"/>
      <c r="DP159" s="67"/>
      <c r="DQ159" s="67">
        <v>0</v>
      </c>
      <c r="DR159" s="67">
        <v>0</v>
      </c>
      <c r="DS159" s="67"/>
      <c r="DT159" s="67"/>
      <c r="DU159" s="67">
        <v>0</v>
      </c>
      <c r="DV159" s="67">
        <v>0</v>
      </c>
      <c r="DW159" s="67">
        <v>0</v>
      </c>
      <c r="DX159" s="67">
        <v>0</v>
      </c>
      <c r="DY159" s="67"/>
      <c r="DZ159" s="67">
        <v>0</v>
      </c>
      <c r="EA159" s="67"/>
      <c r="EB159" s="67">
        <v>0</v>
      </c>
      <c r="EC159" s="67"/>
      <c r="ED159" s="67">
        <v>0</v>
      </c>
      <c r="EE159" s="67"/>
      <c r="EF159" s="67">
        <v>0</v>
      </c>
      <c r="EG159" s="67"/>
      <c r="EH159" s="67"/>
      <c r="EI159" s="67"/>
      <c r="EJ159" s="67"/>
      <c r="EK159" s="67"/>
      <c r="EL159" s="67"/>
      <c r="EM159" s="67"/>
      <c r="EN159" s="67"/>
      <c r="EO159" s="67"/>
      <c r="EP159" s="67">
        <v>0</v>
      </c>
      <c r="EQ159" s="67">
        <v>0</v>
      </c>
      <c r="ER159" s="67">
        <v>0</v>
      </c>
      <c r="ES159" s="67"/>
      <c r="ET159">
        <v>0</v>
      </c>
      <c r="EX159" s="67"/>
      <c r="EY159" s="67"/>
      <c r="EZ159" s="67"/>
      <c r="FA159" s="67">
        <v>0</v>
      </c>
      <c r="FB159" s="67"/>
      <c r="FC159" s="67"/>
      <c r="FD159" s="67"/>
      <c r="FE159" s="67"/>
      <c r="FF159" s="67"/>
      <c r="FG159" s="67"/>
      <c r="FH159" s="67"/>
      <c r="FI159" s="67" t="s">
        <v>1600</v>
      </c>
    </row>
    <row r="160" spans="2:165" x14ac:dyDescent="0.2">
      <c r="B160" s="67" t="s">
        <v>554</v>
      </c>
      <c r="C160" s="67" t="s">
        <v>554</v>
      </c>
      <c r="D160" s="67" t="s">
        <v>555</v>
      </c>
      <c r="E160" s="67" t="s">
        <v>23</v>
      </c>
      <c r="F160" s="67" t="s">
        <v>1618</v>
      </c>
      <c r="G160" s="67" t="s">
        <v>1597</v>
      </c>
      <c r="H160" s="67"/>
      <c r="I160" s="67" t="s">
        <v>43</v>
      </c>
      <c r="J160" s="67" t="s">
        <v>71</v>
      </c>
      <c r="K160" s="67" t="s">
        <v>839</v>
      </c>
      <c r="L160" s="67" t="s">
        <v>767</v>
      </c>
      <c r="M160" s="67" t="s">
        <v>752</v>
      </c>
      <c r="N160" s="67" t="s">
        <v>1598</v>
      </c>
      <c r="O160" s="67" t="s">
        <v>1599</v>
      </c>
      <c r="P160" s="67"/>
      <c r="Q160" s="67">
        <v>150</v>
      </c>
      <c r="R160" s="67">
        <v>0</v>
      </c>
      <c r="S160" s="67">
        <v>0</v>
      </c>
      <c r="T160" s="67">
        <v>0</v>
      </c>
      <c r="U160" s="67">
        <v>0</v>
      </c>
      <c r="V160" s="67">
        <v>0</v>
      </c>
      <c r="W160" s="67">
        <v>0</v>
      </c>
      <c r="X160" s="67">
        <v>0</v>
      </c>
      <c r="Y160" s="67">
        <v>0</v>
      </c>
      <c r="Z160" s="67">
        <v>0</v>
      </c>
      <c r="AA160" s="67">
        <v>0</v>
      </c>
      <c r="AB160" s="67">
        <v>0</v>
      </c>
      <c r="AC160" s="67">
        <v>0</v>
      </c>
      <c r="AD160" s="67">
        <v>0</v>
      </c>
      <c r="AE160" s="67">
        <v>0</v>
      </c>
      <c r="AF160" s="67">
        <v>0</v>
      </c>
      <c r="AG160" s="67">
        <v>0</v>
      </c>
      <c r="AH160" s="67">
        <v>0</v>
      </c>
      <c r="AI160" s="67">
        <v>0</v>
      </c>
      <c r="AJ160" s="67">
        <v>150</v>
      </c>
      <c r="AK160" s="67">
        <v>0</v>
      </c>
      <c r="AL160" s="67">
        <v>0</v>
      </c>
      <c r="AM160" s="67">
        <v>0</v>
      </c>
      <c r="AN160" s="67">
        <v>0</v>
      </c>
      <c r="AO160" s="67">
        <v>0</v>
      </c>
      <c r="AP160" s="67">
        <v>0</v>
      </c>
      <c r="AQ160" s="67">
        <v>0</v>
      </c>
      <c r="AR160" s="67">
        <v>0</v>
      </c>
      <c r="AS160" s="67">
        <v>0</v>
      </c>
      <c r="AT160" s="67"/>
      <c r="AU160" s="67"/>
      <c r="AV160" s="67"/>
      <c r="AW160" s="67">
        <v>0</v>
      </c>
      <c r="AX160" s="67">
        <v>0</v>
      </c>
      <c r="AY160" s="67"/>
      <c r="AZ160" s="67"/>
      <c r="BA160" s="67"/>
      <c r="BB160" s="67"/>
      <c r="BC160" s="67"/>
      <c r="BD160" s="67"/>
      <c r="BE160" s="67"/>
      <c r="BG160" s="67"/>
      <c r="BH160" s="67"/>
      <c r="BI160" s="67"/>
      <c r="BJ160" s="67">
        <v>0</v>
      </c>
      <c r="BK160" s="67"/>
      <c r="BL160" s="67"/>
      <c r="BP160" s="67"/>
      <c r="BQ160" s="67">
        <v>0</v>
      </c>
      <c r="BR160" s="67"/>
      <c r="BS160" s="67"/>
      <c r="BT160" s="67">
        <v>0</v>
      </c>
      <c r="BU160" s="67"/>
      <c r="BV160" s="67"/>
      <c r="BW160" s="67">
        <v>0</v>
      </c>
      <c r="BX160" s="67">
        <v>0</v>
      </c>
      <c r="BY160" s="67">
        <v>0</v>
      </c>
      <c r="BZ160" s="67">
        <v>0</v>
      </c>
      <c r="CA160" s="67"/>
      <c r="CB160" s="67">
        <v>0</v>
      </c>
      <c r="CC160" s="67"/>
      <c r="CD160" s="67"/>
      <c r="CE160" s="67">
        <v>0</v>
      </c>
      <c r="CF160" s="67">
        <v>0</v>
      </c>
      <c r="CG160" s="67"/>
      <c r="CH160" s="67"/>
      <c r="CI160" s="67"/>
      <c r="CJ160" s="67"/>
      <c r="CK160" s="67">
        <v>0</v>
      </c>
      <c r="CL160" s="67">
        <v>0</v>
      </c>
      <c r="CM160" s="67"/>
      <c r="CN160" s="67"/>
      <c r="CO160" s="67">
        <v>0</v>
      </c>
      <c r="CP160" s="67">
        <v>0</v>
      </c>
      <c r="CQ160" s="67"/>
      <c r="CR160" s="67"/>
      <c r="CS160" s="67"/>
      <c r="CT160" s="67"/>
      <c r="CU160" s="67">
        <v>0</v>
      </c>
      <c r="CV160" s="67"/>
      <c r="CW160" s="67"/>
      <c r="CX160" s="67"/>
      <c r="CY160" s="67">
        <v>0</v>
      </c>
      <c r="CZ160" s="67"/>
      <c r="DA160" s="67"/>
      <c r="DB160" s="67"/>
      <c r="DC160" s="67"/>
      <c r="DF160" s="67"/>
      <c r="DG160" s="67">
        <v>50</v>
      </c>
      <c r="DH160" s="67">
        <v>50</v>
      </c>
      <c r="DI160" s="67">
        <v>0</v>
      </c>
      <c r="DJ160" s="67"/>
      <c r="DK160" s="67">
        <v>0</v>
      </c>
      <c r="DL160" s="67">
        <v>0</v>
      </c>
      <c r="DM160" s="67">
        <v>0</v>
      </c>
      <c r="DN160" s="67"/>
      <c r="DO160" s="67"/>
      <c r="DP160" s="67"/>
      <c r="DQ160" s="67">
        <v>0</v>
      </c>
      <c r="DR160" s="67">
        <v>0</v>
      </c>
      <c r="DS160" s="67"/>
      <c r="DT160" s="67"/>
      <c r="DU160" s="67">
        <v>0</v>
      </c>
      <c r="DV160" s="67">
        <v>0</v>
      </c>
      <c r="DW160" s="67">
        <v>0</v>
      </c>
      <c r="DX160" s="67">
        <v>0</v>
      </c>
      <c r="DY160" s="67"/>
      <c r="DZ160" s="67">
        <v>0</v>
      </c>
      <c r="EA160" s="67"/>
      <c r="EB160" s="67">
        <v>0</v>
      </c>
      <c r="EC160" s="67"/>
      <c r="ED160" s="67">
        <v>0</v>
      </c>
      <c r="EE160" s="67"/>
      <c r="EF160" s="67">
        <v>0</v>
      </c>
      <c r="EG160" s="67"/>
      <c r="EH160" s="67"/>
      <c r="EI160" s="67"/>
      <c r="EJ160" s="67"/>
      <c r="EK160" s="67"/>
      <c r="EL160" s="67"/>
      <c r="EM160" s="67"/>
      <c r="EN160" s="67"/>
      <c r="EO160" s="67"/>
      <c r="EP160" s="67">
        <v>0</v>
      </c>
      <c r="EQ160" s="67">
        <v>0</v>
      </c>
      <c r="ER160" s="67">
        <v>0</v>
      </c>
      <c r="ES160" s="67"/>
      <c r="ET160">
        <v>0</v>
      </c>
      <c r="EX160" s="67"/>
      <c r="EY160" s="67"/>
      <c r="EZ160" s="67"/>
      <c r="FA160" s="67">
        <v>200</v>
      </c>
      <c r="FB160" s="67"/>
      <c r="FC160" s="67"/>
      <c r="FD160" s="67"/>
      <c r="FE160" s="67"/>
      <c r="FF160" s="67"/>
      <c r="FG160" s="67"/>
      <c r="FH160" s="67"/>
      <c r="FI160" s="67" t="s">
        <v>1600</v>
      </c>
    </row>
    <row r="161" spans="2:165" ht="24" x14ac:dyDescent="0.2">
      <c r="B161" s="67"/>
      <c r="C161" s="67" t="s">
        <v>1677</v>
      </c>
      <c r="D161" s="67" t="s">
        <v>556</v>
      </c>
      <c r="E161" s="67" t="s">
        <v>13</v>
      </c>
      <c r="F161" s="67" t="s">
        <v>750</v>
      </c>
      <c r="G161" s="67" t="s">
        <v>345</v>
      </c>
      <c r="H161" s="67"/>
      <c r="I161" s="67" t="s">
        <v>22</v>
      </c>
      <c r="J161" s="67" t="s">
        <v>64</v>
      </c>
      <c r="K161" s="67" t="s">
        <v>1617</v>
      </c>
      <c r="L161" s="67" t="s">
        <v>787</v>
      </c>
      <c r="M161" s="67" t="s">
        <v>1615</v>
      </c>
      <c r="N161" s="67" t="s">
        <v>1598</v>
      </c>
      <c r="O161" s="67" t="s">
        <v>1599</v>
      </c>
      <c r="P161" s="67" t="s">
        <v>346</v>
      </c>
      <c r="Q161" s="67">
        <v>1612</v>
      </c>
      <c r="R161" s="67">
        <v>0</v>
      </c>
      <c r="S161" s="67">
        <v>0</v>
      </c>
      <c r="T161" s="67">
        <v>1220</v>
      </c>
      <c r="U161" s="67">
        <v>0</v>
      </c>
      <c r="V161" s="67">
        <v>0</v>
      </c>
      <c r="W161" s="67">
        <v>0</v>
      </c>
      <c r="X161" s="67">
        <v>0</v>
      </c>
      <c r="Y161" s="67">
        <v>0</v>
      </c>
      <c r="Z161" s="67">
        <v>0</v>
      </c>
      <c r="AA161" s="67">
        <v>0</v>
      </c>
      <c r="AB161" s="67">
        <v>0</v>
      </c>
      <c r="AC161" s="67">
        <v>0</v>
      </c>
      <c r="AD161" s="67">
        <v>0</v>
      </c>
      <c r="AE161" s="67">
        <v>0</v>
      </c>
      <c r="AF161" s="67">
        <v>0</v>
      </c>
      <c r="AG161" s="67">
        <v>0</v>
      </c>
      <c r="AH161" s="67">
        <v>0</v>
      </c>
      <c r="AI161" s="67">
        <v>0</v>
      </c>
      <c r="AJ161" s="67">
        <v>0</v>
      </c>
      <c r="AK161" s="67">
        <v>0</v>
      </c>
      <c r="AL161" s="67">
        <v>0</v>
      </c>
      <c r="AM161" s="67">
        <v>0</v>
      </c>
      <c r="AN161" s="67">
        <v>392</v>
      </c>
      <c r="AO161" s="67">
        <v>0</v>
      </c>
      <c r="AP161" s="67">
        <v>0</v>
      </c>
      <c r="AQ161" s="67">
        <v>0</v>
      </c>
      <c r="AR161" s="67">
        <v>320</v>
      </c>
      <c r="AS161" s="67">
        <v>320</v>
      </c>
      <c r="AT161" s="67"/>
      <c r="AU161" s="67"/>
      <c r="AV161" s="67"/>
      <c r="AW161" s="67">
        <v>150</v>
      </c>
      <c r="AX161" s="67">
        <v>150</v>
      </c>
      <c r="AY161" s="67"/>
      <c r="AZ161" s="67"/>
      <c r="BA161" s="67"/>
      <c r="BB161" s="67"/>
      <c r="BC161" s="67"/>
      <c r="BD161" s="67"/>
      <c r="BE161" s="67"/>
      <c r="BG161" s="67"/>
      <c r="BH161" s="67"/>
      <c r="BI161" s="67"/>
      <c r="BJ161" s="67">
        <v>0</v>
      </c>
      <c r="BK161" s="67"/>
      <c r="BL161" s="67"/>
      <c r="BP161" s="67"/>
      <c r="BQ161" s="67">
        <v>0</v>
      </c>
      <c r="BR161" s="67"/>
      <c r="BS161" s="67"/>
      <c r="BT161" s="67">
        <v>0</v>
      </c>
      <c r="BU161" s="67"/>
      <c r="BV161" s="67"/>
      <c r="BW161" s="67">
        <v>0</v>
      </c>
      <c r="BX161" s="67">
        <v>0</v>
      </c>
      <c r="BY161" s="67">
        <v>0</v>
      </c>
      <c r="BZ161" s="67">
        <v>0</v>
      </c>
      <c r="CA161" s="67"/>
      <c r="CB161" s="67">
        <v>0</v>
      </c>
      <c r="CC161" s="67"/>
      <c r="CD161" s="67"/>
      <c r="CE161" s="67">
        <v>0</v>
      </c>
      <c r="CF161" s="67">
        <v>0</v>
      </c>
      <c r="CG161" s="67"/>
      <c r="CH161" s="67"/>
      <c r="CI161" s="67"/>
      <c r="CJ161" s="67"/>
      <c r="CK161" s="67">
        <v>0</v>
      </c>
      <c r="CL161" s="67">
        <v>0</v>
      </c>
      <c r="CM161" s="67"/>
      <c r="CN161" s="67"/>
      <c r="CO161" s="67">
        <v>0</v>
      </c>
      <c r="CP161" s="67">
        <v>0</v>
      </c>
      <c r="CQ161" s="67"/>
      <c r="CR161" s="67"/>
      <c r="CS161" s="67"/>
      <c r="CT161" s="67"/>
      <c r="CU161" s="67">
        <v>0</v>
      </c>
      <c r="CV161" s="67"/>
      <c r="CW161" s="67"/>
      <c r="CX161" s="67"/>
      <c r="CY161" s="67">
        <v>0</v>
      </c>
      <c r="CZ161" s="67"/>
      <c r="DA161" s="67"/>
      <c r="DB161" s="67"/>
      <c r="DC161" s="67"/>
      <c r="DF161" s="67"/>
      <c r="DG161" s="67">
        <v>50</v>
      </c>
      <c r="DH161" s="67">
        <v>50</v>
      </c>
      <c r="DI161" s="67">
        <v>0</v>
      </c>
      <c r="DJ161" s="67"/>
      <c r="DK161" s="67">
        <v>0</v>
      </c>
      <c r="DL161" s="67">
        <v>0</v>
      </c>
      <c r="DM161" s="67">
        <v>0</v>
      </c>
      <c r="DN161" s="67"/>
      <c r="DO161" s="67"/>
      <c r="DP161" s="67"/>
      <c r="DQ161" s="67">
        <v>0</v>
      </c>
      <c r="DR161" s="67">
        <v>0</v>
      </c>
      <c r="DS161" s="67"/>
      <c r="DT161" s="67"/>
      <c r="DU161" s="67">
        <v>0</v>
      </c>
      <c r="DV161" s="67">
        <v>0</v>
      </c>
      <c r="DW161" s="67">
        <v>0</v>
      </c>
      <c r="DX161" s="67">
        <v>0</v>
      </c>
      <c r="DY161" s="67"/>
      <c r="DZ161" s="67">
        <v>0</v>
      </c>
      <c r="EA161" s="67"/>
      <c r="EB161" s="67">
        <v>0</v>
      </c>
      <c r="EC161" s="67"/>
      <c r="ED161" s="67">
        <v>0</v>
      </c>
      <c r="EE161" s="67"/>
      <c r="EF161" s="67">
        <v>0</v>
      </c>
      <c r="EG161" s="67"/>
      <c r="EH161" s="67"/>
      <c r="EI161" s="67"/>
      <c r="EJ161" s="67"/>
      <c r="EK161" s="67"/>
      <c r="EL161" s="67"/>
      <c r="EM161" s="67"/>
      <c r="EN161" s="67"/>
      <c r="EO161" s="67"/>
      <c r="EP161" s="67">
        <v>0</v>
      </c>
      <c r="EQ161" s="67">
        <v>0</v>
      </c>
      <c r="ER161" s="67">
        <v>0</v>
      </c>
      <c r="ES161" s="67"/>
      <c r="ET161">
        <v>0</v>
      </c>
      <c r="EX161" s="67"/>
      <c r="EY161" s="67"/>
      <c r="EZ161" s="67"/>
      <c r="FA161" s="67">
        <v>2132</v>
      </c>
      <c r="FB161" s="67"/>
      <c r="FC161" s="67"/>
      <c r="FD161" s="67"/>
      <c r="FE161" s="67"/>
      <c r="FF161" s="67"/>
      <c r="FG161" s="67"/>
      <c r="FH161" s="67"/>
      <c r="FI161" s="67" t="s">
        <v>1600</v>
      </c>
    </row>
    <row r="162" spans="2:165" ht="24" x14ac:dyDescent="0.2">
      <c r="B162" s="67"/>
      <c r="C162" s="67" t="s">
        <v>1678</v>
      </c>
      <c r="D162" s="67" t="s">
        <v>557</v>
      </c>
      <c r="E162" s="67" t="s">
        <v>13</v>
      </c>
      <c r="F162" s="67" t="s">
        <v>1284</v>
      </c>
      <c r="G162" s="67" t="s">
        <v>1614</v>
      </c>
      <c r="H162" s="67"/>
      <c r="I162" s="67" t="s">
        <v>22</v>
      </c>
      <c r="J162" s="67" t="s">
        <v>64</v>
      </c>
      <c r="K162" s="67" t="s">
        <v>1617</v>
      </c>
      <c r="L162" s="67" t="s">
        <v>787</v>
      </c>
      <c r="M162" s="67" t="s">
        <v>1615</v>
      </c>
      <c r="N162" s="67" t="s">
        <v>1598</v>
      </c>
      <c r="O162" s="67" t="s">
        <v>1610</v>
      </c>
      <c r="P162" s="67"/>
      <c r="Q162" s="67">
        <v>0</v>
      </c>
      <c r="R162" s="67">
        <v>0</v>
      </c>
      <c r="S162" s="67">
        <v>0</v>
      </c>
      <c r="T162" s="67">
        <v>0</v>
      </c>
      <c r="U162" s="67">
        <v>0</v>
      </c>
      <c r="V162" s="67">
        <v>0</v>
      </c>
      <c r="W162" s="67">
        <v>0</v>
      </c>
      <c r="X162" s="67">
        <v>0</v>
      </c>
      <c r="Y162" s="67">
        <v>0</v>
      </c>
      <c r="Z162" s="67">
        <v>0</v>
      </c>
      <c r="AA162" s="67">
        <v>0</v>
      </c>
      <c r="AB162" s="67">
        <v>0</v>
      </c>
      <c r="AC162" s="67">
        <v>0</v>
      </c>
      <c r="AD162" s="67">
        <v>0</v>
      </c>
      <c r="AE162" s="67">
        <v>0</v>
      </c>
      <c r="AF162" s="67">
        <v>0</v>
      </c>
      <c r="AG162" s="67">
        <v>0</v>
      </c>
      <c r="AH162" s="67">
        <v>0</v>
      </c>
      <c r="AI162" s="67">
        <v>0</v>
      </c>
      <c r="AJ162" s="67">
        <v>0</v>
      </c>
      <c r="AK162" s="67">
        <v>0</v>
      </c>
      <c r="AL162" s="67">
        <v>0</v>
      </c>
      <c r="AM162" s="67">
        <v>0</v>
      </c>
      <c r="AN162" s="67">
        <v>0</v>
      </c>
      <c r="AO162" s="67">
        <v>0</v>
      </c>
      <c r="AP162" s="67">
        <v>0</v>
      </c>
      <c r="AQ162" s="67">
        <v>0</v>
      </c>
      <c r="AR162" s="67">
        <v>0</v>
      </c>
      <c r="AS162" s="67">
        <v>0</v>
      </c>
      <c r="AT162" s="67"/>
      <c r="AU162" s="67"/>
      <c r="AV162" s="67"/>
      <c r="AW162" s="67">
        <v>0</v>
      </c>
      <c r="AX162" s="67">
        <v>0</v>
      </c>
      <c r="AY162" s="67"/>
      <c r="AZ162" s="67"/>
      <c r="BA162" s="67"/>
      <c r="BB162" s="67"/>
      <c r="BC162" s="67"/>
      <c r="BD162" s="67"/>
      <c r="BE162" s="67"/>
      <c r="BG162" s="67"/>
      <c r="BH162" s="67"/>
      <c r="BI162" s="67"/>
      <c r="BJ162" s="67">
        <v>0</v>
      </c>
      <c r="BK162" s="67"/>
      <c r="BL162" s="67"/>
      <c r="BP162" s="67"/>
      <c r="BQ162" s="67">
        <v>0</v>
      </c>
      <c r="BR162" s="67"/>
      <c r="BS162" s="67"/>
      <c r="BT162" s="67">
        <v>0</v>
      </c>
      <c r="BU162" s="67"/>
      <c r="BV162" s="67"/>
      <c r="BW162" s="67">
        <v>0</v>
      </c>
      <c r="BX162" s="67">
        <v>0</v>
      </c>
      <c r="BY162" s="67">
        <v>0</v>
      </c>
      <c r="BZ162" s="67">
        <v>0</v>
      </c>
      <c r="CA162" s="67"/>
      <c r="CB162" s="67">
        <v>0</v>
      </c>
      <c r="CC162" s="67"/>
      <c r="CD162" s="67"/>
      <c r="CE162" s="67">
        <v>0</v>
      </c>
      <c r="CF162" s="67">
        <v>0</v>
      </c>
      <c r="CG162" s="67"/>
      <c r="CH162" s="67"/>
      <c r="CI162" s="67"/>
      <c r="CJ162" s="67"/>
      <c r="CK162" s="67">
        <v>0</v>
      </c>
      <c r="CL162" s="67">
        <v>0</v>
      </c>
      <c r="CM162" s="67"/>
      <c r="CN162" s="67"/>
      <c r="CO162" s="67">
        <v>0</v>
      </c>
      <c r="CP162" s="67">
        <v>0</v>
      </c>
      <c r="CQ162" s="67"/>
      <c r="CR162" s="67"/>
      <c r="CS162" s="67"/>
      <c r="CT162" s="67"/>
      <c r="CU162" s="67">
        <v>0</v>
      </c>
      <c r="CV162" s="67"/>
      <c r="CW162" s="67"/>
      <c r="CX162" s="67"/>
      <c r="CY162" s="67">
        <v>0</v>
      </c>
      <c r="CZ162" s="67"/>
      <c r="DA162" s="67"/>
      <c r="DB162" s="67"/>
      <c r="DC162" s="67"/>
      <c r="DF162" s="67"/>
      <c r="DG162" s="67">
        <v>0</v>
      </c>
      <c r="DH162" s="67">
        <v>0</v>
      </c>
      <c r="DI162" s="67">
        <v>0</v>
      </c>
      <c r="DJ162" s="67"/>
      <c r="DK162" s="67">
        <v>0</v>
      </c>
      <c r="DL162" s="67">
        <v>0</v>
      </c>
      <c r="DM162" s="67">
        <v>0</v>
      </c>
      <c r="DN162" s="67"/>
      <c r="DO162" s="67"/>
      <c r="DP162" s="67"/>
      <c r="DQ162" s="67">
        <v>0</v>
      </c>
      <c r="DR162" s="67">
        <v>0</v>
      </c>
      <c r="DS162" s="67"/>
      <c r="DT162" s="67"/>
      <c r="DU162" s="67">
        <v>0</v>
      </c>
      <c r="DV162" s="67">
        <v>0</v>
      </c>
      <c r="DW162" s="67">
        <v>0</v>
      </c>
      <c r="DX162" s="67">
        <v>0</v>
      </c>
      <c r="DY162" s="67"/>
      <c r="DZ162" s="67">
        <v>0</v>
      </c>
      <c r="EA162" s="67"/>
      <c r="EB162" s="67">
        <v>0</v>
      </c>
      <c r="EC162" s="67"/>
      <c r="ED162" s="67">
        <v>0</v>
      </c>
      <c r="EE162" s="67"/>
      <c r="EF162" s="67">
        <v>0</v>
      </c>
      <c r="EG162" s="67"/>
      <c r="EH162" s="67"/>
      <c r="EI162" s="67"/>
      <c r="EJ162" s="67"/>
      <c r="EK162" s="67"/>
      <c r="EL162" s="67"/>
      <c r="EM162" s="67"/>
      <c r="EN162" s="67"/>
      <c r="EO162" s="67"/>
      <c r="EP162" s="67">
        <v>0</v>
      </c>
      <c r="EQ162" s="67">
        <v>0</v>
      </c>
      <c r="ER162" s="67">
        <v>0</v>
      </c>
      <c r="ES162" s="67"/>
      <c r="ET162">
        <v>0</v>
      </c>
      <c r="EX162" s="67"/>
      <c r="EY162" s="67"/>
      <c r="EZ162" s="67"/>
      <c r="FA162" s="67">
        <v>0</v>
      </c>
      <c r="FB162" s="67"/>
      <c r="FC162" s="67"/>
      <c r="FD162" s="67"/>
      <c r="FE162" s="67"/>
      <c r="FF162" s="67"/>
      <c r="FG162" s="67"/>
      <c r="FH162" s="67"/>
      <c r="FI162" s="67" t="s">
        <v>1600</v>
      </c>
    </row>
    <row r="163" spans="2:165" x14ac:dyDescent="0.2">
      <c r="B163" s="67" t="s">
        <v>558</v>
      </c>
      <c r="C163" s="67" t="s">
        <v>558</v>
      </c>
      <c r="D163" s="67" t="s">
        <v>559</v>
      </c>
      <c r="E163" s="67" t="s">
        <v>23</v>
      </c>
      <c r="F163" s="67" t="s">
        <v>750</v>
      </c>
      <c r="G163" s="67" t="s">
        <v>1597</v>
      </c>
      <c r="H163" s="67"/>
      <c r="I163" s="67" t="s">
        <v>786</v>
      </c>
      <c r="J163" s="67" t="s">
        <v>64</v>
      </c>
      <c r="K163" s="67" t="s">
        <v>1617</v>
      </c>
      <c r="L163" s="67" t="s">
        <v>934</v>
      </c>
      <c r="M163" s="67" t="s">
        <v>752</v>
      </c>
      <c r="N163" s="67" t="s">
        <v>1598</v>
      </c>
      <c r="O163" s="67" t="s">
        <v>1599</v>
      </c>
      <c r="P163" s="67"/>
      <c r="Q163" s="67">
        <v>130</v>
      </c>
      <c r="R163" s="67">
        <v>0</v>
      </c>
      <c r="S163" s="67">
        <v>0</v>
      </c>
      <c r="T163" s="67">
        <v>130</v>
      </c>
      <c r="U163" s="67">
        <v>0</v>
      </c>
      <c r="V163" s="67">
        <v>0</v>
      </c>
      <c r="W163" s="67">
        <v>0</v>
      </c>
      <c r="X163" s="67">
        <v>0</v>
      </c>
      <c r="Y163" s="67">
        <v>0</v>
      </c>
      <c r="Z163" s="67">
        <v>0</v>
      </c>
      <c r="AA163" s="67">
        <v>0</v>
      </c>
      <c r="AB163" s="67">
        <v>0</v>
      </c>
      <c r="AC163" s="67">
        <v>0</v>
      </c>
      <c r="AD163" s="67">
        <v>0</v>
      </c>
      <c r="AE163" s="67">
        <v>0</v>
      </c>
      <c r="AF163" s="67">
        <v>0</v>
      </c>
      <c r="AG163" s="67">
        <v>0</v>
      </c>
      <c r="AH163" s="67">
        <v>0</v>
      </c>
      <c r="AI163" s="67">
        <v>0</v>
      </c>
      <c r="AJ163" s="67">
        <v>0</v>
      </c>
      <c r="AK163" s="67">
        <v>0</v>
      </c>
      <c r="AL163" s="67">
        <v>0</v>
      </c>
      <c r="AM163" s="67">
        <v>0</v>
      </c>
      <c r="AN163" s="67">
        <v>0</v>
      </c>
      <c r="AO163" s="67">
        <v>0</v>
      </c>
      <c r="AP163" s="67">
        <v>0</v>
      </c>
      <c r="AQ163" s="67">
        <v>0</v>
      </c>
      <c r="AR163" s="67">
        <v>0</v>
      </c>
      <c r="AS163" s="67">
        <v>0</v>
      </c>
      <c r="AT163" s="67"/>
      <c r="AU163" s="67"/>
      <c r="AV163" s="67"/>
      <c r="AW163" s="67">
        <v>0</v>
      </c>
      <c r="AX163" s="67">
        <v>0</v>
      </c>
      <c r="AY163" s="67"/>
      <c r="AZ163" s="67"/>
      <c r="BA163" s="67"/>
      <c r="BB163" s="67"/>
      <c r="BC163" s="67"/>
      <c r="BD163" s="67"/>
      <c r="BE163" s="67"/>
      <c r="BG163" s="67"/>
      <c r="BH163" s="67"/>
      <c r="BI163" s="67"/>
      <c r="BJ163" s="67">
        <v>0</v>
      </c>
      <c r="BK163" s="67"/>
      <c r="BL163" s="67"/>
      <c r="BP163" s="67"/>
      <c r="BQ163" s="67">
        <v>0</v>
      </c>
      <c r="BR163" s="67"/>
      <c r="BS163" s="67"/>
      <c r="BT163" s="67">
        <v>0</v>
      </c>
      <c r="BU163" s="67"/>
      <c r="BV163" s="67"/>
      <c r="BW163" s="67">
        <v>0</v>
      </c>
      <c r="BX163" s="67">
        <v>0</v>
      </c>
      <c r="BY163" s="67">
        <v>0</v>
      </c>
      <c r="BZ163" s="67">
        <v>0</v>
      </c>
      <c r="CA163" s="67"/>
      <c r="CB163" s="67">
        <v>0</v>
      </c>
      <c r="CC163" s="67"/>
      <c r="CD163" s="67"/>
      <c r="CE163" s="67">
        <v>0</v>
      </c>
      <c r="CF163" s="67">
        <v>0</v>
      </c>
      <c r="CG163" s="67"/>
      <c r="CH163" s="67"/>
      <c r="CI163" s="67"/>
      <c r="CJ163" s="67"/>
      <c r="CK163" s="67">
        <v>0</v>
      </c>
      <c r="CL163" s="67">
        <v>0</v>
      </c>
      <c r="CM163" s="67"/>
      <c r="CN163" s="67"/>
      <c r="CO163" s="67">
        <v>0</v>
      </c>
      <c r="CP163" s="67">
        <v>0</v>
      </c>
      <c r="CQ163" s="67"/>
      <c r="CR163" s="67"/>
      <c r="CS163" s="67"/>
      <c r="CT163" s="67"/>
      <c r="CU163" s="67">
        <v>0</v>
      </c>
      <c r="CV163" s="67"/>
      <c r="CW163" s="67"/>
      <c r="CX163" s="67"/>
      <c r="CY163" s="67">
        <v>0</v>
      </c>
      <c r="CZ163" s="67"/>
      <c r="DA163" s="67"/>
      <c r="DB163" s="67"/>
      <c r="DC163" s="67"/>
      <c r="DF163" s="67"/>
      <c r="DG163" s="67">
        <v>0</v>
      </c>
      <c r="DH163" s="67">
        <v>0</v>
      </c>
      <c r="DI163" s="67">
        <v>0</v>
      </c>
      <c r="DJ163" s="67"/>
      <c r="DK163" s="67">
        <v>0</v>
      </c>
      <c r="DL163" s="67">
        <v>0</v>
      </c>
      <c r="DM163" s="67">
        <v>0</v>
      </c>
      <c r="DN163" s="67"/>
      <c r="DO163" s="67"/>
      <c r="DP163" s="67"/>
      <c r="DQ163" s="67">
        <v>0</v>
      </c>
      <c r="DR163" s="67">
        <v>0</v>
      </c>
      <c r="DS163" s="67"/>
      <c r="DT163" s="67"/>
      <c r="DU163" s="67">
        <v>0</v>
      </c>
      <c r="DV163" s="67">
        <v>0</v>
      </c>
      <c r="DW163" s="67">
        <v>0</v>
      </c>
      <c r="DX163" s="67">
        <v>0</v>
      </c>
      <c r="DY163" s="67"/>
      <c r="DZ163" s="67">
        <v>0</v>
      </c>
      <c r="EA163" s="67"/>
      <c r="EB163" s="67">
        <v>0</v>
      </c>
      <c r="EC163" s="67"/>
      <c r="ED163" s="67">
        <v>0</v>
      </c>
      <c r="EE163" s="67"/>
      <c r="EF163" s="67">
        <v>0</v>
      </c>
      <c r="EG163" s="67"/>
      <c r="EH163" s="67"/>
      <c r="EI163" s="67"/>
      <c r="EJ163" s="67"/>
      <c r="EK163" s="67"/>
      <c r="EL163" s="67"/>
      <c r="EM163" s="67"/>
      <c r="EN163" s="67"/>
      <c r="EO163" s="67"/>
      <c r="EP163" s="67">
        <v>0</v>
      </c>
      <c r="EQ163" s="67">
        <v>0</v>
      </c>
      <c r="ER163" s="67">
        <v>0</v>
      </c>
      <c r="ES163" s="67"/>
      <c r="ET163">
        <v>0</v>
      </c>
      <c r="EX163" s="67"/>
      <c r="EY163" s="67"/>
      <c r="EZ163" s="67"/>
      <c r="FA163" s="67">
        <v>130</v>
      </c>
      <c r="FB163" s="67"/>
      <c r="FC163" s="67"/>
      <c r="FD163" s="67"/>
      <c r="FE163" s="67"/>
      <c r="FF163" s="67"/>
      <c r="FG163" s="67"/>
      <c r="FH163" s="67"/>
      <c r="FI163" s="67" t="s">
        <v>1600</v>
      </c>
    </row>
    <row r="164" spans="2:165" x14ac:dyDescent="0.2">
      <c r="B164" s="67" t="s">
        <v>560</v>
      </c>
      <c r="C164" s="67" t="s">
        <v>560</v>
      </c>
      <c r="D164" s="67" t="s">
        <v>561</v>
      </c>
      <c r="E164" s="67" t="s">
        <v>23</v>
      </c>
      <c r="F164" s="67" t="s">
        <v>1262</v>
      </c>
      <c r="G164" s="67" t="s">
        <v>1597</v>
      </c>
      <c r="H164" s="67"/>
      <c r="I164" s="67" t="s">
        <v>786</v>
      </c>
      <c r="J164" s="67" t="s">
        <v>64</v>
      </c>
      <c r="K164" s="67" t="s">
        <v>1617</v>
      </c>
      <c r="L164" s="67" t="s">
        <v>934</v>
      </c>
      <c r="M164" s="67" t="s">
        <v>752</v>
      </c>
      <c r="N164" s="67" t="s">
        <v>1598</v>
      </c>
      <c r="O164" s="67" t="s">
        <v>1606</v>
      </c>
      <c r="P164" s="67"/>
      <c r="Q164" s="67">
        <v>100</v>
      </c>
      <c r="R164" s="67">
        <v>0</v>
      </c>
      <c r="S164" s="67">
        <v>0</v>
      </c>
      <c r="T164" s="67">
        <v>0</v>
      </c>
      <c r="U164" s="67">
        <v>100</v>
      </c>
      <c r="V164" s="67">
        <v>0</v>
      </c>
      <c r="W164" s="67">
        <v>0</v>
      </c>
      <c r="X164" s="67">
        <v>0</v>
      </c>
      <c r="Y164" s="67">
        <v>0</v>
      </c>
      <c r="Z164" s="67">
        <v>0</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67">
        <v>0</v>
      </c>
      <c r="AQ164" s="67">
        <v>0</v>
      </c>
      <c r="AR164" s="67">
        <v>0</v>
      </c>
      <c r="AS164" s="67">
        <v>0</v>
      </c>
      <c r="AT164" s="67"/>
      <c r="AU164" s="67"/>
      <c r="AV164" s="67"/>
      <c r="AW164" s="67">
        <v>0</v>
      </c>
      <c r="AX164" s="67">
        <v>0</v>
      </c>
      <c r="AY164" s="67"/>
      <c r="AZ164" s="67"/>
      <c r="BA164" s="67"/>
      <c r="BB164" s="67"/>
      <c r="BC164" s="67"/>
      <c r="BD164" s="67"/>
      <c r="BE164" s="67"/>
      <c r="BG164" s="67"/>
      <c r="BH164" s="67"/>
      <c r="BI164" s="67"/>
      <c r="BJ164" s="67">
        <v>0</v>
      </c>
      <c r="BK164" s="67"/>
      <c r="BL164" s="67"/>
      <c r="BP164" s="67"/>
      <c r="BQ164" s="67">
        <v>0</v>
      </c>
      <c r="BR164" s="67"/>
      <c r="BS164" s="67"/>
      <c r="BT164" s="67">
        <v>0</v>
      </c>
      <c r="BU164" s="67"/>
      <c r="BV164" s="67"/>
      <c r="BW164" s="67">
        <v>0</v>
      </c>
      <c r="BX164" s="67">
        <v>0</v>
      </c>
      <c r="BY164" s="67">
        <v>0</v>
      </c>
      <c r="BZ164" s="67">
        <v>0</v>
      </c>
      <c r="CA164" s="67"/>
      <c r="CB164" s="67">
        <v>0</v>
      </c>
      <c r="CC164" s="67"/>
      <c r="CD164" s="67"/>
      <c r="CE164" s="67">
        <v>0</v>
      </c>
      <c r="CF164" s="67">
        <v>0</v>
      </c>
      <c r="CG164" s="67"/>
      <c r="CH164" s="67"/>
      <c r="CI164" s="67"/>
      <c r="CJ164" s="67"/>
      <c r="CK164" s="67">
        <v>0</v>
      </c>
      <c r="CL164" s="67">
        <v>0</v>
      </c>
      <c r="CM164" s="67"/>
      <c r="CN164" s="67"/>
      <c r="CO164" s="67">
        <v>0</v>
      </c>
      <c r="CP164" s="67">
        <v>0</v>
      </c>
      <c r="CQ164" s="67"/>
      <c r="CR164" s="67"/>
      <c r="CS164" s="67"/>
      <c r="CT164" s="67"/>
      <c r="CU164" s="67">
        <v>0</v>
      </c>
      <c r="CV164" s="67"/>
      <c r="CW164" s="67"/>
      <c r="CX164" s="67"/>
      <c r="CY164" s="67">
        <v>0</v>
      </c>
      <c r="CZ164" s="67"/>
      <c r="DA164" s="67"/>
      <c r="DB164" s="67"/>
      <c r="DC164" s="67"/>
      <c r="DF164" s="67"/>
      <c r="DG164" s="67">
        <v>0</v>
      </c>
      <c r="DH164" s="67">
        <v>0</v>
      </c>
      <c r="DI164" s="67">
        <v>0</v>
      </c>
      <c r="DJ164" s="67"/>
      <c r="DK164" s="67">
        <v>0</v>
      </c>
      <c r="DL164" s="67">
        <v>0</v>
      </c>
      <c r="DM164" s="67">
        <v>0</v>
      </c>
      <c r="DN164" s="67"/>
      <c r="DO164" s="67"/>
      <c r="DP164" s="67"/>
      <c r="DQ164" s="67">
        <v>0</v>
      </c>
      <c r="DR164" s="67">
        <v>0</v>
      </c>
      <c r="DS164" s="67"/>
      <c r="DT164" s="67"/>
      <c r="DU164" s="67">
        <v>0</v>
      </c>
      <c r="DV164" s="67">
        <v>0</v>
      </c>
      <c r="DW164" s="67">
        <v>0</v>
      </c>
      <c r="DX164" s="67">
        <v>0</v>
      </c>
      <c r="DY164" s="67"/>
      <c r="DZ164" s="67">
        <v>0</v>
      </c>
      <c r="EA164" s="67"/>
      <c r="EB164" s="67">
        <v>0</v>
      </c>
      <c r="EC164" s="67"/>
      <c r="ED164" s="67">
        <v>0</v>
      </c>
      <c r="EE164" s="67"/>
      <c r="EF164" s="67">
        <v>0</v>
      </c>
      <c r="EG164" s="67"/>
      <c r="EH164" s="67"/>
      <c r="EI164" s="67"/>
      <c r="EJ164" s="67"/>
      <c r="EK164" s="67"/>
      <c r="EL164" s="67"/>
      <c r="EM164" s="67"/>
      <c r="EN164" s="67"/>
      <c r="EO164" s="67"/>
      <c r="EP164" s="67">
        <v>0</v>
      </c>
      <c r="EQ164" s="67">
        <v>0</v>
      </c>
      <c r="ER164" s="67">
        <v>0</v>
      </c>
      <c r="ES164" s="67"/>
      <c r="ET164">
        <v>0</v>
      </c>
      <c r="EX164" s="67"/>
      <c r="EY164" s="67"/>
      <c r="EZ164" s="67"/>
      <c r="FA164" s="67">
        <v>100</v>
      </c>
      <c r="FB164" s="67"/>
      <c r="FC164" s="67"/>
      <c r="FD164" s="67"/>
      <c r="FE164" s="67"/>
      <c r="FF164" s="67"/>
      <c r="FG164" s="67"/>
      <c r="FH164" s="67"/>
      <c r="FI164" s="67" t="s">
        <v>1600</v>
      </c>
    </row>
    <row r="165" spans="2:165" x14ac:dyDescent="0.2">
      <c r="B165" s="67" t="s">
        <v>562</v>
      </c>
      <c r="C165" s="67" t="s">
        <v>562</v>
      </c>
      <c r="D165" s="67" t="s">
        <v>563</v>
      </c>
      <c r="E165" s="67" t="s">
        <v>732</v>
      </c>
      <c r="F165" s="67" t="s">
        <v>1262</v>
      </c>
      <c r="G165" s="67" t="s">
        <v>1597</v>
      </c>
      <c r="H165" s="67"/>
      <c r="I165" s="67" t="s">
        <v>41</v>
      </c>
      <c r="J165" s="67" t="s">
        <v>64</v>
      </c>
      <c r="K165" s="67" t="s">
        <v>1617</v>
      </c>
      <c r="L165" s="67" t="s">
        <v>934</v>
      </c>
      <c r="M165" s="67" t="s">
        <v>752</v>
      </c>
      <c r="N165" s="67" t="s">
        <v>1598</v>
      </c>
      <c r="O165" s="67" t="s">
        <v>1599</v>
      </c>
      <c r="P165" s="67"/>
      <c r="Q165" s="67">
        <v>880</v>
      </c>
      <c r="R165" s="67">
        <v>0</v>
      </c>
      <c r="S165" s="67">
        <v>0</v>
      </c>
      <c r="T165" s="67">
        <v>0</v>
      </c>
      <c r="U165" s="67">
        <v>880</v>
      </c>
      <c r="V165" s="67">
        <v>0</v>
      </c>
      <c r="W165" s="67">
        <v>0</v>
      </c>
      <c r="X165" s="67">
        <v>0</v>
      </c>
      <c r="Y165" s="67">
        <v>0</v>
      </c>
      <c r="Z165" s="67">
        <v>0</v>
      </c>
      <c r="AA165" s="67">
        <v>0</v>
      </c>
      <c r="AB165" s="67">
        <v>0</v>
      </c>
      <c r="AC165" s="67">
        <v>0</v>
      </c>
      <c r="AD165" s="67">
        <v>0</v>
      </c>
      <c r="AE165" s="67">
        <v>0</v>
      </c>
      <c r="AF165" s="67">
        <v>0</v>
      </c>
      <c r="AG165" s="67">
        <v>0</v>
      </c>
      <c r="AH165" s="67">
        <v>0</v>
      </c>
      <c r="AI165" s="67">
        <v>0</v>
      </c>
      <c r="AJ165" s="67">
        <v>0</v>
      </c>
      <c r="AK165" s="67">
        <v>0</v>
      </c>
      <c r="AL165" s="67">
        <v>0</v>
      </c>
      <c r="AM165" s="67">
        <v>0</v>
      </c>
      <c r="AN165" s="67">
        <v>0</v>
      </c>
      <c r="AO165" s="67">
        <v>0</v>
      </c>
      <c r="AP165" s="67">
        <v>0</v>
      </c>
      <c r="AQ165" s="67">
        <v>0</v>
      </c>
      <c r="AR165" s="67">
        <v>0</v>
      </c>
      <c r="AS165" s="67">
        <v>0</v>
      </c>
      <c r="AT165" s="67"/>
      <c r="AU165" s="67"/>
      <c r="AV165" s="67"/>
      <c r="AW165" s="67">
        <v>0</v>
      </c>
      <c r="AX165" s="67">
        <v>0</v>
      </c>
      <c r="AY165" s="67"/>
      <c r="AZ165" s="67"/>
      <c r="BA165" s="67"/>
      <c r="BB165" s="67"/>
      <c r="BC165" s="67"/>
      <c r="BD165" s="67"/>
      <c r="BE165" s="67"/>
      <c r="BG165" s="67"/>
      <c r="BH165" s="67"/>
      <c r="BI165" s="67"/>
      <c r="BJ165" s="67">
        <v>0</v>
      </c>
      <c r="BK165" s="67"/>
      <c r="BL165" s="67"/>
      <c r="BP165" s="67"/>
      <c r="BQ165" s="67">
        <v>0</v>
      </c>
      <c r="BR165" s="67"/>
      <c r="BS165" s="67"/>
      <c r="BT165" s="67">
        <v>0</v>
      </c>
      <c r="BU165" s="67"/>
      <c r="BV165" s="67"/>
      <c r="BW165" s="67">
        <v>0</v>
      </c>
      <c r="BX165" s="67">
        <v>0</v>
      </c>
      <c r="BY165" s="67">
        <v>0</v>
      </c>
      <c r="BZ165" s="67">
        <v>0</v>
      </c>
      <c r="CA165" s="67"/>
      <c r="CB165" s="67">
        <v>0</v>
      </c>
      <c r="CC165" s="67"/>
      <c r="CD165" s="67"/>
      <c r="CE165" s="67">
        <v>0</v>
      </c>
      <c r="CF165" s="67">
        <v>0</v>
      </c>
      <c r="CG165" s="67"/>
      <c r="CH165" s="67"/>
      <c r="CI165" s="67"/>
      <c r="CJ165" s="67"/>
      <c r="CK165" s="67">
        <v>0</v>
      </c>
      <c r="CL165" s="67">
        <v>0</v>
      </c>
      <c r="CM165" s="67"/>
      <c r="CN165" s="67"/>
      <c r="CO165" s="67">
        <v>0</v>
      </c>
      <c r="CP165" s="67">
        <v>0</v>
      </c>
      <c r="CQ165" s="67"/>
      <c r="CR165" s="67"/>
      <c r="CS165" s="67"/>
      <c r="CT165" s="67"/>
      <c r="CU165" s="67">
        <v>0</v>
      </c>
      <c r="CV165" s="67"/>
      <c r="CW165" s="67"/>
      <c r="CX165" s="67"/>
      <c r="CY165" s="67">
        <v>0</v>
      </c>
      <c r="CZ165" s="67"/>
      <c r="DA165" s="67"/>
      <c r="DB165" s="67"/>
      <c r="DC165" s="67"/>
      <c r="DF165" s="67"/>
      <c r="DG165" s="67">
        <v>66</v>
      </c>
      <c r="DH165" s="67">
        <v>66</v>
      </c>
      <c r="DI165" s="67">
        <v>0</v>
      </c>
      <c r="DJ165" s="67"/>
      <c r="DK165" s="67">
        <v>0</v>
      </c>
      <c r="DL165" s="67">
        <v>0</v>
      </c>
      <c r="DM165" s="67">
        <v>0</v>
      </c>
      <c r="DN165" s="67"/>
      <c r="DO165" s="67"/>
      <c r="DP165" s="67"/>
      <c r="DQ165" s="67">
        <v>0</v>
      </c>
      <c r="DR165" s="67">
        <v>0</v>
      </c>
      <c r="DS165" s="67"/>
      <c r="DT165" s="67"/>
      <c r="DU165" s="67">
        <v>0</v>
      </c>
      <c r="DV165" s="67">
        <v>0</v>
      </c>
      <c r="DW165" s="67">
        <v>0</v>
      </c>
      <c r="DX165" s="67">
        <v>0</v>
      </c>
      <c r="DY165" s="67"/>
      <c r="DZ165" s="67">
        <v>0</v>
      </c>
      <c r="EA165" s="67"/>
      <c r="EB165" s="67">
        <v>0</v>
      </c>
      <c r="EC165" s="67"/>
      <c r="ED165" s="67">
        <v>0</v>
      </c>
      <c r="EE165" s="67"/>
      <c r="EF165" s="67">
        <v>0</v>
      </c>
      <c r="EG165" s="67"/>
      <c r="EH165" s="67"/>
      <c r="EI165" s="67"/>
      <c r="EJ165" s="67"/>
      <c r="EK165" s="67"/>
      <c r="EL165" s="67"/>
      <c r="EM165" s="67"/>
      <c r="EN165" s="67"/>
      <c r="EO165" s="67"/>
      <c r="EP165" s="67">
        <v>0</v>
      </c>
      <c r="EQ165" s="67">
        <v>0</v>
      </c>
      <c r="ER165" s="67">
        <v>0</v>
      </c>
      <c r="ES165" s="67"/>
      <c r="ET165">
        <v>0</v>
      </c>
      <c r="EX165" s="67"/>
      <c r="EY165" s="67"/>
      <c r="EZ165" s="67"/>
      <c r="FA165" s="67">
        <v>946</v>
      </c>
      <c r="FB165" s="67"/>
      <c r="FC165" s="67"/>
      <c r="FD165" s="67"/>
      <c r="FE165" s="67"/>
      <c r="FF165" s="67"/>
      <c r="FG165" s="67"/>
      <c r="FH165" s="67"/>
      <c r="FI165" s="67" t="s">
        <v>1600</v>
      </c>
    </row>
    <row r="166" spans="2:165" ht="24" x14ac:dyDescent="0.2">
      <c r="B166" s="67" t="s">
        <v>564</v>
      </c>
      <c r="C166" s="67" t="s">
        <v>564</v>
      </c>
      <c r="D166" s="67" t="s">
        <v>565</v>
      </c>
      <c r="E166" s="67" t="s">
        <v>13</v>
      </c>
      <c r="F166" s="67" t="s">
        <v>1262</v>
      </c>
      <c r="G166" s="67" t="s">
        <v>1597</v>
      </c>
      <c r="H166" s="67"/>
      <c r="I166" s="67" t="s">
        <v>41</v>
      </c>
      <c r="J166" s="67" t="s">
        <v>64</v>
      </c>
      <c r="K166" s="67" t="s">
        <v>1617</v>
      </c>
      <c r="L166" s="67" t="s">
        <v>934</v>
      </c>
      <c r="M166" s="67" t="s">
        <v>752</v>
      </c>
      <c r="N166" s="67" t="s">
        <v>1604</v>
      </c>
      <c r="O166" s="67" t="s">
        <v>1599</v>
      </c>
      <c r="P166" s="67"/>
      <c r="Q166" s="67">
        <v>150</v>
      </c>
      <c r="R166" s="67">
        <v>0</v>
      </c>
      <c r="S166" s="67">
        <v>0</v>
      </c>
      <c r="T166" s="67">
        <v>0</v>
      </c>
      <c r="U166" s="67">
        <v>150</v>
      </c>
      <c r="V166" s="67">
        <v>0</v>
      </c>
      <c r="W166" s="67">
        <v>0</v>
      </c>
      <c r="X166" s="67">
        <v>0</v>
      </c>
      <c r="Y166" s="67">
        <v>0</v>
      </c>
      <c r="Z166" s="67">
        <v>0</v>
      </c>
      <c r="AA166" s="67">
        <v>0</v>
      </c>
      <c r="AB166" s="67">
        <v>0</v>
      </c>
      <c r="AC166" s="67">
        <v>0</v>
      </c>
      <c r="AD166" s="67">
        <v>0</v>
      </c>
      <c r="AE166" s="67">
        <v>0</v>
      </c>
      <c r="AF166" s="67">
        <v>0</v>
      </c>
      <c r="AG166" s="67">
        <v>0</v>
      </c>
      <c r="AH166" s="67">
        <v>0</v>
      </c>
      <c r="AI166" s="67">
        <v>0</v>
      </c>
      <c r="AJ166" s="67">
        <v>0</v>
      </c>
      <c r="AK166" s="67">
        <v>0</v>
      </c>
      <c r="AL166" s="67">
        <v>0</v>
      </c>
      <c r="AM166" s="67">
        <v>0</v>
      </c>
      <c r="AN166" s="67">
        <v>0</v>
      </c>
      <c r="AO166" s="67">
        <v>0</v>
      </c>
      <c r="AP166" s="67">
        <v>0</v>
      </c>
      <c r="AQ166" s="67">
        <v>0</v>
      </c>
      <c r="AR166" s="67">
        <v>0</v>
      </c>
      <c r="AS166" s="67">
        <v>0</v>
      </c>
      <c r="AT166" s="67"/>
      <c r="AU166" s="67"/>
      <c r="AV166" s="67"/>
      <c r="AW166" s="67">
        <v>0</v>
      </c>
      <c r="AX166" s="67">
        <v>0</v>
      </c>
      <c r="AY166" s="67"/>
      <c r="AZ166" s="67"/>
      <c r="BA166" s="67"/>
      <c r="BB166" s="67"/>
      <c r="BC166" s="67"/>
      <c r="BD166" s="67"/>
      <c r="BE166" s="67"/>
      <c r="BG166" s="67"/>
      <c r="BH166" s="67"/>
      <c r="BI166" s="67"/>
      <c r="BJ166" s="67">
        <v>0</v>
      </c>
      <c r="BK166" s="67"/>
      <c r="BL166" s="67"/>
      <c r="BP166" s="67"/>
      <c r="BQ166" s="67">
        <v>0</v>
      </c>
      <c r="BR166" s="67"/>
      <c r="BS166" s="67"/>
      <c r="BT166" s="67">
        <v>0</v>
      </c>
      <c r="BU166" s="67"/>
      <c r="BV166" s="67"/>
      <c r="BW166" s="67">
        <v>0</v>
      </c>
      <c r="BX166" s="67">
        <v>0</v>
      </c>
      <c r="BY166" s="67">
        <v>0</v>
      </c>
      <c r="BZ166" s="67">
        <v>0</v>
      </c>
      <c r="CA166" s="67"/>
      <c r="CB166" s="67">
        <v>0</v>
      </c>
      <c r="CC166" s="67"/>
      <c r="CD166" s="67"/>
      <c r="CE166" s="67">
        <v>0</v>
      </c>
      <c r="CF166" s="67">
        <v>0</v>
      </c>
      <c r="CG166" s="67"/>
      <c r="CH166" s="67"/>
      <c r="CI166" s="67"/>
      <c r="CJ166" s="67"/>
      <c r="CK166" s="67">
        <v>0</v>
      </c>
      <c r="CL166" s="67">
        <v>0</v>
      </c>
      <c r="CM166" s="67"/>
      <c r="CN166" s="67"/>
      <c r="CO166" s="67">
        <v>0</v>
      </c>
      <c r="CP166" s="67">
        <v>0</v>
      </c>
      <c r="CQ166" s="67"/>
      <c r="CR166" s="67"/>
      <c r="CS166" s="67"/>
      <c r="CT166" s="67"/>
      <c r="CU166" s="67">
        <v>0</v>
      </c>
      <c r="CV166" s="67"/>
      <c r="CW166" s="67"/>
      <c r="CX166" s="67"/>
      <c r="CY166" s="67">
        <v>0</v>
      </c>
      <c r="CZ166" s="67"/>
      <c r="DA166" s="67"/>
      <c r="DB166" s="67"/>
      <c r="DC166" s="67"/>
      <c r="DF166" s="67"/>
      <c r="DG166" s="67">
        <v>11.25</v>
      </c>
      <c r="DH166" s="67">
        <v>11.25</v>
      </c>
      <c r="DI166" s="67">
        <v>0</v>
      </c>
      <c r="DJ166" s="67"/>
      <c r="DK166" s="67">
        <v>0</v>
      </c>
      <c r="DL166" s="67">
        <v>0</v>
      </c>
      <c r="DM166" s="67">
        <v>0</v>
      </c>
      <c r="DN166" s="67"/>
      <c r="DO166" s="67"/>
      <c r="DP166" s="67"/>
      <c r="DQ166" s="67">
        <v>0</v>
      </c>
      <c r="DR166" s="67">
        <v>0</v>
      </c>
      <c r="DS166" s="67"/>
      <c r="DT166" s="67"/>
      <c r="DU166" s="67">
        <v>0</v>
      </c>
      <c r="DV166" s="67">
        <v>0</v>
      </c>
      <c r="DW166" s="67">
        <v>0</v>
      </c>
      <c r="DX166" s="67">
        <v>0</v>
      </c>
      <c r="DY166" s="67"/>
      <c r="DZ166" s="67">
        <v>0</v>
      </c>
      <c r="EA166" s="67"/>
      <c r="EB166" s="67">
        <v>0</v>
      </c>
      <c r="EC166" s="67"/>
      <c r="ED166" s="67">
        <v>0</v>
      </c>
      <c r="EE166" s="67"/>
      <c r="EF166" s="67">
        <v>0</v>
      </c>
      <c r="EG166" s="67"/>
      <c r="EH166" s="67"/>
      <c r="EI166" s="67"/>
      <c r="EJ166" s="67"/>
      <c r="EK166" s="67"/>
      <c r="EL166" s="67"/>
      <c r="EM166" s="67"/>
      <c r="EN166" s="67"/>
      <c r="EO166" s="67"/>
      <c r="EP166" s="67">
        <v>0</v>
      </c>
      <c r="EQ166" s="67">
        <v>0</v>
      </c>
      <c r="ER166" s="67">
        <v>0</v>
      </c>
      <c r="ES166" s="67"/>
      <c r="ET166">
        <v>0</v>
      </c>
      <c r="EX166" s="67"/>
      <c r="EY166" s="67"/>
      <c r="EZ166" s="67"/>
      <c r="FA166" s="67">
        <v>161.25</v>
      </c>
      <c r="FB166" s="67"/>
      <c r="FC166" s="67"/>
      <c r="FD166" s="67"/>
      <c r="FE166" s="67"/>
      <c r="FF166" s="67"/>
      <c r="FG166" s="67"/>
      <c r="FH166" s="67"/>
      <c r="FI166" s="67" t="s">
        <v>1600</v>
      </c>
    </row>
    <row r="167" spans="2:165" ht="24" x14ac:dyDescent="0.2">
      <c r="B167" s="67" t="s">
        <v>566</v>
      </c>
      <c r="C167" s="67" t="s">
        <v>566</v>
      </c>
      <c r="D167" s="67" t="s">
        <v>567</v>
      </c>
      <c r="E167" s="67" t="s">
        <v>13</v>
      </c>
      <c r="F167" s="67" t="s">
        <v>1262</v>
      </c>
      <c r="G167" s="67" t="s">
        <v>1597</v>
      </c>
      <c r="H167" s="67"/>
      <c r="I167" s="67" t="s">
        <v>22</v>
      </c>
      <c r="J167" s="67" t="s">
        <v>64</v>
      </c>
      <c r="K167" s="67" t="s">
        <v>1617</v>
      </c>
      <c r="L167" s="67" t="s">
        <v>934</v>
      </c>
      <c r="M167" s="67" t="s">
        <v>752</v>
      </c>
      <c r="N167" s="67" t="s">
        <v>1607</v>
      </c>
      <c r="O167" s="67" t="s">
        <v>1608</v>
      </c>
      <c r="P167" s="67"/>
      <c r="Q167" s="67">
        <v>100</v>
      </c>
      <c r="R167" s="67">
        <v>0</v>
      </c>
      <c r="S167" s="67">
        <v>0</v>
      </c>
      <c r="T167" s="67">
        <v>0</v>
      </c>
      <c r="U167" s="67">
        <v>100</v>
      </c>
      <c r="V167" s="67">
        <v>0</v>
      </c>
      <c r="W167" s="67">
        <v>0</v>
      </c>
      <c r="X167" s="67">
        <v>0</v>
      </c>
      <c r="Y167" s="67">
        <v>0</v>
      </c>
      <c r="Z167" s="67">
        <v>0</v>
      </c>
      <c r="AA167" s="67">
        <v>0</v>
      </c>
      <c r="AB167" s="67">
        <v>0</v>
      </c>
      <c r="AC167" s="67">
        <v>0</v>
      </c>
      <c r="AD167" s="67">
        <v>0</v>
      </c>
      <c r="AE167" s="67">
        <v>0</v>
      </c>
      <c r="AF167" s="67">
        <v>0</v>
      </c>
      <c r="AG167" s="67">
        <v>0</v>
      </c>
      <c r="AH167" s="67">
        <v>0</v>
      </c>
      <c r="AI167" s="67">
        <v>0</v>
      </c>
      <c r="AJ167" s="67">
        <v>0</v>
      </c>
      <c r="AK167" s="67">
        <v>0</v>
      </c>
      <c r="AL167" s="67">
        <v>0</v>
      </c>
      <c r="AM167" s="67">
        <v>0</v>
      </c>
      <c r="AN167" s="67">
        <v>0</v>
      </c>
      <c r="AO167" s="67">
        <v>0</v>
      </c>
      <c r="AP167" s="67">
        <v>0</v>
      </c>
      <c r="AQ167" s="67">
        <v>0</v>
      </c>
      <c r="AR167" s="67">
        <v>0</v>
      </c>
      <c r="AS167" s="67">
        <v>0</v>
      </c>
      <c r="AT167" s="67"/>
      <c r="AU167" s="67"/>
      <c r="AV167" s="67"/>
      <c r="AW167" s="67">
        <v>0</v>
      </c>
      <c r="AX167" s="67">
        <v>0</v>
      </c>
      <c r="AY167" s="67"/>
      <c r="AZ167" s="67"/>
      <c r="BA167" s="67"/>
      <c r="BB167" s="67"/>
      <c r="BC167" s="67"/>
      <c r="BD167" s="67"/>
      <c r="BE167" s="67"/>
      <c r="BG167" s="67"/>
      <c r="BH167" s="67"/>
      <c r="BI167" s="67"/>
      <c r="BJ167" s="67">
        <v>0</v>
      </c>
      <c r="BK167" s="67"/>
      <c r="BL167" s="67"/>
      <c r="BP167" s="67"/>
      <c r="BQ167" s="67">
        <v>0</v>
      </c>
      <c r="BR167" s="67"/>
      <c r="BS167" s="67"/>
      <c r="BT167" s="67">
        <v>0</v>
      </c>
      <c r="BU167" s="67"/>
      <c r="BV167" s="67"/>
      <c r="BW167" s="67">
        <v>0</v>
      </c>
      <c r="BX167" s="67">
        <v>0</v>
      </c>
      <c r="BY167" s="67">
        <v>0</v>
      </c>
      <c r="BZ167" s="67">
        <v>0</v>
      </c>
      <c r="CA167" s="67"/>
      <c r="CB167" s="67">
        <v>0</v>
      </c>
      <c r="CC167" s="67"/>
      <c r="CD167" s="67"/>
      <c r="CE167" s="67">
        <v>0</v>
      </c>
      <c r="CF167" s="67">
        <v>0</v>
      </c>
      <c r="CG167" s="67"/>
      <c r="CH167" s="67"/>
      <c r="CI167" s="67"/>
      <c r="CJ167" s="67"/>
      <c r="CK167" s="67">
        <v>0</v>
      </c>
      <c r="CL167" s="67">
        <v>0</v>
      </c>
      <c r="CM167" s="67"/>
      <c r="CN167" s="67"/>
      <c r="CO167" s="67">
        <v>0</v>
      </c>
      <c r="CP167" s="67">
        <v>0</v>
      </c>
      <c r="CQ167" s="67"/>
      <c r="CR167" s="67"/>
      <c r="CS167" s="67"/>
      <c r="CT167" s="67"/>
      <c r="CU167" s="67">
        <v>0</v>
      </c>
      <c r="CV167" s="67"/>
      <c r="CW167" s="67"/>
      <c r="CX167" s="67"/>
      <c r="CY167" s="67">
        <v>0</v>
      </c>
      <c r="CZ167" s="67"/>
      <c r="DA167" s="67"/>
      <c r="DB167" s="67"/>
      <c r="DC167" s="67"/>
      <c r="DF167" s="67"/>
      <c r="DG167" s="67">
        <v>7.5</v>
      </c>
      <c r="DH167" s="67">
        <v>7.5</v>
      </c>
      <c r="DI167" s="67">
        <v>0</v>
      </c>
      <c r="DJ167" s="67"/>
      <c r="DK167" s="67">
        <v>0</v>
      </c>
      <c r="DL167" s="67">
        <v>0</v>
      </c>
      <c r="DM167" s="67">
        <v>0</v>
      </c>
      <c r="DN167" s="67"/>
      <c r="DO167" s="67"/>
      <c r="DP167" s="67"/>
      <c r="DQ167" s="67">
        <v>0</v>
      </c>
      <c r="DR167" s="67">
        <v>0</v>
      </c>
      <c r="DS167" s="67"/>
      <c r="DT167" s="67"/>
      <c r="DU167" s="67">
        <v>0</v>
      </c>
      <c r="DV167" s="67">
        <v>0</v>
      </c>
      <c r="DW167" s="67">
        <v>0</v>
      </c>
      <c r="DX167" s="67">
        <v>0</v>
      </c>
      <c r="DY167" s="67"/>
      <c r="DZ167" s="67">
        <v>0</v>
      </c>
      <c r="EA167" s="67"/>
      <c r="EB167" s="67">
        <v>0</v>
      </c>
      <c r="EC167" s="67"/>
      <c r="ED167" s="67">
        <v>0</v>
      </c>
      <c r="EE167" s="67"/>
      <c r="EF167" s="67">
        <v>0</v>
      </c>
      <c r="EG167" s="67"/>
      <c r="EH167" s="67"/>
      <c r="EI167" s="67"/>
      <c r="EJ167" s="67"/>
      <c r="EK167" s="67"/>
      <c r="EL167" s="67"/>
      <c r="EM167" s="67"/>
      <c r="EN167" s="67"/>
      <c r="EO167" s="67"/>
      <c r="EP167" s="67">
        <v>0</v>
      </c>
      <c r="EQ167" s="67">
        <v>0</v>
      </c>
      <c r="ER167" s="67">
        <v>0</v>
      </c>
      <c r="ES167" s="67"/>
      <c r="ET167">
        <v>0</v>
      </c>
      <c r="EX167" s="67"/>
      <c r="EY167" s="67"/>
      <c r="EZ167" s="67"/>
      <c r="FA167" s="67">
        <v>107.5</v>
      </c>
      <c r="FB167" s="67"/>
      <c r="FC167" s="67"/>
      <c r="FD167" s="67"/>
      <c r="FE167" s="67"/>
      <c r="FF167" s="67"/>
      <c r="FG167" s="67"/>
      <c r="FH167" s="67"/>
      <c r="FI167" s="67" t="s">
        <v>1600</v>
      </c>
    </row>
    <row r="168" spans="2:165" ht="24" x14ac:dyDescent="0.2">
      <c r="B168" s="67" t="s">
        <v>568</v>
      </c>
      <c r="C168" s="67" t="s">
        <v>568</v>
      </c>
      <c r="D168" s="67" t="s">
        <v>569</v>
      </c>
      <c r="E168" s="67" t="s">
        <v>13</v>
      </c>
      <c r="F168" s="67" t="s">
        <v>1262</v>
      </c>
      <c r="G168" s="67" t="s">
        <v>1597</v>
      </c>
      <c r="H168" s="67"/>
      <c r="I168" s="67" t="s">
        <v>22</v>
      </c>
      <c r="J168" s="67" t="s">
        <v>64</v>
      </c>
      <c r="K168" s="67" t="s">
        <v>1617</v>
      </c>
      <c r="L168" s="67" t="s">
        <v>934</v>
      </c>
      <c r="M168" s="67" t="s">
        <v>752</v>
      </c>
      <c r="N168" s="67" t="s">
        <v>1604</v>
      </c>
      <c r="O168" s="67" t="s">
        <v>1599</v>
      </c>
      <c r="P168" s="67"/>
      <c r="Q168" s="67">
        <v>150</v>
      </c>
      <c r="R168" s="67">
        <v>0</v>
      </c>
      <c r="S168" s="67">
        <v>0</v>
      </c>
      <c r="T168" s="67">
        <v>0</v>
      </c>
      <c r="U168" s="67">
        <v>150</v>
      </c>
      <c r="V168" s="67">
        <v>0</v>
      </c>
      <c r="W168" s="67">
        <v>0</v>
      </c>
      <c r="X168" s="67">
        <v>0</v>
      </c>
      <c r="Y168" s="67">
        <v>0</v>
      </c>
      <c r="Z168" s="67">
        <v>0</v>
      </c>
      <c r="AA168" s="67">
        <v>0</v>
      </c>
      <c r="AB168" s="67">
        <v>0</v>
      </c>
      <c r="AC168" s="67">
        <v>0</v>
      </c>
      <c r="AD168" s="67">
        <v>0</v>
      </c>
      <c r="AE168" s="67">
        <v>0</v>
      </c>
      <c r="AF168" s="67">
        <v>0</v>
      </c>
      <c r="AG168" s="67">
        <v>0</v>
      </c>
      <c r="AH168" s="67">
        <v>0</v>
      </c>
      <c r="AI168" s="67">
        <v>0</v>
      </c>
      <c r="AJ168" s="67">
        <v>0</v>
      </c>
      <c r="AK168" s="67">
        <v>0</v>
      </c>
      <c r="AL168" s="67">
        <v>0</v>
      </c>
      <c r="AM168" s="67">
        <v>0</v>
      </c>
      <c r="AN168" s="67">
        <v>0</v>
      </c>
      <c r="AO168" s="67">
        <v>0</v>
      </c>
      <c r="AP168" s="67">
        <v>0</v>
      </c>
      <c r="AQ168" s="67">
        <v>0</v>
      </c>
      <c r="AR168" s="67">
        <v>0</v>
      </c>
      <c r="AS168" s="67">
        <v>0</v>
      </c>
      <c r="AT168" s="67"/>
      <c r="AU168" s="67"/>
      <c r="AV168" s="67"/>
      <c r="AW168" s="67">
        <v>0</v>
      </c>
      <c r="AX168" s="67">
        <v>0</v>
      </c>
      <c r="AY168" s="67"/>
      <c r="AZ168" s="67"/>
      <c r="BA168" s="67"/>
      <c r="BB168" s="67"/>
      <c r="BC168" s="67"/>
      <c r="BD168" s="67"/>
      <c r="BE168" s="67"/>
      <c r="BG168" s="67"/>
      <c r="BH168" s="67"/>
      <c r="BI168" s="67"/>
      <c r="BJ168" s="67">
        <v>0</v>
      </c>
      <c r="BK168" s="67"/>
      <c r="BL168" s="67"/>
      <c r="BP168" s="67"/>
      <c r="BQ168" s="67">
        <v>0</v>
      </c>
      <c r="BR168" s="67"/>
      <c r="BS168" s="67"/>
      <c r="BT168" s="67">
        <v>0</v>
      </c>
      <c r="BU168" s="67"/>
      <c r="BV168" s="67"/>
      <c r="BW168" s="67">
        <v>0</v>
      </c>
      <c r="BX168" s="67">
        <v>0</v>
      </c>
      <c r="BY168" s="67">
        <v>0</v>
      </c>
      <c r="BZ168" s="67">
        <v>0</v>
      </c>
      <c r="CA168" s="67"/>
      <c r="CB168" s="67">
        <v>0</v>
      </c>
      <c r="CC168" s="67"/>
      <c r="CD168" s="67"/>
      <c r="CE168" s="67">
        <v>0</v>
      </c>
      <c r="CF168" s="67">
        <v>0</v>
      </c>
      <c r="CG168" s="67"/>
      <c r="CH168" s="67"/>
      <c r="CI168" s="67"/>
      <c r="CJ168" s="67"/>
      <c r="CK168" s="67">
        <v>0</v>
      </c>
      <c r="CL168" s="67">
        <v>0</v>
      </c>
      <c r="CM168" s="67"/>
      <c r="CN168" s="67"/>
      <c r="CO168" s="67">
        <v>0</v>
      </c>
      <c r="CP168" s="67">
        <v>0</v>
      </c>
      <c r="CQ168" s="67"/>
      <c r="CR168" s="67"/>
      <c r="CS168" s="67"/>
      <c r="CT168" s="67"/>
      <c r="CU168" s="67">
        <v>0</v>
      </c>
      <c r="CV168" s="67"/>
      <c r="CW168" s="67"/>
      <c r="CX168" s="67"/>
      <c r="CY168" s="67">
        <v>0</v>
      </c>
      <c r="CZ168" s="67"/>
      <c r="DA168" s="67"/>
      <c r="DB168" s="67"/>
      <c r="DC168" s="67"/>
      <c r="DF168" s="67"/>
      <c r="DG168" s="67">
        <v>11.25</v>
      </c>
      <c r="DH168" s="67">
        <v>11.25</v>
      </c>
      <c r="DI168" s="67">
        <v>0</v>
      </c>
      <c r="DJ168" s="67"/>
      <c r="DK168" s="67">
        <v>0</v>
      </c>
      <c r="DL168" s="67">
        <v>0</v>
      </c>
      <c r="DM168" s="67">
        <v>0</v>
      </c>
      <c r="DN168" s="67"/>
      <c r="DO168" s="67"/>
      <c r="DP168" s="67"/>
      <c r="DQ168" s="67">
        <v>0</v>
      </c>
      <c r="DR168" s="67">
        <v>0</v>
      </c>
      <c r="DS168" s="67"/>
      <c r="DT168" s="67"/>
      <c r="DU168" s="67">
        <v>0</v>
      </c>
      <c r="DV168" s="67">
        <v>0</v>
      </c>
      <c r="DW168" s="67">
        <v>0</v>
      </c>
      <c r="DX168" s="67">
        <v>0</v>
      </c>
      <c r="DY168" s="67"/>
      <c r="DZ168" s="67">
        <v>0</v>
      </c>
      <c r="EA168" s="67"/>
      <c r="EB168" s="67">
        <v>0</v>
      </c>
      <c r="EC168" s="67"/>
      <c r="ED168" s="67">
        <v>0</v>
      </c>
      <c r="EE168" s="67"/>
      <c r="EF168" s="67">
        <v>0</v>
      </c>
      <c r="EG168" s="67"/>
      <c r="EH168" s="67"/>
      <c r="EI168" s="67"/>
      <c r="EJ168" s="67"/>
      <c r="EK168" s="67"/>
      <c r="EL168" s="67"/>
      <c r="EM168" s="67"/>
      <c r="EN168" s="67"/>
      <c r="EO168" s="67"/>
      <c r="EP168" s="67">
        <v>0</v>
      </c>
      <c r="EQ168" s="67">
        <v>0</v>
      </c>
      <c r="ER168" s="67">
        <v>0</v>
      </c>
      <c r="ES168" s="67"/>
      <c r="ET168">
        <v>0</v>
      </c>
      <c r="EX168" s="67"/>
      <c r="EY168" s="67"/>
      <c r="EZ168" s="67"/>
      <c r="FA168" s="67">
        <v>161.25</v>
      </c>
      <c r="FB168" s="67"/>
      <c r="FC168" s="67"/>
      <c r="FD168" s="67"/>
      <c r="FE168" s="67"/>
      <c r="FF168" s="67"/>
      <c r="FG168" s="67"/>
      <c r="FH168" s="67"/>
      <c r="FI168" s="67" t="s">
        <v>1600</v>
      </c>
    </row>
    <row r="169" spans="2:165" ht="24" x14ac:dyDescent="0.2">
      <c r="B169" s="67" t="s">
        <v>570</v>
      </c>
      <c r="C169" s="67" t="s">
        <v>570</v>
      </c>
      <c r="D169" s="67" t="s">
        <v>571</v>
      </c>
      <c r="E169" s="67" t="s">
        <v>13</v>
      </c>
      <c r="F169" s="67" t="s">
        <v>1262</v>
      </c>
      <c r="G169" s="67" t="s">
        <v>1597</v>
      </c>
      <c r="H169" s="67"/>
      <c r="I169" s="67" t="s">
        <v>22</v>
      </c>
      <c r="J169" s="67" t="s">
        <v>64</v>
      </c>
      <c r="K169" s="67" t="s">
        <v>1617</v>
      </c>
      <c r="L169" s="67" t="s">
        <v>934</v>
      </c>
      <c r="M169" s="67" t="s">
        <v>752</v>
      </c>
      <c r="N169" s="67" t="s">
        <v>1604</v>
      </c>
      <c r="O169" s="67" t="s">
        <v>1599</v>
      </c>
      <c r="P169" s="67"/>
      <c r="Q169" s="67">
        <v>200</v>
      </c>
      <c r="R169" s="67">
        <v>0</v>
      </c>
      <c r="S169" s="67">
        <v>0</v>
      </c>
      <c r="T169" s="67">
        <v>0</v>
      </c>
      <c r="U169" s="67">
        <v>200</v>
      </c>
      <c r="V169" s="67">
        <v>0</v>
      </c>
      <c r="W169" s="67">
        <v>0</v>
      </c>
      <c r="X169" s="67">
        <v>0</v>
      </c>
      <c r="Y169" s="67">
        <v>0</v>
      </c>
      <c r="Z169" s="67">
        <v>0</v>
      </c>
      <c r="AA169" s="67">
        <v>0</v>
      </c>
      <c r="AB169" s="67">
        <v>0</v>
      </c>
      <c r="AC169" s="67">
        <v>0</v>
      </c>
      <c r="AD169" s="67">
        <v>0</v>
      </c>
      <c r="AE169" s="67">
        <v>0</v>
      </c>
      <c r="AF169" s="67">
        <v>0</v>
      </c>
      <c r="AG169" s="67">
        <v>0</v>
      </c>
      <c r="AH169" s="67">
        <v>0</v>
      </c>
      <c r="AI169" s="67">
        <v>0</v>
      </c>
      <c r="AJ169" s="67">
        <v>0</v>
      </c>
      <c r="AK169" s="67">
        <v>0</v>
      </c>
      <c r="AL169" s="67">
        <v>0</v>
      </c>
      <c r="AM169" s="67">
        <v>0</v>
      </c>
      <c r="AN169" s="67">
        <v>0</v>
      </c>
      <c r="AO169" s="67">
        <v>0</v>
      </c>
      <c r="AP169" s="67">
        <v>0</v>
      </c>
      <c r="AQ169" s="67">
        <v>0</v>
      </c>
      <c r="AR169" s="67">
        <v>0</v>
      </c>
      <c r="AS169" s="67">
        <v>0</v>
      </c>
      <c r="AT169" s="67"/>
      <c r="AU169" s="67"/>
      <c r="AV169" s="67"/>
      <c r="AW169" s="67">
        <v>0</v>
      </c>
      <c r="AX169" s="67">
        <v>0</v>
      </c>
      <c r="AY169" s="67"/>
      <c r="AZ169" s="67"/>
      <c r="BA169" s="67"/>
      <c r="BB169" s="67"/>
      <c r="BC169" s="67"/>
      <c r="BD169" s="67"/>
      <c r="BE169" s="67"/>
      <c r="BG169" s="67"/>
      <c r="BH169" s="67"/>
      <c r="BI169" s="67"/>
      <c r="BJ169" s="67">
        <v>0</v>
      </c>
      <c r="BK169" s="67"/>
      <c r="BL169" s="67"/>
      <c r="BP169" s="67"/>
      <c r="BQ169" s="67">
        <v>0</v>
      </c>
      <c r="BR169" s="67"/>
      <c r="BS169" s="67"/>
      <c r="BT169" s="67">
        <v>0</v>
      </c>
      <c r="BU169" s="67"/>
      <c r="BV169" s="67"/>
      <c r="BW169" s="67">
        <v>0</v>
      </c>
      <c r="BX169" s="67">
        <v>0</v>
      </c>
      <c r="BY169" s="67">
        <v>0</v>
      </c>
      <c r="BZ169" s="67">
        <v>0</v>
      </c>
      <c r="CA169" s="67"/>
      <c r="CB169" s="67">
        <v>0</v>
      </c>
      <c r="CC169" s="67"/>
      <c r="CD169" s="67"/>
      <c r="CE169" s="67">
        <v>0</v>
      </c>
      <c r="CF169" s="67">
        <v>0</v>
      </c>
      <c r="CG169" s="67"/>
      <c r="CH169" s="67"/>
      <c r="CI169" s="67"/>
      <c r="CJ169" s="67"/>
      <c r="CK169" s="67">
        <v>0</v>
      </c>
      <c r="CL169" s="67">
        <v>0</v>
      </c>
      <c r="CM169" s="67"/>
      <c r="CN169" s="67"/>
      <c r="CO169" s="67">
        <v>0</v>
      </c>
      <c r="CP169" s="67">
        <v>0</v>
      </c>
      <c r="CQ169" s="67"/>
      <c r="CR169" s="67"/>
      <c r="CS169" s="67"/>
      <c r="CT169" s="67"/>
      <c r="CU169" s="67">
        <v>0</v>
      </c>
      <c r="CV169" s="67"/>
      <c r="CW169" s="67"/>
      <c r="CX169" s="67"/>
      <c r="CY169" s="67">
        <v>0</v>
      </c>
      <c r="CZ169" s="67"/>
      <c r="DA169" s="67"/>
      <c r="DB169" s="67"/>
      <c r="DC169" s="67"/>
      <c r="DF169" s="67"/>
      <c r="DG169" s="67">
        <v>15</v>
      </c>
      <c r="DH169" s="67">
        <v>15</v>
      </c>
      <c r="DI169" s="67">
        <v>0</v>
      </c>
      <c r="DJ169" s="67"/>
      <c r="DK169" s="67">
        <v>0</v>
      </c>
      <c r="DL169" s="67">
        <v>0</v>
      </c>
      <c r="DM169" s="67">
        <v>0</v>
      </c>
      <c r="DN169" s="67"/>
      <c r="DO169" s="67"/>
      <c r="DP169" s="67"/>
      <c r="DQ169" s="67">
        <v>0</v>
      </c>
      <c r="DR169" s="67">
        <v>0</v>
      </c>
      <c r="DS169" s="67"/>
      <c r="DT169" s="67"/>
      <c r="DU169" s="67">
        <v>0</v>
      </c>
      <c r="DV169" s="67">
        <v>0</v>
      </c>
      <c r="DW169" s="67">
        <v>0</v>
      </c>
      <c r="DX169" s="67">
        <v>0</v>
      </c>
      <c r="DY169" s="67"/>
      <c r="DZ169" s="67">
        <v>0</v>
      </c>
      <c r="EA169" s="67"/>
      <c r="EB169" s="67">
        <v>0</v>
      </c>
      <c r="EC169" s="67"/>
      <c r="ED169" s="67">
        <v>0</v>
      </c>
      <c r="EE169" s="67"/>
      <c r="EF169" s="67">
        <v>0</v>
      </c>
      <c r="EG169" s="67"/>
      <c r="EH169" s="67"/>
      <c r="EI169" s="67"/>
      <c r="EJ169" s="67"/>
      <c r="EK169" s="67"/>
      <c r="EL169" s="67"/>
      <c r="EM169" s="67"/>
      <c r="EN169" s="67"/>
      <c r="EO169" s="67"/>
      <c r="EP169" s="67">
        <v>0</v>
      </c>
      <c r="EQ169" s="67">
        <v>0</v>
      </c>
      <c r="ER169" s="67">
        <v>0</v>
      </c>
      <c r="ES169" s="67"/>
      <c r="ET169">
        <v>0</v>
      </c>
      <c r="EX169" s="67"/>
      <c r="EY169" s="67"/>
      <c r="EZ169" s="67"/>
      <c r="FA169" s="67">
        <v>215</v>
      </c>
      <c r="FB169" s="67"/>
      <c r="FC169" s="67"/>
      <c r="FD169" s="67"/>
      <c r="FE169" s="67"/>
      <c r="FF169" s="67"/>
      <c r="FG169" s="67"/>
      <c r="FH169" s="67"/>
      <c r="FI169" s="67" t="s">
        <v>1600</v>
      </c>
    </row>
    <row r="170" spans="2:165" ht="24" x14ac:dyDescent="0.2">
      <c r="B170" s="67" t="s">
        <v>572</v>
      </c>
      <c r="C170" s="67" t="s">
        <v>572</v>
      </c>
      <c r="D170" s="67" t="s">
        <v>573</v>
      </c>
      <c r="E170" s="67" t="s">
        <v>13</v>
      </c>
      <c r="F170" s="67" t="s">
        <v>1262</v>
      </c>
      <c r="G170" s="67" t="s">
        <v>1597</v>
      </c>
      <c r="H170" s="67"/>
      <c r="I170" s="67" t="s">
        <v>41</v>
      </c>
      <c r="J170" s="67" t="s">
        <v>64</v>
      </c>
      <c r="K170" s="67" t="s">
        <v>1617</v>
      </c>
      <c r="L170" s="67" t="s">
        <v>934</v>
      </c>
      <c r="M170" s="67" t="s">
        <v>752</v>
      </c>
      <c r="N170" s="67" t="s">
        <v>1601</v>
      </c>
      <c r="O170" s="67" t="s">
        <v>1606</v>
      </c>
      <c r="P170" s="67"/>
      <c r="Q170" s="67">
        <v>100</v>
      </c>
      <c r="R170" s="67">
        <v>0</v>
      </c>
      <c r="S170" s="67">
        <v>0</v>
      </c>
      <c r="T170" s="67">
        <v>0</v>
      </c>
      <c r="U170" s="67">
        <v>100</v>
      </c>
      <c r="V170" s="67">
        <v>0</v>
      </c>
      <c r="W170" s="67">
        <v>0</v>
      </c>
      <c r="X170" s="67">
        <v>0</v>
      </c>
      <c r="Y170" s="67">
        <v>0</v>
      </c>
      <c r="Z170" s="67">
        <v>0</v>
      </c>
      <c r="AA170" s="67">
        <v>0</v>
      </c>
      <c r="AB170" s="67">
        <v>0</v>
      </c>
      <c r="AC170" s="67">
        <v>0</v>
      </c>
      <c r="AD170" s="67">
        <v>0</v>
      </c>
      <c r="AE170" s="67">
        <v>0</v>
      </c>
      <c r="AF170" s="67">
        <v>0</v>
      </c>
      <c r="AG170" s="67">
        <v>0</v>
      </c>
      <c r="AH170" s="67">
        <v>0</v>
      </c>
      <c r="AI170" s="67">
        <v>0</v>
      </c>
      <c r="AJ170" s="67">
        <v>0</v>
      </c>
      <c r="AK170" s="67">
        <v>0</v>
      </c>
      <c r="AL170" s="67">
        <v>0</v>
      </c>
      <c r="AM170" s="67">
        <v>0</v>
      </c>
      <c r="AN170" s="67">
        <v>0</v>
      </c>
      <c r="AO170" s="67">
        <v>0</v>
      </c>
      <c r="AP170" s="67">
        <v>0</v>
      </c>
      <c r="AQ170" s="67">
        <v>0</v>
      </c>
      <c r="AR170" s="67">
        <v>0</v>
      </c>
      <c r="AS170" s="67">
        <v>0</v>
      </c>
      <c r="AT170" s="67"/>
      <c r="AU170" s="67"/>
      <c r="AV170" s="67"/>
      <c r="AW170" s="67">
        <v>0</v>
      </c>
      <c r="AX170" s="67">
        <v>0</v>
      </c>
      <c r="AY170" s="67"/>
      <c r="AZ170" s="67"/>
      <c r="BA170" s="67"/>
      <c r="BB170" s="67"/>
      <c r="BC170" s="67"/>
      <c r="BD170" s="67"/>
      <c r="BE170" s="67"/>
      <c r="BG170" s="67"/>
      <c r="BH170" s="67"/>
      <c r="BI170" s="67"/>
      <c r="BJ170" s="67">
        <v>0</v>
      </c>
      <c r="BK170" s="67"/>
      <c r="BL170" s="67"/>
      <c r="BP170" s="67"/>
      <c r="BQ170" s="67">
        <v>0</v>
      </c>
      <c r="BR170" s="67"/>
      <c r="BS170" s="67"/>
      <c r="BT170" s="67">
        <v>0</v>
      </c>
      <c r="BU170" s="67"/>
      <c r="BV170" s="67"/>
      <c r="BW170" s="67">
        <v>0</v>
      </c>
      <c r="BX170" s="67">
        <v>0</v>
      </c>
      <c r="BY170" s="67">
        <v>0</v>
      </c>
      <c r="BZ170" s="67">
        <v>0</v>
      </c>
      <c r="CA170" s="67"/>
      <c r="CB170" s="67">
        <v>0</v>
      </c>
      <c r="CC170" s="67"/>
      <c r="CD170" s="67"/>
      <c r="CE170" s="67">
        <v>0</v>
      </c>
      <c r="CF170" s="67">
        <v>0</v>
      </c>
      <c r="CG170" s="67"/>
      <c r="CH170" s="67"/>
      <c r="CI170" s="67"/>
      <c r="CJ170" s="67"/>
      <c r="CK170" s="67">
        <v>0</v>
      </c>
      <c r="CL170" s="67">
        <v>0</v>
      </c>
      <c r="CM170" s="67"/>
      <c r="CN170" s="67"/>
      <c r="CO170" s="67">
        <v>0</v>
      </c>
      <c r="CP170" s="67">
        <v>0</v>
      </c>
      <c r="CQ170" s="67"/>
      <c r="CR170" s="67"/>
      <c r="CS170" s="67"/>
      <c r="CT170" s="67"/>
      <c r="CU170" s="67">
        <v>0</v>
      </c>
      <c r="CV170" s="67"/>
      <c r="CW170" s="67"/>
      <c r="CX170" s="67"/>
      <c r="CY170" s="67">
        <v>0</v>
      </c>
      <c r="CZ170" s="67"/>
      <c r="DA170" s="67"/>
      <c r="DB170" s="67"/>
      <c r="DC170" s="67"/>
      <c r="DF170" s="67"/>
      <c r="DG170" s="67">
        <v>10</v>
      </c>
      <c r="DH170" s="67">
        <v>10</v>
      </c>
      <c r="DI170" s="67">
        <v>0</v>
      </c>
      <c r="DJ170" s="67"/>
      <c r="DK170" s="67">
        <v>0</v>
      </c>
      <c r="DL170" s="67">
        <v>0</v>
      </c>
      <c r="DM170" s="67">
        <v>0</v>
      </c>
      <c r="DN170" s="67"/>
      <c r="DO170" s="67"/>
      <c r="DP170" s="67"/>
      <c r="DQ170" s="67">
        <v>0</v>
      </c>
      <c r="DR170" s="67">
        <v>0</v>
      </c>
      <c r="DS170" s="67"/>
      <c r="DT170" s="67"/>
      <c r="DU170" s="67">
        <v>0</v>
      </c>
      <c r="DV170" s="67">
        <v>0</v>
      </c>
      <c r="DW170" s="67">
        <v>0</v>
      </c>
      <c r="DX170" s="67">
        <v>0</v>
      </c>
      <c r="DY170" s="67"/>
      <c r="DZ170" s="67">
        <v>0</v>
      </c>
      <c r="EA170" s="67"/>
      <c r="EB170" s="67">
        <v>0</v>
      </c>
      <c r="EC170" s="67"/>
      <c r="ED170" s="67">
        <v>0</v>
      </c>
      <c r="EE170" s="67"/>
      <c r="EF170" s="67">
        <v>0</v>
      </c>
      <c r="EG170" s="67"/>
      <c r="EH170" s="67"/>
      <c r="EI170" s="67"/>
      <c r="EJ170" s="67"/>
      <c r="EK170" s="67"/>
      <c r="EL170" s="67"/>
      <c r="EM170" s="67"/>
      <c r="EN170" s="67"/>
      <c r="EO170" s="67"/>
      <c r="EP170" s="67">
        <v>0</v>
      </c>
      <c r="EQ170" s="67">
        <v>0</v>
      </c>
      <c r="ER170" s="67">
        <v>0</v>
      </c>
      <c r="ES170" s="67"/>
      <c r="ET170">
        <v>0</v>
      </c>
      <c r="EX170" s="67"/>
      <c r="EY170" s="67"/>
      <c r="EZ170" s="67"/>
      <c r="FA170" s="67">
        <v>110</v>
      </c>
      <c r="FB170" s="67"/>
      <c r="FC170" s="67"/>
      <c r="FD170" s="67"/>
      <c r="FE170" s="67"/>
      <c r="FF170" s="67"/>
      <c r="FG170" s="67"/>
      <c r="FH170" s="67"/>
      <c r="FI170" s="67" t="s">
        <v>1600</v>
      </c>
    </row>
    <row r="171" spans="2:165" ht="24" x14ac:dyDescent="0.2">
      <c r="B171" s="67" t="s">
        <v>574</v>
      </c>
      <c r="C171" s="67" t="s">
        <v>574</v>
      </c>
      <c r="D171" s="67" t="s">
        <v>575</v>
      </c>
      <c r="E171" s="67" t="s">
        <v>13</v>
      </c>
      <c r="F171" s="67" t="s">
        <v>1262</v>
      </c>
      <c r="G171" s="67" t="s">
        <v>1597</v>
      </c>
      <c r="H171" s="67"/>
      <c r="I171" s="67" t="s">
        <v>41</v>
      </c>
      <c r="J171" s="67" t="s">
        <v>64</v>
      </c>
      <c r="K171" s="67" t="s">
        <v>1617</v>
      </c>
      <c r="L171" s="67" t="s">
        <v>934</v>
      </c>
      <c r="M171" s="67" t="s">
        <v>752</v>
      </c>
      <c r="N171" s="67" t="s">
        <v>1604</v>
      </c>
      <c r="O171" s="67" t="s">
        <v>1599</v>
      </c>
      <c r="P171" s="67"/>
      <c r="Q171" s="67">
        <v>150</v>
      </c>
      <c r="R171" s="67">
        <v>0</v>
      </c>
      <c r="S171" s="67">
        <v>0</v>
      </c>
      <c r="T171" s="67">
        <v>0</v>
      </c>
      <c r="U171" s="67">
        <v>150</v>
      </c>
      <c r="V171" s="67">
        <v>0</v>
      </c>
      <c r="W171" s="67">
        <v>0</v>
      </c>
      <c r="X171" s="67">
        <v>0</v>
      </c>
      <c r="Y171" s="67">
        <v>0</v>
      </c>
      <c r="Z171" s="67">
        <v>0</v>
      </c>
      <c r="AA171" s="67">
        <v>0</v>
      </c>
      <c r="AB171" s="67">
        <v>0</v>
      </c>
      <c r="AC171" s="67">
        <v>0</v>
      </c>
      <c r="AD171" s="67">
        <v>0</v>
      </c>
      <c r="AE171" s="67">
        <v>0</v>
      </c>
      <c r="AF171" s="67">
        <v>0</v>
      </c>
      <c r="AG171" s="67">
        <v>0</v>
      </c>
      <c r="AH171" s="67">
        <v>0</v>
      </c>
      <c r="AI171" s="67">
        <v>0</v>
      </c>
      <c r="AJ171" s="67">
        <v>0</v>
      </c>
      <c r="AK171" s="67">
        <v>0</v>
      </c>
      <c r="AL171" s="67">
        <v>0</v>
      </c>
      <c r="AM171" s="67">
        <v>0</v>
      </c>
      <c r="AN171" s="67">
        <v>0</v>
      </c>
      <c r="AO171" s="67">
        <v>0</v>
      </c>
      <c r="AP171" s="67">
        <v>0</v>
      </c>
      <c r="AQ171" s="67">
        <v>0</v>
      </c>
      <c r="AR171" s="67">
        <v>0</v>
      </c>
      <c r="AS171" s="67">
        <v>0</v>
      </c>
      <c r="AT171" s="67"/>
      <c r="AU171" s="67"/>
      <c r="AV171" s="67"/>
      <c r="AW171" s="67">
        <v>0</v>
      </c>
      <c r="AX171" s="67">
        <v>0</v>
      </c>
      <c r="AY171" s="67"/>
      <c r="AZ171" s="67"/>
      <c r="BA171" s="67"/>
      <c r="BB171" s="67"/>
      <c r="BC171" s="67"/>
      <c r="BD171" s="67"/>
      <c r="BE171" s="67"/>
      <c r="BG171" s="67"/>
      <c r="BH171" s="67"/>
      <c r="BI171" s="67"/>
      <c r="BJ171" s="67">
        <v>0</v>
      </c>
      <c r="BK171" s="67"/>
      <c r="BL171" s="67"/>
      <c r="BP171" s="67"/>
      <c r="BQ171" s="67">
        <v>0</v>
      </c>
      <c r="BR171" s="67"/>
      <c r="BS171" s="67"/>
      <c r="BT171" s="67">
        <v>0</v>
      </c>
      <c r="BU171" s="67"/>
      <c r="BV171" s="67"/>
      <c r="BW171" s="67">
        <v>0</v>
      </c>
      <c r="BX171" s="67">
        <v>0</v>
      </c>
      <c r="BY171" s="67">
        <v>0</v>
      </c>
      <c r="BZ171" s="67">
        <v>0</v>
      </c>
      <c r="CA171" s="67"/>
      <c r="CB171" s="67">
        <v>0</v>
      </c>
      <c r="CC171" s="67"/>
      <c r="CD171" s="67"/>
      <c r="CE171" s="67">
        <v>0</v>
      </c>
      <c r="CF171" s="67">
        <v>0</v>
      </c>
      <c r="CG171" s="67"/>
      <c r="CH171" s="67"/>
      <c r="CI171" s="67"/>
      <c r="CJ171" s="67"/>
      <c r="CK171" s="67">
        <v>0</v>
      </c>
      <c r="CL171" s="67">
        <v>0</v>
      </c>
      <c r="CM171" s="67"/>
      <c r="CN171" s="67"/>
      <c r="CO171" s="67">
        <v>0</v>
      </c>
      <c r="CP171" s="67">
        <v>0</v>
      </c>
      <c r="CQ171" s="67"/>
      <c r="CR171" s="67"/>
      <c r="CS171" s="67"/>
      <c r="CT171" s="67"/>
      <c r="CU171" s="67">
        <v>0</v>
      </c>
      <c r="CV171" s="67"/>
      <c r="CW171" s="67"/>
      <c r="CX171" s="67"/>
      <c r="CY171" s="67">
        <v>0</v>
      </c>
      <c r="CZ171" s="67"/>
      <c r="DA171" s="67"/>
      <c r="DB171" s="67"/>
      <c r="DC171" s="67"/>
      <c r="DF171" s="67"/>
      <c r="DG171" s="67">
        <v>11.25</v>
      </c>
      <c r="DH171" s="67">
        <v>11.25</v>
      </c>
      <c r="DI171" s="67">
        <v>0</v>
      </c>
      <c r="DJ171" s="67"/>
      <c r="DK171" s="67">
        <v>0</v>
      </c>
      <c r="DL171" s="67">
        <v>0</v>
      </c>
      <c r="DM171" s="67">
        <v>0</v>
      </c>
      <c r="DN171" s="67"/>
      <c r="DO171" s="67"/>
      <c r="DP171" s="67"/>
      <c r="DQ171" s="67">
        <v>0</v>
      </c>
      <c r="DR171" s="67">
        <v>0</v>
      </c>
      <c r="DS171" s="67"/>
      <c r="DT171" s="67"/>
      <c r="DU171" s="67">
        <v>0</v>
      </c>
      <c r="DV171" s="67">
        <v>0</v>
      </c>
      <c r="DW171" s="67">
        <v>0</v>
      </c>
      <c r="DX171" s="67">
        <v>0</v>
      </c>
      <c r="DY171" s="67"/>
      <c r="DZ171" s="67">
        <v>0</v>
      </c>
      <c r="EA171" s="67"/>
      <c r="EB171" s="67">
        <v>0</v>
      </c>
      <c r="EC171" s="67"/>
      <c r="ED171" s="67">
        <v>0</v>
      </c>
      <c r="EE171" s="67"/>
      <c r="EF171" s="67">
        <v>0</v>
      </c>
      <c r="EG171" s="67"/>
      <c r="EH171" s="67"/>
      <c r="EI171" s="67"/>
      <c r="EJ171" s="67"/>
      <c r="EK171" s="67"/>
      <c r="EL171" s="67"/>
      <c r="EM171" s="67"/>
      <c r="EN171" s="67"/>
      <c r="EO171" s="67"/>
      <c r="EP171" s="67">
        <v>0</v>
      </c>
      <c r="EQ171" s="67">
        <v>0</v>
      </c>
      <c r="ER171" s="67">
        <v>0</v>
      </c>
      <c r="ES171" s="67"/>
      <c r="ET171">
        <v>0</v>
      </c>
      <c r="EX171" s="67"/>
      <c r="EY171" s="67"/>
      <c r="EZ171" s="67"/>
      <c r="FA171" s="67">
        <v>161.25</v>
      </c>
      <c r="FB171" s="67"/>
      <c r="FC171" s="67"/>
      <c r="FD171" s="67"/>
      <c r="FE171" s="67"/>
      <c r="FF171" s="67"/>
      <c r="FG171" s="67"/>
      <c r="FH171" s="67"/>
      <c r="FI171" s="67" t="s">
        <v>1600</v>
      </c>
    </row>
    <row r="172" spans="2:165" ht="24" x14ac:dyDescent="0.2">
      <c r="B172" s="67" t="s">
        <v>576</v>
      </c>
      <c r="C172" s="67" t="s">
        <v>576</v>
      </c>
      <c r="D172" s="67" t="s">
        <v>577</v>
      </c>
      <c r="E172" s="67" t="s">
        <v>13</v>
      </c>
      <c r="F172" s="67" t="s">
        <v>1262</v>
      </c>
      <c r="G172" s="67" t="s">
        <v>1597</v>
      </c>
      <c r="H172" s="67"/>
      <c r="I172" s="67" t="s">
        <v>41</v>
      </c>
      <c r="J172" s="67" t="s">
        <v>64</v>
      </c>
      <c r="K172" s="67" t="s">
        <v>1617</v>
      </c>
      <c r="L172" s="67" t="s">
        <v>934</v>
      </c>
      <c r="M172" s="67" t="s">
        <v>752</v>
      </c>
      <c r="N172" s="67" t="s">
        <v>1607</v>
      </c>
      <c r="O172" s="67" t="s">
        <v>1608</v>
      </c>
      <c r="P172" s="67"/>
      <c r="Q172" s="67">
        <v>50</v>
      </c>
      <c r="R172" s="67">
        <v>0</v>
      </c>
      <c r="S172" s="67">
        <v>0</v>
      </c>
      <c r="T172" s="67">
        <v>0</v>
      </c>
      <c r="U172" s="67">
        <v>50</v>
      </c>
      <c r="V172" s="67">
        <v>0</v>
      </c>
      <c r="W172" s="67">
        <v>0</v>
      </c>
      <c r="X172" s="67">
        <v>0</v>
      </c>
      <c r="Y172" s="67">
        <v>0</v>
      </c>
      <c r="Z172" s="67">
        <v>0</v>
      </c>
      <c r="AA172" s="67">
        <v>0</v>
      </c>
      <c r="AB172" s="67">
        <v>0</v>
      </c>
      <c r="AC172" s="67">
        <v>0</v>
      </c>
      <c r="AD172" s="67">
        <v>0</v>
      </c>
      <c r="AE172" s="67">
        <v>0</v>
      </c>
      <c r="AF172" s="67">
        <v>0</v>
      </c>
      <c r="AG172" s="67">
        <v>0</v>
      </c>
      <c r="AH172" s="67">
        <v>0</v>
      </c>
      <c r="AI172" s="67">
        <v>0</v>
      </c>
      <c r="AJ172" s="67">
        <v>0</v>
      </c>
      <c r="AK172" s="67">
        <v>0</v>
      </c>
      <c r="AL172" s="67">
        <v>0</v>
      </c>
      <c r="AM172" s="67">
        <v>0</v>
      </c>
      <c r="AN172" s="67">
        <v>0</v>
      </c>
      <c r="AO172" s="67">
        <v>0</v>
      </c>
      <c r="AP172" s="67">
        <v>0</v>
      </c>
      <c r="AQ172" s="67">
        <v>0</v>
      </c>
      <c r="AR172" s="67">
        <v>0</v>
      </c>
      <c r="AS172" s="67">
        <v>0</v>
      </c>
      <c r="AT172" s="67"/>
      <c r="AU172" s="67"/>
      <c r="AV172" s="67"/>
      <c r="AW172" s="67">
        <v>0</v>
      </c>
      <c r="AX172" s="67">
        <v>0</v>
      </c>
      <c r="AY172" s="67"/>
      <c r="AZ172" s="67"/>
      <c r="BA172" s="67"/>
      <c r="BB172" s="67"/>
      <c r="BC172" s="67"/>
      <c r="BD172" s="67"/>
      <c r="BE172" s="67"/>
      <c r="BG172" s="67"/>
      <c r="BH172" s="67"/>
      <c r="BI172" s="67"/>
      <c r="BJ172" s="67">
        <v>0</v>
      </c>
      <c r="BK172" s="67"/>
      <c r="BL172" s="67"/>
      <c r="BP172" s="67"/>
      <c r="BQ172" s="67">
        <v>0</v>
      </c>
      <c r="BR172" s="67"/>
      <c r="BS172" s="67"/>
      <c r="BT172" s="67">
        <v>0</v>
      </c>
      <c r="BU172" s="67"/>
      <c r="BV172" s="67"/>
      <c r="BW172" s="67">
        <v>0</v>
      </c>
      <c r="BX172" s="67">
        <v>0</v>
      </c>
      <c r="BY172" s="67">
        <v>0</v>
      </c>
      <c r="BZ172" s="67">
        <v>0</v>
      </c>
      <c r="CA172" s="67"/>
      <c r="CB172" s="67">
        <v>0</v>
      </c>
      <c r="CC172" s="67"/>
      <c r="CD172" s="67"/>
      <c r="CE172" s="67">
        <v>0</v>
      </c>
      <c r="CF172" s="67">
        <v>0</v>
      </c>
      <c r="CG172" s="67"/>
      <c r="CH172" s="67"/>
      <c r="CI172" s="67"/>
      <c r="CJ172" s="67"/>
      <c r="CK172" s="67">
        <v>0</v>
      </c>
      <c r="CL172" s="67">
        <v>0</v>
      </c>
      <c r="CM172" s="67"/>
      <c r="CN172" s="67"/>
      <c r="CO172" s="67">
        <v>0</v>
      </c>
      <c r="CP172" s="67">
        <v>0</v>
      </c>
      <c r="CQ172" s="67"/>
      <c r="CR172" s="67"/>
      <c r="CS172" s="67"/>
      <c r="CT172" s="67"/>
      <c r="CU172" s="67">
        <v>0</v>
      </c>
      <c r="CV172" s="67"/>
      <c r="CW172" s="67"/>
      <c r="CX172" s="67"/>
      <c r="CY172" s="67">
        <v>0</v>
      </c>
      <c r="CZ172" s="67"/>
      <c r="DA172" s="67"/>
      <c r="DB172" s="67"/>
      <c r="DC172" s="67"/>
      <c r="DF172" s="67"/>
      <c r="DG172" s="67">
        <v>5</v>
      </c>
      <c r="DH172" s="67">
        <v>5</v>
      </c>
      <c r="DI172" s="67">
        <v>0</v>
      </c>
      <c r="DJ172" s="67"/>
      <c r="DK172" s="67">
        <v>0</v>
      </c>
      <c r="DL172" s="67">
        <v>0</v>
      </c>
      <c r="DM172" s="67">
        <v>0</v>
      </c>
      <c r="DN172" s="67"/>
      <c r="DO172" s="67"/>
      <c r="DP172" s="67"/>
      <c r="DQ172" s="67">
        <v>0</v>
      </c>
      <c r="DR172" s="67">
        <v>0</v>
      </c>
      <c r="DS172" s="67"/>
      <c r="DT172" s="67"/>
      <c r="DU172" s="67">
        <v>0</v>
      </c>
      <c r="DV172" s="67">
        <v>0</v>
      </c>
      <c r="DW172" s="67">
        <v>0</v>
      </c>
      <c r="DX172" s="67">
        <v>0</v>
      </c>
      <c r="DY172" s="67"/>
      <c r="DZ172" s="67">
        <v>0</v>
      </c>
      <c r="EA172" s="67"/>
      <c r="EB172" s="67">
        <v>0</v>
      </c>
      <c r="EC172" s="67"/>
      <c r="ED172" s="67">
        <v>0</v>
      </c>
      <c r="EE172" s="67"/>
      <c r="EF172" s="67">
        <v>0</v>
      </c>
      <c r="EG172" s="67"/>
      <c r="EH172" s="67"/>
      <c r="EI172" s="67"/>
      <c r="EJ172" s="67"/>
      <c r="EK172" s="67"/>
      <c r="EL172" s="67"/>
      <c r="EM172" s="67"/>
      <c r="EN172" s="67"/>
      <c r="EO172" s="67"/>
      <c r="EP172" s="67">
        <v>0</v>
      </c>
      <c r="EQ172" s="67">
        <v>0</v>
      </c>
      <c r="ER172" s="67">
        <v>0</v>
      </c>
      <c r="ES172" s="67"/>
      <c r="ET172">
        <v>0</v>
      </c>
      <c r="EX172" s="67"/>
      <c r="EY172" s="67"/>
      <c r="EZ172" s="67"/>
      <c r="FA172" s="67">
        <v>55</v>
      </c>
      <c r="FB172" s="67"/>
      <c r="FC172" s="67"/>
      <c r="FD172" s="67"/>
      <c r="FE172" s="67"/>
      <c r="FF172" s="67"/>
      <c r="FG172" s="67"/>
      <c r="FH172" s="67"/>
      <c r="FI172" s="67" t="s">
        <v>1600</v>
      </c>
    </row>
    <row r="173" spans="2:165" x14ac:dyDescent="0.2">
      <c r="B173" s="67" t="s">
        <v>578</v>
      </c>
      <c r="C173" s="67" t="s">
        <v>578</v>
      </c>
      <c r="D173" s="67" t="s">
        <v>579</v>
      </c>
      <c r="E173" s="67" t="s">
        <v>23</v>
      </c>
      <c r="F173" s="67" t="s">
        <v>1262</v>
      </c>
      <c r="G173" s="67" t="s">
        <v>1597</v>
      </c>
      <c r="H173" s="67"/>
      <c r="I173" s="67" t="s">
        <v>786</v>
      </c>
      <c r="J173" s="67" t="s">
        <v>64</v>
      </c>
      <c r="K173" s="67" t="s">
        <v>1617</v>
      </c>
      <c r="L173" s="67" t="s">
        <v>934</v>
      </c>
      <c r="M173" s="67" t="s">
        <v>752</v>
      </c>
      <c r="N173" s="67" t="s">
        <v>1601</v>
      </c>
      <c r="O173" s="67" t="s">
        <v>1606</v>
      </c>
      <c r="P173" s="67"/>
      <c r="Q173" s="67">
        <v>50</v>
      </c>
      <c r="R173" s="67">
        <v>0</v>
      </c>
      <c r="S173" s="67">
        <v>0</v>
      </c>
      <c r="T173" s="67">
        <v>0</v>
      </c>
      <c r="U173" s="67">
        <v>50</v>
      </c>
      <c r="V173" s="67">
        <v>0</v>
      </c>
      <c r="W173" s="67">
        <v>0</v>
      </c>
      <c r="X173" s="67">
        <v>0</v>
      </c>
      <c r="Y173" s="67">
        <v>0</v>
      </c>
      <c r="Z173" s="67">
        <v>0</v>
      </c>
      <c r="AA173" s="67">
        <v>0</v>
      </c>
      <c r="AB173" s="67">
        <v>0</v>
      </c>
      <c r="AC173" s="67">
        <v>0</v>
      </c>
      <c r="AD173" s="67">
        <v>0</v>
      </c>
      <c r="AE173" s="67">
        <v>0</v>
      </c>
      <c r="AF173" s="67">
        <v>0</v>
      </c>
      <c r="AG173" s="67">
        <v>0</v>
      </c>
      <c r="AH173" s="67">
        <v>0</v>
      </c>
      <c r="AI173" s="67">
        <v>0</v>
      </c>
      <c r="AJ173" s="67">
        <v>0</v>
      </c>
      <c r="AK173" s="67">
        <v>0</v>
      </c>
      <c r="AL173" s="67">
        <v>0</v>
      </c>
      <c r="AM173" s="67">
        <v>0</v>
      </c>
      <c r="AN173" s="67">
        <v>0</v>
      </c>
      <c r="AO173" s="67">
        <v>0</v>
      </c>
      <c r="AP173" s="67">
        <v>0</v>
      </c>
      <c r="AQ173" s="67">
        <v>0</v>
      </c>
      <c r="AR173" s="67">
        <v>0</v>
      </c>
      <c r="AS173" s="67">
        <v>0</v>
      </c>
      <c r="AT173" s="67"/>
      <c r="AU173" s="67"/>
      <c r="AV173" s="67"/>
      <c r="AW173" s="67">
        <v>0</v>
      </c>
      <c r="AX173" s="67">
        <v>0</v>
      </c>
      <c r="AY173" s="67"/>
      <c r="AZ173" s="67"/>
      <c r="BA173" s="67"/>
      <c r="BB173" s="67"/>
      <c r="BC173" s="67"/>
      <c r="BD173" s="67"/>
      <c r="BE173" s="67"/>
      <c r="BG173" s="67"/>
      <c r="BH173" s="67"/>
      <c r="BI173" s="67"/>
      <c r="BJ173" s="67">
        <v>0</v>
      </c>
      <c r="BK173" s="67"/>
      <c r="BL173" s="67"/>
      <c r="BP173" s="67"/>
      <c r="BQ173" s="67">
        <v>0</v>
      </c>
      <c r="BR173" s="67"/>
      <c r="BS173" s="67"/>
      <c r="BT173" s="67">
        <v>0</v>
      </c>
      <c r="BU173" s="67"/>
      <c r="BV173" s="67"/>
      <c r="BW173" s="67">
        <v>0</v>
      </c>
      <c r="BX173" s="67">
        <v>0</v>
      </c>
      <c r="BY173" s="67">
        <v>0</v>
      </c>
      <c r="BZ173" s="67">
        <v>0</v>
      </c>
      <c r="CA173" s="67"/>
      <c r="CB173" s="67">
        <v>0</v>
      </c>
      <c r="CC173" s="67"/>
      <c r="CD173" s="67"/>
      <c r="CE173" s="67">
        <v>0</v>
      </c>
      <c r="CF173" s="67">
        <v>0</v>
      </c>
      <c r="CG173" s="67"/>
      <c r="CH173" s="67"/>
      <c r="CI173" s="67"/>
      <c r="CJ173" s="67"/>
      <c r="CK173" s="67">
        <v>0</v>
      </c>
      <c r="CL173" s="67">
        <v>0</v>
      </c>
      <c r="CM173" s="67"/>
      <c r="CN173" s="67"/>
      <c r="CO173" s="67">
        <v>0</v>
      </c>
      <c r="CP173" s="67">
        <v>0</v>
      </c>
      <c r="CQ173" s="67"/>
      <c r="CR173" s="67"/>
      <c r="CS173" s="67"/>
      <c r="CT173" s="67"/>
      <c r="CU173" s="67">
        <v>0</v>
      </c>
      <c r="CV173" s="67"/>
      <c r="CW173" s="67"/>
      <c r="CX173" s="67"/>
      <c r="CY173" s="67">
        <v>0</v>
      </c>
      <c r="CZ173" s="67"/>
      <c r="DA173" s="67"/>
      <c r="DB173" s="67"/>
      <c r="DC173" s="67"/>
      <c r="DF173" s="67"/>
      <c r="DG173" s="67">
        <v>5</v>
      </c>
      <c r="DH173" s="67">
        <v>5</v>
      </c>
      <c r="DI173" s="67">
        <v>0</v>
      </c>
      <c r="DJ173" s="67"/>
      <c r="DK173" s="67">
        <v>0</v>
      </c>
      <c r="DL173" s="67">
        <v>0</v>
      </c>
      <c r="DM173" s="67">
        <v>0</v>
      </c>
      <c r="DN173" s="67"/>
      <c r="DO173" s="67"/>
      <c r="DP173" s="67"/>
      <c r="DQ173" s="67">
        <v>0</v>
      </c>
      <c r="DR173" s="67">
        <v>0</v>
      </c>
      <c r="DS173" s="67"/>
      <c r="DT173" s="67"/>
      <c r="DU173" s="67">
        <v>0</v>
      </c>
      <c r="DV173" s="67">
        <v>0</v>
      </c>
      <c r="DW173" s="67">
        <v>0</v>
      </c>
      <c r="DX173" s="67">
        <v>0</v>
      </c>
      <c r="DY173" s="67"/>
      <c r="DZ173" s="67">
        <v>0</v>
      </c>
      <c r="EA173" s="67"/>
      <c r="EB173" s="67">
        <v>0</v>
      </c>
      <c r="EC173" s="67"/>
      <c r="ED173" s="67">
        <v>0</v>
      </c>
      <c r="EE173" s="67"/>
      <c r="EF173" s="67">
        <v>0</v>
      </c>
      <c r="EG173" s="67"/>
      <c r="EH173" s="67"/>
      <c r="EI173" s="67"/>
      <c r="EJ173" s="67"/>
      <c r="EK173" s="67"/>
      <c r="EL173" s="67"/>
      <c r="EM173" s="67"/>
      <c r="EN173" s="67"/>
      <c r="EO173" s="67"/>
      <c r="EP173" s="67">
        <v>0</v>
      </c>
      <c r="EQ173" s="67">
        <v>0</v>
      </c>
      <c r="ER173" s="67">
        <v>0</v>
      </c>
      <c r="ES173" s="67"/>
      <c r="ET173">
        <v>0</v>
      </c>
      <c r="EX173" s="67"/>
      <c r="EY173" s="67"/>
      <c r="EZ173" s="67"/>
      <c r="FA173" s="67">
        <v>55</v>
      </c>
      <c r="FB173" s="67"/>
      <c r="FC173" s="67"/>
      <c r="FD173" s="67"/>
      <c r="FE173" s="67"/>
      <c r="FF173" s="67"/>
      <c r="FG173" s="67"/>
      <c r="FH173" s="67"/>
      <c r="FI173" s="67" t="s">
        <v>1600</v>
      </c>
    </row>
    <row r="174" spans="2:165" ht="24" x14ac:dyDescent="0.2">
      <c r="B174" s="67" t="s">
        <v>580</v>
      </c>
      <c r="C174" s="67" t="s">
        <v>580</v>
      </c>
      <c r="D174" s="67" t="s">
        <v>581</v>
      </c>
      <c r="E174" s="67" t="s">
        <v>13</v>
      </c>
      <c r="F174" s="67" t="s">
        <v>1262</v>
      </c>
      <c r="G174" s="67" t="s">
        <v>1597</v>
      </c>
      <c r="H174" s="67"/>
      <c r="I174" s="67" t="s">
        <v>41</v>
      </c>
      <c r="J174" s="67" t="s">
        <v>64</v>
      </c>
      <c r="K174" s="67" t="s">
        <v>1617</v>
      </c>
      <c r="L174" s="67" t="s">
        <v>934</v>
      </c>
      <c r="M174" s="67" t="s">
        <v>752</v>
      </c>
      <c r="N174" s="67" t="s">
        <v>1607</v>
      </c>
      <c r="O174" s="67" t="s">
        <v>1608</v>
      </c>
      <c r="P174" s="67" t="s">
        <v>582</v>
      </c>
      <c r="Q174" s="67">
        <v>100</v>
      </c>
      <c r="R174" s="67">
        <v>0</v>
      </c>
      <c r="S174" s="67">
        <v>0</v>
      </c>
      <c r="T174" s="67">
        <v>0</v>
      </c>
      <c r="U174" s="67">
        <v>100</v>
      </c>
      <c r="V174" s="67">
        <v>0</v>
      </c>
      <c r="W174" s="67">
        <v>0</v>
      </c>
      <c r="X174" s="67">
        <v>0</v>
      </c>
      <c r="Y174" s="67">
        <v>0</v>
      </c>
      <c r="Z174" s="67">
        <v>0</v>
      </c>
      <c r="AA174" s="67">
        <v>0</v>
      </c>
      <c r="AB174" s="67">
        <v>0</v>
      </c>
      <c r="AC174" s="67">
        <v>0</v>
      </c>
      <c r="AD174" s="67">
        <v>0</v>
      </c>
      <c r="AE174" s="67">
        <v>0</v>
      </c>
      <c r="AF174" s="67">
        <v>0</v>
      </c>
      <c r="AG174" s="67">
        <v>0</v>
      </c>
      <c r="AH174" s="67">
        <v>0</v>
      </c>
      <c r="AI174" s="67">
        <v>0</v>
      </c>
      <c r="AJ174" s="67">
        <v>0</v>
      </c>
      <c r="AK174" s="67">
        <v>0</v>
      </c>
      <c r="AL174" s="67">
        <v>0</v>
      </c>
      <c r="AM174" s="67">
        <v>0</v>
      </c>
      <c r="AN174" s="67">
        <v>0</v>
      </c>
      <c r="AO174" s="67">
        <v>0</v>
      </c>
      <c r="AP174" s="67">
        <v>0</v>
      </c>
      <c r="AQ174" s="67">
        <v>0</v>
      </c>
      <c r="AR174" s="67">
        <v>0</v>
      </c>
      <c r="AS174" s="67">
        <v>0</v>
      </c>
      <c r="AT174" s="67"/>
      <c r="AU174" s="67"/>
      <c r="AV174" s="67"/>
      <c r="AW174" s="67">
        <v>0</v>
      </c>
      <c r="AX174" s="67">
        <v>0</v>
      </c>
      <c r="AY174" s="67"/>
      <c r="AZ174" s="67"/>
      <c r="BA174" s="67"/>
      <c r="BB174" s="67"/>
      <c r="BC174" s="67"/>
      <c r="BD174" s="67"/>
      <c r="BE174" s="67"/>
      <c r="BG174" s="67"/>
      <c r="BH174" s="67"/>
      <c r="BI174" s="67"/>
      <c r="BJ174" s="67">
        <v>0</v>
      </c>
      <c r="BK174" s="67"/>
      <c r="BL174" s="67"/>
      <c r="BP174" s="67"/>
      <c r="BQ174" s="67">
        <v>0</v>
      </c>
      <c r="BR174" s="67"/>
      <c r="BS174" s="67"/>
      <c r="BT174" s="67">
        <v>0</v>
      </c>
      <c r="BU174" s="67"/>
      <c r="BV174" s="67"/>
      <c r="BW174" s="67">
        <v>0</v>
      </c>
      <c r="BX174" s="67">
        <v>0</v>
      </c>
      <c r="BY174" s="67">
        <v>0</v>
      </c>
      <c r="BZ174" s="67">
        <v>0</v>
      </c>
      <c r="CA174" s="67"/>
      <c r="CB174" s="67">
        <v>0</v>
      </c>
      <c r="CC174" s="67"/>
      <c r="CD174" s="67"/>
      <c r="CE174" s="67">
        <v>0</v>
      </c>
      <c r="CF174" s="67">
        <v>0</v>
      </c>
      <c r="CG174" s="67"/>
      <c r="CH174" s="67"/>
      <c r="CI174" s="67"/>
      <c r="CJ174" s="67"/>
      <c r="CK174" s="67">
        <v>0</v>
      </c>
      <c r="CL174" s="67">
        <v>0</v>
      </c>
      <c r="CM174" s="67"/>
      <c r="CN174" s="67"/>
      <c r="CO174" s="67">
        <v>0</v>
      </c>
      <c r="CP174" s="67">
        <v>0</v>
      </c>
      <c r="CQ174" s="67"/>
      <c r="CR174" s="67"/>
      <c r="CS174" s="67"/>
      <c r="CT174" s="67"/>
      <c r="CU174" s="67">
        <v>0</v>
      </c>
      <c r="CV174" s="67"/>
      <c r="CW174" s="67"/>
      <c r="CX174" s="67"/>
      <c r="CY174" s="67">
        <v>0</v>
      </c>
      <c r="CZ174" s="67"/>
      <c r="DA174" s="67"/>
      <c r="DB174" s="67"/>
      <c r="DC174" s="67"/>
      <c r="DF174" s="67"/>
      <c r="DG174" s="67">
        <v>10</v>
      </c>
      <c r="DH174" s="67">
        <v>10</v>
      </c>
      <c r="DI174" s="67">
        <v>0</v>
      </c>
      <c r="DJ174" s="67"/>
      <c r="DK174" s="67">
        <v>0</v>
      </c>
      <c r="DL174" s="67">
        <v>0</v>
      </c>
      <c r="DM174" s="67">
        <v>0</v>
      </c>
      <c r="DN174" s="67"/>
      <c r="DO174" s="67"/>
      <c r="DP174" s="67"/>
      <c r="DQ174" s="67">
        <v>0</v>
      </c>
      <c r="DR174" s="67">
        <v>0</v>
      </c>
      <c r="DS174" s="67"/>
      <c r="DT174" s="67"/>
      <c r="DU174" s="67">
        <v>0</v>
      </c>
      <c r="DV174" s="67">
        <v>0</v>
      </c>
      <c r="DW174" s="67">
        <v>0</v>
      </c>
      <c r="DX174" s="67">
        <v>0</v>
      </c>
      <c r="DY174" s="67"/>
      <c r="DZ174" s="67">
        <v>0</v>
      </c>
      <c r="EA174" s="67"/>
      <c r="EB174" s="67">
        <v>0</v>
      </c>
      <c r="EC174" s="67"/>
      <c r="ED174" s="67">
        <v>0</v>
      </c>
      <c r="EE174" s="67"/>
      <c r="EF174" s="67">
        <v>0</v>
      </c>
      <c r="EG174" s="67"/>
      <c r="EH174" s="67"/>
      <c r="EI174" s="67"/>
      <c r="EJ174" s="67"/>
      <c r="EK174" s="67"/>
      <c r="EL174" s="67"/>
      <c r="EM174" s="67"/>
      <c r="EN174" s="67"/>
      <c r="EO174" s="67"/>
      <c r="EP174" s="67">
        <v>0</v>
      </c>
      <c r="EQ174" s="67">
        <v>0</v>
      </c>
      <c r="ER174" s="67">
        <v>0</v>
      </c>
      <c r="ES174" s="67"/>
      <c r="ET174">
        <v>0</v>
      </c>
      <c r="EX174" s="67"/>
      <c r="EY174" s="67"/>
      <c r="EZ174" s="67"/>
      <c r="FA174" s="67">
        <v>110</v>
      </c>
      <c r="FB174" s="67"/>
      <c r="FC174" s="67"/>
      <c r="FD174" s="67"/>
      <c r="FE174" s="67"/>
      <c r="FF174" s="67"/>
      <c r="FG174" s="67"/>
      <c r="FH174" s="67"/>
      <c r="FI174" s="67" t="s">
        <v>1600</v>
      </c>
    </row>
    <row r="175" spans="2:165" ht="24" x14ac:dyDescent="0.2">
      <c r="B175" s="67" t="s">
        <v>583</v>
      </c>
      <c r="C175" s="67" t="s">
        <v>583</v>
      </c>
      <c r="D175" s="67" t="s">
        <v>584</v>
      </c>
      <c r="E175" s="67" t="s">
        <v>13</v>
      </c>
      <c r="F175" s="67" t="s">
        <v>750</v>
      </c>
      <c r="G175" s="67" t="s">
        <v>1597</v>
      </c>
      <c r="H175" s="67"/>
      <c r="I175" s="67" t="s">
        <v>41</v>
      </c>
      <c r="J175" s="67" t="s">
        <v>64</v>
      </c>
      <c r="K175" s="67" t="s">
        <v>1617</v>
      </c>
      <c r="L175" s="67" t="s">
        <v>934</v>
      </c>
      <c r="M175" s="67" t="s">
        <v>752</v>
      </c>
      <c r="N175" s="67" t="s">
        <v>1601</v>
      </c>
      <c r="O175" s="67" t="s">
        <v>1606</v>
      </c>
      <c r="P175" s="67"/>
      <c r="Q175" s="67">
        <v>110</v>
      </c>
      <c r="R175" s="67">
        <v>0</v>
      </c>
      <c r="S175" s="67">
        <v>0</v>
      </c>
      <c r="T175" s="67">
        <v>110</v>
      </c>
      <c r="U175" s="67">
        <v>0</v>
      </c>
      <c r="V175" s="67">
        <v>0</v>
      </c>
      <c r="W175" s="67">
        <v>0</v>
      </c>
      <c r="X175" s="67">
        <v>0</v>
      </c>
      <c r="Y175" s="67">
        <v>0</v>
      </c>
      <c r="Z175" s="67">
        <v>0</v>
      </c>
      <c r="AA175" s="67">
        <v>0</v>
      </c>
      <c r="AB175" s="67">
        <v>0</v>
      </c>
      <c r="AC175" s="67">
        <v>0</v>
      </c>
      <c r="AD175" s="67">
        <v>0</v>
      </c>
      <c r="AE175" s="67">
        <v>0</v>
      </c>
      <c r="AF175" s="67">
        <v>0</v>
      </c>
      <c r="AG175" s="67">
        <v>0</v>
      </c>
      <c r="AH175" s="67">
        <v>0</v>
      </c>
      <c r="AI175" s="67">
        <v>0</v>
      </c>
      <c r="AJ175" s="67">
        <v>0</v>
      </c>
      <c r="AK175" s="67">
        <v>0</v>
      </c>
      <c r="AL175" s="67">
        <v>0</v>
      </c>
      <c r="AM175" s="67">
        <v>0</v>
      </c>
      <c r="AN175" s="67">
        <v>0</v>
      </c>
      <c r="AO175" s="67">
        <v>0</v>
      </c>
      <c r="AP175" s="67">
        <v>0</v>
      </c>
      <c r="AQ175" s="67">
        <v>0</v>
      </c>
      <c r="AR175" s="67">
        <v>0</v>
      </c>
      <c r="AS175" s="67">
        <v>0</v>
      </c>
      <c r="AT175" s="67"/>
      <c r="AU175" s="67"/>
      <c r="AV175" s="67"/>
      <c r="AW175" s="67">
        <v>0</v>
      </c>
      <c r="AX175" s="67">
        <v>0</v>
      </c>
      <c r="AY175" s="67"/>
      <c r="AZ175" s="67"/>
      <c r="BA175" s="67"/>
      <c r="BB175" s="67"/>
      <c r="BC175" s="67"/>
      <c r="BD175" s="67"/>
      <c r="BE175" s="67"/>
      <c r="BG175" s="67"/>
      <c r="BH175" s="67"/>
      <c r="BI175" s="67"/>
      <c r="BJ175" s="67">
        <v>0</v>
      </c>
      <c r="BK175" s="67"/>
      <c r="BL175" s="67"/>
      <c r="BP175" s="67"/>
      <c r="BQ175" s="67">
        <v>0</v>
      </c>
      <c r="BR175" s="67"/>
      <c r="BS175" s="67"/>
      <c r="BT175" s="67">
        <v>0</v>
      </c>
      <c r="BU175" s="67"/>
      <c r="BV175" s="67"/>
      <c r="BW175" s="67">
        <v>0</v>
      </c>
      <c r="BX175" s="67">
        <v>0</v>
      </c>
      <c r="BY175" s="67">
        <v>0</v>
      </c>
      <c r="BZ175" s="67">
        <v>0</v>
      </c>
      <c r="CA175" s="67"/>
      <c r="CB175" s="67">
        <v>0</v>
      </c>
      <c r="CC175" s="67"/>
      <c r="CD175" s="67"/>
      <c r="CE175" s="67">
        <v>0</v>
      </c>
      <c r="CF175" s="67">
        <v>0</v>
      </c>
      <c r="CG175" s="67"/>
      <c r="CH175" s="67"/>
      <c r="CI175" s="67"/>
      <c r="CJ175" s="67"/>
      <c r="CK175" s="67">
        <v>0</v>
      </c>
      <c r="CL175" s="67">
        <v>0</v>
      </c>
      <c r="CM175" s="67"/>
      <c r="CN175" s="67"/>
      <c r="CO175" s="67">
        <v>0</v>
      </c>
      <c r="CP175" s="67">
        <v>0</v>
      </c>
      <c r="CQ175" s="67"/>
      <c r="CR175" s="67"/>
      <c r="CS175" s="67"/>
      <c r="CT175" s="67"/>
      <c r="CU175" s="67">
        <v>0</v>
      </c>
      <c r="CV175" s="67"/>
      <c r="CW175" s="67"/>
      <c r="CX175" s="67"/>
      <c r="CY175" s="67">
        <v>0</v>
      </c>
      <c r="CZ175" s="67"/>
      <c r="DA175" s="67"/>
      <c r="DB175" s="67"/>
      <c r="DC175" s="67"/>
      <c r="DF175" s="67"/>
      <c r="DG175" s="67">
        <v>8.25</v>
      </c>
      <c r="DH175" s="67">
        <v>8.25</v>
      </c>
      <c r="DI175" s="67">
        <v>0</v>
      </c>
      <c r="DJ175" s="67"/>
      <c r="DK175" s="67">
        <v>0</v>
      </c>
      <c r="DL175" s="67">
        <v>0</v>
      </c>
      <c r="DM175" s="67">
        <v>0</v>
      </c>
      <c r="DN175" s="67"/>
      <c r="DO175" s="67"/>
      <c r="DP175" s="67"/>
      <c r="DQ175" s="67">
        <v>0</v>
      </c>
      <c r="DR175" s="67">
        <v>0</v>
      </c>
      <c r="DS175" s="67"/>
      <c r="DT175" s="67"/>
      <c r="DU175" s="67">
        <v>0</v>
      </c>
      <c r="DV175" s="67">
        <v>0</v>
      </c>
      <c r="DW175" s="67">
        <v>0</v>
      </c>
      <c r="DX175" s="67">
        <v>0</v>
      </c>
      <c r="DY175" s="67"/>
      <c r="DZ175" s="67">
        <v>0</v>
      </c>
      <c r="EA175" s="67"/>
      <c r="EB175" s="67">
        <v>0</v>
      </c>
      <c r="EC175" s="67"/>
      <c r="ED175" s="67">
        <v>0</v>
      </c>
      <c r="EE175" s="67"/>
      <c r="EF175" s="67">
        <v>0</v>
      </c>
      <c r="EG175" s="67"/>
      <c r="EH175" s="67"/>
      <c r="EI175" s="67"/>
      <c r="EJ175" s="67"/>
      <c r="EK175" s="67"/>
      <c r="EL175" s="67"/>
      <c r="EM175" s="67"/>
      <c r="EN175" s="67"/>
      <c r="EO175" s="67"/>
      <c r="EP175" s="67">
        <v>0</v>
      </c>
      <c r="EQ175" s="67">
        <v>0</v>
      </c>
      <c r="ER175" s="67">
        <v>0</v>
      </c>
      <c r="ES175" s="67"/>
      <c r="ET175">
        <v>0</v>
      </c>
      <c r="EX175" s="67"/>
      <c r="EY175" s="67"/>
      <c r="EZ175" s="67"/>
      <c r="FA175" s="67">
        <v>118.25</v>
      </c>
      <c r="FB175" s="67"/>
      <c r="FC175" s="67"/>
      <c r="FD175" s="67"/>
      <c r="FE175" s="67"/>
      <c r="FF175" s="67"/>
      <c r="FG175" s="67"/>
      <c r="FH175" s="67"/>
      <c r="FI175" s="67" t="s">
        <v>1600</v>
      </c>
    </row>
    <row r="176" spans="2:165" ht="24" x14ac:dyDescent="0.2">
      <c r="B176" s="67" t="s">
        <v>585</v>
      </c>
      <c r="C176" s="67" t="s">
        <v>585</v>
      </c>
      <c r="D176" s="67" t="s">
        <v>586</v>
      </c>
      <c r="E176" s="67" t="s">
        <v>13</v>
      </c>
      <c r="F176" s="67" t="s">
        <v>750</v>
      </c>
      <c r="G176" s="67" t="s">
        <v>1597</v>
      </c>
      <c r="H176" s="67"/>
      <c r="I176" s="67" t="s">
        <v>41</v>
      </c>
      <c r="J176" s="67" t="s">
        <v>64</v>
      </c>
      <c r="K176" s="67" t="s">
        <v>1617</v>
      </c>
      <c r="L176" s="67" t="s">
        <v>934</v>
      </c>
      <c r="M176" s="67" t="s">
        <v>752</v>
      </c>
      <c r="N176" s="67" t="s">
        <v>1607</v>
      </c>
      <c r="O176" s="67" t="s">
        <v>1608</v>
      </c>
      <c r="P176" s="67"/>
      <c r="Q176" s="67">
        <v>200</v>
      </c>
      <c r="R176" s="67">
        <v>0</v>
      </c>
      <c r="S176" s="67">
        <v>0</v>
      </c>
      <c r="T176" s="67">
        <v>50</v>
      </c>
      <c r="U176" s="67">
        <v>0</v>
      </c>
      <c r="V176" s="67">
        <v>0</v>
      </c>
      <c r="W176" s="67">
        <v>0</v>
      </c>
      <c r="X176" s="67">
        <v>0</v>
      </c>
      <c r="Y176" s="67">
        <v>0</v>
      </c>
      <c r="Z176" s="67">
        <v>0</v>
      </c>
      <c r="AA176" s="67">
        <v>0</v>
      </c>
      <c r="AB176" s="67">
        <v>0</v>
      </c>
      <c r="AC176" s="67">
        <v>0</v>
      </c>
      <c r="AD176" s="67">
        <v>0</v>
      </c>
      <c r="AE176" s="67">
        <v>0</v>
      </c>
      <c r="AF176" s="67">
        <v>0</v>
      </c>
      <c r="AG176" s="67">
        <v>0</v>
      </c>
      <c r="AH176" s="67">
        <v>0</v>
      </c>
      <c r="AI176" s="67">
        <v>0</v>
      </c>
      <c r="AJ176" s="67">
        <v>0</v>
      </c>
      <c r="AK176" s="67">
        <v>0</v>
      </c>
      <c r="AL176" s="67">
        <v>0</v>
      </c>
      <c r="AM176" s="67">
        <v>0</v>
      </c>
      <c r="AN176" s="67">
        <v>150</v>
      </c>
      <c r="AO176" s="67">
        <v>0</v>
      </c>
      <c r="AP176" s="67">
        <v>0</v>
      </c>
      <c r="AQ176" s="67">
        <v>0</v>
      </c>
      <c r="AR176" s="67">
        <v>0</v>
      </c>
      <c r="AS176" s="67">
        <v>0</v>
      </c>
      <c r="AT176" s="67"/>
      <c r="AU176" s="67"/>
      <c r="AV176" s="67"/>
      <c r="AW176" s="67">
        <v>0</v>
      </c>
      <c r="AX176" s="67">
        <v>0</v>
      </c>
      <c r="AY176" s="67"/>
      <c r="AZ176" s="67"/>
      <c r="BA176" s="67"/>
      <c r="BB176" s="67"/>
      <c r="BC176" s="67"/>
      <c r="BD176" s="67"/>
      <c r="BE176" s="67"/>
      <c r="BG176" s="67"/>
      <c r="BH176" s="67"/>
      <c r="BI176" s="67"/>
      <c r="BJ176" s="67">
        <v>0</v>
      </c>
      <c r="BK176" s="67"/>
      <c r="BL176" s="67"/>
      <c r="BP176" s="67"/>
      <c r="BQ176" s="67">
        <v>0</v>
      </c>
      <c r="BR176" s="67"/>
      <c r="BS176" s="67"/>
      <c r="BT176" s="67">
        <v>0</v>
      </c>
      <c r="BU176" s="67"/>
      <c r="BV176" s="67"/>
      <c r="BW176" s="67">
        <v>0</v>
      </c>
      <c r="BX176" s="67">
        <v>0</v>
      </c>
      <c r="BY176" s="67">
        <v>0</v>
      </c>
      <c r="BZ176" s="67">
        <v>0</v>
      </c>
      <c r="CA176" s="67"/>
      <c r="CB176" s="67">
        <v>0</v>
      </c>
      <c r="CC176" s="67"/>
      <c r="CD176" s="67"/>
      <c r="CE176" s="67">
        <v>0</v>
      </c>
      <c r="CF176" s="67">
        <v>0</v>
      </c>
      <c r="CG176" s="67"/>
      <c r="CH176" s="67"/>
      <c r="CI176" s="67"/>
      <c r="CJ176" s="67"/>
      <c r="CK176" s="67">
        <v>0</v>
      </c>
      <c r="CL176" s="67">
        <v>0</v>
      </c>
      <c r="CM176" s="67"/>
      <c r="CN176" s="67"/>
      <c r="CO176" s="67">
        <v>0</v>
      </c>
      <c r="CP176" s="67">
        <v>0</v>
      </c>
      <c r="CQ176" s="67"/>
      <c r="CR176" s="67"/>
      <c r="CS176" s="67"/>
      <c r="CT176" s="67"/>
      <c r="CU176" s="67">
        <v>0</v>
      </c>
      <c r="CV176" s="67"/>
      <c r="CW176" s="67"/>
      <c r="CX176" s="67"/>
      <c r="CY176" s="67">
        <v>0</v>
      </c>
      <c r="CZ176" s="67"/>
      <c r="DA176" s="67"/>
      <c r="DB176" s="67"/>
      <c r="DC176" s="67"/>
      <c r="DF176" s="67"/>
      <c r="DG176" s="67">
        <v>15</v>
      </c>
      <c r="DH176" s="67">
        <v>15</v>
      </c>
      <c r="DI176" s="67">
        <v>0</v>
      </c>
      <c r="DJ176" s="67"/>
      <c r="DK176" s="67">
        <v>0</v>
      </c>
      <c r="DL176" s="67">
        <v>0</v>
      </c>
      <c r="DM176" s="67">
        <v>0</v>
      </c>
      <c r="DN176" s="67"/>
      <c r="DO176" s="67"/>
      <c r="DP176" s="67"/>
      <c r="DQ176" s="67">
        <v>0</v>
      </c>
      <c r="DR176" s="67">
        <v>0</v>
      </c>
      <c r="DS176" s="67"/>
      <c r="DT176" s="67"/>
      <c r="DU176" s="67">
        <v>0</v>
      </c>
      <c r="DV176" s="67">
        <v>0</v>
      </c>
      <c r="DW176" s="67">
        <v>0</v>
      </c>
      <c r="DX176" s="67">
        <v>0</v>
      </c>
      <c r="DY176" s="67"/>
      <c r="DZ176" s="67">
        <v>0</v>
      </c>
      <c r="EA176" s="67"/>
      <c r="EB176" s="67">
        <v>0</v>
      </c>
      <c r="EC176" s="67"/>
      <c r="ED176" s="67">
        <v>0</v>
      </c>
      <c r="EE176" s="67"/>
      <c r="EF176" s="67">
        <v>0</v>
      </c>
      <c r="EG176" s="67"/>
      <c r="EH176" s="67"/>
      <c r="EI176" s="67"/>
      <c r="EJ176" s="67"/>
      <c r="EK176" s="67"/>
      <c r="EL176" s="67"/>
      <c r="EM176" s="67"/>
      <c r="EN176" s="67"/>
      <c r="EO176" s="67"/>
      <c r="EP176" s="67">
        <v>0</v>
      </c>
      <c r="EQ176" s="67">
        <v>0</v>
      </c>
      <c r="ER176" s="67">
        <v>0</v>
      </c>
      <c r="ES176" s="67"/>
      <c r="ET176">
        <v>0</v>
      </c>
      <c r="EX176" s="67"/>
      <c r="EY176" s="67"/>
      <c r="EZ176" s="67"/>
      <c r="FA176" s="67">
        <v>215</v>
      </c>
      <c r="FB176" s="67"/>
      <c r="FC176" s="67"/>
      <c r="FD176" s="67"/>
      <c r="FE176" s="67"/>
      <c r="FF176" s="67"/>
      <c r="FG176" s="67"/>
      <c r="FH176" s="67"/>
      <c r="FI176" s="67" t="s">
        <v>1600</v>
      </c>
    </row>
    <row r="177" spans="2:165" x14ac:dyDescent="0.2">
      <c r="B177" s="67" t="s">
        <v>587</v>
      </c>
      <c r="C177" s="67" t="s">
        <v>587</v>
      </c>
      <c r="D177" s="67" t="s">
        <v>588</v>
      </c>
      <c r="E177" s="67" t="s">
        <v>23</v>
      </c>
      <c r="F177" s="67" t="s">
        <v>750</v>
      </c>
      <c r="G177" s="67" t="s">
        <v>1597</v>
      </c>
      <c r="H177" s="67"/>
      <c r="I177" s="67" t="s">
        <v>41</v>
      </c>
      <c r="J177" s="67" t="s">
        <v>64</v>
      </c>
      <c r="K177" s="67" t="s">
        <v>1679</v>
      </c>
      <c r="L177" s="67" t="s">
        <v>934</v>
      </c>
      <c r="M177" s="67" t="s">
        <v>752</v>
      </c>
      <c r="N177" s="67" t="s">
        <v>1598</v>
      </c>
      <c r="O177" s="67" t="s">
        <v>1610</v>
      </c>
      <c r="P177" s="67"/>
      <c r="Q177" s="67">
        <v>100</v>
      </c>
      <c r="R177" s="67">
        <v>0</v>
      </c>
      <c r="S177" s="67">
        <v>0</v>
      </c>
      <c r="T177" s="67">
        <v>100</v>
      </c>
      <c r="U177" s="67">
        <v>0</v>
      </c>
      <c r="V177" s="67">
        <v>0</v>
      </c>
      <c r="W177" s="67">
        <v>0</v>
      </c>
      <c r="X177" s="67">
        <v>0</v>
      </c>
      <c r="Y177" s="67">
        <v>0</v>
      </c>
      <c r="Z177" s="67">
        <v>0</v>
      </c>
      <c r="AA177" s="67">
        <v>0</v>
      </c>
      <c r="AB177" s="67">
        <v>0</v>
      </c>
      <c r="AC177" s="67">
        <v>0</v>
      </c>
      <c r="AD177" s="67">
        <v>0</v>
      </c>
      <c r="AE177" s="67">
        <v>0</v>
      </c>
      <c r="AF177" s="67">
        <v>0</v>
      </c>
      <c r="AG177" s="67">
        <v>0</v>
      </c>
      <c r="AH177" s="67">
        <v>0</v>
      </c>
      <c r="AI177" s="67">
        <v>0</v>
      </c>
      <c r="AJ177" s="67">
        <v>0</v>
      </c>
      <c r="AK177" s="67">
        <v>0</v>
      </c>
      <c r="AL177" s="67">
        <v>0</v>
      </c>
      <c r="AM177" s="67">
        <v>0</v>
      </c>
      <c r="AN177" s="67">
        <v>0</v>
      </c>
      <c r="AO177" s="67">
        <v>0</v>
      </c>
      <c r="AP177" s="67">
        <v>0</v>
      </c>
      <c r="AQ177" s="67">
        <v>0</v>
      </c>
      <c r="AR177" s="67">
        <v>0</v>
      </c>
      <c r="AS177" s="67">
        <v>0</v>
      </c>
      <c r="AT177" s="67"/>
      <c r="AU177" s="67"/>
      <c r="AV177" s="67"/>
      <c r="AW177" s="67">
        <v>0</v>
      </c>
      <c r="AX177" s="67">
        <v>0</v>
      </c>
      <c r="AY177" s="67"/>
      <c r="AZ177" s="67"/>
      <c r="BA177" s="67"/>
      <c r="BB177" s="67"/>
      <c r="BC177" s="67"/>
      <c r="BD177" s="67"/>
      <c r="BE177" s="67"/>
      <c r="BG177" s="67"/>
      <c r="BH177" s="67"/>
      <c r="BI177" s="67"/>
      <c r="BJ177" s="67">
        <v>0</v>
      </c>
      <c r="BK177" s="67"/>
      <c r="BL177" s="67"/>
      <c r="BP177" s="67"/>
      <c r="BQ177" s="67">
        <v>0</v>
      </c>
      <c r="BR177" s="67"/>
      <c r="BS177" s="67"/>
      <c r="BT177" s="67">
        <v>0</v>
      </c>
      <c r="BU177" s="67"/>
      <c r="BV177" s="67"/>
      <c r="BW177" s="67">
        <v>0</v>
      </c>
      <c r="BX177" s="67">
        <v>0</v>
      </c>
      <c r="BY177" s="67">
        <v>0</v>
      </c>
      <c r="BZ177" s="67">
        <v>0</v>
      </c>
      <c r="CA177" s="67"/>
      <c r="CB177" s="67">
        <v>0</v>
      </c>
      <c r="CC177" s="67"/>
      <c r="CD177" s="67"/>
      <c r="CE177" s="67">
        <v>0</v>
      </c>
      <c r="CF177" s="67">
        <v>0</v>
      </c>
      <c r="CG177" s="67"/>
      <c r="CH177" s="67"/>
      <c r="CI177" s="67"/>
      <c r="CJ177" s="67"/>
      <c r="CK177" s="67">
        <v>0</v>
      </c>
      <c r="CL177" s="67">
        <v>0</v>
      </c>
      <c r="CM177" s="67"/>
      <c r="CN177" s="67"/>
      <c r="CO177" s="67">
        <v>0</v>
      </c>
      <c r="CP177" s="67">
        <v>0</v>
      </c>
      <c r="CQ177" s="67"/>
      <c r="CR177" s="67"/>
      <c r="CS177" s="67"/>
      <c r="CT177" s="67"/>
      <c r="CU177" s="67">
        <v>0</v>
      </c>
      <c r="CV177" s="67"/>
      <c r="CW177" s="67"/>
      <c r="CX177" s="67"/>
      <c r="CY177" s="67">
        <v>0</v>
      </c>
      <c r="CZ177" s="67"/>
      <c r="DA177" s="67"/>
      <c r="DB177" s="67"/>
      <c r="DC177" s="67"/>
      <c r="DF177" s="67"/>
      <c r="DG177" s="67">
        <v>7.5</v>
      </c>
      <c r="DH177" s="67">
        <v>7.5</v>
      </c>
      <c r="DI177" s="67">
        <v>0</v>
      </c>
      <c r="DJ177" s="67"/>
      <c r="DK177" s="67">
        <v>0</v>
      </c>
      <c r="DL177" s="67">
        <v>0</v>
      </c>
      <c r="DM177" s="67">
        <v>0</v>
      </c>
      <c r="DN177" s="67"/>
      <c r="DO177" s="67"/>
      <c r="DP177" s="67"/>
      <c r="DQ177" s="67">
        <v>0</v>
      </c>
      <c r="DR177" s="67">
        <v>0</v>
      </c>
      <c r="DS177" s="67"/>
      <c r="DT177" s="67"/>
      <c r="DU177" s="67">
        <v>0</v>
      </c>
      <c r="DV177" s="67">
        <v>0</v>
      </c>
      <c r="DW177" s="67">
        <v>0</v>
      </c>
      <c r="DX177" s="67">
        <v>0</v>
      </c>
      <c r="DY177" s="67"/>
      <c r="DZ177" s="67">
        <v>0</v>
      </c>
      <c r="EA177" s="67"/>
      <c r="EB177" s="67">
        <v>0</v>
      </c>
      <c r="EC177" s="67"/>
      <c r="ED177" s="67">
        <v>0</v>
      </c>
      <c r="EE177" s="67"/>
      <c r="EF177" s="67">
        <v>0</v>
      </c>
      <c r="EG177" s="67"/>
      <c r="EH177" s="67"/>
      <c r="EI177" s="67"/>
      <c r="EJ177" s="67"/>
      <c r="EK177" s="67"/>
      <c r="EL177" s="67"/>
      <c r="EM177" s="67"/>
      <c r="EN177" s="67"/>
      <c r="EO177" s="67"/>
      <c r="EP177" s="67">
        <v>0</v>
      </c>
      <c r="EQ177" s="67">
        <v>0</v>
      </c>
      <c r="ER177" s="67">
        <v>0</v>
      </c>
      <c r="ES177" s="67"/>
      <c r="ET177">
        <v>0</v>
      </c>
      <c r="EX177" s="67"/>
      <c r="EY177" s="67"/>
      <c r="EZ177" s="67"/>
      <c r="FA177" s="67">
        <v>107.5</v>
      </c>
      <c r="FB177" s="67"/>
      <c r="FC177" s="67"/>
      <c r="FD177" s="67"/>
      <c r="FE177" s="67"/>
      <c r="FF177" s="67"/>
      <c r="FG177" s="67"/>
      <c r="FH177" s="67"/>
      <c r="FI177" s="67" t="s">
        <v>1600</v>
      </c>
    </row>
    <row r="178" spans="2:165" ht="24" x14ac:dyDescent="0.2">
      <c r="B178" s="67" t="s">
        <v>589</v>
      </c>
      <c r="C178" s="67" t="s">
        <v>589</v>
      </c>
      <c r="D178" s="67" t="s">
        <v>590</v>
      </c>
      <c r="E178" s="67" t="s">
        <v>13</v>
      </c>
      <c r="F178" s="67" t="s">
        <v>750</v>
      </c>
      <c r="G178" s="67" t="s">
        <v>1597</v>
      </c>
      <c r="H178" s="67"/>
      <c r="I178" s="67" t="s">
        <v>41</v>
      </c>
      <c r="J178" s="67" t="s">
        <v>64</v>
      </c>
      <c r="K178" s="67" t="s">
        <v>1679</v>
      </c>
      <c r="L178" s="67" t="s">
        <v>934</v>
      </c>
      <c r="M178" s="67" t="s">
        <v>752</v>
      </c>
      <c r="N178" s="67" t="s">
        <v>1598</v>
      </c>
      <c r="O178" s="67" t="s">
        <v>1608</v>
      </c>
      <c r="P178" s="67"/>
      <c r="Q178" s="67">
        <v>100</v>
      </c>
      <c r="R178" s="67">
        <v>0</v>
      </c>
      <c r="S178" s="67">
        <v>0</v>
      </c>
      <c r="T178" s="67">
        <v>100</v>
      </c>
      <c r="U178" s="67">
        <v>0</v>
      </c>
      <c r="V178" s="67">
        <v>0</v>
      </c>
      <c r="W178" s="67">
        <v>0</v>
      </c>
      <c r="X178" s="67">
        <v>0</v>
      </c>
      <c r="Y178" s="67">
        <v>0</v>
      </c>
      <c r="Z178" s="67">
        <v>0</v>
      </c>
      <c r="AA178" s="67">
        <v>0</v>
      </c>
      <c r="AB178" s="67">
        <v>0</v>
      </c>
      <c r="AC178" s="67">
        <v>0</v>
      </c>
      <c r="AD178" s="67">
        <v>0</v>
      </c>
      <c r="AE178" s="67">
        <v>0</v>
      </c>
      <c r="AF178" s="67">
        <v>0</v>
      </c>
      <c r="AG178" s="67">
        <v>0</v>
      </c>
      <c r="AH178" s="67">
        <v>0</v>
      </c>
      <c r="AI178" s="67">
        <v>0</v>
      </c>
      <c r="AJ178" s="67">
        <v>0</v>
      </c>
      <c r="AK178" s="67">
        <v>0</v>
      </c>
      <c r="AL178" s="67">
        <v>0</v>
      </c>
      <c r="AM178" s="67">
        <v>0</v>
      </c>
      <c r="AN178" s="67">
        <v>0</v>
      </c>
      <c r="AO178" s="67">
        <v>0</v>
      </c>
      <c r="AP178" s="67">
        <v>0</v>
      </c>
      <c r="AQ178" s="67">
        <v>0</v>
      </c>
      <c r="AR178" s="67">
        <v>0</v>
      </c>
      <c r="AS178" s="67">
        <v>0</v>
      </c>
      <c r="AT178" s="67"/>
      <c r="AU178" s="67"/>
      <c r="AV178" s="67"/>
      <c r="AW178" s="67">
        <v>0</v>
      </c>
      <c r="AX178" s="67">
        <v>0</v>
      </c>
      <c r="AY178" s="67"/>
      <c r="AZ178" s="67"/>
      <c r="BA178" s="67"/>
      <c r="BB178" s="67"/>
      <c r="BC178" s="67"/>
      <c r="BD178" s="67"/>
      <c r="BE178" s="67"/>
      <c r="BG178" s="67"/>
      <c r="BH178" s="67"/>
      <c r="BI178" s="67"/>
      <c r="BJ178" s="67">
        <v>0</v>
      </c>
      <c r="BK178" s="67"/>
      <c r="BL178" s="67"/>
      <c r="BP178" s="67"/>
      <c r="BQ178" s="67">
        <v>0</v>
      </c>
      <c r="BR178" s="67"/>
      <c r="BS178" s="67"/>
      <c r="BT178" s="67">
        <v>0</v>
      </c>
      <c r="BU178" s="67"/>
      <c r="BV178" s="67"/>
      <c r="BW178" s="67">
        <v>0</v>
      </c>
      <c r="BX178" s="67">
        <v>0</v>
      </c>
      <c r="BY178" s="67">
        <v>0</v>
      </c>
      <c r="BZ178" s="67">
        <v>0</v>
      </c>
      <c r="CA178" s="67"/>
      <c r="CB178" s="67">
        <v>0</v>
      </c>
      <c r="CC178" s="67"/>
      <c r="CD178" s="67"/>
      <c r="CE178" s="67">
        <v>0</v>
      </c>
      <c r="CF178" s="67">
        <v>0</v>
      </c>
      <c r="CG178" s="67"/>
      <c r="CH178" s="67"/>
      <c r="CI178" s="67"/>
      <c r="CJ178" s="67"/>
      <c r="CK178" s="67">
        <v>0</v>
      </c>
      <c r="CL178" s="67">
        <v>0</v>
      </c>
      <c r="CM178" s="67"/>
      <c r="CN178" s="67"/>
      <c r="CO178" s="67">
        <v>0</v>
      </c>
      <c r="CP178" s="67">
        <v>0</v>
      </c>
      <c r="CQ178" s="67"/>
      <c r="CR178" s="67"/>
      <c r="CS178" s="67"/>
      <c r="CT178" s="67"/>
      <c r="CU178" s="67">
        <v>0</v>
      </c>
      <c r="CV178" s="67"/>
      <c r="CW178" s="67"/>
      <c r="CX178" s="67"/>
      <c r="CY178" s="67">
        <v>0</v>
      </c>
      <c r="CZ178" s="67"/>
      <c r="DA178" s="67"/>
      <c r="DB178" s="67"/>
      <c r="DC178" s="67"/>
      <c r="DF178" s="67"/>
      <c r="DG178" s="67">
        <v>7.5</v>
      </c>
      <c r="DH178" s="67">
        <v>7.5</v>
      </c>
      <c r="DI178" s="67">
        <v>0</v>
      </c>
      <c r="DJ178" s="67"/>
      <c r="DK178" s="67">
        <v>0</v>
      </c>
      <c r="DL178" s="67">
        <v>0</v>
      </c>
      <c r="DM178" s="67">
        <v>0</v>
      </c>
      <c r="DN178" s="67"/>
      <c r="DO178" s="67"/>
      <c r="DP178" s="67"/>
      <c r="DQ178" s="67">
        <v>0</v>
      </c>
      <c r="DR178" s="67">
        <v>0</v>
      </c>
      <c r="DS178" s="67"/>
      <c r="DT178" s="67"/>
      <c r="DU178" s="67">
        <v>0</v>
      </c>
      <c r="DV178" s="67">
        <v>0</v>
      </c>
      <c r="DW178" s="67">
        <v>0</v>
      </c>
      <c r="DX178" s="67">
        <v>0</v>
      </c>
      <c r="DY178" s="67"/>
      <c r="DZ178" s="67">
        <v>0</v>
      </c>
      <c r="EA178" s="67"/>
      <c r="EB178" s="67">
        <v>0</v>
      </c>
      <c r="EC178" s="67"/>
      <c r="ED178" s="67">
        <v>0</v>
      </c>
      <c r="EE178" s="67"/>
      <c r="EF178" s="67">
        <v>0</v>
      </c>
      <c r="EG178" s="67"/>
      <c r="EH178" s="67"/>
      <c r="EI178" s="67"/>
      <c r="EJ178" s="67"/>
      <c r="EK178" s="67"/>
      <c r="EL178" s="67"/>
      <c r="EM178" s="67"/>
      <c r="EN178" s="67"/>
      <c r="EO178" s="67"/>
      <c r="EP178" s="67">
        <v>0</v>
      </c>
      <c r="EQ178" s="67">
        <v>0</v>
      </c>
      <c r="ER178" s="67">
        <v>0</v>
      </c>
      <c r="ES178" s="67"/>
      <c r="ET178">
        <v>0</v>
      </c>
      <c r="EX178" s="67"/>
      <c r="EY178" s="67"/>
      <c r="EZ178" s="67"/>
      <c r="FA178" s="67">
        <v>107.5</v>
      </c>
      <c r="FB178" s="67"/>
      <c r="FC178" s="67"/>
      <c r="FD178" s="67"/>
      <c r="FE178" s="67"/>
      <c r="FF178" s="67"/>
      <c r="FG178" s="67"/>
      <c r="FH178" s="67"/>
      <c r="FI178" s="67" t="s">
        <v>1600</v>
      </c>
    </row>
    <row r="179" spans="2:165" ht="24" x14ac:dyDescent="0.2">
      <c r="B179" s="67" t="s">
        <v>591</v>
      </c>
      <c r="C179" s="67" t="s">
        <v>591</v>
      </c>
      <c r="D179" s="67" t="s">
        <v>592</v>
      </c>
      <c r="E179" s="67" t="s">
        <v>13</v>
      </c>
      <c r="F179" s="67" t="s">
        <v>750</v>
      </c>
      <c r="G179" s="67" t="s">
        <v>1597</v>
      </c>
      <c r="H179" s="67"/>
      <c r="I179" s="67" t="s">
        <v>41</v>
      </c>
      <c r="J179" s="67" t="s">
        <v>64</v>
      </c>
      <c r="K179" s="67" t="s">
        <v>1679</v>
      </c>
      <c r="L179" s="67" t="s">
        <v>934</v>
      </c>
      <c r="M179" s="67" t="s">
        <v>752</v>
      </c>
      <c r="N179" s="67" t="s">
        <v>1598</v>
      </c>
      <c r="O179" s="67" t="s">
        <v>1610</v>
      </c>
      <c r="P179" s="67"/>
      <c r="Q179" s="67">
        <v>250</v>
      </c>
      <c r="R179" s="67">
        <v>0</v>
      </c>
      <c r="S179" s="67">
        <v>0</v>
      </c>
      <c r="T179" s="67">
        <v>250</v>
      </c>
      <c r="U179" s="67">
        <v>0</v>
      </c>
      <c r="V179" s="67">
        <v>0</v>
      </c>
      <c r="W179" s="67">
        <v>0</v>
      </c>
      <c r="X179" s="67">
        <v>0</v>
      </c>
      <c r="Y179" s="67">
        <v>0</v>
      </c>
      <c r="Z179" s="67">
        <v>0</v>
      </c>
      <c r="AA179" s="67">
        <v>0</v>
      </c>
      <c r="AB179" s="67">
        <v>0</v>
      </c>
      <c r="AC179" s="67">
        <v>0</v>
      </c>
      <c r="AD179" s="67">
        <v>0</v>
      </c>
      <c r="AE179" s="67">
        <v>0</v>
      </c>
      <c r="AF179" s="67">
        <v>0</v>
      </c>
      <c r="AG179" s="67">
        <v>0</v>
      </c>
      <c r="AH179" s="67">
        <v>0</v>
      </c>
      <c r="AI179" s="67">
        <v>0</v>
      </c>
      <c r="AJ179" s="67">
        <v>0</v>
      </c>
      <c r="AK179" s="67">
        <v>0</v>
      </c>
      <c r="AL179" s="67">
        <v>0</v>
      </c>
      <c r="AM179" s="67">
        <v>0</v>
      </c>
      <c r="AN179" s="67">
        <v>0</v>
      </c>
      <c r="AO179" s="67">
        <v>0</v>
      </c>
      <c r="AP179" s="67">
        <v>0</v>
      </c>
      <c r="AQ179" s="67">
        <v>0</v>
      </c>
      <c r="AR179" s="67">
        <v>0</v>
      </c>
      <c r="AS179" s="67">
        <v>0</v>
      </c>
      <c r="AT179" s="67"/>
      <c r="AU179" s="67"/>
      <c r="AV179" s="67"/>
      <c r="AW179" s="67">
        <v>0</v>
      </c>
      <c r="AX179" s="67">
        <v>0</v>
      </c>
      <c r="AY179" s="67"/>
      <c r="AZ179" s="67"/>
      <c r="BA179" s="67"/>
      <c r="BB179" s="67"/>
      <c r="BC179" s="67"/>
      <c r="BD179" s="67"/>
      <c r="BE179" s="67"/>
      <c r="BG179" s="67"/>
      <c r="BH179" s="67"/>
      <c r="BI179" s="67"/>
      <c r="BJ179" s="67">
        <v>0</v>
      </c>
      <c r="BK179" s="67"/>
      <c r="BL179" s="67"/>
      <c r="BP179" s="67"/>
      <c r="BQ179" s="67">
        <v>0</v>
      </c>
      <c r="BR179" s="67"/>
      <c r="BS179" s="67"/>
      <c r="BT179" s="67">
        <v>0</v>
      </c>
      <c r="BU179" s="67"/>
      <c r="BV179" s="67"/>
      <c r="BW179" s="67">
        <v>0</v>
      </c>
      <c r="BX179" s="67">
        <v>0</v>
      </c>
      <c r="BY179" s="67">
        <v>0</v>
      </c>
      <c r="BZ179" s="67">
        <v>0</v>
      </c>
      <c r="CA179" s="67"/>
      <c r="CB179" s="67">
        <v>0</v>
      </c>
      <c r="CC179" s="67"/>
      <c r="CD179" s="67"/>
      <c r="CE179" s="67">
        <v>0</v>
      </c>
      <c r="CF179" s="67">
        <v>0</v>
      </c>
      <c r="CG179" s="67"/>
      <c r="CH179" s="67"/>
      <c r="CI179" s="67"/>
      <c r="CJ179" s="67"/>
      <c r="CK179" s="67">
        <v>0</v>
      </c>
      <c r="CL179" s="67">
        <v>0</v>
      </c>
      <c r="CM179" s="67"/>
      <c r="CN179" s="67"/>
      <c r="CO179" s="67">
        <v>0</v>
      </c>
      <c r="CP179" s="67">
        <v>0</v>
      </c>
      <c r="CQ179" s="67"/>
      <c r="CR179" s="67"/>
      <c r="CS179" s="67"/>
      <c r="CT179" s="67"/>
      <c r="CU179" s="67">
        <v>0</v>
      </c>
      <c r="CV179" s="67"/>
      <c r="CW179" s="67"/>
      <c r="CX179" s="67"/>
      <c r="CY179" s="67">
        <v>0</v>
      </c>
      <c r="CZ179" s="67"/>
      <c r="DA179" s="67"/>
      <c r="DB179" s="67"/>
      <c r="DC179" s="67"/>
      <c r="DF179" s="67"/>
      <c r="DG179" s="67">
        <v>18.75</v>
      </c>
      <c r="DH179" s="67">
        <v>18.75</v>
      </c>
      <c r="DI179" s="67">
        <v>0</v>
      </c>
      <c r="DJ179" s="67"/>
      <c r="DK179" s="67">
        <v>0</v>
      </c>
      <c r="DL179" s="67">
        <v>0</v>
      </c>
      <c r="DM179" s="67">
        <v>0</v>
      </c>
      <c r="DN179" s="67"/>
      <c r="DO179" s="67"/>
      <c r="DP179" s="67"/>
      <c r="DQ179" s="67">
        <v>0</v>
      </c>
      <c r="DR179" s="67">
        <v>0</v>
      </c>
      <c r="DS179" s="67"/>
      <c r="DT179" s="67"/>
      <c r="DU179" s="67">
        <v>0</v>
      </c>
      <c r="DV179" s="67">
        <v>0</v>
      </c>
      <c r="DW179" s="67">
        <v>0</v>
      </c>
      <c r="DX179" s="67">
        <v>0</v>
      </c>
      <c r="DY179" s="67"/>
      <c r="DZ179" s="67">
        <v>0</v>
      </c>
      <c r="EA179" s="67"/>
      <c r="EB179" s="67">
        <v>0</v>
      </c>
      <c r="EC179" s="67"/>
      <c r="ED179" s="67">
        <v>0</v>
      </c>
      <c r="EE179" s="67"/>
      <c r="EF179" s="67">
        <v>0</v>
      </c>
      <c r="EG179" s="67"/>
      <c r="EH179" s="67"/>
      <c r="EI179" s="67"/>
      <c r="EJ179" s="67"/>
      <c r="EK179" s="67"/>
      <c r="EL179" s="67"/>
      <c r="EM179" s="67"/>
      <c r="EN179" s="67"/>
      <c r="EO179" s="67"/>
      <c r="EP179" s="67">
        <v>0</v>
      </c>
      <c r="EQ179" s="67">
        <v>0</v>
      </c>
      <c r="ER179" s="67">
        <v>0</v>
      </c>
      <c r="ES179" s="67"/>
      <c r="ET179">
        <v>0</v>
      </c>
      <c r="EX179" s="67"/>
      <c r="EY179" s="67"/>
      <c r="EZ179" s="67"/>
      <c r="FA179" s="67">
        <v>268.75</v>
      </c>
      <c r="FB179" s="67"/>
      <c r="FC179" s="67"/>
      <c r="FD179" s="67"/>
      <c r="FE179" s="67"/>
      <c r="FF179" s="67"/>
      <c r="FG179" s="67"/>
      <c r="FH179" s="67"/>
      <c r="FI179" s="67" t="s">
        <v>1600</v>
      </c>
    </row>
    <row r="180" spans="2:165" ht="24" x14ac:dyDescent="0.2">
      <c r="B180" s="67" t="s">
        <v>305</v>
      </c>
      <c r="C180" s="67" t="s">
        <v>1680</v>
      </c>
      <c r="D180" s="67" t="s">
        <v>593</v>
      </c>
      <c r="E180" s="67" t="s">
        <v>13</v>
      </c>
      <c r="F180" s="67" t="s">
        <v>1284</v>
      </c>
      <c r="G180" s="67" t="s">
        <v>1614</v>
      </c>
      <c r="H180" s="67"/>
      <c r="I180" s="67" t="s">
        <v>22</v>
      </c>
      <c r="J180" s="67" t="s">
        <v>64</v>
      </c>
      <c r="K180" s="67" t="s">
        <v>1679</v>
      </c>
      <c r="L180" s="67" t="s">
        <v>787</v>
      </c>
      <c r="M180" s="67" t="s">
        <v>1615</v>
      </c>
      <c r="N180" s="67" t="s">
        <v>1598</v>
      </c>
      <c r="O180" s="67" t="s">
        <v>1606</v>
      </c>
      <c r="P180" s="67"/>
      <c r="Q180" s="67">
        <v>0</v>
      </c>
      <c r="R180" s="67">
        <v>0</v>
      </c>
      <c r="S180" s="67">
        <v>0</v>
      </c>
      <c r="T180" s="67">
        <v>0</v>
      </c>
      <c r="U180" s="67">
        <v>0</v>
      </c>
      <c r="V180" s="67">
        <v>0</v>
      </c>
      <c r="W180" s="67">
        <v>0</v>
      </c>
      <c r="X180" s="67">
        <v>0</v>
      </c>
      <c r="Y180" s="67">
        <v>0</v>
      </c>
      <c r="Z180" s="67">
        <v>0</v>
      </c>
      <c r="AA180" s="67">
        <v>0</v>
      </c>
      <c r="AB180" s="67">
        <v>0</v>
      </c>
      <c r="AC180" s="67">
        <v>0</v>
      </c>
      <c r="AD180" s="67">
        <v>0</v>
      </c>
      <c r="AE180" s="67">
        <v>0</v>
      </c>
      <c r="AF180" s="67">
        <v>0</v>
      </c>
      <c r="AG180" s="67">
        <v>0</v>
      </c>
      <c r="AH180" s="67">
        <v>0</v>
      </c>
      <c r="AI180" s="67">
        <v>0</v>
      </c>
      <c r="AJ180" s="67">
        <v>0</v>
      </c>
      <c r="AK180" s="67">
        <v>0</v>
      </c>
      <c r="AL180" s="67">
        <v>0</v>
      </c>
      <c r="AM180" s="67">
        <v>0</v>
      </c>
      <c r="AN180" s="67">
        <v>0</v>
      </c>
      <c r="AO180" s="67">
        <v>0</v>
      </c>
      <c r="AP180" s="67">
        <v>0</v>
      </c>
      <c r="AQ180" s="67">
        <v>0</v>
      </c>
      <c r="AR180" s="67">
        <v>0</v>
      </c>
      <c r="AS180" s="67">
        <v>0</v>
      </c>
      <c r="AT180" s="67"/>
      <c r="AU180" s="67"/>
      <c r="AV180" s="67"/>
      <c r="AW180" s="67">
        <v>0</v>
      </c>
      <c r="AX180" s="67">
        <v>0</v>
      </c>
      <c r="AY180" s="67"/>
      <c r="AZ180" s="67"/>
      <c r="BA180" s="67"/>
      <c r="BB180" s="67"/>
      <c r="BC180" s="67"/>
      <c r="BD180" s="67"/>
      <c r="BE180" s="67"/>
      <c r="BG180" s="67"/>
      <c r="BH180" s="67"/>
      <c r="BI180" s="67"/>
      <c r="BJ180" s="67">
        <v>0</v>
      </c>
      <c r="BK180" s="67"/>
      <c r="BL180" s="67"/>
      <c r="BP180" s="67"/>
      <c r="BQ180" s="67">
        <v>0</v>
      </c>
      <c r="BR180" s="67"/>
      <c r="BS180" s="67"/>
      <c r="BT180" s="67">
        <v>0</v>
      </c>
      <c r="BU180" s="67"/>
      <c r="BV180" s="67"/>
      <c r="BW180" s="67">
        <v>0</v>
      </c>
      <c r="BX180" s="67">
        <v>0</v>
      </c>
      <c r="BY180" s="67">
        <v>0</v>
      </c>
      <c r="BZ180" s="67">
        <v>0</v>
      </c>
      <c r="CA180" s="67"/>
      <c r="CB180" s="67">
        <v>0</v>
      </c>
      <c r="CC180" s="67"/>
      <c r="CD180" s="67"/>
      <c r="CE180" s="67">
        <v>0</v>
      </c>
      <c r="CF180" s="67">
        <v>0</v>
      </c>
      <c r="CG180" s="67"/>
      <c r="CH180" s="67"/>
      <c r="CI180" s="67"/>
      <c r="CJ180" s="67"/>
      <c r="CK180" s="67">
        <v>0</v>
      </c>
      <c r="CL180" s="67">
        <v>0</v>
      </c>
      <c r="CM180" s="67"/>
      <c r="CN180" s="67"/>
      <c r="CO180" s="67">
        <v>0</v>
      </c>
      <c r="CP180" s="67">
        <v>0</v>
      </c>
      <c r="CQ180" s="67"/>
      <c r="CR180" s="67"/>
      <c r="CS180" s="67"/>
      <c r="CT180" s="67"/>
      <c r="CU180" s="67">
        <v>0</v>
      </c>
      <c r="CV180" s="67"/>
      <c r="CW180" s="67"/>
      <c r="CX180" s="67"/>
      <c r="CY180" s="67">
        <v>0</v>
      </c>
      <c r="CZ180" s="67"/>
      <c r="DA180" s="67"/>
      <c r="DB180" s="67"/>
      <c r="DC180" s="67"/>
      <c r="DF180" s="67"/>
      <c r="DG180" s="67">
        <v>0</v>
      </c>
      <c r="DH180" s="67">
        <v>0</v>
      </c>
      <c r="DI180" s="67">
        <v>0</v>
      </c>
      <c r="DJ180" s="67"/>
      <c r="DK180" s="67">
        <v>0</v>
      </c>
      <c r="DL180" s="67">
        <v>0</v>
      </c>
      <c r="DM180" s="67">
        <v>0</v>
      </c>
      <c r="DN180" s="67"/>
      <c r="DO180" s="67"/>
      <c r="DP180" s="67"/>
      <c r="DQ180" s="67">
        <v>0</v>
      </c>
      <c r="DR180" s="67">
        <v>0</v>
      </c>
      <c r="DS180" s="67"/>
      <c r="DT180" s="67"/>
      <c r="DU180" s="67">
        <v>0</v>
      </c>
      <c r="DV180" s="67">
        <v>0</v>
      </c>
      <c r="DW180" s="67">
        <v>0</v>
      </c>
      <c r="DX180" s="67">
        <v>0</v>
      </c>
      <c r="DY180" s="67"/>
      <c r="DZ180" s="67">
        <v>0</v>
      </c>
      <c r="EA180" s="67"/>
      <c r="EB180" s="67">
        <v>0</v>
      </c>
      <c r="EC180" s="67"/>
      <c r="ED180" s="67">
        <v>0</v>
      </c>
      <c r="EE180" s="67"/>
      <c r="EF180" s="67">
        <v>0</v>
      </c>
      <c r="EG180" s="67"/>
      <c r="EH180" s="67"/>
      <c r="EI180" s="67"/>
      <c r="EJ180" s="67"/>
      <c r="EK180" s="67"/>
      <c r="EL180" s="67"/>
      <c r="EM180" s="67"/>
      <c r="EN180" s="67"/>
      <c r="EO180" s="67"/>
      <c r="EP180" s="67">
        <v>0</v>
      </c>
      <c r="EQ180" s="67">
        <v>0</v>
      </c>
      <c r="ER180" s="67">
        <v>0</v>
      </c>
      <c r="ES180" s="67"/>
      <c r="ET180">
        <v>0</v>
      </c>
      <c r="EX180" s="67"/>
      <c r="EY180" s="67"/>
      <c r="EZ180" s="67"/>
      <c r="FA180" s="67">
        <v>0</v>
      </c>
      <c r="FB180" s="67"/>
      <c r="FC180" s="67"/>
      <c r="FD180" s="67"/>
      <c r="FE180" s="67"/>
      <c r="FF180" s="67"/>
      <c r="FG180" s="67"/>
      <c r="FH180" s="67"/>
      <c r="FI180" s="67" t="s">
        <v>1600</v>
      </c>
    </row>
    <row r="181" spans="2:165" ht="24" x14ac:dyDescent="0.2">
      <c r="B181" s="67" t="s">
        <v>594</v>
      </c>
      <c r="C181" s="67" t="s">
        <v>594</v>
      </c>
      <c r="D181" s="67" t="s">
        <v>595</v>
      </c>
      <c r="E181" s="67" t="s">
        <v>13</v>
      </c>
      <c r="F181" s="67" t="s">
        <v>750</v>
      </c>
      <c r="G181" s="67" t="s">
        <v>1597</v>
      </c>
      <c r="H181" s="67"/>
      <c r="I181" s="67" t="s">
        <v>41</v>
      </c>
      <c r="J181" s="67" t="s">
        <v>64</v>
      </c>
      <c r="K181" s="67" t="s">
        <v>1679</v>
      </c>
      <c r="L181" s="67" t="s">
        <v>934</v>
      </c>
      <c r="M181" s="67" t="s">
        <v>752</v>
      </c>
      <c r="N181" s="67" t="s">
        <v>1607</v>
      </c>
      <c r="O181" s="67" t="s">
        <v>1599</v>
      </c>
      <c r="P181" s="67"/>
      <c r="Q181" s="67">
        <v>170</v>
      </c>
      <c r="R181" s="67">
        <v>0</v>
      </c>
      <c r="S181" s="67">
        <v>0</v>
      </c>
      <c r="T181" s="67">
        <v>170</v>
      </c>
      <c r="U181" s="67">
        <v>0</v>
      </c>
      <c r="V181" s="67">
        <v>0</v>
      </c>
      <c r="W181" s="67">
        <v>0</v>
      </c>
      <c r="X181" s="67">
        <v>0</v>
      </c>
      <c r="Y181" s="67">
        <v>0</v>
      </c>
      <c r="Z181" s="67">
        <v>0</v>
      </c>
      <c r="AA181" s="67">
        <v>0</v>
      </c>
      <c r="AB181" s="67">
        <v>0</v>
      </c>
      <c r="AC181" s="67">
        <v>0</v>
      </c>
      <c r="AD181" s="67">
        <v>0</v>
      </c>
      <c r="AE181" s="67">
        <v>0</v>
      </c>
      <c r="AF181" s="67">
        <v>0</v>
      </c>
      <c r="AG181" s="67">
        <v>0</v>
      </c>
      <c r="AH181" s="67">
        <v>0</v>
      </c>
      <c r="AI181" s="67">
        <v>0</v>
      </c>
      <c r="AJ181" s="67">
        <v>0</v>
      </c>
      <c r="AK181" s="67">
        <v>0</v>
      </c>
      <c r="AL181" s="67">
        <v>0</v>
      </c>
      <c r="AM181" s="67">
        <v>0</v>
      </c>
      <c r="AN181" s="67">
        <v>0</v>
      </c>
      <c r="AO181" s="67">
        <v>0</v>
      </c>
      <c r="AP181" s="67">
        <v>0</v>
      </c>
      <c r="AQ181" s="67">
        <v>0</v>
      </c>
      <c r="AR181" s="67">
        <v>0</v>
      </c>
      <c r="AS181" s="67">
        <v>0</v>
      </c>
      <c r="AT181" s="67"/>
      <c r="AU181" s="67"/>
      <c r="AV181" s="67"/>
      <c r="AW181" s="67">
        <v>0</v>
      </c>
      <c r="AX181" s="67">
        <v>0</v>
      </c>
      <c r="AY181" s="67"/>
      <c r="AZ181" s="67"/>
      <c r="BA181" s="67"/>
      <c r="BB181" s="67"/>
      <c r="BC181" s="67"/>
      <c r="BD181" s="67"/>
      <c r="BE181" s="67"/>
      <c r="BG181" s="67"/>
      <c r="BH181" s="67"/>
      <c r="BI181" s="67"/>
      <c r="BJ181" s="67">
        <v>0</v>
      </c>
      <c r="BK181" s="67"/>
      <c r="BL181" s="67"/>
      <c r="BP181" s="67"/>
      <c r="BQ181" s="67">
        <v>0</v>
      </c>
      <c r="BR181" s="67"/>
      <c r="BS181" s="67"/>
      <c r="BT181" s="67">
        <v>0</v>
      </c>
      <c r="BU181" s="67"/>
      <c r="BV181" s="67"/>
      <c r="BW181" s="67">
        <v>0</v>
      </c>
      <c r="BX181" s="67">
        <v>0</v>
      </c>
      <c r="BY181" s="67">
        <v>0</v>
      </c>
      <c r="BZ181" s="67">
        <v>0</v>
      </c>
      <c r="CA181" s="67"/>
      <c r="CB181" s="67">
        <v>0</v>
      </c>
      <c r="CC181" s="67"/>
      <c r="CD181" s="67"/>
      <c r="CE181" s="67">
        <v>0</v>
      </c>
      <c r="CF181" s="67">
        <v>0</v>
      </c>
      <c r="CG181" s="67"/>
      <c r="CH181" s="67"/>
      <c r="CI181" s="67"/>
      <c r="CJ181" s="67"/>
      <c r="CK181" s="67">
        <v>0</v>
      </c>
      <c r="CL181" s="67">
        <v>0</v>
      </c>
      <c r="CM181" s="67"/>
      <c r="CN181" s="67"/>
      <c r="CO181" s="67">
        <v>0</v>
      </c>
      <c r="CP181" s="67">
        <v>0</v>
      </c>
      <c r="CQ181" s="67"/>
      <c r="CR181" s="67"/>
      <c r="CS181" s="67"/>
      <c r="CT181" s="67"/>
      <c r="CU181" s="67">
        <v>0</v>
      </c>
      <c r="CV181" s="67"/>
      <c r="CW181" s="67"/>
      <c r="CX181" s="67"/>
      <c r="CY181" s="67">
        <v>0</v>
      </c>
      <c r="CZ181" s="67"/>
      <c r="DA181" s="67"/>
      <c r="DB181" s="67"/>
      <c r="DC181" s="67"/>
      <c r="DF181" s="67"/>
      <c r="DG181" s="67">
        <v>17</v>
      </c>
      <c r="DH181" s="67">
        <v>17</v>
      </c>
      <c r="DI181" s="67">
        <v>0</v>
      </c>
      <c r="DJ181" s="67"/>
      <c r="DK181" s="67">
        <v>0</v>
      </c>
      <c r="DL181" s="67">
        <v>0</v>
      </c>
      <c r="DM181" s="67">
        <v>0</v>
      </c>
      <c r="DN181" s="67"/>
      <c r="DO181" s="67"/>
      <c r="DP181" s="67"/>
      <c r="DQ181" s="67">
        <v>0</v>
      </c>
      <c r="DR181" s="67">
        <v>0</v>
      </c>
      <c r="DS181" s="67"/>
      <c r="DT181" s="67"/>
      <c r="DU181" s="67">
        <v>0</v>
      </c>
      <c r="DV181" s="67">
        <v>0</v>
      </c>
      <c r="DW181" s="67">
        <v>0</v>
      </c>
      <c r="DX181" s="67">
        <v>0</v>
      </c>
      <c r="DY181" s="67"/>
      <c r="DZ181" s="67">
        <v>0</v>
      </c>
      <c r="EA181" s="67"/>
      <c r="EB181" s="67">
        <v>0</v>
      </c>
      <c r="EC181" s="67"/>
      <c r="ED181" s="67">
        <v>0</v>
      </c>
      <c r="EE181" s="67"/>
      <c r="EF181" s="67">
        <v>0</v>
      </c>
      <c r="EG181" s="67"/>
      <c r="EH181" s="67"/>
      <c r="EI181" s="67"/>
      <c r="EJ181" s="67"/>
      <c r="EK181" s="67"/>
      <c r="EL181" s="67"/>
      <c r="EM181" s="67"/>
      <c r="EN181" s="67"/>
      <c r="EO181" s="67"/>
      <c r="EP181" s="67">
        <v>0</v>
      </c>
      <c r="EQ181" s="67">
        <v>0</v>
      </c>
      <c r="ER181" s="67">
        <v>0</v>
      </c>
      <c r="ES181" s="67"/>
      <c r="ET181">
        <v>0</v>
      </c>
      <c r="EX181" s="67"/>
      <c r="EY181" s="67"/>
      <c r="EZ181" s="67"/>
      <c r="FA181" s="67">
        <v>187</v>
      </c>
      <c r="FB181" s="67"/>
      <c r="FC181" s="67"/>
      <c r="FD181" s="67"/>
      <c r="FE181" s="67"/>
      <c r="FF181" s="67"/>
      <c r="FG181" s="67"/>
      <c r="FH181" s="67"/>
      <c r="FI181" s="67" t="s">
        <v>1600</v>
      </c>
    </row>
    <row r="182" spans="2:165" ht="24" x14ac:dyDescent="0.2">
      <c r="B182" s="67" t="s">
        <v>596</v>
      </c>
      <c r="C182" s="67" t="s">
        <v>596</v>
      </c>
      <c r="D182" s="67" t="s">
        <v>597</v>
      </c>
      <c r="E182" s="67" t="s">
        <v>13</v>
      </c>
      <c r="F182" s="67" t="s">
        <v>750</v>
      </c>
      <c r="G182" s="67" t="s">
        <v>1597</v>
      </c>
      <c r="H182" s="67"/>
      <c r="I182" s="67" t="s">
        <v>41</v>
      </c>
      <c r="J182" s="67" t="s">
        <v>64</v>
      </c>
      <c r="K182" s="67" t="s">
        <v>1679</v>
      </c>
      <c r="L182" s="67" t="s">
        <v>934</v>
      </c>
      <c r="M182" s="67" t="s">
        <v>752</v>
      </c>
      <c r="N182" s="67" t="s">
        <v>1604</v>
      </c>
      <c r="O182" s="67" t="s">
        <v>1599</v>
      </c>
      <c r="P182" s="67"/>
      <c r="Q182" s="67">
        <v>170</v>
      </c>
      <c r="R182" s="67">
        <v>0</v>
      </c>
      <c r="S182" s="67">
        <v>0</v>
      </c>
      <c r="T182" s="67">
        <v>170</v>
      </c>
      <c r="U182" s="67">
        <v>0</v>
      </c>
      <c r="V182" s="67">
        <v>0</v>
      </c>
      <c r="W182" s="67">
        <v>0</v>
      </c>
      <c r="X182" s="67">
        <v>0</v>
      </c>
      <c r="Y182" s="67">
        <v>0</v>
      </c>
      <c r="Z182" s="67">
        <v>0</v>
      </c>
      <c r="AA182" s="67">
        <v>0</v>
      </c>
      <c r="AB182" s="67">
        <v>0</v>
      </c>
      <c r="AC182" s="67">
        <v>0</v>
      </c>
      <c r="AD182" s="67">
        <v>0</v>
      </c>
      <c r="AE182" s="67">
        <v>0</v>
      </c>
      <c r="AF182" s="67">
        <v>0</v>
      </c>
      <c r="AG182" s="67">
        <v>0</v>
      </c>
      <c r="AH182" s="67">
        <v>0</v>
      </c>
      <c r="AI182" s="67">
        <v>0</v>
      </c>
      <c r="AJ182" s="67">
        <v>0</v>
      </c>
      <c r="AK182" s="67">
        <v>0</v>
      </c>
      <c r="AL182" s="67">
        <v>0</v>
      </c>
      <c r="AM182" s="67">
        <v>0</v>
      </c>
      <c r="AN182" s="67">
        <v>0</v>
      </c>
      <c r="AO182" s="67">
        <v>0</v>
      </c>
      <c r="AP182" s="67">
        <v>0</v>
      </c>
      <c r="AQ182" s="67">
        <v>0</v>
      </c>
      <c r="AR182" s="67">
        <v>0</v>
      </c>
      <c r="AS182" s="67">
        <v>0</v>
      </c>
      <c r="AT182" s="67"/>
      <c r="AU182" s="67"/>
      <c r="AV182" s="67"/>
      <c r="AW182" s="67">
        <v>0</v>
      </c>
      <c r="AX182" s="67">
        <v>0</v>
      </c>
      <c r="AY182" s="67"/>
      <c r="AZ182" s="67"/>
      <c r="BA182" s="67"/>
      <c r="BB182" s="67"/>
      <c r="BC182" s="67"/>
      <c r="BD182" s="67"/>
      <c r="BE182" s="67"/>
      <c r="BG182" s="67"/>
      <c r="BH182" s="67"/>
      <c r="BI182" s="67"/>
      <c r="BJ182" s="67">
        <v>0</v>
      </c>
      <c r="BK182" s="67"/>
      <c r="BL182" s="67"/>
      <c r="BP182" s="67"/>
      <c r="BQ182" s="67">
        <v>0</v>
      </c>
      <c r="BR182" s="67"/>
      <c r="BS182" s="67"/>
      <c r="BT182" s="67">
        <v>0</v>
      </c>
      <c r="BU182" s="67"/>
      <c r="BV182" s="67"/>
      <c r="BW182" s="67">
        <v>0</v>
      </c>
      <c r="BX182" s="67">
        <v>0</v>
      </c>
      <c r="BY182" s="67">
        <v>0</v>
      </c>
      <c r="BZ182" s="67">
        <v>0</v>
      </c>
      <c r="CA182" s="67"/>
      <c r="CB182" s="67">
        <v>0</v>
      </c>
      <c r="CC182" s="67"/>
      <c r="CD182" s="67"/>
      <c r="CE182" s="67">
        <v>0</v>
      </c>
      <c r="CF182" s="67">
        <v>0</v>
      </c>
      <c r="CG182" s="67"/>
      <c r="CH182" s="67"/>
      <c r="CI182" s="67"/>
      <c r="CJ182" s="67"/>
      <c r="CK182" s="67">
        <v>0</v>
      </c>
      <c r="CL182" s="67">
        <v>0</v>
      </c>
      <c r="CM182" s="67"/>
      <c r="CN182" s="67"/>
      <c r="CO182" s="67">
        <v>0</v>
      </c>
      <c r="CP182" s="67">
        <v>0</v>
      </c>
      <c r="CQ182" s="67"/>
      <c r="CR182" s="67"/>
      <c r="CS182" s="67"/>
      <c r="CT182" s="67"/>
      <c r="CU182" s="67">
        <v>0</v>
      </c>
      <c r="CV182" s="67"/>
      <c r="CW182" s="67"/>
      <c r="CX182" s="67"/>
      <c r="CY182" s="67">
        <v>0</v>
      </c>
      <c r="CZ182" s="67"/>
      <c r="DA182" s="67"/>
      <c r="DB182" s="67"/>
      <c r="DC182" s="67"/>
      <c r="DF182" s="67"/>
      <c r="DG182" s="67">
        <v>12.75</v>
      </c>
      <c r="DH182" s="67">
        <v>12.75</v>
      </c>
      <c r="DI182" s="67">
        <v>0</v>
      </c>
      <c r="DJ182" s="67"/>
      <c r="DK182" s="67">
        <v>0</v>
      </c>
      <c r="DL182" s="67">
        <v>0</v>
      </c>
      <c r="DM182" s="67">
        <v>0</v>
      </c>
      <c r="DN182" s="67"/>
      <c r="DO182" s="67"/>
      <c r="DP182" s="67"/>
      <c r="DQ182" s="67">
        <v>0</v>
      </c>
      <c r="DR182" s="67">
        <v>0</v>
      </c>
      <c r="DS182" s="67"/>
      <c r="DT182" s="67"/>
      <c r="DU182" s="67">
        <v>0</v>
      </c>
      <c r="DV182" s="67">
        <v>0</v>
      </c>
      <c r="DW182" s="67">
        <v>0</v>
      </c>
      <c r="DX182" s="67">
        <v>0</v>
      </c>
      <c r="DY182" s="67"/>
      <c r="DZ182" s="67">
        <v>0</v>
      </c>
      <c r="EA182" s="67"/>
      <c r="EB182" s="67">
        <v>0</v>
      </c>
      <c r="EC182" s="67"/>
      <c r="ED182" s="67">
        <v>0</v>
      </c>
      <c r="EE182" s="67"/>
      <c r="EF182" s="67">
        <v>0</v>
      </c>
      <c r="EG182" s="67"/>
      <c r="EH182" s="67"/>
      <c r="EI182" s="67"/>
      <c r="EJ182" s="67"/>
      <c r="EK182" s="67"/>
      <c r="EL182" s="67"/>
      <c r="EM182" s="67"/>
      <c r="EN182" s="67"/>
      <c r="EO182" s="67"/>
      <c r="EP182" s="67">
        <v>0</v>
      </c>
      <c r="EQ182" s="67">
        <v>0</v>
      </c>
      <c r="ER182" s="67">
        <v>0</v>
      </c>
      <c r="ES182" s="67"/>
      <c r="ET182">
        <v>0</v>
      </c>
      <c r="EX182" s="67"/>
      <c r="EY182" s="67"/>
      <c r="EZ182" s="67"/>
      <c r="FA182" s="67">
        <v>182.75</v>
      </c>
      <c r="FB182" s="67"/>
      <c r="FC182" s="67"/>
      <c r="FD182" s="67"/>
      <c r="FE182" s="67"/>
      <c r="FF182" s="67"/>
      <c r="FG182" s="67"/>
      <c r="FH182" s="67"/>
      <c r="FI182" s="67" t="s">
        <v>1600</v>
      </c>
    </row>
    <row r="183" spans="2:165" ht="24" x14ac:dyDescent="0.2">
      <c r="B183" s="67" t="s">
        <v>598</v>
      </c>
      <c r="C183" s="67" t="s">
        <v>598</v>
      </c>
      <c r="D183" s="67" t="s">
        <v>599</v>
      </c>
      <c r="E183" s="67" t="s">
        <v>13</v>
      </c>
      <c r="F183" s="67" t="s">
        <v>750</v>
      </c>
      <c r="G183" s="67" t="s">
        <v>1597</v>
      </c>
      <c r="H183" s="67"/>
      <c r="I183" s="67" t="s">
        <v>41</v>
      </c>
      <c r="J183" s="67" t="s">
        <v>64</v>
      </c>
      <c r="K183" s="67" t="s">
        <v>1679</v>
      </c>
      <c r="L183" s="67" t="s">
        <v>934</v>
      </c>
      <c r="M183" s="67" t="s">
        <v>752</v>
      </c>
      <c r="N183" s="67" t="s">
        <v>1604</v>
      </c>
      <c r="O183" s="67" t="s">
        <v>1599</v>
      </c>
      <c r="P183" s="67"/>
      <c r="Q183" s="67">
        <v>170</v>
      </c>
      <c r="R183" s="67">
        <v>0</v>
      </c>
      <c r="S183" s="67">
        <v>0</v>
      </c>
      <c r="T183" s="67">
        <v>170</v>
      </c>
      <c r="U183" s="67">
        <v>0</v>
      </c>
      <c r="V183" s="67">
        <v>0</v>
      </c>
      <c r="W183" s="67">
        <v>0</v>
      </c>
      <c r="X183" s="67">
        <v>0</v>
      </c>
      <c r="Y183" s="67">
        <v>0</v>
      </c>
      <c r="Z183" s="67">
        <v>0</v>
      </c>
      <c r="AA183" s="67">
        <v>0</v>
      </c>
      <c r="AB183" s="67">
        <v>0</v>
      </c>
      <c r="AC183" s="67">
        <v>0</v>
      </c>
      <c r="AD183" s="67">
        <v>0</v>
      </c>
      <c r="AE183" s="67">
        <v>0</v>
      </c>
      <c r="AF183" s="67">
        <v>0</v>
      </c>
      <c r="AG183" s="67">
        <v>0</v>
      </c>
      <c r="AH183" s="67">
        <v>0</v>
      </c>
      <c r="AI183" s="67">
        <v>0</v>
      </c>
      <c r="AJ183" s="67">
        <v>0</v>
      </c>
      <c r="AK183" s="67">
        <v>0</v>
      </c>
      <c r="AL183" s="67">
        <v>0</v>
      </c>
      <c r="AM183" s="67">
        <v>0</v>
      </c>
      <c r="AN183" s="67">
        <v>0</v>
      </c>
      <c r="AO183" s="67">
        <v>0</v>
      </c>
      <c r="AP183" s="67">
        <v>0</v>
      </c>
      <c r="AQ183" s="67">
        <v>0</v>
      </c>
      <c r="AR183" s="67">
        <v>0</v>
      </c>
      <c r="AS183" s="67">
        <v>0</v>
      </c>
      <c r="AT183" s="67"/>
      <c r="AU183" s="67"/>
      <c r="AV183" s="67"/>
      <c r="AW183" s="67">
        <v>0</v>
      </c>
      <c r="AX183" s="67">
        <v>0</v>
      </c>
      <c r="AY183" s="67"/>
      <c r="AZ183" s="67"/>
      <c r="BA183" s="67"/>
      <c r="BB183" s="67"/>
      <c r="BC183" s="67"/>
      <c r="BD183" s="67"/>
      <c r="BE183" s="67"/>
      <c r="BG183" s="67"/>
      <c r="BH183" s="67"/>
      <c r="BI183" s="67"/>
      <c r="BJ183" s="67">
        <v>0</v>
      </c>
      <c r="BK183" s="67"/>
      <c r="BL183" s="67"/>
      <c r="BP183" s="67"/>
      <c r="BQ183" s="67">
        <v>0</v>
      </c>
      <c r="BR183" s="67"/>
      <c r="BS183" s="67"/>
      <c r="BT183" s="67">
        <v>0</v>
      </c>
      <c r="BU183" s="67"/>
      <c r="BV183" s="67"/>
      <c r="BW183" s="67">
        <v>0</v>
      </c>
      <c r="BX183" s="67">
        <v>0</v>
      </c>
      <c r="BY183" s="67">
        <v>0</v>
      </c>
      <c r="BZ183" s="67">
        <v>0</v>
      </c>
      <c r="CA183" s="67"/>
      <c r="CB183" s="67">
        <v>0</v>
      </c>
      <c r="CC183" s="67"/>
      <c r="CD183" s="67"/>
      <c r="CE183" s="67">
        <v>0</v>
      </c>
      <c r="CF183" s="67">
        <v>0</v>
      </c>
      <c r="CG183" s="67"/>
      <c r="CH183" s="67"/>
      <c r="CI183" s="67"/>
      <c r="CJ183" s="67"/>
      <c r="CK183" s="67">
        <v>0</v>
      </c>
      <c r="CL183" s="67">
        <v>0</v>
      </c>
      <c r="CM183" s="67"/>
      <c r="CN183" s="67"/>
      <c r="CO183" s="67">
        <v>0</v>
      </c>
      <c r="CP183" s="67">
        <v>0</v>
      </c>
      <c r="CQ183" s="67"/>
      <c r="CR183" s="67"/>
      <c r="CS183" s="67"/>
      <c r="CT183" s="67"/>
      <c r="CU183" s="67">
        <v>0</v>
      </c>
      <c r="CV183" s="67"/>
      <c r="CW183" s="67"/>
      <c r="CX183" s="67"/>
      <c r="CY183" s="67">
        <v>0</v>
      </c>
      <c r="CZ183" s="67"/>
      <c r="DA183" s="67"/>
      <c r="DB183" s="67"/>
      <c r="DC183" s="67"/>
      <c r="DF183" s="67"/>
      <c r="DG183" s="67">
        <v>12.75</v>
      </c>
      <c r="DH183" s="67">
        <v>12.75</v>
      </c>
      <c r="DI183" s="67">
        <v>0</v>
      </c>
      <c r="DJ183" s="67"/>
      <c r="DK183" s="67">
        <v>0</v>
      </c>
      <c r="DL183" s="67">
        <v>0</v>
      </c>
      <c r="DM183" s="67">
        <v>0</v>
      </c>
      <c r="DN183" s="67"/>
      <c r="DO183" s="67"/>
      <c r="DP183" s="67"/>
      <c r="DQ183" s="67">
        <v>0</v>
      </c>
      <c r="DR183" s="67">
        <v>0</v>
      </c>
      <c r="DS183" s="67"/>
      <c r="DT183" s="67"/>
      <c r="DU183" s="67">
        <v>0</v>
      </c>
      <c r="DV183" s="67">
        <v>0</v>
      </c>
      <c r="DW183" s="67">
        <v>0</v>
      </c>
      <c r="DX183" s="67">
        <v>0</v>
      </c>
      <c r="DY183" s="67"/>
      <c r="DZ183" s="67">
        <v>0</v>
      </c>
      <c r="EA183" s="67"/>
      <c r="EB183" s="67">
        <v>0</v>
      </c>
      <c r="EC183" s="67"/>
      <c r="ED183" s="67">
        <v>0</v>
      </c>
      <c r="EE183" s="67"/>
      <c r="EF183" s="67">
        <v>0</v>
      </c>
      <c r="EG183" s="67"/>
      <c r="EH183" s="67"/>
      <c r="EI183" s="67"/>
      <c r="EJ183" s="67"/>
      <c r="EK183" s="67"/>
      <c r="EL183" s="67"/>
      <c r="EM183" s="67"/>
      <c r="EN183" s="67"/>
      <c r="EO183" s="67"/>
      <c r="EP183" s="67">
        <v>0</v>
      </c>
      <c r="EQ183" s="67">
        <v>0</v>
      </c>
      <c r="ER183" s="67">
        <v>0</v>
      </c>
      <c r="ES183" s="67"/>
      <c r="ET183">
        <v>0</v>
      </c>
      <c r="EX183" s="67"/>
      <c r="EY183" s="67"/>
      <c r="EZ183" s="67"/>
      <c r="FA183" s="67">
        <v>182.75</v>
      </c>
      <c r="FB183" s="67"/>
      <c r="FC183" s="67"/>
      <c r="FD183" s="67"/>
      <c r="FE183" s="67"/>
      <c r="FF183" s="67"/>
      <c r="FG183" s="67"/>
      <c r="FH183" s="67"/>
      <c r="FI183" s="67" t="s">
        <v>1600</v>
      </c>
    </row>
    <row r="184" spans="2:165" ht="24" x14ac:dyDescent="0.2">
      <c r="B184" s="67" t="s">
        <v>600</v>
      </c>
      <c r="C184" s="67" t="s">
        <v>600</v>
      </c>
      <c r="D184" s="67" t="s">
        <v>601</v>
      </c>
      <c r="E184" s="67" t="s">
        <v>13</v>
      </c>
      <c r="F184" s="67" t="s">
        <v>750</v>
      </c>
      <c r="G184" s="67" t="s">
        <v>1597</v>
      </c>
      <c r="H184" s="67"/>
      <c r="I184" s="67" t="s">
        <v>41</v>
      </c>
      <c r="J184" s="67" t="s">
        <v>64</v>
      </c>
      <c r="K184" s="67" t="s">
        <v>1679</v>
      </c>
      <c r="L184" s="67" t="s">
        <v>934</v>
      </c>
      <c r="M184" s="67" t="s">
        <v>752</v>
      </c>
      <c r="N184" s="67" t="s">
        <v>1604</v>
      </c>
      <c r="O184" s="67" t="s">
        <v>1599</v>
      </c>
      <c r="P184" s="67"/>
      <c r="Q184" s="67">
        <v>170</v>
      </c>
      <c r="R184" s="67">
        <v>0</v>
      </c>
      <c r="S184" s="67">
        <v>0</v>
      </c>
      <c r="T184" s="67">
        <v>170</v>
      </c>
      <c r="U184" s="67">
        <v>0</v>
      </c>
      <c r="V184" s="67">
        <v>0</v>
      </c>
      <c r="W184" s="67">
        <v>0</v>
      </c>
      <c r="X184" s="67">
        <v>0</v>
      </c>
      <c r="Y184" s="67">
        <v>0</v>
      </c>
      <c r="Z184" s="67">
        <v>0</v>
      </c>
      <c r="AA184" s="67">
        <v>0</v>
      </c>
      <c r="AB184" s="67">
        <v>0</v>
      </c>
      <c r="AC184" s="67">
        <v>0</v>
      </c>
      <c r="AD184" s="67">
        <v>0</v>
      </c>
      <c r="AE184" s="67">
        <v>0</v>
      </c>
      <c r="AF184" s="67">
        <v>0</v>
      </c>
      <c r="AG184" s="67">
        <v>0</v>
      </c>
      <c r="AH184" s="67">
        <v>0</v>
      </c>
      <c r="AI184" s="67">
        <v>0</v>
      </c>
      <c r="AJ184" s="67">
        <v>0</v>
      </c>
      <c r="AK184" s="67">
        <v>0</v>
      </c>
      <c r="AL184" s="67">
        <v>0</v>
      </c>
      <c r="AM184" s="67">
        <v>0</v>
      </c>
      <c r="AN184" s="67">
        <v>0</v>
      </c>
      <c r="AO184" s="67">
        <v>0</v>
      </c>
      <c r="AP184" s="67">
        <v>0</v>
      </c>
      <c r="AQ184" s="67">
        <v>0</v>
      </c>
      <c r="AR184" s="67">
        <v>0</v>
      </c>
      <c r="AS184" s="67">
        <v>0</v>
      </c>
      <c r="AT184" s="67"/>
      <c r="AU184" s="67"/>
      <c r="AV184" s="67"/>
      <c r="AW184" s="67">
        <v>0</v>
      </c>
      <c r="AX184" s="67">
        <v>0</v>
      </c>
      <c r="AY184" s="67"/>
      <c r="AZ184" s="67"/>
      <c r="BA184" s="67"/>
      <c r="BB184" s="67"/>
      <c r="BC184" s="67"/>
      <c r="BD184" s="67"/>
      <c r="BE184" s="67"/>
      <c r="BG184" s="67"/>
      <c r="BH184" s="67"/>
      <c r="BI184" s="67"/>
      <c r="BJ184" s="67">
        <v>0</v>
      </c>
      <c r="BK184" s="67"/>
      <c r="BL184" s="67"/>
      <c r="BP184" s="67"/>
      <c r="BQ184" s="67">
        <v>0</v>
      </c>
      <c r="BR184" s="67"/>
      <c r="BS184" s="67"/>
      <c r="BT184" s="67">
        <v>0</v>
      </c>
      <c r="BU184" s="67"/>
      <c r="BV184" s="67"/>
      <c r="BW184" s="67">
        <v>0</v>
      </c>
      <c r="BX184" s="67">
        <v>0</v>
      </c>
      <c r="BY184" s="67">
        <v>0</v>
      </c>
      <c r="BZ184" s="67">
        <v>0</v>
      </c>
      <c r="CA184" s="67"/>
      <c r="CB184" s="67">
        <v>0</v>
      </c>
      <c r="CC184" s="67"/>
      <c r="CD184" s="67"/>
      <c r="CE184" s="67">
        <v>0</v>
      </c>
      <c r="CF184" s="67">
        <v>0</v>
      </c>
      <c r="CG184" s="67"/>
      <c r="CH184" s="67"/>
      <c r="CI184" s="67"/>
      <c r="CJ184" s="67"/>
      <c r="CK184" s="67">
        <v>0</v>
      </c>
      <c r="CL184" s="67">
        <v>0</v>
      </c>
      <c r="CM184" s="67"/>
      <c r="CN184" s="67"/>
      <c r="CO184" s="67">
        <v>0</v>
      </c>
      <c r="CP184" s="67">
        <v>0</v>
      </c>
      <c r="CQ184" s="67"/>
      <c r="CR184" s="67"/>
      <c r="CS184" s="67"/>
      <c r="CT184" s="67"/>
      <c r="CU184" s="67">
        <v>0</v>
      </c>
      <c r="CV184" s="67"/>
      <c r="CW184" s="67"/>
      <c r="CX184" s="67"/>
      <c r="CY184" s="67">
        <v>0</v>
      </c>
      <c r="CZ184" s="67"/>
      <c r="DA184" s="67"/>
      <c r="DB184" s="67"/>
      <c r="DC184" s="67"/>
      <c r="DF184" s="67"/>
      <c r="DG184" s="67">
        <v>12.75</v>
      </c>
      <c r="DH184" s="67">
        <v>12.75</v>
      </c>
      <c r="DI184" s="67">
        <v>0</v>
      </c>
      <c r="DJ184" s="67"/>
      <c r="DK184" s="67">
        <v>0</v>
      </c>
      <c r="DL184" s="67">
        <v>0</v>
      </c>
      <c r="DM184" s="67">
        <v>0</v>
      </c>
      <c r="DN184" s="67"/>
      <c r="DO184" s="67"/>
      <c r="DP184" s="67"/>
      <c r="DQ184" s="67">
        <v>0</v>
      </c>
      <c r="DR184" s="67">
        <v>0</v>
      </c>
      <c r="DS184" s="67"/>
      <c r="DT184" s="67"/>
      <c r="DU184" s="67">
        <v>0</v>
      </c>
      <c r="DV184" s="67">
        <v>0</v>
      </c>
      <c r="DW184" s="67">
        <v>0</v>
      </c>
      <c r="DX184" s="67">
        <v>0</v>
      </c>
      <c r="DY184" s="67"/>
      <c r="DZ184" s="67">
        <v>0</v>
      </c>
      <c r="EA184" s="67"/>
      <c r="EB184" s="67">
        <v>0</v>
      </c>
      <c r="EC184" s="67"/>
      <c r="ED184" s="67">
        <v>0</v>
      </c>
      <c r="EE184" s="67"/>
      <c r="EF184" s="67">
        <v>0</v>
      </c>
      <c r="EG184" s="67"/>
      <c r="EH184" s="67"/>
      <c r="EI184" s="67"/>
      <c r="EJ184" s="67"/>
      <c r="EK184" s="67"/>
      <c r="EL184" s="67"/>
      <c r="EM184" s="67"/>
      <c r="EN184" s="67"/>
      <c r="EO184" s="67"/>
      <c r="EP184" s="67">
        <v>0</v>
      </c>
      <c r="EQ184" s="67">
        <v>0</v>
      </c>
      <c r="ER184" s="67">
        <v>0</v>
      </c>
      <c r="ES184" s="67"/>
      <c r="ET184">
        <v>0</v>
      </c>
      <c r="EX184" s="67"/>
      <c r="EY184" s="67"/>
      <c r="EZ184" s="67"/>
      <c r="FA184" s="67">
        <v>182.75</v>
      </c>
      <c r="FB184" s="67"/>
      <c r="FC184" s="67"/>
      <c r="FD184" s="67"/>
      <c r="FE184" s="67"/>
      <c r="FF184" s="67"/>
      <c r="FG184" s="67"/>
      <c r="FH184" s="67"/>
      <c r="FI184" s="67" t="s">
        <v>1600</v>
      </c>
    </row>
    <row r="185" spans="2:165" ht="24" x14ac:dyDescent="0.2">
      <c r="B185" s="67" t="s">
        <v>305</v>
      </c>
      <c r="C185" s="67" t="s">
        <v>1681</v>
      </c>
      <c r="D185" s="67" t="s">
        <v>602</v>
      </c>
      <c r="E185" s="67" t="s">
        <v>13</v>
      </c>
      <c r="F185" s="67" t="s">
        <v>1284</v>
      </c>
      <c r="G185" s="67" t="s">
        <v>1614</v>
      </c>
      <c r="H185" s="67"/>
      <c r="I185" s="67" t="s">
        <v>22</v>
      </c>
      <c r="J185" s="67" t="s">
        <v>64</v>
      </c>
      <c r="K185" s="67" t="s">
        <v>1679</v>
      </c>
      <c r="L185" s="67" t="s">
        <v>787</v>
      </c>
      <c r="M185" s="67" t="s">
        <v>1615</v>
      </c>
      <c r="N185" s="67" t="s">
        <v>1598</v>
      </c>
      <c r="O185" s="67" t="s">
        <v>1610</v>
      </c>
      <c r="P185" s="67"/>
      <c r="Q185" s="67">
        <v>0</v>
      </c>
      <c r="R185" s="67">
        <v>0</v>
      </c>
      <c r="S185" s="67">
        <v>0</v>
      </c>
      <c r="T185" s="67">
        <v>0</v>
      </c>
      <c r="U185" s="67">
        <v>0</v>
      </c>
      <c r="V185" s="67">
        <v>0</v>
      </c>
      <c r="W185" s="67">
        <v>0</v>
      </c>
      <c r="X185" s="67">
        <v>0</v>
      </c>
      <c r="Y185" s="67">
        <v>0</v>
      </c>
      <c r="Z185" s="67">
        <v>0</v>
      </c>
      <c r="AA185" s="67">
        <v>0</v>
      </c>
      <c r="AB185" s="67">
        <v>0</v>
      </c>
      <c r="AC185" s="67">
        <v>0</v>
      </c>
      <c r="AD185" s="67">
        <v>0</v>
      </c>
      <c r="AE185" s="67">
        <v>0</v>
      </c>
      <c r="AF185" s="67">
        <v>0</v>
      </c>
      <c r="AG185" s="67">
        <v>0</v>
      </c>
      <c r="AH185" s="67">
        <v>0</v>
      </c>
      <c r="AI185" s="67">
        <v>0</v>
      </c>
      <c r="AJ185" s="67">
        <v>0</v>
      </c>
      <c r="AK185" s="67">
        <v>0</v>
      </c>
      <c r="AL185" s="67">
        <v>0</v>
      </c>
      <c r="AM185" s="67">
        <v>0</v>
      </c>
      <c r="AN185" s="67">
        <v>0</v>
      </c>
      <c r="AO185" s="67">
        <v>0</v>
      </c>
      <c r="AP185" s="67">
        <v>0</v>
      </c>
      <c r="AQ185" s="67">
        <v>0</v>
      </c>
      <c r="AR185" s="67">
        <v>0</v>
      </c>
      <c r="AS185" s="67">
        <v>0</v>
      </c>
      <c r="AT185" s="67"/>
      <c r="AU185" s="67"/>
      <c r="AV185" s="67"/>
      <c r="AW185" s="67">
        <v>0</v>
      </c>
      <c r="AX185" s="67">
        <v>0</v>
      </c>
      <c r="AY185" s="67"/>
      <c r="AZ185" s="67"/>
      <c r="BA185" s="67"/>
      <c r="BB185" s="67"/>
      <c r="BC185" s="67"/>
      <c r="BD185" s="67"/>
      <c r="BE185" s="67"/>
      <c r="BG185" s="67"/>
      <c r="BH185" s="67"/>
      <c r="BI185" s="67"/>
      <c r="BJ185" s="67">
        <v>0</v>
      </c>
      <c r="BK185" s="67"/>
      <c r="BL185" s="67"/>
      <c r="BP185" s="67"/>
      <c r="BQ185" s="67">
        <v>0</v>
      </c>
      <c r="BR185" s="67"/>
      <c r="BS185" s="67"/>
      <c r="BT185" s="67">
        <v>0</v>
      </c>
      <c r="BU185" s="67"/>
      <c r="BV185" s="67"/>
      <c r="BW185" s="67">
        <v>0</v>
      </c>
      <c r="BX185" s="67">
        <v>0</v>
      </c>
      <c r="BY185" s="67">
        <v>0</v>
      </c>
      <c r="BZ185" s="67">
        <v>0</v>
      </c>
      <c r="CA185" s="67"/>
      <c r="CB185" s="67">
        <v>0</v>
      </c>
      <c r="CC185" s="67"/>
      <c r="CD185" s="67"/>
      <c r="CE185" s="67">
        <v>0</v>
      </c>
      <c r="CF185" s="67">
        <v>0</v>
      </c>
      <c r="CG185" s="67"/>
      <c r="CH185" s="67"/>
      <c r="CI185" s="67"/>
      <c r="CJ185" s="67"/>
      <c r="CK185" s="67">
        <v>0</v>
      </c>
      <c r="CL185" s="67">
        <v>0</v>
      </c>
      <c r="CM185" s="67"/>
      <c r="CN185" s="67"/>
      <c r="CO185" s="67">
        <v>0</v>
      </c>
      <c r="CP185" s="67">
        <v>0</v>
      </c>
      <c r="CQ185" s="67"/>
      <c r="CR185" s="67"/>
      <c r="CS185" s="67"/>
      <c r="CT185" s="67"/>
      <c r="CU185" s="67">
        <v>0</v>
      </c>
      <c r="CV185" s="67"/>
      <c r="CW185" s="67"/>
      <c r="CX185" s="67"/>
      <c r="CY185" s="67">
        <v>0</v>
      </c>
      <c r="CZ185" s="67"/>
      <c r="DA185" s="67"/>
      <c r="DB185" s="67"/>
      <c r="DC185" s="67"/>
      <c r="DF185" s="67"/>
      <c r="DG185" s="67">
        <v>0</v>
      </c>
      <c r="DH185" s="67">
        <v>0</v>
      </c>
      <c r="DI185" s="67">
        <v>0</v>
      </c>
      <c r="DJ185" s="67"/>
      <c r="DK185" s="67">
        <v>0</v>
      </c>
      <c r="DL185" s="67">
        <v>0</v>
      </c>
      <c r="DM185" s="67">
        <v>0</v>
      </c>
      <c r="DN185" s="67"/>
      <c r="DO185" s="67"/>
      <c r="DP185" s="67"/>
      <c r="DQ185" s="67">
        <v>0</v>
      </c>
      <c r="DR185" s="67">
        <v>0</v>
      </c>
      <c r="DS185" s="67"/>
      <c r="DT185" s="67"/>
      <c r="DU185" s="67">
        <v>0</v>
      </c>
      <c r="DV185" s="67">
        <v>0</v>
      </c>
      <c r="DW185" s="67">
        <v>0</v>
      </c>
      <c r="DX185" s="67">
        <v>0</v>
      </c>
      <c r="DY185" s="67"/>
      <c r="DZ185" s="67">
        <v>0</v>
      </c>
      <c r="EA185" s="67"/>
      <c r="EB185" s="67">
        <v>0</v>
      </c>
      <c r="EC185" s="67"/>
      <c r="ED185" s="67">
        <v>0</v>
      </c>
      <c r="EE185" s="67"/>
      <c r="EF185" s="67">
        <v>0</v>
      </c>
      <c r="EG185" s="67"/>
      <c r="EH185" s="67"/>
      <c r="EI185" s="67"/>
      <c r="EJ185" s="67"/>
      <c r="EK185" s="67"/>
      <c r="EL185" s="67"/>
      <c r="EM185" s="67"/>
      <c r="EN185" s="67"/>
      <c r="EO185" s="67"/>
      <c r="EP185" s="67">
        <v>0</v>
      </c>
      <c r="EQ185" s="67">
        <v>0</v>
      </c>
      <c r="ER185" s="67">
        <v>0</v>
      </c>
      <c r="ES185" s="67"/>
      <c r="ET185">
        <v>0</v>
      </c>
      <c r="EX185" s="67"/>
      <c r="EY185" s="67"/>
      <c r="EZ185" s="67"/>
      <c r="FA185" s="67">
        <v>0</v>
      </c>
      <c r="FB185" s="67"/>
      <c r="FC185" s="67"/>
      <c r="FD185" s="67"/>
      <c r="FE185" s="67"/>
      <c r="FF185" s="67"/>
      <c r="FG185" s="67"/>
      <c r="FH185" s="67"/>
      <c r="FI185" s="67" t="s">
        <v>1600</v>
      </c>
    </row>
    <row r="186" spans="2:165" ht="24" x14ac:dyDescent="0.2">
      <c r="B186" s="67" t="s">
        <v>305</v>
      </c>
      <c r="C186" s="67" t="s">
        <v>1682</v>
      </c>
      <c r="D186" s="67" t="s">
        <v>603</v>
      </c>
      <c r="E186" s="67" t="s">
        <v>13</v>
      </c>
      <c r="F186" s="67" t="s">
        <v>750</v>
      </c>
      <c r="G186" s="67" t="s">
        <v>1597</v>
      </c>
      <c r="H186" s="67"/>
      <c r="I186" s="67" t="s">
        <v>41</v>
      </c>
      <c r="J186" s="67" t="s">
        <v>64</v>
      </c>
      <c r="K186" s="67" t="s">
        <v>1679</v>
      </c>
      <c r="L186" s="67" t="s">
        <v>934</v>
      </c>
      <c r="M186" s="67" t="s">
        <v>752</v>
      </c>
      <c r="N186" s="67" t="s">
        <v>1604</v>
      </c>
      <c r="O186" s="67" t="s">
        <v>1605</v>
      </c>
      <c r="P186" s="67"/>
      <c r="Q186" s="67">
        <v>0</v>
      </c>
      <c r="R186" s="67">
        <v>0</v>
      </c>
      <c r="S186" s="67">
        <v>0</v>
      </c>
      <c r="T186" s="67">
        <v>0</v>
      </c>
      <c r="U186" s="67">
        <v>0</v>
      </c>
      <c r="V186" s="67">
        <v>0</v>
      </c>
      <c r="W186" s="67">
        <v>0</v>
      </c>
      <c r="X186" s="67">
        <v>0</v>
      </c>
      <c r="Y186" s="67">
        <v>0</v>
      </c>
      <c r="Z186" s="67">
        <v>0</v>
      </c>
      <c r="AA186" s="67">
        <v>0</v>
      </c>
      <c r="AB186" s="67">
        <v>0</v>
      </c>
      <c r="AC186" s="67">
        <v>0</v>
      </c>
      <c r="AD186" s="67">
        <v>0</v>
      </c>
      <c r="AE186" s="67">
        <v>0</v>
      </c>
      <c r="AF186" s="67">
        <v>0</v>
      </c>
      <c r="AG186" s="67">
        <v>0</v>
      </c>
      <c r="AH186" s="67">
        <v>0</v>
      </c>
      <c r="AI186" s="67">
        <v>0</v>
      </c>
      <c r="AJ186" s="67">
        <v>0</v>
      </c>
      <c r="AK186" s="67">
        <v>0</v>
      </c>
      <c r="AL186" s="67">
        <v>0</v>
      </c>
      <c r="AM186" s="67">
        <v>0</v>
      </c>
      <c r="AN186" s="67">
        <v>0</v>
      </c>
      <c r="AO186" s="67">
        <v>0</v>
      </c>
      <c r="AP186" s="67">
        <v>0</v>
      </c>
      <c r="AQ186" s="67">
        <v>0</v>
      </c>
      <c r="AR186" s="67">
        <v>0</v>
      </c>
      <c r="AS186" s="67">
        <v>0</v>
      </c>
      <c r="AT186" s="67"/>
      <c r="AU186" s="67"/>
      <c r="AV186" s="67"/>
      <c r="AW186" s="67">
        <v>0</v>
      </c>
      <c r="AX186" s="67">
        <v>0</v>
      </c>
      <c r="AY186" s="67"/>
      <c r="AZ186" s="67"/>
      <c r="BA186" s="67"/>
      <c r="BB186" s="67"/>
      <c r="BC186" s="67"/>
      <c r="BD186" s="67"/>
      <c r="BE186" s="67"/>
      <c r="BG186" s="67"/>
      <c r="BH186" s="67"/>
      <c r="BI186" s="67"/>
      <c r="BJ186" s="67">
        <v>0</v>
      </c>
      <c r="BK186" s="67"/>
      <c r="BL186" s="67"/>
      <c r="BP186" s="67"/>
      <c r="BQ186" s="67">
        <v>0</v>
      </c>
      <c r="BR186" s="67"/>
      <c r="BS186" s="67"/>
      <c r="BT186" s="67">
        <v>0</v>
      </c>
      <c r="BU186" s="67"/>
      <c r="BV186" s="67"/>
      <c r="BW186" s="67">
        <v>0</v>
      </c>
      <c r="BX186" s="67">
        <v>0</v>
      </c>
      <c r="BY186" s="67">
        <v>0</v>
      </c>
      <c r="BZ186" s="67">
        <v>0</v>
      </c>
      <c r="CA186" s="67"/>
      <c r="CB186" s="67">
        <v>0</v>
      </c>
      <c r="CC186" s="67"/>
      <c r="CD186" s="67"/>
      <c r="CE186" s="67">
        <v>0</v>
      </c>
      <c r="CF186" s="67">
        <v>0</v>
      </c>
      <c r="CG186" s="67"/>
      <c r="CH186" s="67"/>
      <c r="CI186" s="67"/>
      <c r="CJ186" s="67"/>
      <c r="CK186" s="67">
        <v>0</v>
      </c>
      <c r="CL186" s="67">
        <v>0</v>
      </c>
      <c r="CM186" s="67"/>
      <c r="CN186" s="67"/>
      <c r="CO186" s="67">
        <v>0</v>
      </c>
      <c r="CP186" s="67">
        <v>0</v>
      </c>
      <c r="CQ186" s="67"/>
      <c r="CR186" s="67"/>
      <c r="CS186" s="67"/>
      <c r="CT186" s="67"/>
      <c r="CU186" s="67">
        <v>0</v>
      </c>
      <c r="CV186" s="67"/>
      <c r="CW186" s="67"/>
      <c r="CX186" s="67"/>
      <c r="CY186" s="67">
        <v>0</v>
      </c>
      <c r="CZ186" s="67"/>
      <c r="DA186" s="67"/>
      <c r="DB186" s="67"/>
      <c r="DC186" s="67"/>
      <c r="DF186" s="67"/>
      <c r="DG186" s="67">
        <v>0</v>
      </c>
      <c r="DH186" s="67">
        <v>0</v>
      </c>
      <c r="DI186" s="67">
        <v>0</v>
      </c>
      <c r="DJ186" s="67"/>
      <c r="DK186" s="67">
        <v>0</v>
      </c>
      <c r="DL186" s="67">
        <v>0</v>
      </c>
      <c r="DM186" s="67">
        <v>0</v>
      </c>
      <c r="DN186" s="67"/>
      <c r="DO186" s="67"/>
      <c r="DP186" s="67"/>
      <c r="DQ186" s="67">
        <v>0</v>
      </c>
      <c r="DR186" s="67">
        <v>0</v>
      </c>
      <c r="DS186" s="67"/>
      <c r="DT186" s="67"/>
      <c r="DU186" s="67">
        <v>0</v>
      </c>
      <c r="DV186" s="67">
        <v>0</v>
      </c>
      <c r="DW186" s="67">
        <v>0</v>
      </c>
      <c r="DX186" s="67">
        <v>0</v>
      </c>
      <c r="DY186" s="67"/>
      <c r="DZ186" s="67">
        <v>0</v>
      </c>
      <c r="EA186" s="67"/>
      <c r="EB186" s="67">
        <v>0</v>
      </c>
      <c r="EC186" s="67"/>
      <c r="ED186" s="67">
        <v>0</v>
      </c>
      <c r="EE186" s="67"/>
      <c r="EF186" s="67">
        <v>0</v>
      </c>
      <c r="EG186" s="67"/>
      <c r="EH186" s="67"/>
      <c r="EI186" s="67"/>
      <c r="EJ186" s="67"/>
      <c r="EK186" s="67"/>
      <c r="EL186" s="67"/>
      <c r="EM186" s="67"/>
      <c r="EN186" s="67"/>
      <c r="EO186" s="67"/>
      <c r="EP186" s="67">
        <v>0</v>
      </c>
      <c r="EQ186" s="67">
        <v>0</v>
      </c>
      <c r="ER186" s="67">
        <v>0</v>
      </c>
      <c r="ES186" s="67"/>
      <c r="ET186">
        <v>0</v>
      </c>
      <c r="EX186" s="67"/>
      <c r="EY186" s="67"/>
      <c r="EZ186" s="67"/>
      <c r="FA186" s="67">
        <v>0</v>
      </c>
      <c r="FB186" s="67"/>
      <c r="FC186" s="67"/>
      <c r="FD186" s="67"/>
      <c r="FE186" s="67"/>
      <c r="FF186" s="67"/>
      <c r="FG186" s="67"/>
      <c r="FH186" s="67"/>
      <c r="FI186" s="67" t="s">
        <v>1600</v>
      </c>
    </row>
    <row r="187" spans="2:165" ht="24" x14ac:dyDescent="0.2">
      <c r="B187" s="67"/>
      <c r="C187" s="67" t="s">
        <v>1683</v>
      </c>
      <c r="D187" s="67" t="s">
        <v>604</v>
      </c>
      <c r="E187" s="67" t="s">
        <v>13</v>
      </c>
      <c r="F187" s="67" t="s">
        <v>750</v>
      </c>
      <c r="G187" s="67" t="s">
        <v>345</v>
      </c>
      <c r="H187" s="67"/>
      <c r="I187" s="67" t="s">
        <v>41</v>
      </c>
      <c r="J187" s="67" t="s">
        <v>64</v>
      </c>
      <c r="K187" s="67" t="s">
        <v>1679</v>
      </c>
      <c r="L187" s="67" t="s">
        <v>787</v>
      </c>
      <c r="M187" s="67" t="s">
        <v>1615</v>
      </c>
      <c r="N187" s="67" t="s">
        <v>1607</v>
      </c>
      <c r="O187" s="67" t="s">
        <v>1608</v>
      </c>
      <c r="P187" s="67" t="s">
        <v>346</v>
      </c>
      <c r="Q187" s="67">
        <v>300</v>
      </c>
      <c r="R187" s="67">
        <v>0</v>
      </c>
      <c r="S187" s="67">
        <v>0</v>
      </c>
      <c r="T187" s="67">
        <v>300</v>
      </c>
      <c r="U187" s="67">
        <v>0</v>
      </c>
      <c r="V187" s="67">
        <v>0</v>
      </c>
      <c r="W187" s="67">
        <v>0</v>
      </c>
      <c r="X187" s="67">
        <v>0</v>
      </c>
      <c r="Y187" s="67">
        <v>0</v>
      </c>
      <c r="Z187" s="67">
        <v>0</v>
      </c>
      <c r="AA187" s="67">
        <v>0</v>
      </c>
      <c r="AB187" s="67">
        <v>0</v>
      </c>
      <c r="AC187" s="67">
        <v>0</v>
      </c>
      <c r="AD187" s="67">
        <v>0</v>
      </c>
      <c r="AE187" s="67">
        <v>0</v>
      </c>
      <c r="AF187" s="67">
        <v>0</v>
      </c>
      <c r="AG187" s="67">
        <v>0</v>
      </c>
      <c r="AH187" s="67">
        <v>0</v>
      </c>
      <c r="AI187" s="67">
        <v>0</v>
      </c>
      <c r="AJ187" s="67">
        <v>0</v>
      </c>
      <c r="AK187" s="67">
        <v>0</v>
      </c>
      <c r="AL187" s="67">
        <v>0</v>
      </c>
      <c r="AM187" s="67">
        <v>0</v>
      </c>
      <c r="AN187" s="67">
        <v>0</v>
      </c>
      <c r="AO187" s="67">
        <v>0</v>
      </c>
      <c r="AP187" s="67">
        <v>0</v>
      </c>
      <c r="AQ187" s="67">
        <v>0</v>
      </c>
      <c r="AR187" s="67">
        <v>0</v>
      </c>
      <c r="AS187" s="67">
        <v>0</v>
      </c>
      <c r="AT187" s="67"/>
      <c r="AU187" s="67"/>
      <c r="AV187" s="67"/>
      <c r="AW187" s="67">
        <v>0</v>
      </c>
      <c r="AX187" s="67">
        <v>0</v>
      </c>
      <c r="AY187" s="67"/>
      <c r="AZ187" s="67"/>
      <c r="BA187" s="67"/>
      <c r="BB187" s="67"/>
      <c r="BC187" s="67"/>
      <c r="BD187" s="67"/>
      <c r="BE187" s="67"/>
      <c r="BG187" s="67"/>
      <c r="BH187" s="67"/>
      <c r="BI187" s="67"/>
      <c r="BJ187" s="67">
        <v>0</v>
      </c>
      <c r="BK187" s="67"/>
      <c r="BL187" s="67"/>
      <c r="BP187" s="67"/>
      <c r="BQ187" s="67">
        <v>0</v>
      </c>
      <c r="BR187" s="67"/>
      <c r="BS187" s="67"/>
      <c r="BT187" s="67">
        <v>0</v>
      </c>
      <c r="BU187" s="67"/>
      <c r="BV187" s="67"/>
      <c r="BW187" s="67">
        <v>0</v>
      </c>
      <c r="BX187" s="67">
        <v>0</v>
      </c>
      <c r="BY187" s="67">
        <v>0</v>
      </c>
      <c r="BZ187" s="67">
        <v>0</v>
      </c>
      <c r="CA187" s="67"/>
      <c r="CB187" s="67">
        <v>0</v>
      </c>
      <c r="CC187" s="67"/>
      <c r="CD187" s="67"/>
      <c r="CE187" s="67">
        <v>0</v>
      </c>
      <c r="CF187" s="67">
        <v>0</v>
      </c>
      <c r="CG187" s="67"/>
      <c r="CH187" s="67"/>
      <c r="CI187" s="67"/>
      <c r="CJ187" s="67"/>
      <c r="CK187" s="67">
        <v>0</v>
      </c>
      <c r="CL187" s="67">
        <v>0</v>
      </c>
      <c r="CM187" s="67"/>
      <c r="CN187" s="67"/>
      <c r="CO187" s="67">
        <v>0</v>
      </c>
      <c r="CP187" s="67">
        <v>0</v>
      </c>
      <c r="CQ187" s="67"/>
      <c r="CR187" s="67"/>
      <c r="CS187" s="67"/>
      <c r="CT187" s="67"/>
      <c r="CU187" s="67">
        <v>0</v>
      </c>
      <c r="CV187" s="67"/>
      <c r="CW187" s="67"/>
      <c r="CX187" s="67"/>
      <c r="CY187" s="67">
        <v>0</v>
      </c>
      <c r="CZ187" s="67"/>
      <c r="DA187" s="67"/>
      <c r="DB187" s="67"/>
      <c r="DC187" s="67"/>
      <c r="DF187" s="67"/>
      <c r="DG187" s="67">
        <v>0</v>
      </c>
      <c r="DH187" s="67">
        <v>0</v>
      </c>
      <c r="DI187" s="67">
        <v>0</v>
      </c>
      <c r="DJ187" s="67"/>
      <c r="DK187" s="67">
        <v>0</v>
      </c>
      <c r="DL187" s="67">
        <v>0</v>
      </c>
      <c r="DM187" s="67">
        <v>0</v>
      </c>
      <c r="DN187" s="67"/>
      <c r="DO187" s="67"/>
      <c r="DP187" s="67"/>
      <c r="DQ187" s="67">
        <v>0</v>
      </c>
      <c r="DR187" s="67">
        <v>0</v>
      </c>
      <c r="DS187" s="67"/>
      <c r="DT187" s="67"/>
      <c r="DU187" s="67">
        <v>0</v>
      </c>
      <c r="DV187" s="67">
        <v>0</v>
      </c>
      <c r="DW187" s="67">
        <v>0</v>
      </c>
      <c r="DX187" s="67">
        <v>0</v>
      </c>
      <c r="DY187" s="67"/>
      <c r="DZ187" s="67">
        <v>0</v>
      </c>
      <c r="EA187" s="67"/>
      <c r="EB187" s="67">
        <v>0</v>
      </c>
      <c r="EC187" s="67"/>
      <c r="ED187" s="67">
        <v>0</v>
      </c>
      <c r="EE187" s="67"/>
      <c r="EF187" s="67">
        <v>0</v>
      </c>
      <c r="EG187" s="67"/>
      <c r="EH187" s="67"/>
      <c r="EI187" s="67"/>
      <c r="EJ187" s="67"/>
      <c r="EK187" s="67"/>
      <c r="EL187" s="67"/>
      <c r="EM187" s="67"/>
      <c r="EN187" s="67"/>
      <c r="EO187" s="67"/>
      <c r="EP187" s="67">
        <v>0</v>
      </c>
      <c r="EQ187" s="67">
        <v>0</v>
      </c>
      <c r="ER187" s="67">
        <v>0</v>
      </c>
      <c r="ES187" s="67"/>
      <c r="ET187">
        <v>0</v>
      </c>
      <c r="EX187" s="67"/>
      <c r="EY187" s="67"/>
      <c r="EZ187" s="67"/>
      <c r="FA187" s="67">
        <v>300</v>
      </c>
      <c r="FB187" s="67"/>
      <c r="FC187" s="67"/>
      <c r="FD187" s="67"/>
      <c r="FE187" s="67"/>
      <c r="FF187" s="67"/>
      <c r="FG187" s="67"/>
      <c r="FH187" s="67"/>
      <c r="FI187" s="67" t="s">
        <v>1600</v>
      </c>
    </row>
    <row r="188" spans="2:165" x14ac:dyDescent="0.2">
      <c r="B188" s="67"/>
      <c r="C188" s="67" t="s">
        <v>1684</v>
      </c>
      <c r="D188" s="67" t="s">
        <v>605</v>
      </c>
      <c r="E188" s="67" t="s">
        <v>305</v>
      </c>
      <c r="F188" s="67">
        <v>0</v>
      </c>
      <c r="G188" s="67" t="s">
        <v>1685</v>
      </c>
      <c r="H188" s="67"/>
      <c r="I188" s="67">
        <v>0</v>
      </c>
      <c r="J188" s="67">
        <v>0</v>
      </c>
      <c r="K188" s="67" t="s">
        <v>1686</v>
      </c>
      <c r="L188" s="67" t="s">
        <v>787</v>
      </c>
      <c r="M188" s="67" t="s">
        <v>752</v>
      </c>
      <c r="N188" s="67" t="s">
        <v>1598</v>
      </c>
      <c r="O188" s="67" t="s">
        <v>1599</v>
      </c>
      <c r="P188" s="67"/>
      <c r="Q188" s="67">
        <v>0</v>
      </c>
      <c r="R188" s="67">
        <v>0</v>
      </c>
      <c r="S188" s="67">
        <v>0</v>
      </c>
      <c r="T188" s="67">
        <v>0</v>
      </c>
      <c r="U188" s="67">
        <v>0</v>
      </c>
      <c r="V188" s="67">
        <v>0</v>
      </c>
      <c r="W188" s="67">
        <v>0</v>
      </c>
      <c r="X188" s="67">
        <v>0</v>
      </c>
      <c r="Y188" s="67">
        <v>0</v>
      </c>
      <c r="Z188" s="67">
        <v>0</v>
      </c>
      <c r="AA188" s="67">
        <v>0</v>
      </c>
      <c r="AB188" s="67">
        <v>0</v>
      </c>
      <c r="AC188" s="67">
        <v>0</v>
      </c>
      <c r="AD188" s="67">
        <v>0</v>
      </c>
      <c r="AE188" s="67">
        <v>0</v>
      </c>
      <c r="AF188" s="67">
        <v>0</v>
      </c>
      <c r="AG188" s="67">
        <v>0</v>
      </c>
      <c r="AH188" s="67">
        <v>0</v>
      </c>
      <c r="AI188" s="67">
        <v>0</v>
      </c>
      <c r="AJ188" s="67">
        <v>0</v>
      </c>
      <c r="AK188" s="67">
        <v>0</v>
      </c>
      <c r="AL188" s="67">
        <v>0</v>
      </c>
      <c r="AM188" s="67">
        <v>0</v>
      </c>
      <c r="AN188" s="67">
        <v>0</v>
      </c>
      <c r="AO188" s="67">
        <v>0</v>
      </c>
      <c r="AP188" s="67">
        <v>0</v>
      </c>
      <c r="AQ188" s="67">
        <v>0</v>
      </c>
      <c r="AR188" s="67">
        <v>0</v>
      </c>
      <c r="AS188" s="67">
        <v>0</v>
      </c>
      <c r="AT188" s="67"/>
      <c r="AU188" s="67"/>
      <c r="AV188" s="67"/>
      <c r="AW188" s="67">
        <v>0</v>
      </c>
      <c r="AX188" s="67">
        <v>0</v>
      </c>
      <c r="AY188" s="67"/>
      <c r="AZ188" s="67"/>
      <c r="BA188" s="67"/>
      <c r="BB188" s="67"/>
      <c r="BC188" s="67"/>
      <c r="BD188" s="67"/>
      <c r="BE188" s="67"/>
      <c r="BG188" s="67"/>
      <c r="BH188" s="67"/>
      <c r="BI188" s="67"/>
      <c r="BJ188" s="67">
        <v>0</v>
      </c>
      <c r="BK188" s="67"/>
      <c r="BL188" s="67"/>
      <c r="BP188" s="67"/>
      <c r="BQ188" s="67">
        <v>0</v>
      </c>
      <c r="BR188" s="67"/>
      <c r="BS188" s="67"/>
      <c r="BT188" s="67">
        <v>0</v>
      </c>
      <c r="BU188" s="67"/>
      <c r="BV188" s="67"/>
      <c r="BW188" s="67">
        <v>0</v>
      </c>
      <c r="BX188" s="67">
        <v>0</v>
      </c>
      <c r="BY188" s="67">
        <v>0</v>
      </c>
      <c r="BZ188" s="67">
        <v>0</v>
      </c>
      <c r="CA188" s="67"/>
      <c r="CB188" s="67">
        <v>0</v>
      </c>
      <c r="CC188" s="67"/>
      <c r="CD188" s="67"/>
      <c r="CE188" s="67">
        <v>0</v>
      </c>
      <c r="CF188" s="67">
        <v>0</v>
      </c>
      <c r="CG188" s="67"/>
      <c r="CH188" s="67"/>
      <c r="CI188" s="67"/>
      <c r="CJ188" s="67"/>
      <c r="CK188" s="67">
        <v>61</v>
      </c>
      <c r="CL188" s="67">
        <v>61</v>
      </c>
      <c r="CM188" s="67"/>
      <c r="CN188" s="67"/>
      <c r="CO188" s="67">
        <v>18</v>
      </c>
      <c r="CP188" s="67">
        <v>18</v>
      </c>
      <c r="CQ188" s="67"/>
      <c r="CR188" s="67"/>
      <c r="CS188" s="67"/>
      <c r="CT188" s="67"/>
      <c r="CU188" s="67">
        <v>0</v>
      </c>
      <c r="CV188" s="67"/>
      <c r="CW188" s="67"/>
      <c r="CX188" s="67"/>
      <c r="CY188" s="67">
        <v>0</v>
      </c>
      <c r="CZ188" s="67"/>
      <c r="DA188" s="67"/>
      <c r="DB188" s="67"/>
      <c r="DC188" s="67"/>
      <c r="DF188" s="67"/>
      <c r="DG188" s="67">
        <v>0</v>
      </c>
      <c r="DH188" s="67">
        <v>0</v>
      </c>
      <c r="DI188" s="67">
        <v>0</v>
      </c>
      <c r="DJ188" s="67"/>
      <c r="DK188" s="67">
        <v>0</v>
      </c>
      <c r="DL188" s="67">
        <v>0</v>
      </c>
      <c r="DM188" s="67">
        <v>0</v>
      </c>
      <c r="DN188" s="67"/>
      <c r="DO188" s="67"/>
      <c r="DP188" s="67"/>
      <c r="DQ188" s="67">
        <v>0</v>
      </c>
      <c r="DR188" s="67">
        <v>0</v>
      </c>
      <c r="DS188" s="67"/>
      <c r="DT188" s="67"/>
      <c r="DU188" s="67">
        <v>0</v>
      </c>
      <c r="DV188" s="67">
        <v>0</v>
      </c>
      <c r="DW188" s="67">
        <v>0</v>
      </c>
      <c r="DX188" s="67">
        <v>0</v>
      </c>
      <c r="DY188" s="67"/>
      <c r="DZ188" s="67">
        <v>0</v>
      </c>
      <c r="EA188" s="67"/>
      <c r="EB188" s="67">
        <v>0</v>
      </c>
      <c r="EC188" s="67"/>
      <c r="ED188" s="67">
        <v>0</v>
      </c>
      <c r="EE188" s="67"/>
      <c r="EF188" s="67">
        <v>0</v>
      </c>
      <c r="EG188" s="67"/>
      <c r="EH188" s="67"/>
      <c r="EI188" s="67"/>
      <c r="EJ188" s="67"/>
      <c r="EK188" s="67"/>
      <c r="EL188" s="67"/>
      <c r="EM188" s="67"/>
      <c r="EN188" s="67"/>
      <c r="EO188" s="67"/>
      <c r="EP188" s="67">
        <v>0</v>
      </c>
      <c r="EQ188" s="67">
        <v>0</v>
      </c>
      <c r="ER188" s="67">
        <v>0</v>
      </c>
      <c r="ES188" s="67"/>
      <c r="ET188">
        <v>0</v>
      </c>
      <c r="EX188" s="67"/>
      <c r="EY188" s="67"/>
      <c r="EZ188" s="67"/>
      <c r="FA188" s="67">
        <v>79</v>
      </c>
      <c r="FB188" s="67"/>
      <c r="FC188" s="67"/>
      <c r="FD188" s="67"/>
      <c r="FE188" s="67"/>
      <c r="FF188" s="67"/>
      <c r="FG188" s="67"/>
      <c r="FH188" s="67"/>
      <c r="FI188" s="67" t="s">
        <v>1600</v>
      </c>
    </row>
    <row r="189" spans="2:165" ht="24" x14ac:dyDescent="0.2">
      <c r="B189" s="67" t="s">
        <v>606</v>
      </c>
      <c r="C189" s="67" t="s">
        <v>606</v>
      </c>
      <c r="D189" s="67" t="s">
        <v>607</v>
      </c>
      <c r="E189" s="67" t="s">
        <v>13</v>
      </c>
      <c r="F189" s="67" t="s">
        <v>750</v>
      </c>
      <c r="G189" s="67" t="s">
        <v>1597</v>
      </c>
      <c r="H189" s="67"/>
      <c r="I189" s="67" t="s">
        <v>41</v>
      </c>
      <c r="J189" s="67" t="s">
        <v>74</v>
      </c>
      <c r="K189" s="67" t="s">
        <v>1617</v>
      </c>
      <c r="L189" s="67" t="s">
        <v>787</v>
      </c>
      <c r="M189" s="67" t="s">
        <v>752</v>
      </c>
      <c r="N189" s="67" t="s">
        <v>1601</v>
      </c>
      <c r="O189" s="67" t="s">
        <v>1599</v>
      </c>
      <c r="P189" s="67"/>
      <c r="Q189" s="67">
        <v>550</v>
      </c>
      <c r="R189" s="67">
        <v>0</v>
      </c>
      <c r="S189" s="67">
        <v>0</v>
      </c>
      <c r="T189" s="67">
        <v>550</v>
      </c>
      <c r="U189" s="67">
        <v>0</v>
      </c>
      <c r="V189" s="67">
        <v>0</v>
      </c>
      <c r="W189" s="67">
        <v>0</v>
      </c>
      <c r="X189" s="67">
        <v>0</v>
      </c>
      <c r="Y189" s="67">
        <v>0</v>
      </c>
      <c r="Z189" s="67">
        <v>0</v>
      </c>
      <c r="AA189" s="67">
        <v>0</v>
      </c>
      <c r="AB189" s="67">
        <v>0</v>
      </c>
      <c r="AC189" s="67">
        <v>0</v>
      </c>
      <c r="AD189" s="67">
        <v>0</v>
      </c>
      <c r="AE189" s="67">
        <v>0</v>
      </c>
      <c r="AF189" s="67">
        <v>0</v>
      </c>
      <c r="AG189" s="67">
        <v>0</v>
      </c>
      <c r="AH189" s="67">
        <v>0</v>
      </c>
      <c r="AI189" s="67">
        <v>0</v>
      </c>
      <c r="AJ189" s="67">
        <v>0</v>
      </c>
      <c r="AK189" s="67">
        <v>0</v>
      </c>
      <c r="AL189" s="67">
        <v>0</v>
      </c>
      <c r="AM189" s="67">
        <v>0</v>
      </c>
      <c r="AN189" s="67">
        <v>0</v>
      </c>
      <c r="AO189" s="67">
        <v>0</v>
      </c>
      <c r="AP189" s="67">
        <v>0</v>
      </c>
      <c r="AQ189" s="67">
        <v>0</v>
      </c>
      <c r="AR189" s="67">
        <v>0</v>
      </c>
      <c r="AS189" s="67">
        <v>0</v>
      </c>
      <c r="AT189" s="67"/>
      <c r="AU189" s="67"/>
      <c r="AV189" s="67"/>
      <c r="AW189" s="67">
        <v>0</v>
      </c>
      <c r="AX189" s="67">
        <v>0</v>
      </c>
      <c r="AY189" s="67"/>
      <c r="AZ189" s="67"/>
      <c r="BA189" s="67"/>
      <c r="BB189" s="67"/>
      <c r="BC189" s="67"/>
      <c r="BD189" s="67"/>
      <c r="BE189" s="67"/>
      <c r="BG189" s="67"/>
      <c r="BH189" s="67"/>
      <c r="BI189" s="67"/>
      <c r="BJ189" s="67">
        <v>0</v>
      </c>
      <c r="BK189" s="67"/>
      <c r="BL189" s="67"/>
      <c r="BP189" s="67"/>
      <c r="BQ189" s="67">
        <v>0</v>
      </c>
      <c r="BR189" s="67"/>
      <c r="BS189" s="67"/>
      <c r="BT189" s="67">
        <v>0</v>
      </c>
      <c r="BU189" s="67"/>
      <c r="BV189" s="67"/>
      <c r="BW189" s="67">
        <v>0</v>
      </c>
      <c r="BX189" s="67">
        <v>0</v>
      </c>
      <c r="BY189" s="67">
        <v>0</v>
      </c>
      <c r="BZ189" s="67">
        <v>0</v>
      </c>
      <c r="CA189" s="67"/>
      <c r="CB189" s="67">
        <v>0</v>
      </c>
      <c r="CC189" s="67"/>
      <c r="CD189" s="67"/>
      <c r="CE189" s="67">
        <v>0</v>
      </c>
      <c r="CF189" s="67">
        <v>0</v>
      </c>
      <c r="CG189" s="67"/>
      <c r="CH189" s="67"/>
      <c r="CI189" s="67"/>
      <c r="CJ189" s="67"/>
      <c r="CK189" s="67">
        <v>0</v>
      </c>
      <c r="CL189" s="67">
        <v>0</v>
      </c>
      <c r="CM189" s="67"/>
      <c r="CN189" s="67"/>
      <c r="CO189" s="67">
        <v>0</v>
      </c>
      <c r="CP189" s="67">
        <v>0</v>
      </c>
      <c r="CQ189" s="67"/>
      <c r="CR189" s="67"/>
      <c r="CS189" s="67"/>
      <c r="CT189" s="67"/>
      <c r="CU189" s="67">
        <v>0</v>
      </c>
      <c r="CV189" s="67"/>
      <c r="CW189" s="67"/>
      <c r="CX189" s="67"/>
      <c r="CY189" s="67">
        <v>0</v>
      </c>
      <c r="CZ189" s="67"/>
      <c r="DA189" s="67"/>
      <c r="DB189" s="67"/>
      <c r="DC189" s="67"/>
      <c r="DF189" s="67"/>
      <c r="DG189" s="67">
        <v>0</v>
      </c>
      <c r="DH189" s="67">
        <v>0</v>
      </c>
      <c r="DI189" s="67">
        <v>0</v>
      </c>
      <c r="DJ189" s="67"/>
      <c r="DK189" s="67">
        <v>0</v>
      </c>
      <c r="DL189" s="67">
        <v>0</v>
      </c>
      <c r="DM189" s="67">
        <v>0</v>
      </c>
      <c r="DN189" s="67"/>
      <c r="DO189" s="67"/>
      <c r="DP189" s="67"/>
      <c r="DQ189" s="67">
        <v>0</v>
      </c>
      <c r="DR189" s="67">
        <v>0</v>
      </c>
      <c r="DS189" s="67"/>
      <c r="DT189" s="67"/>
      <c r="DU189" s="67">
        <v>0</v>
      </c>
      <c r="DV189" s="67">
        <v>0</v>
      </c>
      <c r="DW189" s="67">
        <v>0</v>
      </c>
      <c r="DX189" s="67">
        <v>0</v>
      </c>
      <c r="DY189" s="67"/>
      <c r="DZ189" s="67">
        <v>0</v>
      </c>
      <c r="EA189" s="67"/>
      <c r="EB189" s="67">
        <v>0</v>
      </c>
      <c r="EC189" s="67"/>
      <c r="ED189" s="67">
        <v>0</v>
      </c>
      <c r="EE189" s="67"/>
      <c r="EF189" s="67">
        <v>0</v>
      </c>
      <c r="EG189" s="67"/>
      <c r="EH189" s="67"/>
      <c r="EI189" s="67"/>
      <c r="EJ189" s="67"/>
      <c r="EK189" s="67"/>
      <c r="EL189" s="67"/>
      <c r="EM189" s="67"/>
      <c r="EN189" s="67"/>
      <c r="EO189" s="67"/>
      <c r="EP189" s="67">
        <v>0</v>
      </c>
      <c r="EQ189" s="67">
        <v>0</v>
      </c>
      <c r="ER189" s="67">
        <v>0</v>
      </c>
      <c r="ES189" s="67"/>
      <c r="ET189">
        <v>0</v>
      </c>
      <c r="EX189" s="67"/>
      <c r="EY189" s="67"/>
      <c r="EZ189" s="67"/>
      <c r="FA189" s="67">
        <v>550</v>
      </c>
      <c r="FB189" s="67"/>
      <c r="FC189" s="67"/>
      <c r="FD189" s="67"/>
      <c r="FE189" s="67"/>
      <c r="FF189" s="67"/>
      <c r="FG189" s="67"/>
      <c r="FH189" s="67"/>
      <c r="FI189" s="67" t="s">
        <v>1600</v>
      </c>
    </row>
    <row r="190" spans="2:165" ht="24" x14ac:dyDescent="0.2">
      <c r="B190" s="67" t="s">
        <v>608</v>
      </c>
      <c r="C190" s="67" t="s">
        <v>608</v>
      </c>
      <c r="D190" s="67" t="s">
        <v>609</v>
      </c>
      <c r="E190" s="67" t="s">
        <v>13</v>
      </c>
      <c r="F190" s="67" t="s">
        <v>1687</v>
      </c>
      <c r="G190" s="67" t="s">
        <v>1597</v>
      </c>
      <c r="H190" s="67"/>
      <c r="I190" s="67" t="s">
        <v>41</v>
      </c>
      <c r="J190" s="67" t="s">
        <v>64</v>
      </c>
      <c r="K190" s="67" t="s">
        <v>1232</v>
      </c>
      <c r="L190" s="67" t="s">
        <v>1285</v>
      </c>
      <c r="M190" s="67" t="s">
        <v>752</v>
      </c>
      <c r="N190" s="67" t="s">
        <v>1598</v>
      </c>
      <c r="O190" s="67" t="s">
        <v>1599</v>
      </c>
      <c r="P190" s="67"/>
      <c r="Q190" s="67">
        <v>485</v>
      </c>
      <c r="R190" s="67">
        <v>0</v>
      </c>
      <c r="S190" s="67">
        <v>0</v>
      </c>
      <c r="T190" s="67">
        <v>0</v>
      </c>
      <c r="U190" s="67">
        <v>0</v>
      </c>
      <c r="V190" s="67">
        <v>0</v>
      </c>
      <c r="W190" s="67">
        <v>0</v>
      </c>
      <c r="X190" s="67">
        <v>0</v>
      </c>
      <c r="Y190" s="67">
        <v>0</v>
      </c>
      <c r="Z190" s="67">
        <v>0</v>
      </c>
      <c r="AA190" s="67">
        <v>0</v>
      </c>
      <c r="AB190" s="67">
        <v>0</v>
      </c>
      <c r="AC190" s="67">
        <v>0</v>
      </c>
      <c r="AD190" s="67">
        <v>0</v>
      </c>
      <c r="AE190" s="67">
        <v>0</v>
      </c>
      <c r="AF190" s="67">
        <v>0</v>
      </c>
      <c r="AG190" s="67">
        <v>0</v>
      </c>
      <c r="AH190" s="67">
        <v>0</v>
      </c>
      <c r="AI190" s="67">
        <v>0</v>
      </c>
      <c r="AJ190" s="67">
        <v>0</v>
      </c>
      <c r="AK190" s="67">
        <v>485</v>
      </c>
      <c r="AL190" s="67">
        <v>0</v>
      </c>
      <c r="AM190" s="67">
        <v>0</v>
      </c>
      <c r="AN190" s="67">
        <v>0</v>
      </c>
      <c r="AO190" s="67">
        <v>0</v>
      </c>
      <c r="AP190" s="67">
        <v>0</v>
      </c>
      <c r="AQ190" s="67">
        <v>0</v>
      </c>
      <c r="AR190" s="67">
        <v>0</v>
      </c>
      <c r="AS190" s="67">
        <v>0</v>
      </c>
      <c r="AT190" s="67"/>
      <c r="AU190" s="67"/>
      <c r="AV190" s="67"/>
      <c r="AW190" s="67">
        <v>0</v>
      </c>
      <c r="AX190" s="67">
        <v>0</v>
      </c>
      <c r="AY190" s="67"/>
      <c r="AZ190" s="67"/>
      <c r="BA190" s="67"/>
      <c r="BB190" s="67"/>
      <c r="BC190" s="67"/>
      <c r="BD190" s="67"/>
      <c r="BE190" s="67"/>
      <c r="BG190" s="67"/>
      <c r="BH190" s="67"/>
      <c r="BI190" s="67"/>
      <c r="BJ190" s="67">
        <v>0</v>
      </c>
      <c r="BK190" s="67"/>
      <c r="BL190" s="67"/>
      <c r="BP190" s="67"/>
      <c r="BQ190" s="67">
        <v>0</v>
      </c>
      <c r="BR190" s="67"/>
      <c r="BS190" s="67"/>
      <c r="BT190" s="67">
        <v>0</v>
      </c>
      <c r="BU190" s="67"/>
      <c r="BV190" s="67"/>
      <c r="BW190" s="67">
        <v>0</v>
      </c>
      <c r="BX190" s="67">
        <v>0</v>
      </c>
      <c r="BY190" s="67">
        <v>0</v>
      </c>
      <c r="BZ190" s="67">
        <v>0</v>
      </c>
      <c r="CA190" s="67"/>
      <c r="CB190" s="67">
        <v>0</v>
      </c>
      <c r="CC190" s="67"/>
      <c r="CD190" s="67"/>
      <c r="CE190" s="67">
        <v>0</v>
      </c>
      <c r="CF190" s="67">
        <v>0</v>
      </c>
      <c r="CG190" s="67"/>
      <c r="CH190" s="67"/>
      <c r="CI190" s="67"/>
      <c r="CJ190" s="67"/>
      <c r="CK190" s="67">
        <v>0</v>
      </c>
      <c r="CL190" s="67">
        <v>0</v>
      </c>
      <c r="CM190" s="67"/>
      <c r="CN190" s="67"/>
      <c r="CO190" s="67">
        <v>0</v>
      </c>
      <c r="CP190" s="67">
        <v>0</v>
      </c>
      <c r="CQ190" s="67"/>
      <c r="CR190" s="67"/>
      <c r="CS190" s="67"/>
      <c r="CT190" s="67"/>
      <c r="CU190" s="67">
        <v>0</v>
      </c>
      <c r="CV190" s="67"/>
      <c r="CW190" s="67"/>
      <c r="CX190" s="67"/>
      <c r="CY190" s="67">
        <v>0</v>
      </c>
      <c r="CZ190" s="67"/>
      <c r="DA190" s="67"/>
      <c r="DB190" s="67"/>
      <c r="DC190" s="67"/>
      <c r="DF190" s="67"/>
      <c r="DG190" s="67">
        <v>40</v>
      </c>
      <c r="DH190" s="67">
        <v>40</v>
      </c>
      <c r="DI190" s="67">
        <v>0</v>
      </c>
      <c r="DJ190" s="67"/>
      <c r="DK190" s="67">
        <v>0</v>
      </c>
      <c r="DL190" s="67">
        <v>0</v>
      </c>
      <c r="DM190" s="67">
        <v>0</v>
      </c>
      <c r="DN190" s="67"/>
      <c r="DO190" s="67"/>
      <c r="DP190" s="67"/>
      <c r="DQ190" s="67">
        <v>0</v>
      </c>
      <c r="DR190" s="67">
        <v>0</v>
      </c>
      <c r="DS190" s="67"/>
      <c r="DT190" s="67"/>
      <c r="DU190" s="67">
        <v>0</v>
      </c>
      <c r="DV190" s="67">
        <v>0</v>
      </c>
      <c r="DW190" s="67">
        <v>0</v>
      </c>
      <c r="DX190" s="67">
        <v>0</v>
      </c>
      <c r="DY190" s="67"/>
      <c r="DZ190" s="67">
        <v>0</v>
      </c>
      <c r="EA190" s="67"/>
      <c r="EB190" s="67">
        <v>0</v>
      </c>
      <c r="EC190" s="67"/>
      <c r="ED190" s="67">
        <v>0</v>
      </c>
      <c r="EE190" s="67"/>
      <c r="EF190" s="67">
        <v>0</v>
      </c>
      <c r="EG190" s="67"/>
      <c r="EH190" s="67"/>
      <c r="EI190" s="67"/>
      <c r="EJ190" s="67"/>
      <c r="EK190" s="67"/>
      <c r="EL190" s="67"/>
      <c r="EM190" s="67"/>
      <c r="EN190" s="67"/>
      <c r="EO190" s="67"/>
      <c r="EP190" s="67">
        <v>0</v>
      </c>
      <c r="EQ190" s="67">
        <v>0</v>
      </c>
      <c r="ER190" s="67">
        <v>0</v>
      </c>
      <c r="ES190" s="67"/>
      <c r="ET190">
        <v>0</v>
      </c>
      <c r="EX190" s="67"/>
      <c r="EY190" s="67"/>
      <c r="EZ190" s="67"/>
      <c r="FA190" s="67">
        <v>525</v>
      </c>
      <c r="FB190" s="67"/>
      <c r="FC190" s="67"/>
      <c r="FD190" s="67"/>
      <c r="FE190" s="67"/>
      <c r="FF190" s="67"/>
      <c r="FG190" s="67"/>
      <c r="FH190" s="67"/>
      <c r="FI190" s="67" t="s">
        <v>1600</v>
      </c>
    </row>
    <row r="191" spans="2:165" ht="24" x14ac:dyDescent="0.2">
      <c r="B191" s="67"/>
      <c r="C191" s="67" t="s">
        <v>1688</v>
      </c>
      <c r="D191" s="67" t="s">
        <v>610</v>
      </c>
      <c r="E191" s="67" t="s">
        <v>13</v>
      </c>
      <c r="F191" s="67" t="s">
        <v>1687</v>
      </c>
      <c r="G191" s="67" t="s">
        <v>345</v>
      </c>
      <c r="H191" s="67"/>
      <c r="I191" s="67" t="s">
        <v>41</v>
      </c>
      <c r="J191" s="67" t="s">
        <v>64</v>
      </c>
      <c r="K191" s="67" t="s">
        <v>1232</v>
      </c>
      <c r="L191" s="67" t="s">
        <v>787</v>
      </c>
      <c r="M191" s="67" t="s">
        <v>752</v>
      </c>
      <c r="N191" s="67" t="s">
        <v>1598</v>
      </c>
      <c r="O191" s="67" t="s">
        <v>1599</v>
      </c>
      <c r="P191" s="67"/>
      <c r="Q191" s="67">
        <v>1000</v>
      </c>
      <c r="R191" s="67">
        <v>0</v>
      </c>
      <c r="S191" s="67">
        <v>0</v>
      </c>
      <c r="T191" s="67">
        <v>0</v>
      </c>
      <c r="U191" s="67">
        <v>0</v>
      </c>
      <c r="V191" s="67">
        <v>0</v>
      </c>
      <c r="W191" s="67">
        <v>0</v>
      </c>
      <c r="X191" s="67">
        <v>0</v>
      </c>
      <c r="Y191" s="67">
        <v>0</v>
      </c>
      <c r="Z191" s="67">
        <v>0</v>
      </c>
      <c r="AA191" s="67">
        <v>0</v>
      </c>
      <c r="AB191" s="67">
        <v>0</v>
      </c>
      <c r="AC191" s="67">
        <v>0</v>
      </c>
      <c r="AD191" s="67">
        <v>0</v>
      </c>
      <c r="AE191" s="67">
        <v>0</v>
      </c>
      <c r="AF191" s="67">
        <v>0</v>
      </c>
      <c r="AG191" s="67">
        <v>0</v>
      </c>
      <c r="AH191" s="67">
        <v>0</v>
      </c>
      <c r="AI191" s="67">
        <v>0</v>
      </c>
      <c r="AJ191" s="67">
        <v>0</v>
      </c>
      <c r="AK191" s="67">
        <v>600</v>
      </c>
      <c r="AL191" s="67">
        <v>400</v>
      </c>
      <c r="AM191" s="67">
        <v>0</v>
      </c>
      <c r="AN191" s="67">
        <v>0</v>
      </c>
      <c r="AO191" s="67">
        <v>0</v>
      </c>
      <c r="AP191" s="67">
        <v>0</v>
      </c>
      <c r="AQ191" s="67">
        <v>0</v>
      </c>
      <c r="AR191" s="67">
        <v>0</v>
      </c>
      <c r="AS191" s="67">
        <v>0</v>
      </c>
      <c r="AT191" s="67"/>
      <c r="AU191" s="67"/>
      <c r="AV191" s="67"/>
      <c r="AW191" s="67">
        <v>0</v>
      </c>
      <c r="AX191" s="67">
        <v>0</v>
      </c>
      <c r="AY191" s="67"/>
      <c r="AZ191" s="67"/>
      <c r="BA191" s="67"/>
      <c r="BB191" s="67"/>
      <c r="BC191" s="67"/>
      <c r="BD191" s="67"/>
      <c r="BE191" s="67"/>
      <c r="BG191" s="67"/>
      <c r="BH191" s="67"/>
      <c r="BI191" s="67"/>
      <c r="BJ191" s="67">
        <v>0</v>
      </c>
      <c r="BK191" s="67"/>
      <c r="BL191" s="67"/>
      <c r="BP191" s="67"/>
      <c r="BQ191" s="67">
        <v>0</v>
      </c>
      <c r="BR191" s="67"/>
      <c r="BS191" s="67"/>
      <c r="BT191" s="67">
        <v>0</v>
      </c>
      <c r="BU191" s="67"/>
      <c r="BV191" s="67"/>
      <c r="BW191" s="67">
        <v>0</v>
      </c>
      <c r="BX191" s="67">
        <v>0</v>
      </c>
      <c r="BY191" s="67">
        <v>0</v>
      </c>
      <c r="BZ191" s="67">
        <v>0</v>
      </c>
      <c r="CA191" s="67"/>
      <c r="CB191" s="67">
        <v>0</v>
      </c>
      <c r="CC191" s="67"/>
      <c r="CD191" s="67"/>
      <c r="CE191" s="67">
        <v>0</v>
      </c>
      <c r="CF191" s="67">
        <v>0</v>
      </c>
      <c r="CG191" s="67"/>
      <c r="CH191" s="67"/>
      <c r="CI191" s="67"/>
      <c r="CJ191" s="67"/>
      <c r="CK191" s="67">
        <v>0</v>
      </c>
      <c r="CL191" s="67">
        <v>0</v>
      </c>
      <c r="CM191" s="67"/>
      <c r="CN191" s="67"/>
      <c r="CO191" s="67">
        <v>0</v>
      </c>
      <c r="CP191" s="67">
        <v>0</v>
      </c>
      <c r="CQ191" s="67"/>
      <c r="CR191" s="67"/>
      <c r="CS191" s="67"/>
      <c r="CT191" s="67"/>
      <c r="CU191" s="67">
        <v>0</v>
      </c>
      <c r="CV191" s="67"/>
      <c r="CW191" s="67"/>
      <c r="CX191" s="67"/>
      <c r="CY191" s="67">
        <v>0</v>
      </c>
      <c r="CZ191" s="67"/>
      <c r="DA191" s="67"/>
      <c r="DB191" s="67"/>
      <c r="DC191" s="67"/>
      <c r="DF191" s="67"/>
      <c r="DG191" s="67">
        <v>120</v>
      </c>
      <c r="DH191" s="67">
        <v>120</v>
      </c>
      <c r="DI191" s="67">
        <v>0</v>
      </c>
      <c r="DJ191" s="67"/>
      <c r="DK191" s="67">
        <v>0</v>
      </c>
      <c r="DL191" s="67">
        <v>0</v>
      </c>
      <c r="DM191" s="67">
        <v>0</v>
      </c>
      <c r="DN191" s="67"/>
      <c r="DO191" s="67"/>
      <c r="DP191" s="67"/>
      <c r="DQ191" s="67">
        <v>0</v>
      </c>
      <c r="DR191" s="67">
        <v>0</v>
      </c>
      <c r="DS191" s="67"/>
      <c r="DT191" s="67"/>
      <c r="DU191" s="67">
        <v>0</v>
      </c>
      <c r="DV191" s="67">
        <v>0</v>
      </c>
      <c r="DW191" s="67">
        <v>0</v>
      </c>
      <c r="DX191" s="67">
        <v>0</v>
      </c>
      <c r="DY191" s="67"/>
      <c r="DZ191" s="67">
        <v>0</v>
      </c>
      <c r="EA191" s="67"/>
      <c r="EB191" s="67">
        <v>0</v>
      </c>
      <c r="EC191" s="67"/>
      <c r="ED191" s="67">
        <v>0</v>
      </c>
      <c r="EE191" s="67"/>
      <c r="EF191" s="67">
        <v>0</v>
      </c>
      <c r="EG191" s="67"/>
      <c r="EH191" s="67"/>
      <c r="EI191" s="67"/>
      <c r="EJ191" s="67"/>
      <c r="EK191" s="67"/>
      <c r="EL191" s="67"/>
      <c r="EM191" s="67"/>
      <c r="EN191" s="67"/>
      <c r="EO191" s="67"/>
      <c r="EP191" s="67">
        <v>0</v>
      </c>
      <c r="EQ191" s="67">
        <v>0</v>
      </c>
      <c r="ER191" s="67">
        <v>0</v>
      </c>
      <c r="ES191" s="67"/>
      <c r="ET191">
        <v>0</v>
      </c>
      <c r="EX191" s="67"/>
      <c r="EY191" s="67"/>
      <c r="EZ191" s="67"/>
      <c r="FA191" s="67">
        <v>1120</v>
      </c>
      <c r="FB191" s="67"/>
      <c r="FC191" s="67"/>
      <c r="FD191" s="67"/>
      <c r="FE191" s="67"/>
      <c r="FF191" s="67"/>
      <c r="FG191" s="67"/>
      <c r="FH191" s="67"/>
      <c r="FI191" s="67" t="s">
        <v>1600</v>
      </c>
    </row>
    <row r="192" spans="2:165" ht="24" x14ac:dyDescent="0.2">
      <c r="B192" s="67" t="s">
        <v>611</v>
      </c>
      <c r="C192" s="67" t="s">
        <v>611</v>
      </c>
      <c r="D192" s="67" t="s">
        <v>612</v>
      </c>
      <c r="E192" s="67" t="s">
        <v>13</v>
      </c>
      <c r="F192" s="67" t="s">
        <v>750</v>
      </c>
      <c r="G192" s="67" t="s">
        <v>1597</v>
      </c>
      <c r="H192" s="67"/>
      <c r="I192" s="67" t="s">
        <v>41</v>
      </c>
      <c r="J192" s="67" t="s">
        <v>64</v>
      </c>
      <c r="K192" s="67" t="s">
        <v>1609</v>
      </c>
      <c r="L192" s="67" t="s">
        <v>787</v>
      </c>
      <c r="M192" s="67" t="s">
        <v>752</v>
      </c>
      <c r="N192" s="67" t="s">
        <v>1598</v>
      </c>
      <c r="O192" s="67" t="s">
        <v>1606</v>
      </c>
      <c r="P192" s="67"/>
      <c r="Q192" s="67">
        <v>300</v>
      </c>
      <c r="R192" s="67">
        <v>0</v>
      </c>
      <c r="S192" s="67">
        <v>0</v>
      </c>
      <c r="T192" s="67">
        <v>300</v>
      </c>
      <c r="U192" s="67">
        <v>0</v>
      </c>
      <c r="V192" s="67">
        <v>0</v>
      </c>
      <c r="W192" s="67">
        <v>0</v>
      </c>
      <c r="X192" s="67">
        <v>0</v>
      </c>
      <c r="Y192" s="67">
        <v>0</v>
      </c>
      <c r="Z192" s="67">
        <v>0</v>
      </c>
      <c r="AA192" s="67">
        <v>0</v>
      </c>
      <c r="AB192" s="67">
        <v>0</v>
      </c>
      <c r="AC192" s="67">
        <v>0</v>
      </c>
      <c r="AD192" s="67">
        <v>0</v>
      </c>
      <c r="AE192" s="67">
        <v>0</v>
      </c>
      <c r="AF192" s="67">
        <v>0</v>
      </c>
      <c r="AG192" s="67">
        <v>0</v>
      </c>
      <c r="AH192" s="67">
        <v>0</v>
      </c>
      <c r="AI192" s="67">
        <v>0</v>
      </c>
      <c r="AJ192" s="67">
        <v>0</v>
      </c>
      <c r="AK192" s="67">
        <v>0</v>
      </c>
      <c r="AL192" s="67">
        <v>0</v>
      </c>
      <c r="AM192" s="67">
        <v>0</v>
      </c>
      <c r="AN192" s="67">
        <v>0</v>
      </c>
      <c r="AO192" s="67">
        <v>0</v>
      </c>
      <c r="AP192" s="67">
        <v>0</v>
      </c>
      <c r="AQ192" s="67">
        <v>0</v>
      </c>
      <c r="AR192" s="67">
        <v>0</v>
      </c>
      <c r="AS192" s="67">
        <v>0</v>
      </c>
      <c r="AT192" s="67"/>
      <c r="AU192" s="67"/>
      <c r="AV192" s="67"/>
      <c r="AW192" s="67">
        <v>0</v>
      </c>
      <c r="AX192" s="67">
        <v>0</v>
      </c>
      <c r="AY192" s="67"/>
      <c r="AZ192" s="67"/>
      <c r="BA192" s="67"/>
      <c r="BB192" s="67"/>
      <c r="BC192" s="67"/>
      <c r="BD192" s="67"/>
      <c r="BE192" s="67"/>
      <c r="BG192" s="67"/>
      <c r="BH192" s="67"/>
      <c r="BI192" s="67"/>
      <c r="BJ192" s="67">
        <v>0</v>
      </c>
      <c r="BK192" s="67"/>
      <c r="BL192" s="67"/>
      <c r="BP192" s="67"/>
      <c r="BQ192" s="67">
        <v>0</v>
      </c>
      <c r="BR192" s="67"/>
      <c r="BS192" s="67"/>
      <c r="BT192" s="67">
        <v>0</v>
      </c>
      <c r="BU192" s="67"/>
      <c r="BV192" s="67"/>
      <c r="BW192" s="67">
        <v>0</v>
      </c>
      <c r="BX192" s="67">
        <v>0</v>
      </c>
      <c r="BY192" s="67">
        <v>0</v>
      </c>
      <c r="BZ192" s="67">
        <v>0</v>
      </c>
      <c r="CA192" s="67"/>
      <c r="CB192" s="67">
        <v>0</v>
      </c>
      <c r="CC192" s="67"/>
      <c r="CD192" s="67"/>
      <c r="CE192" s="67">
        <v>0</v>
      </c>
      <c r="CF192" s="67">
        <v>0</v>
      </c>
      <c r="CG192" s="67"/>
      <c r="CH192" s="67"/>
      <c r="CI192" s="67"/>
      <c r="CJ192" s="67"/>
      <c r="CK192" s="67">
        <v>0</v>
      </c>
      <c r="CL192" s="67">
        <v>0</v>
      </c>
      <c r="CM192" s="67"/>
      <c r="CN192" s="67"/>
      <c r="CO192" s="67">
        <v>0</v>
      </c>
      <c r="CP192" s="67">
        <v>0</v>
      </c>
      <c r="CQ192" s="67"/>
      <c r="CR192" s="67"/>
      <c r="CS192" s="67"/>
      <c r="CT192" s="67"/>
      <c r="CU192" s="67">
        <v>0</v>
      </c>
      <c r="CV192" s="67"/>
      <c r="CW192" s="67"/>
      <c r="CX192" s="67"/>
      <c r="CY192" s="67">
        <v>0</v>
      </c>
      <c r="CZ192" s="67"/>
      <c r="DA192" s="67"/>
      <c r="DB192" s="67"/>
      <c r="DC192" s="67"/>
      <c r="DF192" s="67"/>
      <c r="DG192" s="67">
        <v>0</v>
      </c>
      <c r="DH192" s="67">
        <v>0</v>
      </c>
      <c r="DI192" s="67">
        <v>0</v>
      </c>
      <c r="DJ192" s="67"/>
      <c r="DK192" s="67">
        <v>0</v>
      </c>
      <c r="DL192" s="67">
        <v>0</v>
      </c>
      <c r="DM192" s="67">
        <v>0</v>
      </c>
      <c r="DN192" s="67"/>
      <c r="DO192" s="67"/>
      <c r="DP192" s="67"/>
      <c r="DQ192" s="67">
        <v>0</v>
      </c>
      <c r="DR192" s="67">
        <v>0</v>
      </c>
      <c r="DS192" s="67"/>
      <c r="DT192" s="67"/>
      <c r="DU192" s="67">
        <v>0</v>
      </c>
      <c r="DV192" s="67">
        <v>0</v>
      </c>
      <c r="DW192" s="67">
        <v>0</v>
      </c>
      <c r="DX192" s="67">
        <v>0</v>
      </c>
      <c r="DY192" s="67"/>
      <c r="DZ192" s="67">
        <v>0</v>
      </c>
      <c r="EA192" s="67"/>
      <c r="EB192" s="67">
        <v>0</v>
      </c>
      <c r="EC192" s="67"/>
      <c r="ED192" s="67">
        <v>0</v>
      </c>
      <c r="EE192" s="67"/>
      <c r="EF192" s="67">
        <v>0</v>
      </c>
      <c r="EG192" s="67"/>
      <c r="EH192" s="67"/>
      <c r="EI192" s="67"/>
      <c r="EJ192" s="67"/>
      <c r="EK192" s="67"/>
      <c r="EL192" s="67"/>
      <c r="EM192" s="67"/>
      <c r="EN192" s="67"/>
      <c r="EO192" s="67"/>
      <c r="EP192" s="67">
        <v>0</v>
      </c>
      <c r="EQ192" s="67">
        <v>0</v>
      </c>
      <c r="ER192" s="67">
        <v>0</v>
      </c>
      <c r="ES192" s="67"/>
      <c r="ET192">
        <v>0</v>
      </c>
      <c r="EX192" s="67"/>
      <c r="EY192" s="67"/>
      <c r="EZ192" s="67"/>
      <c r="FA192" s="67">
        <v>300</v>
      </c>
      <c r="FB192" s="67"/>
      <c r="FC192" s="67"/>
      <c r="FD192" s="67"/>
      <c r="FE192" s="67"/>
      <c r="FF192" s="67"/>
      <c r="FG192" s="67"/>
      <c r="FH192" s="67"/>
      <c r="FI192" s="67" t="s">
        <v>1600</v>
      </c>
    </row>
    <row r="193" spans="2:165" ht="24" x14ac:dyDescent="0.2">
      <c r="B193" s="67" t="s">
        <v>305</v>
      </c>
      <c r="C193" s="67" t="s">
        <v>1689</v>
      </c>
      <c r="D193" s="67" t="s">
        <v>613</v>
      </c>
      <c r="E193" s="67" t="s">
        <v>13</v>
      </c>
      <c r="F193" s="67" t="s">
        <v>750</v>
      </c>
      <c r="G193" s="67" t="s">
        <v>1597</v>
      </c>
      <c r="H193" s="67"/>
      <c r="I193" s="67" t="s">
        <v>41</v>
      </c>
      <c r="J193" s="67" t="s">
        <v>64</v>
      </c>
      <c r="K193" s="67" t="s">
        <v>1609</v>
      </c>
      <c r="L193" s="67" t="s">
        <v>787</v>
      </c>
      <c r="M193" s="67" t="s">
        <v>752</v>
      </c>
      <c r="N193" s="67" t="s">
        <v>1607</v>
      </c>
      <c r="O193" s="67" t="s">
        <v>1599</v>
      </c>
      <c r="P193" s="67"/>
      <c r="Q193" s="67">
        <v>0</v>
      </c>
      <c r="R193" s="67">
        <v>0</v>
      </c>
      <c r="S193" s="67">
        <v>0</v>
      </c>
      <c r="T193" s="67">
        <v>0</v>
      </c>
      <c r="U193" s="67">
        <v>0</v>
      </c>
      <c r="V193" s="67">
        <v>0</v>
      </c>
      <c r="W193" s="67">
        <v>0</v>
      </c>
      <c r="X193" s="67">
        <v>0</v>
      </c>
      <c r="Y193" s="67">
        <v>0</v>
      </c>
      <c r="Z193" s="67">
        <v>0</v>
      </c>
      <c r="AA193" s="67">
        <v>0</v>
      </c>
      <c r="AB193" s="67">
        <v>0</v>
      </c>
      <c r="AC193" s="67">
        <v>0</v>
      </c>
      <c r="AD193" s="67">
        <v>0</v>
      </c>
      <c r="AE193" s="67">
        <v>0</v>
      </c>
      <c r="AF193" s="67">
        <v>0</v>
      </c>
      <c r="AG193" s="67">
        <v>0</v>
      </c>
      <c r="AH193" s="67">
        <v>0</v>
      </c>
      <c r="AI193" s="67">
        <v>0</v>
      </c>
      <c r="AJ193" s="67">
        <v>0</v>
      </c>
      <c r="AK193" s="67">
        <v>0</v>
      </c>
      <c r="AL193" s="67">
        <v>0</v>
      </c>
      <c r="AM193" s="67">
        <v>0</v>
      </c>
      <c r="AN193" s="67">
        <v>0</v>
      </c>
      <c r="AO193" s="67">
        <v>0</v>
      </c>
      <c r="AP193" s="67">
        <v>0</v>
      </c>
      <c r="AQ193" s="67">
        <v>0</v>
      </c>
      <c r="AR193" s="67">
        <v>0</v>
      </c>
      <c r="AS193" s="67">
        <v>0</v>
      </c>
      <c r="AT193" s="67"/>
      <c r="AU193" s="67"/>
      <c r="AV193" s="67"/>
      <c r="AW193" s="67">
        <v>0</v>
      </c>
      <c r="AX193" s="67">
        <v>0</v>
      </c>
      <c r="AY193" s="67"/>
      <c r="AZ193" s="67"/>
      <c r="BA193" s="67"/>
      <c r="BB193" s="67"/>
      <c r="BC193" s="67"/>
      <c r="BD193" s="67"/>
      <c r="BE193" s="67"/>
      <c r="BG193" s="67"/>
      <c r="BH193" s="67"/>
      <c r="BI193" s="67"/>
      <c r="BJ193" s="67">
        <v>0</v>
      </c>
      <c r="BK193" s="67"/>
      <c r="BL193" s="67"/>
      <c r="BP193" s="67"/>
      <c r="BQ193" s="67">
        <v>0</v>
      </c>
      <c r="BR193" s="67"/>
      <c r="BS193" s="67"/>
      <c r="BT193" s="67">
        <v>0</v>
      </c>
      <c r="BU193" s="67"/>
      <c r="BV193" s="67"/>
      <c r="BW193" s="67">
        <v>0</v>
      </c>
      <c r="BX193" s="67">
        <v>0</v>
      </c>
      <c r="BY193" s="67">
        <v>0</v>
      </c>
      <c r="BZ193" s="67">
        <v>0</v>
      </c>
      <c r="CA193" s="67"/>
      <c r="CB193" s="67">
        <v>0</v>
      </c>
      <c r="CC193" s="67"/>
      <c r="CD193" s="67"/>
      <c r="CE193" s="67">
        <v>0</v>
      </c>
      <c r="CF193" s="67">
        <v>0</v>
      </c>
      <c r="CG193" s="67"/>
      <c r="CH193" s="67"/>
      <c r="CI193" s="67"/>
      <c r="CJ193" s="67"/>
      <c r="CK193" s="67">
        <v>0</v>
      </c>
      <c r="CL193" s="67">
        <v>0</v>
      </c>
      <c r="CM193" s="67"/>
      <c r="CN193" s="67"/>
      <c r="CO193" s="67">
        <v>0</v>
      </c>
      <c r="CP193" s="67">
        <v>0</v>
      </c>
      <c r="CQ193" s="67"/>
      <c r="CR193" s="67"/>
      <c r="CS193" s="67"/>
      <c r="CT193" s="67"/>
      <c r="CU193" s="67">
        <v>0</v>
      </c>
      <c r="CV193" s="67"/>
      <c r="CW193" s="67"/>
      <c r="CX193" s="67"/>
      <c r="CY193" s="67">
        <v>0</v>
      </c>
      <c r="CZ193" s="67"/>
      <c r="DA193" s="67"/>
      <c r="DB193" s="67"/>
      <c r="DC193" s="67"/>
      <c r="DF193" s="67"/>
      <c r="DG193" s="67">
        <v>0</v>
      </c>
      <c r="DH193" s="67">
        <v>0</v>
      </c>
      <c r="DI193" s="67">
        <v>0</v>
      </c>
      <c r="DJ193" s="67"/>
      <c r="DK193" s="67">
        <v>0</v>
      </c>
      <c r="DL193" s="67">
        <v>0</v>
      </c>
      <c r="DM193" s="67">
        <v>0</v>
      </c>
      <c r="DN193" s="67"/>
      <c r="DO193" s="67"/>
      <c r="DP193" s="67"/>
      <c r="DQ193" s="67">
        <v>0</v>
      </c>
      <c r="DR193" s="67">
        <v>0</v>
      </c>
      <c r="DS193" s="67"/>
      <c r="DT193" s="67"/>
      <c r="DU193" s="67">
        <v>0</v>
      </c>
      <c r="DV193" s="67">
        <v>0</v>
      </c>
      <c r="DW193" s="67">
        <v>0</v>
      </c>
      <c r="DX193" s="67">
        <v>0</v>
      </c>
      <c r="DY193" s="67"/>
      <c r="DZ193" s="67">
        <v>0</v>
      </c>
      <c r="EA193" s="67"/>
      <c r="EB193" s="67">
        <v>0</v>
      </c>
      <c r="EC193" s="67"/>
      <c r="ED193" s="67">
        <v>0</v>
      </c>
      <c r="EE193" s="67"/>
      <c r="EF193" s="67">
        <v>0</v>
      </c>
      <c r="EG193" s="67"/>
      <c r="EH193" s="67"/>
      <c r="EI193" s="67"/>
      <c r="EJ193" s="67"/>
      <c r="EK193" s="67"/>
      <c r="EL193" s="67"/>
      <c r="EM193" s="67"/>
      <c r="EN193" s="67"/>
      <c r="EO193" s="67"/>
      <c r="EP193" s="67">
        <v>0</v>
      </c>
      <c r="EQ193" s="67">
        <v>0</v>
      </c>
      <c r="ER193" s="67">
        <v>0</v>
      </c>
      <c r="ES193" s="67"/>
      <c r="ET193">
        <v>0</v>
      </c>
      <c r="EX193" s="67"/>
      <c r="EY193" s="67"/>
      <c r="EZ193" s="67"/>
      <c r="FA193" s="67">
        <v>0</v>
      </c>
      <c r="FB193" s="67"/>
      <c r="FC193" s="67"/>
      <c r="FD193" s="67"/>
      <c r="FE193" s="67"/>
      <c r="FF193" s="67"/>
      <c r="FG193" s="67"/>
      <c r="FH193" s="67"/>
      <c r="FI193" s="67" t="s">
        <v>1600</v>
      </c>
    </row>
    <row r="194" spans="2:165" ht="24" x14ac:dyDescent="0.2">
      <c r="B194" s="67" t="s">
        <v>614</v>
      </c>
      <c r="C194" s="67" t="s">
        <v>614</v>
      </c>
      <c r="D194" s="67" t="s">
        <v>615</v>
      </c>
      <c r="E194" s="67" t="s">
        <v>13</v>
      </c>
      <c r="F194" s="67" t="s">
        <v>750</v>
      </c>
      <c r="G194" s="67" t="s">
        <v>1597</v>
      </c>
      <c r="H194" s="67"/>
      <c r="I194" s="67" t="s">
        <v>41</v>
      </c>
      <c r="J194" s="67" t="s">
        <v>74</v>
      </c>
      <c r="K194" s="67" t="s">
        <v>1609</v>
      </c>
      <c r="L194" s="67" t="s">
        <v>787</v>
      </c>
      <c r="M194" s="67" t="s">
        <v>752</v>
      </c>
      <c r="N194" s="67" t="s">
        <v>1601</v>
      </c>
      <c r="O194" s="67" t="s">
        <v>1599</v>
      </c>
      <c r="P194" s="67"/>
      <c r="Q194" s="67">
        <v>350</v>
      </c>
      <c r="R194" s="67">
        <v>0</v>
      </c>
      <c r="S194" s="67">
        <v>0</v>
      </c>
      <c r="T194" s="67">
        <v>350</v>
      </c>
      <c r="U194" s="67">
        <v>0</v>
      </c>
      <c r="V194" s="67">
        <v>0</v>
      </c>
      <c r="W194" s="67">
        <v>0</v>
      </c>
      <c r="X194" s="67">
        <v>0</v>
      </c>
      <c r="Y194" s="67">
        <v>0</v>
      </c>
      <c r="Z194" s="67">
        <v>0</v>
      </c>
      <c r="AA194" s="67">
        <v>0</v>
      </c>
      <c r="AB194" s="67">
        <v>0</v>
      </c>
      <c r="AC194" s="67">
        <v>0</v>
      </c>
      <c r="AD194" s="67">
        <v>0</v>
      </c>
      <c r="AE194" s="67">
        <v>0</v>
      </c>
      <c r="AF194" s="67">
        <v>0</v>
      </c>
      <c r="AG194" s="67">
        <v>0</v>
      </c>
      <c r="AH194" s="67">
        <v>0</v>
      </c>
      <c r="AI194" s="67">
        <v>0</v>
      </c>
      <c r="AJ194" s="67">
        <v>0</v>
      </c>
      <c r="AK194" s="67">
        <v>0</v>
      </c>
      <c r="AL194" s="67">
        <v>0</v>
      </c>
      <c r="AM194" s="67">
        <v>0</v>
      </c>
      <c r="AN194" s="67">
        <v>0</v>
      </c>
      <c r="AO194" s="67">
        <v>0</v>
      </c>
      <c r="AP194" s="67">
        <v>0</v>
      </c>
      <c r="AQ194" s="67">
        <v>0</v>
      </c>
      <c r="AR194" s="67">
        <v>0</v>
      </c>
      <c r="AS194" s="67">
        <v>0</v>
      </c>
      <c r="AT194" s="67"/>
      <c r="AU194" s="67"/>
      <c r="AV194" s="67"/>
      <c r="AW194" s="67">
        <v>0</v>
      </c>
      <c r="AX194" s="67">
        <v>0</v>
      </c>
      <c r="AY194" s="67"/>
      <c r="AZ194" s="67"/>
      <c r="BA194" s="67"/>
      <c r="BB194" s="67"/>
      <c r="BC194" s="67"/>
      <c r="BD194" s="67"/>
      <c r="BE194" s="67"/>
      <c r="BG194" s="67"/>
      <c r="BH194" s="67"/>
      <c r="BI194" s="67"/>
      <c r="BJ194" s="67">
        <v>0</v>
      </c>
      <c r="BK194" s="67"/>
      <c r="BL194" s="67"/>
      <c r="BP194" s="67"/>
      <c r="BQ194" s="67">
        <v>0</v>
      </c>
      <c r="BR194" s="67"/>
      <c r="BS194" s="67"/>
      <c r="BT194" s="67">
        <v>0</v>
      </c>
      <c r="BU194" s="67"/>
      <c r="BV194" s="67"/>
      <c r="BW194" s="67">
        <v>0</v>
      </c>
      <c r="BX194" s="67">
        <v>0</v>
      </c>
      <c r="BY194" s="67">
        <v>0</v>
      </c>
      <c r="BZ194" s="67">
        <v>0</v>
      </c>
      <c r="CA194" s="67"/>
      <c r="CB194" s="67">
        <v>0</v>
      </c>
      <c r="CC194" s="67"/>
      <c r="CD194" s="67"/>
      <c r="CE194" s="67">
        <v>0</v>
      </c>
      <c r="CF194" s="67">
        <v>0</v>
      </c>
      <c r="CG194" s="67"/>
      <c r="CH194" s="67"/>
      <c r="CI194" s="67"/>
      <c r="CJ194" s="67"/>
      <c r="CK194" s="67">
        <v>0</v>
      </c>
      <c r="CL194" s="67">
        <v>0</v>
      </c>
      <c r="CM194" s="67"/>
      <c r="CN194" s="67"/>
      <c r="CO194" s="67">
        <v>0</v>
      </c>
      <c r="CP194" s="67">
        <v>0</v>
      </c>
      <c r="CQ194" s="67"/>
      <c r="CR194" s="67"/>
      <c r="CS194" s="67"/>
      <c r="CT194" s="67"/>
      <c r="CU194" s="67">
        <v>0</v>
      </c>
      <c r="CV194" s="67"/>
      <c r="CW194" s="67"/>
      <c r="CX194" s="67"/>
      <c r="CY194" s="67">
        <v>0</v>
      </c>
      <c r="CZ194" s="67"/>
      <c r="DA194" s="67"/>
      <c r="DB194" s="67"/>
      <c r="DC194" s="67"/>
      <c r="DF194" s="67"/>
      <c r="DG194" s="67">
        <v>0</v>
      </c>
      <c r="DH194" s="67">
        <v>0</v>
      </c>
      <c r="DI194" s="67">
        <v>0</v>
      </c>
      <c r="DJ194" s="67"/>
      <c r="DK194" s="67">
        <v>0</v>
      </c>
      <c r="DL194" s="67">
        <v>0</v>
      </c>
      <c r="DM194" s="67">
        <v>0</v>
      </c>
      <c r="DN194" s="67"/>
      <c r="DO194" s="67"/>
      <c r="DP194" s="67"/>
      <c r="DQ194" s="67">
        <v>0</v>
      </c>
      <c r="DR194" s="67">
        <v>0</v>
      </c>
      <c r="DS194" s="67"/>
      <c r="DT194" s="67"/>
      <c r="DU194" s="67">
        <v>0</v>
      </c>
      <c r="DV194" s="67">
        <v>0</v>
      </c>
      <c r="DW194" s="67">
        <v>0</v>
      </c>
      <c r="DX194" s="67">
        <v>0</v>
      </c>
      <c r="DY194" s="67"/>
      <c r="DZ194" s="67">
        <v>0</v>
      </c>
      <c r="EA194" s="67"/>
      <c r="EB194" s="67">
        <v>0</v>
      </c>
      <c r="EC194" s="67"/>
      <c r="ED194" s="67">
        <v>0</v>
      </c>
      <c r="EE194" s="67"/>
      <c r="EF194" s="67">
        <v>0</v>
      </c>
      <c r="EG194" s="67"/>
      <c r="EH194" s="67"/>
      <c r="EI194" s="67"/>
      <c r="EJ194" s="67"/>
      <c r="EK194" s="67"/>
      <c r="EL194" s="67"/>
      <c r="EM194" s="67"/>
      <c r="EN194" s="67"/>
      <c r="EO194" s="67"/>
      <c r="EP194" s="67">
        <v>0</v>
      </c>
      <c r="EQ194" s="67">
        <v>0</v>
      </c>
      <c r="ER194" s="67">
        <v>0</v>
      </c>
      <c r="ES194" s="67"/>
      <c r="ET194">
        <v>0</v>
      </c>
      <c r="EX194" s="67"/>
      <c r="EY194" s="67"/>
      <c r="EZ194" s="67"/>
      <c r="FA194" s="67">
        <v>350</v>
      </c>
      <c r="FB194" s="67"/>
      <c r="FC194" s="67"/>
      <c r="FD194" s="67"/>
      <c r="FE194" s="67"/>
      <c r="FF194" s="67"/>
      <c r="FG194" s="67"/>
      <c r="FH194" s="67"/>
      <c r="FI194" s="67" t="s">
        <v>1600</v>
      </c>
    </row>
    <row r="195" spans="2:165" x14ac:dyDescent="0.2">
      <c r="B195" s="67" t="s">
        <v>616</v>
      </c>
      <c r="C195" s="67" t="s">
        <v>616</v>
      </c>
      <c r="D195" s="67" t="s">
        <v>617</v>
      </c>
      <c r="E195" s="67" t="s">
        <v>23</v>
      </c>
      <c r="F195" s="67" t="s">
        <v>933</v>
      </c>
      <c r="G195" s="67" t="s">
        <v>1597</v>
      </c>
      <c r="H195" s="67"/>
      <c r="I195" s="67" t="s">
        <v>43</v>
      </c>
      <c r="J195" s="67" t="s">
        <v>64</v>
      </c>
      <c r="K195" s="67" t="s">
        <v>1639</v>
      </c>
      <c r="L195" s="67" t="s">
        <v>787</v>
      </c>
      <c r="M195" s="67" t="s">
        <v>752</v>
      </c>
      <c r="N195" s="67" t="s">
        <v>1598</v>
      </c>
      <c r="O195" s="67" t="s">
        <v>1599</v>
      </c>
      <c r="P195" s="67"/>
      <c r="Q195" s="67">
        <v>380</v>
      </c>
      <c r="R195" s="67">
        <v>0</v>
      </c>
      <c r="S195" s="67">
        <v>0</v>
      </c>
      <c r="T195" s="67">
        <v>0</v>
      </c>
      <c r="U195" s="67">
        <v>0</v>
      </c>
      <c r="V195" s="67">
        <v>0</v>
      </c>
      <c r="W195" s="67">
        <v>0</v>
      </c>
      <c r="X195" s="67">
        <v>0</v>
      </c>
      <c r="Y195" s="67">
        <v>0</v>
      </c>
      <c r="Z195" s="67">
        <v>0</v>
      </c>
      <c r="AA195" s="67">
        <v>0</v>
      </c>
      <c r="AB195" s="67">
        <v>0</v>
      </c>
      <c r="AC195" s="67">
        <v>0</v>
      </c>
      <c r="AD195" s="67">
        <v>0</v>
      </c>
      <c r="AE195" s="67">
        <v>0</v>
      </c>
      <c r="AF195" s="67">
        <v>380</v>
      </c>
      <c r="AG195" s="67">
        <v>0</v>
      </c>
      <c r="AH195" s="67">
        <v>0</v>
      </c>
      <c r="AI195" s="67">
        <v>0</v>
      </c>
      <c r="AJ195" s="67">
        <v>0</v>
      </c>
      <c r="AK195" s="67">
        <v>0</v>
      </c>
      <c r="AL195" s="67">
        <v>0</v>
      </c>
      <c r="AM195" s="67">
        <v>0</v>
      </c>
      <c r="AN195" s="67">
        <v>0</v>
      </c>
      <c r="AO195" s="67">
        <v>0</v>
      </c>
      <c r="AP195" s="67">
        <v>0</v>
      </c>
      <c r="AQ195" s="67">
        <v>0</v>
      </c>
      <c r="AR195" s="67">
        <v>0</v>
      </c>
      <c r="AS195" s="67">
        <v>0</v>
      </c>
      <c r="AT195" s="67"/>
      <c r="AU195" s="67"/>
      <c r="AV195" s="67"/>
      <c r="AW195" s="67">
        <v>0</v>
      </c>
      <c r="AX195" s="67">
        <v>0</v>
      </c>
      <c r="AY195" s="67"/>
      <c r="AZ195" s="67"/>
      <c r="BA195" s="67"/>
      <c r="BB195" s="67"/>
      <c r="BC195" s="67"/>
      <c r="BD195" s="67"/>
      <c r="BE195" s="67"/>
      <c r="BG195" s="67"/>
      <c r="BH195" s="67"/>
      <c r="BI195" s="67"/>
      <c r="BJ195" s="67">
        <v>0</v>
      </c>
      <c r="BK195" s="67"/>
      <c r="BL195" s="67"/>
      <c r="BP195" s="67"/>
      <c r="BQ195" s="67">
        <v>0</v>
      </c>
      <c r="BR195" s="67"/>
      <c r="BS195" s="67"/>
      <c r="BT195" s="67">
        <v>0</v>
      </c>
      <c r="BU195" s="67"/>
      <c r="BV195" s="67"/>
      <c r="BW195" s="67">
        <v>0</v>
      </c>
      <c r="BX195" s="67">
        <v>0</v>
      </c>
      <c r="BY195" s="67">
        <v>0</v>
      </c>
      <c r="BZ195" s="67">
        <v>0</v>
      </c>
      <c r="CA195" s="67"/>
      <c r="CB195" s="67">
        <v>0</v>
      </c>
      <c r="CC195" s="67"/>
      <c r="CD195" s="67"/>
      <c r="CE195" s="67">
        <v>0</v>
      </c>
      <c r="CF195" s="67">
        <v>0</v>
      </c>
      <c r="CG195" s="67"/>
      <c r="CH195" s="67"/>
      <c r="CI195" s="67"/>
      <c r="CJ195" s="67"/>
      <c r="CK195" s="67">
        <v>0</v>
      </c>
      <c r="CL195" s="67">
        <v>0</v>
      </c>
      <c r="CM195" s="67"/>
      <c r="CN195" s="67"/>
      <c r="CO195" s="67">
        <v>0</v>
      </c>
      <c r="CP195" s="67">
        <v>0</v>
      </c>
      <c r="CQ195" s="67"/>
      <c r="CR195" s="67"/>
      <c r="CS195" s="67"/>
      <c r="CT195" s="67"/>
      <c r="CU195" s="67">
        <v>0</v>
      </c>
      <c r="CV195" s="67"/>
      <c r="CW195" s="67"/>
      <c r="CX195" s="67"/>
      <c r="CY195" s="67">
        <v>0</v>
      </c>
      <c r="CZ195" s="67"/>
      <c r="DA195" s="67"/>
      <c r="DB195" s="67"/>
      <c r="DC195" s="67"/>
      <c r="DF195" s="67"/>
      <c r="DG195" s="67">
        <v>0</v>
      </c>
      <c r="DH195" s="67">
        <v>0</v>
      </c>
      <c r="DI195" s="67">
        <v>0</v>
      </c>
      <c r="DJ195" s="67"/>
      <c r="DK195" s="67">
        <v>0</v>
      </c>
      <c r="DL195" s="67">
        <v>0</v>
      </c>
      <c r="DM195" s="67">
        <v>0</v>
      </c>
      <c r="DN195" s="67"/>
      <c r="DO195" s="67"/>
      <c r="DP195" s="67"/>
      <c r="DQ195" s="67">
        <v>0</v>
      </c>
      <c r="DR195" s="67">
        <v>0</v>
      </c>
      <c r="DS195" s="67"/>
      <c r="DT195" s="67"/>
      <c r="DU195" s="67">
        <v>0</v>
      </c>
      <c r="DV195" s="67">
        <v>0</v>
      </c>
      <c r="DW195" s="67">
        <v>0</v>
      </c>
      <c r="DX195" s="67">
        <v>0</v>
      </c>
      <c r="DY195" s="67"/>
      <c r="DZ195" s="67">
        <v>0</v>
      </c>
      <c r="EA195" s="67"/>
      <c r="EB195" s="67">
        <v>0</v>
      </c>
      <c r="EC195" s="67"/>
      <c r="ED195" s="67">
        <v>0</v>
      </c>
      <c r="EE195" s="67"/>
      <c r="EF195" s="67">
        <v>0</v>
      </c>
      <c r="EG195" s="67"/>
      <c r="EH195" s="67"/>
      <c r="EI195" s="67"/>
      <c r="EJ195" s="67"/>
      <c r="EK195" s="67"/>
      <c r="EL195" s="67"/>
      <c r="EM195" s="67"/>
      <c r="EN195" s="67"/>
      <c r="EO195" s="67"/>
      <c r="EP195" s="67">
        <v>0</v>
      </c>
      <c r="EQ195" s="67">
        <v>0</v>
      </c>
      <c r="ER195" s="67">
        <v>0</v>
      </c>
      <c r="ES195" s="67"/>
      <c r="ET195">
        <v>0</v>
      </c>
      <c r="EX195" s="67"/>
      <c r="EY195" s="67"/>
      <c r="EZ195" s="67"/>
      <c r="FA195" s="67">
        <v>380</v>
      </c>
      <c r="FB195" s="67"/>
      <c r="FC195" s="67"/>
      <c r="FD195" s="67"/>
      <c r="FE195" s="67"/>
      <c r="FF195" s="67"/>
      <c r="FG195" s="67"/>
      <c r="FH195" s="67"/>
      <c r="FI195" s="67" t="s">
        <v>1600</v>
      </c>
    </row>
    <row r="196" spans="2:165" x14ac:dyDescent="0.2">
      <c r="B196" s="67" t="s">
        <v>618</v>
      </c>
      <c r="C196" s="67" t="s">
        <v>618</v>
      </c>
      <c r="D196" s="67" t="s">
        <v>619</v>
      </c>
      <c r="E196" s="67" t="s">
        <v>20</v>
      </c>
      <c r="F196" s="67" t="s">
        <v>750</v>
      </c>
      <c r="G196" s="67" t="s">
        <v>1597</v>
      </c>
      <c r="H196" s="67"/>
      <c r="I196" s="67" t="s">
        <v>41</v>
      </c>
      <c r="J196" s="67" t="s">
        <v>64</v>
      </c>
      <c r="K196" s="67" t="s">
        <v>1609</v>
      </c>
      <c r="L196" s="67" t="s">
        <v>787</v>
      </c>
      <c r="M196" s="67" t="s">
        <v>752</v>
      </c>
      <c r="N196" s="67" t="s">
        <v>1598</v>
      </c>
      <c r="O196" s="67" t="s">
        <v>1599</v>
      </c>
      <c r="P196" s="67"/>
      <c r="Q196" s="67">
        <v>300</v>
      </c>
      <c r="R196" s="67">
        <v>0</v>
      </c>
      <c r="S196" s="67">
        <v>0</v>
      </c>
      <c r="T196" s="67">
        <v>300</v>
      </c>
      <c r="U196" s="67">
        <v>0</v>
      </c>
      <c r="V196" s="67">
        <v>0</v>
      </c>
      <c r="W196" s="67">
        <v>0</v>
      </c>
      <c r="X196" s="67">
        <v>0</v>
      </c>
      <c r="Y196" s="67">
        <v>0</v>
      </c>
      <c r="Z196" s="67">
        <v>0</v>
      </c>
      <c r="AA196" s="67">
        <v>0</v>
      </c>
      <c r="AB196" s="67">
        <v>0</v>
      </c>
      <c r="AC196" s="67">
        <v>0</v>
      </c>
      <c r="AD196" s="67">
        <v>0</v>
      </c>
      <c r="AE196" s="67">
        <v>0</v>
      </c>
      <c r="AF196" s="67">
        <v>0</v>
      </c>
      <c r="AG196" s="67">
        <v>0</v>
      </c>
      <c r="AH196" s="67">
        <v>0</v>
      </c>
      <c r="AI196" s="67">
        <v>0</v>
      </c>
      <c r="AJ196" s="67">
        <v>0</v>
      </c>
      <c r="AK196" s="67">
        <v>0</v>
      </c>
      <c r="AL196" s="67">
        <v>0</v>
      </c>
      <c r="AM196" s="67">
        <v>0</v>
      </c>
      <c r="AN196" s="67">
        <v>0</v>
      </c>
      <c r="AO196" s="67">
        <v>0</v>
      </c>
      <c r="AP196" s="67">
        <v>0</v>
      </c>
      <c r="AQ196" s="67">
        <v>0</v>
      </c>
      <c r="AR196" s="67">
        <v>0</v>
      </c>
      <c r="AS196" s="67">
        <v>0</v>
      </c>
      <c r="AT196" s="67"/>
      <c r="AU196" s="67"/>
      <c r="AV196" s="67"/>
      <c r="AW196" s="67">
        <v>0</v>
      </c>
      <c r="AX196" s="67">
        <v>0</v>
      </c>
      <c r="AY196" s="67"/>
      <c r="AZ196" s="67"/>
      <c r="BA196" s="67"/>
      <c r="BB196" s="67"/>
      <c r="BC196" s="67"/>
      <c r="BD196" s="67"/>
      <c r="BE196" s="67"/>
      <c r="BG196" s="67"/>
      <c r="BH196" s="67"/>
      <c r="BI196" s="67"/>
      <c r="BJ196" s="67">
        <v>0</v>
      </c>
      <c r="BK196" s="67"/>
      <c r="BL196" s="67"/>
      <c r="BP196" s="67"/>
      <c r="BQ196" s="67">
        <v>0</v>
      </c>
      <c r="BR196" s="67"/>
      <c r="BS196" s="67"/>
      <c r="BT196" s="67">
        <v>0</v>
      </c>
      <c r="BU196" s="67"/>
      <c r="BV196" s="67"/>
      <c r="BW196" s="67">
        <v>0</v>
      </c>
      <c r="BX196" s="67">
        <v>0</v>
      </c>
      <c r="BY196" s="67">
        <v>0</v>
      </c>
      <c r="BZ196" s="67">
        <v>0</v>
      </c>
      <c r="CA196" s="67"/>
      <c r="CB196" s="67">
        <v>0</v>
      </c>
      <c r="CC196" s="67"/>
      <c r="CD196" s="67"/>
      <c r="CE196" s="67">
        <v>0</v>
      </c>
      <c r="CF196" s="67">
        <v>0</v>
      </c>
      <c r="CG196" s="67"/>
      <c r="CH196" s="67"/>
      <c r="CI196" s="67"/>
      <c r="CJ196" s="67"/>
      <c r="CK196" s="67">
        <v>0</v>
      </c>
      <c r="CL196" s="67">
        <v>0</v>
      </c>
      <c r="CM196" s="67"/>
      <c r="CN196" s="67"/>
      <c r="CO196" s="67">
        <v>0</v>
      </c>
      <c r="CP196" s="67">
        <v>0</v>
      </c>
      <c r="CQ196" s="67"/>
      <c r="CR196" s="67"/>
      <c r="CS196" s="67"/>
      <c r="CT196" s="67"/>
      <c r="CU196" s="67">
        <v>0</v>
      </c>
      <c r="CV196" s="67"/>
      <c r="CW196" s="67"/>
      <c r="CX196" s="67"/>
      <c r="CY196" s="67">
        <v>0</v>
      </c>
      <c r="CZ196" s="67"/>
      <c r="DA196" s="67"/>
      <c r="DB196" s="67"/>
      <c r="DC196" s="67"/>
      <c r="DF196" s="67"/>
      <c r="DG196" s="67">
        <v>0</v>
      </c>
      <c r="DH196" s="67">
        <v>0</v>
      </c>
      <c r="DI196" s="67">
        <v>0</v>
      </c>
      <c r="DJ196" s="67"/>
      <c r="DK196" s="67">
        <v>0</v>
      </c>
      <c r="DL196" s="67">
        <v>0</v>
      </c>
      <c r="DM196" s="67">
        <v>0</v>
      </c>
      <c r="DN196" s="67"/>
      <c r="DO196" s="67"/>
      <c r="DP196" s="67"/>
      <c r="DQ196" s="67">
        <v>0</v>
      </c>
      <c r="DR196" s="67">
        <v>0</v>
      </c>
      <c r="DS196" s="67"/>
      <c r="DT196" s="67"/>
      <c r="DU196" s="67">
        <v>0</v>
      </c>
      <c r="DV196" s="67">
        <v>0</v>
      </c>
      <c r="DW196" s="67">
        <v>0</v>
      </c>
      <c r="DX196" s="67">
        <v>0</v>
      </c>
      <c r="DY196" s="67"/>
      <c r="DZ196" s="67">
        <v>0</v>
      </c>
      <c r="EA196" s="67"/>
      <c r="EB196" s="67">
        <v>0</v>
      </c>
      <c r="EC196" s="67"/>
      <c r="ED196" s="67">
        <v>0</v>
      </c>
      <c r="EE196" s="67"/>
      <c r="EF196" s="67">
        <v>0</v>
      </c>
      <c r="EG196" s="67"/>
      <c r="EH196" s="67"/>
      <c r="EI196" s="67"/>
      <c r="EJ196" s="67"/>
      <c r="EK196" s="67"/>
      <c r="EL196" s="67"/>
      <c r="EM196" s="67"/>
      <c r="EN196" s="67"/>
      <c r="EO196" s="67"/>
      <c r="EP196" s="67">
        <v>0</v>
      </c>
      <c r="EQ196" s="67">
        <v>0</v>
      </c>
      <c r="ER196" s="67">
        <v>0</v>
      </c>
      <c r="ES196" s="67"/>
      <c r="ET196">
        <v>0</v>
      </c>
      <c r="EX196" s="67"/>
      <c r="EY196" s="67"/>
      <c r="EZ196" s="67"/>
      <c r="FA196" s="67">
        <v>300</v>
      </c>
      <c r="FB196" s="67"/>
      <c r="FC196" s="67"/>
      <c r="FD196" s="67"/>
      <c r="FE196" s="67"/>
      <c r="FF196" s="67"/>
      <c r="FG196" s="67"/>
      <c r="FH196" s="67"/>
      <c r="FI196" s="67" t="s">
        <v>1600</v>
      </c>
    </row>
    <row r="197" spans="2:165" ht="24" x14ac:dyDescent="0.2">
      <c r="B197" s="67" t="s">
        <v>620</v>
      </c>
      <c r="C197" s="67" t="s">
        <v>620</v>
      </c>
      <c r="D197" s="67" t="s">
        <v>621</v>
      </c>
      <c r="E197" s="67" t="s">
        <v>13</v>
      </c>
      <c r="F197" s="67" t="s">
        <v>750</v>
      </c>
      <c r="G197" s="67" t="s">
        <v>1597</v>
      </c>
      <c r="H197" s="67"/>
      <c r="I197" s="67" t="s">
        <v>41</v>
      </c>
      <c r="J197" s="67" t="s">
        <v>64</v>
      </c>
      <c r="K197" s="67" t="s">
        <v>1232</v>
      </c>
      <c r="L197" s="67" t="s">
        <v>751</v>
      </c>
      <c r="M197" s="67" t="s">
        <v>752</v>
      </c>
      <c r="N197" s="67" t="s">
        <v>1598</v>
      </c>
      <c r="O197" s="67" t="s">
        <v>1608</v>
      </c>
      <c r="P197" s="67"/>
      <c r="Q197" s="67">
        <v>270</v>
      </c>
      <c r="R197" s="67">
        <v>0</v>
      </c>
      <c r="S197" s="67">
        <v>0</v>
      </c>
      <c r="T197" s="67">
        <v>120</v>
      </c>
      <c r="U197" s="67">
        <v>0</v>
      </c>
      <c r="V197" s="67">
        <v>0</v>
      </c>
      <c r="W197" s="67">
        <v>0</v>
      </c>
      <c r="X197" s="67">
        <v>0</v>
      </c>
      <c r="Y197" s="67">
        <v>0</v>
      </c>
      <c r="Z197" s="67">
        <v>0</v>
      </c>
      <c r="AA197" s="67">
        <v>0</v>
      </c>
      <c r="AB197" s="67">
        <v>0</v>
      </c>
      <c r="AC197" s="67">
        <v>0</v>
      </c>
      <c r="AD197" s="67">
        <v>0</v>
      </c>
      <c r="AE197" s="67">
        <v>0</v>
      </c>
      <c r="AF197" s="67">
        <v>0</v>
      </c>
      <c r="AG197" s="67">
        <v>0</v>
      </c>
      <c r="AH197" s="67">
        <v>0</v>
      </c>
      <c r="AI197" s="67">
        <v>0</v>
      </c>
      <c r="AJ197" s="67">
        <v>0</v>
      </c>
      <c r="AK197" s="67">
        <v>0</v>
      </c>
      <c r="AL197" s="67">
        <v>0</v>
      </c>
      <c r="AM197" s="67">
        <v>0</v>
      </c>
      <c r="AN197" s="67">
        <v>150</v>
      </c>
      <c r="AO197" s="67">
        <v>0</v>
      </c>
      <c r="AP197" s="67">
        <v>0</v>
      </c>
      <c r="AQ197" s="67">
        <v>0</v>
      </c>
      <c r="AR197" s="67">
        <v>0</v>
      </c>
      <c r="AS197" s="67">
        <v>0</v>
      </c>
      <c r="AT197" s="67"/>
      <c r="AU197" s="67"/>
      <c r="AV197" s="67"/>
      <c r="AW197" s="67">
        <v>0</v>
      </c>
      <c r="AX197" s="67">
        <v>0</v>
      </c>
      <c r="AY197" s="67"/>
      <c r="AZ197" s="67"/>
      <c r="BA197" s="67"/>
      <c r="BB197" s="67"/>
      <c r="BC197" s="67"/>
      <c r="BD197" s="67"/>
      <c r="BE197" s="67"/>
      <c r="BG197" s="67"/>
      <c r="BH197" s="67"/>
      <c r="BI197" s="67"/>
      <c r="BJ197" s="67">
        <v>0</v>
      </c>
      <c r="BK197" s="67"/>
      <c r="BL197" s="67"/>
      <c r="BP197" s="67"/>
      <c r="BQ197" s="67">
        <v>0</v>
      </c>
      <c r="BR197" s="67"/>
      <c r="BS197" s="67"/>
      <c r="BT197" s="67">
        <v>0</v>
      </c>
      <c r="BU197" s="67"/>
      <c r="BV197" s="67"/>
      <c r="BW197" s="67">
        <v>0</v>
      </c>
      <c r="BX197" s="67">
        <v>0</v>
      </c>
      <c r="BY197" s="67">
        <v>0</v>
      </c>
      <c r="BZ197" s="67">
        <v>0</v>
      </c>
      <c r="CA197" s="67"/>
      <c r="CB197" s="67">
        <v>0</v>
      </c>
      <c r="CC197" s="67"/>
      <c r="CD197" s="67"/>
      <c r="CE197" s="67">
        <v>0</v>
      </c>
      <c r="CF197" s="67">
        <v>0</v>
      </c>
      <c r="CG197" s="67"/>
      <c r="CH197" s="67"/>
      <c r="CI197" s="67"/>
      <c r="CJ197" s="67"/>
      <c r="CK197" s="67">
        <v>0</v>
      </c>
      <c r="CL197" s="67">
        <v>0</v>
      </c>
      <c r="CM197" s="67"/>
      <c r="CN197" s="67"/>
      <c r="CO197" s="67">
        <v>0</v>
      </c>
      <c r="CP197" s="67">
        <v>0</v>
      </c>
      <c r="CQ197" s="67"/>
      <c r="CR197" s="67"/>
      <c r="CS197" s="67"/>
      <c r="CT197" s="67"/>
      <c r="CU197" s="67">
        <v>0</v>
      </c>
      <c r="CV197" s="67"/>
      <c r="CW197" s="67"/>
      <c r="CX197" s="67"/>
      <c r="CY197" s="67">
        <v>0</v>
      </c>
      <c r="CZ197" s="67"/>
      <c r="DA197" s="67"/>
      <c r="DB197" s="67"/>
      <c r="DC197" s="67"/>
      <c r="DF197" s="67"/>
      <c r="DG197" s="67">
        <v>20.25</v>
      </c>
      <c r="DH197" s="67">
        <v>20.25</v>
      </c>
      <c r="DI197" s="67">
        <v>0</v>
      </c>
      <c r="DJ197" s="67"/>
      <c r="DK197" s="67">
        <v>0</v>
      </c>
      <c r="DL197" s="67">
        <v>0</v>
      </c>
      <c r="DM197" s="67">
        <v>0</v>
      </c>
      <c r="DN197" s="67"/>
      <c r="DO197" s="67"/>
      <c r="DP197" s="67"/>
      <c r="DQ197" s="67">
        <v>0</v>
      </c>
      <c r="DR197" s="67">
        <v>0</v>
      </c>
      <c r="DS197" s="67"/>
      <c r="DT197" s="67"/>
      <c r="DU197" s="67">
        <v>0</v>
      </c>
      <c r="DV197" s="67">
        <v>0</v>
      </c>
      <c r="DW197" s="67">
        <v>0</v>
      </c>
      <c r="DX197" s="67">
        <v>0</v>
      </c>
      <c r="DY197" s="67"/>
      <c r="DZ197" s="67">
        <v>0</v>
      </c>
      <c r="EA197" s="67"/>
      <c r="EB197" s="67">
        <v>0</v>
      </c>
      <c r="EC197" s="67"/>
      <c r="ED197" s="67">
        <v>0</v>
      </c>
      <c r="EE197" s="67"/>
      <c r="EF197" s="67">
        <v>0</v>
      </c>
      <c r="EG197" s="67"/>
      <c r="EH197" s="67"/>
      <c r="EI197" s="67"/>
      <c r="EJ197" s="67"/>
      <c r="EK197" s="67"/>
      <c r="EL197" s="67"/>
      <c r="EM197" s="67"/>
      <c r="EN197" s="67"/>
      <c r="EO197" s="67"/>
      <c r="EP197" s="67">
        <v>0</v>
      </c>
      <c r="EQ197" s="67">
        <v>75</v>
      </c>
      <c r="ER197" s="67">
        <v>75</v>
      </c>
      <c r="ES197" s="67"/>
      <c r="ET197">
        <v>0</v>
      </c>
      <c r="EX197" s="67"/>
      <c r="EY197" s="67"/>
      <c r="EZ197" s="67"/>
      <c r="FA197" s="67">
        <v>290.25</v>
      </c>
      <c r="FB197" s="67"/>
      <c r="FC197" s="67"/>
      <c r="FD197" s="67"/>
      <c r="FE197" s="67"/>
      <c r="FF197" s="67"/>
      <c r="FG197" s="67"/>
      <c r="FH197" s="67"/>
      <c r="FI197" s="67" t="s">
        <v>1600</v>
      </c>
    </row>
    <row r="198" spans="2:165" x14ac:dyDescent="0.2">
      <c r="B198" s="67" t="s">
        <v>622</v>
      </c>
      <c r="C198" s="67" t="s">
        <v>622</v>
      </c>
      <c r="D198" s="67" t="s">
        <v>623</v>
      </c>
      <c r="E198" s="67" t="s">
        <v>23</v>
      </c>
      <c r="F198" s="67" t="s">
        <v>750</v>
      </c>
      <c r="G198" s="67" t="s">
        <v>1597</v>
      </c>
      <c r="H198" s="67"/>
      <c r="I198" s="67" t="s">
        <v>43</v>
      </c>
      <c r="J198" s="67" t="s">
        <v>64</v>
      </c>
      <c r="K198" s="67" t="s">
        <v>1232</v>
      </c>
      <c r="L198" s="67" t="s">
        <v>787</v>
      </c>
      <c r="M198" s="67" t="s">
        <v>752</v>
      </c>
      <c r="N198" s="67" t="s">
        <v>1598</v>
      </c>
      <c r="O198" s="67" t="s">
        <v>1599</v>
      </c>
      <c r="P198" s="67"/>
      <c r="Q198" s="67">
        <v>2700</v>
      </c>
      <c r="R198" s="67">
        <v>0</v>
      </c>
      <c r="S198" s="67">
        <v>0</v>
      </c>
      <c r="T198" s="67">
        <v>2300</v>
      </c>
      <c r="U198" s="67">
        <v>0</v>
      </c>
      <c r="V198" s="67">
        <v>0</v>
      </c>
      <c r="W198" s="67">
        <v>0</v>
      </c>
      <c r="X198" s="67">
        <v>0</v>
      </c>
      <c r="Y198" s="67">
        <v>0</v>
      </c>
      <c r="Z198" s="67">
        <v>0</v>
      </c>
      <c r="AA198" s="67">
        <v>0</v>
      </c>
      <c r="AB198" s="67">
        <v>0</v>
      </c>
      <c r="AC198" s="67">
        <v>0</v>
      </c>
      <c r="AD198" s="67">
        <v>0</v>
      </c>
      <c r="AE198" s="67">
        <v>0</v>
      </c>
      <c r="AF198" s="67">
        <v>0</v>
      </c>
      <c r="AG198" s="67">
        <v>0</v>
      </c>
      <c r="AH198" s="67">
        <v>0</v>
      </c>
      <c r="AI198" s="67">
        <v>0</v>
      </c>
      <c r="AJ198" s="67">
        <v>0</v>
      </c>
      <c r="AK198" s="67">
        <v>0</v>
      </c>
      <c r="AL198" s="67">
        <v>0</v>
      </c>
      <c r="AM198" s="67">
        <v>0</v>
      </c>
      <c r="AN198" s="67">
        <v>400</v>
      </c>
      <c r="AO198" s="67">
        <v>0</v>
      </c>
      <c r="AP198" s="67">
        <v>0</v>
      </c>
      <c r="AQ198" s="67">
        <v>0</v>
      </c>
      <c r="AR198" s="67">
        <v>0</v>
      </c>
      <c r="AS198" s="67">
        <v>0</v>
      </c>
      <c r="AT198" s="67"/>
      <c r="AU198" s="67"/>
      <c r="AV198" s="67"/>
      <c r="AW198" s="67">
        <v>0</v>
      </c>
      <c r="AX198" s="67">
        <v>0</v>
      </c>
      <c r="AY198" s="67"/>
      <c r="AZ198" s="67"/>
      <c r="BA198" s="67"/>
      <c r="BB198" s="67"/>
      <c r="BC198" s="67"/>
      <c r="BD198" s="67"/>
      <c r="BE198" s="67"/>
      <c r="BG198" s="67"/>
      <c r="BH198" s="67"/>
      <c r="BI198" s="67"/>
      <c r="BJ198" s="67">
        <v>0</v>
      </c>
      <c r="BK198" s="67"/>
      <c r="BL198" s="67"/>
      <c r="BP198" s="67"/>
      <c r="BQ198" s="67">
        <v>0</v>
      </c>
      <c r="BR198" s="67"/>
      <c r="BS198" s="67"/>
      <c r="BT198" s="67">
        <v>0</v>
      </c>
      <c r="BU198" s="67"/>
      <c r="BV198" s="67"/>
      <c r="BW198" s="67">
        <v>0</v>
      </c>
      <c r="BX198" s="67">
        <v>0</v>
      </c>
      <c r="BY198" s="67">
        <v>0</v>
      </c>
      <c r="BZ198" s="67">
        <v>0</v>
      </c>
      <c r="CA198" s="67"/>
      <c r="CB198" s="67">
        <v>0</v>
      </c>
      <c r="CC198" s="67"/>
      <c r="CD198" s="67"/>
      <c r="CE198" s="67">
        <v>0</v>
      </c>
      <c r="CF198" s="67">
        <v>0</v>
      </c>
      <c r="CG198" s="67"/>
      <c r="CH198" s="67"/>
      <c r="CI198" s="67"/>
      <c r="CJ198" s="67"/>
      <c r="CK198" s="67">
        <v>0</v>
      </c>
      <c r="CL198" s="67">
        <v>0</v>
      </c>
      <c r="CM198" s="67"/>
      <c r="CN198" s="67"/>
      <c r="CO198" s="67">
        <v>0</v>
      </c>
      <c r="CP198" s="67">
        <v>0</v>
      </c>
      <c r="CQ198" s="67"/>
      <c r="CR198" s="67"/>
      <c r="CS198" s="67"/>
      <c r="CT198" s="67"/>
      <c r="CU198" s="67">
        <v>0</v>
      </c>
      <c r="CV198" s="67"/>
      <c r="CW198" s="67"/>
      <c r="CX198" s="67"/>
      <c r="CY198" s="67">
        <v>0</v>
      </c>
      <c r="CZ198" s="67"/>
      <c r="DA198" s="67"/>
      <c r="DB198" s="67"/>
      <c r="DC198" s="67"/>
      <c r="DF198" s="67"/>
      <c r="DG198" s="67">
        <v>120</v>
      </c>
      <c r="DH198" s="67">
        <v>120</v>
      </c>
      <c r="DI198" s="67">
        <v>0</v>
      </c>
      <c r="DJ198" s="67"/>
      <c r="DK198" s="67">
        <v>0</v>
      </c>
      <c r="DL198" s="67">
        <v>0</v>
      </c>
      <c r="DM198" s="67">
        <v>0</v>
      </c>
      <c r="DN198" s="67"/>
      <c r="DO198" s="67"/>
      <c r="DP198" s="67"/>
      <c r="DQ198" s="67">
        <v>0</v>
      </c>
      <c r="DR198" s="67">
        <v>0</v>
      </c>
      <c r="DS198" s="67"/>
      <c r="DT198" s="67"/>
      <c r="DU198" s="67">
        <v>0</v>
      </c>
      <c r="DV198" s="67">
        <v>0</v>
      </c>
      <c r="DW198" s="67">
        <v>0</v>
      </c>
      <c r="DX198" s="67">
        <v>0</v>
      </c>
      <c r="DY198" s="67"/>
      <c r="DZ198" s="67">
        <v>0</v>
      </c>
      <c r="EA198" s="67"/>
      <c r="EB198" s="67">
        <v>0</v>
      </c>
      <c r="EC198" s="67"/>
      <c r="ED198" s="67">
        <v>0</v>
      </c>
      <c r="EE198" s="67"/>
      <c r="EF198" s="67">
        <v>0</v>
      </c>
      <c r="EG198" s="67"/>
      <c r="EH198" s="67"/>
      <c r="EI198" s="67"/>
      <c r="EJ198" s="67"/>
      <c r="EK198" s="67"/>
      <c r="EL198" s="67"/>
      <c r="EM198" s="67"/>
      <c r="EN198" s="67"/>
      <c r="EO198" s="67"/>
      <c r="EP198" s="67">
        <v>0</v>
      </c>
      <c r="EQ198" s="67">
        <v>0</v>
      </c>
      <c r="ER198" s="67">
        <v>0</v>
      </c>
      <c r="ES198" s="67"/>
      <c r="ET198">
        <v>0</v>
      </c>
      <c r="EX198" s="67"/>
      <c r="EY198" s="67"/>
      <c r="EZ198" s="67"/>
      <c r="FA198" s="67">
        <v>2820</v>
      </c>
      <c r="FB198" s="67"/>
      <c r="FC198" s="67"/>
      <c r="FD198" s="67"/>
      <c r="FE198" s="67"/>
      <c r="FF198" s="67"/>
      <c r="FG198" s="67"/>
      <c r="FH198" s="67"/>
      <c r="FI198" s="67" t="s">
        <v>1600</v>
      </c>
    </row>
    <row r="199" spans="2:165" ht="24" x14ac:dyDescent="0.2">
      <c r="B199" s="67" t="s">
        <v>624</v>
      </c>
      <c r="C199" s="67" t="s">
        <v>624</v>
      </c>
      <c r="D199" s="67" t="s">
        <v>625</v>
      </c>
      <c r="E199" s="67" t="s">
        <v>13</v>
      </c>
      <c r="F199" s="67" t="s">
        <v>750</v>
      </c>
      <c r="G199" s="67" t="s">
        <v>1597</v>
      </c>
      <c r="H199" s="67"/>
      <c r="I199" s="67" t="s">
        <v>41</v>
      </c>
      <c r="J199" s="67" t="s">
        <v>64</v>
      </c>
      <c r="K199" s="67" t="s">
        <v>1232</v>
      </c>
      <c r="L199" s="67" t="s">
        <v>751</v>
      </c>
      <c r="M199" s="67" t="s">
        <v>752</v>
      </c>
      <c r="N199" s="67" t="s">
        <v>1607</v>
      </c>
      <c r="O199" s="67" t="s">
        <v>1608</v>
      </c>
      <c r="P199" s="67"/>
      <c r="Q199" s="67">
        <v>220</v>
      </c>
      <c r="R199" s="67">
        <v>0</v>
      </c>
      <c r="S199" s="67">
        <v>0</v>
      </c>
      <c r="T199" s="67">
        <v>60</v>
      </c>
      <c r="U199" s="67">
        <v>0</v>
      </c>
      <c r="V199" s="67">
        <v>0</v>
      </c>
      <c r="W199" s="67">
        <v>0</v>
      </c>
      <c r="X199" s="67">
        <v>0</v>
      </c>
      <c r="Y199" s="67">
        <v>0</v>
      </c>
      <c r="Z199" s="67">
        <v>0</v>
      </c>
      <c r="AA199" s="67">
        <v>0</v>
      </c>
      <c r="AB199" s="67">
        <v>0</v>
      </c>
      <c r="AC199" s="67">
        <v>0</v>
      </c>
      <c r="AD199" s="67">
        <v>0</v>
      </c>
      <c r="AE199" s="67">
        <v>0</v>
      </c>
      <c r="AF199" s="67">
        <v>0</v>
      </c>
      <c r="AG199" s="67">
        <v>0</v>
      </c>
      <c r="AH199" s="67">
        <v>0</v>
      </c>
      <c r="AI199" s="67">
        <v>0</v>
      </c>
      <c r="AJ199" s="67">
        <v>0</v>
      </c>
      <c r="AK199" s="67">
        <v>0</v>
      </c>
      <c r="AL199" s="67">
        <v>0</v>
      </c>
      <c r="AM199" s="67">
        <v>0</v>
      </c>
      <c r="AN199" s="67">
        <v>160</v>
      </c>
      <c r="AO199" s="67">
        <v>0</v>
      </c>
      <c r="AP199" s="67">
        <v>0</v>
      </c>
      <c r="AQ199" s="67">
        <v>0</v>
      </c>
      <c r="AR199" s="67">
        <v>0</v>
      </c>
      <c r="AS199" s="67">
        <v>0</v>
      </c>
      <c r="AT199" s="67"/>
      <c r="AU199" s="67"/>
      <c r="AV199" s="67"/>
      <c r="AW199" s="67">
        <v>0</v>
      </c>
      <c r="AX199" s="67">
        <v>0</v>
      </c>
      <c r="AY199" s="67"/>
      <c r="AZ199" s="67"/>
      <c r="BA199" s="67"/>
      <c r="BB199" s="67"/>
      <c r="BC199" s="67"/>
      <c r="BD199" s="67"/>
      <c r="BE199" s="67"/>
      <c r="BG199" s="67"/>
      <c r="BH199" s="67"/>
      <c r="BI199" s="67"/>
      <c r="BJ199" s="67">
        <v>0</v>
      </c>
      <c r="BK199" s="67"/>
      <c r="BL199" s="67"/>
      <c r="BP199" s="67"/>
      <c r="BQ199" s="67">
        <v>0</v>
      </c>
      <c r="BR199" s="67"/>
      <c r="BS199" s="67"/>
      <c r="BT199" s="67">
        <v>0</v>
      </c>
      <c r="BU199" s="67"/>
      <c r="BV199" s="67"/>
      <c r="BW199" s="67">
        <v>0</v>
      </c>
      <c r="BX199" s="67">
        <v>0</v>
      </c>
      <c r="BY199" s="67">
        <v>0</v>
      </c>
      <c r="BZ199" s="67">
        <v>0</v>
      </c>
      <c r="CA199" s="67"/>
      <c r="CB199" s="67">
        <v>0</v>
      </c>
      <c r="CC199" s="67"/>
      <c r="CD199" s="67"/>
      <c r="CE199" s="67">
        <v>0</v>
      </c>
      <c r="CF199" s="67">
        <v>0</v>
      </c>
      <c r="CG199" s="67"/>
      <c r="CH199" s="67"/>
      <c r="CI199" s="67"/>
      <c r="CJ199" s="67"/>
      <c r="CK199" s="67">
        <v>0</v>
      </c>
      <c r="CL199" s="67">
        <v>0</v>
      </c>
      <c r="CM199" s="67"/>
      <c r="CN199" s="67"/>
      <c r="CO199" s="67">
        <v>0</v>
      </c>
      <c r="CP199" s="67">
        <v>0</v>
      </c>
      <c r="CQ199" s="67"/>
      <c r="CR199" s="67"/>
      <c r="CS199" s="67"/>
      <c r="CT199" s="67"/>
      <c r="CU199" s="67">
        <v>0</v>
      </c>
      <c r="CV199" s="67"/>
      <c r="CW199" s="67"/>
      <c r="CX199" s="67"/>
      <c r="CY199" s="67">
        <v>0</v>
      </c>
      <c r="CZ199" s="67"/>
      <c r="DA199" s="67"/>
      <c r="DB199" s="67"/>
      <c r="DC199" s="67"/>
      <c r="DF199" s="67"/>
      <c r="DG199" s="67">
        <v>16.5</v>
      </c>
      <c r="DH199" s="67">
        <v>16.5</v>
      </c>
      <c r="DI199" s="67">
        <v>0</v>
      </c>
      <c r="DJ199" s="67"/>
      <c r="DK199" s="67">
        <v>0</v>
      </c>
      <c r="DL199" s="67">
        <v>0</v>
      </c>
      <c r="DM199" s="67">
        <v>0</v>
      </c>
      <c r="DN199" s="67"/>
      <c r="DO199" s="67"/>
      <c r="DP199" s="67"/>
      <c r="DQ199" s="67">
        <v>0</v>
      </c>
      <c r="DR199" s="67">
        <v>0</v>
      </c>
      <c r="DS199" s="67"/>
      <c r="DT199" s="67"/>
      <c r="DU199" s="67">
        <v>0</v>
      </c>
      <c r="DV199" s="67">
        <v>0</v>
      </c>
      <c r="DW199" s="67">
        <v>0</v>
      </c>
      <c r="DX199" s="67">
        <v>0</v>
      </c>
      <c r="DY199" s="67"/>
      <c r="DZ199" s="67">
        <v>0</v>
      </c>
      <c r="EA199" s="67"/>
      <c r="EB199" s="67">
        <v>0</v>
      </c>
      <c r="EC199" s="67"/>
      <c r="ED199" s="67">
        <v>0</v>
      </c>
      <c r="EE199" s="67"/>
      <c r="EF199" s="67">
        <v>0</v>
      </c>
      <c r="EG199" s="67"/>
      <c r="EH199" s="67"/>
      <c r="EI199" s="67"/>
      <c r="EJ199" s="67"/>
      <c r="EK199" s="67"/>
      <c r="EL199" s="67"/>
      <c r="EM199" s="67"/>
      <c r="EN199" s="67"/>
      <c r="EO199" s="67"/>
      <c r="EP199" s="67">
        <v>0</v>
      </c>
      <c r="EQ199" s="67">
        <v>0</v>
      </c>
      <c r="ER199" s="67">
        <v>0</v>
      </c>
      <c r="ES199" s="67"/>
      <c r="ET199">
        <v>0</v>
      </c>
      <c r="EX199" s="67"/>
      <c r="EY199" s="67"/>
      <c r="EZ199" s="67"/>
      <c r="FA199" s="67">
        <v>236.5</v>
      </c>
      <c r="FB199" s="67"/>
      <c r="FC199" s="67"/>
      <c r="FD199" s="67"/>
      <c r="FE199" s="67"/>
      <c r="FF199" s="67"/>
      <c r="FG199" s="67"/>
      <c r="FH199" s="67"/>
      <c r="FI199" s="67" t="s">
        <v>1600</v>
      </c>
    </row>
    <row r="200" spans="2:165" ht="24" x14ac:dyDescent="0.2">
      <c r="B200" s="67"/>
      <c r="C200" s="67" t="s">
        <v>1690</v>
      </c>
      <c r="D200" s="67" t="s">
        <v>626</v>
      </c>
      <c r="E200" s="67" t="s">
        <v>13</v>
      </c>
      <c r="F200" s="67" t="s">
        <v>750</v>
      </c>
      <c r="G200" s="67" t="s">
        <v>345</v>
      </c>
      <c r="H200" s="67"/>
      <c r="I200" s="67" t="s">
        <v>41</v>
      </c>
      <c r="J200" s="67" t="s">
        <v>64</v>
      </c>
      <c r="K200" s="67" t="s">
        <v>1232</v>
      </c>
      <c r="L200" s="67" t="s">
        <v>751</v>
      </c>
      <c r="M200" s="67" t="s">
        <v>752</v>
      </c>
      <c r="N200" s="67" t="s">
        <v>1604</v>
      </c>
      <c r="O200" s="67" t="s">
        <v>1599</v>
      </c>
      <c r="P200" s="67"/>
      <c r="Q200" s="67">
        <v>0</v>
      </c>
      <c r="R200" s="67">
        <v>0</v>
      </c>
      <c r="S200" s="67">
        <v>0</v>
      </c>
      <c r="T200" s="67">
        <v>0</v>
      </c>
      <c r="U200" s="67">
        <v>0</v>
      </c>
      <c r="V200" s="67">
        <v>0</v>
      </c>
      <c r="W200" s="67">
        <v>0</v>
      </c>
      <c r="X200" s="67">
        <v>0</v>
      </c>
      <c r="Y200" s="67">
        <v>0</v>
      </c>
      <c r="Z200" s="67">
        <v>0</v>
      </c>
      <c r="AA200" s="67">
        <v>0</v>
      </c>
      <c r="AB200" s="67">
        <v>0</v>
      </c>
      <c r="AC200" s="67">
        <v>0</v>
      </c>
      <c r="AD200" s="67">
        <v>0</v>
      </c>
      <c r="AE200" s="67">
        <v>0</v>
      </c>
      <c r="AF200" s="67">
        <v>0</v>
      </c>
      <c r="AG200" s="67">
        <v>0</v>
      </c>
      <c r="AH200" s="67">
        <v>0</v>
      </c>
      <c r="AI200" s="67">
        <v>0</v>
      </c>
      <c r="AJ200" s="67">
        <v>0</v>
      </c>
      <c r="AK200" s="67">
        <v>0</v>
      </c>
      <c r="AL200" s="67">
        <v>0</v>
      </c>
      <c r="AM200" s="67">
        <v>0</v>
      </c>
      <c r="AN200" s="67">
        <v>0</v>
      </c>
      <c r="AO200" s="67">
        <v>0</v>
      </c>
      <c r="AP200" s="67">
        <v>0</v>
      </c>
      <c r="AQ200" s="67">
        <v>0</v>
      </c>
      <c r="AR200" s="67">
        <v>0</v>
      </c>
      <c r="AS200" s="67">
        <v>0</v>
      </c>
      <c r="AT200" s="67"/>
      <c r="AU200" s="67"/>
      <c r="AV200" s="67"/>
      <c r="AW200" s="67">
        <v>0</v>
      </c>
      <c r="AX200" s="67">
        <v>0</v>
      </c>
      <c r="AY200" s="67"/>
      <c r="AZ200" s="67"/>
      <c r="BA200" s="67"/>
      <c r="BB200" s="67"/>
      <c r="BC200" s="67"/>
      <c r="BD200" s="67"/>
      <c r="BE200" s="67"/>
      <c r="BG200" s="67"/>
      <c r="BH200" s="67"/>
      <c r="BI200" s="67"/>
      <c r="BJ200" s="67">
        <v>0</v>
      </c>
      <c r="BK200" s="67"/>
      <c r="BL200" s="67"/>
      <c r="BP200" s="67"/>
      <c r="BQ200" s="67">
        <v>0</v>
      </c>
      <c r="BR200" s="67"/>
      <c r="BS200" s="67"/>
      <c r="BT200" s="67">
        <v>0</v>
      </c>
      <c r="BU200" s="67"/>
      <c r="BV200" s="67"/>
      <c r="BW200" s="67">
        <v>0</v>
      </c>
      <c r="BX200" s="67">
        <v>0</v>
      </c>
      <c r="BY200" s="67">
        <v>0</v>
      </c>
      <c r="BZ200" s="67">
        <v>0</v>
      </c>
      <c r="CA200" s="67"/>
      <c r="CB200" s="67">
        <v>0</v>
      </c>
      <c r="CC200" s="67"/>
      <c r="CD200" s="67"/>
      <c r="CE200" s="67">
        <v>0</v>
      </c>
      <c r="CF200" s="67">
        <v>0</v>
      </c>
      <c r="CG200" s="67"/>
      <c r="CH200" s="67"/>
      <c r="CI200" s="67"/>
      <c r="CJ200" s="67"/>
      <c r="CK200" s="67">
        <v>0</v>
      </c>
      <c r="CL200" s="67">
        <v>0</v>
      </c>
      <c r="CM200" s="67"/>
      <c r="CN200" s="67"/>
      <c r="CO200" s="67">
        <v>0</v>
      </c>
      <c r="CP200" s="67">
        <v>0</v>
      </c>
      <c r="CQ200" s="67"/>
      <c r="CR200" s="67"/>
      <c r="CS200" s="67"/>
      <c r="CT200" s="67"/>
      <c r="CU200" s="67">
        <v>0</v>
      </c>
      <c r="CV200" s="67"/>
      <c r="CW200" s="67"/>
      <c r="CX200" s="67"/>
      <c r="CY200" s="67">
        <v>0</v>
      </c>
      <c r="CZ200" s="67"/>
      <c r="DA200" s="67"/>
      <c r="DB200" s="67"/>
      <c r="DC200" s="67"/>
      <c r="DF200" s="67"/>
      <c r="DG200" s="67">
        <v>0</v>
      </c>
      <c r="DH200" s="67">
        <v>0</v>
      </c>
      <c r="DI200" s="67">
        <v>0</v>
      </c>
      <c r="DJ200" s="67"/>
      <c r="DK200" s="67">
        <v>0</v>
      </c>
      <c r="DL200" s="67">
        <v>0</v>
      </c>
      <c r="DM200" s="67">
        <v>0</v>
      </c>
      <c r="DN200" s="67"/>
      <c r="DO200" s="67"/>
      <c r="DP200" s="67"/>
      <c r="DQ200" s="67">
        <v>0</v>
      </c>
      <c r="DR200" s="67">
        <v>0</v>
      </c>
      <c r="DS200" s="67"/>
      <c r="DT200" s="67"/>
      <c r="DU200" s="67">
        <v>0</v>
      </c>
      <c r="DV200" s="67">
        <v>0</v>
      </c>
      <c r="DW200" s="67">
        <v>0</v>
      </c>
      <c r="DX200" s="67">
        <v>0</v>
      </c>
      <c r="DY200" s="67"/>
      <c r="DZ200" s="67">
        <v>0</v>
      </c>
      <c r="EA200" s="67"/>
      <c r="EB200" s="67">
        <v>0</v>
      </c>
      <c r="EC200" s="67"/>
      <c r="ED200" s="67">
        <v>0</v>
      </c>
      <c r="EE200" s="67"/>
      <c r="EF200" s="67">
        <v>0</v>
      </c>
      <c r="EG200" s="67"/>
      <c r="EH200" s="67"/>
      <c r="EI200" s="67"/>
      <c r="EJ200" s="67"/>
      <c r="EK200" s="67"/>
      <c r="EL200" s="67"/>
      <c r="EM200" s="67"/>
      <c r="EN200" s="67"/>
      <c r="EO200" s="67"/>
      <c r="EP200" s="67">
        <v>0</v>
      </c>
      <c r="EQ200" s="67">
        <v>0</v>
      </c>
      <c r="ER200" s="67">
        <v>0</v>
      </c>
      <c r="ES200" s="67"/>
      <c r="ET200">
        <v>0</v>
      </c>
      <c r="EX200" s="67"/>
      <c r="EY200" s="67"/>
      <c r="EZ200" s="67"/>
      <c r="FA200" s="67">
        <v>0</v>
      </c>
      <c r="FB200" s="67"/>
      <c r="FC200" s="67"/>
      <c r="FD200" s="67"/>
      <c r="FE200" s="67"/>
      <c r="FF200" s="67"/>
      <c r="FG200" s="67"/>
      <c r="FH200" s="67"/>
      <c r="FI200" s="67" t="s">
        <v>1600</v>
      </c>
    </row>
    <row r="201" spans="2:165" x14ac:dyDescent="0.2">
      <c r="B201" s="67"/>
      <c r="C201" s="67" t="s">
        <v>1691</v>
      </c>
      <c r="D201" s="67" t="s">
        <v>627</v>
      </c>
      <c r="E201" s="67" t="s">
        <v>20</v>
      </c>
      <c r="F201" s="67" t="s">
        <v>810</v>
      </c>
      <c r="G201" s="67" t="s">
        <v>1597</v>
      </c>
      <c r="H201" s="67"/>
      <c r="I201" s="67" t="s">
        <v>41</v>
      </c>
      <c r="J201" s="67" t="s">
        <v>71</v>
      </c>
      <c r="K201" s="67" t="s">
        <v>811</v>
      </c>
      <c r="L201" s="67" t="s">
        <v>787</v>
      </c>
      <c r="M201" s="67" t="s">
        <v>752</v>
      </c>
      <c r="N201" s="67" t="s">
        <v>1604</v>
      </c>
      <c r="O201" s="67" t="s">
        <v>1605</v>
      </c>
      <c r="P201" s="67"/>
      <c r="Q201" s="67">
        <v>0</v>
      </c>
      <c r="R201" s="67">
        <v>0</v>
      </c>
      <c r="S201" s="67">
        <v>0</v>
      </c>
      <c r="T201" s="67">
        <v>0</v>
      </c>
      <c r="U201" s="67">
        <v>0</v>
      </c>
      <c r="V201" s="67">
        <v>0</v>
      </c>
      <c r="W201" s="67">
        <v>0</v>
      </c>
      <c r="X201" s="67">
        <v>0</v>
      </c>
      <c r="Y201" s="67">
        <v>0</v>
      </c>
      <c r="Z201" s="67">
        <v>0</v>
      </c>
      <c r="AA201" s="67">
        <v>0</v>
      </c>
      <c r="AB201" s="67">
        <v>0</v>
      </c>
      <c r="AC201" s="67">
        <v>0</v>
      </c>
      <c r="AD201" s="67">
        <v>0</v>
      </c>
      <c r="AE201" s="67">
        <v>0</v>
      </c>
      <c r="AF201" s="67">
        <v>0</v>
      </c>
      <c r="AG201" s="67">
        <v>0</v>
      </c>
      <c r="AH201" s="67">
        <v>0</v>
      </c>
      <c r="AI201" s="67">
        <v>0</v>
      </c>
      <c r="AJ201" s="67">
        <v>0</v>
      </c>
      <c r="AK201" s="67">
        <v>0</v>
      </c>
      <c r="AL201" s="67">
        <v>0</v>
      </c>
      <c r="AM201" s="67">
        <v>0</v>
      </c>
      <c r="AN201" s="67">
        <v>0</v>
      </c>
      <c r="AO201" s="67">
        <v>0</v>
      </c>
      <c r="AP201" s="67">
        <v>0</v>
      </c>
      <c r="AQ201" s="67">
        <v>0</v>
      </c>
      <c r="AR201" s="67">
        <v>0</v>
      </c>
      <c r="AS201" s="67">
        <v>0</v>
      </c>
      <c r="AT201" s="67"/>
      <c r="AU201" s="67"/>
      <c r="AV201" s="67"/>
      <c r="AW201" s="67">
        <v>0</v>
      </c>
      <c r="AX201" s="67">
        <v>0</v>
      </c>
      <c r="AY201" s="67"/>
      <c r="AZ201" s="67"/>
      <c r="BA201" s="67"/>
      <c r="BB201" s="67"/>
      <c r="BC201" s="67"/>
      <c r="BD201" s="67"/>
      <c r="BE201" s="67"/>
      <c r="BG201" s="67"/>
      <c r="BH201" s="67"/>
      <c r="BI201" s="67"/>
      <c r="BJ201" s="67">
        <v>0</v>
      </c>
      <c r="BK201" s="67"/>
      <c r="BL201" s="67"/>
      <c r="BP201" s="67"/>
      <c r="BQ201" s="67">
        <v>0</v>
      </c>
      <c r="BR201" s="67"/>
      <c r="BS201" s="67"/>
      <c r="BT201" s="67">
        <v>0</v>
      </c>
      <c r="BU201" s="67"/>
      <c r="BV201" s="67"/>
      <c r="BW201" s="67">
        <v>0</v>
      </c>
      <c r="BX201" s="67">
        <v>0</v>
      </c>
      <c r="BY201" s="67">
        <v>0</v>
      </c>
      <c r="BZ201" s="67">
        <v>0</v>
      </c>
      <c r="CA201" s="67"/>
      <c r="CB201" s="67">
        <v>0</v>
      </c>
      <c r="CC201" s="67"/>
      <c r="CD201" s="67"/>
      <c r="CE201" s="67">
        <v>0</v>
      </c>
      <c r="CF201" s="67">
        <v>0</v>
      </c>
      <c r="CG201" s="67"/>
      <c r="CH201" s="67"/>
      <c r="CI201" s="67"/>
      <c r="CJ201" s="67"/>
      <c r="CK201" s="67">
        <v>0</v>
      </c>
      <c r="CL201" s="67">
        <v>0</v>
      </c>
      <c r="CM201" s="67"/>
      <c r="CN201" s="67"/>
      <c r="CO201" s="67">
        <v>0</v>
      </c>
      <c r="CP201" s="67">
        <v>0</v>
      </c>
      <c r="CQ201" s="67"/>
      <c r="CR201" s="67"/>
      <c r="CS201" s="67"/>
      <c r="CT201" s="67"/>
      <c r="CU201" s="67">
        <v>0</v>
      </c>
      <c r="CV201" s="67"/>
      <c r="CW201" s="67"/>
      <c r="CX201" s="67"/>
      <c r="CY201" s="67">
        <v>0</v>
      </c>
      <c r="CZ201" s="67"/>
      <c r="DA201" s="67"/>
      <c r="DB201" s="67"/>
      <c r="DC201" s="67"/>
      <c r="DF201" s="67"/>
      <c r="DG201" s="67">
        <v>0</v>
      </c>
      <c r="DH201" s="67">
        <v>0</v>
      </c>
      <c r="DI201" s="67">
        <v>0</v>
      </c>
      <c r="DJ201" s="67"/>
      <c r="DK201" s="67">
        <v>0</v>
      </c>
      <c r="DL201" s="67">
        <v>0</v>
      </c>
      <c r="DM201" s="67">
        <v>0</v>
      </c>
      <c r="DN201" s="67"/>
      <c r="DO201" s="67"/>
      <c r="DP201" s="67"/>
      <c r="DQ201" s="67">
        <v>0</v>
      </c>
      <c r="DR201" s="67">
        <v>0</v>
      </c>
      <c r="DS201" s="67"/>
      <c r="DT201" s="67"/>
      <c r="DU201" s="67">
        <v>0</v>
      </c>
      <c r="DV201" s="67">
        <v>0</v>
      </c>
      <c r="DW201" s="67">
        <v>0</v>
      </c>
      <c r="DX201" s="67">
        <v>0</v>
      </c>
      <c r="DY201" s="67"/>
      <c r="DZ201" s="67">
        <v>0</v>
      </c>
      <c r="EA201" s="67"/>
      <c r="EB201" s="67">
        <v>0</v>
      </c>
      <c r="EC201" s="67"/>
      <c r="ED201" s="67">
        <v>0</v>
      </c>
      <c r="EE201" s="67"/>
      <c r="EF201" s="67">
        <v>0</v>
      </c>
      <c r="EG201" s="67"/>
      <c r="EH201" s="67"/>
      <c r="EI201" s="67"/>
      <c r="EJ201" s="67"/>
      <c r="EK201" s="67"/>
      <c r="EL201" s="67"/>
      <c r="EM201" s="67"/>
      <c r="EN201" s="67"/>
      <c r="EO201" s="67"/>
      <c r="EP201" s="67">
        <v>0</v>
      </c>
      <c r="EQ201" s="67">
        <v>0</v>
      </c>
      <c r="ER201" s="67">
        <v>0</v>
      </c>
      <c r="ES201" s="67"/>
      <c r="ET201">
        <v>0</v>
      </c>
      <c r="EX201" s="67"/>
      <c r="EY201" s="67"/>
      <c r="EZ201" s="67"/>
      <c r="FA201" s="67">
        <v>0</v>
      </c>
      <c r="FB201" s="67"/>
      <c r="FC201" s="67"/>
      <c r="FD201" s="67"/>
      <c r="FE201" s="67"/>
      <c r="FF201" s="67"/>
      <c r="FG201" s="67"/>
      <c r="FH201" s="67"/>
      <c r="FI201" s="67" t="s">
        <v>1600</v>
      </c>
    </row>
    <row r="202" spans="2:165" ht="24" x14ac:dyDescent="0.2">
      <c r="B202" s="67"/>
      <c r="C202" s="67" t="s">
        <v>1692</v>
      </c>
      <c r="D202" s="67" t="s">
        <v>628</v>
      </c>
      <c r="E202" s="67" t="s">
        <v>13</v>
      </c>
      <c r="F202" s="67" t="s">
        <v>1693</v>
      </c>
      <c r="G202" s="67" t="s">
        <v>1614</v>
      </c>
      <c r="H202" s="67"/>
      <c r="I202" s="67" t="s">
        <v>22</v>
      </c>
      <c r="J202" s="67" t="s">
        <v>74</v>
      </c>
      <c r="K202" s="67" t="s">
        <v>1694</v>
      </c>
      <c r="L202" s="67" t="s">
        <v>787</v>
      </c>
      <c r="M202" s="67" t="s">
        <v>1615</v>
      </c>
      <c r="N202" s="67" t="s">
        <v>1598</v>
      </c>
      <c r="O202" s="67" t="s">
        <v>1599</v>
      </c>
      <c r="P202" s="67"/>
      <c r="Q202" s="67">
        <v>0</v>
      </c>
      <c r="R202" s="67">
        <v>0</v>
      </c>
      <c r="S202" s="67">
        <v>0</v>
      </c>
      <c r="T202" s="67">
        <v>0</v>
      </c>
      <c r="U202" s="67">
        <v>0</v>
      </c>
      <c r="V202" s="67">
        <v>0</v>
      </c>
      <c r="W202" s="67">
        <v>0</v>
      </c>
      <c r="X202" s="67">
        <v>0</v>
      </c>
      <c r="Y202" s="67">
        <v>0</v>
      </c>
      <c r="Z202" s="67">
        <v>0</v>
      </c>
      <c r="AA202" s="67">
        <v>0</v>
      </c>
      <c r="AB202" s="67">
        <v>0</v>
      </c>
      <c r="AC202" s="67">
        <v>0</v>
      </c>
      <c r="AD202" s="67">
        <v>0</v>
      </c>
      <c r="AE202" s="67">
        <v>0</v>
      </c>
      <c r="AF202" s="67">
        <v>0</v>
      </c>
      <c r="AG202" s="67">
        <v>0</v>
      </c>
      <c r="AH202" s="67">
        <v>0</v>
      </c>
      <c r="AI202" s="67">
        <v>0</v>
      </c>
      <c r="AJ202" s="67">
        <v>0</v>
      </c>
      <c r="AK202" s="67">
        <v>0</v>
      </c>
      <c r="AL202" s="67">
        <v>0</v>
      </c>
      <c r="AM202" s="67">
        <v>0</v>
      </c>
      <c r="AN202" s="67">
        <v>0</v>
      </c>
      <c r="AO202" s="67">
        <v>0</v>
      </c>
      <c r="AP202" s="67">
        <v>0</v>
      </c>
      <c r="AQ202" s="67">
        <v>0</v>
      </c>
      <c r="AR202" s="67">
        <v>0</v>
      </c>
      <c r="AS202" s="67">
        <v>0</v>
      </c>
      <c r="AT202" s="67"/>
      <c r="AU202" s="67"/>
      <c r="AV202" s="67"/>
      <c r="AW202" s="67">
        <v>0</v>
      </c>
      <c r="AX202" s="67">
        <v>0</v>
      </c>
      <c r="AY202" s="67"/>
      <c r="AZ202" s="67"/>
      <c r="BA202" s="67"/>
      <c r="BB202" s="67"/>
      <c r="BC202" s="67"/>
      <c r="BD202" s="67"/>
      <c r="BE202" s="67"/>
      <c r="BG202" s="67"/>
      <c r="BH202" s="67"/>
      <c r="BI202" s="67"/>
      <c r="BJ202" s="67">
        <v>0</v>
      </c>
      <c r="BK202" s="67"/>
      <c r="BL202" s="67"/>
      <c r="BP202" s="67"/>
      <c r="BQ202" s="67">
        <v>0</v>
      </c>
      <c r="BR202" s="67"/>
      <c r="BS202" s="67"/>
      <c r="BT202" s="67">
        <v>0</v>
      </c>
      <c r="BU202" s="67"/>
      <c r="BV202" s="67"/>
      <c r="BW202" s="67">
        <v>0</v>
      </c>
      <c r="BX202" s="67">
        <v>0</v>
      </c>
      <c r="BY202" s="67">
        <v>0</v>
      </c>
      <c r="BZ202" s="67">
        <v>0</v>
      </c>
      <c r="CA202" s="67"/>
      <c r="CB202" s="67">
        <v>0</v>
      </c>
      <c r="CC202" s="67"/>
      <c r="CD202" s="67"/>
      <c r="CE202" s="67">
        <v>0</v>
      </c>
      <c r="CF202" s="67">
        <v>0</v>
      </c>
      <c r="CG202" s="67"/>
      <c r="CH202" s="67"/>
      <c r="CI202" s="67"/>
      <c r="CJ202" s="67"/>
      <c r="CK202" s="67">
        <v>0</v>
      </c>
      <c r="CL202" s="67">
        <v>0</v>
      </c>
      <c r="CM202" s="67"/>
      <c r="CN202" s="67"/>
      <c r="CO202" s="67">
        <v>0</v>
      </c>
      <c r="CP202" s="67">
        <v>0</v>
      </c>
      <c r="CQ202" s="67"/>
      <c r="CR202" s="67"/>
      <c r="CS202" s="67"/>
      <c r="CT202" s="67"/>
      <c r="CU202" s="67">
        <v>0</v>
      </c>
      <c r="CV202" s="67"/>
      <c r="CW202" s="67"/>
      <c r="CX202" s="67"/>
      <c r="CY202" s="67">
        <v>0</v>
      </c>
      <c r="CZ202" s="67"/>
      <c r="DA202" s="67"/>
      <c r="DB202" s="67"/>
      <c r="DC202" s="67"/>
      <c r="DF202" s="67"/>
      <c r="DG202" s="67">
        <v>0</v>
      </c>
      <c r="DH202" s="67">
        <v>0</v>
      </c>
      <c r="DI202" s="67">
        <v>0</v>
      </c>
      <c r="DJ202" s="67"/>
      <c r="DK202" s="67">
        <v>0</v>
      </c>
      <c r="DL202" s="67">
        <v>0</v>
      </c>
      <c r="DM202" s="67">
        <v>0</v>
      </c>
      <c r="DN202" s="67"/>
      <c r="DO202" s="67"/>
      <c r="DP202" s="67"/>
      <c r="DQ202" s="67">
        <v>0</v>
      </c>
      <c r="DR202" s="67">
        <v>0</v>
      </c>
      <c r="DS202" s="67"/>
      <c r="DT202" s="67"/>
      <c r="DU202" s="67">
        <v>0</v>
      </c>
      <c r="DV202" s="67">
        <v>0</v>
      </c>
      <c r="DW202" s="67">
        <v>0</v>
      </c>
      <c r="DX202" s="67">
        <v>0</v>
      </c>
      <c r="DY202" s="67"/>
      <c r="DZ202" s="67">
        <v>0</v>
      </c>
      <c r="EA202" s="67"/>
      <c r="EB202" s="67">
        <v>0</v>
      </c>
      <c r="EC202" s="67"/>
      <c r="ED202" s="67">
        <v>0</v>
      </c>
      <c r="EE202" s="67"/>
      <c r="EF202" s="67">
        <v>0</v>
      </c>
      <c r="EG202" s="67"/>
      <c r="EH202" s="67"/>
      <c r="EI202" s="67"/>
      <c r="EJ202" s="67"/>
      <c r="EK202" s="67"/>
      <c r="EL202" s="67"/>
      <c r="EM202" s="67"/>
      <c r="EN202" s="67"/>
      <c r="EO202" s="67"/>
      <c r="EP202" s="67">
        <v>0</v>
      </c>
      <c r="EQ202" s="67">
        <v>0</v>
      </c>
      <c r="ER202" s="67">
        <v>0</v>
      </c>
      <c r="ES202" s="67"/>
      <c r="ET202">
        <v>0</v>
      </c>
      <c r="EX202" s="67"/>
      <c r="EY202" s="67"/>
      <c r="EZ202" s="67"/>
      <c r="FA202" s="67">
        <v>0</v>
      </c>
      <c r="FB202" s="67"/>
      <c r="FC202" s="67"/>
      <c r="FD202" s="67"/>
      <c r="FE202" s="67"/>
      <c r="FF202" s="67"/>
      <c r="FG202" s="67"/>
      <c r="FH202" s="67"/>
      <c r="FI202" s="67" t="s">
        <v>1600</v>
      </c>
    </row>
    <row r="203" spans="2:165" x14ac:dyDescent="0.2">
      <c r="B203" s="67"/>
      <c r="C203" s="67" t="s">
        <v>1695</v>
      </c>
      <c r="D203" s="67" t="s">
        <v>629</v>
      </c>
      <c r="E203" s="67" t="s">
        <v>305</v>
      </c>
      <c r="F203" s="67" t="s">
        <v>810</v>
      </c>
      <c r="G203" s="67" t="s">
        <v>1597</v>
      </c>
      <c r="H203" s="67"/>
      <c r="I203" s="67" t="s">
        <v>41</v>
      </c>
      <c r="J203" s="67" t="s">
        <v>71</v>
      </c>
      <c r="K203" s="67" t="s">
        <v>783</v>
      </c>
      <c r="L203" s="67" t="s">
        <v>787</v>
      </c>
      <c r="M203" s="67" t="s">
        <v>752</v>
      </c>
      <c r="N203" s="67" t="s">
        <v>1604</v>
      </c>
      <c r="O203" s="67" t="s">
        <v>1605</v>
      </c>
      <c r="P203" s="67"/>
      <c r="Q203" s="67">
        <v>0</v>
      </c>
      <c r="R203" s="67">
        <v>0</v>
      </c>
      <c r="S203" s="67">
        <v>0</v>
      </c>
      <c r="T203" s="67">
        <v>0</v>
      </c>
      <c r="U203" s="67">
        <v>0</v>
      </c>
      <c r="V203" s="67">
        <v>0</v>
      </c>
      <c r="W203" s="67">
        <v>0</v>
      </c>
      <c r="X203" s="67">
        <v>0</v>
      </c>
      <c r="Y203" s="67">
        <v>0</v>
      </c>
      <c r="Z203" s="67">
        <v>0</v>
      </c>
      <c r="AA203" s="67">
        <v>0</v>
      </c>
      <c r="AB203" s="67">
        <v>0</v>
      </c>
      <c r="AC203" s="67">
        <v>0</v>
      </c>
      <c r="AD203" s="67">
        <v>0</v>
      </c>
      <c r="AE203" s="67">
        <v>0</v>
      </c>
      <c r="AF203" s="67">
        <v>0</v>
      </c>
      <c r="AG203" s="67">
        <v>0</v>
      </c>
      <c r="AH203" s="67">
        <v>0</v>
      </c>
      <c r="AI203" s="67">
        <v>0</v>
      </c>
      <c r="AJ203" s="67">
        <v>0</v>
      </c>
      <c r="AK203" s="67">
        <v>0</v>
      </c>
      <c r="AL203" s="67">
        <v>0</v>
      </c>
      <c r="AM203" s="67">
        <v>0</v>
      </c>
      <c r="AN203" s="67">
        <v>0</v>
      </c>
      <c r="AO203" s="67">
        <v>0</v>
      </c>
      <c r="AP203" s="67">
        <v>0</v>
      </c>
      <c r="AQ203" s="67">
        <v>0</v>
      </c>
      <c r="AR203" s="67">
        <v>0</v>
      </c>
      <c r="AS203" s="67">
        <v>0</v>
      </c>
      <c r="AT203" s="67"/>
      <c r="AU203" s="67"/>
      <c r="AV203" s="67"/>
      <c r="AW203" s="67">
        <v>0</v>
      </c>
      <c r="AX203" s="67">
        <v>0</v>
      </c>
      <c r="AY203" s="67"/>
      <c r="AZ203" s="67"/>
      <c r="BA203" s="67"/>
      <c r="BB203" s="67"/>
      <c r="BC203" s="67"/>
      <c r="BD203" s="67"/>
      <c r="BE203" s="67"/>
      <c r="BG203" s="67"/>
      <c r="BH203" s="67"/>
      <c r="BI203" s="67"/>
      <c r="BJ203" s="67">
        <v>0</v>
      </c>
      <c r="BK203" s="67"/>
      <c r="BL203" s="67"/>
      <c r="BP203" s="67"/>
      <c r="BQ203" s="67">
        <v>0</v>
      </c>
      <c r="BR203" s="67"/>
      <c r="BS203" s="67"/>
      <c r="BT203" s="67">
        <v>0</v>
      </c>
      <c r="BU203" s="67"/>
      <c r="BV203" s="67"/>
      <c r="BW203" s="67">
        <v>0</v>
      </c>
      <c r="BX203" s="67">
        <v>0</v>
      </c>
      <c r="BY203" s="67">
        <v>0</v>
      </c>
      <c r="BZ203" s="67">
        <v>0</v>
      </c>
      <c r="CA203" s="67"/>
      <c r="CB203" s="67">
        <v>0</v>
      </c>
      <c r="CC203" s="67"/>
      <c r="CD203" s="67"/>
      <c r="CE203" s="67">
        <v>0</v>
      </c>
      <c r="CF203" s="67">
        <v>0</v>
      </c>
      <c r="CG203" s="67"/>
      <c r="CH203" s="67"/>
      <c r="CI203" s="67"/>
      <c r="CJ203" s="67"/>
      <c r="CK203" s="67">
        <v>0</v>
      </c>
      <c r="CL203" s="67">
        <v>0</v>
      </c>
      <c r="CM203" s="67"/>
      <c r="CN203" s="67"/>
      <c r="CO203" s="67">
        <v>0</v>
      </c>
      <c r="CP203" s="67">
        <v>0</v>
      </c>
      <c r="CQ203" s="67"/>
      <c r="CR203" s="67"/>
      <c r="CS203" s="67"/>
      <c r="CT203" s="67"/>
      <c r="CU203" s="67">
        <v>0</v>
      </c>
      <c r="CV203" s="67"/>
      <c r="CW203" s="67"/>
      <c r="CX203" s="67"/>
      <c r="CY203" s="67">
        <v>0</v>
      </c>
      <c r="CZ203" s="67"/>
      <c r="DA203" s="67"/>
      <c r="DB203" s="67"/>
      <c r="DC203" s="67"/>
      <c r="DF203" s="67"/>
      <c r="DG203" s="67">
        <v>0</v>
      </c>
      <c r="DH203" s="67">
        <v>0</v>
      </c>
      <c r="DI203" s="67">
        <v>0</v>
      </c>
      <c r="DJ203" s="67"/>
      <c r="DK203" s="67">
        <v>0</v>
      </c>
      <c r="DL203" s="67">
        <v>0</v>
      </c>
      <c r="DM203" s="67">
        <v>0</v>
      </c>
      <c r="DN203" s="67"/>
      <c r="DO203" s="67"/>
      <c r="DP203" s="67"/>
      <c r="DQ203" s="67">
        <v>0</v>
      </c>
      <c r="DR203" s="67">
        <v>0</v>
      </c>
      <c r="DS203" s="67"/>
      <c r="DT203" s="67"/>
      <c r="DU203" s="67">
        <v>0</v>
      </c>
      <c r="DV203" s="67">
        <v>0</v>
      </c>
      <c r="DW203" s="67">
        <v>0</v>
      </c>
      <c r="DX203" s="67">
        <v>0</v>
      </c>
      <c r="DY203" s="67"/>
      <c r="DZ203" s="67">
        <v>0</v>
      </c>
      <c r="EA203" s="67"/>
      <c r="EB203" s="67">
        <v>0</v>
      </c>
      <c r="EC203" s="67"/>
      <c r="ED203" s="67">
        <v>0</v>
      </c>
      <c r="EE203" s="67"/>
      <c r="EF203" s="67">
        <v>0</v>
      </c>
      <c r="EG203" s="67"/>
      <c r="EH203" s="67"/>
      <c r="EI203" s="67"/>
      <c r="EJ203" s="67"/>
      <c r="EK203" s="67"/>
      <c r="EL203" s="67"/>
      <c r="EM203" s="67"/>
      <c r="EN203" s="67"/>
      <c r="EO203" s="67"/>
      <c r="EP203" s="67">
        <v>0</v>
      </c>
      <c r="EQ203" s="67">
        <v>0</v>
      </c>
      <c r="ER203" s="67">
        <v>0</v>
      </c>
      <c r="ES203" s="67"/>
      <c r="ET203">
        <v>0</v>
      </c>
      <c r="EX203" s="67"/>
      <c r="EY203" s="67"/>
      <c r="EZ203" s="67"/>
      <c r="FA203" s="67">
        <v>0</v>
      </c>
      <c r="FB203" s="67"/>
      <c r="FC203" s="67"/>
      <c r="FD203" s="67"/>
      <c r="FE203" s="67"/>
      <c r="FF203" s="67"/>
      <c r="FG203" s="67"/>
      <c r="FH203" s="67"/>
      <c r="FI203" s="67" t="s">
        <v>1600</v>
      </c>
    </row>
    <row r="204" spans="2:165" x14ac:dyDescent="0.2">
      <c r="B204" s="67"/>
      <c r="C204" s="67" t="s">
        <v>1696</v>
      </c>
      <c r="D204" s="67" t="s">
        <v>630</v>
      </c>
      <c r="E204" s="67" t="s">
        <v>732</v>
      </c>
      <c r="F204" s="67" t="s">
        <v>766</v>
      </c>
      <c r="G204" s="67" t="s">
        <v>1597</v>
      </c>
      <c r="H204" s="67"/>
      <c r="I204" s="67" t="s">
        <v>41</v>
      </c>
      <c r="J204" s="67" t="s">
        <v>68</v>
      </c>
      <c r="K204" s="67" t="s">
        <v>1697</v>
      </c>
      <c r="L204" s="67" t="s">
        <v>787</v>
      </c>
      <c r="M204" s="67" t="s">
        <v>752</v>
      </c>
      <c r="N204" s="67" t="s">
        <v>1604</v>
      </c>
      <c r="O204" s="67" t="s">
        <v>1605</v>
      </c>
      <c r="P204" s="67"/>
      <c r="Q204" s="67">
        <v>0</v>
      </c>
      <c r="R204" s="67">
        <v>0</v>
      </c>
      <c r="S204" s="67">
        <v>0</v>
      </c>
      <c r="T204" s="67">
        <v>0</v>
      </c>
      <c r="U204" s="67">
        <v>0</v>
      </c>
      <c r="V204" s="67">
        <v>0</v>
      </c>
      <c r="W204" s="67">
        <v>0</v>
      </c>
      <c r="X204" s="67">
        <v>0</v>
      </c>
      <c r="Y204" s="67">
        <v>0</v>
      </c>
      <c r="Z204" s="67">
        <v>0</v>
      </c>
      <c r="AA204" s="67">
        <v>0</v>
      </c>
      <c r="AB204" s="67">
        <v>0</v>
      </c>
      <c r="AC204" s="67">
        <v>0</v>
      </c>
      <c r="AD204" s="67">
        <v>0</v>
      </c>
      <c r="AE204" s="67">
        <v>0</v>
      </c>
      <c r="AF204" s="67">
        <v>0</v>
      </c>
      <c r="AG204" s="67">
        <v>0</v>
      </c>
      <c r="AH204" s="67">
        <v>0</v>
      </c>
      <c r="AI204" s="67">
        <v>0</v>
      </c>
      <c r="AJ204" s="67">
        <v>0</v>
      </c>
      <c r="AK204" s="67">
        <v>0</v>
      </c>
      <c r="AL204" s="67">
        <v>0</v>
      </c>
      <c r="AM204" s="67">
        <v>0</v>
      </c>
      <c r="AN204" s="67">
        <v>0</v>
      </c>
      <c r="AO204" s="67">
        <v>0</v>
      </c>
      <c r="AP204" s="67">
        <v>0</v>
      </c>
      <c r="AQ204" s="67">
        <v>0</v>
      </c>
      <c r="AR204" s="67">
        <v>0</v>
      </c>
      <c r="AS204" s="67">
        <v>0</v>
      </c>
      <c r="AT204" s="67"/>
      <c r="AU204" s="67"/>
      <c r="AV204" s="67"/>
      <c r="AW204" s="67">
        <v>0</v>
      </c>
      <c r="AX204" s="67">
        <v>0</v>
      </c>
      <c r="AY204" s="67"/>
      <c r="AZ204" s="67"/>
      <c r="BA204" s="67"/>
      <c r="BB204" s="67"/>
      <c r="BC204" s="67"/>
      <c r="BD204" s="67"/>
      <c r="BE204" s="67"/>
      <c r="BG204" s="67"/>
      <c r="BH204" s="67"/>
      <c r="BI204" s="67"/>
      <c r="BJ204" s="67">
        <v>0</v>
      </c>
      <c r="BK204" s="67"/>
      <c r="BL204" s="67"/>
      <c r="BP204" s="67"/>
      <c r="BQ204" s="67">
        <v>0</v>
      </c>
      <c r="BR204" s="67"/>
      <c r="BS204" s="67"/>
      <c r="BT204" s="67">
        <v>0</v>
      </c>
      <c r="BU204" s="67"/>
      <c r="BV204" s="67"/>
      <c r="BW204" s="67">
        <v>0</v>
      </c>
      <c r="BX204" s="67">
        <v>0</v>
      </c>
      <c r="BY204" s="67">
        <v>0</v>
      </c>
      <c r="BZ204" s="67">
        <v>0</v>
      </c>
      <c r="CA204" s="67"/>
      <c r="CB204" s="67">
        <v>0</v>
      </c>
      <c r="CC204" s="67"/>
      <c r="CD204" s="67"/>
      <c r="CE204" s="67">
        <v>0</v>
      </c>
      <c r="CF204" s="67">
        <v>0</v>
      </c>
      <c r="CG204" s="67"/>
      <c r="CH204" s="67"/>
      <c r="CI204" s="67"/>
      <c r="CJ204" s="67"/>
      <c r="CK204" s="67">
        <v>0</v>
      </c>
      <c r="CL204" s="67">
        <v>0</v>
      </c>
      <c r="CM204" s="67"/>
      <c r="CN204" s="67"/>
      <c r="CO204" s="67">
        <v>0</v>
      </c>
      <c r="CP204" s="67">
        <v>0</v>
      </c>
      <c r="CQ204" s="67"/>
      <c r="CR204" s="67"/>
      <c r="CS204" s="67"/>
      <c r="CT204" s="67"/>
      <c r="CU204" s="67">
        <v>0</v>
      </c>
      <c r="CV204" s="67"/>
      <c r="CW204" s="67"/>
      <c r="CX204" s="67"/>
      <c r="CY204" s="67">
        <v>0</v>
      </c>
      <c r="CZ204" s="67"/>
      <c r="DA204" s="67"/>
      <c r="DB204" s="67"/>
      <c r="DC204" s="67"/>
      <c r="DF204" s="67"/>
      <c r="DG204" s="67">
        <v>0</v>
      </c>
      <c r="DH204" s="67">
        <v>0</v>
      </c>
      <c r="DI204" s="67">
        <v>0</v>
      </c>
      <c r="DJ204" s="67"/>
      <c r="DK204" s="67">
        <v>0</v>
      </c>
      <c r="DL204" s="67">
        <v>0</v>
      </c>
      <c r="DM204" s="67">
        <v>0</v>
      </c>
      <c r="DN204" s="67"/>
      <c r="DO204" s="67"/>
      <c r="DP204" s="67"/>
      <c r="DQ204" s="67">
        <v>0</v>
      </c>
      <c r="DR204" s="67">
        <v>0</v>
      </c>
      <c r="DS204" s="67"/>
      <c r="DT204" s="67"/>
      <c r="DU204" s="67">
        <v>0</v>
      </c>
      <c r="DV204" s="67">
        <v>0</v>
      </c>
      <c r="DW204" s="67">
        <v>0</v>
      </c>
      <c r="DX204" s="67">
        <v>0</v>
      </c>
      <c r="DY204" s="67"/>
      <c r="DZ204" s="67">
        <v>0</v>
      </c>
      <c r="EA204" s="67"/>
      <c r="EB204" s="67">
        <v>0</v>
      </c>
      <c r="EC204" s="67"/>
      <c r="ED204" s="67">
        <v>0</v>
      </c>
      <c r="EE204" s="67"/>
      <c r="EF204" s="67">
        <v>0</v>
      </c>
      <c r="EG204" s="67"/>
      <c r="EH204" s="67"/>
      <c r="EI204" s="67"/>
      <c r="EJ204" s="67"/>
      <c r="EK204" s="67"/>
      <c r="EL204" s="67"/>
      <c r="EM204" s="67"/>
      <c r="EN204" s="67"/>
      <c r="EO204" s="67"/>
      <c r="EP204" s="67">
        <v>0</v>
      </c>
      <c r="EQ204" s="67">
        <v>50</v>
      </c>
      <c r="ER204" s="67">
        <v>50</v>
      </c>
      <c r="ES204" s="67"/>
      <c r="ET204">
        <v>0</v>
      </c>
      <c r="EX204" s="67"/>
      <c r="EY204" s="67"/>
      <c r="EZ204" s="67"/>
      <c r="FA204" s="67">
        <v>0</v>
      </c>
      <c r="FB204" s="67"/>
      <c r="FC204" s="67"/>
      <c r="FD204" s="67"/>
      <c r="FE204" s="67"/>
      <c r="FF204" s="67"/>
      <c r="FG204" s="67"/>
      <c r="FH204" s="67"/>
      <c r="FI204" s="67" t="s">
        <v>1600</v>
      </c>
    </row>
    <row r="205" spans="2:165" ht="24" x14ac:dyDescent="0.2">
      <c r="B205" s="67" t="s">
        <v>631</v>
      </c>
      <c r="C205" s="67" t="s">
        <v>631</v>
      </c>
      <c r="D205" s="67" t="s">
        <v>632</v>
      </c>
      <c r="E205" s="67" t="s">
        <v>13</v>
      </c>
      <c r="F205" s="67" t="s">
        <v>1241</v>
      </c>
      <c r="G205" s="67" t="s">
        <v>1597</v>
      </c>
      <c r="H205" s="67"/>
      <c r="I205" s="67" t="s">
        <v>41</v>
      </c>
      <c r="J205" s="67" t="s">
        <v>74</v>
      </c>
      <c r="K205" s="67" t="s">
        <v>1246</v>
      </c>
      <c r="L205" s="67" t="s">
        <v>787</v>
      </c>
      <c r="M205" s="67" t="s">
        <v>752</v>
      </c>
      <c r="N205" s="67" t="s">
        <v>1607</v>
      </c>
      <c r="O205" s="67" t="s">
        <v>1599</v>
      </c>
      <c r="P205" s="67"/>
      <c r="Q205" s="67">
        <v>100</v>
      </c>
      <c r="R205" s="67">
        <v>0</v>
      </c>
      <c r="S205" s="67">
        <v>0</v>
      </c>
      <c r="T205" s="67">
        <v>0</v>
      </c>
      <c r="U205" s="67">
        <v>0</v>
      </c>
      <c r="V205" s="67">
        <v>0</v>
      </c>
      <c r="W205" s="67">
        <v>0</v>
      </c>
      <c r="X205" s="67">
        <v>0</v>
      </c>
      <c r="Y205" s="67">
        <v>0</v>
      </c>
      <c r="Z205" s="67">
        <v>0</v>
      </c>
      <c r="AA205" s="67">
        <v>0</v>
      </c>
      <c r="AB205" s="67">
        <v>0</v>
      </c>
      <c r="AC205" s="67">
        <v>0</v>
      </c>
      <c r="AD205" s="67">
        <v>0</v>
      </c>
      <c r="AE205" s="67">
        <v>0</v>
      </c>
      <c r="AF205" s="67">
        <v>0</v>
      </c>
      <c r="AG205" s="67">
        <v>0</v>
      </c>
      <c r="AH205" s="67">
        <v>0</v>
      </c>
      <c r="AI205" s="67">
        <v>0</v>
      </c>
      <c r="AJ205" s="67">
        <v>0</v>
      </c>
      <c r="AK205" s="67">
        <v>0</v>
      </c>
      <c r="AL205" s="67">
        <v>0</v>
      </c>
      <c r="AM205" s="67">
        <v>0</v>
      </c>
      <c r="AN205" s="67">
        <v>100</v>
      </c>
      <c r="AO205" s="67">
        <v>0</v>
      </c>
      <c r="AP205" s="67">
        <v>0</v>
      </c>
      <c r="AQ205" s="67">
        <v>0</v>
      </c>
      <c r="AR205" s="67">
        <v>0</v>
      </c>
      <c r="AS205" s="67">
        <v>0</v>
      </c>
      <c r="AT205" s="67"/>
      <c r="AU205" s="67"/>
      <c r="AV205" s="67"/>
      <c r="AW205" s="67">
        <v>0</v>
      </c>
      <c r="AX205" s="67">
        <v>0</v>
      </c>
      <c r="AY205" s="67"/>
      <c r="AZ205" s="67"/>
      <c r="BA205" s="67"/>
      <c r="BB205" s="67"/>
      <c r="BC205" s="67"/>
      <c r="BD205" s="67"/>
      <c r="BE205" s="67"/>
      <c r="BG205" s="67"/>
      <c r="BH205" s="67"/>
      <c r="BI205" s="67"/>
      <c r="BJ205" s="67">
        <v>0</v>
      </c>
      <c r="BK205" s="67"/>
      <c r="BL205" s="67"/>
      <c r="BP205" s="67"/>
      <c r="BQ205" s="67">
        <v>0</v>
      </c>
      <c r="BR205" s="67"/>
      <c r="BS205" s="67"/>
      <c r="BT205" s="67">
        <v>0</v>
      </c>
      <c r="BU205" s="67"/>
      <c r="BV205" s="67"/>
      <c r="BW205" s="67">
        <v>0</v>
      </c>
      <c r="BX205" s="67">
        <v>0</v>
      </c>
      <c r="BY205" s="67">
        <v>0</v>
      </c>
      <c r="BZ205" s="67">
        <v>0</v>
      </c>
      <c r="CA205" s="67"/>
      <c r="CB205" s="67">
        <v>0</v>
      </c>
      <c r="CC205" s="67"/>
      <c r="CD205" s="67"/>
      <c r="CE205" s="67">
        <v>0</v>
      </c>
      <c r="CF205" s="67">
        <v>0</v>
      </c>
      <c r="CG205" s="67"/>
      <c r="CH205" s="67"/>
      <c r="CI205" s="67"/>
      <c r="CJ205" s="67"/>
      <c r="CK205" s="67">
        <v>0</v>
      </c>
      <c r="CL205" s="67">
        <v>0</v>
      </c>
      <c r="CM205" s="67"/>
      <c r="CN205" s="67"/>
      <c r="CO205" s="67">
        <v>0</v>
      </c>
      <c r="CP205" s="67">
        <v>0</v>
      </c>
      <c r="CQ205" s="67"/>
      <c r="CR205" s="67"/>
      <c r="CS205" s="67"/>
      <c r="CT205" s="67"/>
      <c r="CU205" s="67">
        <v>0</v>
      </c>
      <c r="CV205" s="67"/>
      <c r="CW205" s="67"/>
      <c r="CX205" s="67"/>
      <c r="CY205" s="67">
        <v>0</v>
      </c>
      <c r="CZ205" s="67"/>
      <c r="DA205" s="67"/>
      <c r="DB205" s="67"/>
      <c r="DC205" s="67"/>
      <c r="DF205" s="67"/>
      <c r="DG205" s="67">
        <v>0</v>
      </c>
      <c r="DH205" s="67">
        <v>0</v>
      </c>
      <c r="DI205" s="67">
        <v>0</v>
      </c>
      <c r="DJ205" s="67"/>
      <c r="DK205" s="67">
        <v>0</v>
      </c>
      <c r="DL205" s="67">
        <v>0</v>
      </c>
      <c r="DM205" s="67">
        <v>0</v>
      </c>
      <c r="DN205" s="67"/>
      <c r="DO205" s="67"/>
      <c r="DP205" s="67"/>
      <c r="DQ205" s="67">
        <v>0</v>
      </c>
      <c r="DR205" s="67">
        <v>0</v>
      </c>
      <c r="DS205" s="67"/>
      <c r="DT205" s="67"/>
      <c r="DU205" s="67">
        <v>0</v>
      </c>
      <c r="DV205" s="67">
        <v>0</v>
      </c>
      <c r="DW205" s="67">
        <v>0</v>
      </c>
      <c r="DX205" s="67">
        <v>0</v>
      </c>
      <c r="DY205" s="67"/>
      <c r="DZ205" s="67">
        <v>0</v>
      </c>
      <c r="EA205" s="67"/>
      <c r="EB205" s="67">
        <v>0</v>
      </c>
      <c r="EC205" s="67"/>
      <c r="ED205" s="67">
        <v>0</v>
      </c>
      <c r="EE205" s="67"/>
      <c r="EF205" s="67">
        <v>0</v>
      </c>
      <c r="EG205" s="67"/>
      <c r="EH205" s="67"/>
      <c r="EI205" s="67"/>
      <c r="EJ205" s="67"/>
      <c r="EK205" s="67"/>
      <c r="EL205" s="67"/>
      <c r="EM205" s="67"/>
      <c r="EN205" s="67"/>
      <c r="EO205" s="67"/>
      <c r="EP205" s="67">
        <v>0</v>
      </c>
      <c r="EQ205" s="67">
        <v>0</v>
      </c>
      <c r="ER205" s="67">
        <v>0</v>
      </c>
      <c r="ES205" s="67"/>
      <c r="ET205">
        <v>0</v>
      </c>
      <c r="EX205" s="67"/>
      <c r="EY205" s="67"/>
      <c r="EZ205" s="67"/>
      <c r="FA205" s="67">
        <v>100</v>
      </c>
      <c r="FB205" s="67"/>
      <c r="FC205" s="67"/>
      <c r="FD205" s="67"/>
      <c r="FE205" s="67"/>
      <c r="FF205" s="67"/>
      <c r="FG205" s="67"/>
      <c r="FH205" s="67"/>
      <c r="FI205" s="67" t="s">
        <v>1600</v>
      </c>
    </row>
    <row r="206" spans="2:165" ht="24" x14ac:dyDescent="0.2">
      <c r="B206" s="67" t="s">
        <v>633</v>
      </c>
      <c r="C206" s="67" t="s">
        <v>633</v>
      </c>
      <c r="D206" s="67" t="s">
        <v>634</v>
      </c>
      <c r="E206" s="67" t="s">
        <v>13</v>
      </c>
      <c r="F206" s="67" t="s">
        <v>1241</v>
      </c>
      <c r="G206" s="67" t="s">
        <v>1597</v>
      </c>
      <c r="H206" s="67"/>
      <c r="I206" s="67" t="s">
        <v>41</v>
      </c>
      <c r="J206" s="67" t="s">
        <v>74</v>
      </c>
      <c r="K206" s="67" t="s">
        <v>1246</v>
      </c>
      <c r="L206" s="67" t="s">
        <v>787</v>
      </c>
      <c r="M206" s="67" t="s">
        <v>752</v>
      </c>
      <c r="N206" s="67" t="s">
        <v>1598</v>
      </c>
      <c r="O206" s="67" t="s">
        <v>1599</v>
      </c>
      <c r="P206" s="67"/>
      <c r="Q206" s="67">
        <v>400</v>
      </c>
      <c r="R206" s="67">
        <v>0</v>
      </c>
      <c r="S206" s="67">
        <v>0</v>
      </c>
      <c r="T206" s="67">
        <v>0</v>
      </c>
      <c r="U206" s="67">
        <v>0</v>
      </c>
      <c r="V206" s="67">
        <v>0</v>
      </c>
      <c r="W206" s="67">
        <v>0</v>
      </c>
      <c r="X206" s="67">
        <v>0</v>
      </c>
      <c r="Y206" s="67">
        <v>0</v>
      </c>
      <c r="Z206" s="67">
        <v>0</v>
      </c>
      <c r="AA206" s="67">
        <v>0</v>
      </c>
      <c r="AB206" s="67">
        <v>0</v>
      </c>
      <c r="AC206" s="67">
        <v>0</v>
      </c>
      <c r="AD206" s="67">
        <v>0</v>
      </c>
      <c r="AE206" s="67">
        <v>0</v>
      </c>
      <c r="AF206" s="67">
        <v>0</v>
      </c>
      <c r="AG206" s="67">
        <v>0</v>
      </c>
      <c r="AH206" s="67">
        <v>0</v>
      </c>
      <c r="AI206" s="67">
        <v>0</v>
      </c>
      <c r="AJ206" s="67">
        <v>0</v>
      </c>
      <c r="AK206" s="67">
        <v>0</v>
      </c>
      <c r="AL206" s="67">
        <v>0</v>
      </c>
      <c r="AM206" s="67">
        <v>0</v>
      </c>
      <c r="AN206" s="67">
        <v>400</v>
      </c>
      <c r="AO206" s="67">
        <v>0</v>
      </c>
      <c r="AP206" s="67">
        <v>0</v>
      </c>
      <c r="AQ206" s="67">
        <v>0</v>
      </c>
      <c r="AR206" s="67">
        <v>0</v>
      </c>
      <c r="AS206" s="67">
        <v>0</v>
      </c>
      <c r="AT206" s="67"/>
      <c r="AU206" s="67"/>
      <c r="AV206" s="67"/>
      <c r="AW206" s="67">
        <v>0</v>
      </c>
      <c r="AX206" s="67">
        <v>0</v>
      </c>
      <c r="AY206" s="67"/>
      <c r="AZ206" s="67"/>
      <c r="BA206" s="67"/>
      <c r="BB206" s="67"/>
      <c r="BC206" s="67"/>
      <c r="BD206" s="67"/>
      <c r="BE206" s="67"/>
      <c r="BG206" s="67"/>
      <c r="BH206" s="67"/>
      <c r="BI206" s="67"/>
      <c r="BJ206" s="67">
        <v>0</v>
      </c>
      <c r="BK206" s="67"/>
      <c r="BL206" s="67"/>
      <c r="BP206" s="67"/>
      <c r="BQ206" s="67">
        <v>0</v>
      </c>
      <c r="BR206" s="67"/>
      <c r="BS206" s="67"/>
      <c r="BT206" s="67">
        <v>0</v>
      </c>
      <c r="BU206" s="67"/>
      <c r="BV206" s="67"/>
      <c r="BW206" s="67">
        <v>0</v>
      </c>
      <c r="BX206" s="67">
        <v>0</v>
      </c>
      <c r="BY206" s="67">
        <v>0</v>
      </c>
      <c r="BZ206" s="67">
        <v>0</v>
      </c>
      <c r="CA206" s="67"/>
      <c r="CB206" s="67">
        <v>0</v>
      </c>
      <c r="CC206" s="67"/>
      <c r="CD206" s="67"/>
      <c r="CE206" s="67">
        <v>0</v>
      </c>
      <c r="CF206" s="67">
        <v>0</v>
      </c>
      <c r="CG206" s="67"/>
      <c r="CH206" s="67"/>
      <c r="CI206" s="67"/>
      <c r="CJ206" s="67"/>
      <c r="CK206" s="67">
        <v>0</v>
      </c>
      <c r="CL206" s="67">
        <v>0</v>
      </c>
      <c r="CM206" s="67"/>
      <c r="CN206" s="67"/>
      <c r="CO206" s="67">
        <v>0</v>
      </c>
      <c r="CP206" s="67">
        <v>0</v>
      </c>
      <c r="CQ206" s="67"/>
      <c r="CR206" s="67"/>
      <c r="CS206" s="67"/>
      <c r="CT206" s="67"/>
      <c r="CU206" s="67">
        <v>0</v>
      </c>
      <c r="CV206" s="67"/>
      <c r="CW206" s="67"/>
      <c r="CX206" s="67"/>
      <c r="CY206" s="67">
        <v>0</v>
      </c>
      <c r="CZ206" s="67"/>
      <c r="DA206" s="67"/>
      <c r="DB206" s="67"/>
      <c r="DC206" s="67"/>
      <c r="DF206" s="67"/>
      <c r="DG206" s="67">
        <v>0</v>
      </c>
      <c r="DH206" s="67">
        <v>0</v>
      </c>
      <c r="DI206" s="67">
        <v>0</v>
      </c>
      <c r="DJ206" s="67"/>
      <c r="DK206" s="67">
        <v>0</v>
      </c>
      <c r="DL206" s="67">
        <v>0</v>
      </c>
      <c r="DM206" s="67">
        <v>0</v>
      </c>
      <c r="DN206" s="67"/>
      <c r="DO206" s="67"/>
      <c r="DP206" s="67"/>
      <c r="DQ206" s="67">
        <v>0</v>
      </c>
      <c r="DR206" s="67">
        <v>0</v>
      </c>
      <c r="DS206" s="67"/>
      <c r="DT206" s="67"/>
      <c r="DU206" s="67">
        <v>0</v>
      </c>
      <c r="DV206" s="67">
        <v>0</v>
      </c>
      <c r="DW206" s="67">
        <v>0</v>
      </c>
      <c r="DX206" s="67">
        <v>0</v>
      </c>
      <c r="DY206" s="67"/>
      <c r="DZ206" s="67">
        <v>0</v>
      </c>
      <c r="EA206" s="67"/>
      <c r="EB206" s="67">
        <v>0</v>
      </c>
      <c r="EC206" s="67"/>
      <c r="ED206" s="67">
        <v>0</v>
      </c>
      <c r="EE206" s="67"/>
      <c r="EF206" s="67">
        <v>0</v>
      </c>
      <c r="EG206" s="67"/>
      <c r="EH206" s="67"/>
      <c r="EI206" s="67"/>
      <c r="EJ206" s="67"/>
      <c r="EK206" s="67"/>
      <c r="EL206" s="67"/>
      <c r="EM206" s="67"/>
      <c r="EN206" s="67"/>
      <c r="EO206" s="67"/>
      <c r="EP206" s="67">
        <v>0</v>
      </c>
      <c r="EQ206" s="67">
        <v>0</v>
      </c>
      <c r="ER206" s="67">
        <v>0</v>
      </c>
      <c r="ES206" s="67"/>
      <c r="ET206">
        <v>0</v>
      </c>
      <c r="EX206" s="67"/>
      <c r="EY206" s="67"/>
      <c r="EZ206" s="67"/>
      <c r="FA206" s="67">
        <v>400</v>
      </c>
      <c r="FB206" s="67"/>
      <c r="FC206" s="67"/>
      <c r="FD206" s="67"/>
      <c r="FE206" s="67"/>
      <c r="FF206" s="67"/>
      <c r="FG206" s="67"/>
      <c r="FH206" s="67"/>
      <c r="FI206" s="67" t="s">
        <v>1600</v>
      </c>
    </row>
    <row r="207" spans="2:165" ht="24" x14ac:dyDescent="0.2">
      <c r="B207" s="67" t="s">
        <v>635</v>
      </c>
      <c r="C207" s="67" t="s">
        <v>635</v>
      </c>
      <c r="D207" s="67" t="s">
        <v>636</v>
      </c>
      <c r="E207" s="67" t="s">
        <v>13</v>
      </c>
      <c r="F207" s="67" t="s">
        <v>1241</v>
      </c>
      <c r="G207" s="67" t="s">
        <v>1597</v>
      </c>
      <c r="H207" s="67"/>
      <c r="I207" s="67" t="s">
        <v>41</v>
      </c>
      <c r="J207" s="67" t="s">
        <v>74</v>
      </c>
      <c r="K207" s="67" t="s">
        <v>1246</v>
      </c>
      <c r="L207" s="67" t="s">
        <v>787</v>
      </c>
      <c r="M207" s="67" t="s">
        <v>752</v>
      </c>
      <c r="N207" s="67" t="s">
        <v>1598</v>
      </c>
      <c r="O207" s="67" t="s">
        <v>1599</v>
      </c>
      <c r="P207" s="67"/>
      <c r="Q207" s="67">
        <v>100</v>
      </c>
      <c r="R207" s="67">
        <v>0</v>
      </c>
      <c r="S207" s="67">
        <v>0</v>
      </c>
      <c r="T207" s="67">
        <v>0</v>
      </c>
      <c r="U207" s="67">
        <v>0</v>
      </c>
      <c r="V207" s="67">
        <v>0</v>
      </c>
      <c r="W207" s="67">
        <v>0</v>
      </c>
      <c r="X207" s="67">
        <v>0</v>
      </c>
      <c r="Y207" s="67">
        <v>0</v>
      </c>
      <c r="Z207" s="67">
        <v>0</v>
      </c>
      <c r="AA207" s="67">
        <v>0</v>
      </c>
      <c r="AB207" s="67">
        <v>0</v>
      </c>
      <c r="AC207" s="67">
        <v>0</v>
      </c>
      <c r="AD207" s="67">
        <v>0</v>
      </c>
      <c r="AE207" s="67">
        <v>0</v>
      </c>
      <c r="AF207" s="67">
        <v>0</v>
      </c>
      <c r="AG207" s="67">
        <v>0</v>
      </c>
      <c r="AH207" s="67">
        <v>0</v>
      </c>
      <c r="AI207" s="67">
        <v>0</v>
      </c>
      <c r="AJ207" s="67">
        <v>0</v>
      </c>
      <c r="AK207" s="67">
        <v>0</v>
      </c>
      <c r="AL207" s="67">
        <v>0</v>
      </c>
      <c r="AM207" s="67">
        <v>0</v>
      </c>
      <c r="AN207" s="67">
        <v>100</v>
      </c>
      <c r="AO207" s="67">
        <v>0</v>
      </c>
      <c r="AP207" s="67">
        <v>0</v>
      </c>
      <c r="AQ207" s="67">
        <v>0</v>
      </c>
      <c r="AR207" s="67">
        <v>0</v>
      </c>
      <c r="AS207" s="67">
        <v>0</v>
      </c>
      <c r="AT207" s="67"/>
      <c r="AU207" s="67"/>
      <c r="AV207" s="67"/>
      <c r="AW207" s="67">
        <v>0</v>
      </c>
      <c r="AX207" s="67">
        <v>0</v>
      </c>
      <c r="AY207" s="67"/>
      <c r="AZ207" s="67"/>
      <c r="BA207" s="67"/>
      <c r="BB207" s="67"/>
      <c r="BC207" s="67"/>
      <c r="BD207" s="67"/>
      <c r="BE207" s="67"/>
      <c r="BG207" s="67"/>
      <c r="BH207" s="67"/>
      <c r="BI207" s="67"/>
      <c r="BJ207" s="67">
        <v>0</v>
      </c>
      <c r="BK207" s="67"/>
      <c r="BL207" s="67"/>
      <c r="BP207" s="67"/>
      <c r="BQ207" s="67">
        <v>0</v>
      </c>
      <c r="BR207" s="67"/>
      <c r="BS207" s="67"/>
      <c r="BT207" s="67">
        <v>0</v>
      </c>
      <c r="BU207" s="67"/>
      <c r="BV207" s="67"/>
      <c r="BW207" s="67">
        <v>0</v>
      </c>
      <c r="BX207" s="67">
        <v>0</v>
      </c>
      <c r="BY207" s="67">
        <v>0</v>
      </c>
      <c r="BZ207" s="67">
        <v>0</v>
      </c>
      <c r="CA207" s="67"/>
      <c r="CB207" s="67">
        <v>0</v>
      </c>
      <c r="CC207" s="67"/>
      <c r="CD207" s="67"/>
      <c r="CE207" s="67">
        <v>0</v>
      </c>
      <c r="CF207" s="67">
        <v>0</v>
      </c>
      <c r="CG207" s="67"/>
      <c r="CH207" s="67"/>
      <c r="CI207" s="67"/>
      <c r="CJ207" s="67"/>
      <c r="CK207" s="67">
        <v>0</v>
      </c>
      <c r="CL207" s="67">
        <v>0</v>
      </c>
      <c r="CM207" s="67"/>
      <c r="CN207" s="67"/>
      <c r="CO207" s="67">
        <v>0</v>
      </c>
      <c r="CP207" s="67">
        <v>0</v>
      </c>
      <c r="CQ207" s="67"/>
      <c r="CR207" s="67"/>
      <c r="CS207" s="67"/>
      <c r="CT207" s="67"/>
      <c r="CU207" s="67">
        <v>0</v>
      </c>
      <c r="CV207" s="67"/>
      <c r="CW207" s="67"/>
      <c r="CX207" s="67"/>
      <c r="CY207" s="67">
        <v>0</v>
      </c>
      <c r="CZ207" s="67"/>
      <c r="DA207" s="67"/>
      <c r="DB207" s="67"/>
      <c r="DC207" s="67"/>
      <c r="DF207" s="67"/>
      <c r="DG207" s="67">
        <v>0</v>
      </c>
      <c r="DH207" s="67">
        <v>0</v>
      </c>
      <c r="DI207" s="67">
        <v>0</v>
      </c>
      <c r="DJ207" s="67"/>
      <c r="DK207" s="67">
        <v>0</v>
      </c>
      <c r="DL207" s="67">
        <v>0</v>
      </c>
      <c r="DM207" s="67">
        <v>0</v>
      </c>
      <c r="DN207" s="67"/>
      <c r="DO207" s="67"/>
      <c r="DP207" s="67"/>
      <c r="DQ207" s="67">
        <v>0</v>
      </c>
      <c r="DR207" s="67">
        <v>0</v>
      </c>
      <c r="DS207" s="67"/>
      <c r="DT207" s="67"/>
      <c r="DU207" s="67">
        <v>0</v>
      </c>
      <c r="DV207" s="67">
        <v>0</v>
      </c>
      <c r="DW207" s="67">
        <v>0</v>
      </c>
      <c r="DX207" s="67">
        <v>0</v>
      </c>
      <c r="DY207" s="67"/>
      <c r="DZ207" s="67">
        <v>0</v>
      </c>
      <c r="EA207" s="67"/>
      <c r="EB207" s="67">
        <v>0</v>
      </c>
      <c r="EC207" s="67"/>
      <c r="ED207" s="67">
        <v>0</v>
      </c>
      <c r="EE207" s="67"/>
      <c r="EF207" s="67">
        <v>0</v>
      </c>
      <c r="EG207" s="67"/>
      <c r="EH207" s="67"/>
      <c r="EI207" s="67"/>
      <c r="EJ207" s="67"/>
      <c r="EK207" s="67"/>
      <c r="EL207" s="67"/>
      <c r="EM207" s="67"/>
      <c r="EN207" s="67"/>
      <c r="EO207" s="67"/>
      <c r="EP207" s="67">
        <v>0</v>
      </c>
      <c r="EQ207" s="67">
        <v>0</v>
      </c>
      <c r="ER207" s="67">
        <v>0</v>
      </c>
      <c r="ES207" s="67"/>
      <c r="ET207">
        <v>0</v>
      </c>
      <c r="EX207" s="67"/>
      <c r="EY207" s="67"/>
      <c r="EZ207" s="67"/>
      <c r="FA207" s="67">
        <v>100</v>
      </c>
      <c r="FB207" s="67"/>
      <c r="FC207" s="67"/>
      <c r="FD207" s="67"/>
      <c r="FE207" s="67"/>
      <c r="FF207" s="67"/>
      <c r="FG207" s="67"/>
      <c r="FH207" s="67"/>
      <c r="FI207" s="67" t="s">
        <v>1600</v>
      </c>
    </row>
    <row r="208" spans="2:165" ht="24" x14ac:dyDescent="0.2">
      <c r="B208" s="67" t="s">
        <v>637</v>
      </c>
      <c r="C208" s="67" t="s">
        <v>637</v>
      </c>
      <c r="D208" s="67" t="s">
        <v>638</v>
      </c>
      <c r="E208" s="67" t="s">
        <v>13</v>
      </c>
      <c r="F208" s="67" t="s">
        <v>1241</v>
      </c>
      <c r="G208" s="67" t="s">
        <v>1597</v>
      </c>
      <c r="H208" s="67"/>
      <c r="I208" s="67" t="s">
        <v>22</v>
      </c>
      <c r="J208" s="67" t="s">
        <v>74</v>
      </c>
      <c r="K208" s="67" t="s">
        <v>1246</v>
      </c>
      <c r="L208" s="67" t="s">
        <v>787</v>
      </c>
      <c r="M208" s="67" t="s">
        <v>752</v>
      </c>
      <c r="N208" s="67" t="s">
        <v>1601</v>
      </c>
      <c r="O208" s="67" t="s">
        <v>1599</v>
      </c>
      <c r="P208" s="67"/>
      <c r="Q208" s="67">
        <v>810</v>
      </c>
      <c r="R208" s="67">
        <v>0</v>
      </c>
      <c r="S208" s="67">
        <v>0</v>
      </c>
      <c r="T208" s="67">
        <v>0</v>
      </c>
      <c r="U208" s="67">
        <v>0</v>
      </c>
      <c r="V208" s="67">
        <v>0</v>
      </c>
      <c r="W208" s="67">
        <v>0</v>
      </c>
      <c r="X208" s="67">
        <v>0</v>
      </c>
      <c r="Y208" s="67">
        <v>0</v>
      </c>
      <c r="Z208" s="67">
        <v>0</v>
      </c>
      <c r="AA208" s="67">
        <v>0</v>
      </c>
      <c r="AB208" s="67">
        <v>0</v>
      </c>
      <c r="AC208" s="67">
        <v>0</v>
      </c>
      <c r="AD208" s="67">
        <v>0</v>
      </c>
      <c r="AE208" s="67">
        <v>0</v>
      </c>
      <c r="AF208" s="67">
        <v>0</v>
      </c>
      <c r="AG208" s="67">
        <v>0</v>
      </c>
      <c r="AH208" s="67">
        <v>0</v>
      </c>
      <c r="AI208" s="67">
        <v>0</v>
      </c>
      <c r="AJ208" s="67">
        <v>0</v>
      </c>
      <c r="AK208" s="67">
        <v>0</v>
      </c>
      <c r="AL208" s="67">
        <v>0</v>
      </c>
      <c r="AM208" s="67">
        <v>0</v>
      </c>
      <c r="AN208" s="67">
        <v>210</v>
      </c>
      <c r="AO208" s="67">
        <v>600</v>
      </c>
      <c r="AP208" s="67">
        <v>0</v>
      </c>
      <c r="AQ208" s="67">
        <v>0</v>
      </c>
      <c r="AR208" s="67">
        <v>0</v>
      </c>
      <c r="AS208" s="67">
        <v>0</v>
      </c>
      <c r="AT208" s="67"/>
      <c r="AU208" s="67"/>
      <c r="AV208" s="67"/>
      <c r="AW208" s="67">
        <v>0</v>
      </c>
      <c r="AX208" s="67">
        <v>0</v>
      </c>
      <c r="AY208" s="67"/>
      <c r="AZ208" s="67"/>
      <c r="BA208" s="67"/>
      <c r="BB208" s="67"/>
      <c r="BC208" s="67"/>
      <c r="BD208" s="67"/>
      <c r="BE208" s="67"/>
      <c r="BG208" s="67"/>
      <c r="BH208" s="67"/>
      <c r="BI208" s="67"/>
      <c r="BJ208" s="67">
        <v>0</v>
      </c>
      <c r="BK208" s="67"/>
      <c r="BL208" s="67"/>
      <c r="BP208" s="67"/>
      <c r="BQ208" s="67">
        <v>0</v>
      </c>
      <c r="BR208" s="67"/>
      <c r="BS208" s="67"/>
      <c r="BT208" s="67">
        <v>0</v>
      </c>
      <c r="BU208" s="67"/>
      <c r="BV208" s="67"/>
      <c r="BW208" s="67">
        <v>0</v>
      </c>
      <c r="BX208" s="67">
        <v>0</v>
      </c>
      <c r="BY208" s="67">
        <v>0</v>
      </c>
      <c r="BZ208" s="67">
        <v>0</v>
      </c>
      <c r="CA208" s="67"/>
      <c r="CB208" s="67">
        <v>0</v>
      </c>
      <c r="CC208" s="67"/>
      <c r="CD208" s="67"/>
      <c r="CE208" s="67">
        <v>0</v>
      </c>
      <c r="CF208" s="67">
        <v>0</v>
      </c>
      <c r="CG208" s="67"/>
      <c r="CH208" s="67"/>
      <c r="CI208" s="67"/>
      <c r="CJ208" s="67"/>
      <c r="CK208" s="67">
        <v>0</v>
      </c>
      <c r="CL208" s="67">
        <v>0</v>
      </c>
      <c r="CM208" s="67"/>
      <c r="CN208" s="67"/>
      <c r="CO208" s="67">
        <v>0</v>
      </c>
      <c r="CP208" s="67">
        <v>0</v>
      </c>
      <c r="CQ208" s="67"/>
      <c r="CR208" s="67"/>
      <c r="CS208" s="67"/>
      <c r="CT208" s="67"/>
      <c r="CU208" s="67">
        <v>0</v>
      </c>
      <c r="CV208" s="67"/>
      <c r="CW208" s="67"/>
      <c r="CX208" s="67"/>
      <c r="CY208" s="67">
        <v>0</v>
      </c>
      <c r="CZ208" s="67"/>
      <c r="DA208" s="67"/>
      <c r="DB208" s="67"/>
      <c r="DC208" s="67"/>
      <c r="DF208" s="67"/>
      <c r="DG208" s="67">
        <v>0</v>
      </c>
      <c r="DH208" s="67">
        <v>0</v>
      </c>
      <c r="DI208" s="67">
        <v>0</v>
      </c>
      <c r="DJ208" s="67"/>
      <c r="DK208" s="67">
        <v>0</v>
      </c>
      <c r="DL208" s="67">
        <v>0</v>
      </c>
      <c r="DM208" s="67">
        <v>0</v>
      </c>
      <c r="DN208" s="67"/>
      <c r="DO208" s="67"/>
      <c r="DP208" s="67"/>
      <c r="DQ208" s="67">
        <v>0</v>
      </c>
      <c r="DR208" s="67">
        <v>0</v>
      </c>
      <c r="DS208" s="67"/>
      <c r="DT208" s="67"/>
      <c r="DU208" s="67">
        <v>0</v>
      </c>
      <c r="DV208" s="67">
        <v>0</v>
      </c>
      <c r="DW208" s="67">
        <v>0</v>
      </c>
      <c r="DX208" s="67">
        <v>0</v>
      </c>
      <c r="DY208" s="67"/>
      <c r="DZ208" s="67">
        <v>0</v>
      </c>
      <c r="EA208" s="67"/>
      <c r="EB208" s="67">
        <v>0</v>
      </c>
      <c r="EC208" s="67"/>
      <c r="ED208" s="67">
        <v>0</v>
      </c>
      <c r="EE208" s="67"/>
      <c r="EF208" s="67">
        <v>0</v>
      </c>
      <c r="EG208" s="67"/>
      <c r="EH208" s="67"/>
      <c r="EI208" s="67"/>
      <c r="EJ208" s="67"/>
      <c r="EK208" s="67"/>
      <c r="EL208" s="67"/>
      <c r="EM208" s="67"/>
      <c r="EN208" s="67"/>
      <c r="EO208" s="67"/>
      <c r="EP208" s="67">
        <v>0</v>
      </c>
      <c r="EQ208" s="67">
        <v>0</v>
      </c>
      <c r="ER208" s="67">
        <v>0</v>
      </c>
      <c r="ES208" s="67"/>
      <c r="ET208">
        <v>0</v>
      </c>
      <c r="EX208" s="67"/>
      <c r="EY208" s="67"/>
      <c r="EZ208" s="67"/>
      <c r="FA208" s="67">
        <v>810</v>
      </c>
      <c r="FB208" s="67"/>
      <c r="FC208" s="67"/>
      <c r="FD208" s="67"/>
      <c r="FE208" s="67"/>
      <c r="FF208" s="67"/>
      <c r="FG208" s="67"/>
      <c r="FH208" s="67"/>
      <c r="FI208" s="67" t="s">
        <v>1600</v>
      </c>
    </row>
    <row r="209" spans="2:165" ht="24" x14ac:dyDescent="0.2">
      <c r="B209" s="67" t="s">
        <v>639</v>
      </c>
      <c r="C209" s="67" t="s">
        <v>639</v>
      </c>
      <c r="D209" s="67" t="s">
        <v>640</v>
      </c>
      <c r="E209" s="67" t="s">
        <v>13</v>
      </c>
      <c r="F209" s="67" t="s">
        <v>1241</v>
      </c>
      <c r="G209" s="67" t="s">
        <v>1597</v>
      </c>
      <c r="H209" s="67"/>
      <c r="I209" s="67" t="s">
        <v>41</v>
      </c>
      <c r="J209" s="67" t="s">
        <v>74</v>
      </c>
      <c r="K209" s="67" t="s">
        <v>1246</v>
      </c>
      <c r="L209" s="67" t="s">
        <v>787</v>
      </c>
      <c r="M209" s="67" t="s">
        <v>752</v>
      </c>
      <c r="N209" s="67" t="s">
        <v>1601</v>
      </c>
      <c r="O209" s="67" t="s">
        <v>1599</v>
      </c>
      <c r="P209" s="67"/>
      <c r="Q209" s="67">
        <v>270</v>
      </c>
      <c r="R209" s="67">
        <v>0</v>
      </c>
      <c r="S209" s="67">
        <v>0</v>
      </c>
      <c r="T209" s="67">
        <v>0</v>
      </c>
      <c r="U209" s="67">
        <v>0</v>
      </c>
      <c r="V209" s="67">
        <v>0</v>
      </c>
      <c r="W209" s="67">
        <v>0</v>
      </c>
      <c r="X209" s="67">
        <v>0</v>
      </c>
      <c r="Y209" s="67">
        <v>0</v>
      </c>
      <c r="Z209" s="67">
        <v>0</v>
      </c>
      <c r="AA209" s="67">
        <v>0</v>
      </c>
      <c r="AB209" s="67">
        <v>0</v>
      </c>
      <c r="AC209" s="67">
        <v>0</v>
      </c>
      <c r="AD209" s="67">
        <v>0</v>
      </c>
      <c r="AE209" s="67">
        <v>0</v>
      </c>
      <c r="AF209" s="67">
        <v>0</v>
      </c>
      <c r="AG209" s="67">
        <v>0</v>
      </c>
      <c r="AH209" s="67">
        <v>0</v>
      </c>
      <c r="AI209" s="67">
        <v>0</v>
      </c>
      <c r="AJ209" s="67">
        <v>0</v>
      </c>
      <c r="AK209" s="67">
        <v>0</v>
      </c>
      <c r="AL209" s="67">
        <v>0</v>
      </c>
      <c r="AM209" s="67">
        <v>0</v>
      </c>
      <c r="AN209" s="67">
        <v>270</v>
      </c>
      <c r="AO209" s="67">
        <v>0</v>
      </c>
      <c r="AP209" s="67">
        <v>0</v>
      </c>
      <c r="AQ209" s="67">
        <v>0</v>
      </c>
      <c r="AR209" s="67">
        <v>0</v>
      </c>
      <c r="AS209" s="67">
        <v>0</v>
      </c>
      <c r="AT209" s="67"/>
      <c r="AU209" s="67"/>
      <c r="AV209" s="67"/>
      <c r="AW209" s="67">
        <v>0</v>
      </c>
      <c r="AX209" s="67">
        <v>0</v>
      </c>
      <c r="AY209" s="67"/>
      <c r="AZ209" s="67"/>
      <c r="BA209" s="67"/>
      <c r="BB209" s="67"/>
      <c r="BC209" s="67"/>
      <c r="BD209" s="67"/>
      <c r="BE209" s="67"/>
      <c r="BG209" s="67"/>
      <c r="BH209" s="67"/>
      <c r="BI209" s="67"/>
      <c r="BJ209" s="67">
        <v>0</v>
      </c>
      <c r="BK209" s="67"/>
      <c r="BL209" s="67"/>
      <c r="BP209" s="67"/>
      <c r="BQ209" s="67">
        <v>0</v>
      </c>
      <c r="BR209" s="67"/>
      <c r="BS209" s="67"/>
      <c r="BT209" s="67">
        <v>0</v>
      </c>
      <c r="BU209" s="67"/>
      <c r="BV209" s="67"/>
      <c r="BW209" s="67">
        <v>0</v>
      </c>
      <c r="BX209" s="67">
        <v>0</v>
      </c>
      <c r="BY209" s="67">
        <v>0</v>
      </c>
      <c r="BZ209" s="67">
        <v>0</v>
      </c>
      <c r="CA209" s="67"/>
      <c r="CB209" s="67">
        <v>0</v>
      </c>
      <c r="CC209" s="67"/>
      <c r="CD209" s="67"/>
      <c r="CE209" s="67">
        <v>0</v>
      </c>
      <c r="CF209" s="67">
        <v>0</v>
      </c>
      <c r="CG209" s="67"/>
      <c r="CH209" s="67"/>
      <c r="CI209" s="67"/>
      <c r="CJ209" s="67"/>
      <c r="CK209" s="67">
        <v>0</v>
      </c>
      <c r="CL209" s="67">
        <v>0</v>
      </c>
      <c r="CM209" s="67"/>
      <c r="CN209" s="67"/>
      <c r="CO209" s="67">
        <v>0</v>
      </c>
      <c r="CP209" s="67">
        <v>0</v>
      </c>
      <c r="CQ209" s="67"/>
      <c r="CR209" s="67"/>
      <c r="CS209" s="67"/>
      <c r="CT209" s="67"/>
      <c r="CU209" s="67">
        <v>0</v>
      </c>
      <c r="CV209" s="67"/>
      <c r="CW209" s="67"/>
      <c r="CX209" s="67"/>
      <c r="CY209" s="67">
        <v>0</v>
      </c>
      <c r="CZ209" s="67"/>
      <c r="DA209" s="67"/>
      <c r="DB209" s="67"/>
      <c r="DC209" s="67"/>
      <c r="DF209" s="67"/>
      <c r="DG209" s="67">
        <v>0</v>
      </c>
      <c r="DH209" s="67">
        <v>0</v>
      </c>
      <c r="DI209" s="67">
        <v>0</v>
      </c>
      <c r="DJ209" s="67"/>
      <c r="DK209" s="67">
        <v>0</v>
      </c>
      <c r="DL209" s="67">
        <v>0</v>
      </c>
      <c r="DM209" s="67">
        <v>0</v>
      </c>
      <c r="DN209" s="67"/>
      <c r="DO209" s="67"/>
      <c r="DP209" s="67"/>
      <c r="DQ209" s="67">
        <v>0</v>
      </c>
      <c r="DR209" s="67">
        <v>0</v>
      </c>
      <c r="DS209" s="67"/>
      <c r="DT209" s="67"/>
      <c r="DU209" s="67">
        <v>0</v>
      </c>
      <c r="DV209" s="67">
        <v>0</v>
      </c>
      <c r="DW209" s="67">
        <v>0</v>
      </c>
      <c r="DX209" s="67">
        <v>0</v>
      </c>
      <c r="DY209" s="67"/>
      <c r="DZ209" s="67">
        <v>0</v>
      </c>
      <c r="EA209" s="67"/>
      <c r="EB209" s="67">
        <v>0</v>
      </c>
      <c r="EC209" s="67"/>
      <c r="ED209" s="67">
        <v>0</v>
      </c>
      <c r="EE209" s="67"/>
      <c r="EF209" s="67">
        <v>0</v>
      </c>
      <c r="EG209" s="67"/>
      <c r="EH209" s="67"/>
      <c r="EI209" s="67"/>
      <c r="EJ209" s="67"/>
      <c r="EK209" s="67"/>
      <c r="EL209" s="67"/>
      <c r="EM209" s="67"/>
      <c r="EN209" s="67"/>
      <c r="EO209" s="67"/>
      <c r="EP209" s="67">
        <v>0</v>
      </c>
      <c r="EQ209" s="67">
        <v>0</v>
      </c>
      <c r="ER209" s="67">
        <v>0</v>
      </c>
      <c r="ES209" s="67"/>
      <c r="ET209">
        <v>0</v>
      </c>
      <c r="EX209" s="67"/>
      <c r="EY209" s="67"/>
      <c r="EZ209" s="67"/>
      <c r="FA209" s="67">
        <v>270</v>
      </c>
      <c r="FB209" s="67"/>
      <c r="FC209" s="67"/>
      <c r="FD209" s="67"/>
      <c r="FE209" s="67"/>
      <c r="FF209" s="67"/>
      <c r="FG209" s="67"/>
      <c r="FH209" s="67"/>
      <c r="FI209" s="67" t="s">
        <v>1600</v>
      </c>
    </row>
    <row r="210" spans="2:165" ht="24" x14ac:dyDescent="0.2">
      <c r="B210" s="67" t="s">
        <v>641</v>
      </c>
      <c r="C210" s="67" t="s">
        <v>641</v>
      </c>
      <c r="D210" s="67" t="s">
        <v>642</v>
      </c>
      <c r="E210" s="67" t="s">
        <v>13</v>
      </c>
      <c r="F210" s="67" t="s">
        <v>1241</v>
      </c>
      <c r="G210" s="67" t="s">
        <v>1597</v>
      </c>
      <c r="H210" s="67"/>
      <c r="I210" s="67" t="s">
        <v>22</v>
      </c>
      <c r="J210" s="67" t="s">
        <v>74</v>
      </c>
      <c r="K210" s="67" t="s">
        <v>1246</v>
      </c>
      <c r="L210" s="67" t="s">
        <v>787</v>
      </c>
      <c r="M210" s="67" t="s">
        <v>752</v>
      </c>
      <c r="N210" s="67" t="s">
        <v>1607</v>
      </c>
      <c r="O210" s="67" t="s">
        <v>1599</v>
      </c>
      <c r="P210" s="67"/>
      <c r="Q210" s="67">
        <v>60</v>
      </c>
      <c r="R210" s="67">
        <v>0</v>
      </c>
      <c r="S210" s="67">
        <v>0</v>
      </c>
      <c r="T210" s="67">
        <v>0</v>
      </c>
      <c r="U210" s="67">
        <v>0</v>
      </c>
      <c r="V210" s="67">
        <v>0</v>
      </c>
      <c r="W210" s="67">
        <v>0</v>
      </c>
      <c r="X210" s="67">
        <v>0</v>
      </c>
      <c r="Y210" s="67">
        <v>0</v>
      </c>
      <c r="Z210" s="67">
        <v>0</v>
      </c>
      <c r="AA210" s="67">
        <v>0</v>
      </c>
      <c r="AB210" s="67">
        <v>0</v>
      </c>
      <c r="AC210" s="67">
        <v>0</v>
      </c>
      <c r="AD210" s="67">
        <v>0</v>
      </c>
      <c r="AE210" s="67">
        <v>0</v>
      </c>
      <c r="AF210" s="67">
        <v>0</v>
      </c>
      <c r="AG210" s="67">
        <v>0</v>
      </c>
      <c r="AH210" s="67">
        <v>0</v>
      </c>
      <c r="AI210" s="67">
        <v>0</v>
      </c>
      <c r="AJ210" s="67">
        <v>0</v>
      </c>
      <c r="AK210" s="67">
        <v>0</v>
      </c>
      <c r="AL210" s="67">
        <v>0</v>
      </c>
      <c r="AM210" s="67">
        <v>0</v>
      </c>
      <c r="AN210" s="67">
        <v>60</v>
      </c>
      <c r="AO210" s="67">
        <v>0</v>
      </c>
      <c r="AP210" s="67">
        <v>0</v>
      </c>
      <c r="AQ210" s="67">
        <v>0</v>
      </c>
      <c r="AR210" s="67">
        <v>0</v>
      </c>
      <c r="AS210" s="67">
        <v>0</v>
      </c>
      <c r="AT210" s="67"/>
      <c r="AU210" s="67"/>
      <c r="AV210" s="67"/>
      <c r="AW210" s="67">
        <v>0</v>
      </c>
      <c r="AX210" s="67">
        <v>0</v>
      </c>
      <c r="AY210" s="67"/>
      <c r="AZ210" s="67"/>
      <c r="BA210" s="67"/>
      <c r="BB210" s="67"/>
      <c r="BC210" s="67"/>
      <c r="BD210" s="67"/>
      <c r="BE210" s="67"/>
      <c r="BG210" s="67"/>
      <c r="BH210" s="67"/>
      <c r="BI210" s="67"/>
      <c r="BJ210" s="67">
        <v>0</v>
      </c>
      <c r="BK210" s="67"/>
      <c r="BL210" s="67"/>
      <c r="BP210" s="67"/>
      <c r="BQ210" s="67">
        <v>0</v>
      </c>
      <c r="BR210" s="67"/>
      <c r="BS210" s="67"/>
      <c r="BT210" s="67">
        <v>0</v>
      </c>
      <c r="BU210" s="67"/>
      <c r="BV210" s="67"/>
      <c r="BW210" s="67">
        <v>0</v>
      </c>
      <c r="BX210" s="67">
        <v>0</v>
      </c>
      <c r="BY210" s="67">
        <v>0</v>
      </c>
      <c r="BZ210" s="67">
        <v>0</v>
      </c>
      <c r="CA210" s="67"/>
      <c r="CB210" s="67">
        <v>0</v>
      </c>
      <c r="CC210" s="67"/>
      <c r="CD210" s="67"/>
      <c r="CE210" s="67">
        <v>0</v>
      </c>
      <c r="CF210" s="67">
        <v>0</v>
      </c>
      <c r="CG210" s="67"/>
      <c r="CH210" s="67"/>
      <c r="CI210" s="67"/>
      <c r="CJ210" s="67"/>
      <c r="CK210" s="67">
        <v>0</v>
      </c>
      <c r="CL210" s="67">
        <v>0</v>
      </c>
      <c r="CM210" s="67"/>
      <c r="CN210" s="67"/>
      <c r="CO210" s="67">
        <v>0</v>
      </c>
      <c r="CP210" s="67">
        <v>0</v>
      </c>
      <c r="CQ210" s="67"/>
      <c r="CR210" s="67"/>
      <c r="CS210" s="67"/>
      <c r="CT210" s="67"/>
      <c r="CU210" s="67">
        <v>0</v>
      </c>
      <c r="CV210" s="67"/>
      <c r="CW210" s="67"/>
      <c r="CX210" s="67"/>
      <c r="CY210" s="67">
        <v>0</v>
      </c>
      <c r="CZ210" s="67"/>
      <c r="DA210" s="67"/>
      <c r="DB210" s="67"/>
      <c r="DC210" s="67"/>
      <c r="DF210" s="67"/>
      <c r="DG210" s="67">
        <v>0</v>
      </c>
      <c r="DH210" s="67">
        <v>0</v>
      </c>
      <c r="DI210" s="67">
        <v>0</v>
      </c>
      <c r="DJ210" s="67"/>
      <c r="DK210" s="67">
        <v>200</v>
      </c>
      <c r="DL210" s="67">
        <v>0</v>
      </c>
      <c r="DM210" s="67">
        <v>0</v>
      </c>
      <c r="DN210" s="67"/>
      <c r="DO210" s="67"/>
      <c r="DP210" s="67"/>
      <c r="DQ210" s="67">
        <v>200</v>
      </c>
      <c r="DR210" s="67">
        <v>52</v>
      </c>
      <c r="DS210" s="67"/>
      <c r="DT210" s="67"/>
      <c r="DU210" s="67">
        <v>0</v>
      </c>
      <c r="DV210" s="67">
        <v>0</v>
      </c>
      <c r="DW210" s="67">
        <v>148</v>
      </c>
      <c r="DX210" s="67">
        <v>0</v>
      </c>
      <c r="DY210" s="67"/>
      <c r="DZ210" s="67">
        <v>0</v>
      </c>
      <c r="EA210" s="67"/>
      <c r="EB210" s="67">
        <v>0</v>
      </c>
      <c r="EC210" s="67"/>
      <c r="ED210" s="67">
        <v>0</v>
      </c>
      <c r="EE210" s="67"/>
      <c r="EF210" s="67">
        <v>0</v>
      </c>
      <c r="EG210" s="67"/>
      <c r="EH210" s="67"/>
      <c r="EI210" s="67"/>
      <c r="EJ210" s="67"/>
      <c r="EK210" s="67"/>
      <c r="EL210" s="67"/>
      <c r="EM210" s="67"/>
      <c r="EN210" s="67"/>
      <c r="EO210" s="67"/>
      <c r="EP210" s="67">
        <v>0</v>
      </c>
      <c r="EQ210" s="67">
        <v>0</v>
      </c>
      <c r="ER210" s="67">
        <v>0</v>
      </c>
      <c r="ES210" s="67"/>
      <c r="ET210">
        <v>0</v>
      </c>
      <c r="EX210" s="67"/>
      <c r="EY210" s="67"/>
      <c r="EZ210" s="67"/>
      <c r="FA210" s="67">
        <v>260</v>
      </c>
      <c r="FB210" s="67"/>
      <c r="FC210" s="67"/>
      <c r="FD210" s="67"/>
      <c r="FE210" s="67"/>
      <c r="FF210" s="67"/>
      <c r="FG210" s="67"/>
      <c r="FH210" s="67"/>
      <c r="FI210" s="67" t="s">
        <v>1600</v>
      </c>
    </row>
    <row r="211" spans="2:165" ht="24" x14ac:dyDescent="0.2">
      <c r="B211" s="67" t="s">
        <v>305</v>
      </c>
      <c r="C211" s="67" t="s">
        <v>1698</v>
      </c>
      <c r="D211" s="67" t="s">
        <v>643</v>
      </c>
      <c r="E211" s="67" t="s">
        <v>13</v>
      </c>
      <c r="F211" s="67" t="s">
        <v>1241</v>
      </c>
      <c r="G211" s="67" t="s">
        <v>1597</v>
      </c>
      <c r="H211" s="67"/>
      <c r="I211" s="67" t="s">
        <v>41</v>
      </c>
      <c r="J211" s="67" t="s">
        <v>74</v>
      </c>
      <c r="K211" s="67" t="s">
        <v>1699</v>
      </c>
      <c r="L211" s="67" t="s">
        <v>787</v>
      </c>
      <c r="M211" s="67" t="s">
        <v>752</v>
      </c>
      <c r="N211" s="67" t="s">
        <v>1607</v>
      </c>
      <c r="O211" s="67" t="s">
        <v>1599</v>
      </c>
      <c r="P211" s="67"/>
      <c r="Q211" s="67">
        <v>0</v>
      </c>
      <c r="R211" s="67">
        <v>0</v>
      </c>
      <c r="S211" s="67">
        <v>0</v>
      </c>
      <c r="T211" s="67">
        <v>0</v>
      </c>
      <c r="U211" s="67">
        <v>0</v>
      </c>
      <c r="V211" s="67">
        <v>0</v>
      </c>
      <c r="W211" s="67">
        <v>0</v>
      </c>
      <c r="X211" s="67">
        <v>0</v>
      </c>
      <c r="Y211" s="67">
        <v>0</v>
      </c>
      <c r="Z211" s="67">
        <v>0</v>
      </c>
      <c r="AA211" s="67">
        <v>0</v>
      </c>
      <c r="AB211" s="67">
        <v>0</v>
      </c>
      <c r="AC211" s="67">
        <v>0</v>
      </c>
      <c r="AD211" s="67">
        <v>0</v>
      </c>
      <c r="AE211" s="67">
        <v>0</v>
      </c>
      <c r="AF211" s="67">
        <v>0</v>
      </c>
      <c r="AG211" s="67">
        <v>0</v>
      </c>
      <c r="AH211" s="67">
        <v>0</v>
      </c>
      <c r="AI211" s="67">
        <v>0</v>
      </c>
      <c r="AJ211" s="67">
        <v>0</v>
      </c>
      <c r="AK211" s="67">
        <v>0</v>
      </c>
      <c r="AL211" s="67">
        <v>0</v>
      </c>
      <c r="AM211" s="67">
        <v>0</v>
      </c>
      <c r="AN211" s="67">
        <v>0</v>
      </c>
      <c r="AO211" s="67">
        <v>0</v>
      </c>
      <c r="AP211" s="67">
        <v>0</v>
      </c>
      <c r="AQ211" s="67">
        <v>0</v>
      </c>
      <c r="AR211" s="67">
        <v>0</v>
      </c>
      <c r="AS211" s="67">
        <v>0</v>
      </c>
      <c r="AT211" s="67"/>
      <c r="AU211" s="67"/>
      <c r="AV211" s="67"/>
      <c r="AW211" s="67">
        <v>0</v>
      </c>
      <c r="AX211" s="67">
        <v>0</v>
      </c>
      <c r="AY211" s="67"/>
      <c r="AZ211" s="67"/>
      <c r="BA211" s="67"/>
      <c r="BB211" s="67"/>
      <c r="BC211" s="67"/>
      <c r="BD211" s="67"/>
      <c r="BE211" s="67"/>
      <c r="BG211" s="67"/>
      <c r="BH211" s="67"/>
      <c r="BI211" s="67"/>
      <c r="BJ211" s="67">
        <v>0</v>
      </c>
      <c r="BK211" s="67"/>
      <c r="BL211" s="67"/>
      <c r="BP211" s="67"/>
      <c r="BQ211" s="67">
        <v>0</v>
      </c>
      <c r="BR211" s="67"/>
      <c r="BS211" s="67"/>
      <c r="BT211" s="67">
        <v>0</v>
      </c>
      <c r="BU211" s="67"/>
      <c r="BV211" s="67"/>
      <c r="BW211" s="67">
        <v>0</v>
      </c>
      <c r="BX211" s="67">
        <v>0</v>
      </c>
      <c r="BY211" s="67">
        <v>0</v>
      </c>
      <c r="BZ211" s="67">
        <v>0</v>
      </c>
      <c r="CA211" s="67"/>
      <c r="CB211" s="67">
        <v>0</v>
      </c>
      <c r="CC211" s="67"/>
      <c r="CD211" s="67"/>
      <c r="CE211" s="67">
        <v>0</v>
      </c>
      <c r="CF211" s="67">
        <v>0</v>
      </c>
      <c r="CG211" s="67"/>
      <c r="CH211" s="67"/>
      <c r="CI211" s="67"/>
      <c r="CJ211" s="67"/>
      <c r="CK211" s="67">
        <v>0</v>
      </c>
      <c r="CL211" s="67">
        <v>0</v>
      </c>
      <c r="CM211" s="67"/>
      <c r="CN211" s="67"/>
      <c r="CO211" s="67">
        <v>0</v>
      </c>
      <c r="CP211" s="67">
        <v>0</v>
      </c>
      <c r="CQ211" s="67"/>
      <c r="CR211" s="67"/>
      <c r="CS211" s="67"/>
      <c r="CT211" s="67"/>
      <c r="CU211" s="67">
        <v>0</v>
      </c>
      <c r="CV211" s="67"/>
      <c r="CW211" s="67"/>
      <c r="CX211" s="67"/>
      <c r="CY211" s="67">
        <v>0</v>
      </c>
      <c r="CZ211" s="67"/>
      <c r="DA211" s="67"/>
      <c r="DB211" s="67"/>
      <c r="DC211" s="67"/>
      <c r="DF211" s="67"/>
      <c r="DG211" s="67">
        <v>0</v>
      </c>
      <c r="DH211" s="67">
        <v>0</v>
      </c>
      <c r="DI211" s="67">
        <v>0</v>
      </c>
      <c r="DJ211" s="67"/>
      <c r="DK211" s="67">
        <v>0</v>
      </c>
      <c r="DL211" s="67">
        <v>0</v>
      </c>
      <c r="DM211" s="67">
        <v>0</v>
      </c>
      <c r="DN211" s="67"/>
      <c r="DO211" s="67"/>
      <c r="DP211" s="67"/>
      <c r="DQ211" s="67">
        <v>0</v>
      </c>
      <c r="DR211" s="67">
        <v>0</v>
      </c>
      <c r="DS211" s="67"/>
      <c r="DT211" s="67"/>
      <c r="DU211" s="67">
        <v>0</v>
      </c>
      <c r="DV211" s="67">
        <v>0</v>
      </c>
      <c r="DW211" s="67">
        <v>0</v>
      </c>
      <c r="DX211" s="67">
        <v>0</v>
      </c>
      <c r="DY211" s="67"/>
      <c r="DZ211" s="67">
        <v>0</v>
      </c>
      <c r="EA211" s="67"/>
      <c r="EB211" s="67">
        <v>0</v>
      </c>
      <c r="EC211" s="67"/>
      <c r="ED211" s="67">
        <v>0</v>
      </c>
      <c r="EE211" s="67"/>
      <c r="EF211" s="67">
        <v>0</v>
      </c>
      <c r="EG211" s="67"/>
      <c r="EH211" s="67"/>
      <c r="EI211" s="67"/>
      <c r="EJ211" s="67"/>
      <c r="EK211" s="67"/>
      <c r="EL211" s="67"/>
      <c r="EM211" s="67"/>
      <c r="EN211" s="67"/>
      <c r="EO211" s="67"/>
      <c r="EP211" s="67">
        <v>0</v>
      </c>
      <c r="EQ211" s="67">
        <v>0</v>
      </c>
      <c r="ER211" s="67">
        <v>0</v>
      </c>
      <c r="ES211" s="67"/>
      <c r="ET211">
        <v>0</v>
      </c>
      <c r="EX211" s="67"/>
      <c r="EY211" s="67"/>
      <c r="EZ211" s="67"/>
      <c r="FA211" s="67">
        <v>0</v>
      </c>
      <c r="FB211" s="67"/>
      <c r="FC211" s="67"/>
      <c r="FD211" s="67"/>
      <c r="FE211" s="67"/>
      <c r="FF211" s="67"/>
      <c r="FG211" s="67"/>
      <c r="FH211" s="67"/>
      <c r="FI211" s="67" t="s">
        <v>1600</v>
      </c>
    </row>
    <row r="212" spans="2:165" ht="24" x14ac:dyDescent="0.2">
      <c r="B212" s="67" t="s">
        <v>305</v>
      </c>
      <c r="C212" s="67" t="s">
        <v>1700</v>
      </c>
      <c r="D212" s="67" t="s">
        <v>644</v>
      </c>
      <c r="E212" s="67" t="s">
        <v>13</v>
      </c>
      <c r="F212" s="67" t="s">
        <v>750</v>
      </c>
      <c r="G212" s="67" t="s">
        <v>1597</v>
      </c>
      <c r="H212" s="67"/>
      <c r="I212" s="67" t="s">
        <v>22</v>
      </c>
      <c r="J212" s="67" t="s">
        <v>64</v>
      </c>
      <c r="K212" s="67" t="s">
        <v>1617</v>
      </c>
      <c r="L212" s="67" t="s">
        <v>787</v>
      </c>
      <c r="M212" s="67" t="s">
        <v>752</v>
      </c>
      <c r="N212" s="67" t="s">
        <v>1604</v>
      </c>
      <c r="O212" s="67" t="s">
        <v>1599</v>
      </c>
      <c r="P212" s="67"/>
      <c r="Q212" s="67">
        <v>0</v>
      </c>
      <c r="R212" s="67">
        <v>0</v>
      </c>
      <c r="S212" s="67">
        <v>0</v>
      </c>
      <c r="T212" s="67">
        <v>0</v>
      </c>
      <c r="U212" s="67">
        <v>0</v>
      </c>
      <c r="V212" s="67">
        <v>0</v>
      </c>
      <c r="W212" s="67">
        <v>0</v>
      </c>
      <c r="X212" s="67">
        <v>0</v>
      </c>
      <c r="Y212" s="67">
        <v>0</v>
      </c>
      <c r="Z212" s="67">
        <v>0</v>
      </c>
      <c r="AA212" s="67">
        <v>0</v>
      </c>
      <c r="AB212" s="67">
        <v>0</v>
      </c>
      <c r="AC212" s="67">
        <v>0</v>
      </c>
      <c r="AD212" s="67">
        <v>0</v>
      </c>
      <c r="AE212" s="67">
        <v>0</v>
      </c>
      <c r="AF212" s="67">
        <v>0</v>
      </c>
      <c r="AG212" s="67">
        <v>0</v>
      </c>
      <c r="AH212" s="67">
        <v>0</v>
      </c>
      <c r="AI212" s="67">
        <v>0</v>
      </c>
      <c r="AJ212" s="67">
        <v>0</v>
      </c>
      <c r="AK212" s="67">
        <v>0</v>
      </c>
      <c r="AL212" s="67">
        <v>0</v>
      </c>
      <c r="AM212" s="67">
        <v>0</v>
      </c>
      <c r="AN212" s="67">
        <v>0</v>
      </c>
      <c r="AO212" s="67">
        <v>0</v>
      </c>
      <c r="AP212" s="67">
        <v>0</v>
      </c>
      <c r="AQ212" s="67">
        <v>0</v>
      </c>
      <c r="AR212" s="67">
        <v>0</v>
      </c>
      <c r="AS212" s="67">
        <v>0</v>
      </c>
      <c r="AT212" s="67"/>
      <c r="AU212" s="67"/>
      <c r="AV212" s="67"/>
      <c r="AW212" s="67">
        <v>0</v>
      </c>
      <c r="AX212" s="67">
        <v>0</v>
      </c>
      <c r="AY212" s="67"/>
      <c r="AZ212" s="67"/>
      <c r="BA212" s="67"/>
      <c r="BB212" s="67"/>
      <c r="BC212" s="67"/>
      <c r="BD212" s="67"/>
      <c r="BE212" s="67"/>
      <c r="BG212" s="67"/>
      <c r="BH212" s="67"/>
      <c r="BI212" s="67"/>
      <c r="BJ212" s="67">
        <v>0</v>
      </c>
      <c r="BK212" s="67"/>
      <c r="BL212" s="67"/>
      <c r="BP212" s="67"/>
      <c r="BQ212" s="67">
        <v>0</v>
      </c>
      <c r="BR212" s="67"/>
      <c r="BS212" s="67"/>
      <c r="BT212" s="67">
        <v>0</v>
      </c>
      <c r="BU212" s="67"/>
      <c r="BV212" s="67"/>
      <c r="BW212" s="67">
        <v>0</v>
      </c>
      <c r="BX212" s="67">
        <v>0</v>
      </c>
      <c r="BY212" s="67">
        <v>0</v>
      </c>
      <c r="BZ212" s="67">
        <v>0</v>
      </c>
      <c r="CA212" s="67"/>
      <c r="CB212" s="67">
        <v>0</v>
      </c>
      <c r="CC212" s="67"/>
      <c r="CD212" s="67"/>
      <c r="CE212" s="67">
        <v>0</v>
      </c>
      <c r="CF212" s="67">
        <v>0</v>
      </c>
      <c r="CG212" s="67"/>
      <c r="CH212" s="67"/>
      <c r="CI212" s="67"/>
      <c r="CJ212" s="67"/>
      <c r="CK212" s="67">
        <v>0</v>
      </c>
      <c r="CL212" s="67">
        <v>0</v>
      </c>
      <c r="CM212" s="67"/>
      <c r="CN212" s="67"/>
      <c r="CO212" s="67">
        <v>0</v>
      </c>
      <c r="CP212" s="67">
        <v>0</v>
      </c>
      <c r="CQ212" s="67"/>
      <c r="CR212" s="67"/>
      <c r="CS212" s="67"/>
      <c r="CT212" s="67"/>
      <c r="CU212" s="67">
        <v>0</v>
      </c>
      <c r="CV212" s="67"/>
      <c r="CW212" s="67"/>
      <c r="CX212" s="67"/>
      <c r="CY212" s="67">
        <v>0</v>
      </c>
      <c r="CZ212" s="67"/>
      <c r="DA212" s="67"/>
      <c r="DB212" s="67"/>
      <c r="DC212" s="67"/>
      <c r="DF212" s="67"/>
      <c r="DG212" s="67">
        <v>0</v>
      </c>
      <c r="DH212" s="67">
        <v>0</v>
      </c>
      <c r="DI212" s="67">
        <v>0</v>
      </c>
      <c r="DJ212" s="67"/>
      <c r="DK212" s="67">
        <v>0</v>
      </c>
      <c r="DL212" s="67">
        <v>0</v>
      </c>
      <c r="DM212" s="67">
        <v>0</v>
      </c>
      <c r="DN212" s="67"/>
      <c r="DO212" s="67"/>
      <c r="DP212" s="67"/>
      <c r="DQ212" s="67">
        <v>0</v>
      </c>
      <c r="DR212" s="67">
        <v>0</v>
      </c>
      <c r="DS212" s="67"/>
      <c r="DT212" s="67"/>
      <c r="DU212" s="67">
        <v>0</v>
      </c>
      <c r="DV212" s="67">
        <v>0</v>
      </c>
      <c r="DW212" s="67">
        <v>0</v>
      </c>
      <c r="DX212" s="67">
        <v>0</v>
      </c>
      <c r="DY212" s="67"/>
      <c r="DZ212" s="67">
        <v>0</v>
      </c>
      <c r="EA212" s="67"/>
      <c r="EB212" s="67">
        <v>0</v>
      </c>
      <c r="EC212" s="67"/>
      <c r="ED212" s="67">
        <v>0</v>
      </c>
      <c r="EE212" s="67"/>
      <c r="EF212" s="67">
        <v>0</v>
      </c>
      <c r="EG212" s="67"/>
      <c r="EH212" s="67"/>
      <c r="EI212" s="67"/>
      <c r="EJ212" s="67"/>
      <c r="EK212" s="67"/>
      <c r="EL212" s="67"/>
      <c r="EM212" s="67"/>
      <c r="EN212" s="67"/>
      <c r="EO212" s="67"/>
      <c r="EP212" s="67">
        <v>0</v>
      </c>
      <c r="EQ212" s="67">
        <v>0</v>
      </c>
      <c r="ER212" s="67">
        <v>0</v>
      </c>
      <c r="ES212" s="67"/>
      <c r="ET212">
        <v>0</v>
      </c>
      <c r="EX212" s="67"/>
      <c r="EY212" s="67"/>
      <c r="EZ212" s="67"/>
      <c r="FA212" s="67">
        <v>0</v>
      </c>
      <c r="FB212" s="67"/>
      <c r="FC212" s="67"/>
      <c r="FD212" s="67"/>
      <c r="FE212" s="67"/>
      <c r="FF212" s="67"/>
      <c r="FG212" s="67"/>
      <c r="FH212" s="67"/>
      <c r="FI212" s="67" t="s">
        <v>1600</v>
      </c>
    </row>
    <row r="213" spans="2:165" x14ac:dyDescent="0.2">
      <c r="B213" s="67" t="s">
        <v>645</v>
      </c>
      <c r="C213" s="67" t="s">
        <v>645</v>
      </c>
      <c r="D213" s="67" t="s">
        <v>646</v>
      </c>
      <c r="E213" s="67" t="s">
        <v>305</v>
      </c>
      <c r="F213" s="67" t="s">
        <v>1618</v>
      </c>
      <c r="G213" s="67" t="s">
        <v>1597</v>
      </c>
      <c r="H213" s="67"/>
      <c r="I213" s="67" t="s">
        <v>41</v>
      </c>
      <c r="J213" s="67" t="s">
        <v>64</v>
      </c>
      <c r="K213" s="67" t="s">
        <v>1701</v>
      </c>
      <c r="L213" s="67" t="s">
        <v>787</v>
      </c>
      <c r="M213" s="67" t="s">
        <v>752</v>
      </c>
      <c r="N213" s="67" t="s">
        <v>1601</v>
      </c>
      <c r="O213" s="67" t="s">
        <v>1608</v>
      </c>
      <c r="P213" s="67"/>
      <c r="Q213" s="67">
        <v>100</v>
      </c>
      <c r="R213" s="67">
        <v>0</v>
      </c>
      <c r="S213" s="67">
        <v>0</v>
      </c>
      <c r="T213" s="67">
        <v>0</v>
      </c>
      <c r="U213" s="67">
        <v>0</v>
      </c>
      <c r="V213" s="67">
        <v>0</v>
      </c>
      <c r="W213" s="67">
        <v>0</v>
      </c>
      <c r="X213" s="67">
        <v>0</v>
      </c>
      <c r="Y213" s="67">
        <v>0</v>
      </c>
      <c r="Z213" s="67">
        <v>0</v>
      </c>
      <c r="AA213" s="67">
        <v>0</v>
      </c>
      <c r="AB213" s="67">
        <v>0</v>
      </c>
      <c r="AC213" s="67">
        <v>0</v>
      </c>
      <c r="AD213" s="67">
        <v>0</v>
      </c>
      <c r="AE213" s="67">
        <v>0</v>
      </c>
      <c r="AF213" s="67">
        <v>0</v>
      </c>
      <c r="AG213" s="67">
        <v>0</v>
      </c>
      <c r="AH213" s="67">
        <v>0</v>
      </c>
      <c r="AI213" s="67">
        <v>0</v>
      </c>
      <c r="AJ213" s="67">
        <v>0</v>
      </c>
      <c r="AK213" s="67">
        <v>0</v>
      </c>
      <c r="AL213" s="67">
        <v>100</v>
      </c>
      <c r="AM213" s="67">
        <v>0</v>
      </c>
      <c r="AN213" s="67">
        <v>0</v>
      </c>
      <c r="AO213" s="67">
        <v>0</v>
      </c>
      <c r="AP213" s="67">
        <v>0</v>
      </c>
      <c r="AQ213" s="67">
        <v>0</v>
      </c>
      <c r="AR213" s="67">
        <v>0</v>
      </c>
      <c r="AS213" s="67">
        <v>0</v>
      </c>
      <c r="AT213" s="67"/>
      <c r="AU213" s="67"/>
      <c r="AV213" s="67"/>
      <c r="AW213" s="67">
        <v>0</v>
      </c>
      <c r="AX213" s="67">
        <v>0</v>
      </c>
      <c r="AY213" s="67"/>
      <c r="AZ213" s="67"/>
      <c r="BA213" s="67"/>
      <c r="BB213" s="67"/>
      <c r="BC213" s="67"/>
      <c r="BD213" s="67"/>
      <c r="BE213" s="67"/>
      <c r="BG213" s="67"/>
      <c r="BH213" s="67"/>
      <c r="BI213" s="67"/>
      <c r="BJ213" s="67">
        <v>0</v>
      </c>
      <c r="BK213" s="67"/>
      <c r="BL213" s="67"/>
      <c r="BP213" s="67"/>
      <c r="BQ213" s="67">
        <v>0</v>
      </c>
      <c r="BR213" s="67"/>
      <c r="BS213" s="67"/>
      <c r="BT213" s="67">
        <v>0</v>
      </c>
      <c r="BU213" s="67"/>
      <c r="BV213" s="67"/>
      <c r="BW213" s="67">
        <v>0</v>
      </c>
      <c r="BX213" s="67">
        <v>0</v>
      </c>
      <c r="BY213" s="67">
        <v>0</v>
      </c>
      <c r="BZ213" s="67">
        <v>0</v>
      </c>
      <c r="CA213" s="67"/>
      <c r="CB213" s="67">
        <v>0</v>
      </c>
      <c r="CC213" s="67"/>
      <c r="CD213" s="67"/>
      <c r="CE213" s="67">
        <v>0</v>
      </c>
      <c r="CF213" s="67">
        <v>0</v>
      </c>
      <c r="CG213" s="67"/>
      <c r="CH213" s="67"/>
      <c r="CI213" s="67"/>
      <c r="CJ213" s="67"/>
      <c r="CK213" s="67">
        <v>0</v>
      </c>
      <c r="CL213" s="67">
        <v>0</v>
      </c>
      <c r="CM213" s="67"/>
      <c r="CN213" s="67"/>
      <c r="CO213" s="67">
        <v>0</v>
      </c>
      <c r="CP213" s="67">
        <v>0</v>
      </c>
      <c r="CQ213" s="67"/>
      <c r="CR213" s="67"/>
      <c r="CS213" s="67"/>
      <c r="CT213" s="67"/>
      <c r="CU213" s="67">
        <v>0</v>
      </c>
      <c r="CV213" s="67"/>
      <c r="CW213" s="67"/>
      <c r="CX213" s="67"/>
      <c r="CY213" s="67">
        <v>0</v>
      </c>
      <c r="CZ213" s="67"/>
      <c r="DA213" s="67"/>
      <c r="DB213" s="67"/>
      <c r="DC213" s="67"/>
      <c r="DF213" s="67"/>
      <c r="DG213" s="67">
        <v>0</v>
      </c>
      <c r="DH213" s="67">
        <v>0</v>
      </c>
      <c r="DI213" s="67">
        <v>0</v>
      </c>
      <c r="DJ213" s="67"/>
      <c r="DK213" s="67">
        <v>0</v>
      </c>
      <c r="DL213" s="67">
        <v>0</v>
      </c>
      <c r="DM213" s="67">
        <v>0</v>
      </c>
      <c r="DN213" s="67"/>
      <c r="DO213" s="67"/>
      <c r="DP213" s="67"/>
      <c r="DQ213" s="67">
        <v>0</v>
      </c>
      <c r="DR213" s="67">
        <v>0</v>
      </c>
      <c r="DS213" s="67"/>
      <c r="DT213" s="67"/>
      <c r="DU213" s="67">
        <v>0</v>
      </c>
      <c r="DV213" s="67">
        <v>0</v>
      </c>
      <c r="DW213" s="67">
        <v>0</v>
      </c>
      <c r="DX213" s="67">
        <v>0</v>
      </c>
      <c r="DY213" s="67"/>
      <c r="DZ213" s="67">
        <v>0</v>
      </c>
      <c r="EA213" s="67"/>
      <c r="EB213" s="67">
        <v>0</v>
      </c>
      <c r="EC213" s="67"/>
      <c r="ED213" s="67">
        <v>0</v>
      </c>
      <c r="EE213" s="67"/>
      <c r="EF213" s="67">
        <v>0</v>
      </c>
      <c r="EG213" s="67"/>
      <c r="EH213" s="67"/>
      <c r="EI213" s="67"/>
      <c r="EJ213" s="67"/>
      <c r="EK213" s="67"/>
      <c r="EL213" s="67"/>
      <c r="EM213" s="67"/>
      <c r="EN213" s="67"/>
      <c r="EO213" s="67"/>
      <c r="EP213" s="67">
        <v>0</v>
      </c>
      <c r="EQ213" s="67">
        <v>0</v>
      </c>
      <c r="ER213" s="67">
        <v>0</v>
      </c>
      <c r="ES213" s="67"/>
      <c r="ET213">
        <v>0</v>
      </c>
      <c r="EX213" s="67"/>
      <c r="EY213" s="67"/>
      <c r="EZ213" s="67"/>
      <c r="FA213" s="67">
        <v>100</v>
      </c>
      <c r="FB213" s="67"/>
      <c r="FC213" s="67"/>
      <c r="FD213" s="67"/>
      <c r="FE213" s="67"/>
      <c r="FF213" s="67"/>
      <c r="FG213" s="67"/>
      <c r="FH213" s="67"/>
      <c r="FI213" s="67" t="s">
        <v>1600</v>
      </c>
    </row>
    <row r="214" spans="2:165" x14ac:dyDescent="0.2">
      <c r="B214" s="67" t="s">
        <v>647</v>
      </c>
      <c r="C214" s="67" t="s">
        <v>647</v>
      </c>
      <c r="D214" s="67" t="s">
        <v>648</v>
      </c>
      <c r="E214" s="67" t="s">
        <v>305</v>
      </c>
      <c r="F214" s="67" t="s">
        <v>1618</v>
      </c>
      <c r="G214" s="67" t="s">
        <v>1597</v>
      </c>
      <c r="H214" s="67"/>
      <c r="I214" s="67" t="s">
        <v>41</v>
      </c>
      <c r="J214" s="67" t="s">
        <v>64</v>
      </c>
      <c r="K214" s="67" t="s">
        <v>1701</v>
      </c>
      <c r="L214" s="67" t="s">
        <v>787</v>
      </c>
      <c r="M214" s="67" t="s">
        <v>752</v>
      </c>
      <c r="N214" s="67" t="s">
        <v>1598</v>
      </c>
      <c r="O214" s="67" t="s">
        <v>1599</v>
      </c>
      <c r="P214" s="67"/>
      <c r="Q214" s="67">
        <v>300</v>
      </c>
      <c r="R214" s="67">
        <v>0</v>
      </c>
      <c r="S214" s="67">
        <v>0</v>
      </c>
      <c r="T214" s="67">
        <v>0</v>
      </c>
      <c r="U214" s="67">
        <v>0</v>
      </c>
      <c r="V214" s="67">
        <v>0</v>
      </c>
      <c r="W214" s="67">
        <v>0</v>
      </c>
      <c r="X214" s="67">
        <v>0</v>
      </c>
      <c r="Y214" s="67">
        <v>0</v>
      </c>
      <c r="Z214" s="67">
        <v>0</v>
      </c>
      <c r="AA214" s="67">
        <v>0</v>
      </c>
      <c r="AB214" s="67">
        <v>0</v>
      </c>
      <c r="AC214" s="67">
        <v>0</v>
      </c>
      <c r="AD214" s="67">
        <v>0</v>
      </c>
      <c r="AE214" s="67">
        <v>0</v>
      </c>
      <c r="AF214" s="67">
        <v>0</v>
      </c>
      <c r="AG214" s="67">
        <v>0</v>
      </c>
      <c r="AH214" s="67">
        <v>0</v>
      </c>
      <c r="AI214" s="67">
        <v>0</v>
      </c>
      <c r="AJ214" s="67">
        <v>0</v>
      </c>
      <c r="AK214" s="67">
        <v>0</v>
      </c>
      <c r="AL214" s="67">
        <v>300</v>
      </c>
      <c r="AM214" s="67">
        <v>0</v>
      </c>
      <c r="AN214" s="67">
        <v>0</v>
      </c>
      <c r="AO214" s="67">
        <v>0</v>
      </c>
      <c r="AP214" s="67">
        <v>0</v>
      </c>
      <c r="AQ214" s="67">
        <v>0</v>
      </c>
      <c r="AR214" s="67">
        <v>0</v>
      </c>
      <c r="AS214" s="67">
        <v>0</v>
      </c>
      <c r="AT214" s="67"/>
      <c r="AU214" s="67"/>
      <c r="AV214" s="67"/>
      <c r="AW214" s="67">
        <v>0</v>
      </c>
      <c r="AX214" s="67">
        <v>0</v>
      </c>
      <c r="AY214" s="67"/>
      <c r="AZ214" s="67"/>
      <c r="BA214" s="67"/>
      <c r="BB214" s="67"/>
      <c r="BC214" s="67"/>
      <c r="BD214" s="67"/>
      <c r="BE214" s="67"/>
      <c r="BG214" s="67"/>
      <c r="BH214" s="67"/>
      <c r="BI214" s="67"/>
      <c r="BJ214" s="67">
        <v>0</v>
      </c>
      <c r="BK214" s="67"/>
      <c r="BL214" s="67"/>
      <c r="BP214" s="67"/>
      <c r="BQ214" s="67">
        <v>0</v>
      </c>
      <c r="BR214" s="67"/>
      <c r="BS214" s="67"/>
      <c r="BT214" s="67">
        <v>0</v>
      </c>
      <c r="BU214" s="67"/>
      <c r="BV214" s="67"/>
      <c r="BW214" s="67">
        <v>0</v>
      </c>
      <c r="BX214" s="67">
        <v>0</v>
      </c>
      <c r="BY214" s="67">
        <v>0</v>
      </c>
      <c r="BZ214" s="67">
        <v>0</v>
      </c>
      <c r="CA214" s="67"/>
      <c r="CB214" s="67">
        <v>0</v>
      </c>
      <c r="CC214" s="67"/>
      <c r="CD214" s="67"/>
      <c r="CE214" s="67">
        <v>0</v>
      </c>
      <c r="CF214" s="67">
        <v>0</v>
      </c>
      <c r="CG214" s="67"/>
      <c r="CH214" s="67"/>
      <c r="CI214" s="67"/>
      <c r="CJ214" s="67"/>
      <c r="CK214" s="67">
        <v>0</v>
      </c>
      <c r="CL214" s="67">
        <v>0</v>
      </c>
      <c r="CM214" s="67"/>
      <c r="CN214" s="67"/>
      <c r="CO214" s="67">
        <v>0</v>
      </c>
      <c r="CP214" s="67">
        <v>0</v>
      </c>
      <c r="CQ214" s="67"/>
      <c r="CR214" s="67"/>
      <c r="CS214" s="67"/>
      <c r="CT214" s="67"/>
      <c r="CU214" s="67">
        <v>0</v>
      </c>
      <c r="CV214" s="67"/>
      <c r="CW214" s="67"/>
      <c r="CX214" s="67"/>
      <c r="CY214" s="67">
        <v>0</v>
      </c>
      <c r="CZ214" s="67"/>
      <c r="DA214" s="67"/>
      <c r="DB214" s="67"/>
      <c r="DC214" s="67"/>
      <c r="DF214" s="67"/>
      <c r="DG214" s="67">
        <v>0</v>
      </c>
      <c r="DH214" s="67">
        <v>0</v>
      </c>
      <c r="DI214" s="67">
        <v>0</v>
      </c>
      <c r="DJ214" s="67"/>
      <c r="DK214" s="67">
        <v>0</v>
      </c>
      <c r="DL214" s="67">
        <v>0</v>
      </c>
      <c r="DM214" s="67">
        <v>0</v>
      </c>
      <c r="DN214" s="67"/>
      <c r="DO214" s="67"/>
      <c r="DP214" s="67"/>
      <c r="DQ214" s="67">
        <v>0</v>
      </c>
      <c r="DR214" s="67">
        <v>0</v>
      </c>
      <c r="DS214" s="67"/>
      <c r="DT214" s="67"/>
      <c r="DU214" s="67">
        <v>0</v>
      </c>
      <c r="DV214" s="67">
        <v>0</v>
      </c>
      <c r="DW214" s="67">
        <v>0</v>
      </c>
      <c r="DX214" s="67">
        <v>0</v>
      </c>
      <c r="DY214" s="67"/>
      <c r="DZ214" s="67">
        <v>0</v>
      </c>
      <c r="EA214" s="67"/>
      <c r="EB214" s="67">
        <v>0</v>
      </c>
      <c r="EC214" s="67"/>
      <c r="ED214" s="67">
        <v>0</v>
      </c>
      <c r="EE214" s="67"/>
      <c r="EF214" s="67">
        <v>0</v>
      </c>
      <c r="EG214" s="67"/>
      <c r="EH214" s="67"/>
      <c r="EI214" s="67"/>
      <c r="EJ214" s="67"/>
      <c r="EK214" s="67"/>
      <c r="EL214" s="67"/>
      <c r="EM214" s="67"/>
      <c r="EN214" s="67"/>
      <c r="EO214" s="67"/>
      <c r="EP214" s="67">
        <v>0</v>
      </c>
      <c r="EQ214" s="67">
        <v>0</v>
      </c>
      <c r="ER214" s="67">
        <v>0</v>
      </c>
      <c r="ES214" s="67"/>
      <c r="ET214">
        <v>0</v>
      </c>
      <c r="EX214" s="67"/>
      <c r="EY214" s="67"/>
      <c r="EZ214" s="67"/>
      <c r="FA214" s="67">
        <v>300</v>
      </c>
      <c r="FB214" s="67"/>
      <c r="FC214" s="67"/>
      <c r="FD214" s="67"/>
      <c r="FE214" s="67"/>
      <c r="FF214" s="67"/>
      <c r="FG214" s="67"/>
      <c r="FH214" s="67"/>
      <c r="FI214" s="67" t="s">
        <v>1600</v>
      </c>
    </row>
    <row r="215" spans="2:165" x14ac:dyDescent="0.2">
      <c r="B215" s="67" t="s">
        <v>649</v>
      </c>
      <c r="C215" s="67" t="s">
        <v>649</v>
      </c>
      <c r="D215" s="67" t="s">
        <v>650</v>
      </c>
      <c r="E215" s="67" t="s">
        <v>305</v>
      </c>
      <c r="F215" s="67" t="s">
        <v>1618</v>
      </c>
      <c r="G215" s="67" t="s">
        <v>1597</v>
      </c>
      <c r="H215" s="67"/>
      <c r="I215" s="67" t="s">
        <v>41</v>
      </c>
      <c r="J215" s="67" t="s">
        <v>64</v>
      </c>
      <c r="K215" s="67" t="s">
        <v>1701</v>
      </c>
      <c r="L215" s="67" t="s">
        <v>787</v>
      </c>
      <c r="M215" s="67" t="s">
        <v>752</v>
      </c>
      <c r="N215" s="67" t="s">
        <v>1601</v>
      </c>
      <c r="O215" s="67" t="s">
        <v>1608</v>
      </c>
      <c r="P215" s="67"/>
      <c r="Q215" s="67">
        <v>200</v>
      </c>
      <c r="R215" s="67">
        <v>0</v>
      </c>
      <c r="S215" s="67">
        <v>0</v>
      </c>
      <c r="T215" s="67">
        <v>0</v>
      </c>
      <c r="U215" s="67">
        <v>0</v>
      </c>
      <c r="V215" s="67">
        <v>0</v>
      </c>
      <c r="W215" s="67">
        <v>0</v>
      </c>
      <c r="X215" s="67">
        <v>0</v>
      </c>
      <c r="Y215" s="67">
        <v>0</v>
      </c>
      <c r="Z215" s="67">
        <v>0</v>
      </c>
      <c r="AA215" s="67">
        <v>0</v>
      </c>
      <c r="AB215" s="67">
        <v>0</v>
      </c>
      <c r="AC215" s="67">
        <v>0</v>
      </c>
      <c r="AD215" s="67">
        <v>0</v>
      </c>
      <c r="AE215" s="67">
        <v>0</v>
      </c>
      <c r="AF215" s="67">
        <v>0</v>
      </c>
      <c r="AG215" s="67">
        <v>0</v>
      </c>
      <c r="AH215" s="67">
        <v>0</v>
      </c>
      <c r="AI215" s="67">
        <v>0</v>
      </c>
      <c r="AJ215" s="67">
        <v>0</v>
      </c>
      <c r="AK215" s="67">
        <v>0</v>
      </c>
      <c r="AL215" s="67">
        <v>200</v>
      </c>
      <c r="AM215" s="67">
        <v>0</v>
      </c>
      <c r="AN215" s="67">
        <v>0</v>
      </c>
      <c r="AO215" s="67">
        <v>0</v>
      </c>
      <c r="AP215" s="67">
        <v>0</v>
      </c>
      <c r="AQ215" s="67">
        <v>0</v>
      </c>
      <c r="AR215" s="67">
        <v>0</v>
      </c>
      <c r="AS215" s="67">
        <v>0</v>
      </c>
      <c r="AT215" s="67"/>
      <c r="AU215" s="67"/>
      <c r="AV215" s="67"/>
      <c r="AW215" s="67">
        <v>0</v>
      </c>
      <c r="AX215" s="67">
        <v>0</v>
      </c>
      <c r="AY215" s="67"/>
      <c r="AZ215" s="67"/>
      <c r="BA215" s="67"/>
      <c r="BB215" s="67"/>
      <c r="BC215" s="67"/>
      <c r="BD215" s="67"/>
      <c r="BE215" s="67"/>
      <c r="BG215" s="67"/>
      <c r="BH215" s="67"/>
      <c r="BI215" s="67"/>
      <c r="BJ215" s="67">
        <v>0</v>
      </c>
      <c r="BK215" s="67"/>
      <c r="BL215" s="67"/>
      <c r="BP215" s="67"/>
      <c r="BQ215" s="67">
        <v>0</v>
      </c>
      <c r="BR215" s="67"/>
      <c r="BS215" s="67"/>
      <c r="BT215" s="67">
        <v>0</v>
      </c>
      <c r="BU215" s="67"/>
      <c r="BV215" s="67"/>
      <c r="BW215" s="67">
        <v>0</v>
      </c>
      <c r="BX215" s="67">
        <v>0</v>
      </c>
      <c r="BY215" s="67">
        <v>0</v>
      </c>
      <c r="BZ215" s="67">
        <v>0</v>
      </c>
      <c r="CA215" s="67"/>
      <c r="CB215" s="67">
        <v>0</v>
      </c>
      <c r="CC215" s="67"/>
      <c r="CD215" s="67"/>
      <c r="CE215" s="67">
        <v>0</v>
      </c>
      <c r="CF215" s="67">
        <v>0</v>
      </c>
      <c r="CG215" s="67"/>
      <c r="CH215" s="67"/>
      <c r="CI215" s="67"/>
      <c r="CJ215" s="67"/>
      <c r="CK215" s="67">
        <v>0</v>
      </c>
      <c r="CL215" s="67">
        <v>0</v>
      </c>
      <c r="CM215" s="67"/>
      <c r="CN215" s="67"/>
      <c r="CO215" s="67">
        <v>0</v>
      </c>
      <c r="CP215" s="67">
        <v>0</v>
      </c>
      <c r="CQ215" s="67"/>
      <c r="CR215" s="67"/>
      <c r="CS215" s="67"/>
      <c r="CT215" s="67"/>
      <c r="CU215" s="67">
        <v>0</v>
      </c>
      <c r="CV215" s="67"/>
      <c r="CW215" s="67"/>
      <c r="CX215" s="67"/>
      <c r="CY215" s="67">
        <v>0</v>
      </c>
      <c r="CZ215" s="67"/>
      <c r="DA215" s="67"/>
      <c r="DB215" s="67"/>
      <c r="DC215" s="67"/>
      <c r="DF215" s="67"/>
      <c r="DG215" s="67">
        <v>0</v>
      </c>
      <c r="DH215" s="67">
        <v>0</v>
      </c>
      <c r="DI215" s="67">
        <v>0</v>
      </c>
      <c r="DJ215" s="67"/>
      <c r="DK215" s="67">
        <v>0</v>
      </c>
      <c r="DL215" s="67">
        <v>0</v>
      </c>
      <c r="DM215" s="67">
        <v>0</v>
      </c>
      <c r="DN215" s="67"/>
      <c r="DO215" s="67"/>
      <c r="DP215" s="67"/>
      <c r="DQ215" s="67">
        <v>0</v>
      </c>
      <c r="DR215" s="67">
        <v>0</v>
      </c>
      <c r="DS215" s="67"/>
      <c r="DT215" s="67"/>
      <c r="DU215" s="67">
        <v>0</v>
      </c>
      <c r="DV215" s="67">
        <v>0</v>
      </c>
      <c r="DW215" s="67">
        <v>0</v>
      </c>
      <c r="DX215" s="67">
        <v>0</v>
      </c>
      <c r="DY215" s="67"/>
      <c r="DZ215" s="67">
        <v>0</v>
      </c>
      <c r="EA215" s="67"/>
      <c r="EB215" s="67">
        <v>0</v>
      </c>
      <c r="EC215" s="67"/>
      <c r="ED215" s="67">
        <v>0</v>
      </c>
      <c r="EE215" s="67"/>
      <c r="EF215" s="67">
        <v>0</v>
      </c>
      <c r="EG215" s="67"/>
      <c r="EH215" s="67"/>
      <c r="EI215" s="67"/>
      <c r="EJ215" s="67"/>
      <c r="EK215" s="67"/>
      <c r="EL215" s="67"/>
      <c r="EM215" s="67"/>
      <c r="EN215" s="67"/>
      <c r="EO215" s="67"/>
      <c r="EP215" s="67">
        <v>0</v>
      </c>
      <c r="EQ215" s="67">
        <v>0</v>
      </c>
      <c r="ER215" s="67">
        <v>0</v>
      </c>
      <c r="ES215" s="67"/>
      <c r="ET215">
        <v>0</v>
      </c>
      <c r="EX215" s="67"/>
      <c r="EY215" s="67"/>
      <c r="EZ215" s="67"/>
      <c r="FA215" s="67">
        <v>200</v>
      </c>
      <c r="FB215" s="67"/>
      <c r="FC215" s="67"/>
      <c r="FD215" s="67"/>
      <c r="FE215" s="67"/>
      <c r="FF215" s="67"/>
      <c r="FG215" s="67"/>
      <c r="FH215" s="67"/>
      <c r="FI215" s="67" t="s">
        <v>1600</v>
      </c>
    </row>
    <row r="216" spans="2:165" ht="24" x14ac:dyDescent="0.2">
      <c r="B216" s="67"/>
      <c r="C216" s="67" t="s">
        <v>1702</v>
      </c>
      <c r="D216" s="67" t="s">
        <v>651</v>
      </c>
      <c r="E216" s="67" t="s">
        <v>13</v>
      </c>
      <c r="F216" s="67" t="s">
        <v>750</v>
      </c>
      <c r="G216" s="67" t="s">
        <v>345</v>
      </c>
      <c r="H216" s="67"/>
      <c r="I216" s="67" t="s">
        <v>41</v>
      </c>
      <c r="J216" s="67" t="s">
        <v>64</v>
      </c>
      <c r="K216" s="67" t="s">
        <v>1679</v>
      </c>
      <c r="L216" s="67" t="s">
        <v>787</v>
      </c>
      <c r="M216" s="67" t="s">
        <v>752</v>
      </c>
      <c r="N216" s="67" t="s">
        <v>1607</v>
      </c>
      <c r="O216" s="67" t="s">
        <v>1599</v>
      </c>
      <c r="P216" s="67"/>
      <c r="Q216" s="67">
        <v>410</v>
      </c>
      <c r="R216" s="67">
        <v>0</v>
      </c>
      <c r="S216" s="67">
        <v>0</v>
      </c>
      <c r="T216" s="67">
        <v>410</v>
      </c>
      <c r="U216" s="67">
        <v>0</v>
      </c>
      <c r="V216" s="67">
        <v>0</v>
      </c>
      <c r="W216" s="67">
        <v>0</v>
      </c>
      <c r="X216" s="67">
        <v>0</v>
      </c>
      <c r="Y216" s="67">
        <v>0</v>
      </c>
      <c r="Z216" s="67">
        <v>0</v>
      </c>
      <c r="AA216" s="67">
        <v>0</v>
      </c>
      <c r="AB216" s="67">
        <v>0</v>
      </c>
      <c r="AC216" s="67">
        <v>0</v>
      </c>
      <c r="AD216" s="67">
        <v>0</v>
      </c>
      <c r="AE216" s="67">
        <v>0</v>
      </c>
      <c r="AF216" s="67">
        <v>0</v>
      </c>
      <c r="AG216" s="67">
        <v>0</v>
      </c>
      <c r="AH216" s="67">
        <v>0</v>
      </c>
      <c r="AI216" s="67">
        <v>0</v>
      </c>
      <c r="AJ216" s="67">
        <v>0</v>
      </c>
      <c r="AK216" s="67">
        <v>0</v>
      </c>
      <c r="AL216" s="67">
        <v>0</v>
      </c>
      <c r="AM216" s="67">
        <v>0</v>
      </c>
      <c r="AN216" s="67">
        <v>0</v>
      </c>
      <c r="AO216" s="67">
        <v>0</v>
      </c>
      <c r="AP216" s="67">
        <v>0</v>
      </c>
      <c r="AQ216" s="67">
        <v>0</v>
      </c>
      <c r="AR216" s="67">
        <v>0</v>
      </c>
      <c r="AS216" s="67">
        <v>0</v>
      </c>
      <c r="AT216" s="67"/>
      <c r="AU216" s="67"/>
      <c r="AV216" s="67"/>
      <c r="AW216" s="67">
        <v>400</v>
      </c>
      <c r="AX216" s="67">
        <v>400</v>
      </c>
      <c r="AY216" s="67"/>
      <c r="AZ216" s="67"/>
      <c r="BA216" s="67"/>
      <c r="BB216" s="67"/>
      <c r="BC216" s="67"/>
      <c r="BD216" s="67"/>
      <c r="BE216" s="67"/>
      <c r="BG216" s="67"/>
      <c r="BH216" s="67"/>
      <c r="BI216" s="67"/>
      <c r="BJ216" s="67">
        <v>0</v>
      </c>
      <c r="BK216" s="67"/>
      <c r="BL216" s="67"/>
      <c r="BP216" s="67"/>
      <c r="BQ216" s="67">
        <v>0</v>
      </c>
      <c r="BR216" s="67"/>
      <c r="BS216" s="67"/>
      <c r="BT216" s="67">
        <v>0</v>
      </c>
      <c r="BU216" s="67"/>
      <c r="BV216" s="67"/>
      <c r="BW216" s="67">
        <v>0</v>
      </c>
      <c r="BX216" s="67">
        <v>0</v>
      </c>
      <c r="BY216" s="67">
        <v>0</v>
      </c>
      <c r="BZ216" s="67">
        <v>0</v>
      </c>
      <c r="CA216" s="67"/>
      <c r="CB216" s="67">
        <v>0</v>
      </c>
      <c r="CC216" s="67"/>
      <c r="CD216" s="67"/>
      <c r="CE216" s="67">
        <v>0</v>
      </c>
      <c r="CF216" s="67">
        <v>0</v>
      </c>
      <c r="CG216" s="67"/>
      <c r="CH216" s="67"/>
      <c r="CI216" s="67"/>
      <c r="CJ216" s="67"/>
      <c r="CK216" s="67">
        <v>0</v>
      </c>
      <c r="CL216" s="67">
        <v>0</v>
      </c>
      <c r="CM216" s="67"/>
      <c r="CN216" s="67"/>
      <c r="CO216" s="67">
        <v>0</v>
      </c>
      <c r="CP216" s="67">
        <v>0</v>
      </c>
      <c r="CQ216" s="67"/>
      <c r="CR216" s="67"/>
      <c r="CS216" s="67"/>
      <c r="CT216" s="67"/>
      <c r="CU216" s="67">
        <v>0</v>
      </c>
      <c r="CV216" s="67"/>
      <c r="CW216" s="67"/>
      <c r="CX216" s="67"/>
      <c r="CY216" s="67">
        <v>0</v>
      </c>
      <c r="CZ216" s="67"/>
      <c r="DA216" s="67"/>
      <c r="DB216" s="67"/>
      <c r="DC216" s="67"/>
      <c r="DF216" s="67"/>
      <c r="DG216" s="67">
        <v>0</v>
      </c>
      <c r="DH216" s="67">
        <v>0</v>
      </c>
      <c r="DI216" s="67">
        <v>0</v>
      </c>
      <c r="DJ216" s="67"/>
      <c r="DK216" s="67">
        <v>0</v>
      </c>
      <c r="DL216" s="67">
        <v>0</v>
      </c>
      <c r="DM216" s="67">
        <v>0</v>
      </c>
      <c r="DN216" s="67"/>
      <c r="DO216" s="67"/>
      <c r="DP216" s="67"/>
      <c r="DQ216" s="67">
        <v>0</v>
      </c>
      <c r="DR216" s="67">
        <v>0</v>
      </c>
      <c r="DS216" s="67"/>
      <c r="DT216" s="67"/>
      <c r="DU216" s="67">
        <v>0</v>
      </c>
      <c r="DV216" s="67">
        <v>0</v>
      </c>
      <c r="DW216" s="67">
        <v>0</v>
      </c>
      <c r="DX216" s="67">
        <v>0</v>
      </c>
      <c r="DY216" s="67"/>
      <c r="DZ216" s="67">
        <v>0</v>
      </c>
      <c r="EA216" s="67"/>
      <c r="EB216" s="67">
        <v>0</v>
      </c>
      <c r="EC216" s="67"/>
      <c r="ED216" s="67">
        <v>0</v>
      </c>
      <c r="EE216" s="67"/>
      <c r="EF216" s="67">
        <v>0</v>
      </c>
      <c r="EG216" s="67"/>
      <c r="EH216" s="67"/>
      <c r="EI216" s="67"/>
      <c r="EJ216" s="67"/>
      <c r="EK216" s="67"/>
      <c r="EL216" s="67"/>
      <c r="EM216" s="67"/>
      <c r="EN216" s="67"/>
      <c r="EO216" s="67"/>
      <c r="EP216" s="67">
        <v>0</v>
      </c>
      <c r="EQ216" s="67">
        <v>0</v>
      </c>
      <c r="ER216" s="67">
        <v>0</v>
      </c>
      <c r="ES216" s="67"/>
      <c r="ET216">
        <v>0</v>
      </c>
      <c r="EX216" s="67"/>
      <c r="EY216" s="67"/>
      <c r="EZ216" s="67"/>
      <c r="FA216" s="67">
        <v>810</v>
      </c>
      <c r="FB216" s="67"/>
      <c r="FC216" s="67"/>
      <c r="FD216" s="67"/>
      <c r="FE216" s="67"/>
      <c r="FF216" s="67"/>
      <c r="FG216" s="67"/>
      <c r="FH216" s="67"/>
      <c r="FI216" s="67" t="s">
        <v>1600</v>
      </c>
    </row>
    <row r="217" spans="2:165" x14ac:dyDescent="0.2">
      <c r="B217" s="67"/>
      <c r="C217" s="67" t="s">
        <v>1703</v>
      </c>
      <c r="D217" s="67" t="s">
        <v>652</v>
      </c>
      <c r="E217" s="67" t="s">
        <v>305</v>
      </c>
      <c r="F217" s="67" t="s">
        <v>810</v>
      </c>
      <c r="G217" s="67" t="s">
        <v>1597</v>
      </c>
      <c r="H217" s="67"/>
      <c r="I217" s="67" t="s">
        <v>41</v>
      </c>
      <c r="J217" s="67" t="s">
        <v>71</v>
      </c>
      <c r="K217" s="67" t="s">
        <v>811</v>
      </c>
      <c r="L217" s="67" t="s">
        <v>787</v>
      </c>
      <c r="M217" s="67" t="s">
        <v>752</v>
      </c>
      <c r="N217" s="67" t="s">
        <v>1604</v>
      </c>
      <c r="O217" s="67" t="s">
        <v>1605</v>
      </c>
      <c r="P217" s="67"/>
      <c r="Q217" s="67">
        <v>0</v>
      </c>
      <c r="R217" s="67">
        <v>0</v>
      </c>
      <c r="S217" s="67">
        <v>0</v>
      </c>
      <c r="T217" s="67">
        <v>0</v>
      </c>
      <c r="U217" s="67">
        <v>0</v>
      </c>
      <c r="V217" s="67">
        <v>0</v>
      </c>
      <c r="W217" s="67">
        <v>0</v>
      </c>
      <c r="X217" s="67">
        <v>0</v>
      </c>
      <c r="Y217" s="67">
        <v>0</v>
      </c>
      <c r="Z217" s="67">
        <v>0</v>
      </c>
      <c r="AA217" s="67">
        <v>0</v>
      </c>
      <c r="AB217" s="67">
        <v>0</v>
      </c>
      <c r="AC217" s="67">
        <v>0</v>
      </c>
      <c r="AD217" s="67">
        <v>0</v>
      </c>
      <c r="AE217" s="67">
        <v>0</v>
      </c>
      <c r="AF217" s="67">
        <v>0</v>
      </c>
      <c r="AG217" s="67">
        <v>0</v>
      </c>
      <c r="AH217" s="67">
        <v>0</v>
      </c>
      <c r="AI217" s="67">
        <v>0</v>
      </c>
      <c r="AJ217" s="67">
        <v>0</v>
      </c>
      <c r="AK217" s="67">
        <v>0</v>
      </c>
      <c r="AL217" s="67">
        <v>0</v>
      </c>
      <c r="AM217" s="67">
        <v>0</v>
      </c>
      <c r="AN217" s="67">
        <v>0</v>
      </c>
      <c r="AO217" s="67">
        <v>0</v>
      </c>
      <c r="AP217" s="67">
        <v>0</v>
      </c>
      <c r="AQ217" s="67">
        <v>0</v>
      </c>
      <c r="AR217" s="67">
        <v>0</v>
      </c>
      <c r="AS217" s="67">
        <v>0</v>
      </c>
      <c r="AT217" s="67"/>
      <c r="AU217" s="67"/>
      <c r="AV217" s="67"/>
      <c r="AW217" s="67">
        <v>0</v>
      </c>
      <c r="AX217" s="67">
        <v>0</v>
      </c>
      <c r="AY217" s="67"/>
      <c r="AZ217" s="67"/>
      <c r="BA217" s="67"/>
      <c r="BB217" s="67"/>
      <c r="BC217" s="67"/>
      <c r="BD217" s="67"/>
      <c r="BE217" s="67"/>
      <c r="BG217" s="67"/>
      <c r="BH217" s="67"/>
      <c r="BI217" s="67"/>
      <c r="BJ217" s="67">
        <v>0</v>
      </c>
      <c r="BK217" s="67"/>
      <c r="BL217" s="67"/>
      <c r="BP217" s="67"/>
      <c r="BQ217" s="67">
        <v>0</v>
      </c>
      <c r="BR217" s="67"/>
      <c r="BS217" s="67"/>
      <c r="BT217" s="67">
        <v>0</v>
      </c>
      <c r="BU217" s="67"/>
      <c r="BV217" s="67"/>
      <c r="BW217" s="67">
        <v>0</v>
      </c>
      <c r="BX217" s="67">
        <v>0</v>
      </c>
      <c r="BY217" s="67">
        <v>0</v>
      </c>
      <c r="BZ217" s="67">
        <v>0</v>
      </c>
      <c r="CA217" s="67"/>
      <c r="CB217" s="67">
        <v>0</v>
      </c>
      <c r="CC217" s="67"/>
      <c r="CD217" s="67"/>
      <c r="CE217" s="67">
        <v>0</v>
      </c>
      <c r="CF217" s="67">
        <v>0</v>
      </c>
      <c r="CG217" s="67"/>
      <c r="CH217" s="67"/>
      <c r="CI217" s="67"/>
      <c r="CJ217" s="67"/>
      <c r="CK217" s="67">
        <v>0</v>
      </c>
      <c r="CL217" s="67">
        <v>0</v>
      </c>
      <c r="CM217" s="67"/>
      <c r="CN217" s="67"/>
      <c r="CO217" s="67">
        <v>0</v>
      </c>
      <c r="CP217" s="67">
        <v>0</v>
      </c>
      <c r="CQ217" s="67"/>
      <c r="CR217" s="67"/>
      <c r="CS217" s="67"/>
      <c r="CT217" s="67"/>
      <c r="CU217" s="67">
        <v>0</v>
      </c>
      <c r="CV217" s="67"/>
      <c r="CW217" s="67"/>
      <c r="CX217" s="67"/>
      <c r="CY217" s="67">
        <v>0</v>
      </c>
      <c r="CZ217" s="67"/>
      <c r="DA217" s="67"/>
      <c r="DB217" s="67"/>
      <c r="DC217" s="67"/>
      <c r="DF217" s="67"/>
      <c r="DG217" s="67">
        <v>0</v>
      </c>
      <c r="DH217" s="67">
        <v>0</v>
      </c>
      <c r="DI217" s="67">
        <v>0</v>
      </c>
      <c r="DJ217" s="67"/>
      <c r="DK217" s="67">
        <v>0</v>
      </c>
      <c r="DL217" s="67">
        <v>0</v>
      </c>
      <c r="DM217" s="67">
        <v>0</v>
      </c>
      <c r="DN217" s="67"/>
      <c r="DO217" s="67"/>
      <c r="DP217" s="67"/>
      <c r="DQ217" s="67">
        <v>0</v>
      </c>
      <c r="DR217" s="67">
        <v>0</v>
      </c>
      <c r="DS217" s="67"/>
      <c r="DT217" s="67"/>
      <c r="DU217" s="67">
        <v>0</v>
      </c>
      <c r="DV217" s="67">
        <v>0</v>
      </c>
      <c r="DW217" s="67">
        <v>0</v>
      </c>
      <c r="DX217" s="67">
        <v>0</v>
      </c>
      <c r="DY217" s="67"/>
      <c r="DZ217" s="67">
        <v>0</v>
      </c>
      <c r="EA217" s="67"/>
      <c r="EB217" s="67">
        <v>0</v>
      </c>
      <c r="EC217" s="67"/>
      <c r="ED217" s="67">
        <v>0</v>
      </c>
      <c r="EE217" s="67"/>
      <c r="EF217" s="67">
        <v>0</v>
      </c>
      <c r="EG217" s="67"/>
      <c r="EH217" s="67"/>
      <c r="EI217" s="67"/>
      <c r="EJ217" s="67"/>
      <c r="EK217" s="67"/>
      <c r="EL217" s="67"/>
      <c r="EM217" s="67"/>
      <c r="EN217" s="67"/>
      <c r="EO217" s="67"/>
      <c r="EP217" s="67">
        <v>0</v>
      </c>
      <c r="EQ217" s="67">
        <v>0</v>
      </c>
      <c r="ER217" s="67">
        <v>0</v>
      </c>
      <c r="ES217" s="67"/>
      <c r="ET217">
        <v>0</v>
      </c>
      <c r="EX217" s="67"/>
      <c r="EY217" s="67"/>
      <c r="EZ217" s="67"/>
      <c r="FA217" s="67">
        <v>0</v>
      </c>
      <c r="FB217" s="67"/>
      <c r="FC217" s="67"/>
      <c r="FD217" s="67"/>
      <c r="FE217" s="67"/>
      <c r="FF217" s="67"/>
      <c r="FG217" s="67"/>
      <c r="FH217" s="67"/>
      <c r="FI217" s="67" t="s">
        <v>1600</v>
      </c>
    </row>
    <row r="218" spans="2:165" ht="24" x14ac:dyDescent="0.2">
      <c r="B218" s="67" t="s">
        <v>653</v>
      </c>
      <c r="C218" s="67" t="s">
        <v>653</v>
      </c>
      <c r="D218" s="67" t="s">
        <v>654</v>
      </c>
      <c r="E218" s="67" t="s">
        <v>13</v>
      </c>
      <c r="F218" s="67" t="s">
        <v>898</v>
      </c>
      <c r="G218" s="67" t="s">
        <v>1597</v>
      </c>
      <c r="H218" s="67"/>
      <c r="I218" s="67" t="s">
        <v>22</v>
      </c>
      <c r="J218" s="67" t="s">
        <v>71</v>
      </c>
      <c r="K218" s="67" t="s">
        <v>791</v>
      </c>
      <c r="L218" s="67" t="s">
        <v>779</v>
      </c>
      <c r="M218" s="67" t="s">
        <v>752</v>
      </c>
      <c r="N218" s="67" t="s">
        <v>1598</v>
      </c>
      <c r="O218" s="67" t="s">
        <v>1599</v>
      </c>
      <c r="P218" s="67"/>
      <c r="Q218" s="67">
        <v>820</v>
      </c>
      <c r="R218" s="67">
        <v>0</v>
      </c>
      <c r="S218" s="67">
        <v>0</v>
      </c>
      <c r="T218" s="67">
        <v>0</v>
      </c>
      <c r="U218" s="67">
        <v>0</v>
      </c>
      <c r="V218" s="67">
        <v>0</v>
      </c>
      <c r="W218" s="67">
        <v>0</v>
      </c>
      <c r="X218" s="67">
        <v>0</v>
      </c>
      <c r="Y218" s="67">
        <v>0</v>
      </c>
      <c r="Z218" s="67">
        <v>0</v>
      </c>
      <c r="AA218" s="67">
        <v>0</v>
      </c>
      <c r="AB218" s="67">
        <v>0</v>
      </c>
      <c r="AC218" s="67">
        <v>0</v>
      </c>
      <c r="AD218" s="67">
        <v>0</v>
      </c>
      <c r="AE218" s="67">
        <v>0</v>
      </c>
      <c r="AF218" s="67">
        <v>0</v>
      </c>
      <c r="AG218" s="67">
        <v>0</v>
      </c>
      <c r="AH218" s="67">
        <v>0</v>
      </c>
      <c r="AI218" s="67">
        <v>820</v>
      </c>
      <c r="AJ218" s="67">
        <v>0</v>
      </c>
      <c r="AK218" s="67">
        <v>0</v>
      </c>
      <c r="AL218" s="67">
        <v>0</v>
      </c>
      <c r="AM218" s="67">
        <v>0</v>
      </c>
      <c r="AN218" s="67">
        <v>0</v>
      </c>
      <c r="AO218" s="67">
        <v>0</v>
      </c>
      <c r="AP218" s="67">
        <v>0</v>
      </c>
      <c r="AQ218" s="67">
        <v>0</v>
      </c>
      <c r="AR218" s="67">
        <v>0</v>
      </c>
      <c r="AS218" s="67">
        <v>0</v>
      </c>
      <c r="AT218" s="67"/>
      <c r="AU218" s="67"/>
      <c r="AV218" s="67"/>
      <c r="AW218" s="67">
        <v>0</v>
      </c>
      <c r="AX218" s="67">
        <v>0</v>
      </c>
      <c r="AY218" s="67"/>
      <c r="AZ218" s="67"/>
      <c r="BA218" s="67"/>
      <c r="BB218" s="67"/>
      <c r="BC218" s="67"/>
      <c r="BD218" s="67"/>
      <c r="BE218" s="67"/>
      <c r="BG218" s="67"/>
      <c r="BH218" s="67"/>
      <c r="BI218" s="67"/>
      <c r="BJ218" s="67">
        <v>0</v>
      </c>
      <c r="BK218" s="67"/>
      <c r="BL218" s="67"/>
      <c r="BP218" s="67"/>
      <c r="BQ218" s="67">
        <v>0</v>
      </c>
      <c r="BR218" s="67"/>
      <c r="BS218" s="67"/>
      <c r="BT218" s="67">
        <v>0</v>
      </c>
      <c r="BU218" s="67"/>
      <c r="BV218" s="67"/>
      <c r="BW218" s="67">
        <v>0</v>
      </c>
      <c r="BX218" s="67">
        <v>0</v>
      </c>
      <c r="BY218" s="67">
        <v>0</v>
      </c>
      <c r="BZ218" s="67">
        <v>0</v>
      </c>
      <c r="CA218" s="67"/>
      <c r="CB218" s="67">
        <v>0</v>
      </c>
      <c r="CC218" s="67"/>
      <c r="CD218" s="67"/>
      <c r="CE218" s="67">
        <v>0</v>
      </c>
      <c r="CF218" s="67">
        <v>0</v>
      </c>
      <c r="CG218" s="67"/>
      <c r="CH218" s="67"/>
      <c r="CI218" s="67"/>
      <c r="CJ218" s="67"/>
      <c r="CK218" s="67">
        <v>0</v>
      </c>
      <c r="CL218" s="67">
        <v>0</v>
      </c>
      <c r="CM218" s="67"/>
      <c r="CN218" s="67"/>
      <c r="CO218" s="67">
        <v>0</v>
      </c>
      <c r="CP218" s="67">
        <v>0</v>
      </c>
      <c r="CQ218" s="67"/>
      <c r="CR218" s="67"/>
      <c r="CS218" s="67"/>
      <c r="CT218" s="67"/>
      <c r="CU218" s="67">
        <v>0</v>
      </c>
      <c r="CV218" s="67"/>
      <c r="CW218" s="67"/>
      <c r="CX218" s="67"/>
      <c r="CY218" s="67">
        <v>0</v>
      </c>
      <c r="CZ218" s="67"/>
      <c r="DA218" s="67"/>
      <c r="DB218" s="67"/>
      <c r="DC218" s="67"/>
      <c r="DF218" s="67"/>
      <c r="DG218" s="67">
        <v>0</v>
      </c>
      <c r="DH218" s="67">
        <v>0</v>
      </c>
      <c r="DI218" s="67">
        <v>0</v>
      </c>
      <c r="DJ218" s="67"/>
      <c r="DK218" s="67">
        <v>0</v>
      </c>
      <c r="DL218" s="67">
        <v>0</v>
      </c>
      <c r="DM218" s="67">
        <v>0</v>
      </c>
      <c r="DN218" s="67"/>
      <c r="DO218" s="67"/>
      <c r="DP218" s="67"/>
      <c r="DQ218" s="67">
        <v>0</v>
      </c>
      <c r="DR218" s="67">
        <v>0</v>
      </c>
      <c r="DS218" s="67"/>
      <c r="DT218" s="67"/>
      <c r="DU218" s="67">
        <v>0</v>
      </c>
      <c r="DV218" s="67">
        <v>0</v>
      </c>
      <c r="DW218" s="67">
        <v>0</v>
      </c>
      <c r="DX218" s="67">
        <v>0</v>
      </c>
      <c r="DY218" s="67"/>
      <c r="DZ218" s="67">
        <v>0</v>
      </c>
      <c r="EA218" s="67"/>
      <c r="EB218" s="67">
        <v>0</v>
      </c>
      <c r="EC218" s="67"/>
      <c r="ED218" s="67">
        <v>0</v>
      </c>
      <c r="EE218" s="67"/>
      <c r="EF218" s="67">
        <v>0</v>
      </c>
      <c r="EG218" s="67"/>
      <c r="EH218" s="67"/>
      <c r="EI218" s="67"/>
      <c r="EJ218" s="67"/>
      <c r="EK218" s="67"/>
      <c r="EL218" s="67"/>
      <c r="EM218" s="67"/>
      <c r="EN218" s="67"/>
      <c r="EO218" s="67"/>
      <c r="EP218" s="67">
        <v>0</v>
      </c>
      <c r="EQ218" s="67">
        <v>0</v>
      </c>
      <c r="ER218" s="67">
        <v>0</v>
      </c>
      <c r="ES218" s="67"/>
      <c r="ET218">
        <v>0</v>
      </c>
      <c r="EX218" s="67"/>
      <c r="EY218" s="67"/>
      <c r="EZ218" s="67"/>
      <c r="FA218" s="67">
        <v>820</v>
      </c>
      <c r="FB218" s="67"/>
      <c r="FC218" s="67"/>
      <c r="FD218" s="67"/>
      <c r="FE218" s="67"/>
      <c r="FF218" s="67"/>
      <c r="FG218" s="67"/>
      <c r="FH218" s="67"/>
      <c r="FI218" s="67" t="s">
        <v>1600</v>
      </c>
    </row>
    <row r="219" spans="2:165" ht="24" x14ac:dyDescent="0.2">
      <c r="B219" s="67" t="s">
        <v>655</v>
      </c>
      <c r="C219" s="67" t="s">
        <v>655</v>
      </c>
      <c r="D219" s="67" t="s">
        <v>656</v>
      </c>
      <c r="E219" s="67" t="s">
        <v>13</v>
      </c>
      <c r="F219" s="67" t="s">
        <v>898</v>
      </c>
      <c r="G219" s="67" t="s">
        <v>1597</v>
      </c>
      <c r="H219" s="67"/>
      <c r="I219" s="67" t="s">
        <v>41</v>
      </c>
      <c r="J219" s="67" t="s">
        <v>71</v>
      </c>
      <c r="K219" s="67" t="s">
        <v>791</v>
      </c>
      <c r="L219" s="67" t="s">
        <v>779</v>
      </c>
      <c r="M219" s="67" t="s">
        <v>752</v>
      </c>
      <c r="N219" s="67" t="s">
        <v>1598</v>
      </c>
      <c r="O219" s="67" t="s">
        <v>1599</v>
      </c>
      <c r="P219" s="67"/>
      <c r="Q219" s="67">
        <v>100</v>
      </c>
      <c r="R219" s="67">
        <v>0</v>
      </c>
      <c r="S219" s="67">
        <v>0</v>
      </c>
      <c r="T219" s="67">
        <v>0</v>
      </c>
      <c r="U219" s="67">
        <v>0</v>
      </c>
      <c r="V219" s="67">
        <v>0</v>
      </c>
      <c r="W219" s="67">
        <v>0</v>
      </c>
      <c r="X219" s="67">
        <v>0</v>
      </c>
      <c r="Y219" s="67">
        <v>0</v>
      </c>
      <c r="Z219" s="67">
        <v>0</v>
      </c>
      <c r="AA219" s="67">
        <v>0</v>
      </c>
      <c r="AB219" s="67">
        <v>0</v>
      </c>
      <c r="AC219" s="67">
        <v>0</v>
      </c>
      <c r="AD219" s="67">
        <v>0</v>
      </c>
      <c r="AE219" s="67">
        <v>0</v>
      </c>
      <c r="AF219" s="67">
        <v>0</v>
      </c>
      <c r="AG219" s="67">
        <v>0</v>
      </c>
      <c r="AH219" s="67">
        <v>0</v>
      </c>
      <c r="AI219" s="67">
        <v>50</v>
      </c>
      <c r="AJ219" s="67">
        <v>0</v>
      </c>
      <c r="AK219" s="67">
        <v>0</v>
      </c>
      <c r="AL219" s="67">
        <v>0</v>
      </c>
      <c r="AM219" s="67">
        <v>0</v>
      </c>
      <c r="AN219" s="67">
        <v>50</v>
      </c>
      <c r="AO219" s="67">
        <v>0</v>
      </c>
      <c r="AP219" s="67">
        <v>0</v>
      </c>
      <c r="AQ219" s="67">
        <v>0</v>
      </c>
      <c r="AR219" s="67">
        <v>0</v>
      </c>
      <c r="AS219" s="67">
        <v>0</v>
      </c>
      <c r="AT219" s="67"/>
      <c r="AU219" s="67"/>
      <c r="AV219" s="67"/>
      <c r="AW219" s="67">
        <v>0</v>
      </c>
      <c r="AX219" s="67">
        <v>0</v>
      </c>
      <c r="AY219" s="67"/>
      <c r="AZ219" s="67"/>
      <c r="BA219" s="67"/>
      <c r="BB219" s="67"/>
      <c r="BC219" s="67"/>
      <c r="BD219" s="67"/>
      <c r="BE219" s="67"/>
      <c r="BG219" s="67"/>
      <c r="BH219" s="67"/>
      <c r="BI219" s="67"/>
      <c r="BJ219" s="67">
        <v>0</v>
      </c>
      <c r="BK219" s="67"/>
      <c r="BL219" s="67"/>
      <c r="BP219" s="67"/>
      <c r="BQ219" s="67">
        <v>0</v>
      </c>
      <c r="BR219" s="67"/>
      <c r="BS219" s="67"/>
      <c r="BT219" s="67">
        <v>0</v>
      </c>
      <c r="BU219" s="67"/>
      <c r="BV219" s="67"/>
      <c r="BW219" s="67">
        <v>0</v>
      </c>
      <c r="BX219" s="67">
        <v>0</v>
      </c>
      <c r="BY219" s="67">
        <v>0</v>
      </c>
      <c r="BZ219" s="67">
        <v>0</v>
      </c>
      <c r="CA219" s="67"/>
      <c r="CB219" s="67">
        <v>0</v>
      </c>
      <c r="CC219" s="67"/>
      <c r="CD219" s="67"/>
      <c r="CE219" s="67">
        <v>0</v>
      </c>
      <c r="CF219" s="67">
        <v>0</v>
      </c>
      <c r="CG219" s="67"/>
      <c r="CH219" s="67"/>
      <c r="CI219" s="67"/>
      <c r="CJ219" s="67"/>
      <c r="CK219" s="67">
        <v>0</v>
      </c>
      <c r="CL219" s="67">
        <v>0</v>
      </c>
      <c r="CM219" s="67"/>
      <c r="CN219" s="67"/>
      <c r="CO219" s="67">
        <v>0</v>
      </c>
      <c r="CP219" s="67">
        <v>0</v>
      </c>
      <c r="CQ219" s="67"/>
      <c r="CR219" s="67"/>
      <c r="CS219" s="67"/>
      <c r="CT219" s="67"/>
      <c r="CU219" s="67">
        <v>0</v>
      </c>
      <c r="CV219" s="67"/>
      <c r="CW219" s="67"/>
      <c r="CX219" s="67"/>
      <c r="CY219" s="67">
        <v>0</v>
      </c>
      <c r="CZ219" s="67"/>
      <c r="DA219" s="67"/>
      <c r="DB219" s="67"/>
      <c r="DC219" s="67"/>
      <c r="DF219" s="67"/>
      <c r="DG219" s="67">
        <v>0</v>
      </c>
      <c r="DH219" s="67">
        <v>0</v>
      </c>
      <c r="DI219" s="67">
        <v>0</v>
      </c>
      <c r="DJ219" s="67"/>
      <c r="DK219" s="67">
        <v>0</v>
      </c>
      <c r="DL219" s="67">
        <v>0</v>
      </c>
      <c r="DM219" s="67">
        <v>0</v>
      </c>
      <c r="DN219" s="67"/>
      <c r="DO219" s="67"/>
      <c r="DP219" s="67"/>
      <c r="DQ219" s="67">
        <v>0</v>
      </c>
      <c r="DR219" s="67">
        <v>0</v>
      </c>
      <c r="DS219" s="67"/>
      <c r="DT219" s="67"/>
      <c r="DU219" s="67">
        <v>0</v>
      </c>
      <c r="DV219" s="67">
        <v>0</v>
      </c>
      <c r="DW219" s="67">
        <v>0</v>
      </c>
      <c r="DX219" s="67">
        <v>0</v>
      </c>
      <c r="DY219" s="67"/>
      <c r="DZ219" s="67">
        <v>0</v>
      </c>
      <c r="EA219" s="67"/>
      <c r="EB219" s="67">
        <v>0</v>
      </c>
      <c r="EC219" s="67"/>
      <c r="ED219" s="67">
        <v>0</v>
      </c>
      <c r="EE219" s="67"/>
      <c r="EF219" s="67">
        <v>0</v>
      </c>
      <c r="EG219" s="67"/>
      <c r="EH219" s="67"/>
      <c r="EI219" s="67"/>
      <c r="EJ219" s="67"/>
      <c r="EK219" s="67"/>
      <c r="EL219" s="67"/>
      <c r="EM219" s="67"/>
      <c r="EN219" s="67"/>
      <c r="EO219" s="67"/>
      <c r="EP219" s="67">
        <v>0</v>
      </c>
      <c r="EQ219" s="67">
        <v>0</v>
      </c>
      <c r="ER219" s="67">
        <v>0</v>
      </c>
      <c r="ES219" s="67"/>
      <c r="ET219">
        <v>0</v>
      </c>
      <c r="EX219" s="67"/>
      <c r="EY219" s="67"/>
      <c r="EZ219" s="67"/>
      <c r="FA219" s="67">
        <v>100</v>
      </c>
      <c r="FB219" s="67"/>
      <c r="FC219" s="67"/>
      <c r="FD219" s="67"/>
      <c r="FE219" s="67"/>
      <c r="FF219" s="67"/>
      <c r="FG219" s="67"/>
      <c r="FH219" s="67"/>
      <c r="FI219" s="67" t="s">
        <v>1600</v>
      </c>
    </row>
    <row r="220" spans="2:165" x14ac:dyDescent="0.2">
      <c r="B220" s="67" t="s">
        <v>657</v>
      </c>
      <c r="C220" s="67" t="s">
        <v>657</v>
      </c>
      <c r="D220" s="67" t="s">
        <v>658</v>
      </c>
      <c r="E220" s="67" t="s">
        <v>305</v>
      </c>
      <c r="F220" s="67" t="s">
        <v>1641</v>
      </c>
      <c r="G220" s="67" t="s">
        <v>1597</v>
      </c>
      <c r="H220" s="67"/>
      <c r="I220" s="67" t="s">
        <v>41</v>
      </c>
      <c r="J220" s="67" t="s">
        <v>68</v>
      </c>
      <c r="K220" s="67" t="s">
        <v>1643</v>
      </c>
      <c r="L220" s="67" t="s">
        <v>787</v>
      </c>
      <c r="M220" s="67" t="s">
        <v>752</v>
      </c>
      <c r="N220" s="67" t="s">
        <v>1598</v>
      </c>
      <c r="O220" s="67" t="s">
        <v>1599</v>
      </c>
      <c r="P220" s="67"/>
      <c r="Q220" s="67">
        <v>700</v>
      </c>
      <c r="R220" s="67">
        <v>0</v>
      </c>
      <c r="S220" s="67">
        <v>0</v>
      </c>
      <c r="T220" s="67">
        <v>0</v>
      </c>
      <c r="U220" s="67">
        <v>0</v>
      </c>
      <c r="V220" s="67">
        <v>0</v>
      </c>
      <c r="W220" s="67">
        <v>0</v>
      </c>
      <c r="X220" s="67">
        <v>0</v>
      </c>
      <c r="Y220" s="67">
        <v>0</v>
      </c>
      <c r="Z220" s="67">
        <v>0</v>
      </c>
      <c r="AA220" s="67">
        <v>0</v>
      </c>
      <c r="AB220" s="67">
        <v>0</v>
      </c>
      <c r="AC220" s="67">
        <v>0</v>
      </c>
      <c r="AD220" s="67">
        <v>0</v>
      </c>
      <c r="AE220" s="67">
        <v>0</v>
      </c>
      <c r="AF220" s="67">
        <v>0</v>
      </c>
      <c r="AG220" s="67">
        <v>0</v>
      </c>
      <c r="AH220" s="67">
        <v>0</v>
      </c>
      <c r="AI220" s="67">
        <v>0</v>
      </c>
      <c r="AJ220" s="67">
        <v>0</v>
      </c>
      <c r="AK220" s="67">
        <v>0</v>
      </c>
      <c r="AL220" s="67">
        <v>0</v>
      </c>
      <c r="AM220" s="67">
        <v>0</v>
      </c>
      <c r="AN220" s="67">
        <v>0</v>
      </c>
      <c r="AO220" s="67">
        <v>700</v>
      </c>
      <c r="AP220" s="67">
        <v>0</v>
      </c>
      <c r="AQ220" s="67">
        <v>0</v>
      </c>
      <c r="AR220" s="67">
        <v>0</v>
      </c>
      <c r="AS220" s="67">
        <v>0</v>
      </c>
      <c r="AT220" s="67"/>
      <c r="AU220" s="67"/>
      <c r="AV220" s="67"/>
      <c r="AW220" s="67">
        <v>0</v>
      </c>
      <c r="AX220" s="67">
        <v>0</v>
      </c>
      <c r="AY220" s="67"/>
      <c r="AZ220" s="67"/>
      <c r="BA220" s="67"/>
      <c r="BB220" s="67"/>
      <c r="BC220" s="67"/>
      <c r="BD220" s="67"/>
      <c r="BE220" s="67"/>
      <c r="BG220" s="67"/>
      <c r="BH220" s="67"/>
      <c r="BI220" s="67"/>
      <c r="BJ220" s="67">
        <v>0</v>
      </c>
      <c r="BK220" s="67"/>
      <c r="BL220" s="67"/>
      <c r="BP220" s="67"/>
      <c r="BQ220" s="67">
        <v>0</v>
      </c>
      <c r="BR220" s="67"/>
      <c r="BS220" s="67"/>
      <c r="BT220" s="67">
        <v>0</v>
      </c>
      <c r="BU220" s="67"/>
      <c r="BV220" s="67"/>
      <c r="BW220" s="67">
        <v>0</v>
      </c>
      <c r="BX220" s="67">
        <v>0</v>
      </c>
      <c r="BY220" s="67">
        <v>0</v>
      </c>
      <c r="BZ220" s="67">
        <v>0</v>
      </c>
      <c r="CA220" s="67"/>
      <c r="CB220" s="67">
        <v>0</v>
      </c>
      <c r="CC220" s="67"/>
      <c r="CD220" s="67"/>
      <c r="CE220" s="67">
        <v>0</v>
      </c>
      <c r="CF220" s="67">
        <v>0</v>
      </c>
      <c r="CG220" s="67"/>
      <c r="CH220" s="67"/>
      <c r="CI220" s="67"/>
      <c r="CJ220" s="67"/>
      <c r="CK220" s="67">
        <v>0</v>
      </c>
      <c r="CL220" s="67">
        <v>0</v>
      </c>
      <c r="CM220" s="67"/>
      <c r="CN220" s="67"/>
      <c r="CO220" s="67">
        <v>0</v>
      </c>
      <c r="CP220" s="67">
        <v>0</v>
      </c>
      <c r="CQ220" s="67"/>
      <c r="CR220" s="67"/>
      <c r="CS220" s="67"/>
      <c r="CT220" s="67"/>
      <c r="CU220" s="67">
        <v>0</v>
      </c>
      <c r="CV220" s="67"/>
      <c r="CW220" s="67"/>
      <c r="CX220" s="67"/>
      <c r="CY220" s="67">
        <v>0</v>
      </c>
      <c r="CZ220" s="67"/>
      <c r="DA220" s="67"/>
      <c r="DB220" s="67"/>
      <c r="DC220" s="67"/>
      <c r="DF220" s="67"/>
      <c r="DG220" s="67">
        <v>0</v>
      </c>
      <c r="DH220" s="67">
        <v>0</v>
      </c>
      <c r="DI220" s="67">
        <v>0</v>
      </c>
      <c r="DJ220" s="67"/>
      <c r="DK220" s="67">
        <v>0</v>
      </c>
      <c r="DL220" s="67">
        <v>0</v>
      </c>
      <c r="DM220" s="67">
        <v>0</v>
      </c>
      <c r="DN220" s="67"/>
      <c r="DO220" s="67"/>
      <c r="DP220" s="67"/>
      <c r="DQ220" s="67">
        <v>0</v>
      </c>
      <c r="DR220" s="67">
        <v>0</v>
      </c>
      <c r="DS220" s="67"/>
      <c r="DT220" s="67"/>
      <c r="DU220" s="67">
        <v>0</v>
      </c>
      <c r="DV220" s="67">
        <v>0</v>
      </c>
      <c r="DW220" s="67">
        <v>0</v>
      </c>
      <c r="DX220" s="67">
        <v>0</v>
      </c>
      <c r="DY220" s="67"/>
      <c r="DZ220" s="67">
        <v>0</v>
      </c>
      <c r="EA220" s="67"/>
      <c r="EB220" s="67">
        <v>0</v>
      </c>
      <c r="EC220" s="67"/>
      <c r="ED220" s="67">
        <v>0</v>
      </c>
      <c r="EE220" s="67"/>
      <c r="EF220" s="67">
        <v>0</v>
      </c>
      <c r="EG220" s="67"/>
      <c r="EH220" s="67"/>
      <c r="EI220" s="67"/>
      <c r="EJ220" s="67"/>
      <c r="EK220" s="67"/>
      <c r="EL220" s="67"/>
      <c r="EM220" s="67"/>
      <c r="EN220" s="67"/>
      <c r="EO220" s="67"/>
      <c r="EP220" s="67">
        <v>0</v>
      </c>
      <c r="EQ220" s="67">
        <v>50</v>
      </c>
      <c r="ER220" s="67">
        <v>50</v>
      </c>
      <c r="ES220" s="67"/>
      <c r="ET220">
        <v>0</v>
      </c>
      <c r="EX220" s="67"/>
      <c r="EY220" s="67"/>
      <c r="EZ220" s="67"/>
      <c r="FA220" s="67">
        <v>700</v>
      </c>
      <c r="FB220" s="67"/>
      <c r="FC220" s="67"/>
      <c r="FD220" s="67"/>
      <c r="FE220" s="67"/>
      <c r="FF220" s="67"/>
      <c r="FG220" s="67"/>
      <c r="FH220" s="67"/>
      <c r="FI220" s="67" t="s">
        <v>1600</v>
      </c>
    </row>
    <row r="221" spans="2:165" x14ac:dyDescent="0.2">
      <c r="B221" s="67"/>
      <c r="C221" s="67" t="s">
        <v>1704</v>
      </c>
      <c r="D221" s="67" t="s">
        <v>659</v>
      </c>
      <c r="E221" s="67" t="s">
        <v>305</v>
      </c>
      <c r="F221" s="67" t="s">
        <v>1641</v>
      </c>
      <c r="G221" s="67" t="s">
        <v>1597</v>
      </c>
      <c r="H221" s="67"/>
      <c r="I221" s="67" t="s">
        <v>41</v>
      </c>
      <c r="J221" s="67" t="s">
        <v>68</v>
      </c>
      <c r="K221" s="67" t="s">
        <v>1643</v>
      </c>
      <c r="L221" s="67" t="s">
        <v>787</v>
      </c>
      <c r="M221" s="67" t="s">
        <v>752</v>
      </c>
      <c r="N221" s="67" t="s">
        <v>1604</v>
      </c>
      <c r="O221" s="67" t="s">
        <v>1605</v>
      </c>
      <c r="P221" s="67"/>
      <c r="Q221" s="67">
        <v>0</v>
      </c>
      <c r="R221" s="67">
        <v>0</v>
      </c>
      <c r="S221" s="67">
        <v>0</v>
      </c>
      <c r="T221" s="67">
        <v>0</v>
      </c>
      <c r="U221" s="67">
        <v>0</v>
      </c>
      <c r="V221" s="67">
        <v>0</v>
      </c>
      <c r="W221" s="67">
        <v>0</v>
      </c>
      <c r="X221" s="67">
        <v>0</v>
      </c>
      <c r="Y221" s="67">
        <v>0</v>
      </c>
      <c r="Z221" s="67">
        <v>0</v>
      </c>
      <c r="AA221" s="67">
        <v>0</v>
      </c>
      <c r="AB221" s="67">
        <v>0</v>
      </c>
      <c r="AC221" s="67">
        <v>0</v>
      </c>
      <c r="AD221" s="67">
        <v>0</v>
      </c>
      <c r="AE221" s="67">
        <v>0</v>
      </c>
      <c r="AF221" s="67">
        <v>0</v>
      </c>
      <c r="AG221" s="67">
        <v>0</v>
      </c>
      <c r="AH221" s="67">
        <v>0</v>
      </c>
      <c r="AI221" s="67">
        <v>0</v>
      </c>
      <c r="AJ221" s="67">
        <v>0</v>
      </c>
      <c r="AK221" s="67">
        <v>0</v>
      </c>
      <c r="AL221" s="67">
        <v>0</v>
      </c>
      <c r="AM221" s="67">
        <v>0</v>
      </c>
      <c r="AN221" s="67">
        <v>0</v>
      </c>
      <c r="AO221" s="67">
        <v>0</v>
      </c>
      <c r="AP221" s="67">
        <v>0</v>
      </c>
      <c r="AQ221" s="67">
        <v>0</v>
      </c>
      <c r="AR221" s="67">
        <v>0</v>
      </c>
      <c r="AS221" s="67">
        <v>0</v>
      </c>
      <c r="AT221" s="67"/>
      <c r="AU221" s="67"/>
      <c r="AV221" s="67"/>
      <c r="AW221" s="67">
        <v>0</v>
      </c>
      <c r="AX221" s="67">
        <v>0</v>
      </c>
      <c r="AY221" s="67"/>
      <c r="AZ221" s="67"/>
      <c r="BA221" s="67"/>
      <c r="BB221" s="67"/>
      <c r="BC221" s="67"/>
      <c r="BD221" s="67"/>
      <c r="BE221" s="67"/>
      <c r="BG221" s="67"/>
      <c r="BH221" s="67"/>
      <c r="BI221" s="67"/>
      <c r="BJ221" s="67">
        <v>0</v>
      </c>
      <c r="BK221" s="67"/>
      <c r="BL221" s="67"/>
      <c r="BP221" s="67"/>
      <c r="BQ221" s="67">
        <v>0</v>
      </c>
      <c r="BR221" s="67"/>
      <c r="BS221" s="67"/>
      <c r="BT221" s="67">
        <v>0</v>
      </c>
      <c r="BU221" s="67"/>
      <c r="BV221" s="67"/>
      <c r="BW221" s="67">
        <v>0</v>
      </c>
      <c r="BX221" s="67">
        <v>0</v>
      </c>
      <c r="BY221" s="67">
        <v>0</v>
      </c>
      <c r="BZ221" s="67">
        <v>0</v>
      </c>
      <c r="CA221" s="67"/>
      <c r="CB221" s="67">
        <v>0</v>
      </c>
      <c r="CC221" s="67"/>
      <c r="CD221" s="67"/>
      <c r="CE221" s="67">
        <v>0</v>
      </c>
      <c r="CF221" s="67">
        <v>0</v>
      </c>
      <c r="CG221" s="67"/>
      <c r="CH221" s="67"/>
      <c r="CI221" s="67"/>
      <c r="CJ221" s="67"/>
      <c r="CK221" s="67">
        <v>0</v>
      </c>
      <c r="CL221" s="67">
        <v>0</v>
      </c>
      <c r="CM221" s="67"/>
      <c r="CN221" s="67"/>
      <c r="CO221" s="67">
        <v>0</v>
      </c>
      <c r="CP221" s="67">
        <v>0</v>
      </c>
      <c r="CQ221" s="67"/>
      <c r="CR221" s="67"/>
      <c r="CS221" s="67"/>
      <c r="CT221" s="67"/>
      <c r="CU221" s="67">
        <v>0</v>
      </c>
      <c r="CV221" s="67"/>
      <c r="CW221" s="67"/>
      <c r="CX221" s="67"/>
      <c r="CY221" s="67">
        <v>0</v>
      </c>
      <c r="CZ221" s="67"/>
      <c r="DA221" s="67"/>
      <c r="DB221" s="67"/>
      <c r="DC221" s="67"/>
      <c r="DF221" s="67"/>
      <c r="DG221" s="67">
        <v>0</v>
      </c>
      <c r="DH221" s="67">
        <v>0</v>
      </c>
      <c r="DI221" s="67">
        <v>0</v>
      </c>
      <c r="DJ221" s="67"/>
      <c r="DK221" s="67">
        <v>0</v>
      </c>
      <c r="DL221" s="67">
        <v>0</v>
      </c>
      <c r="DM221" s="67">
        <v>0</v>
      </c>
      <c r="DN221" s="67"/>
      <c r="DO221" s="67"/>
      <c r="DP221" s="67"/>
      <c r="DQ221" s="67">
        <v>0</v>
      </c>
      <c r="DR221" s="67">
        <v>0</v>
      </c>
      <c r="DS221" s="67"/>
      <c r="DT221" s="67"/>
      <c r="DU221" s="67">
        <v>0</v>
      </c>
      <c r="DV221" s="67">
        <v>0</v>
      </c>
      <c r="DW221" s="67">
        <v>0</v>
      </c>
      <c r="DX221" s="67">
        <v>0</v>
      </c>
      <c r="DY221" s="67"/>
      <c r="DZ221" s="67">
        <v>0</v>
      </c>
      <c r="EA221" s="67"/>
      <c r="EB221" s="67">
        <v>0</v>
      </c>
      <c r="EC221" s="67"/>
      <c r="ED221" s="67">
        <v>0</v>
      </c>
      <c r="EE221" s="67"/>
      <c r="EF221" s="67">
        <v>0</v>
      </c>
      <c r="EG221" s="67"/>
      <c r="EH221" s="67"/>
      <c r="EI221" s="67"/>
      <c r="EJ221" s="67"/>
      <c r="EK221" s="67"/>
      <c r="EL221" s="67"/>
      <c r="EM221" s="67"/>
      <c r="EN221" s="67"/>
      <c r="EO221" s="67"/>
      <c r="EP221" s="67">
        <v>0</v>
      </c>
      <c r="EQ221" s="67">
        <v>600</v>
      </c>
      <c r="ER221" s="67">
        <v>600</v>
      </c>
      <c r="ES221" s="67"/>
      <c r="ET221">
        <v>0</v>
      </c>
      <c r="EX221" s="67"/>
      <c r="EY221" s="67"/>
      <c r="EZ221" s="67"/>
      <c r="FA221" s="67">
        <v>0</v>
      </c>
      <c r="FB221" s="67"/>
      <c r="FC221" s="67"/>
      <c r="FD221" s="67"/>
      <c r="FE221" s="67"/>
      <c r="FF221" s="67"/>
      <c r="FG221" s="67"/>
      <c r="FH221" s="67"/>
      <c r="FI221" s="67" t="s">
        <v>1600</v>
      </c>
    </row>
    <row r="222" spans="2:165" x14ac:dyDescent="0.2">
      <c r="B222" s="67"/>
      <c r="C222" s="67" t="s">
        <v>1705</v>
      </c>
      <c r="D222" s="67" t="s">
        <v>660</v>
      </c>
      <c r="E222" s="67" t="s">
        <v>20</v>
      </c>
      <c r="F222" s="67" t="s">
        <v>1224</v>
      </c>
      <c r="G222" s="67" t="s">
        <v>1597</v>
      </c>
      <c r="H222" s="67"/>
      <c r="I222" s="67" t="s">
        <v>41</v>
      </c>
      <c r="J222" s="67" t="s">
        <v>71</v>
      </c>
      <c r="K222" s="67" t="s">
        <v>1706</v>
      </c>
      <c r="L222" s="67" t="s">
        <v>787</v>
      </c>
      <c r="M222" s="67" t="s">
        <v>752</v>
      </c>
      <c r="N222" s="67" t="s">
        <v>1604</v>
      </c>
      <c r="O222" s="67" t="s">
        <v>1605</v>
      </c>
      <c r="P222" s="67"/>
      <c r="Q222" s="67">
        <v>0</v>
      </c>
      <c r="R222" s="67">
        <v>0</v>
      </c>
      <c r="S222" s="67">
        <v>0</v>
      </c>
      <c r="T222" s="67">
        <v>0</v>
      </c>
      <c r="U222" s="67">
        <v>0</v>
      </c>
      <c r="V222" s="67">
        <v>0</v>
      </c>
      <c r="W222" s="67">
        <v>0</v>
      </c>
      <c r="X222" s="67">
        <v>0</v>
      </c>
      <c r="Y222" s="67">
        <v>0</v>
      </c>
      <c r="Z222" s="67">
        <v>0</v>
      </c>
      <c r="AA222" s="67">
        <v>0</v>
      </c>
      <c r="AB222" s="67">
        <v>0</v>
      </c>
      <c r="AC222" s="67">
        <v>0</v>
      </c>
      <c r="AD222" s="67">
        <v>0</v>
      </c>
      <c r="AE222" s="67">
        <v>0</v>
      </c>
      <c r="AF222" s="67">
        <v>0</v>
      </c>
      <c r="AG222" s="67">
        <v>0</v>
      </c>
      <c r="AH222" s="67">
        <v>0</v>
      </c>
      <c r="AI222" s="67">
        <v>0</v>
      </c>
      <c r="AJ222" s="67">
        <v>0</v>
      </c>
      <c r="AK222" s="67">
        <v>0</v>
      </c>
      <c r="AL222" s="67">
        <v>0</v>
      </c>
      <c r="AM222" s="67">
        <v>0</v>
      </c>
      <c r="AN222" s="67">
        <v>0</v>
      </c>
      <c r="AO222" s="67">
        <v>0</v>
      </c>
      <c r="AP222" s="67">
        <v>0</v>
      </c>
      <c r="AQ222" s="67">
        <v>0</v>
      </c>
      <c r="AR222" s="67">
        <v>0</v>
      </c>
      <c r="AS222" s="67">
        <v>0</v>
      </c>
      <c r="AT222" s="67"/>
      <c r="AU222" s="67"/>
      <c r="AV222" s="67"/>
      <c r="AW222" s="67">
        <v>0</v>
      </c>
      <c r="AX222" s="67">
        <v>0</v>
      </c>
      <c r="AY222" s="67"/>
      <c r="AZ222" s="67"/>
      <c r="BA222" s="67"/>
      <c r="BB222" s="67"/>
      <c r="BC222" s="67"/>
      <c r="BD222" s="67"/>
      <c r="BE222" s="67"/>
      <c r="BG222" s="67"/>
      <c r="BH222" s="67"/>
      <c r="BI222" s="67"/>
      <c r="BJ222" s="67">
        <v>0</v>
      </c>
      <c r="BK222" s="67"/>
      <c r="BL222" s="67"/>
      <c r="BP222" s="67"/>
      <c r="BQ222" s="67">
        <v>0</v>
      </c>
      <c r="BR222" s="67"/>
      <c r="BS222" s="67"/>
      <c r="BT222" s="67">
        <v>0</v>
      </c>
      <c r="BU222" s="67"/>
      <c r="BV222" s="67"/>
      <c r="BW222" s="67">
        <v>0</v>
      </c>
      <c r="BX222" s="67">
        <v>0</v>
      </c>
      <c r="BY222" s="67">
        <v>0</v>
      </c>
      <c r="BZ222" s="67">
        <v>0</v>
      </c>
      <c r="CA222" s="67"/>
      <c r="CB222" s="67">
        <v>0</v>
      </c>
      <c r="CC222" s="67"/>
      <c r="CD222" s="67"/>
      <c r="CE222" s="67">
        <v>0</v>
      </c>
      <c r="CF222" s="67">
        <v>0</v>
      </c>
      <c r="CG222" s="67"/>
      <c r="CH222" s="67"/>
      <c r="CI222" s="67"/>
      <c r="CJ222" s="67"/>
      <c r="CK222" s="67">
        <v>0</v>
      </c>
      <c r="CL222" s="67">
        <v>0</v>
      </c>
      <c r="CM222" s="67"/>
      <c r="CN222" s="67"/>
      <c r="CO222" s="67">
        <v>0</v>
      </c>
      <c r="CP222" s="67">
        <v>0</v>
      </c>
      <c r="CQ222" s="67"/>
      <c r="CR222" s="67"/>
      <c r="CS222" s="67"/>
      <c r="CT222" s="67"/>
      <c r="CU222" s="67">
        <v>0</v>
      </c>
      <c r="CV222" s="67"/>
      <c r="CW222" s="67"/>
      <c r="CX222" s="67"/>
      <c r="CY222" s="67">
        <v>0</v>
      </c>
      <c r="CZ222" s="67"/>
      <c r="DA222" s="67"/>
      <c r="DB222" s="67"/>
      <c r="DC222" s="67"/>
      <c r="DF222" s="67"/>
      <c r="DG222" s="67">
        <v>0</v>
      </c>
      <c r="DH222" s="67">
        <v>0</v>
      </c>
      <c r="DI222" s="67">
        <v>0</v>
      </c>
      <c r="DJ222" s="67"/>
      <c r="DK222" s="67">
        <v>0</v>
      </c>
      <c r="DL222" s="67">
        <v>0</v>
      </c>
      <c r="DM222" s="67">
        <v>0</v>
      </c>
      <c r="DN222" s="67"/>
      <c r="DO222" s="67"/>
      <c r="DP222" s="67"/>
      <c r="DQ222" s="67">
        <v>0</v>
      </c>
      <c r="DR222" s="67">
        <v>0</v>
      </c>
      <c r="DS222" s="67"/>
      <c r="DT222" s="67"/>
      <c r="DU222" s="67">
        <v>0</v>
      </c>
      <c r="DV222" s="67">
        <v>0</v>
      </c>
      <c r="DW222" s="67">
        <v>0</v>
      </c>
      <c r="DX222" s="67">
        <v>0</v>
      </c>
      <c r="DY222" s="67"/>
      <c r="DZ222" s="67">
        <v>0</v>
      </c>
      <c r="EA222" s="67"/>
      <c r="EB222" s="67">
        <v>0</v>
      </c>
      <c r="EC222" s="67"/>
      <c r="ED222" s="67">
        <v>0</v>
      </c>
      <c r="EE222" s="67"/>
      <c r="EF222" s="67">
        <v>0</v>
      </c>
      <c r="EG222" s="67"/>
      <c r="EH222" s="67"/>
      <c r="EI222" s="67"/>
      <c r="EJ222" s="67"/>
      <c r="EK222" s="67"/>
      <c r="EL222" s="67"/>
      <c r="EM222" s="67"/>
      <c r="EN222" s="67"/>
      <c r="EO222" s="67"/>
      <c r="EP222" s="67">
        <v>0</v>
      </c>
      <c r="EQ222" s="67">
        <v>0</v>
      </c>
      <c r="ER222" s="67">
        <v>0</v>
      </c>
      <c r="ES222" s="67"/>
      <c r="ET222">
        <v>0</v>
      </c>
      <c r="EX222" s="67"/>
      <c r="EY222" s="67"/>
      <c r="EZ222" s="67"/>
      <c r="FA222" s="67">
        <v>0</v>
      </c>
      <c r="FB222" s="67"/>
      <c r="FC222" s="67"/>
      <c r="FD222" s="67"/>
      <c r="FE222" s="67"/>
      <c r="FF222" s="67"/>
      <c r="FG222" s="67"/>
      <c r="FH222" s="67"/>
      <c r="FI222" s="67" t="s">
        <v>1600</v>
      </c>
    </row>
    <row r="223" spans="2:165" x14ac:dyDescent="0.2">
      <c r="B223" s="67"/>
      <c r="C223" s="67" t="s">
        <v>1707</v>
      </c>
      <c r="D223" s="67" t="s">
        <v>661</v>
      </c>
      <c r="E223" s="67" t="s">
        <v>23</v>
      </c>
      <c r="F223" s="67" t="s">
        <v>1708</v>
      </c>
      <c r="G223" s="67"/>
      <c r="H223" s="67"/>
      <c r="I223" s="67" t="s">
        <v>41</v>
      </c>
      <c r="J223" s="67" t="s">
        <v>71</v>
      </c>
      <c r="K223" s="67" t="s">
        <v>1709</v>
      </c>
      <c r="L223" s="67" t="s">
        <v>787</v>
      </c>
      <c r="M223" s="67" t="s">
        <v>752</v>
      </c>
      <c r="N223" s="67" t="s">
        <v>1598</v>
      </c>
      <c r="O223" s="67" t="s">
        <v>1599</v>
      </c>
      <c r="P223" s="67"/>
      <c r="Q223" s="67">
        <v>0</v>
      </c>
      <c r="R223" s="67">
        <v>0</v>
      </c>
      <c r="S223" s="67">
        <v>0</v>
      </c>
      <c r="T223" s="67">
        <v>0</v>
      </c>
      <c r="U223" s="67">
        <v>0</v>
      </c>
      <c r="V223" s="67">
        <v>0</v>
      </c>
      <c r="W223" s="67">
        <v>0</v>
      </c>
      <c r="X223" s="67">
        <v>0</v>
      </c>
      <c r="Y223" s="67">
        <v>0</v>
      </c>
      <c r="Z223" s="67">
        <v>0</v>
      </c>
      <c r="AA223" s="67">
        <v>0</v>
      </c>
      <c r="AB223" s="67">
        <v>0</v>
      </c>
      <c r="AC223" s="67">
        <v>0</v>
      </c>
      <c r="AD223" s="67">
        <v>0</v>
      </c>
      <c r="AE223" s="67">
        <v>0</v>
      </c>
      <c r="AF223" s="67">
        <v>0</v>
      </c>
      <c r="AG223" s="67">
        <v>0</v>
      </c>
      <c r="AH223" s="67">
        <v>0</v>
      </c>
      <c r="AI223" s="67">
        <v>0</v>
      </c>
      <c r="AJ223" s="67">
        <v>0</v>
      </c>
      <c r="AK223" s="67">
        <v>0</v>
      </c>
      <c r="AL223" s="67">
        <v>0</v>
      </c>
      <c r="AM223" s="67">
        <v>0</v>
      </c>
      <c r="AN223" s="67">
        <v>0</v>
      </c>
      <c r="AO223" s="67">
        <v>0</v>
      </c>
      <c r="AP223" s="67">
        <v>0</v>
      </c>
      <c r="AQ223" s="67">
        <v>0</v>
      </c>
      <c r="AR223" s="67">
        <v>0</v>
      </c>
      <c r="AS223" s="67">
        <v>0</v>
      </c>
      <c r="AT223" s="67"/>
      <c r="AU223" s="67"/>
      <c r="AV223" s="67"/>
      <c r="AW223" s="67">
        <v>0</v>
      </c>
      <c r="AX223" s="67">
        <v>0</v>
      </c>
      <c r="AY223" s="67"/>
      <c r="AZ223" s="67"/>
      <c r="BA223" s="67"/>
      <c r="BB223" s="67"/>
      <c r="BC223" s="67"/>
      <c r="BD223" s="67"/>
      <c r="BE223" s="67"/>
      <c r="BG223" s="67"/>
      <c r="BH223" s="67"/>
      <c r="BI223" s="67"/>
      <c r="BJ223" s="67">
        <v>0</v>
      </c>
      <c r="BK223" s="67"/>
      <c r="BL223" s="67"/>
      <c r="BP223" s="67"/>
      <c r="BQ223" s="67">
        <v>0</v>
      </c>
      <c r="BR223" s="67"/>
      <c r="BS223" s="67"/>
      <c r="BT223" s="67">
        <v>0</v>
      </c>
      <c r="BU223" s="67"/>
      <c r="BV223" s="67"/>
      <c r="BW223" s="67">
        <v>0</v>
      </c>
      <c r="BX223" s="67">
        <v>0</v>
      </c>
      <c r="BY223" s="67">
        <v>0</v>
      </c>
      <c r="BZ223" s="67">
        <v>0</v>
      </c>
      <c r="CA223" s="67"/>
      <c r="CB223" s="67">
        <v>0</v>
      </c>
      <c r="CC223" s="67"/>
      <c r="CD223" s="67"/>
      <c r="CE223" s="67">
        <v>0</v>
      </c>
      <c r="CF223" s="67">
        <v>0</v>
      </c>
      <c r="CG223" s="67"/>
      <c r="CH223" s="67"/>
      <c r="CI223" s="67"/>
      <c r="CJ223" s="67"/>
      <c r="CK223" s="67">
        <v>0</v>
      </c>
      <c r="CL223" s="67">
        <v>0</v>
      </c>
      <c r="CM223" s="67"/>
      <c r="CN223" s="67"/>
      <c r="CO223" s="67">
        <v>0</v>
      </c>
      <c r="CP223" s="67">
        <v>0</v>
      </c>
      <c r="CQ223" s="67"/>
      <c r="CR223" s="67"/>
      <c r="CS223" s="67"/>
      <c r="CT223" s="67"/>
      <c r="CU223" s="67">
        <v>0</v>
      </c>
      <c r="CV223" s="67"/>
      <c r="CW223" s="67"/>
      <c r="CX223" s="67"/>
      <c r="CY223" s="67">
        <v>0</v>
      </c>
      <c r="CZ223" s="67"/>
      <c r="DA223" s="67"/>
      <c r="DB223" s="67"/>
      <c r="DC223" s="67"/>
      <c r="DF223" s="67"/>
      <c r="DG223" s="67">
        <v>0</v>
      </c>
      <c r="DH223" s="67">
        <v>0</v>
      </c>
      <c r="DI223" s="67">
        <v>0</v>
      </c>
      <c r="DJ223" s="67"/>
      <c r="DK223" s="67">
        <v>0</v>
      </c>
      <c r="DL223" s="67">
        <v>0</v>
      </c>
      <c r="DM223" s="67">
        <v>0</v>
      </c>
      <c r="DN223" s="67"/>
      <c r="DO223" s="67"/>
      <c r="DP223" s="67"/>
      <c r="DQ223" s="67">
        <v>0</v>
      </c>
      <c r="DR223" s="67">
        <v>0</v>
      </c>
      <c r="DS223" s="67"/>
      <c r="DT223" s="67"/>
      <c r="DU223" s="67">
        <v>0</v>
      </c>
      <c r="DV223" s="67">
        <v>0</v>
      </c>
      <c r="DW223" s="67">
        <v>0</v>
      </c>
      <c r="DX223" s="67">
        <v>0</v>
      </c>
      <c r="DY223" s="67"/>
      <c r="DZ223" s="67">
        <v>0</v>
      </c>
      <c r="EA223" s="67"/>
      <c r="EB223" s="67">
        <v>0</v>
      </c>
      <c r="EC223" s="67"/>
      <c r="ED223" s="67">
        <v>0</v>
      </c>
      <c r="EE223" s="67"/>
      <c r="EF223" s="67">
        <v>0</v>
      </c>
      <c r="EG223" s="67"/>
      <c r="EH223" s="67"/>
      <c r="EI223" s="67"/>
      <c r="EJ223" s="67"/>
      <c r="EK223" s="67"/>
      <c r="EL223" s="67"/>
      <c r="EM223" s="67"/>
      <c r="EN223" s="67"/>
      <c r="EO223" s="67"/>
      <c r="EP223" s="67">
        <v>0</v>
      </c>
      <c r="EQ223" s="67">
        <v>0</v>
      </c>
      <c r="ER223" s="67">
        <v>0</v>
      </c>
      <c r="ES223" s="67"/>
      <c r="ET223">
        <v>0</v>
      </c>
      <c r="EX223" s="67"/>
      <c r="EY223" s="67"/>
      <c r="EZ223" s="67"/>
      <c r="FA223" s="67">
        <v>0</v>
      </c>
      <c r="FB223" s="67"/>
      <c r="FC223" s="67"/>
      <c r="FD223" s="67"/>
      <c r="FE223" s="67"/>
      <c r="FF223" s="67"/>
      <c r="FG223" s="67"/>
      <c r="FH223" s="67"/>
      <c r="FI223" s="67" t="s">
        <v>1600</v>
      </c>
    </row>
    <row r="224" spans="2:165" x14ac:dyDescent="0.2">
      <c r="B224" s="67"/>
      <c r="C224" s="67" t="s">
        <v>1710</v>
      </c>
      <c r="D224" s="67" t="s">
        <v>662</v>
      </c>
      <c r="E224" s="67" t="s">
        <v>23</v>
      </c>
      <c r="F224" s="67" t="s">
        <v>1708</v>
      </c>
      <c r="G224" s="67"/>
      <c r="H224" s="67"/>
      <c r="I224" s="67" t="s">
        <v>41</v>
      </c>
      <c r="J224" s="67" t="s">
        <v>71</v>
      </c>
      <c r="K224" s="67" t="s">
        <v>1709</v>
      </c>
      <c r="L224" s="67" t="s">
        <v>787</v>
      </c>
      <c r="M224" s="67" t="s">
        <v>752</v>
      </c>
      <c r="N224" s="67" t="s">
        <v>1598</v>
      </c>
      <c r="O224" s="67" t="s">
        <v>1599</v>
      </c>
      <c r="P224" s="67"/>
      <c r="Q224" s="67">
        <v>0</v>
      </c>
      <c r="R224" s="67">
        <v>0</v>
      </c>
      <c r="S224" s="67">
        <v>0</v>
      </c>
      <c r="T224" s="67">
        <v>0</v>
      </c>
      <c r="U224" s="67">
        <v>0</v>
      </c>
      <c r="V224" s="67">
        <v>0</v>
      </c>
      <c r="W224" s="67">
        <v>0</v>
      </c>
      <c r="X224" s="67">
        <v>0</v>
      </c>
      <c r="Y224" s="67">
        <v>0</v>
      </c>
      <c r="Z224" s="67">
        <v>0</v>
      </c>
      <c r="AA224" s="67">
        <v>0</v>
      </c>
      <c r="AB224" s="67">
        <v>0</v>
      </c>
      <c r="AC224" s="67">
        <v>0</v>
      </c>
      <c r="AD224" s="67">
        <v>0</v>
      </c>
      <c r="AE224" s="67">
        <v>0</v>
      </c>
      <c r="AF224" s="67">
        <v>0</v>
      </c>
      <c r="AG224" s="67">
        <v>0</v>
      </c>
      <c r="AH224" s="67">
        <v>0</v>
      </c>
      <c r="AI224" s="67">
        <v>0</v>
      </c>
      <c r="AJ224" s="67">
        <v>0</v>
      </c>
      <c r="AK224" s="67">
        <v>0</v>
      </c>
      <c r="AL224" s="67">
        <v>0</v>
      </c>
      <c r="AM224" s="67">
        <v>0</v>
      </c>
      <c r="AN224" s="67">
        <v>0</v>
      </c>
      <c r="AO224" s="67">
        <v>0</v>
      </c>
      <c r="AP224" s="67">
        <v>0</v>
      </c>
      <c r="AQ224" s="67">
        <v>0</v>
      </c>
      <c r="AR224" s="67">
        <v>0</v>
      </c>
      <c r="AS224" s="67">
        <v>0</v>
      </c>
      <c r="AT224" s="67"/>
      <c r="AU224" s="67"/>
      <c r="AV224" s="67"/>
      <c r="AW224" s="67">
        <v>0</v>
      </c>
      <c r="AX224" s="67">
        <v>0</v>
      </c>
      <c r="AY224" s="67"/>
      <c r="AZ224" s="67"/>
      <c r="BA224" s="67"/>
      <c r="BB224" s="67"/>
      <c r="BC224" s="67"/>
      <c r="BD224" s="67"/>
      <c r="BE224" s="67"/>
      <c r="BG224" s="67"/>
      <c r="BH224" s="67"/>
      <c r="BI224" s="67"/>
      <c r="BJ224" s="67">
        <v>0</v>
      </c>
      <c r="BK224" s="67"/>
      <c r="BL224" s="67"/>
      <c r="BP224" s="67"/>
      <c r="BQ224" s="67">
        <v>0</v>
      </c>
      <c r="BR224" s="67"/>
      <c r="BS224" s="67"/>
      <c r="BT224" s="67">
        <v>0</v>
      </c>
      <c r="BU224" s="67"/>
      <c r="BV224" s="67"/>
      <c r="BW224" s="67">
        <v>0</v>
      </c>
      <c r="BX224" s="67">
        <v>0</v>
      </c>
      <c r="BY224" s="67">
        <v>0</v>
      </c>
      <c r="BZ224" s="67">
        <v>0</v>
      </c>
      <c r="CA224" s="67"/>
      <c r="CB224" s="67">
        <v>0</v>
      </c>
      <c r="CC224" s="67"/>
      <c r="CD224" s="67"/>
      <c r="CE224" s="67">
        <v>0</v>
      </c>
      <c r="CF224" s="67">
        <v>0</v>
      </c>
      <c r="CG224" s="67"/>
      <c r="CH224" s="67"/>
      <c r="CI224" s="67"/>
      <c r="CJ224" s="67"/>
      <c r="CK224" s="67">
        <v>0</v>
      </c>
      <c r="CL224" s="67">
        <v>0</v>
      </c>
      <c r="CM224" s="67"/>
      <c r="CN224" s="67"/>
      <c r="CO224" s="67">
        <v>0</v>
      </c>
      <c r="CP224" s="67">
        <v>0</v>
      </c>
      <c r="CQ224" s="67"/>
      <c r="CR224" s="67"/>
      <c r="CS224" s="67"/>
      <c r="CT224" s="67"/>
      <c r="CU224" s="67">
        <v>0</v>
      </c>
      <c r="CV224" s="67"/>
      <c r="CW224" s="67"/>
      <c r="CX224" s="67"/>
      <c r="CY224" s="67">
        <v>0</v>
      </c>
      <c r="CZ224" s="67"/>
      <c r="DA224" s="67"/>
      <c r="DB224" s="67"/>
      <c r="DC224" s="67"/>
      <c r="DF224" s="67"/>
      <c r="DG224" s="67">
        <v>0</v>
      </c>
      <c r="DH224" s="67">
        <v>0</v>
      </c>
      <c r="DI224" s="67">
        <v>0</v>
      </c>
      <c r="DJ224" s="67"/>
      <c r="DK224" s="67">
        <v>0</v>
      </c>
      <c r="DL224" s="67">
        <v>0</v>
      </c>
      <c r="DM224" s="67">
        <v>0</v>
      </c>
      <c r="DN224" s="67"/>
      <c r="DO224" s="67"/>
      <c r="DP224" s="67"/>
      <c r="DQ224" s="67">
        <v>0</v>
      </c>
      <c r="DR224" s="67">
        <v>0</v>
      </c>
      <c r="DS224" s="67"/>
      <c r="DT224" s="67"/>
      <c r="DU224" s="67">
        <v>0</v>
      </c>
      <c r="DV224" s="67">
        <v>0</v>
      </c>
      <c r="DW224" s="67">
        <v>0</v>
      </c>
      <c r="DX224" s="67">
        <v>0</v>
      </c>
      <c r="DY224" s="67"/>
      <c r="DZ224" s="67">
        <v>0</v>
      </c>
      <c r="EA224" s="67"/>
      <c r="EB224" s="67">
        <v>0</v>
      </c>
      <c r="EC224" s="67"/>
      <c r="ED224" s="67">
        <v>0</v>
      </c>
      <c r="EE224" s="67"/>
      <c r="EF224" s="67">
        <v>0</v>
      </c>
      <c r="EG224" s="67"/>
      <c r="EH224" s="67"/>
      <c r="EI224" s="67"/>
      <c r="EJ224" s="67"/>
      <c r="EK224" s="67"/>
      <c r="EL224" s="67"/>
      <c r="EM224" s="67"/>
      <c r="EN224" s="67"/>
      <c r="EO224" s="67"/>
      <c r="EP224" s="67">
        <v>0</v>
      </c>
      <c r="EQ224" s="67">
        <v>0</v>
      </c>
      <c r="ER224" s="67">
        <v>0</v>
      </c>
      <c r="ES224" s="67"/>
      <c r="ET224">
        <v>0</v>
      </c>
      <c r="EX224" s="67"/>
      <c r="EY224" s="67"/>
      <c r="EZ224" s="67"/>
      <c r="FA224" s="67">
        <v>0</v>
      </c>
      <c r="FB224" s="67"/>
      <c r="FC224" s="67"/>
      <c r="FD224" s="67"/>
      <c r="FE224" s="67"/>
      <c r="FF224" s="67"/>
      <c r="FG224" s="67"/>
      <c r="FH224" s="67"/>
      <c r="FI224" s="67" t="s">
        <v>1600</v>
      </c>
    </row>
    <row r="225" spans="2:165" ht="24" x14ac:dyDescent="0.2">
      <c r="B225" s="67"/>
      <c r="C225" s="67" t="s">
        <v>1711</v>
      </c>
      <c r="D225" s="67" t="s">
        <v>663</v>
      </c>
      <c r="E225" s="67" t="s">
        <v>889</v>
      </c>
      <c r="F225" s="67" t="s">
        <v>1708</v>
      </c>
      <c r="G225" s="67"/>
      <c r="H225" s="67"/>
      <c r="I225" s="67" t="s">
        <v>41</v>
      </c>
      <c r="J225" s="67" t="s">
        <v>71</v>
      </c>
      <c r="K225" s="67" t="s">
        <v>1709</v>
      </c>
      <c r="L225" s="67" t="s">
        <v>787</v>
      </c>
      <c r="M225" s="67" t="s">
        <v>752</v>
      </c>
      <c r="N225" s="67" t="s">
        <v>1598</v>
      </c>
      <c r="O225" s="67" t="s">
        <v>1599</v>
      </c>
      <c r="P225" s="67"/>
      <c r="Q225" s="67">
        <v>0</v>
      </c>
      <c r="R225" s="67">
        <v>0</v>
      </c>
      <c r="S225" s="67">
        <v>0</v>
      </c>
      <c r="T225" s="67">
        <v>0</v>
      </c>
      <c r="U225" s="67">
        <v>0</v>
      </c>
      <c r="V225" s="67">
        <v>0</v>
      </c>
      <c r="W225" s="67">
        <v>0</v>
      </c>
      <c r="X225" s="67">
        <v>0</v>
      </c>
      <c r="Y225" s="67">
        <v>0</v>
      </c>
      <c r="Z225" s="67">
        <v>0</v>
      </c>
      <c r="AA225" s="67">
        <v>0</v>
      </c>
      <c r="AB225" s="67">
        <v>0</v>
      </c>
      <c r="AC225" s="67">
        <v>0</v>
      </c>
      <c r="AD225" s="67">
        <v>0</v>
      </c>
      <c r="AE225" s="67">
        <v>0</v>
      </c>
      <c r="AF225" s="67">
        <v>0</v>
      </c>
      <c r="AG225" s="67">
        <v>0</v>
      </c>
      <c r="AH225" s="67">
        <v>0</v>
      </c>
      <c r="AI225" s="67">
        <v>0</v>
      </c>
      <c r="AJ225" s="67">
        <v>0</v>
      </c>
      <c r="AK225" s="67">
        <v>0</v>
      </c>
      <c r="AL225" s="67">
        <v>0</v>
      </c>
      <c r="AM225" s="67">
        <v>0</v>
      </c>
      <c r="AN225" s="67">
        <v>0</v>
      </c>
      <c r="AO225" s="67">
        <v>0</v>
      </c>
      <c r="AP225" s="67">
        <v>0</v>
      </c>
      <c r="AQ225" s="67">
        <v>0</v>
      </c>
      <c r="AR225" s="67">
        <v>0</v>
      </c>
      <c r="AS225" s="67">
        <v>0</v>
      </c>
      <c r="AT225" s="67"/>
      <c r="AU225" s="67"/>
      <c r="AV225" s="67"/>
      <c r="AW225" s="67">
        <v>0</v>
      </c>
      <c r="AX225" s="67">
        <v>0</v>
      </c>
      <c r="AY225" s="67"/>
      <c r="AZ225" s="67"/>
      <c r="BA225" s="67"/>
      <c r="BB225" s="67"/>
      <c r="BC225" s="67"/>
      <c r="BD225" s="67"/>
      <c r="BE225" s="67"/>
      <c r="BG225" s="67"/>
      <c r="BH225" s="67"/>
      <c r="BI225" s="67"/>
      <c r="BJ225" s="67">
        <v>0</v>
      </c>
      <c r="BK225" s="67"/>
      <c r="BL225" s="67"/>
      <c r="BP225" s="67"/>
      <c r="BQ225" s="67">
        <v>0</v>
      </c>
      <c r="BR225" s="67"/>
      <c r="BS225" s="67"/>
      <c r="BT225" s="67">
        <v>0</v>
      </c>
      <c r="BU225" s="67"/>
      <c r="BV225" s="67"/>
      <c r="BW225" s="67">
        <v>0</v>
      </c>
      <c r="BX225" s="67">
        <v>0</v>
      </c>
      <c r="BY225" s="67">
        <v>0</v>
      </c>
      <c r="BZ225" s="67">
        <v>0</v>
      </c>
      <c r="CA225" s="67"/>
      <c r="CB225" s="67">
        <v>0</v>
      </c>
      <c r="CC225" s="67"/>
      <c r="CD225" s="67"/>
      <c r="CE225" s="67">
        <v>0</v>
      </c>
      <c r="CF225" s="67">
        <v>0</v>
      </c>
      <c r="CG225" s="67"/>
      <c r="CH225" s="67"/>
      <c r="CI225" s="67"/>
      <c r="CJ225" s="67"/>
      <c r="CK225" s="67">
        <v>0</v>
      </c>
      <c r="CL225" s="67">
        <v>0</v>
      </c>
      <c r="CM225" s="67"/>
      <c r="CN225" s="67"/>
      <c r="CO225" s="67">
        <v>0</v>
      </c>
      <c r="CP225" s="67">
        <v>0</v>
      </c>
      <c r="CQ225" s="67"/>
      <c r="CR225" s="67"/>
      <c r="CS225" s="67"/>
      <c r="CT225" s="67"/>
      <c r="CU225" s="67">
        <v>0</v>
      </c>
      <c r="CV225" s="67"/>
      <c r="CW225" s="67"/>
      <c r="CX225" s="67"/>
      <c r="CY225" s="67">
        <v>0</v>
      </c>
      <c r="CZ225" s="67"/>
      <c r="DA225" s="67"/>
      <c r="DB225" s="67"/>
      <c r="DC225" s="67"/>
      <c r="DF225" s="67"/>
      <c r="DG225" s="67">
        <v>0</v>
      </c>
      <c r="DH225" s="67">
        <v>0</v>
      </c>
      <c r="DI225" s="67">
        <v>0</v>
      </c>
      <c r="DJ225" s="67"/>
      <c r="DK225" s="67">
        <v>0</v>
      </c>
      <c r="DL225" s="67">
        <v>0</v>
      </c>
      <c r="DM225" s="67">
        <v>0</v>
      </c>
      <c r="DN225" s="67"/>
      <c r="DO225" s="67"/>
      <c r="DP225" s="67"/>
      <c r="DQ225" s="67">
        <v>0</v>
      </c>
      <c r="DR225" s="67">
        <v>0</v>
      </c>
      <c r="DS225" s="67"/>
      <c r="DT225" s="67"/>
      <c r="DU225" s="67">
        <v>0</v>
      </c>
      <c r="DV225" s="67">
        <v>0</v>
      </c>
      <c r="DW225" s="67">
        <v>0</v>
      </c>
      <c r="DX225" s="67">
        <v>0</v>
      </c>
      <c r="DY225" s="67"/>
      <c r="DZ225" s="67">
        <v>0</v>
      </c>
      <c r="EA225" s="67"/>
      <c r="EB225" s="67">
        <v>0</v>
      </c>
      <c r="EC225" s="67"/>
      <c r="ED225" s="67">
        <v>0</v>
      </c>
      <c r="EE225" s="67"/>
      <c r="EF225" s="67">
        <v>0</v>
      </c>
      <c r="EG225" s="67"/>
      <c r="EH225" s="67"/>
      <c r="EI225" s="67"/>
      <c r="EJ225" s="67"/>
      <c r="EK225" s="67"/>
      <c r="EL225" s="67"/>
      <c r="EM225" s="67"/>
      <c r="EN225" s="67"/>
      <c r="EO225" s="67"/>
      <c r="EP225" s="67">
        <v>0</v>
      </c>
      <c r="EQ225" s="67">
        <v>0</v>
      </c>
      <c r="ER225" s="67">
        <v>0</v>
      </c>
      <c r="ES225" s="67"/>
      <c r="ET225">
        <v>0</v>
      </c>
      <c r="EX225" s="67"/>
      <c r="EY225" s="67"/>
      <c r="EZ225" s="67"/>
      <c r="FA225" s="67">
        <v>0</v>
      </c>
      <c r="FB225" s="67"/>
      <c r="FC225" s="67"/>
      <c r="FD225" s="67"/>
      <c r="FE225" s="67"/>
      <c r="FF225" s="67"/>
      <c r="FG225" s="67"/>
      <c r="FH225" s="67"/>
      <c r="FI225" s="67" t="s">
        <v>1600</v>
      </c>
    </row>
    <row r="226" spans="2:165" x14ac:dyDescent="0.2">
      <c r="B226" s="67"/>
      <c r="C226" s="67" t="s">
        <v>1712</v>
      </c>
      <c r="D226" s="67" t="s">
        <v>664</v>
      </c>
      <c r="E226" s="67" t="s">
        <v>305</v>
      </c>
      <c r="F226" s="67" t="s">
        <v>1241</v>
      </c>
      <c r="G226" s="67"/>
      <c r="H226" s="67"/>
      <c r="I226" s="67" t="s">
        <v>41</v>
      </c>
      <c r="J226" s="67" t="s">
        <v>74</v>
      </c>
      <c r="K226" s="67" t="s">
        <v>1638</v>
      </c>
      <c r="L226" s="67" t="s">
        <v>787</v>
      </c>
      <c r="M226" s="67" t="s">
        <v>752</v>
      </c>
      <c r="N226" s="67" t="s">
        <v>1604</v>
      </c>
      <c r="O226" s="67" t="s">
        <v>1605</v>
      </c>
      <c r="P226" s="67"/>
      <c r="Q226" s="67">
        <v>0</v>
      </c>
      <c r="R226" s="67">
        <v>0</v>
      </c>
      <c r="S226" s="67">
        <v>0</v>
      </c>
      <c r="T226" s="67">
        <v>0</v>
      </c>
      <c r="U226" s="67">
        <v>0</v>
      </c>
      <c r="V226" s="67">
        <v>0</v>
      </c>
      <c r="W226" s="67">
        <v>0</v>
      </c>
      <c r="X226" s="67">
        <v>0</v>
      </c>
      <c r="Y226" s="67">
        <v>0</v>
      </c>
      <c r="Z226" s="67">
        <v>0</v>
      </c>
      <c r="AA226" s="67">
        <v>0</v>
      </c>
      <c r="AB226" s="67">
        <v>0</v>
      </c>
      <c r="AC226" s="67">
        <v>0</v>
      </c>
      <c r="AD226" s="67">
        <v>0</v>
      </c>
      <c r="AE226" s="67">
        <v>0</v>
      </c>
      <c r="AF226" s="67">
        <v>0</v>
      </c>
      <c r="AG226" s="67">
        <v>0</v>
      </c>
      <c r="AH226" s="67">
        <v>0</v>
      </c>
      <c r="AI226" s="67">
        <v>0</v>
      </c>
      <c r="AJ226" s="67">
        <v>0</v>
      </c>
      <c r="AK226" s="67">
        <v>0</v>
      </c>
      <c r="AL226" s="67">
        <v>0</v>
      </c>
      <c r="AM226" s="67">
        <v>0</v>
      </c>
      <c r="AN226" s="67">
        <v>0</v>
      </c>
      <c r="AO226" s="67">
        <v>0</v>
      </c>
      <c r="AP226" s="67">
        <v>0</v>
      </c>
      <c r="AQ226" s="67">
        <v>0</v>
      </c>
      <c r="AR226" s="67">
        <v>0</v>
      </c>
      <c r="AS226" s="67">
        <v>0</v>
      </c>
      <c r="AT226" s="67"/>
      <c r="AU226" s="67"/>
      <c r="AV226" s="67"/>
      <c r="AW226" s="67">
        <v>0</v>
      </c>
      <c r="AX226" s="67">
        <v>0</v>
      </c>
      <c r="AY226" s="67"/>
      <c r="AZ226" s="67"/>
      <c r="BA226" s="67"/>
      <c r="BB226" s="67"/>
      <c r="BC226" s="67"/>
      <c r="BD226" s="67"/>
      <c r="BE226" s="67"/>
      <c r="BG226" s="67"/>
      <c r="BH226" s="67"/>
      <c r="BI226" s="67"/>
      <c r="BJ226" s="67">
        <v>0</v>
      </c>
      <c r="BK226" s="67"/>
      <c r="BL226" s="67"/>
      <c r="BP226" s="67"/>
      <c r="BQ226" s="67">
        <v>0</v>
      </c>
      <c r="BR226" s="67"/>
      <c r="BS226" s="67"/>
      <c r="BT226" s="67">
        <v>0</v>
      </c>
      <c r="BU226" s="67"/>
      <c r="BV226" s="67"/>
      <c r="BW226" s="67">
        <v>0</v>
      </c>
      <c r="BX226" s="67">
        <v>0</v>
      </c>
      <c r="BY226" s="67">
        <v>0</v>
      </c>
      <c r="BZ226" s="67">
        <v>0</v>
      </c>
      <c r="CA226" s="67"/>
      <c r="CB226" s="67">
        <v>0</v>
      </c>
      <c r="CC226" s="67"/>
      <c r="CD226" s="67"/>
      <c r="CE226" s="67">
        <v>0</v>
      </c>
      <c r="CF226" s="67">
        <v>0</v>
      </c>
      <c r="CG226" s="67"/>
      <c r="CH226" s="67"/>
      <c r="CI226" s="67"/>
      <c r="CJ226" s="67"/>
      <c r="CK226" s="67">
        <v>0</v>
      </c>
      <c r="CL226" s="67">
        <v>0</v>
      </c>
      <c r="CM226" s="67"/>
      <c r="CN226" s="67"/>
      <c r="CO226" s="67">
        <v>0</v>
      </c>
      <c r="CP226" s="67">
        <v>0</v>
      </c>
      <c r="CQ226" s="67"/>
      <c r="CR226" s="67"/>
      <c r="CS226" s="67"/>
      <c r="CT226" s="67"/>
      <c r="CU226" s="67">
        <v>0</v>
      </c>
      <c r="CV226" s="67"/>
      <c r="CW226" s="67"/>
      <c r="CX226" s="67"/>
      <c r="CY226" s="67">
        <v>0</v>
      </c>
      <c r="CZ226" s="67"/>
      <c r="DA226" s="67"/>
      <c r="DB226" s="67"/>
      <c r="DC226" s="67"/>
      <c r="DF226" s="67"/>
      <c r="DG226" s="67">
        <v>0</v>
      </c>
      <c r="DH226" s="67">
        <v>0</v>
      </c>
      <c r="DI226" s="67">
        <v>0</v>
      </c>
      <c r="DJ226" s="67"/>
      <c r="DK226" s="67">
        <v>0</v>
      </c>
      <c r="DL226" s="67">
        <v>0</v>
      </c>
      <c r="DM226" s="67">
        <v>0</v>
      </c>
      <c r="DN226" s="67"/>
      <c r="DO226" s="67"/>
      <c r="DP226" s="67"/>
      <c r="DQ226" s="67">
        <v>0</v>
      </c>
      <c r="DR226" s="67">
        <v>0</v>
      </c>
      <c r="DS226" s="67"/>
      <c r="DT226" s="67"/>
      <c r="DU226" s="67">
        <v>0</v>
      </c>
      <c r="DV226" s="67">
        <v>0</v>
      </c>
      <c r="DW226" s="67">
        <v>0</v>
      </c>
      <c r="DX226" s="67">
        <v>0</v>
      </c>
      <c r="DY226" s="67"/>
      <c r="DZ226" s="67">
        <v>0</v>
      </c>
      <c r="EA226" s="67"/>
      <c r="EB226" s="67">
        <v>0</v>
      </c>
      <c r="EC226" s="67"/>
      <c r="ED226" s="67">
        <v>0</v>
      </c>
      <c r="EE226" s="67"/>
      <c r="EF226" s="67">
        <v>0</v>
      </c>
      <c r="EG226" s="67"/>
      <c r="EH226" s="67"/>
      <c r="EI226" s="67"/>
      <c r="EJ226" s="67"/>
      <c r="EK226" s="67"/>
      <c r="EL226" s="67"/>
      <c r="EM226" s="67"/>
      <c r="EN226" s="67"/>
      <c r="EO226" s="67"/>
      <c r="EP226" s="67">
        <v>0</v>
      </c>
      <c r="EQ226" s="67">
        <v>0</v>
      </c>
      <c r="ER226" s="67">
        <v>0</v>
      </c>
      <c r="ES226" s="67"/>
      <c r="ET226">
        <v>0</v>
      </c>
      <c r="EX226" s="67"/>
      <c r="EY226" s="67"/>
      <c r="EZ226" s="67"/>
      <c r="FA226" s="67">
        <v>0</v>
      </c>
      <c r="FB226" s="67"/>
      <c r="FC226" s="67"/>
      <c r="FD226" s="67"/>
      <c r="FE226" s="67"/>
      <c r="FF226" s="67"/>
      <c r="FG226" s="67"/>
      <c r="FH226" s="67"/>
      <c r="FI226" s="67" t="s">
        <v>1600</v>
      </c>
    </row>
    <row r="227" spans="2:165" ht="24" x14ac:dyDescent="0.2">
      <c r="B227" s="67"/>
      <c r="C227" s="67" t="s">
        <v>1713</v>
      </c>
      <c r="D227" s="67" t="s">
        <v>665</v>
      </c>
      <c r="E227" s="67" t="s">
        <v>889</v>
      </c>
      <c r="F227" s="67" t="s">
        <v>750</v>
      </c>
      <c r="G227" s="67"/>
      <c r="H227" s="67"/>
      <c r="I227" s="67" t="s">
        <v>41</v>
      </c>
      <c r="J227" s="67" t="s">
        <v>64</v>
      </c>
      <c r="K227" s="67" t="s">
        <v>1679</v>
      </c>
      <c r="L227" s="67" t="s">
        <v>787</v>
      </c>
      <c r="M227" s="67" t="s">
        <v>1615</v>
      </c>
      <c r="N227" s="67" t="s">
        <v>1601</v>
      </c>
      <c r="O227" s="67" t="s">
        <v>1599</v>
      </c>
      <c r="P227" s="67"/>
      <c r="Q227" s="67">
        <v>300</v>
      </c>
      <c r="R227" s="67">
        <v>0</v>
      </c>
      <c r="S227" s="67">
        <v>0</v>
      </c>
      <c r="T227" s="67">
        <v>300</v>
      </c>
      <c r="U227" s="67">
        <v>0</v>
      </c>
      <c r="V227" s="67">
        <v>0</v>
      </c>
      <c r="W227" s="67">
        <v>0</v>
      </c>
      <c r="X227" s="67">
        <v>0</v>
      </c>
      <c r="Y227" s="67">
        <v>0</v>
      </c>
      <c r="Z227" s="67">
        <v>0</v>
      </c>
      <c r="AA227" s="67">
        <v>0</v>
      </c>
      <c r="AB227" s="67">
        <v>0</v>
      </c>
      <c r="AC227" s="67">
        <v>0</v>
      </c>
      <c r="AD227" s="67">
        <v>0</v>
      </c>
      <c r="AE227" s="67">
        <v>0</v>
      </c>
      <c r="AF227" s="67">
        <v>0</v>
      </c>
      <c r="AG227" s="67">
        <v>0</v>
      </c>
      <c r="AH227" s="67">
        <v>0</v>
      </c>
      <c r="AI227" s="67">
        <v>0</v>
      </c>
      <c r="AJ227" s="67">
        <v>0</v>
      </c>
      <c r="AK227" s="67">
        <v>0</v>
      </c>
      <c r="AL227" s="67">
        <v>0</v>
      </c>
      <c r="AM227" s="67">
        <v>0</v>
      </c>
      <c r="AN227" s="67">
        <v>0</v>
      </c>
      <c r="AO227" s="67">
        <v>0</v>
      </c>
      <c r="AP227" s="67">
        <v>0</v>
      </c>
      <c r="AQ227" s="67">
        <v>0</v>
      </c>
      <c r="AR227" s="67">
        <v>0</v>
      </c>
      <c r="AS227" s="67">
        <v>0</v>
      </c>
      <c r="AT227" s="67"/>
      <c r="AU227" s="67"/>
      <c r="AV227" s="67"/>
      <c r="AW227" s="67">
        <v>0</v>
      </c>
      <c r="AX227" s="67">
        <v>0</v>
      </c>
      <c r="AY227" s="67"/>
      <c r="AZ227" s="67"/>
      <c r="BA227" s="67"/>
      <c r="BB227" s="67"/>
      <c r="BC227" s="67"/>
      <c r="BD227" s="67"/>
      <c r="BE227" s="67"/>
      <c r="BG227" s="67"/>
      <c r="BH227" s="67"/>
      <c r="BI227" s="67"/>
      <c r="BJ227" s="67">
        <v>0</v>
      </c>
      <c r="BK227" s="67"/>
      <c r="BL227" s="67"/>
      <c r="BP227" s="67"/>
      <c r="BQ227" s="67">
        <v>0</v>
      </c>
      <c r="BR227" s="67"/>
      <c r="BS227" s="67"/>
      <c r="BT227" s="67">
        <v>0</v>
      </c>
      <c r="BU227" s="67"/>
      <c r="BV227" s="67"/>
      <c r="BW227" s="67">
        <v>0</v>
      </c>
      <c r="BX227" s="67">
        <v>0</v>
      </c>
      <c r="BY227" s="67">
        <v>0</v>
      </c>
      <c r="BZ227" s="67">
        <v>0</v>
      </c>
      <c r="CA227" s="67"/>
      <c r="CB227" s="67">
        <v>0</v>
      </c>
      <c r="CC227" s="67"/>
      <c r="CD227" s="67"/>
      <c r="CE227" s="67">
        <v>0</v>
      </c>
      <c r="CF227" s="67">
        <v>0</v>
      </c>
      <c r="CG227" s="67"/>
      <c r="CH227" s="67"/>
      <c r="CI227" s="67"/>
      <c r="CJ227" s="67"/>
      <c r="CK227" s="67">
        <v>0</v>
      </c>
      <c r="CL227" s="67">
        <v>0</v>
      </c>
      <c r="CM227" s="67"/>
      <c r="CN227" s="67"/>
      <c r="CO227" s="67">
        <v>0</v>
      </c>
      <c r="CP227" s="67">
        <v>0</v>
      </c>
      <c r="CQ227" s="67"/>
      <c r="CR227" s="67"/>
      <c r="CS227" s="67"/>
      <c r="CT227" s="67"/>
      <c r="CU227" s="67">
        <v>0</v>
      </c>
      <c r="CV227" s="67"/>
      <c r="CW227" s="67"/>
      <c r="CX227" s="67"/>
      <c r="CY227" s="67">
        <v>0</v>
      </c>
      <c r="CZ227" s="67"/>
      <c r="DA227" s="67"/>
      <c r="DB227" s="67"/>
      <c r="DC227" s="67"/>
      <c r="DF227" s="67"/>
      <c r="DG227" s="67">
        <v>0</v>
      </c>
      <c r="DH227" s="67">
        <v>0</v>
      </c>
      <c r="DI227" s="67">
        <v>0</v>
      </c>
      <c r="DJ227" s="67"/>
      <c r="DK227" s="67">
        <v>0</v>
      </c>
      <c r="DL227" s="67">
        <v>0</v>
      </c>
      <c r="DM227" s="67">
        <v>0</v>
      </c>
      <c r="DN227" s="67"/>
      <c r="DO227" s="67"/>
      <c r="DP227" s="67"/>
      <c r="DQ227" s="67">
        <v>0</v>
      </c>
      <c r="DR227" s="67">
        <v>0</v>
      </c>
      <c r="DS227" s="67"/>
      <c r="DT227" s="67"/>
      <c r="DU227" s="67">
        <v>0</v>
      </c>
      <c r="DV227" s="67">
        <v>0</v>
      </c>
      <c r="DW227" s="67">
        <v>0</v>
      </c>
      <c r="DX227" s="67">
        <v>0</v>
      </c>
      <c r="DY227" s="67"/>
      <c r="DZ227" s="67">
        <v>0</v>
      </c>
      <c r="EA227" s="67"/>
      <c r="EB227" s="67">
        <v>0</v>
      </c>
      <c r="EC227" s="67"/>
      <c r="ED227" s="67">
        <v>0</v>
      </c>
      <c r="EE227" s="67"/>
      <c r="EF227" s="67">
        <v>0</v>
      </c>
      <c r="EG227" s="67"/>
      <c r="EH227" s="67"/>
      <c r="EI227" s="67"/>
      <c r="EJ227" s="67"/>
      <c r="EK227" s="67"/>
      <c r="EL227" s="67"/>
      <c r="EM227" s="67"/>
      <c r="EN227" s="67"/>
      <c r="EO227" s="67"/>
      <c r="EP227" s="67">
        <v>0</v>
      </c>
      <c r="EQ227" s="67">
        <v>0</v>
      </c>
      <c r="ER227" s="67">
        <v>0</v>
      </c>
      <c r="ES227" s="67"/>
      <c r="ET227">
        <v>0</v>
      </c>
      <c r="EX227" s="67"/>
      <c r="EY227" s="67"/>
      <c r="EZ227" s="67"/>
      <c r="FA227" s="67">
        <v>300</v>
      </c>
      <c r="FB227" s="67"/>
      <c r="FC227" s="67"/>
      <c r="FD227" s="67"/>
      <c r="FE227" s="67"/>
      <c r="FF227" s="67"/>
      <c r="FG227" s="67"/>
      <c r="FH227" s="67"/>
      <c r="FI227" s="67" t="s">
        <v>1600</v>
      </c>
    </row>
    <row r="228" spans="2:165" ht="24" x14ac:dyDescent="0.2">
      <c r="B228" s="67"/>
      <c r="C228" s="67" t="s">
        <v>1714</v>
      </c>
      <c r="D228" s="67" t="s">
        <v>666</v>
      </c>
      <c r="E228" s="67" t="s">
        <v>889</v>
      </c>
      <c r="F228" s="67" t="s">
        <v>750</v>
      </c>
      <c r="G228" s="67"/>
      <c r="H228" s="67"/>
      <c r="I228" s="67" t="s">
        <v>41</v>
      </c>
      <c r="J228" s="67" t="s">
        <v>64</v>
      </c>
      <c r="K228" s="67" t="s">
        <v>1679</v>
      </c>
      <c r="L228" s="67" t="s">
        <v>787</v>
      </c>
      <c r="M228" s="67" t="s">
        <v>1615</v>
      </c>
      <c r="N228" s="67" t="s">
        <v>1601</v>
      </c>
      <c r="O228" s="67" t="s">
        <v>1599</v>
      </c>
      <c r="P228" s="67"/>
      <c r="Q228" s="67">
        <v>300</v>
      </c>
      <c r="R228" s="67">
        <v>0</v>
      </c>
      <c r="S228" s="67">
        <v>0</v>
      </c>
      <c r="T228" s="67">
        <v>300</v>
      </c>
      <c r="U228" s="67">
        <v>0</v>
      </c>
      <c r="V228" s="67">
        <v>0</v>
      </c>
      <c r="W228" s="67">
        <v>0</v>
      </c>
      <c r="X228" s="67">
        <v>0</v>
      </c>
      <c r="Y228" s="67">
        <v>0</v>
      </c>
      <c r="Z228" s="67">
        <v>0</v>
      </c>
      <c r="AA228" s="67">
        <v>0</v>
      </c>
      <c r="AB228" s="67">
        <v>0</v>
      </c>
      <c r="AC228" s="67">
        <v>0</v>
      </c>
      <c r="AD228" s="67">
        <v>0</v>
      </c>
      <c r="AE228" s="67">
        <v>0</v>
      </c>
      <c r="AF228" s="67">
        <v>0</v>
      </c>
      <c r="AG228" s="67">
        <v>0</v>
      </c>
      <c r="AH228" s="67">
        <v>0</v>
      </c>
      <c r="AI228" s="67">
        <v>0</v>
      </c>
      <c r="AJ228" s="67">
        <v>0</v>
      </c>
      <c r="AK228" s="67">
        <v>0</v>
      </c>
      <c r="AL228" s="67">
        <v>0</v>
      </c>
      <c r="AM228" s="67">
        <v>0</v>
      </c>
      <c r="AN228" s="67">
        <v>0</v>
      </c>
      <c r="AO228" s="67">
        <v>0</v>
      </c>
      <c r="AP228" s="67">
        <v>0</v>
      </c>
      <c r="AQ228" s="67">
        <v>0</v>
      </c>
      <c r="AR228" s="67">
        <v>0</v>
      </c>
      <c r="AS228" s="67">
        <v>0</v>
      </c>
      <c r="AT228" s="67"/>
      <c r="AU228" s="67"/>
      <c r="AV228" s="67"/>
      <c r="AW228" s="67">
        <v>0</v>
      </c>
      <c r="AX228" s="67">
        <v>0</v>
      </c>
      <c r="AY228" s="67"/>
      <c r="AZ228" s="67"/>
      <c r="BA228" s="67"/>
      <c r="BB228" s="67"/>
      <c r="BC228" s="67"/>
      <c r="BD228" s="67"/>
      <c r="BE228" s="67"/>
      <c r="BG228" s="67"/>
      <c r="BH228" s="67"/>
      <c r="BI228" s="67"/>
      <c r="BJ228" s="67">
        <v>0</v>
      </c>
      <c r="BK228" s="67"/>
      <c r="BL228" s="67"/>
      <c r="BP228" s="67"/>
      <c r="BQ228" s="67">
        <v>0</v>
      </c>
      <c r="BR228" s="67"/>
      <c r="BS228" s="67"/>
      <c r="BT228" s="67">
        <v>0</v>
      </c>
      <c r="BU228" s="67"/>
      <c r="BV228" s="67"/>
      <c r="BW228" s="67">
        <v>0</v>
      </c>
      <c r="BX228" s="67">
        <v>0</v>
      </c>
      <c r="BY228" s="67">
        <v>0</v>
      </c>
      <c r="BZ228" s="67">
        <v>0</v>
      </c>
      <c r="CA228" s="67"/>
      <c r="CB228" s="67">
        <v>0</v>
      </c>
      <c r="CC228" s="67"/>
      <c r="CD228" s="67"/>
      <c r="CE228" s="67">
        <v>0</v>
      </c>
      <c r="CF228" s="67">
        <v>0</v>
      </c>
      <c r="CG228" s="67"/>
      <c r="CH228" s="67"/>
      <c r="CI228" s="67"/>
      <c r="CJ228" s="67"/>
      <c r="CK228" s="67">
        <v>0</v>
      </c>
      <c r="CL228" s="67">
        <v>0</v>
      </c>
      <c r="CM228" s="67"/>
      <c r="CN228" s="67"/>
      <c r="CO228" s="67">
        <v>0</v>
      </c>
      <c r="CP228" s="67">
        <v>0</v>
      </c>
      <c r="CQ228" s="67"/>
      <c r="CR228" s="67"/>
      <c r="CS228" s="67"/>
      <c r="CT228" s="67"/>
      <c r="CU228" s="67">
        <v>0</v>
      </c>
      <c r="CV228" s="67"/>
      <c r="CW228" s="67"/>
      <c r="CX228" s="67"/>
      <c r="CY228" s="67">
        <v>0</v>
      </c>
      <c r="CZ228" s="67"/>
      <c r="DA228" s="67"/>
      <c r="DB228" s="67"/>
      <c r="DC228" s="67"/>
      <c r="DF228" s="67"/>
      <c r="DG228" s="67">
        <v>0</v>
      </c>
      <c r="DH228" s="67">
        <v>0</v>
      </c>
      <c r="DI228" s="67">
        <v>0</v>
      </c>
      <c r="DJ228" s="67"/>
      <c r="DK228" s="67">
        <v>0</v>
      </c>
      <c r="DL228" s="67">
        <v>0</v>
      </c>
      <c r="DM228" s="67">
        <v>0</v>
      </c>
      <c r="DN228" s="67"/>
      <c r="DO228" s="67"/>
      <c r="DP228" s="67"/>
      <c r="DQ228" s="67">
        <v>0</v>
      </c>
      <c r="DR228" s="67">
        <v>0</v>
      </c>
      <c r="DS228" s="67"/>
      <c r="DT228" s="67"/>
      <c r="DU228" s="67">
        <v>0</v>
      </c>
      <c r="DV228" s="67">
        <v>0</v>
      </c>
      <c r="DW228" s="67">
        <v>0</v>
      </c>
      <c r="DX228" s="67">
        <v>0</v>
      </c>
      <c r="DY228" s="67"/>
      <c r="DZ228" s="67">
        <v>0</v>
      </c>
      <c r="EA228" s="67"/>
      <c r="EB228" s="67">
        <v>0</v>
      </c>
      <c r="EC228" s="67"/>
      <c r="ED228" s="67">
        <v>0</v>
      </c>
      <c r="EE228" s="67"/>
      <c r="EF228" s="67">
        <v>0</v>
      </c>
      <c r="EG228" s="67"/>
      <c r="EH228" s="67"/>
      <c r="EI228" s="67"/>
      <c r="EJ228" s="67"/>
      <c r="EK228" s="67"/>
      <c r="EL228" s="67"/>
      <c r="EM228" s="67"/>
      <c r="EN228" s="67"/>
      <c r="EO228" s="67"/>
      <c r="EP228" s="67">
        <v>0</v>
      </c>
      <c r="EQ228" s="67">
        <v>0</v>
      </c>
      <c r="ER228" s="67">
        <v>0</v>
      </c>
      <c r="ES228" s="67"/>
      <c r="ET228">
        <v>0</v>
      </c>
      <c r="EX228" s="67"/>
      <c r="EY228" s="67"/>
      <c r="EZ228" s="67"/>
      <c r="FA228" s="67">
        <v>300</v>
      </c>
      <c r="FB228" s="67"/>
      <c r="FC228" s="67"/>
      <c r="FD228" s="67"/>
      <c r="FE228" s="67"/>
      <c r="FF228" s="67"/>
      <c r="FG228" s="67"/>
      <c r="FH228" s="67"/>
      <c r="FI228" s="67" t="s">
        <v>1600</v>
      </c>
    </row>
    <row r="229" spans="2:165" x14ac:dyDescent="0.2">
      <c r="B229" s="67"/>
      <c r="C229" s="67" t="s">
        <v>1715</v>
      </c>
      <c r="D229" s="67" t="s">
        <v>667</v>
      </c>
      <c r="E229" s="67" t="s">
        <v>305</v>
      </c>
      <c r="F229" s="67" t="s">
        <v>305</v>
      </c>
      <c r="G229" s="67"/>
      <c r="H229" s="67"/>
      <c r="I229" s="67" t="s">
        <v>305</v>
      </c>
      <c r="J229" s="67" t="s">
        <v>305</v>
      </c>
      <c r="K229" s="67" t="s">
        <v>305</v>
      </c>
      <c r="L229" s="67" t="s">
        <v>787</v>
      </c>
      <c r="M229" s="67" t="s">
        <v>752</v>
      </c>
      <c r="N229" s="67" t="s">
        <v>305</v>
      </c>
      <c r="O229" s="67" t="s">
        <v>305</v>
      </c>
      <c r="P229" s="67"/>
      <c r="Q229" s="67">
        <v>0</v>
      </c>
      <c r="R229" s="67">
        <v>0</v>
      </c>
      <c r="S229" s="67">
        <v>0</v>
      </c>
      <c r="T229" s="67">
        <v>0</v>
      </c>
      <c r="U229" s="67">
        <v>0</v>
      </c>
      <c r="V229" s="67">
        <v>0</v>
      </c>
      <c r="W229" s="67">
        <v>0</v>
      </c>
      <c r="X229" s="67">
        <v>0</v>
      </c>
      <c r="Y229" s="67">
        <v>0</v>
      </c>
      <c r="Z229" s="67">
        <v>0</v>
      </c>
      <c r="AA229" s="67">
        <v>0</v>
      </c>
      <c r="AB229" s="67">
        <v>0</v>
      </c>
      <c r="AC229" s="67">
        <v>0</v>
      </c>
      <c r="AD229" s="67">
        <v>0</v>
      </c>
      <c r="AE229" s="67">
        <v>0</v>
      </c>
      <c r="AF229" s="67">
        <v>0</v>
      </c>
      <c r="AG229" s="67">
        <v>0</v>
      </c>
      <c r="AH229" s="67">
        <v>0</v>
      </c>
      <c r="AI229" s="67">
        <v>0</v>
      </c>
      <c r="AJ229" s="67">
        <v>0</v>
      </c>
      <c r="AK229" s="67">
        <v>0</v>
      </c>
      <c r="AL229" s="67">
        <v>0</v>
      </c>
      <c r="AM229" s="67">
        <v>0</v>
      </c>
      <c r="AN229" s="67">
        <v>0</v>
      </c>
      <c r="AO229" s="67">
        <v>0</v>
      </c>
      <c r="AP229" s="67">
        <v>0</v>
      </c>
      <c r="AQ229" s="67">
        <v>0</v>
      </c>
      <c r="AR229" s="67">
        <v>0</v>
      </c>
      <c r="AS229" s="67">
        <v>0</v>
      </c>
      <c r="AT229" s="67"/>
      <c r="AU229" s="67"/>
      <c r="AV229" s="67"/>
      <c r="AW229" s="67">
        <v>0</v>
      </c>
      <c r="AX229" s="67">
        <v>0</v>
      </c>
      <c r="AY229" s="67"/>
      <c r="AZ229" s="67"/>
      <c r="BA229" s="67"/>
      <c r="BB229" s="67"/>
      <c r="BC229" s="67"/>
      <c r="BD229" s="67"/>
      <c r="BE229" s="67"/>
      <c r="BG229" s="67"/>
      <c r="BH229" s="67"/>
      <c r="BI229" s="67"/>
      <c r="BJ229" s="67">
        <v>0</v>
      </c>
      <c r="BK229" s="67"/>
      <c r="BL229" s="67"/>
      <c r="BP229" s="67"/>
      <c r="BQ229" s="67">
        <v>0</v>
      </c>
      <c r="BR229" s="67"/>
      <c r="BS229" s="67"/>
      <c r="BT229" s="67">
        <v>0</v>
      </c>
      <c r="BU229" s="67"/>
      <c r="BV229" s="67"/>
      <c r="BW229" s="67">
        <v>0</v>
      </c>
      <c r="BX229" s="67">
        <v>0</v>
      </c>
      <c r="BY229" s="67">
        <v>0</v>
      </c>
      <c r="BZ229" s="67">
        <v>0</v>
      </c>
      <c r="CA229" s="67"/>
      <c r="CB229" s="67">
        <v>0</v>
      </c>
      <c r="CC229" s="67"/>
      <c r="CD229" s="67"/>
      <c r="CE229" s="67">
        <v>0</v>
      </c>
      <c r="CF229" s="67">
        <v>0</v>
      </c>
      <c r="CG229" s="67"/>
      <c r="CH229" s="67"/>
      <c r="CI229" s="67"/>
      <c r="CJ229" s="67"/>
      <c r="CK229" s="67">
        <v>0</v>
      </c>
      <c r="CL229" s="67">
        <v>0</v>
      </c>
      <c r="CM229" s="67"/>
      <c r="CN229" s="67"/>
      <c r="CO229" s="67">
        <v>0</v>
      </c>
      <c r="CP229" s="67">
        <v>0</v>
      </c>
      <c r="CQ229" s="67"/>
      <c r="CR229" s="67"/>
      <c r="CS229" s="67"/>
      <c r="CT229" s="67"/>
      <c r="CU229" s="67">
        <v>0</v>
      </c>
      <c r="CV229" s="67"/>
      <c r="CW229" s="67"/>
      <c r="CX229" s="67"/>
      <c r="CY229" s="67">
        <v>0</v>
      </c>
      <c r="CZ229" s="67"/>
      <c r="DA229" s="67"/>
      <c r="DB229" s="67"/>
      <c r="DC229" s="67"/>
      <c r="DF229" s="67"/>
      <c r="DG229" s="67">
        <v>0</v>
      </c>
      <c r="DH229" s="67">
        <v>0</v>
      </c>
      <c r="DI229" s="67">
        <v>0</v>
      </c>
      <c r="DJ229" s="67"/>
      <c r="DK229" s="67">
        <v>0</v>
      </c>
      <c r="DL229" s="67">
        <v>0</v>
      </c>
      <c r="DM229" s="67">
        <v>0</v>
      </c>
      <c r="DN229" s="67"/>
      <c r="DO229" s="67"/>
      <c r="DP229" s="67"/>
      <c r="DQ229" s="67">
        <v>0</v>
      </c>
      <c r="DR229" s="67">
        <v>0</v>
      </c>
      <c r="DS229" s="67"/>
      <c r="DT229" s="67"/>
      <c r="DU229" s="67">
        <v>0</v>
      </c>
      <c r="DV229" s="67">
        <v>0</v>
      </c>
      <c r="DW229" s="67">
        <v>0</v>
      </c>
      <c r="DX229" s="67">
        <v>0</v>
      </c>
      <c r="DY229" s="67"/>
      <c r="DZ229" s="67">
        <v>0</v>
      </c>
      <c r="EA229" s="67"/>
      <c r="EB229" s="67">
        <v>0</v>
      </c>
      <c r="EC229" s="67"/>
      <c r="ED229" s="67">
        <v>0</v>
      </c>
      <c r="EE229" s="67"/>
      <c r="EF229" s="67">
        <v>0</v>
      </c>
      <c r="EG229" s="67"/>
      <c r="EH229" s="67"/>
      <c r="EI229" s="67"/>
      <c r="EJ229" s="67"/>
      <c r="EK229" s="67"/>
      <c r="EL229" s="67"/>
      <c r="EM229" s="67"/>
      <c r="EN229" s="67"/>
      <c r="EO229" s="67"/>
      <c r="EP229" s="67">
        <v>0</v>
      </c>
      <c r="EQ229" s="67">
        <v>0</v>
      </c>
      <c r="ER229" s="67">
        <v>0</v>
      </c>
      <c r="ES229" s="67"/>
      <c r="ET229">
        <v>0</v>
      </c>
      <c r="EX229" s="67"/>
      <c r="EY229" s="67"/>
      <c r="EZ229" s="67"/>
      <c r="FA229" s="67">
        <v>0</v>
      </c>
      <c r="FB229" s="67"/>
      <c r="FC229" s="67"/>
      <c r="FD229" s="67"/>
      <c r="FE229" s="67"/>
      <c r="FF229" s="67"/>
      <c r="FG229" s="67"/>
      <c r="FH229" s="67"/>
      <c r="FI229" s="67" t="s">
        <v>1600</v>
      </c>
    </row>
    <row r="230" spans="2:165" ht="24" x14ac:dyDescent="0.2">
      <c r="B230" s="67" t="s">
        <v>668</v>
      </c>
      <c r="C230" s="67" t="s">
        <v>668</v>
      </c>
      <c r="D230" s="67" t="s">
        <v>669</v>
      </c>
      <c r="E230" s="67" t="s">
        <v>13</v>
      </c>
      <c r="F230" s="67" t="s">
        <v>898</v>
      </c>
      <c r="G230" s="67"/>
      <c r="H230" s="67"/>
      <c r="I230" s="67" t="s">
        <v>41</v>
      </c>
      <c r="J230" s="67" t="s">
        <v>71</v>
      </c>
      <c r="K230" s="67" t="s">
        <v>820</v>
      </c>
      <c r="L230" s="67" t="s">
        <v>787</v>
      </c>
      <c r="M230" s="67" t="s">
        <v>752</v>
      </c>
      <c r="N230" s="67" t="s">
        <v>1598</v>
      </c>
      <c r="O230" s="67" t="s">
        <v>1599</v>
      </c>
      <c r="P230" s="67"/>
      <c r="Q230" s="67">
        <v>600</v>
      </c>
      <c r="R230" s="67">
        <v>0</v>
      </c>
      <c r="S230" s="67">
        <v>0</v>
      </c>
      <c r="T230" s="67">
        <v>0</v>
      </c>
      <c r="U230" s="67">
        <v>0</v>
      </c>
      <c r="V230" s="67">
        <v>0</v>
      </c>
      <c r="W230" s="67">
        <v>0</v>
      </c>
      <c r="X230" s="67">
        <v>0</v>
      </c>
      <c r="Y230" s="67">
        <v>0</v>
      </c>
      <c r="Z230" s="67">
        <v>0</v>
      </c>
      <c r="AA230" s="67">
        <v>0</v>
      </c>
      <c r="AB230" s="67">
        <v>0</v>
      </c>
      <c r="AC230" s="67">
        <v>0</v>
      </c>
      <c r="AD230" s="67">
        <v>0</v>
      </c>
      <c r="AE230" s="67">
        <v>0</v>
      </c>
      <c r="AF230" s="67">
        <v>0</v>
      </c>
      <c r="AG230" s="67">
        <v>0</v>
      </c>
      <c r="AH230" s="67">
        <v>0</v>
      </c>
      <c r="AI230" s="67">
        <v>0</v>
      </c>
      <c r="AJ230" s="67">
        <v>0</v>
      </c>
      <c r="AK230" s="67">
        <v>0</v>
      </c>
      <c r="AL230" s="67">
        <v>0</v>
      </c>
      <c r="AM230" s="67">
        <v>0</v>
      </c>
      <c r="AN230" s="67">
        <v>600</v>
      </c>
      <c r="AO230" s="67">
        <v>0</v>
      </c>
      <c r="AP230" s="67">
        <v>0</v>
      </c>
      <c r="AQ230" s="67">
        <v>0</v>
      </c>
      <c r="AR230" s="67">
        <v>0</v>
      </c>
      <c r="AS230" s="67">
        <v>0</v>
      </c>
      <c r="AT230" s="67"/>
      <c r="AU230" s="67"/>
      <c r="AV230" s="67"/>
      <c r="AW230" s="67">
        <v>0</v>
      </c>
      <c r="AX230" s="67">
        <v>0</v>
      </c>
      <c r="AY230" s="67"/>
      <c r="AZ230" s="67"/>
      <c r="BA230" s="67"/>
      <c r="BB230" s="67"/>
      <c r="BC230" s="67"/>
      <c r="BD230" s="67"/>
      <c r="BE230" s="67"/>
      <c r="BG230" s="67"/>
      <c r="BH230" s="67"/>
      <c r="BI230" s="67"/>
      <c r="BJ230" s="67">
        <v>0</v>
      </c>
      <c r="BK230" s="67"/>
      <c r="BL230" s="67"/>
      <c r="BP230" s="67"/>
      <c r="BQ230" s="67">
        <v>0</v>
      </c>
      <c r="BR230" s="67"/>
      <c r="BS230" s="67"/>
      <c r="BT230" s="67">
        <v>0</v>
      </c>
      <c r="BU230" s="67"/>
      <c r="BV230" s="67"/>
      <c r="BW230" s="67">
        <v>0</v>
      </c>
      <c r="BX230" s="67">
        <v>0</v>
      </c>
      <c r="BY230" s="67">
        <v>0</v>
      </c>
      <c r="BZ230" s="67">
        <v>0</v>
      </c>
      <c r="CA230" s="67"/>
      <c r="CB230" s="67">
        <v>0</v>
      </c>
      <c r="CC230" s="67"/>
      <c r="CD230" s="67"/>
      <c r="CE230" s="67">
        <v>0</v>
      </c>
      <c r="CF230" s="67">
        <v>0</v>
      </c>
      <c r="CG230" s="67"/>
      <c r="CH230" s="67"/>
      <c r="CI230" s="67"/>
      <c r="CJ230" s="67"/>
      <c r="CK230" s="67">
        <v>0</v>
      </c>
      <c r="CL230" s="67">
        <v>0</v>
      </c>
      <c r="CM230" s="67"/>
      <c r="CN230" s="67"/>
      <c r="CO230" s="67">
        <v>0</v>
      </c>
      <c r="CP230" s="67">
        <v>0</v>
      </c>
      <c r="CQ230" s="67"/>
      <c r="CR230" s="67"/>
      <c r="CS230" s="67"/>
      <c r="CT230" s="67"/>
      <c r="CU230" s="67">
        <v>0</v>
      </c>
      <c r="CV230" s="67"/>
      <c r="CW230" s="67"/>
      <c r="CX230" s="67"/>
      <c r="CY230" s="67">
        <v>0</v>
      </c>
      <c r="CZ230" s="67"/>
      <c r="DA230" s="67"/>
      <c r="DB230" s="67"/>
      <c r="DC230" s="67"/>
      <c r="DF230" s="67"/>
      <c r="DG230" s="67">
        <v>0</v>
      </c>
      <c r="DH230" s="67">
        <v>0</v>
      </c>
      <c r="DI230" s="67">
        <v>0</v>
      </c>
      <c r="DJ230" s="67"/>
      <c r="DK230" s="67">
        <v>0</v>
      </c>
      <c r="DL230" s="67">
        <v>0</v>
      </c>
      <c r="DM230" s="67">
        <v>0</v>
      </c>
      <c r="DN230" s="67"/>
      <c r="DO230" s="67"/>
      <c r="DP230" s="67"/>
      <c r="DQ230" s="67">
        <v>0</v>
      </c>
      <c r="DR230" s="67">
        <v>0</v>
      </c>
      <c r="DS230" s="67"/>
      <c r="DT230" s="67"/>
      <c r="DU230" s="67">
        <v>0</v>
      </c>
      <c r="DV230" s="67">
        <v>0</v>
      </c>
      <c r="DW230" s="67">
        <v>0</v>
      </c>
      <c r="DX230" s="67">
        <v>0</v>
      </c>
      <c r="DY230" s="67"/>
      <c r="DZ230" s="67">
        <v>0</v>
      </c>
      <c r="EA230" s="67"/>
      <c r="EB230" s="67">
        <v>0</v>
      </c>
      <c r="EC230" s="67"/>
      <c r="ED230" s="67">
        <v>0</v>
      </c>
      <c r="EE230" s="67"/>
      <c r="EF230" s="67">
        <v>0</v>
      </c>
      <c r="EG230" s="67"/>
      <c r="EH230" s="67"/>
      <c r="EI230" s="67"/>
      <c r="EJ230" s="67"/>
      <c r="EK230" s="67"/>
      <c r="EL230" s="67"/>
      <c r="EM230" s="67"/>
      <c r="EN230" s="67"/>
      <c r="EO230" s="67"/>
      <c r="EP230" s="67">
        <v>0</v>
      </c>
      <c r="EQ230" s="67">
        <v>0</v>
      </c>
      <c r="ER230" s="67">
        <v>0</v>
      </c>
      <c r="ES230" s="67"/>
      <c r="ET230">
        <v>0</v>
      </c>
      <c r="EX230" s="67"/>
      <c r="EY230" s="67"/>
      <c r="EZ230" s="67"/>
      <c r="FA230" s="67">
        <v>600</v>
      </c>
      <c r="FB230" s="67"/>
      <c r="FC230" s="67"/>
      <c r="FD230" s="67"/>
      <c r="FE230" s="67"/>
      <c r="FF230" s="67"/>
      <c r="FG230" s="67"/>
      <c r="FH230" s="67"/>
      <c r="FI230" s="67" t="s">
        <v>1600</v>
      </c>
    </row>
    <row r="231" spans="2:165" x14ac:dyDescent="0.2">
      <c r="B231" s="67" t="s">
        <v>305</v>
      </c>
      <c r="C231" s="67" t="s">
        <v>1716</v>
      </c>
      <c r="D231" s="67" t="s">
        <v>670</v>
      </c>
      <c r="E231" s="67" t="s">
        <v>305</v>
      </c>
      <c r="F231" s="67" t="s">
        <v>305</v>
      </c>
      <c r="G231" s="67"/>
      <c r="H231" s="67"/>
      <c r="I231" s="67" t="s">
        <v>305</v>
      </c>
      <c r="J231" s="67" t="s">
        <v>305</v>
      </c>
      <c r="K231" s="67" t="s">
        <v>305</v>
      </c>
      <c r="L231" s="67" t="s">
        <v>787</v>
      </c>
      <c r="M231" s="67" t="s">
        <v>752</v>
      </c>
      <c r="N231" s="67" t="s">
        <v>305</v>
      </c>
      <c r="O231" s="67" t="s">
        <v>305</v>
      </c>
      <c r="P231" s="67"/>
      <c r="Q231" s="67">
        <v>0</v>
      </c>
      <c r="R231" s="67">
        <v>0</v>
      </c>
      <c r="S231" s="67">
        <v>0</v>
      </c>
      <c r="T231" s="67">
        <v>0</v>
      </c>
      <c r="U231" s="67">
        <v>0</v>
      </c>
      <c r="V231" s="67">
        <v>0</v>
      </c>
      <c r="W231" s="67">
        <v>0</v>
      </c>
      <c r="X231" s="67">
        <v>0</v>
      </c>
      <c r="Y231" s="67">
        <v>0</v>
      </c>
      <c r="Z231" s="67">
        <v>0</v>
      </c>
      <c r="AA231" s="67">
        <v>0</v>
      </c>
      <c r="AB231" s="67">
        <v>0</v>
      </c>
      <c r="AC231" s="67">
        <v>0</v>
      </c>
      <c r="AD231" s="67">
        <v>0</v>
      </c>
      <c r="AE231" s="67">
        <v>0</v>
      </c>
      <c r="AF231" s="67">
        <v>0</v>
      </c>
      <c r="AG231" s="67">
        <v>0</v>
      </c>
      <c r="AH231" s="67">
        <v>0</v>
      </c>
      <c r="AI231" s="67">
        <v>0</v>
      </c>
      <c r="AJ231" s="67">
        <v>0</v>
      </c>
      <c r="AK231" s="67">
        <v>0</v>
      </c>
      <c r="AL231" s="67">
        <v>0</v>
      </c>
      <c r="AM231" s="67">
        <v>0</v>
      </c>
      <c r="AN231" s="67">
        <v>0</v>
      </c>
      <c r="AO231" s="67">
        <v>0</v>
      </c>
      <c r="AP231" s="67">
        <v>0</v>
      </c>
      <c r="AQ231" s="67">
        <v>0</v>
      </c>
      <c r="AR231" s="67">
        <v>0</v>
      </c>
      <c r="AS231" s="67">
        <v>0</v>
      </c>
      <c r="AT231" s="67"/>
      <c r="AU231" s="67"/>
      <c r="AV231" s="67"/>
      <c r="AW231" s="67">
        <v>0</v>
      </c>
      <c r="AX231" s="67">
        <v>0</v>
      </c>
      <c r="AY231" s="67"/>
      <c r="AZ231" s="67"/>
      <c r="BA231" s="67"/>
      <c r="BB231" s="67"/>
      <c r="BC231" s="67"/>
      <c r="BD231" s="67"/>
      <c r="BE231" s="67"/>
      <c r="BG231" s="67"/>
      <c r="BH231" s="67"/>
      <c r="BI231" s="67"/>
      <c r="BJ231" s="67">
        <v>0</v>
      </c>
      <c r="BK231" s="67"/>
      <c r="BL231" s="67"/>
      <c r="BP231" s="67"/>
      <c r="BQ231" s="67">
        <v>0</v>
      </c>
      <c r="BR231" s="67"/>
      <c r="BS231" s="67"/>
      <c r="BT231" s="67">
        <v>0</v>
      </c>
      <c r="BU231" s="67"/>
      <c r="BV231" s="67"/>
      <c r="BW231" s="67">
        <v>0</v>
      </c>
      <c r="BX231" s="67">
        <v>0</v>
      </c>
      <c r="BY231" s="67">
        <v>0</v>
      </c>
      <c r="BZ231" s="67">
        <v>0</v>
      </c>
      <c r="CA231" s="67"/>
      <c r="CB231" s="67">
        <v>0</v>
      </c>
      <c r="CC231" s="67"/>
      <c r="CD231" s="67"/>
      <c r="CE231" s="67">
        <v>0</v>
      </c>
      <c r="CF231" s="67">
        <v>0</v>
      </c>
      <c r="CG231" s="67"/>
      <c r="CH231" s="67"/>
      <c r="CI231" s="67"/>
      <c r="CJ231" s="67"/>
      <c r="CK231" s="67">
        <v>0</v>
      </c>
      <c r="CL231" s="67">
        <v>0</v>
      </c>
      <c r="CM231" s="67"/>
      <c r="CN231" s="67"/>
      <c r="CO231" s="67">
        <v>0</v>
      </c>
      <c r="CP231" s="67">
        <v>0</v>
      </c>
      <c r="CQ231" s="67"/>
      <c r="CR231" s="67"/>
      <c r="CS231" s="67"/>
      <c r="CT231" s="67"/>
      <c r="CU231" s="67">
        <v>0</v>
      </c>
      <c r="CV231" s="67"/>
      <c r="CW231" s="67"/>
      <c r="CX231" s="67"/>
      <c r="CY231" s="67">
        <v>0</v>
      </c>
      <c r="CZ231" s="67"/>
      <c r="DA231" s="67"/>
      <c r="DB231" s="67"/>
      <c r="DC231" s="67"/>
      <c r="DF231" s="67"/>
      <c r="DG231" s="67">
        <v>0</v>
      </c>
      <c r="DH231" s="67">
        <v>0</v>
      </c>
      <c r="DI231" s="67">
        <v>0</v>
      </c>
      <c r="DJ231" s="67"/>
      <c r="DK231" s="67">
        <v>0</v>
      </c>
      <c r="DL231" s="67">
        <v>0</v>
      </c>
      <c r="DM231" s="67">
        <v>0</v>
      </c>
      <c r="DN231" s="67"/>
      <c r="DO231" s="67"/>
      <c r="DP231" s="67"/>
      <c r="DQ231" s="67">
        <v>0</v>
      </c>
      <c r="DR231" s="67">
        <v>0</v>
      </c>
      <c r="DS231" s="67"/>
      <c r="DT231" s="67"/>
      <c r="DU231" s="67">
        <v>0</v>
      </c>
      <c r="DV231" s="67">
        <v>0</v>
      </c>
      <c r="DW231" s="67">
        <v>0</v>
      </c>
      <c r="DX231" s="67">
        <v>0</v>
      </c>
      <c r="DY231" s="67"/>
      <c r="DZ231" s="67">
        <v>0</v>
      </c>
      <c r="EA231" s="67"/>
      <c r="EB231" s="67">
        <v>0</v>
      </c>
      <c r="EC231" s="67"/>
      <c r="ED231" s="67">
        <v>0</v>
      </c>
      <c r="EE231" s="67"/>
      <c r="EF231" s="67">
        <v>0</v>
      </c>
      <c r="EG231" s="67"/>
      <c r="EH231" s="67"/>
      <c r="EI231" s="67"/>
      <c r="EJ231" s="67"/>
      <c r="EK231" s="67"/>
      <c r="EL231" s="67"/>
      <c r="EM231" s="67"/>
      <c r="EN231" s="67"/>
      <c r="EO231" s="67"/>
      <c r="EP231" s="67">
        <v>0</v>
      </c>
      <c r="EQ231" s="67">
        <v>0</v>
      </c>
      <c r="ER231" s="67">
        <v>0</v>
      </c>
      <c r="ES231" s="67"/>
      <c r="ET231">
        <v>0</v>
      </c>
      <c r="EX231" s="67"/>
      <c r="EY231" s="67"/>
      <c r="EZ231" s="67"/>
      <c r="FA231" s="67">
        <v>0</v>
      </c>
      <c r="FB231" s="67"/>
      <c r="FC231" s="67"/>
      <c r="FD231" s="67"/>
      <c r="FE231" s="67"/>
      <c r="FF231" s="67"/>
      <c r="FG231" s="67"/>
      <c r="FH231" s="67"/>
      <c r="FI231" s="67" t="s">
        <v>1600</v>
      </c>
    </row>
    <row r="232" spans="2:165" ht="24" x14ac:dyDescent="0.2">
      <c r="B232" s="67" t="s">
        <v>671</v>
      </c>
      <c r="C232" s="67" t="s">
        <v>671</v>
      </c>
      <c r="D232" s="67" t="s">
        <v>672</v>
      </c>
      <c r="E232" s="67" t="s">
        <v>13</v>
      </c>
      <c r="F232" s="67" t="s">
        <v>810</v>
      </c>
      <c r="G232" s="67"/>
      <c r="H232" s="67"/>
      <c r="I232" s="67" t="s">
        <v>41</v>
      </c>
      <c r="J232" s="67" t="s">
        <v>71</v>
      </c>
      <c r="K232" s="67" t="s">
        <v>1706</v>
      </c>
      <c r="L232" s="67" t="s">
        <v>787</v>
      </c>
      <c r="M232" s="67" t="s">
        <v>752</v>
      </c>
      <c r="N232" s="67" t="s">
        <v>1598</v>
      </c>
      <c r="O232" s="67" t="s">
        <v>1599</v>
      </c>
      <c r="P232" s="67"/>
      <c r="Q232" s="67">
        <v>250</v>
      </c>
      <c r="R232" s="67">
        <v>0</v>
      </c>
      <c r="S232" s="67">
        <v>0</v>
      </c>
      <c r="T232" s="67">
        <v>0</v>
      </c>
      <c r="U232" s="67">
        <v>0</v>
      </c>
      <c r="V232" s="67">
        <v>0</v>
      </c>
      <c r="W232" s="67">
        <v>0</v>
      </c>
      <c r="X232" s="67">
        <v>0</v>
      </c>
      <c r="Y232" s="67">
        <v>0</v>
      </c>
      <c r="Z232" s="67">
        <v>0</v>
      </c>
      <c r="AA232" s="67">
        <v>0</v>
      </c>
      <c r="AB232" s="67">
        <v>0</v>
      </c>
      <c r="AC232" s="67">
        <v>0</v>
      </c>
      <c r="AD232" s="67">
        <v>0</v>
      </c>
      <c r="AE232" s="67">
        <v>0</v>
      </c>
      <c r="AF232" s="67">
        <v>0</v>
      </c>
      <c r="AG232" s="67">
        <v>0</v>
      </c>
      <c r="AH232" s="67">
        <v>0</v>
      </c>
      <c r="AI232" s="67">
        <v>0</v>
      </c>
      <c r="AJ232" s="67">
        <v>0</v>
      </c>
      <c r="AK232" s="67">
        <v>0</v>
      </c>
      <c r="AL232" s="67">
        <v>0</v>
      </c>
      <c r="AM232" s="67">
        <v>0</v>
      </c>
      <c r="AN232" s="67">
        <v>250</v>
      </c>
      <c r="AO232" s="67">
        <v>0</v>
      </c>
      <c r="AP232" s="67">
        <v>0</v>
      </c>
      <c r="AQ232" s="67">
        <v>0</v>
      </c>
      <c r="AR232" s="67">
        <v>0</v>
      </c>
      <c r="AS232" s="67">
        <v>0</v>
      </c>
      <c r="AT232" s="67"/>
      <c r="AU232" s="67"/>
      <c r="AV232" s="67"/>
      <c r="AW232" s="67">
        <v>0</v>
      </c>
      <c r="AX232" s="67">
        <v>0</v>
      </c>
      <c r="AY232" s="67"/>
      <c r="AZ232" s="67"/>
      <c r="BA232" s="67"/>
      <c r="BB232" s="67"/>
      <c r="BC232" s="67"/>
      <c r="BD232" s="67"/>
      <c r="BE232" s="67"/>
      <c r="BG232" s="67"/>
      <c r="BH232" s="67"/>
      <c r="BI232" s="67"/>
      <c r="BJ232" s="67">
        <v>0</v>
      </c>
      <c r="BK232" s="67"/>
      <c r="BL232" s="67"/>
      <c r="BP232" s="67"/>
      <c r="BQ232" s="67">
        <v>0</v>
      </c>
      <c r="BR232" s="67"/>
      <c r="BS232" s="67"/>
      <c r="BT232" s="67">
        <v>0</v>
      </c>
      <c r="BU232" s="67"/>
      <c r="BV232" s="67"/>
      <c r="BW232" s="67">
        <v>0</v>
      </c>
      <c r="BX232" s="67">
        <v>0</v>
      </c>
      <c r="BY232" s="67">
        <v>0</v>
      </c>
      <c r="BZ232" s="67">
        <v>0</v>
      </c>
      <c r="CA232" s="67"/>
      <c r="CB232" s="67">
        <v>0</v>
      </c>
      <c r="CC232" s="67"/>
      <c r="CD232" s="67"/>
      <c r="CE232" s="67">
        <v>0</v>
      </c>
      <c r="CF232" s="67">
        <v>0</v>
      </c>
      <c r="CG232" s="67"/>
      <c r="CH232" s="67"/>
      <c r="CI232" s="67"/>
      <c r="CJ232" s="67"/>
      <c r="CK232" s="67">
        <v>0</v>
      </c>
      <c r="CL232" s="67">
        <v>0</v>
      </c>
      <c r="CM232" s="67"/>
      <c r="CN232" s="67"/>
      <c r="CO232" s="67">
        <v>0</v>
      </c>
      <c r="CP232" s="67">
        <v>0</v>
      </c>
      <c r="CQ232" s="67"/>
      <c r="CR232" s="67"/>
      <c r="CS232" s="67"/>
      <c r="CT232" s="67"/>
      <c r="CU232" s="67">
        <v>0</v>
      </c>
      <c r="CV232" s="67"/>
      <c r="CW232" s="67"/>
      <c r="CX232" s="67"/>
      <c r="CY232" s="67">
        <v>0</v>
      </c>
      <c r="CZ232" s="67"/>
      <c r="DA232" s="67"/>
      <c r="DB232" s="67"/>
      <c r="DC232" s="67"/>
      <c r="DF232" s="67"/>
      <c r="DG232" s="67">
        <v>0</v>
      </c>
      <c r="DH232" s="67">
        <v>0</v>
      </c>
      <c r="DI232" s="67">
        <v>0</v>
      </c>
      <c r="DJ232" s="67"/>
      <c r="DK232" s="67">
        <v>0</v>
      </c>
      <c r="DL232" s="67">
        <v>0</v>
      </c>
      <c r="DM232" s="67">
        <v>0</v>
      </c>
      <c r="DN232" s="67"/>
      <c r="DO232" s="67"/>
      <c r="DP232" s="67"/>
      <c r="DQ232" s="67">
        <v>0</v>
      </c>
      <c r="DR232" s="67">
        <v>0</v>
      </c>
      <c r="DS232" s="67"/>
      <c r="DT232" s="67"/>
      <c r="DU232" s="67">
        <v>0</v>
      </c>
      <c r="DV232" s="67">
        <v>0</v>
      </c>
      <c r="DW232" s="67">
        <v>0</v>
      </c>
      <c r="DX232" s="67">
        <v>0</v>
      </c>
      <c r="DY232" s="67"/>
      <c r="DZ232" s="67">
        <v>0</v>
      </c>
      <c r="EA232" s="67"/>
      <c r="EB232" s="67">
        <v>0</v>
      </c>
      <c r="EC232" s="67"/>
      <c r="ED232" s="67">
        <v>0</v>
      </c>
      <c r="EE232" s="67"/>
      <c r="EF232" s="67">
        <v>0</v>
      </c>
      <c r="EG232" s="67"/>
      <c r="EH232" s="67"/>
      <c r="EI232" s="67"/>
      <c r="EJ232" s="67"/>
      <c r="EK232" s="67"/>
      <c r="EL232" s="67"/>
      <c r="EM232" s="67"/>
      <c r="EN232" s="67"/>
      <c r="EO232" s="67"/>
      <c r="EP232" s="67">
        <v>0</v>
      </c>
      <c r="EQ232" s="67">
        <v>0</v>
      </c>
      <c r="ER232" s="67">
        <v>0</v>
      </c>
      <c r="ES232" s="67"/>
      <c r="ET232">
        <v>0</v>
      </c>
      <c r="EX232" s="67"/>
      <c r="EY232" s="67"/>
      <c r="EZ232" s="67"/>
      <c r="FA232" s="67">
        <v>250</v>
      </c>
      <c r="FB232" s="67"/>
      <c r="FC232" s="67"/>
      <c r="FD232" s="67"/>
      <c r="FE232" s="67"/>
      <c r="FF232" s="67"/>
      <c r="FG232" s="67"/>
      <c r="FH232" s="67"/>
      <c r="FI232" s="67" t="s">
        <v>1600</v>
      </c>
    </row>
    <row r="233" spans="2:165" x14ac:dyDescent="0.2">
      <c r="B233" s="67" t="s">
        <v>305</v>
      </c>
      <c r="C233" s="67" t="s">
        <v>1717</v>
      </c>
      <c r="D233" s="67" t="s">
        <v>673</v>
      </c>
      <c r="E233" s="67" t="s">
        <v>305</v>
      </c>
      <c r="F233" s="67" t="s">
        <v>305</v>
      </c>
      <c r="G233" s="67"/>
      <c r="H233" s="67"/>
      <c r="I233" s="67" t="s">
        <v>305</v>
      </c>
      <c r="J233" s="67" t="s">
        <v>305</v>
      </c>
      <c r="K233" s="67" t="s">
        <v>305</v>
      </c>
      <c r="L233" s="67" t="s">
        <v>787</v>
      </c>
      <c r="M233" s="67" t="s">
        <v>752</v>
      </c>
      <c r="N233" s="67" t="s">
        <v>305</v>
      </c>
      <c r="O233" s="67" t="s">
        <v>305</v>
      </c>
      <c r="P233" s="67"/>
      <c r="Q233" s="67">
        <v>0</v>
      </c>
      <c r="R233" s="67">
        <v>0</v>
      </c>
      <c r="S233" s="67">
        <v>0</v>
      </c>
      <c r="T233" s="67">
        <v>0</v>
      </c>
      <c r="U233" s="67">
        <v>0</v>
      </c>
      <c r="V233" s="67">
        <v>0</v>
      </c>
      <c r="W233" s="67">
        <v>0</v>
      </c>
      <c r="X233" s="67">
        <v>0</v>
      </c>
      <c r="Y233" s="67">
        <v>0</v>
      </c>
      <c r="Z233" s="67">
        <v>0</v>
      </c>
      <c r="AA233" s="67">
        <v>0</v>
      </c>
      <c r="AB233" s="67">
        <v>0</v>
      </c>
      <c r="AC233" s="67">
        <v>0</v>
      </c>
      <c r="AD233" s="67">
        <v>0</v>
      </c>
      <c r="AE233" s="67">
        <v>0</v>
      </c>
      <c r="AF233" s="67">
        <v>0</v>
      </c>
      <c r="AG233" s="67">
        <v>0</v>
      </c>
      <c r="AH233" s="67">
        <v>0</v>
      </c>
      <c r="AI233" s="67">
        <v>0</v>
      </c>
      <c r="AJ233" s="67">
        <v>0</v>
      </c>
      <c r="AK233" s="67">
        <v>0</v>
      </c>
      <c r="AL233" s="67">
        <v>0</v>
      </c>
      <c r="AM233" s="67">
        <v>0</v>
      </c>
      <c r="AN233" s="67">
        <v>0</v>
      </c>
      <c r="AO233" s="67">
        <v>0</v>
      </c>
      <c r="AP233" s="67">
        <v>0</v>
      </c>
      <c r="AQ233" s="67">
        <v>0</v>
      </c>
      <c r="AR233" s="67">
        <v>0</v>
      </c>
      <c r="AS233" s="67">
        <v>0</v>
      </c>
      <c r="AT233" s="67"/>
      <c r="AU233" s="67"/>
      <c r="AV233" s="67"/>
      <c r="AW233" s="67">
        <v>0</v>
      </c>
      <c r="AX233" s="67">
        <v>0</v>
      </c>
      <c r="AY233" s="67"/>
      <c r="AZ233" s="67"/>
      <c r="BA233" s="67"/>
      <c r="BB233" s="67"/>
      <c r="BC233" s="67"/>
      <c r="BD233" s="67"/>
      <c r="BE233" s="67"/>
      <c r="BG233" s="67"/>
      <c r="BH233" s="67"/>
      <c r="BI233" s="67"/>
      <c r="BJ233" s="67">
        <v>0</v>
      </c>
      <c r="BK233" s="67"/>
      <c r="BL233" s="67"/>
      <c r="BP233" s="67"/>
      <c r="BQ233" s="67">
        <v>0</v>
      </c>
      <c r="BR233" s="67"/>
      <c r="BS233" s="67"/>
      <c r="BT233" s="67">
        <v>0</v>
      </c>
      <c r="BU233" s="67"/>
      <c r="BV233" s="67"/>
      <c r="BW233" s="67">
        <v>0</v>
      </c>
      <c r="BX233" s="67">
        <v>0</v>
      </c>
      <c r="BY233" s="67">
        <v>0</v>
      </c>
      <c r="BZ233" s="67">
        <v>0</v>
      </c>
      <c r="CA233" s="67"/>
      <c r="CB233" s="67">
        <v>0</v>
      </c>
      <c r="CC233" s="67"/>
      <c r="CD233" s="67"/>
      <c r="CE233" s="67">
        <v>0</v>
      </c>
      <c r="CF233" s="67">
        <v>0</v>
      </c>
      <c r="CG233" s="67"/>
      <c r="CH233" s="67"/>
      <c r="CI233" s="67"/>
      <c r="CJ233" s="67"/>
      <c r="CK233" s="67">
        <v>0</v>
      </c>
      <c r="CL233" s="67">
        <v>0</v>
      </c>
      <c r="CM233" s="67"/>
      <c r="CN233" s="67"/>
      <c r="CO233" s="67">
        <v>0</v>
      </c>
      <c r="CP233" s="67">
        <v>0</v>
      </c>
      <c r="CQ233" s="67"/>
      <c r="CR233" s="67"/>
      <c r="CS233" s="67"/>
      <c r="CT233" s="67"/>
      <c r="CU233" s="67">
        <v>0</v>
      </c>
      <c r="CV233" s="67"/>
      <c r="CW233" s="67"/>
      <c r="CX233" s="67"/>
      <c r="CY233" s="67">
        <v>0</v>
      </c>
      <c r="CZ233" s="67"/>
      <c r="DA233" s="67"/>
      <c r="DB233" s="67"/>
      <c r="DC233" s="67"/>
      <c r="DF233" s="67"/>
      <c r="DG233" s="67">
        <v>0</v>
      </c>
      <c r="DH233" s="67">
        <v>0</v>
      </c>
      <c r="DI233" s="67">
        <v>0</v>
      </c>
      <c r="DJ233" s="67"/>
      <c r="DK233" s="67">
        <v>0</v>
      </c>
      <c r="DL233" s="67">
        <v>0</v>
      </c>
      <c r="DM233" s="67">
        <v>0</v>
      </c>
      <c r="DN233" s="67"/>
      <c r="DO233" s="67"/>
      <c r="DP233" s="67"/>
      <c r="DQ233" s="67">
        <v>0</v>
      </c>
      <c r="DR233" s="67">
        <v>0</v>
      </c>
      <c r="DS233" s="67"/>
      <c r="DT233" s="67"/>
      <c r="DU233" s="67">
        <v>0</v>
      </c>
      <c r="DV233" s="67">
        <v>0</v>
      </c>
      <c r="DW233" s="67">
        <v>0</v>
      </c>
      <c r="DX233" s="67">
        <v>0</v>
      </c>
      <c r="DY233" s="67"/>
      <c r="DZ233" s="67">
        <v>0</v>
      </c>
      <c r="EA233" s="67"/>
      <c r="EB233" s="67">
        <v>0</v>
      </c>
      <c r="EC233" s="67"/>
      <c r="ED233" s="67">
        <v>0</v>
      </c>
      <c r="EE233" s="67"/>
      <c r="EF233" s="67">
        <v>0</v>
      </c>
      <c r="EG233" s="67"/>
      <c r="EH233" s="67"/>
      <c r="EI233" s="67"/>
      <c r="EJ233" s="67"/>
      <c r="EK233" s="67"/>
      <c r="EL233" s="67"/>
      <c r="EM233" s="67"/>
      <c r="EN233" s="67"/>
      <c r="EO233" s="67"/>
      <c r="EP233" s="67">
        <v>0</v>
      </c>
      <c r="EQ233" s="67">
        <v>0</v>
      </c>
      <c r="ER233" s="67">
        <v>0</v>
      </c>
      <c r="ES233" s="67"/>
      <c r="ET233">
        <v>0</v>
      </c>
      <c r="EX233" s="67"/>
      <c r="EY233" s="67"/>
      <c r="EZ233" s="67"/>
      <c r="FA233" s="67">
        <v>0</v>
      </c>
      <c r="FB233" s="67"/>
      <c r="FC233" s="67"/>
      <c r="FD233" s="67"/>
      <c r="FE233" s="67"/>
      <c r="FF233" s="67"/>
      <c r="FG233" s="67"/>
      <c r="FH233" s="67"/>
      <c r="FI233" s="67" t="s">
        <v>1600</v>
      </c>
    </row>
    <row r="234" spans="2:165" x14ac:dyDescent="0.2">
      <c r="B234" s="67" t="s">
        <v>305</v>
      </c>
      <c r="C234" s="67" t="s">
        <v>1718</v>
      </c>
      <c r="D234" s="67" t="s">
        <v>674</v>
      </c>
      <c r="E234" s="67" t="s">
        <v>305</v>
      </c>
      <c r="F234" s="67" t="s">
        <v>305</v>
      </c>
      <c r="G234" s="67"/>
      <c r="H234" s="67"/>
      <c r="I234" s="67" t="s">
        <v>305</v>
      </c>
      <c r="J234" s="67" t="s">
        <v>305</v>
      </c>
      <c r="K234" s="67" t="s">
        <v>305</v>
      </c>
      <c r="L234" s="67" t="s">
        <v>787</v>
      </c>
      <c r="M234" s="67" t="s">
        <v>752</v>
      </c>
      <c r="N234" s="67" t="s">
        <v>305</v>
      </c>
      <c r="O234" s="67" t="s">
        <v>305</v>
      </c>
      <c r="P234" s="67"/>
      <c r="Q234" s="67">
        <v>0</v>
      </c>
      <c r="R234" s="67">
        <v>0</v>
      </c>
      <c r="S234" s="67">
        <v>0</v>
      </c>
      <c r="T234" s="67">
        <v>0</v>
      </c>
      <c r="U234" s="67">
        <v>0</v>
      </c>
      <c r="V234" s="67">
        <v>0</v>
      </c>
      <c r="W234" s="67">
        <v>0</v>
      </c>
      <c r="X234" s="67">
        <v>0</v>
      </c>
      <c r="Y234" s="67">
        <v>0</v>
      </c>
      <c r="Z234" s="67">
        <v>0</v>
      </c>
      <c r="AA234" s="67">
        <v>0</v>
      </c>
      <c r="AB234" s="67">
        <v>0</v>
      </c>
      <c r="AC234" s="67">
        <v>0</v>
      </c>
      <c r="AD234" s="67">
        <v>0</v>
      </c>
      <c r="AE234" s="67">
        <v>0</v>
      </c>
      <c r="AF234" s="67">
        <v>0</v>
      </c>
      <c r="AG234" s="67">
        <v>0</v>
      </c>
      <c r="AH234" s="67">
        <v>0</v>
      </c>
      <c r="AI234" s="67">
        <v>0</v>
      </c>
      <c r="AJ234" s="67">
        <v>0</v>
      </c>
      <c r="AK234" s="67">
        <v>0</v>
      </c>
      <c r="AL234" s="67">
        <v>0</v>
      </c>
      <c r="AM234" s="67">
        <v>0</v>
      </c>
      <c r="AN234" s="67">
        <v>0</v>
      </c>
      <c r="AO234" s="67">
        <v>0</v>
      </c>
      <c r="AP234" s="67">
        <v>0</v>
      </c>
      <c r="AQ234" s="67">
        <v>0</v>
      </c>
      <c r="AR234" s="67">
        <v>0</v>
      </c>
      <c r="AS234" s="67">
        <v>0</v>
      </c>
      <c r="AT234" s="67"/>
      <c r="AU234" s="67"/>
      <c r="AV234" s="67"/>
      <c r="AW234" s="67">
        <v>0</v>
      </c>
      <c r="AX234" s="67">
        <v>0</v>
      </c>
      <c r="AY234" s="67"/>
      <c r="AZ234" s="67"/>
      <c r="BA234" s="67"/>
      <c r="BB234" s="67"/>
      <c r="BC234" s="67"/>
      <c r="BD234" s="67"/>
      <c r="BE234" s="67"/>
      <c r="BG234" s="67"/>
      <c r="BH234" s="67"/>
      <c r="BI234" s="67"/>
      <c r="BJ234" s="67">
        <v>0</v>
      </c>
      <c r="BK234" s="67"/>
      <c r="BL234" s="67"/>
      <c r="BP234" s="67"/>
      <c r="BQ234" s="67">
        <v>0</v>
      </c>
      <c r="BR234" s="67"/>
      <c r="BS234" s="67"/>
      <c r="BT234" s="67">
        <v>0</v>
      </c>
      <c r="BU234" s="67"/>
      <c r="BV234" s="67"/>
      <c r="BW234" s="67">
        <v>0</v>
      </c>
      <c r="BX234" s="67">
        <v>0</v>
      </c>
      <c r="BY234" s="67">
        <v>0</v>
      </c>
      <c r="BZ234" s="67">
        <v>0</v>
      </c>
      <c r="CA234" s="67"/>
      <c r="CB234" s="67">
        <v>0</v>
      </c>
      <c r="CC234" s="67"/>
      <c r="CD234" s="67"/>
      <c r="CE234" s="67">
        <v>0</v>
      </c>
      <c r="CF234" s="67">
        <v>0</v>
      </c>
      <c r="CG234" s="67"/>
      <c r="CH234" s="67"/>
      <c r="CI234" s="67"/>
      <c r="CJ234" s="67"/>
      <c r="CK234" s="67">
        <v>0</v>
      </c>
      <c r="CL234" s="67">
        <v>0</v>
      </c>
      <c r="CM234" s="67"/>
      <c r="CN234" s="67"/>
      <c r="CO234" s="67">
        <v>0</v>
      </c>
      <c r="CP234" s="67">
        <v>0</v>
      </c>
      <c r="CQ234" s="67"/>
      <c r="CR234" s="67"/>
      <c r="CS234" s="67"/>
      <c r="CT234" s="67"/>
      <c r="CU234" s="67">
        <v>0</v>
      </c>
      <c r="CV234" s="67"/>
      <c r="CW234" s="67"/>
      <c r="CX234" s="67"/>
      <c r="CY234" s="67">
        <v>0</v>
      </c>
      <c r="CZ234" s="67"/>
      <c r="DA234" s="67"/>
      <c r="DB234" s="67"/>
      <c r="DC234" s="67"/>
      <c r="DF234" s="67"/>
      <c r="DG234" s="67">
        <v>0</v>
      </c>
      <c r="DH234" s="67">
        <v>0</v>
      </c>
      <c r="DI234" s="67">
        <v>0</v>
      </c>
      <c r="DJ234" s="67"/>
      <c r="DK234" s="67">
        <v>0</v>
      </c>
      <c r="DL234" s="67">
        <v>0</v>
      </c>
      <c r="DM234" s="67">
        <v>0</v>
      </c>
      <c r="DN234" s="67"/>
      <c r="DO234" s="67"/>
      <c r="DP234" s="67"/>
      <c r="DQ234" s="67">
        <v>0</v>
      </c>
      <c r="DR234" s="67">
        <v>0</v>
      </c>
      <c r="DS234" s="67"/>
      <c r="DT234" s="67"/>
      <c r="DU234" s="67">
        <v>0</v>
      </c>
      <c r="DV234" s="67">
        <v>0</v>
      </c>
      <c r="DW234" s="67">
        <v>0</v>
      </c>
      <c r="DX234" s="67">
        <v>0</v>
      </c>
      <c r="DY234" s="67"/>
      <c r="DZ234" s="67">
        <v>0</v>
      </c>
      <c r="EA234" s="67"/>
      <c r="EB234" s="67">
        <v>0</v>
      </c>
      <c r="EC234" s="67"/>
      <c r="ED234" s="67">
        <v>0</v>
      </c>
      <c r="EE234" s="67"/>
      <c r="EF234" s="67">
        <v>0</v>
      </c>
      <c r="EG234" s="67"/>
      <c r="EH234" s="67"/>
      <c r="EI234" s="67"/>
      <c r="EJ234" s="67"/>
      <c r="EK234" s="67"/>
      <c r="EL234" s="67"/>
      <c r="EM234" s="67"/>
      <c r="EN234" s="67"/>
      <c r="EO234" s="67"/>
      <c r="EP234" s="67">
        <v>0</v>
      </c>
      <c r="EQ234" s="67">
        <v>0</v>
      </c>
      <c r="ER234" s="67">
        <v>0</v>
      </c>
      <c r="ES234" s="67"/>
      <c r="ET234">
        <v>0</v>
      </c>
      <c r="EX234" s="67"/>
      <c r="EY234" s="67"/>
      <c r="EZ234" s="67"/>
      <c r="FA234" s="67">
        <v>0</v>
      </c>
      <c r="FB234" s="67"/>
      <c r="FC234" s="67"/>
      <c r="FD234" s="67"/>
      <c r="FE234" s="67"/>
      <c r="FF234" s="67"/>
      <c r="FG234" s="67"/>
      <c r="FH234" s="67"/>
      <c r="FI234" s="67" t="s">
        <v>1600</v>
      </c>
    </row>
    <row r="235" spans="2:165" x14ac:dyDescent="0.2">
      <c r="B235" s="67" t="s">
        <v>675</v>
      </c>
      <c r="C235" s="67" t="s">
        <v>675</v>
      </c>
      <c r="D235" s="67" t="s">
        <v>676</v>
      </c>
      <c r="E235" s="67" t="s">
        <v>20</v>
      </c>
      <c r="F235" s="67" t="s">
        <v>750</v>
      </c>
      <c r="G235" s="67"/>
      <c r="H235" s="67"/>
      <c r="I235" s="67" t="s">
        <v>41</v>
      </c>
      <c r="J235" s="67" t="s">
        <v>64</v>
      </c>
      <c r="K235" s="67" t="s">
        <v>1609</v>
      </c>
      <c r="L235" s="67" t="s">
        <v>787</v>
      </c>
      <c r="M235" s="67" t="s">
        <v>752</v>
      </c>
      <c r="N235" s="67" t="s">
        <v>1598</v>
      </c>
      <c r="O235" s="67" t="s">
        <v>1610</v>
      </c>
      <c r="P235" s="67"/>
      <c r="Q235" s="67">
        <v>50</v>
      </c>
      <c r="R235" s="67">
        <v>0</v>
      </c>
      <c r="S235" s="67">
        <v>0</v>
      </c>
      <c r="T235" s="67">
        <v>50</v>
      </c>
      <c r="U235" s="67">
        <v>0</v>
      </c>
      <c r="V235" s="67">
        <v>0</v>
      </c>
      <c r="W235" s="67">
        <v>0</v>
      </c>
      <c r="X235" s="67">
        <v>0</v>
      </c>
      <c r="Y235" s="67">
        <v>0</v>
      </c>
      <c r="Z235" s="67">
        <v>0</v>
      </c>
      <c r="AA235" s="67">
        <v>0</v>
      </c>
      <c r="AB235" s="67">
        <v>0</v>
      </c>
      <c r="AC235" s="67">
        <v>0</v>
      </c>
      <c r="AD235" s="67">
        <v>0</v>
      </c>
      <c r="AE235" s="67">
        <v>0</v>
      </c>
      <c r="AF235" s="67">
        <v>0</v>
      </c>
      <c r="AG235" s="67">
        <v>0</v>
      </c>
      <c r="AH235" s="67">
        <v>0</v>
      </c>
      <c r="AI235" s="67">
        <v>0</v>
      </c>
      <c r="AJ235" s="67">
        <v>0</v>
      </c>
      <c r="AK235" s="67">
        <v>0</v>
      </c>
      <c r="AL235" s="67">
        <v>0</v>
      </c>
      <c r="AM235" s="67">
        <v>0</v>
      </c>
      <c r="AN235" s="67">
        <v>0</v>
      </c>
      <c r="AO235" s="67">
        <v>0</v>
      </c>
      <c r="AP235" s="67">
        <v>0</v>
      </c>
      <c r="AQ235" s="67">
        <v>0</v>
      </c>
      <c r="AR235" s="67">
        <v>0</v>
      </c>
      <c r="AS235" s="67">
        <v>0</v>
      </c>
      <c r="AT235" s="67"/>
      <c r="AU235" s="67"/>
      <c r="AV235" s="67"/>
      <c r="AW235" s="67">
        <v>0</v>
      </c>
      <c r="AX235" s="67">
        <v>0</v>
      </c>
      <c r="AY235" s="67"/>
      <c r="AZ235" s="67"/>
      <c r="BA235" s="67"/>
      <c r="BB235" s="67"/>
      <c r="BC235" s="67"/>
      <c r="BD235" s="67"/>
      <c r="BE235" s="67"/>
      <c r="BG235" s="67"/>
      <c r="BH235" s="67"/>
      <c r="BI235" s="67"/>
      <c r="BJ235" s="67">
        <v>0</v>
      </c>
      <c r="BK235" s="67"/>
      <c r="BL235" s="67"/>
      <c r="BP235" s="67"/>
      <c r="BQ235" s="67">
        <v>0</v>
      </c>
      <c r="BR235" s="67"/>
      <c r="BS235" s="67"/>
      <c r="BT235" s="67">
        <v>0</v>
      </c>
      <c r="BU235" s="67"/>
      <c r="BV235" s="67"/>
      <c r="BW235" s="67">
        <v>0</v>
      </c>
      <c r="BX235" s="67">
        <v>0</v>
      </c>
      <c r="BY235" s="67">
        <v>0</v>
      </c>
      <c r="BZ235" s="67">
        <v>0</v>
      </c>
      <c r="CA235" s="67"/>
      <c r="CB235" s="67">
        <v>0</v>
      </c>
      <c r="CC235" s="67"/>
      <c r="CD235" s="67"/>
      <c r="CE235" s="67">
        <v>0</v>
      </c>
      <c r="CF235" s="67">
        <v>0</v>
      </c>
      <c r="CG235" s="67"/>
      <c r="CH235" s="67"/>
      <c r="CI235" s="67"/>
      <c r="CJ235" s="67"/>
      <c r="CK235" s="67">
        <v>0</v>
      </c>
      <c r="CL235" s="67">
        <v>0</v>
      </c>
      <c r="CM235" s="67"/>
      <c r="CN235" s="67"/>
      <c r="CO235" s="67">
        <v>0</v>
      </c>
      <c r="CP235" s="67">
        <v>0</v>
      </c>
      <c r="CQ235" s="67"/>
      <c r="CR235" s="67"/>
      <c r="CS235" s="67"/>
      <c r="CT235" s="67"/>
      <c r="CU235" s="67">
        <v>0</v>
      </c>
      <c r="CV235" s="67"/>
      <c r="CW235" s="67"/>
      <c r="CX235" s="67"/>
      <c r="CY235" s="67">
        <v>0</v>
      </c>
      <c r="CZ235" s="67"/>
      <c r="DA235" s="67"/>
      <c r="DB235" s="67"/>
      <c r="DC235" s="67"/>
      <c r="DF235" s="67"/>
      <c r="DG235" s="67">
        <v>0</v>
      </c>
      <c r="DH235" s="67">
        <v>0</v>
      </c>
      <c r="DI235" s="67">
        <v>0</v>
      </c>
      <c r="DJ235" s="67"/>
      <c r="DK235" s="67">
        <v>0</v>
      </c>
      <c r="DL235" s="67">
        <v>0</v>
      </c>
      <c r="DM235" s="67">
        <v>0</v>
      </c>
      <c r="DN235" s="67"/>
      <c r="DO235" s="67"/>
      <c r="DP235" s="67"/>
      <c r="DQ235" s="67">
        <v>0</v>
      </c>
      <c r="DR235" s="67">
        <v>0</v>
      </c>
      <c r="DS235" s="67"/>
      <c r="DT235" s="67"/>
      <c r="DU235" s="67">
        <v>0</v>
      </c>
      <c r="DV235" s="67">
        <v>0</v>
      </c>
      <c r="DW235" s="67">
        <v>0</v>
      </c>
      <c r="DX235" s="67">
        <v>0</v>
      </c>
      <c r="DY235" s="67"/>
      <c r="DZ235" s="67">
        <v>0</v>
      </c>
      <c r="EA235" s="67"/>
      <c r="EB235" s="67">
        <v>0</v>
      </c>
      <c r="EC235" s="67"/>
      <c r="ED235" s="67">
        <v>0</v>
      </c>
      <c r="EE235" s="67"/>
      <c r="EF235" s="67">
        <v>0</v>
      </c>
      <c r="EG235" s="67"/>
      <c r="EH235" s="67"/>
      <c r="EI235" s="67"/>
      <c r="EJ235" s="67"/>
      <c r="EK235" s="67"/>
      <c r="EL235" s="67"/>
      <c r="EM235" s="67"/>
      <c r="EN235" s="67"/>
      <c r="EO235" s="67"/>
      <c r="EP235" s="67">
        <v>0</v>
      </c>
      <c r="EQ235" s="67">
        <v>0</v>
      </c>
      <c r="ER235" s="67">
        <v>0</v>
      </c>
      <c r="ES235" s="67"/>
      <c r="ET235">
        <v>0</v>
      </c>
      <c r="EX235" s="67"/>
      <c r="EY235" s="67"/>
      <c r="EZ235" s="67"/>
      <c r="FA235" s="67">
        <v>50</v>
      </c>
      <c r="FB235" s="67"/>
      <c r="FC235" s="67"/>
      <c r="FD235" s="67"/>
      <c r="FE235" s="67"/>
      <c r="FF235" s="67"/>
      <c r="FG235" s="67"/>
      <c r="FH235" s="67"/>
      <c r="FI235" s="67" t="s">
        <v>1600</v>
      </c>
    </row>
    <row r="236" spans="2:165" ht="24" x14ac:dyDescent="0.2">
      <c r="B236" s="67"/>
      <c r="C236" s="67" t="s">
        <v>1719</v>
      </c>
      <c r="D236" s="67" t="s">
        <v>677</v>
      </c>
      <c r="E236" s="67" t="s">
        <v>889</v>
      </c>
      <c r="F236" s="67" t="s">
        <v>750</v>
      </c>
      <c r="G236" s="67"/>
      <c r="H236" s="67"/>
      <c r="I236" s="67" t="s">
        <v>41</v>
      </c>
      <c r="J236" s="67" t="s">
        <v>64</v>
      </c>
      <c r="K236" s="67" t="s">
        <v>1679</v>
      </c>
      <c r="L236" s="67" t="s">
        <v>787</v>
      </c>
      <c r="M236" s="67" t="s">
        <v>1615</v>
      </c>
      <c r="N236" s="67" t="s">
        <v>1598</v>
      </c>
      <c r="O236" s="67" t="s">
        <v>1606</v>
      </c>
      <c r="P236" s="67"/>
      <c r="Q236" s="67">
        <v>350</v>
      </c>
      <c r="R236" s="67">
        <v>0</v>
      </c>
      <c r="S236" s="67">
        <v>0</v>
      </c>
      <c r="T236" s="67">
        <v>350</v>
      </c>
      <c r="U236" s="67">
        <v>0</v>
      </c>
      <c r="V236" s="67">
        <v>0</v>
      </c>
      <c r="W236" s="67">
        <v>0</v>
      </c>
      <c r="X236" s="67">
        <v>0</v>
      </c>
      <c r="Y236" s="67">
        <v>0</v>
      </c>
      <c r="Z236" s="67">
        <v>0</v>
      </c>
      <c r="AA236" s="67">
        <v>0</v>
      </c>
      <c r="AB236" s="67">
        <v>0</v>
      </c>
      <c r="AC236" s="67">
        <v>0</v>
      </c>
      <c r="AD236" s="67">
        <v>0</v>
      </c>
      <c r="AE236" s="67">
        <v>0</v>
      </c>
      <c r="AF236" s="67">
        <v>0</v>
      </c>
      <c r="AG236" s="67">
        <v>0</v>
      </c>
      <c r="AH236" s="67">
        <v>0</v>
      </c>
      <c r="AI236" s="67">
        <v>0</v>
      </c>
      <c r="AJ236" s="67">
        <v>0</v>
      </c>
      <c r="AK236" s="67">
        <v>0</v>
      </c>
      <c r="AL236" s="67">
        <v>0</v>
      </c>
      <c r="AM236" s="67">
        <v>0</v>
      </c>
      <c r="AN236" s="67">
        <v>0</v>
      </c>
      <c r="AO236" s="67">
        <v>0</v>
      </c>
      <c r="AP236" s="67">
        <v>0</v>
      </c>
      <c r="AQ236" s="67">
        <v>0</v>
      </c>
      <c r="AR236" s="67">
        <v>0</v>
      </c>
      <c r="AS236" s="67">
        <v>0</v>
      </c>
      <c r="AT236" s="67"/>
      <c r="AU236" s="67"/>
      <c r="AV236" s="67"/>
      <c r="AW236" s="67">
        <v>0</v>
      </c>
      <c r="AX236" s="67">
        <v>0</v>
      </c>
      <c r="AY236" s="67"/>
      <c r="AZ236" s="67"/>
      <c r="BA236" s="67"/>
      <c r="BB236" s="67"/>
      <c r="BC236" s="67"/>
      <c r="BD236" s="67"/>
      <c r="BE236" s="67"/>
      <c r="BG236" s="67"/>
      <c r="BH236" s="67"/>
      <c r="BI236" s="67"/>
      <c r="BJ236" s="67">
        <v>0</v>
      </c>
      <c r="BK236" s="67"/>
      <c r="BL236" s="67"/>
      <c r="BP236" s="67"/>
      <c r="BQ236" s="67">
        <v>0</v>
      </c>
      <c r="BR236" s="67"/>
      <c r="BS236" s="67"/>
      <c r="BT236" s="67">
        <v>0</v>
      </c>
      <c r="BU236" s="67"/>
      <c r="BV236" s="67"/>
      <c r="BW236" s="67">
        <v>0</v>
      </c>
      <c r="BX236" s="67">
        <v>0</v>
      </c>
      <c r="BY236" s="67">
        <v>0</v>
      </c>
      <c r="BZ236" s="67">
        <v>0</v>
      </c>
      <c r="CA236" s="67"/>
      <c r="CB236" s="67">
        <v>0</v>
      </c>
      <c r="CC236" s="67"/>
      <c r="CD236" s="67"/>
      <c r="CE236" s="67">
        <v>0</v>
      </c>
      <c r="CF236" s="67">
        <v>0</v>
      </c>
      <c r="CG236" s="67"/>
      <c r="CH236" s="67"/>
      <c r="CI236" s="67"/>
      <c r="CJ236" s="67"/>
      <c r="CK236" s="67">
        <v>0</v>
      </c>
      <c r="CL236" s="67">
        <v>0</v>
      </c>
      <c r="CM236" s="67"/>
      <c r="CN236" s="67"/>
      <c r="CO236" s="67">
        <v>0</v>
      </c>
      <c r="CP236" s="67">
        <v>0</v>
      </c>
      <c r="CQ236" s="67"/>
      <c r="CR236" s="67"/>
      <c r="CS236" s="67"/>
      <c r="CT236" s="67"/>
      <c r="CU236" s="67">
        <v>0</v>
      </c>
      <c r="CV236" s="67"/>
      <c r="CW236" s="67"/>
      <c r="CX236" s="67"/>
      <c r="CY236" s="67">
        <v>0</v>
      </c>
      <c r="CZ236" s="67"/>
      <c r="DA236" s="67"/>
      <c r="DB236" s="67"/>
      <c r="DC236" s="67"/>
      <c r="DF236" s="67"/>
      <c r="DG236" s="67">
        <v>0</v>
      </c>
      <c r="DH236" s="67">
        <v>0</v>
      </c>
      <c r="DI236" s="67">
        <v>0</v>
      </c>
      <c r="DJ236" s="67"/>
      <c r="DK236" s="67">
        <v>0</v>
      </c>
      <c r="DL236" s="67">
        <v>0</v>
      </c>
      <c r="DM236" s="67">
        <v>0</v>
      </c>
      <c r="DN236" s="67"/>
      <c r="DO236" s="67"/>
      <c r="DP236" s="67"/>
      <c r="DQ236" s="67">
        <v>0</v>
      </c>
      <c r="DR236" s="67">
        <v>0</v>
      </c>
      <c r="DS236" s="67"/>
      <c r="DT236" s="67"/>
      <c r="DU236" s="67">
        <v>0</v>
      </c>
      <c r="DV236" s="67">
        <v>0</v>
      </c>
      <c r="DW236" s="67">
        <v>0</v>
      </c>
      <c r="DX236" s="67">
        <v>0</v>
      </c>
      <c r="DY236" s="67"/>
      <c r="DZ236" s="67">
        <v>0</v>
      </c>
      <c r="EA236" s="67"/>
      <c r="EB236" s="67">
        <v>0</v>
      </c>
      <c r="EC236" s="67"/>
      <c r="ED236" s="67">
        <v>0</v>
      </c>
      <c r="EE236" s="67"/>
      <c r="EF236" s="67">
        <v>0</v>
      </c>
      <c r="EG236" s="67"/>
      <c r="EH236" s="67"/>
      <c r="EI236" s="67"/>
      <c r="EJ236" s="67"/>
      <c r="EK236" s="67"/>
      <c r="EL236" s="67"/>
      <c r="EM236" s="67"/>
      <c r="EN236" s="67"/>
      <c r="EO236" s="67"/>
      <c r="EP236" s="67">
        <v>0</v>
      </c>
      <c r="EQ236" s="67">
        <v>0</v>
      </c>
      <c r="ER236" s="67">
        <v>0</v>
      </c>
      <c r="ES236" s="67"/>
      <c r="ET236">
        <v>0</v>
      </c>
      <c r="EX236" s="67"/>
      <c r="EY236" s="67"/>
      <c r="EZ236" s="67"/>
      <c r="FA236" s="67">
        <v>350</v>
      </c>
      <c r="FB236" s="67"/>
      <c r="FC236" s="67"/>
      <c r="FD236" s="67"/>
      <c r="FE236" s="67"/>
      <c r="FF236" s="67"/>
      <c r="FG236" s="67"/>
      <c r="FH236" s="67"/>
      <c r="FI236" s="67" t="s">
        <v>1600</v>
      </c>
    </row>
    <row r="237" spans="2:165" x14ac:dyDescent="0.2">
      <c r="B237" s="67"/>
      <c r="C237" s="67" t="s">
        <v>1720</v>
      </c>
      <c r="D237" s="67" t="s">
        <v>678</v>
      </c>
      <c r="E237" s="67" t="s">
        <v>305</v>
      </c>
      <c r="F237" s="67" t="s">
        <v>766</v>
      </c>
      <c r="G237" s="67"/>
      <c r="H237" s="67"/>
      <c r="I237" s="67" t="s">
        <v>41</v>
      </c>
      <c r="J237" s="67" t="s">
        <v>68</v>
      </c>
      <c r="K237" s="67" t="s">
        <v>1643</v>
      </c>
      <c r="L237" s="67" t="s">
        <v>787</v>
      </c>
      <c r="M237" s="67" t="s">
        <v>752</v>
      </c>
      <c r="N237" s="67" t="s">
        <v>1607</v>
      </c>
      <c r="O237" s="67" t="s">
        <v>1599</v>
      </c>
      <c r="P237" s="67"/>
      <c r="Q237" s="67">
        <v>0</v>
      </c>
      <c r="R237" s="67">
        <v>0</v>
      </c>
      <c r="S237" s="67">
        <v>0</v>
      </c>
      <c r="T237" s="67">
        <v>0</v>
      </c>
      <c r="U237" s="67">
        <v>0</v>
      </c>
      <c r="V237" s="67">
        <v>0</v>
      </c>
      <c r="W237" s="67">
        <v>0</v>
      </c>
      <c r="X237" s="67">
        <v>0</v>
      </c>
      <c r="Y237" s="67">
        <v>0</v>
      </c>
      <c r="Z237" s="67">
        <v>0</v>
      </c>
      <c r="AA237" s="67">
        <v>0</v>
      </c>
      <c r="AB237" s="67">
        <v>0</v>
      </c>
      <c r="AC237" s="67">
        <v>0</v>
      </c>
      <c r="AD237" s="67">
        <v>0</v>
      </c>
      <c r="AE237" s="67">
        <v>0</v>
      </c>
      <c r="AF237" s="67">
        <v>0</v>
      </c>
      <c r="AG237" s="67">
        <v>0</v>
      </c>
      <c r="AH237" s="67">
        <v>0</v>
      </c>
      <c r="AI237" s="67">
        <v>0</v>
      </c>
      <c r="AJ237" s="67">
        <v>0</v>
      </c>
      <c r="AK237" s="67">
        <v>0</v>
      </c>
      <c r="AL237" s="67">
        <v>0</v>
      </c>
      <c r="AM237" s="67">
        <v>0</v>
      </c>
      <c r="AN237" s="67">
        <v>0</v>
      </c>
      <c r="AO237" s="67">
        <v>0</v>
      </c>
      <c r="AP237" s="67">
        <v>0</v>
      </c>
      <c r="AQ237" s="67">
        <v>0</v>
      </c>
      <c r="AR237" s="67">
        <v>0</v>
      </c>
      <c r="AS237" s="67">
        <v>0</v>
      </c>
      <c r="AT237" s="67"/>
      <c r="AU237" s="67"/>
      <c r="AV237" s="67"/>
      <c r="AW237" s="67">
        <v>0</v>
      </c>
      <c r="AX237" s="67">
        <v>0</v>
      </c>
      <c r="AY237" s="67"/>
      <c r="AZ237" s="67"/>
      <c r="BA237" s="67"/>
      <c r="BB237" s="67"/>
      <c r="BC237" s="67"/>
      <c r="BD237" s="67"/>
      <c r="BE237" s="67"/>
      <c r="BG237" s="67"/>
      <c r="BH237" s="67"/>
      <c r="BI237" s="67"/>
      <c r="BJ237" s="67">
        <v>0</v>
      </c>
      <c r="BK237" s="67"/>
      <c r="BL237" s="67"/>
      <c r="BP237" s="67"/>
      <c r="BQ237" s="67">
        <v>0</v>
      </c>
      <c r="BR237" s="67"/>
      <c r="BS237" s="67"/>
      <c r="BT237" s="67">
        <v>0</v>
      </c>
      <c r="BU237" s="67"/>
      <c r="BV237" s="67"/>
      <c r="BW237" s="67">
        <v>0</v>
      </c>
      <c r="BX237" s="67">
        <v>0</v>
      </c>
      <c r="BY237" s="67">
        <v>0</v>
      </c>
      <c r="BZ237" s="67">
        <v>0</v>
      </c>
      <c r="CA237" s="67"/>
      <c r="CB237" s="67">
        <v>0</v>
      </c>
      <c r="CC237" s="67"/>
      <c r="CD237" s="67"/>
      <c r="CE237" s="67">
        <v>0</v>
      </c>
      <c r="CF237" s="67">
        <v>0</v>
      </c>
      <c r="CG237" s="67"/>
      <c r="CH237" s="67"/>
      <c r="CI237" s="67"/>
      <c r="CJ237" s="67"/>
      <c r="CK237" s="67">
        <v>0</v>
      </c>
      <c r="CL237" s="67">
        <v>0</v>
      </c>
      <c r="CM237" s="67"/>
      <c r="CN237" s="67"/>
      <c r="CO237" s="67">
        <v>0</v>
      </c>
      <c r="CP237" s="67">
        <v>0</v>
      </c>
      <c r="CQ237" s="67"/>
      <c r="CR237" s="67"/>
      <c r="CS237" s="67"/>
      <c r="CT237" s="67"/>
      <c r="CU237" s="67">
        <v>0</v>
      </c>
      <c r="CV237" s="67"/>
      <c r="CW237" s="67"/>
      <c r="CX237" s="67"/>
      <c r="CY237" s="67">
        <v>0</v>
      </c>
      <c r="CZ237" s="67"/>
      <c r="DA237" s="67"/>
      <c r="DB237" s="67"/>
      <c r="DC237" s="67"/>
      <c r="DF237" s="67"/>
      <c r="DG237" s="67">
        <v>0</v>
      </c>
      <c r="DH237" s="67">
        <v>0</v>
      </c>
      <c r="DI237" s="67">
        <v>0</v>
      </c>
      <c r="DJ237" s="67"/>
      <c r="DK237" s="67">
        <v>0</v>
      </c>
      <c r="DL237" s="67">
        <v>0</v>
      </c>
      <c r="DM237" s="67">
        <v>0</v>
      </c>
      <c r="DN237" s="67"/>
      <c r="DO237" s="67"/>
      <c r="DP237" s="67"/>
      <c r="DQ237" s="67">
        <v>0</v>
      </c>
      <c r="DR237" s="67">
        <v>0</v>
      </c>
      <c r="DS237" s="67"/>
      <c r="DT237" s="67"/>
      <c r="DU237" s="67">
        <v>0</v>
      </c>
      <c r="DV237" s="67">
        <v>0</v>
      </c>
      <c r="DW237" s="67">
        <v>0</v>
      </c>
      <c r="DX237" s="67">
        <v>0</v>
      </c>
      <c r="DY237" s="67"/>
      <c r="DZ237" s="67">
        <v>0</v>
      </c>
      <c r="EA237" s="67"/>
      <c r="EB237" s="67">
        <v>0</v>
      </c>
      <c r="EC237" s="67"/>
      <c r="ED237" s="67">
        <v>0</v>
      </c>
      <c r="EE237" s="67"/>
      <c r="EF237" s="67">
        <v>0</v>
      </c>
      <c r="EG237" s="67"/>
      <c r="EH237" s="67"/>
      <c r="EI237" s="67"/>
      <c r="EJ237" s="67"/>
      <c r="EK237" s="67"/>
      <c r="EL237" s="67"/>
      <c r="EM237" s="67"/>
      <c r="EN237" s="67"/>
      <c r="EO237" s="67"/>
      <c r="EP237" s="67">
        <v>0</v>
      </c>
      <c r="EQ237" s="67">
        <v>0</v>
      </c>
      <c r="ER237" s="67">
        <v>0</v>
      </c>
      <c r="ES237" s="67"/>
      <c r="ET237">
        <v>0</v>
      </c>
      <c r="EX237" s="67"/>
      <c r="EY237" s="67"/>
      <c r="EZ237" s="67"/>
      <c r="FA237" s="67">
        <v>0</v>
      </c>
      <c r="FB237" s="67"/>
      <c r="FC237" s="67"/>
      <c r="FD237" s="67"/>
      <c r="FE237" s="67"/>
      <c r="FF237" s="67"/>
      <c r="FG237" s="67"/>
      <c r="FH237" s="67"/>
      <c r="FI237" s="67" t="s">
        <v>1600</v>
      </c>
    </row>
    <row r="238" spans="2:165" x14ac:dyDescent="0.2">
      <c r="B238" s="67" t="s">
        <v>679</v>
      </c>
      <c r="C238" s="67" t="s">
        <v>679</v>
      </c>
      <c r="D238" s="67" t="s">
        <v>680</v>
      </c>
      <c r="E238" s="67" t="s">
        <v>305</v>
      </c>
      <c r="F238" s="67" t="s">
        <v>1641</v>
      </c>
      <c r="G238" s="67"/>
      <c r="H238" s="67"/>
      <c r="I238" s="67" t="s">
        <v>41</v>
      </c>
      <c r="J238" s="67" t="s">
        <v>68</v>
      </c>
      <c r="K238" s="67" t="s">
        <v>1643</v>
      </c>
      <c r="L238" s="67" t="s">
        <v>787</v>
      </c>
      <c r="M238" s="67" t="s">
        <v>752</v>
      </c>
      <c r="N238" s="67" t="s">
        <v>1601</v>
      </c>
      <c r="O238" s="67" t="s">
        <v>1599</v>
      </c>
      <c r="P238" s="67"/>
      <c r="Q238" s="67">
        <v>250</v>
      </c>
      <c r="R238" s="67">
        <v>0</v>
      </c>
      <c r="S238" s="67">
        <v>0</v>
      </c>
      <c r="T238" s="67">
        <v>0</v>
      </c>
      <c r="U238" s="67">
        <v>0</v>
      </c>
      <c r="V238" s="67">
        <v>0</v>
      </c>
      <c r="W238" s="67">
        <v>0</v>
      </c>
      <c r="X238" s="67">
        <v>0</v>
      </c>
      <c r="Y238" s="67">
        <v>0</v>
      </c>
      <c r="Z238" s="67">
        <v>0</v>
      </c>
      <c r="AA238" s="67">
        <v>0</v>
      </c>
      <c r="AB238" s="67">
        <v>0</v>
      </c>
      <c r="AC238" s="67">
        <v>0</v>
      </c>
      <c r="AD238" s="67">
        <v>0</v>
      </c>
      <c r="AE238" s="67">
        <v>0</v>
      </c>
      <c r="AF238" s="67">
        <v>0</v>
      </c>
      <c r="AG238" s="67">
        <v>0</v>
      </c>
      <c r="AH238" s="67">
        <v>0</v>
      </c>
      <c r="AI238" s="67">
        <v>0</v>
      </c>
      <c r="AJ238" s="67">
        <v>0</v>
      </c>
      <c r="AK238" s="67">
        <v>0</v>
      </c>
      <c r="AL238" s="67">
        <v>0</v>
      </c>
      <c r="AM238" s="67">
        <v>0</v>
      </c>
      <c r="AN238" s="67">
        <v>0</v>
      </c>
      <c r="AO238" s="67">
        <v>250</v>
      </c>
      <c r="AP238" s="67">
        <v>0</v>
      </c>
      <c r="AQ238" s="67">
        <v>0</v>
      </c>
      <c r="AR238" s="67">
        <v>0</v>
      </c>
      <c r="AS238" s="67">
        <v>0</v>
      </c>
      <c r="AT238" s="67"/>
      <c r="AU238" s="67"/>
      <c r="AV238" s="67"/>
      <c r="AW238" s="67">
        <v>0</v>
      </c>
      <c r="AX238" s="67">
        <v>0</v>
      </c>
      <c r="AY238" s="67"/>
      <c r="AZ238" s="67"/>
      <c r="BA238" s="67"/>
      <c r="BB238" s="67"/>
      <c r="BC238" s="67"/>
      <c r="BD238" s="67"/>
      <c r="BE238" s="67"/>
      <c r="BG238" s="67"/>
      <c r="BH238" s="67"/>
      <c r="BI238" s="67"/>
      <c r="BJ238" s="67">
        <v>0</v>
      </c>
      <c r="BK238" s="67"/>
      <c r="BL238" s="67"/>
      <c r="BP238" s="67"/>
      <c r="BQ238" s="67">
        <v>0</v>
      </c>
      <c r="BR238" s="67"/>
      <c r="BS238" s="67"/>
      <c r="BT238" s="67">
        <v>0</v>
      </c>
      <c r="BU238" s="67"/>
      <c r="BV238" s="67"/>
      <c r="BW238" s="67">
        <v>0</v>
      </c>
      <c r="BX238" s="67">
        <v>0</v>
      </c>
      <c r="BY238" s="67">
        <v>0</v>
      </c>
      <c r="BZ238" s="67">
        <v>0</v>
      </c>
      <c r="CA238" s="67"/>
      <c r="CB238" s="67">
        <v>0</v>
      </c>
      <c r="CC238" s="67"/>
      <c r="CD238" s="67"/>
      <c r="CE238" s="67">
        <v>0</v>
      </c>
      <c r="CF238" s="67">
        <v>0</v>
      </c>
      <c r="CG238" s="67"/>
      <c r="CH238" s="67"/>
      <c r="CI238" s="67"/>
      <c r="CJ238" s="67"/>
      <c r="CK238" s="67">
        <v>0</v>
      </c>
      <c r="CL238" s="67">
        <v>0</v>
      </c>
      <c r="CM238" s="67"/>
      <c r="CN238" s="67"/>
      <c r="CO238" s="67">
        <v>0</v>
      </c>
      <c r="CP238" s="67">
        <v>0</v>
      </c>
      <c r="CQ238" s="67"/>
      <c r="CR238" s="67"/>
      <c r="CS238" s="67"/>
      <c r="CT238" s="67"/>
      <c r="CU238" s="67">
        <v>0</v>
      </c>
      <c r="CV238" s="67"/>
      <c r="CW238" s="67"/>
      <c r="CX238" s="67"/>
      <c r="CY238" s="67">
        <v>0</v>
      </c>
      <c r="CZ238" s="67"/>
      <c r="DA238" s="67"/>
      <c r="DB238" s="67"/>
      <c r="DC238" s="67"/>
      <c r="DF238" s="67"/>
      <c r="DG238" s="67">
        <v>0</v>
      </c>
      <c r="DH238" s="67">
        <v>0</v>
      </c>
      <c r="DI238" s="67">
        <v>0</v>
      </c>
      <c r="DJ238" s="67"/>
      <c r="DK238" s="67">
        <v>0</v>
      </c>
      <c r="DL238" s="67">
        <v>0</v>
      </c>
      <c r="DM238" s="67">
        <v>0</v>
      </c>
      <c r="DN238" s="67"/>
      <c r="DO238" s="67"/>
      <c r="DP238" s="67"/>
      <c r="DQ238" s="67">
        <v>0</v>
      </c>
      <c r="DR238" s="67">
        <v>0</v>
      </c>
      <c r="DS238" s="67"/>
      <c r="DT238" s="67"/>
      <c r="DU238" s="67">
        <v>0</v>
      </c>
      <c r="DV238" s="67">
        <v>0</v>
      </c>
      <c r="DW238" s="67">
        <v>0</v>
      </c>
      <c r="DX238" s="67">
        <v>0</v>
      </c>
      <c r="DY238" s="67"/>
      <c r="DZ238" s="67">
        <v>0</v>
      </c>
      <c r="EA238" s="67"/>
      <c r="EB238" s="67">
        <v>0</v>
      </c>
      <c r="EC238" s="67"/>
      <c r="ED238" s="67">
        <v>0</v>
      </c>
      <c r="EE238" s="67"/>
      <c r="EF238" s="67">
        <v>0</v>
      </c>
      <c r="EG238" s="67"/>
      <c r="EH238" s="67"/>
      <c r="EI238" s="67"/>
      <c r="EJ238" s="67"/>
      <c r="EK238" s="67"/>
      <c r="EL238" s="67"/>
      <c r="EM238" s="67"/>
      <c r="EN238" s="67"/>
      <c r="EO238" s="67"/>
      <c r="EP238" s="67">
        <v>0</v>
      </c>
      <c r="EQ238" s="67">
        <v>0</v>
      </c>
      <c r="ER238" s="67">
        <v>0</v>
      </c>
      <c r="ES238" s="67"/>
      <c r="ET238">
        <v>0</v>
      </c>
      <c r="EX238" s="67"/>
      <c r="EY238" s="67"/>
      <c r="EZ238" s="67"/>
      <c r="FA238" s="67">
        <v>250</v>
      </c>
      <c r="FB238" s="67"/>
      <c r="FC238" s="67"/>
      <c r="FD238" s="67"/>
      <c r="FE238" s="67"/>
      <c r="FF238" s="67"/>
      <c r="FG238" s="67"/>
      <c r="FH238" s="67"/>
      <c r="FI238" s="67" t="s">
        <v>1600</v>
      </c>
    </row>
    <row r="239" spans="2:165" x14ac:dyDescent="0.2">
      <c r="B239" s="67" t="s">
        <v>681</v>
      </c>
      <c r="C239" s="67" t="s">
        <v>681</v>
      </c>
      <c r="D239" s="67" t="s">
        <v>682</v>
      </c>
      <c r="E239" s="67" t="s">
        <v>305</v>
      </c>
      <c r="F239" s="67" t="s">
        <v>1641</v>
      </c>
      <c r="G239" s="67"/>
      <c r="H239" s="67"/>
      <c r="I239" s="67" t="s">
        <v>41</v>
      </c>
      <c r="J239" s="67" t="s">
        <v>68</v>
      </c>
      <c r="K239" s="67" t="s">
        <v>1643</v>
      </c>
      <c r="L239" s="67" t="s">
        <v>787</v>
      </c>
      <c r="M239" s="67" t="s">
        <v>752</v>
      </c>
      <c r="N239" s="67" t="s">
        <v>1601</v>
      </c>
      <c r="O239" s="67" t="s">
        <v>1599</v>
      </c>
      <c r="P239" s="67"/>
      <c r="Q239" s="67">
        <v>650</v>
      </c>
      <c r="R239" s="67">
        <v>0</v>
      </c>
      <c r="S239" s="67">
        <v>0</v>
      </c>
      <c r="T239" s="67">
        <v>0</v>
      </c>
      <c r="U239" s="67">
        <v>0</v>
      </c>
      <c r="V239" s="67">
        <v>0</v>
      </c>
      <c r="W239" s="67">
        <v>0</v>
      </c>
      <c r="X239" s="67">
        <v>0</v>
      </c>
      <c r="Y239" s="67">
        <v>0</v>
      </c>
      <c r="Z239" s="67">
        <v>0</v>
      </c>
      <c r="AA239" s="67">
        <v>0</v>
      </c>
      <c r="AB239" s="67">
        <v>0</v>
      </c>
      <c r="AC239" s="67">
        <v>0</v>
      </c>
      <c r="AD239" s="67">
        <v>0</v>
      </c>
      <c r="AE239" s="67">
        <v>0</v>
      </c>
      <c r="AF239" s="67">
        <v>0</v>
      </c>
      <c r="AG239" s="67">
        <v>0</v>
      </c>
      <c r="AH239" s="67">
        <v>0</v>
      </c>
      <c r="AI239" s="67">
        <v>0</v>
      </c>
      <c r="AJ239" s="67">
        <v>0</v>
      </c>
      <c r="AK239" s="67">
        <v>0</v>
      </c>
      <c r="AL239" s="67">
        <v>0</v>
      </c>
      <c r="AM239" s="67">
        <v>0</v>
      </c>
      <c r="AN239" s="67">
        <v>0</v>
      </c>
      <c r="AO239" s="67">
        <v>650</v>
      </c>
      <c r="AP239" s="67">
        <v>0</v>
      </c>
      <c r="AQ239" s="67">
        <v>0</v>
      </c>
      <c r="AR239" s="67">
        <v>0</v>
      </c>
      <c r="AS239" s="67">
        <v>0</v>
      </c>
      <c r="AT239" s="67"/>
      <c r="AU239" s="67"/>
      <c r="AV239" s="67"/>
      <c r="AW239" s="67">
        <v>0</v>
      </c>
      <c r="AX239" s="67">
        <v>0</v>
      </c>
      <c r="AY239" s="67"/>
      <c r="AZ239" s="67"/>
      <c r="BA239" s="67"/>
      <c r="BB239" s="67"/>
      <c r="BC239" s="67"/>
      <c r="BD239" s="67"/>
      <c r="BE239" s="67"/>
      <c r="BG239" s="67"/>
      <c r="BH239" s="67"/>
      <c r="BI239" s="67"/>
      <c r="BJ239" s="67">
        <v>0</v>
      </c>
      <c r="BK239" s="67"/>
      <c r="BL239" s="67"/>
      <c r="BP239" s="67"/>
      <c r="BQ239" s="67">
        <v>0</v>
      </c>
      <c r="BR239" s="67"/>
      <c r="BS239" s="67"/>
      <c r="BT239" s="67">
        <v>0</v>
      </c>
      <c r="BU239" s="67"/>
      <c r="BV239" s="67"/>
      <c r="BW239" s="67">
        <v>0</v>
      </c>
      <c r="BX239" s="67">
        <v>0</v>
      </c>
      <c r="BY239" s="67">
        <v>0</v>
      </c>
      <c r="BZ239" s="67">
        <v>0</v>
      </c>
      <c r="CA239" s="67"/>
      <c r="CB239" s="67">
        <v>0</v>
      </c>
      <c r="CC239" s="67"/>
      <c r="CD239" s="67"/>
      <c r="CE239" s="67">
        <v>0</v>
      </c>
      <c r="CF239" s="67">
        <v>0</v>
      </c>
      <c r="CG239" s="67"/>
      <c r="CH239" s="67"/>
      <c r="CI239" s="67"/>
      <c r="CJ239" s="67"/>
      <c r="CK239" s="67">
        <v>0</v>
      </c>
      <c r="CL239" s="67">
        <v>0</v>
      </c>
      <c r="CM239" s="67"/>
      <c r="CN239" s="67"/>
      <c r="CO239" s="67">
        <v>0</v>
      </c>
      <c r="CP239" s="67">
        <v>0</v>
      </c>
      <c r="CQ239" s="67"/>
      <c r="CR239" s="67"/>
      <c r="CS239" s="67"/>
      <c r="CT239" s="67"/>
      <c r="CU239" s="67">
        <v>0</v>
      </c>
      <c r="CV239" s="67"/>
      <c r="CW239" s="67"/>
      <c r="CX239" s="67"/>
      <c r="CY239" s="67">
        <v>0</v>
      </c>
      <c r="CZ239" s="67"/>
      <c r="DA239" s="67"/>
      <c r="DB239" s="67"/>
      <c r="DC239" s="67"/>
      <c r="DF239" s="67"/>
      <c r="DG239" s="67">
        <v>0</v>
      </c>
      <c r="DH239" s="67">
        <v>0</v>
      </c>
      <c r="DI239" s="67">
        <v>0</v>
      </c>
      <c r="DJ239" s="67"/>
      <c r="DK239" s="67">
        <v>0</v>
      </c>
      <c r="DL239" s="67">
        <v>0</v>
      </c>
      <c r="DM239" s="67">
        <v>0</v>
      </c>
      <c r="DN239" s="67"/>
      <c r="DO239" s="67"/>
      <c r="DP239" s="67"/>
      <c r="DQ239" s="67">
        <v>0</v>
      </c>
      <c r="DR239" s="67">
        <v>0</v>
      </c>
      <c r="DS239" s="67"/>
      <c r="DT239" s="67"/>
      <c r="DU239" s="67">
        <v>0</v>
      </c>
      <c r="DV239" s="67">
        <v>0</v>
      </c>
      <c r="DW239" s="67">
        <v>0</v>
      </c>
      <c r="DX239" s="67">
        <v>0</v>
      </c>
      <c r="DY239" s="67"/>
      <c r="DZ239" s="67">
        <v>0</v>
      </c>
      <c r="EA239" s="67"/>
      <c r="EB239" s="67">
        <v>0</v>
      </c>
      <c r="EC239" s="67"/>
      <c r="ED239" s="67">
        <v>0</v>
      </c>
      <c r="EE239" s="67"/>
      <c r="EF239" s="67">
        <v>0</v>
      </c>
      <c r="EG239" s="67"/>
      <c r="EH239" s="67"/>
      <c r="EI239" s="67"/>
      <c r="EJ239" s="67"/>
      <c r="EK239" s="67"/>
      <c r="EL239" s="67"/>
      <c r="EM239" s="67"/>
      <c r="EN239" s="67"/>
      <c r="EO239" s="67"/>
      <c r="EP239" s="67">
        <v>0</v>
      </c>
      <c r="EQ239" s="67">
        <v>0</v>
      </c>
      <c r="ER239" s="67">
        <v>0</v>
      </c>
      <c r="ES239" s="67"/>
      <c r="ET239">
        <v>0</v>
      </c>
      <c r="EX239" s="67"/>
      <c r="EY239" s="67"/>
      <c r="EZ239" s="67"/>
      <c r="FA239" s="67">
        <v>650</v>
      </c>
      <c r="FB239" s="67"/>
      <c r="FC239" s="67"/>
      <c r="FD239" s="67"/>
      <c r="FE239" s="67"/>
      <c r="FF239" s="67"/>
      <c r="FG239" s="67"/>
      <c r="FH239" s="67"/>
      <c r="FI239" s="67" t="s">
        <v>1600</v>
      </c>
    </row>
    <row r="240" spans="2:165" x14ac:dyDescent="0.2">
      <c r="B240" s="67" t="s">
        <v>683</v>
      </c>
      <c r="C240" s="67" t="s">
        <v>683</v>
      </c>
      <c r="D240" s="67" t="s">
        <v>684</v>
      </c>
      <c r="E240" s="67" t="s">
        <v>35</v>
      </c>
      <c r="F240" s="67" t="s">
        <v>984</v>
      </c>
      <c r="G240" s="67"/>
      <c r="H240" s="67"/>
      <c r="I240" s="67" t="s">
        <v>43</v>
      </c>
      <c r="J240" s="67" t="s">
        <v>64</v>
      </c>
      <c r="K240" s="67" t="s">
        <v>985</v>
      </c>
      <c r="L240" s="67" t="s">
        <v>787</v>
      </c>
      <c r="M240" s="67" t="s">
        <v>752</v>
      </c>
      <c r="N240" s="67" t="s">
        <v>1607</v>
      </c>
      <c r="O240" s="67" t="s">
        <v>1599</v>
      </c>
      <c r="P240" s="67"/>
      <c r="Q240" s="67">
        <v>250</v>
      </c>
      <c r="R240" s="67">
        <v>0</v>
      </c>
      <c r="S240" s="67">
        <v>250</v>
      </c>
      <c r="T240" s="67">
        <v>0</v>
      </c>
      <c r="U240" s="67">
        <v>0</v>
      </c>
      <c r="V240" s="67">
        <v>0</v>
      </c>
      <c r="W240" s="67">
        <v>0</v>
      </c>
      <c r="X240" s="67">
        <v>0</v>
      </c>
      <c r="Y240" s="67">
        <v>0</v>
      </c>
      <c r="Z240" s="67">
        <v>0</v>
      </c>
      <c r="AA240" s="67">
        <v>0</v>
      </c>
      <c r="AB240" s="67">
        <v>0</v>
      </c>
      <c r="AC240" s="67">
        <v>0</v>
      </c>
      <c r="AD240" s="67">
        <v>0</v>
      </c>
      <c r="AE240" s="67">
        <v>0</v>
      </c>
      <c r="AF240" s="67">
        <v>0</v>
      </c>
      <c r="AG240" s="67">
        <v>0</v>
      </c>
      <c r="AH240" s="67">
        <v>0</v>
      </c>
      <c r="AI240" s="67">
        <v>0</v>
      </c>
      <c r="AJ240" s="67">
        <v>0</v>
      </c>
      <c r="AK240" s="67">
        <v>0</v>
      </c>
      <c r="AL240" s="67">
        <v>0</v>
      </c>
      <c r="AM240" s="67">
        <v>0</v>
      </c>
      <c r="AN240" s="67">
        <v>0</v>
      </c>
      <c r="AO240" s="67">
        <v>0</v>
      </c>
      <c r="AP240" s="67">
        <v>0</v>
      </c>
      <c r="AQ240" s="67">
        <v>0</v>
      </c>
      <c r="AR240" s="67">
        <v>0</v>
      </c>
      <c r="AS240" s="67">
        <v>0</v>
      </c>
      <c r="AT240" s="67"/>
      <c r="AU240" s="67"/>
      <c r="AV240" s="67"/>
      <c r="AW240" s="67">
        <v>0</v>
      </c>
      <c r="AX240" s="67">
        <v>0</v>
      </c>
      <c r="AY240" s="67"/>
      <c r="AZ240" s="67"/>
      <c r="BA240" s="67"/>
      <c r="BB240" s="67"/>
      <c r="BC240" s="67"/>
      <c r="BD240" s="67"/>
      <c r="BE240" s="67"/>
      <c r="BG240" s="67"/>
      <c r="BH240" s="67"/>
      <c r="BI240" s="67"/>
      <c r="BJ240" s="67">
        <v>0</v>
      </c>
      <c r="BK240" s="67"/>
      <c r="BL240" s="67"/>
      <c r="BP240" s="67"/>
      <c r="BQ240" s="67">
        <v>0</v>
      </c>
      <c r="BR240" s="67"/>
      <c r="BS240" s="67"/>
      <c r="BT240" s="67">
        <v>0</v>
      </c>
      <c r="BU240" s="67"/>
      <c r="BV240" s="67"/>
      <c r="BW240" s="67">
        <v>0</v>
      </c>
      <c r="BX240" s="67">
        <v>0</v>
      </c>
      <c r="BY240" s="67">
        <v>0</v>
      </c>
      <c r="BZ240" s="67">
        <v>0</v>
      </c>
      <c r="CA240" s="67"/>
      <c r="CB240" s="67">
        <v>0</v>
      </c>
      <c r="CC240" s="67"/>
      <c r="CD240" s="67"/>
      <c r="CE240" s="67">
        <v>0</v>
      </c>
      <c r="CF240" s="67">
        <v>0</v>
      </c>
      <c r="CG240" s="67"/>
      <c r="CH240" s="67"/>
      <c r="CI240" s="67"/>
      <c r="CJ240" s="67"/>
      <c r="CK240" s="67">
        <v>0</v>
      </c>
      <c r="CL240" s="67">
        <v>0</v>
      </c>
      <c r="CM240" s="67"/>
      <c r="CN240" s="67"/>
      <c r="CO240" s="67">
        <v>0</v>
      </c>
      <c r="CP240" s="67">
        <v>0</v>
      </c>
      <c r="CQ240" s="67"/>
      <c r="CR240" s="67"/>
      <c r="CS240" s="67"/>
      <c r="CT240" s="67"/>
      <c r="CU240" s="67">
        <v>0</v>
      </c>
      <c r="CV240" s="67"/>
      <c r="CW240" s="67"/>
      <c r="CX240" s="67"/>
      <c r="CY240" s="67">
        <v>0</v>
      </c>
      <c r="CZ240" s="67"/>
      <c r="DA240" s="67"/>
      <c r="DB240" s="67"/>
      <c r="DC240" s="67"/>
      <c r="DF240" s="67"/>
      <c r="DG240" s="67">
        <v>0</v>
      </c>
      <c r="DH240" s="67">
        <v>0</v>
      </c>
      <c r="DI240" s="67">
        <v>0</v>
      </c>
      <c r="DJ240" s="67"/>
      <c r="DK240" s="67">
        <v>0</v>
      </c>
      <c r="DL240" s="67">
        <v>0</v>
      </c>
      <c r="DM240" s="67">
        <v>0</v>
      </c>
      <c r="DN240" s="67"/>
      <c r="DO240" s="67"/>
      <c r="DP240" s="67"/>
      <c r="DQ240" s="67">
        <v>0</v>
      </c>
      <c r="DR240" s="67">
        <v>0</v>
      </c>
      <c r="DS240" s="67"/>
      <c r="DT240" s="67"/>
      <c r="DU240" s="67">
        <v>0</v>
      </c>
      <c r="DV240" s="67">
        <v>0</v>
      </c>
      <c r="DW240" s="67">
        <v>0</v>
      </c>
      <c r="DX240" s="67">
        <v>0</v>
      </c>
      <c r="DY240" s="67"/>
      <c r="DZ240" s="67">
        <v>0</v>
      </c>
      <c r="EA240" s="67"/>
      <c r="EB240" s="67">
        <v>0</v>
      </c>
      <c r="EC240" s="67"/>
      <c r="ED240" s="67">
        <v>0</v>
      </c>
      <c r="EE240" s="67"/>
      <c r="EF240" s="67">
        <v>0</v>
      </c>
      <c r="EG240" s="67"/>
      <c r="EH240" s="67"/>
      <c r="EI240" s="67"/>
      <c r="EJ240" s="67"/>
      <c r="EK240" s="67"/>
      <c r="EL240" s="67"/>
      <c r="EM240" s="67"/>
      <c r="EN240" s="67"/>
      <c r="EO240" s="67"/>
      <c r="EP240" s="67">
        <v>0</v>
      </c>
      <c r="EQ240" s="67">
        <v>0</v>
      </c>
      <c r="ER240" s="67">
        <v>0</v>
      </c>
      <c r="ES240" s="67"/>
      <c r="ET240">
        <v>0</v>
      </c>
      <c r="EX240" s="67"/>
      <c r="EY240" s="67"/>
      <c r="EZ240" s="67"/>
      <c r="FA240" s="67">
        <v>250</v>
      </c>
      <c r="FB240" s="67"/>
      <c r="FC240" s="67"/>
      <c r="FD240" s="67"/>
      <c r="FE240" s="67"/>
      <c r="FF240" s="67"/>
      <c r="FG240" s="67"/>
      <c r="FH240" s="67"/>
      <c r="FI240" s="67" t="s">
        <v>1600</v>
      </c>
    </row>
    <row r="241" spans="2:165" ht="24" x14ac:dyDescent="0.2">
      <c r="B241" s="67"/>
      <c r="C241" s="67" t="s">
        <v>1721</v>
      </c>
      <c r="D241" s="67" t="s">
        <v>685</v>
      </c>
      <c r="E241" s="67" t="s">
        <v>13</v>
      </c>
      <c r="F241" s="67" t="s">
        <v>1224</v>
      </c>
      <c r="G241" s="67"/>
      <c r="H241" s="67"/>
      <c r="I241" s="67" t="s">
        <v>41</v>
      </c>
      <c r="J241" s="67" t="s">
        <v>71</v>
      </c>
      <c r="K241" s="67" t="s">
        <v>1706</v>
      </c>
      <c r="L241" s="67" t="s">
        <v>787</v>
      </c>
      <c r="M241" s="67" t="s">
        <v>752</v>
      </c>
      <c r="N241" s="67" t="s">
        <v>1604</v>
      </c>
      <c r="O241" s="67" t="s">
        <v>1605</v>
      </c>
      <c r="P241" s="67"/>
      <c r="Q241" s="67">
        <v>0</v>
      </c>
      <c r="R241" s="67">
        <v>0</v>
      </c>
      <c r="S241" s="67">
        <v>0</v>
      </c>
      <c r="T241" s="67">
        <v>0</v>
      </c>
      <c r="U241" s="67">
        <v>0</v>
      </c>
      <c r="V241" s="67">
        <v>0</v>
      </c>
      <c r="W241" s="67">
        <v>0</v>
      </c>
      <c r="X241" s="67">
        <v>0</v>
      </c>
      <c r="Y241" s="67">
        <v>0</v>
      </c>
      <c r="Z241" s="67">
        <v>0</v>
      </c>
      <c r="AA241" s="67">
        <v>0</v>
      </c>
      <c r="AB241" s="67">
        <v>0</v>
      </c>
      <c r="AC241" s="67">
        <v>0</v>
      </c>
      <c r="AD241" s="67">
        <v>0</v>
      </c>
      <c r="AE241" s="67">
        <v>0</v>
      </c>
      <c r="AF241" s="67">
        <v>0</v>
      </c>
      <c r="AG241" s="67">
        <v>0</v>
      </c>
      <c r="AH241" s="67">
        <v>0</v>
      </c>
      <c r="AI241" s="67">
        <v>0</v>
      </c>
      <c r="AJ241" s="67">
        <v>0</v>
      </c>
      <c r="AK241" s="67">
        <v>0</v>
      </c>
      <c r="AL241" s="67">
        <v>0</v>
      </c>
      <c r="AM241" s="67">
        <v>0</v>
      </c>
      <c r="AN241" s="67">
        <v>0</v>
      </c>
      <c r="AO241" s="67">
        <v>0</v>
      </c>
      <c r="AP241" s="67">
        <v>0</v>
      </c>
      <c r="AQ241" s="67">
        <v>0</v>
      </c>
      <c r="AR241" s="67">
        <v>0</v>
      </c>
      <c r="AS241" s="67">
        <v>0</v>
      </c>
      <c r="AT241" s="67"/>
      <c r="AU241" s="67"/>
      <c r="AV241" s="67"/>
      <c r="AW241" s="67">
        <v>0</v>
      </c>
      <c r="AX241" s="67">
        <v>0</v>
      </c>
      <c r="AY241" s="67"/>
      <c r="AZ241" s="67"/>
      <c r="BA241" s="67"/>
      <c r="BB241" s="67"/>
      <c r="BC241" s="67"/>
      <c r="BD241" s="67"/>
      <c r="BE241" s="67"/>
      <c r="BG241" s="67"/>
      <c r="BH241" s="67"/>
      <c r="BI241" s="67"/>
      <c r="BJ241" s="67">
        <v>0</v>
      </c>
      <c r="BK241" s="67"/>
      <c r="BL241" s="67"/>
      <c r="BP241" s="67"/>
      <c r="BQ241" s="67">
        <v>0</v>
      </c>
      <c r="BR241" s="67"/>
      <c r="BS241" s="67"/>
      <c r="BT241" s="67">
        <v>0</v>
      </c>
      <c r="BU241" s="67"/>
      <c r="BV241" s="67"/>
      <c r="BW241" s="67">
        <v>0</v>
      </c>
      <c r="BX241" s="67">
        <v>0</v>
      </c>
      <c r="BY241" s="67">
        <v>0</v>
      </c>
      <c r="BZ241" s="67">
        <v>0</v>
      </c>
      <c r="CA241" s="67"/>
      <c r="CB241" s="67">
        <v>0</v>
      </c>
      <c r="CC241" s="67"/>
      <c r="CD241" s="67"/>
      <c r="CE241" s="67">
        <v>0</v>
      </c>
      <c r="CF241" s="67">
        <v>0</v>
      </c>
      <c r="CG241" s="67"/>
      <c r="CH241" s="67"/>
      <c r="CI241" s="67"/>
      <c r="CJ241" s="67"/>
      <c r="CK241" s="67">
        <v>0</v>
      </c>
      <c r="CL241" s="67">
        <v>0</v>
      </c>
      <c r="CM241" s="67"/>
      <c r="CN241" s="67"/>
      <c r="CO241" s="67">
        <v>0</v>
      </c>
      <c r="CP241" s="67">
        <v>0</v>
      </c>
      <c r="CQ241" s="67"/>
      <c r="CR241" s="67"/>
      <c r="CS241" s="67"/>
      <c r="CT241" s="67"/>
      <c r="CU241" s="67">
        <v>0</v>
      </c>
      <c r="CV241" s="67"/>
      <c r="CW241" s="67"/>
      <c r="CX241" s="67"/>
      <c r="CY241" s="67">
        <v>0</v>
      </c>
      <c r="CZ241" s="67"/>
      <c r="DA241" s="67"/>
      <c r="DB241" s="67"/>
      <c r="DC241" s="67"/>
      <c r="DF241" s="67"/>
      <c r="DG241" s="67">
        <v>0</v>
      </c>
      <c r="DH241" s="67">
        <v>0</v>
      </c>
      <c r="DI241" s="67">
        <v>0</v>
      </c>
      <c r="DJ241" s="67"/>
      <c r="DK241" s="67">
        <v>0</v>
      </c>
      <c r="DL241" s="67">
        <v>0</v>
      </c>
      <c r="DM241" s="67">
        <v>0</v>
      </c>
      <c r="DN241" s="67"/>
      <c r="DO241" s="67"/>
      <c r="DP241" s="67"/>
      <c r="DQ241" s="67">
        <v>0</v>
      </c>
      <c r="DR241" s="67">
        <v>0</v>
      </c>
      <c r="DS241" s="67"/>
      <c r="DT241" s="67"/>
      <c r="DU241" s="67">
        <v>0</v>
      </c>
      <c r="DV241" s="67">
        <v>0</v>
      </c>
      <c r="DW241" s="67">
        <v>0</v>
      </c>
      <c r="DX241" s="67">
        <v>0</v>
      </c>
      <c r="DY241" s="67"/>
      <c r="DZ241" s="67">
        <v>0</v>
      </c>
      <c r="EA241" s="67"/>
      <c r="EB241" s="67">
        <v>0</v>
      </c>
      <c r="EC241" s="67"/>
      <c r="ED241" s="67">
        <v>0</v>
      </c>
      <c r="EE241" s="67"/>
      <c r="EF241" s="67">
        <v>0</v>
      </c>
      <c r="EG241" s="67"/>
      <c r="EH241" s="67"/>
      <c r="EI241" s="67"/>
      <c r="EJ241" s="67"/>
      <c r="EK241" s="67"/>
      <c r="EL241" s="67"/>
      <c r="EM241" s="67"/>
      <c r="EN241" s="67"/>
      <c r="EO241" s="67"/>
      <c r="EP241" s="67">
        <v>0</v>
      </c>
      <c r="EQ241" s="67">
        <v>0</v>
      </c>
      <c r="ER241" s="67">
        <v>0</v>
      </c>
      <c r="ES241" s="67"/>
      <c r="ET241">
        <v>0</v>
      </c>
      <c r="EX241" s="67"/>
      <c r="EY241" s="67"/>
      <c r="EZ241" s="67"/>
      <c r="FA241" s="67">
        <v>0</v>
      </c>
      <c r="FB241" s="67"/>
      <c r="FC241" s="67"/>
      <c r="FD241" s="67"/>
      <c r="FE241" s="67"/>
      <c r="FF241" s="67"/>
      <c r="FG241" s="67"/>
      <c r="FH241" s="67"/>
      <c r="FI241" s="67" t="s">
        <v>1600</v>
      </c>
    </row>
    <row r="242" spans="2:165" x14ac:dyDescent="0.2">
      <c r="B242" s="67"/>
      <c r="C242" s="67" t="s">
        <v>1722</v>
      </c>
      <c r="D242" s="67" t="s">
        <v>686</v>
      </c>
      <c r="E242" s="67" t="s">
        <v>23</v>
      </c>
      <c r="F242" s="67" t="s">
        <v>766</v>
      </c>
      <c r="G242" s="67"/>
      <c r="H242" s="67"/>
      <c r="I242" s="67" t="s">
        <v>41</v>
      </c>
      <c r="J242" s="67" t="s">
        <v>68</v>
      </c>
      <c r="K242" s="67" t="s">
        <v>1672</v>
      </c>
      <c r="L242" s="67" t="s">
        <v>787</v>
      </c>
      <c r="M242" s="67" t="s">
        <v>752</v>
      </c>
      <c r="N242" s="67" t="s">
        <v>1598</v>
      </c>
      <c r="O242" s="67" t="s">
        <v>1599</v>
      </c>
      <c r="P242" s="67"/>
      <c r="Q242" s="67">
        <v>0</v>
      </c>
      <c r="R242" s="67">
        <v>0</v>
      </c>
      <c r="S242" s="67">
        <v>0</v>
      </c>
      <c r="T242" s="67">
        <v>0</v>
      </c>
      <c r="U242" s="67">
        <v>0</v>
      </c>
      <c r="V242" s="67">
        <v>0</v>
      </c>
      <c r="W242" s="67">
        <v>0</v>
      </c>
      <c r="X242" s="67">
        <v>0</v>
      </c>
      <c r="Y242" s="67">
        <v>0</v>
      </c>
      <c r="Z242" s="67">
        <v>0</v>
      </c>
      <c r="AA242" s="67">
        <v>0</v>
      </c>
      <c r="AB242" s="67">
        <v>0</v>
      </c>
      <c r="AC242" s="67">
        <v>0</v>
      </c>
      <c r="AD242" s="67">
        <v>0</v>
      </c>
      <c r="AE242" s="67">
        <v>0</v>
      </c>
      <c r="AF242" s="67">
        <v>0</v>
      </c>
      <c r="AG242" s="67">
        <v>0</v>
      </c>
      <c r="AH242" s="67">
        <v>0</v>
      </c>
      <c r="AI242" s="67">
        <v>0</v>
      </c>
      <c r="AJ242" s="67">
        <v>0</v>
      </c>
      <c r="AK242" s="67">
        <v>0</v>
      </c>
      <c r="AL242" s="67">
        <v>0</v>
      </c>
      <c r="AM242" s="67">
        <v>0</v>
      </c>
      <c r="AN242" s="67">
        <v>0</v>
      </c>
      <c r="AO242" s="67">
        <v>0</v>
      </c>
      <c r="AP242" s="67">
        <v>0</v>
      </c>
      <c r="AQ242" s="67">
        <v>0</v>
      </c>
      <c r="AR242" s="67">
        <v>0</v>
      </c>
      <c r="AS242" s="67">
        <v>0</v>
      </c>
      <c r="AT242" s="67"/>
      <c r="AU242" s="67"/>
      <c r="AV242" s="67"/>
      <c r="AW242" s="67">
        <v>0</v>
      </c>
      <c r="AX242" s="67">
        <v>0</v>
      </c>
      <c r="AY242" s="67"/>
      <c r="AZ242" s="67"/>
      <c r="BA242" s="67"/>
      <c r="BB242" s="67"/>
      <c r="BC242" s="67"/>
      <c r="BD242" s="67"/>
      <c r="BE242" s="67"/>
      <c r="BG242" s="67"/>
      <c r="BH242" s="67"/>
      <c r="BI242" s="67"/>
      <c r="BJ242" s="67">
        <v>0</v>
      </c>
      <c r="BK242" s="67"/>
      <c r="BL242" s="67"/>
      <c r="BP242" s="67"/>
      <c r="BQ242" s="67">
        <v>0</v>
      </c>
      <c r="BR242" s="67"/>
      <c r="BS242" s="67"/>
      <c r="BT242" s="67">
        <v>0</v>
      </c>
      <c r="BU242" s="67"/>
      <c r="BV242" s="67"/>
      <c r="BW242" s="67">
        <v>0</v>
      </c>
      <c r="BX242" s="67">
        <v>0</v>
      </c>
      <c r="BY242" s="67">
        <v>0</v>
      </c>
      <c r="BZ242" s="67">
        <v>0</v>
      </c>
      <c r="CA242" s="67"/>
      <c r="CB242" s="67">
        <v>0</v>
      </c>
      <c r="CC242" s="67"/>
      <c r="CD242" s="67"/>
      <c r="CE242" s="67">
        <v>0</v>
      </c>
      <c r="CF242" s="67">
        <v>0</v>
      </c>
      <c r="CG242" s="67"/>
      <c r="CH242" s="67"/>
      <c r="CI242" s="67"/>
      <c r="CJ242" s="67"/>
      <c r="CK242" s="67">
        <v>0</v>
      </c>
      <c r="CL242" s="67">
        <v>0</v>
      </c>
      <c r="CM242" s="67"/>
      <c r="CN242" s="67"/>
      <c r="CO242" s="67">
        <v>0</v>
      </c>
      <c r="CP242" s="67">
        <v>0</v>
      </c>
      <c r="CQ242" s="67"/>
      <c r="CR242" s="67"/>
      <c r="CS242" s="67"/>
      <c r="CT242" s="67"/>
      <c r="CU242" s="67">
        <v>0</v>
      </c>
      <c r="CV242" s="67"/>
      <c r="CW242" s="67"/>
      <c r="CX242" s="67"/>
      <c r="CY242" s="67">
        <v>0</v>
      </c>
      <c r="CZ242" s="67"/>
      <c r="DA242" s="67"/>
      <c r="DB242" s="67"/>
      <c r="DC242" s="67"/>
      <c r="DF242" s="67"/>
      <c r="DG242" s="67">
        <v>0</v>
      </c>
      <c r="DH242" s="67">
        <v>0</v>
      </c>
      <c r="DI242" s="67">
        <v>0</v>
      </c>
      <c r="DJ242" s="67"/>
      <c r="DK242" s="67">
        <v>0</v>
      </c>
      <c r="DL242" s="67">
        <v>0</v>
      </c>
      <c r="DM242" s="67">
        <v>0</v>
      </c>
      <c r="DN242" s="67"/>
      <c r="DO242" s="67"/>
      <c r="DP242" s="67"/>
      <c r="DQ242" s="67">
        <v>0</v>
      </c>
      <c r="DR242" s="67">
        <v>0</v>
      </c>
      <c r="DS242" s="67"/>
      <c r="DT242" s="67"/>
      <c r="DU242" s="67">
        <v>0</v>
      </c>
      <c r="DV242" s="67">
        <v>0</v>
      </c>
      <c r="DW242" s="67">
        <v>0</v>
      </c>
      <c r="DX242" s="67">
        <v>0</v>
      </c>
      <c r="DY242" s="67"/>
      <c r="DZ242" s="67">
        <v>0</v>
      </c>
      <c r="EA242" s="67"/>
      <c r="EB242" s="67">
        <v>0</v>
      </c>
      <c r="EC242" s="67"/>
      <c r="ED242" s="67">
        <v>0</v>
      </c>
      <c r="EE242" s="67"/>
      <c r="EF242" s="67">
        <v>0</v>
      </c>
      <c r="EG242" s="67"/>
      <c r="EH242" s="67"/>
      <c r="EI242" s="67"/>
      <c r="EJ242" s="67"/>
      <c r="EK242" s="67"/>
      <c r="EL242" s="67"/>
      <c r="EM242" s="67"/>
      <c r="EN242" s="67"/>
      <c r="EO242" s="67"/>
      <c r="EP242" s="67">
        <v>0</v>
      </c>
      <c r="EQ242" s="67">
        <v>0</v>
      </c>
      <c r="ER242" s="67">
        <v>0</v>
      </c>
      <c r="ES242" s="67"/>
      <c r="ET242">
        <v>0</v>
      </c>
      <c r="EX242" s="67"/>
      <c r="EY242" s="67"/>
      <c r="EZ242" s="67"/>
      <c r="FA242" s="67">
        <v>0</v>
      </c>
      <c r="FB242" s="67"/>
      <c r="FC242" s="67"/>
      <c r="FD242" s="67"/>
      <c r="FE242" s="67"/>
      <c r="FF242" s="67"/>
      <c r="FG242" s="67"/>
      <c r="FH242" s="67"/>
      <c r="FI242" s="67" t="s">
        <v>1600</v>
      </c>
    </row>
    <row r="243" spans="2:165" ht="24" x14ac:dyDescent="0.2">
      <c r="B243" s="67"/>
      <c r="C243" s="67" t="s">
        <v>1723</v>
      </c>
      <c r="D243" s="67" t="s">
        <v>687</v>
      </c>
      <c r="E243" s="67" t="s">
        <v>13</v>
      </c>
      <c r="F243" s="67" t="s">
        <v>1284</v>
      </c>
      <c r="G243" s="67"/>
      <c r="H243" s="67"/>
      <c r="I243" s="67" t="s">
        <v>22</v>
      </c>
      <c r="J243" s="67" t="s">
        <v>64</v>
      </c>
      <c r="K243" s="67" t="s">
        <v>839</v>
      </c>
      <c r="L243" s="67" t="s">
        <v>787</v>
      </c>
      <c r="M243" s="67" t="s">
        <v>1615</v>
      </c>
      <c r="N243" s="67" t="s">
        <v>1607</v>
      </c>
      <c r="O243" s="67" t="s">
        <v>1599</v>
      </c>
      <c r="P243" s="67"/>
      <c r="Q243" s="67">
        <v>0</v>
      </c>
      <c r="R243" s="67">
        <v>0</v>
      </c>
      <c r="S243" s="67">
        <v>0</v>
      </c>
      <c r="T243" s="67">
        <v>0</v>
      </c>
      <c r="U243" s="67">
        <v>0</v>
      </c>
      <c r="V243" s="67">
        <v>0</v>
      </c>
      <c r="W243" s="67">
        <v>0</v>
      </c>
      <c r="X243" s="67">
        <v>0</v>
      </c>
      <c r="Y243" s="67">
        <v>0</v>
      </c>
      <c r="Z243" s="67">
        <v>0</v>
      </c>
      <c r="AA243" s="67">
        <v>0</v>
      </c>
      <c r="AB243" s="67">
        <v>0</v>
      </c>
      <c r="AC243" s="67">
        <v>0</v>
      </c>
      <c r="AD243" s="67">
        <v>0</v>
      </c>
      <c r="AE243" s="67">
        <v>0</v>
      </c>
      <c r="AF243" s="67">
        <v>0</v>
      </c>
      <c r="AG243" s="67">
        <v>0</v>
      </c>
      <c r="AH243" s="67">
        <v>0</v>
      </c>
      <c r="AI243" s="67">
        <v>0</v>
      </c>
      <c r="AJ243" s="67">
        <v>0</v>
      </c>
      <c r="AK243" s="67">
        <v>0</v>
      </c>
      <c r="AL243" s="67">
        <v>0</v>
      </c>
      <c r="AM243" s="67">
        <v>0</v>
      </c>
      <c r="AN243" s="67">
        <v>0</v>
      </c>
      <c r="AO243" s="67">
        <v>0</v>
      </c>
      <c r="AP243" s="67">
        <v>0</v>
      </c>
      <c r="AQ243" s="67">
        <v>0</v>
      </c>
      <c r="AR243" s="67">
        <v>0</v>
      </c>
      <c r="AS243" s="67">
        <v>0</v>
      </c>
      <c r="AT243" s="67"/>
      <c r="AU243" s="67"/>
      <c r="AV243" s="67"/>
      <c r="AW243" s="67">
        <v>0</v>
      </c>
      <c r="AX243" s="67">
        <v>0</v>
      </c>
      <c r="AY243" s="67"/>
      <c r="AZ243" s="67"/>
      <c r="BA243" s="67"/>
      <c r="BB243" s="67"/>
      <c r="BC243" s="67"/>
      <c r="BD243" s="67"/>
      <c r="BE243" s="67"/>
      <c r="BG243" s="67"/>
      <c r="BH243" s="67"/>
      <c r="BI243" s="67"/>
      <c r="BJ243" s="67">
        <v>0</v>
      </c>
      <c r="BK243" s="67"/>
      <c r="BL243" s="67"/>
      <c r="BP243" s="67"/>
      <c r="BQ243" s="67">
        <v>0</v>
      </c>
      <c r="BR243" s="67"/>
      <c r="BS243" s="67"/>
      <c r="BT243" s="67">
        <v>0</v>
      </c>
      <c r="BU243" s="67"/>
      <c r="BV243" s="67"/>
      <c r="BW243" s="67">
        <v>0</v>
      </c>
      <c r="BX243" s="67">
        <v>0</v>
      </c>
      <c r="BY243" s="67">
        <v>0</v>
      </c>
      <c r="BZ243" s="67">
        <v>0</v>
      </c>
      <c r="CA243" s="67"/>
      <c r="CB243" s="67">
        <v>0</v>
      </c>
      <c r="CC243" s="67"/>
      <c r="CD243" s="67"/>
      <c r="CE243" s="67">
        <v>0</v>
      </c>
      <c r="CF243" s="67">
        <v>0</v>
      </c>
      <c r="CG243" s="67"/>
      <c r="CH243" s="67"/>
      <c r="CI243" s="67"/>
      <c r="CJ243" s="67"/>
      <c r="CK243" s="67">
        <v>0</v>
      </c>
      <c r="CL243" s="67">
        <v>0</v>
      </c>
      <c r="CM243" s="67"/>
      <c r="CN243" s="67"/>
      <c r="CO243" s="67">
        <v>0</v>
      </c>
      <c r="CP243" s="67">
        <v>0</v>
      </c>
      <c r="CQ243" s="67"/>
      <c r="CR243" s="67"/>
      <c r="CS243" s="67"/>
      <c r="CT243" s="67"/>
      <c r="CU243" s="67">
        <v>0</v>
      </c>
      <c r="CV243" s="67"/>
      <c r="CW243" s="67"/>
      <c r="CX243" s="67"/>
      <c r="CY243" s="67">
        <v>0</v>
      </c>
      <c r="CZ243" s="67"/>
      <c r="DA243" s="67"/>
      <c r="DB243" s="67"/>
      <c r="DC243" s="67"/>
      <c r="DF243" s="67"/>
      <c r="DG243" s="67">
        <v>0</v>
      </c>
      <c r="DH243" s="67">
        <v>0</v>
      </c>
      <c r="DI243" s="67">
        <v>0</v>
      </c>
      <c r="DJ243" s="67"/>
      <c r="DK243" s="67">
        <v>0</v>
      </c>
      <c r="DL243" s="67">
        <v>0</v>
      </c>
      <c r="DM243" s="67">
        <v>0</v>
      </c>
      <c r="DN243" s="67"/>
      <c r="DO243" s="67"/>
      <c r="DP243" s="67"/>
      <c r="DQ243" s="67">
        <v>0</v>
      </c>
      <c r="DR243" s="67">
        <v>0</v>
      </c>
      <c r="DS243" s="67"/>
      <c r="DT243" s="67"/>
      <c r="DU243" s="67">
        <v>0</v>
      </c>
      <c r="DV243" s="67">
        <v>0</v>
      </c>
      <c r="DW243" s="67">
        <v>0</v>
      </c>
      <c r="DX243" s="67">
        <v>0</v>
      </c>
      <c r="DY243" s="67"/>
      <c r="DZ243" s="67">
        <v>0</v>
      </c>
      <c r="EA243" s="67"/>
      <c r="EB243" s="67">
        <v>0</v>
      </c>
      <c r="EC243" s="67"/>
      <c r="ED243" s="67">
        <v>0</v>
      </c>
      <c r="EE243" s="67"/>
      <c r="EF243" s="67">
        <v>0</v>
      </c>
      <c r="EG243" s="67"/>
      <c r="EH243" s="67"/>
      <c r="EI243" s="67"/>
      <c r="EJ243" s="67"/>
      <c r="EK243" s="67"/>
      <c r="EL243" s="67"/>
      <c r="EM243" s="67"/>
      <c r="EN243" s="67"/>
      <c r="EO243" s="67"/>
      <c r="EP243" s="67">
        <v>0</v>
      </c>
      <c r="EQ243" s="67">
        <v>0</v>
      </c>
      <c r="ER243" s="67">
        <v>0</v>
      </c>
      <c r="ES243" s="67"/>
      <c r="ET243">
        <v>0</v>
      </c>
      <c r="EX243" s="67"/>
      <c r="EY243" s="67"/>
      <c r="EZ243" s="67"/>
      <c r="FA243" s="67">
        <v>0</v>
      </c>
      <c r="FB243" s="67"/>
      <c r="FC243" s="67"/>
      <c r="FD243" s="67"/>
      <c r="FE243" s="67"/>
      <c r="FF243" s="67"/>
      <c r="FG243" s="67"/>
      <c r="FH243" s="67"/>
      <c r="FI243" s="67" t="s">
        <v>1600</v>
      </c>
    </row>
    <row r="244" spans="2:165" x14ac:dyDescent="0.2">
      <c r="B244" s="67"/>
      <c r="C244" s="67" t="s">
        <v>1724</v>
      </c>
      <c r="D244" s="67" t="s">
        <v>688</v>
      </c>
      <c r="E244" s="67" t="s">
        <v>305</v>
      </c>
      <c r="F244" s="67">
        <v>0</v>
      </c>
      <c r="G244" s="67"/>
      <c r="H244" s="67"/>
      <c r="I244" s="67" t="s">
        <v>41</v>
      </c>
      <c r="J244" s="67" t="s">
        <v>95</v>
      </c>
      <c r="K244" s="67" t="s">
        <v>1725</v>
      </c>
      <c r="L244" s="67" t="s">
        <v>787</v>
      </c>
      <c r="M244" s="67" t="s">
        <v>1615</v>
      </c>
      <c r="N244" s="67" t="s">
        <v>1598</v>
      </c>
      <c r="O244" s="67" t="s">
        <v>1599</v>
      </c>
      <c r="P244" s="67"/>
      <c r="Q244" s="67">
        <v>0</v>
      </c>
      <c r="R244" s="67">
        <v>0</v>
      </c>
      <c r="S244" s="67">
        <v>0</v>
      </c>
      <c r="T244" s="67">
        <v>0</v>
      </c>
      <c r="U244" s="67">
        <v>0</v>
      </c>
      <c r="V244" s="67">
        <v>0</v>
      </c>
      <c r="W244" s="67">
        <v>0</v>
      </c>
      <c r="X244" s="67">
        <v>0</v>
      </c>
      <c r="Y244" s="67">
        <v>0</v>
      </c>
      <c r="Z244" s="67">
        <v>0</v>
      </c>
      <c r="AA244" s="67">
        <v>0</v>
      </c>
      <c r="AB244" s="67">
        <v>0</v>
      </c>
      <c r="AC244" s="67">
        <v>0</v>
      </c>
      <c r="AD244" s="67">
        <v>0</v>
      </c>
      <c r="AE244" s="67">
        <v>0</v>
      </c>
      <c r="AF244" s="67">
        <v>0</v>
      </c>
      <c r="AG244" s="67">
        <v>0</v>
      </c>
      <c r="AH244" s="67">
        <v>0</v>
      </c>
      <c r="AI244" s="67">
        <v>0</v>
      </c>
      <c r="AJ244" s="67">
        <v>0</v>
      </c>
      <c r="AK244" s="67">
        <v>0</v>
      </c>
      <c r="AL244" s="67">
        <v>0</v>
      </c>
      <c r="AM244" s="67">
        <v>0</v>
      </c>
      <c r="AN244" s="67">
        <v>0</v>
      </c>
      <c r="AO244" s="67">
        <v>0</v>
      </c>
      <c r="AP244" s="67">
        <v>0</v>
      </c>
      <c r="AQ244" s="67">
        <v>0</v>
      </c>
      <c r="AR244" s="67">
        <v>0</v>
      </c>
      <c r="AS244" s="67">
        <v>0</v>
      </c>
      <c r="AT244" s="67"/>
      <c r="AU244" s="67"/>
      <c r="AV244" s="67"/>
      <c r="AW244" s="67">
        <v>0</v>
      </c>
      <c r="AX244" s="67">
        <v>0</v>
      </c>
      <c r="AY244" s="67"/>
      <c r="AZ244" s="67"/>
      <c r="BA244" s="67"/>
      <c r="BB244" s="67"/>
      <c r="BC244" s="67"/>
      <c r="BD244" s="67"/>
      <c r="BE244" s="67"/>
      <c r="BG244" s="67"/>
      <c r="BH244" s="67"/>
      <c r="BI244" s="67"/>
      <c r="BJ244" s="67">
        <v>0</v>
      </c>
      <c r="BK244" s="67"/>
      <c r="BL244" s="67"/>
      <c r="BP244" s="67"/>
      <c r="BQ244" s="67">
        <v>0</v>
      </c>
      <c r="BR244" s="67"/>
      <c r="BS244" s="67"/>
      <c r="BT244" s="67">
        <v>0</v>
      </c>
      <c r="BU244" s="67"/>
      <c r="BV244" s="67"/>
      <c r="BW244" s="67">
        <v>0</v>
      </c>
      <c r="BX244" s="67">
        <v>0</v>
      </c>
      <c r="BY244" s="67">
        <v>0</v>
      </c>
      <c r="BZ244" s="67">
        <v>0</v>
      </c>
      <c r="CA244" s="67"/>
      <c r="CB244" s="67">
        <v>0</v>
      </c>
      <c r="CC244" s="67"/>
      <c r="CD244" s="67"/>
      <c r="CE244" s="67">
        <v>0</v>
      </c>
      <c r="CF244" s="67">
        <v>0</v>
      </c>
      <c r="CG244" s="67"/>
      <c r="CH244" s="67"/>
      <c r="CI244" s="67"/>
      <c r="CJ244" s="67"/>
      <c r="CK244" s="67">
        <v>0</v>
      </c>
      <c r="CL244" s="67">
        <v>0</v>
      </c>
      <c r="CM244" s="67"/>
      <c r="CN244" s="67"/>
      <c r="CO244" s="67">
        <v>0</v>
      </c>
      <c r="CP244" s="67">
        <v>0</v>
      </c>
      <c r="CQ244" s="67"/>
      <c r="CR244" s="67"/>
      <c r="CS244" s="67"/>
      <c r="CT244" s="67"/>
      <c r="CU244" s="67">
        <v>0</v>
      </c>
      <c r="CV244" s="67"/>
      <c r="CW244" s="67"/>
      <c r="CX244" s="67"/>
      <c r="CY244" s="67">
        <v>0</v>
      </c>
      <c r="CZ244" s="67"/>
      <c r="DA244" s="67"/>
      <c r="DB244" s="67"/>
      <c r="DC244" s="67"/>
      <c r="DF244" s="67"/>
      <c r="DG244" s="67">
        <v>0</v>
      </c>
      <c r="DH244" s="67">
        <v>0</v>
      </c>
      <c r="DI244" s="67">
        <v>0</v>
      </c>
      <c r="DJ244" s="67"/>
      <c r="DK244" s="67">
        <v>0</v>
      </c>
      <c r="DL244" s="67">
        <v>0</v>
      </c>
      <c r="DM244" s="67">
        <v>0</v>
      </c>
      <c r="DN244" s="67"/>
      <c r="DO244" s="67"/>
      <c r="DP244" s="67"/>
      <c r="DQ244" s="67">
        <v>0</v>
      </c>
      <c r="DR244" s="67">
        <v>0</v>
      </c>
      <c r="DS244" s="67"/>
      <c r="DT244" s="67"/>
      <c r="DU244" s="67">
        <v>0</v>
      </c>
      <c r="DV244" s="67">
        <v>0</v>
      </c>
      <c r="DW244" s="67">
        <v>0</v>
      </c>
      <c r="DX244" s="67">
        <v>0</v>
      </c>
      <c r="DY244" s="67"/>
      <c r="DZ244" s="67">
        <v>0</v>
      </c>
      <c r="EA244" s="67"/>
      <c r="EB244" s="67">
        <v>0</v>
      </c>
      <c r="EC244" s="67"/>
      <c r="ED244" s="67">
        <v>0</v>
      </c>
      <c r="EE244" s="67"/>
      <c r="EF244" s="67">
        <v>0</v>
      </c>
      <c r="EG244" s="67"/>
      <c r="EH244" s="67"/>
      <c r="EI244" s="67"/>
      <c r="EJ244" s="67"/>
      <c r="EK244" s="67"/>
      <c r="EL244" s="67"/>
      <c r="EM244" s="67"/>
      <c r="EN244" s="67"/>
      <c r="EO244" s="67"/>
      <c r="EP244" s="67">
        <v>0</v>
      </c>
      <c r="EQ244" s="67">
        <v>0</v>
      </c>
      <c r="ER244" s="67">
        <v>0</v>
      </c>
      <c r="ES244" s="67"/>
      <c r="ET244">
        <v>0</v>
      </c>
      <c r="EX244" s="67"/>
      <c r="EY244" s="67"/>
      <c r="EZ244" s="67"/>
      <c r="FA244" s="67">
        <v>0</v>
      </c>
      <c r="FB244" s="67"/>
      <c r="FC244" s="67"/>
      <c r="FD244" s="67"/>
      <c r="FE244" s="67"/>
      <c r="FF244" s="67"/>
      <c r="FG244" s="67"/>
      <c r="FH244" s="67"/>
      <c r="FI244" s="67" t="s">
        <v>1600</v>
      </c>
    </row>
    <row r="245" spans="2:165" ht="24" x14ac:dyDescent="0.2">
      <c r="B245" s="67"/>
      <c r="C245" s="67" t="s">
        <v>1726</v>
      </c>
      <c r="D245" s="67" t="s">
        <v>689</v>
      </c>
      <c r="E245" s="67" t="s">
        <v>13</v>
      </c>
      <c r="F245" s="67" t="s">
        <v>766</v>
      </c>
      <c r="G245" s="67"/>
      <c r="H245" s="67"/>
      <c r="I245" s="67" t="s">
        <v>41</v>
      </c>
      <c r="J245" s="67" t="s">
        <v>68</v>
      </c>
      <c r="K245" s="67" t="s">
        <v>774</v>
      </c>
      <c r="L245" s="67" t="s">
        <v>767</v>
      </c>
      <c r="M245" s="67" t="s">
        <v>752</v>
      </c>
      <c r="N245" s="67" t="s">
        <v>1604</v>
      </c>
      <c r="O245" s="67" t="s">
        <v>1605</v>
      </c>
      <c r="P245" s="67"/>
      <c r="Q245" s="67">
        <v>0</v>
      </c>
      <c r="R245" s="67">
        <v>0</v>
      </c>
      <c r="S245" s="67">
        <v>0</v>
      </c>
      <c r="T245" s="67">
        <v>0</v>
      </c>
      <c r="U245" s="67">
        <v>0</v>
      </c>
      <c r="V245" s="67">
        <v>0</v>
      </c>
      <c r="W245" s="67">
        <v>0</v>
      </c>
      <c r="X245" s="67">
        <v>0</v>
      </c>
      <c r="Y245" s="67">
        <v>0</v>
      </c>
      <c r="Z245" s="67">
        <v>0</v>
      </c>
      <c r="AA245" s="67">
        <v>0</v>
      </c>
      <c r="AB245" s="67">
        <v>0</v>
      </c>
      <c r="AC245" s="67">
        <v>0</v>
      </c>
      <c r="AD245" s="67">
        <v>0</v>
      </c>
      <c r="AE245" s="67">
        <v>0</v>
      </c>
      <c r="AF245" s="67">
        <v>0</v>
      </c>
      <c r="AG245" s="67">
        <v>0</v>
      </c>
      <c r="AH245" s="67">
        <v>0</v>
      </c>
      <c r="AI245" s="67">
        <v>0</v>
      </c>
      <c r="AJ245" s="67">
        <v>0</v>
      </c>
      <c r="AK245" s="67">
        <v>0</v>
      </c>
      <c r="AL245" s="67">
        <v>0</v>
      </c>
      <c r="AM245" s="67">
        <v>0</v>
      </c>
      <c r="AN245" s="67">
        <v>0</v>
      </c>
      <c r="AO245" s="67">
        <v>0</v>
      </c>
      <c r="AP245" s="67">
        <v>0</v>
      </c>
      <c r="AQ245" s="67">
        <v>0</v>
      </c>
      <c r="AR245" s="67">
        <v>0</v>
      </c>
      <c r="AS245" s="67">
        <v>0</v>
      </c>
      <c r="AT245" s="67"/>
      <c r="AU245" s="67"/>
      <c r="AV245" s="67"/>
      <c r="AW245" s="67">
        <v>0</v>
      </c>
      <c r="AX245" s="67">
        <v>0</v>
      </c>
      <c r="AY245" s="67"/>
      <c r="AZ245" s="67"/>
      <c r="BA245" s="67"/>
      <c r="BB245" s="67"/>
      <c r="BC245" s="67"/>
      <c r="BD245" s="67"/>
      <c r="BE245" s="67"/>
      <c r="BG245" s="67"/>
      <c r="BH245" s="67"/>
      <c r="BI245" s="67"/>
      <c r="BJ245" s="67">
        <v>0</v>
      </c>
      <c r="BK245" s="67"/>
      <c r="BL245" s="67"/>
      <c r="BP245" s="67"/>
      <c r="BQ245" s="67">
        <v>0</v>
      </c>
      <c r="BR245" s="67"/>
      <c r="BS245" s="67"/>
      <c r="BT245" s="67">
        <v>0</v>
      </c>
      <c r="BU245" s="67"/>
      <c r="BV245" s="67"/>
      <c r="BW245" s="67">
        <v>0</v>
      </c>
      <c r="BX245" s="67">
        <v>0</v>
      </c>
      <c r="BY245" s="67">
        <v>0</v>
      </c>
      <c r="BZ245" s="67">
        <v>0</v>
      </c>
      <c r="CA245" s="67"/>
      <c r="CB245" s="67">
        <v>0</v>
      </c>
      <c r="CC245" s="67"/>
      <c r="CD245" s="67"/>
      <c r="CE245" s="67">
        <v>0</v>
      </c>
      <c r="CF245" s="67">
        <v>0</v>
      </c>
      <c r="CG245" s="67"/>
      <c r="CH245" s="67"/>
      <c r="CI245" s="67"/>
      <c r="CJ245" s="67"/>
      <c r="CK245" s="67">
        <v>0</v>
      </c>
      <c r="CL245" s="67">
        <v>0</v>
      </c>
      <c r="CM245" s="67"/>
      <c r="CN245" s="67"/>
      <c r="CO245" s="67">
        <v>0</v>
      </c>
      <c r="CP245" s="67">
        <v>0</v>
      </c>
      <c r="CQ245" s="67"/>
      <c r="CR245" s="67"/>
      <c r="CS245" s="67"/>
      <c r="CT245" s="67"/>
      <c r="CU245" s="67">
        <v>0</v>
      </c>
      <c r="CV245" s="67"/>
      <c r="CW245" s="67"/>
      <c r="CX245" s="67"/>
      <c r="CY245" s="67">
        <v>0</v>
      </c>
      <c r="CZ245" s="67"/>
      <c r="DA245" s="67"/>
      <c r="DB245" s="67"/>
      <c r="DC245" s="67"/>
      <c r="DF245" s="67"/>
      <c r="DG245" s="67">
        <v>0</v>
      </c>
      <c r="DH245" s="67">
        <v>0</v>
      </c>
      <c r="DI245" s="67">
        <v>0</v>
      </c>
      <c r="DJ245" s="67"/>
      <c r="DK245" s="67">
        <v>0</v>
      </c>
      <c r="DL245" s="67">
        <v>0</v>
      </c>
      <c r="DM245" s="67">
        <v>0</v>
      </c>
      <c r="DN245" s="67"/>
      <c r="DO245" s="67"/>
      <c r="DP245" s="67"/>
      <c r="DQ245" s="67">
        <v>0</v>
      </c>
      <c r="DR245" s="67">
        <v>0</v>
      </c>
      <c r="DS245" s="67"/>
      <c r="DT245" s="67"/>
      <c r="DU245" s="67">
        <v>0</v>
      </c>
      <c r="DV245" s="67">
        <v>0</v>
      </c>
      <c r="DW245" s="67">
        <v>0</v>
      </c>
      <c r="DX245" s="67">
        <v>0</v>
      </c>
      <c r="DY245" s="67"/>
      <c r="DZ245" s="67">
        <v>0</v>
      </c>
      <c r="EA245" s="67"/>
      <c r="EB245" s="67">
        <v>0</v>
      </c>
      <c r="EC245" s="67"/>
      <c r="ED245" s="67">
        <v>0</v>
      </c>
      <c r="EE245" s="67"/>
      <c r="EF245" s="67">
        <v>0</v>
      </c>
      <c r="EG245" s="67"/>
      <c r="EH245" s="67"/>
      <c r="EI245" s="67"/>
      <c r="EJ245" s="67"/>
      <c r="EK245" s="67"/>
      <c r="EL245" s="67"/>
      <c r="EM245" s="67"/>
      <c r="EN245" s="67"/>
      <c r="EO245" s="67"/>
      <c r="EP245" s="67">
        <v>0</v>
      </c>
      <c r="EQ245" s="67">
        <v>0</v>
      </c>
      <c r="ER245" s="67">
        <v>0</v>
      </c>
      <c r="ES245" s="67"/>
      <c r="ET245">
        <v>0</v>
      </c>
      <c r="EX245" s="67"/>
      <c r="EY245" s="67"/>
      <c r="EZ245" s="67"/>
      <c r="FA245" s="67">
        <v>0</v>
      </c>
      <c r="FB245" s="67"/>
      <c r="FC245" s="67"/>
      <c r="FD245" s="67"/>
      <c r="FE245" s="67"/>
      <c r="FF245" s="67"/>
      <c r="FG245" s="67"/>
      <c r="FH245" s="67"/>
      <c r="FI245" s="67" t="s">
        <v>1600</v>
      </c>
    </row>
    <row r="246" spans="2:165" ht="24" x14ac:dyDescent="0.2">
      <c r="B246" s="67"/>
      <c r="C246" s="67" t="s">
        <v>1727</v>
      </c>
      <c r="D246" s="67" t="s">
        <v>690</v>
      </c>
      <c r="E246" s="67" t="s">
        <v>13</v>
      </c>
      <c r="F246" s="67" t="s">
        <v>1671</v>
      </c>
      <c r="G246" s="67" t="s">
        <v>345</v>
      </c>
      <c r="H246" s="67"/>
      <c r="I246" s="67" t="s">
        <v>41</v>
      </c>
      <c r="J246" s="67" t="s">
        <v>74</v>
      </c>
      <c r="K246" s="67" t="s">
        <v>1622</v>
      </c>
      <c r="L246" s="67" t="s">
        <v>787</v>
      </c>
      <c r="M246" s="67" t="s">
        <v>1615</v>
      </c>
      <c r="N246" s="67" t="s">
        <v>1601</v>
      </c>
      <c r="O246" s="67" t="s">
        <v>1599</v>
      </c>
      <c r="P246" s="67"/>
      <c r="Q246" s="67">
        <v>1820</v>
      </c>
      <c r="R246" s="67">
        <v>0</v>
      </c>
      <c r="S246" s="67">
        <v>0</v>
      </c>
      <c r="T246" s="67">
        <v>0</v>
      </c>
      <c r="U246" s="67">
        <v>0</v>
      </c>
      <c r="V246" s="67">
        <v>0</v>
      </c>
      <c r="W246" s="67">
        <v>0</v>
      </c>
      <c r="X246" s="67">
        <v>0</v>
      </c>
      <c r="Y246" s="67">
        <v>0</v>
      </c>
      <c r="Z246" s="67">
        <v>0</v>
      </c>
      <c r="AA246" s="67">
        <v>0</v>
      </c>
      <c r="AB246" s="67">
        <v>0</v>
      </c>
      <c r="AC246" s="67">
        <v>0</v>
      </c>
      <c r="AD246" s="67">
        <v>0</v>
      </c>
      <c r="AE246" s="67">
        <v>0</v>
      </c>
      <c r="AF246" s="67">
        <v>0</v>
      </c>
      <c r="AG246" s="67">
        <v>0</v>
      </c>
      <c r="AH246" s="67">
        <v>0</v>
      </c>
      <c r="AI246" s="67">
        <v>0</v>
      </c>
      <c r="AJ246" s="67">
        <v>0</v>
      </c>
      <c r="AK246" s="67">
        <v>0</v>
      </c>
      <c r="AL246" s="67">
        <v>0</v>
      </c>
      <c r="AM246" s="67">
        <v>0</v>
      </c>
      <c r="AN246" s="67">
        <v>1820</v>
      </c>
      <c r="AO246" s="67">
        <v>0</v>
      </c>
      <c r="AP246" s="67">
        <v>0</v>
      </c>
      <c r="AQ246" s="67">
        <v>0</v>
      </c>
      <c r="AR246" s="67">
        <v>0</v>
      </c>
      <c r="AS246" s="67">
        <v>0</v>
      </c>
      <c r="AT246" s="67"/>
      <c r="AU246" s="67"/>
      <c r="AV246" s="67"/>
      <c r="AW246" s="67">
        <v>0</v>
      </c>
      <c r="AX246" s="67">
        <v>0</v>
      </c>
      <c r="AY246" s="67"/>
      <c r="AZ246" s="67"/>
      <c r="BA246" s="67"/>
      <c r="BB246" s="67"/>
      <c r="BC246" s="67"/>
      <c r="BD246" s="67"/>
      <c r="BE246" s="67"/>
      <c r="BG246" s="67"/>
      <c r="BH246" s="67"/>
      <c r="BI246" s="67"/>
      <c r="BJ246" s="67">
        <v>0</v>
      </c>
      <c r="BK246" s="67"/>
      <c r="BL246" s="67"/>
      <c r="BP246" s="67"/>
      <c r="BQ246" s="67">
        <v>0</v>
      </c>
      <c r="BR246" s="67"/>
      <c r="BS246" s="67"/>
      <c r="BT246" s="67">
        <v>0</v>
      </c>
      <c r="BU246" s="67"/>
      <c r="BV246" s="67"/>
      <c r="BW246" s="67">
        <v>0</v>
      </c>
      <c r="BX246" s="67">
        <v>0</v>
      </c>
      <c r="BY246" s="67">
        <v>0</v>
      </c>
      <c r="BZ246" s="67">
        <v>0</v>
      </c>
      <c r="CA246" s="67"/>
      <c r="CB246" s="67">
        <v>0</v>
      </c>
      <c r="CC246" s="67"/>
      <c r="CD246" s="67"/>
      <c r="CE246" s="67">
        <v>0</v>
      </c>
      <c r="CF246" s="67">
        <v>0</v>
      </c>
      <c r="CG246" s="67"/>
      <c r="CH246" s="67"/>
      <c r="CI246" s="67"/>
      <c r="CJ246" s="67"/>
      <c r="CK246" s="67">
        <v>0</v>
      </c>
      <c r="CL246" s="67">
        <v>0</v>
      </c>
      <c r="CM246" s="67"/>
      <c r="CN246" s="67"/>
      <c r="CO246" s="67">
        <v>0</v>
      </c>
      <c r="CP246" s="67">
        <v>0</v>
      </c>
      <c r="CQ246" s="67"/>
      <c r="CR246" s="67"/>
      <c r="CS246" s="67"/>
      <c r="CT246" s="67"/>
      <c r="CU246" s="67">
        <v>0</v>
      </c>
      <c r="CV246" s="67"/>
      <c r="CW246" s="67"/>
      <c r="CX246" s="67"/>
      <c r="CY246" s="67">
        <v>0</v>
      </c>
      <c r="CZ246" s="67"/>
      <c r="DA246" s="67"/>
      <c r="DB246" s="67"/>
      <c r="DC246" s="67"/>
      <c r="DF246" s="67"/>
      <c r="DG246" s="67">
        <v>0</v>
      </c>
      <c r="DH246" s="67">
        <v>0</v>
      </c>
      <c r="DI246" s="67">
        <v>0</v>
      </c>
      <c r="DJ246" s="67"/>
      <c r="DK246" s="67">
        <v>0</v>
      </c>
      <c r="DL246" s="67">
        <v>0</v>
      </c>
      <c r="DM246" s="67">
        <v>0</v>
      </c>
      <c r="DN246" s="67"/>
      <c r="DO246" s="67"/>
      <c r="DP246" s="67"/>
      <c r="DQ246" s="67">
        <v>0</v>
      </c>
      <c r="DR246" s="67">
        <v>0</v>
      </c>
      <c r="DS246" s="67"/>
      <c r="DT246" s="67"/>
      <c r="DU246" s="67">
        <v>0</v>
      </c>
      <c r="DV246" s="67">
        <v>0</v>
      </c>
      <c r="DW246" s="67">
        <v>0</v>
      </c>
      <c r="DX246" s="67">
        <v>0</v>
      </c>
      <c r="DY246" s="67"/>
      <c r="DZ246" s="67">
        <v>0</v>
      </c>
      <c r="EA246" s="67"/>
      <c r="EB246" s="67">
        <v>0</v>
      </c>
      <c r="EC246" s="67"/>
      <c r="ED246" s="67">
        <v>0</v>
      </c>
      <c r="EE246" s="67"/>
      <c r="EF246" s="67">
        <v>0</v>
      </c>
      <c r="EG246" s="67"/>
      <c r="EH246" s="67"/>
      <c r="EI246" s="67"/>
      <c r="EJ246" s="67"/>
      <c r="EK246" s="67"/>
      <c r="EL246" s="67"/>
      <c r="EM246" s="67"/>
      <c r="EN246" s="67"/>
      <c r="EO246" s="67"/>
      <c r="EP246" s="67">
        <v>0</v>
      </c>
      <c r="EQ246" s="67">
        <v>0</v>
      </c>
      <c r="ER246" s="67">
        <v>0</v>
      </c>
      <c r="ES246" s="67"/>
      <c r="ET246">
        <v>0</v>
      </c>
      <c r="EX246" s="67"/>
      <c r="EY246" s="67"/>
      <c r="EZ246" s="67"/>
      <c r="FA246" s="67">
        <v>1820</v>
      </c>
      <c r="FB246" s="67"/>
      <c r="FC246" s="67"/>
      <c r="FD246" s="67"/>
      <c r="FE246" s="67"/>
      <c r="FF246" s="67"/>
      <c r="FG246" s="67"/>
      <c r="FH246" s="67"/>
      <c r="FI246" s="67" t="s">
        <v>1600</v>
      </c>
    </row>
    <row r="247" spans="2:165" x14ac:dyDescent="0.2">
      <c r="B247" s="67"/>
      <c r="C247" s="67" t="s">
        <v>1728</v>
      </c>
      <c r="D247" s="67" t="s">
        <v>691</v>
      </c>
      <c r="E247" s="67" t="s">
        <v>305</v>
      </c>
      <c r="F247" s="67">
        <v>0</v>
      </c>
      <c r="G247" s="67"/>
      <c r="H247" s="67"/>
      <c r="I247" s="67" t="s">
        <v>41</v>
      </c>
      <c r="J247" s="67" t="s">
        <v>95</v>
      </c>
      <c r="K247" s="67" t="s">
        <v>1725</v>
      </c>
      <c r="L247" s="67" t="s">
        <v>787</v>
      </c>
      <c r="M247" s="67" t="s">
        <v>752</v>
      </c>
      <c r="N247" s="67" t="s">
        <v>1598</v>
      </c>
      <c r="O247" s="67" t="s">
        <v>1599</v>
      </c>
      <c r="P247" s="67"/>
      <c r="Q247" s="67">
        <v>0</v>
      </c>
      <c r="R247" s="67">
        <v>0</v>
      </c>
      <c r="S247" s="67">
        <v>0</v>
      </c>
      <c r="T247" s="67">
        <v>0</v>
      </c>
      <c r="U247" s="67">
        <v>0</v>
      </c>
      <c r="V247" s="67">
        <v>0</v>
      </c>
      <c r="W247" s="67">
        <v>0</v>
      </c>
      <c r="X247" s="67">
        <v>0</v>
      </c>
      <c r="Y247" s="67">
        <v>0</v>
      </c>
      <c r="Z247" s="67">
        <v>0</v>
      </c>
      <c r="AA247" s="67">
        <v>0</v>
      </c>
      <c r="AB247" s="67">
        <v>0</v>
      </c>
      <c r="AC247" s="67">
        <v>0</v>
      </c>
      <c r="AD247" s="67">
        <v>0</v>
      </c>
      <c r="AE247" s="67">
        <v>0</v>
      </c>
      <c r="AF247" s="67">
        <v>0</v>
      </c>
      <c r="AG247" s="67">
        <v>0</v>
      </c>
      <c r="AH247" s="67">
        <v>0</v>
      </c>
      <c r="AI247" s="67">
        <v>0</v>
      </c>
      <c r="AJ247" s="67">
        <v>0</v>
      </c>
      <c r="AK247" s="67">
        <v>0</v>
      </c>
      <c r="AL247" s="67">
        <v>0</v>
      </c>
      <c r="AM247" s="67">
        <v>0</v>
      </c>
      <c r="AN247" s="67">
        <v>0</v>
      </c>
      <c r="AO247" s="67">
        <v>0</v>
      </c>
      <c r="AP247" s="67">
        <v>0</v>
      </c>
      <c r="AQ247" s="67">
        <v>0</v>
      </c>
      <c r="AR247" s="67">
        <v>0</v>
      </c>
      <c r="AS247" s="67">
        <v>0</v>
      </c>
      <c r="AT247" s="67"/>
      <c r="AU247" s="67"/>
      <c r="AV247" s="67"/>
      <c r="AW247" s="67">
        <v>0</v>
      </c>
      <c r="AX247" s="67">
        <v>0</v>
      </c>
      <c r="AY247" s="67"/>
      <c r="AZ247" s="67"/>
      <c r="BA247" s="67"/>
      <c r="BB247" s="67"/>
      <c r="BC247" s="67"/>
      <c r="BD247" s="67"/>
      <c r="BE247" s="67"/>
      <c r="BG247" s="67"/>
      <c r="BH247" s="67"/>
      <c r="BI247" s="67"/>
      <c r="BJ247" s="67">
        <v>0</v>
      </c>
      <c r="BK247" s="67"/>
      <c r="BL247" s="67"/>
      <c r="BP247" s="67"/>
      <c r="BQ247" s="67">
        <v>0</v>
      </c>
      <c r="BR247" s="67"/>
      <c r="BS247" s="67"/>
      <c r="BT247" s="67">
        <v>0</v>
      </c>
      <c r="BU247" s="67"/>
      <c r="BV247" s="67"/>
      <c r="BW247" s="67">
        <v>0</v>
      </c>
      <c r="BX247" s="67">
        <v>0</v>
      </c>
      <c r="BY247" s="67">
        <v>0</v>
      </c>
      <c r="BZ247" s="67">
        <v>0</v>
      </c>
      <c r="CA247" s="67"/>
      <c r="CB247" s="67">
        <v>0</v>
      </c>
      <c r="CC247" s="67"/>
      <c r="CD247" s="67"/>
      <c r="CE247" s="67">
        <v>0</v>
      </c>
      <c r="CF247" s="67">
        <v>0</v>
      </c>
      <c r="CG247" s="67"/>
      <c r="CH247" s="67"/>
      <c r="CI247" s="67"/>
      <c r="CJ247" s="67"/>
      <c r="CK247" s="67">
        <v>0</v>
      </c>
      <c r="CL247" s="67">
        <v>0</v>
      </c>
      <c r="CM247" s="67"/>
      <c r="CN247" s="67"/>
      <c r="CO247" s="67">
        <v>0</v>
      </c>
      <c r="CP247" s="67">
        <v>0</v>
      </c>
      <c r="CQ247" s="67"/>
      <c r="CR247" s="67"/>
      <c r="CS247" s="67"/>
      <c r="CT247" s="67"/>
      <c r="CU247" s="67">
        <v>0</v>
      </c>
      <c r="CV247" s="67"/>
      <c r="CW247" s="67"/>
      <c r="CX247" s="67"/>
      <c r="CY247" s="67">
        <v>0</v>
      </c>
      <c r="CZ247" s="67"/>
      <c r="DA247" s="67"/>
      <c r="DB247" s="67"/>
      <c r="DC247" s="67"/>
      <c r="DF247" s="67"/>
      <c r="DG247" s="67">
        <v>0</v>
      </c>
      <c r="DH247" s="67">
        <v>0</v>
      </c>
      <c r="DI247" s="67">
        <v>0</v>
      </c>
      <c r="DJ247" s="67"/>
      <c r="DK247" s="67">
        <v>0</v>
      </c>
      <c r="DL247" s="67">
        <v>0</v>
      </c>
      <c r="DM247" s="67">
        <v>0</v>
      </c>
      <c r="DN247" s="67"/>
      <c r="DO247" s="67"/>
      <c r="DP247" s="67"/>
      <c r="DQ247" s="67">
        <v>0</v>
      </c>
      <c r="DR247" s="67">
        <v>0</v>
      </c>
      <c r="DS247" s="67"/>
      <c r="DT247" s="67"/>
      <c r="DU247" s="67">
        <v>0</v>
      </c>
      <c r="DV247" s="67">
        <v>0</v>
      </c>
      <c r="DW247" s="67">
        <v>0</v>
      </c>
      <c r="DX247" s="67">
        <v>0</v>
      </c>
      <c r="DY247" s="67"/>
      <c r="DZ247" s="67">
        <v>0</v>
      </c>
      <c r="EA247" s="67"/>
      <c r="EB247" s="67">
        <v>0</v>
      </c>
      <c r="EC247" s="67"/>
      <c r="ED247" s="67">
        <v>0</v>
      </c>
      <c r="EE247" s="67"/>
      <c r="EF247" s="67">
        <v>0</v>
      </c>
      <c r="EG247" s="67"/>
      <c r="EH247" s="67"/>
      <c r="EI247" s="67"/>
      <c r="EJ247" s="67"/>
      <c r="EK247" s="67"/>
      <c r="EL247" s="67"/>
      <c r="EM247" s="67"/>
      <c r="EN247" s="67"/>
      <c r="EO247" s="67"/>
      <c r="EP247" s="67">
        <v>0</v>
      </c>
      <c r="EQ247" s="67">
        <v>0</v>
      </c>
      <c r="ER247" s="67">
        <v>0</v>
      </c>
      <c r="ES247" s="67"/>
      <c r="ET247">
        <v>0</v>
      </c>
      <c r="EX247" s="67"/>
      <c r="EY247" s="67"/>
      <c r="EZ247" s="67"/>
      <c r="FA247" s="67">
        <v>0</v>
      </c>
      <c r="FB247" s="67"/>
      <c r="FC247" s="67"/>
      <c r="FD247" s="67"/>
      <c r="FE247" s="67"/>
      <c r="FF247" s="67"/>
      <c r="FG247" s="67"/>
      <c r="FH247" s="67"/>
      <c r="FI247" s="67" t="s">
        <v>1600</v>
      </c>
    </row>
    <row r="248" spans="2:165" ht="24" x14ac:dyDescent="0.2">
      <c r="B248" s="67" t="s">
        <v>692</v>
      </c>
      <c r="C248" s="67" t="s">
        <v>692</v>
      </c>
      <c r="D248" s="67" t="s">
        <v>693</v>
      </c>
      <c r="E248" s="67" t="s">
        <v>13</v>
      </c>
      <c r="F248" s="67" t="s">
        <v>750</v>
      </c>
      <c r="G248" s="67" t="s">
        <v>694</v>
      </c>
      <c r="H248" s="67"/>
      <c r="I248" s="67" t="s">
        <v>41</v>
      </c>
      <c r="J248" s="67" t="s">
        <v>64</v>
      </c>
      <c r="K248" s="67" t="s">
        <v>1679</v>
      </c>
      <c r="L248" s="67" t="s">
        <v>787</v>
      </c>
      <c r="M248" s="67" t="s">
        <v>752</v>
      </c>
      <c r="N248" s="67" t="s">
        <v>1601</v>
      </c>
      <c r="O248" s="67" t="s">
        <v>1606</v>
      </c>
      <c r="P248" s="67"/>
      <c r="Q248" s="67">
        <v>20</v>
      </c>
      <c r="R248" s="67">
        <v>0</v>
      </c>
      <c r="S248" s="67">
        <v>0</v>
      </c>
      <c r="T248" s="67">
        <v>20</v>
      </c>
      <c r="U248" s="67">
        <v>0</v>
      </c>
      <c r="V248" s="67">
        <v>0</v>
      </c>
      <c r="W248" s="67">
        <v>0</v>
      </c>
      <c r="X248" s="67">
        <v>0</v>
      </c>
      <c r="Y248" s="67">
        <v>0</v>
      </c>
      <c r="Z248" s="67">
        <v>0</v>
      </c>
      <c r="AA248" s="67">
        <v>0</v>
      </c>
      <c r="AB248" s="67">
        <v>0</v>
      </c>
      <c r="AC248" s="67">
        <v>0</v>
      </c>
      <c r="AD248" s="67">
        <v>0</v>
      </c>
      <c r="AE248" s="67">
        <v>0</v>
      </c>
      <c r="AF248" s="67">
        <v>0</v>
      </c>
      <c r="AG248" s="67">
        <v>0</v>
      </c>
      <c r="AH248" s="67">
        <v>0</v>
      </c>
      <c r="AI248" s="67">
        <v>0</v>
      </c>
      <c r="AJ248" s="67">
        <v>0</v>
      </c>
      <c r="AK248" s="67">
        <v>0</v>
      </c>
      <c r="AL248" s="67">
        <v>0</v>
      </c>
      <c r="AM248" s="67">
        <v>0</v>
      </c>
      <c r="AN248" s="67">
        <v>0</v>
      </c>
      <c r="AO248" s="67">
        <v>0</v>
      </c>
      <c r="AP248" s="67">
        <v>0</v>
      </c>
      <c r="AQ248" s="67">
        <v>0</v>
      </c>
      <c r="AR248" s="67">
        <v>0</v>
      </c>
      <c r="AS248" s="67">
        <v>0</v>
      </c>
      <c r="AT248" s="67"/>
      <c r="AU248" s="67"/>
      <c r="AV248" s="67"/>
      <c r="AW248" s="67">
        <v>0</v>
      </c>
      <c r="AX248" s="67">
        <v>0</v>
      </c>
      <c r="AY248" s="67"/>
      <c r="AZ248" s="67"/>
      <c r="BA248" s="67"/>
      <c r="BB248" s="67"/>
      <c r="BC248" s="67"/>
      <c r="BD248" s="67"/>
      <c r="BE248" s="67"/>
      <c r="BG248" s="67"/>
      <c r="BH248" s="67"/>
      <c r="BI248" s="67"/>
      <c r="BJ248" s="67">
        <v>0</v>
      </c>
      <c r="BK248" s="67"/>
      <c r="BL248" s="67"/>
      <c r="BP248" s="67"/>
      <c r="BQ248" s="67">
        <v>0</v>
      </c>
      <c r="BR248" s="67"/>
      <c r="BS248" s="67"/>
      <c r="BT248" s="67">
        <v>0</v>
      </c>
      <c r="BU248" s="67"/>
      <c r="BV248" s="67"/>
      <c r="BW248" s="67">
        <v>0</v>
      </c>
      <c r="BX248" s="67">
        <v>0</v>
      </c>
      <c r="BY248" s="67">
        <v>0</v>
      </c>
      <c r="BZ248" s="67">
        <v>0</v>
      </c>
      <c r="CA248" s="67"/>
      <c r="CB248" s="67">
        <v>0</v>
      </c>
      <c r="CC248" s="67"/>
      <c r="CD248" s="67"/>
      <c r="CE248" s="67">
        <v>0</v>
      </c>
      <c r="CF248" s="67">
        <v>0</v>
      </c>
      <c r="CG248" s="67"/>
      <c r="CH248" s="67"/>
      <c r="CI248" s="67"/>
      <c r="CJ248" s="67"/>
      <c r="CK248" s="67">
        <v>0</v>
      </c>
      <c r="CL248" s="67">
        <v>0</v>
      </c>
      <c r="CM248" s="67"/>
      <c r="CN248" s="67"/>
      <c r="CO248" s="67">
        <v>0</v>
      </c>
      <c r="CP248" s="67">
        <v>0</v>
      </c>
      <c r="CQ248" s="67"/>
      <c r="CR248" s="67"/>
      <c r="CS248" s="67"/>
      <c r="CT248" s="67"/>
      <c r="CU248" s="67">
        <v>0</v>
      </c>
      <c r="CV248" s="67"/>
      <c r="CW248" s="67"/>
      <c r="CX248" s="67"/>
      <c r="CY248" s="67">
        <v>0</v>
      </c>
      <c r="CZ248" s="67"/>
      <c r="DA248" s="67"/>
      <c r="DB248" s="67"/>
      <c r="DC248" s="67"/>
      <c r="DF248" s="67"/>
      <c r="DG248" s="67">
        <v>5</v>
      </c>
      <c r="DH248" s="67">
        <v>5</v>
      </c>
      <c r="DI248" s="67">
        <v>0</v>
      </c>
      <c r="DJ248" s="67"/>
      <c r="DK248" s="67">
        <v>0</v>
      </c>
      <c r="DL248" s="67">
        <v>0</v>
      </c>
      <c r="DM248" s="67">
        <v>0</v>
      </c>
      <c r="DN248" s="67"/>
      <c r="DO248" s="67"/>
      <c r="DP248" s="67"/>
      <c r="DQ248" s="67">
        <v>0</v>
      </c>
      <c r="DR248" s="67">
        <v>0</v>
      </c>
      <c r="DS248" s="67"/>
      <c r="DT248" s="67"/>
      <c r="DU248" s="67">
        <v>0</v>
      </c>
      <c r="DV248" s="67">
        <v>0</v>
      </c>
      <c r="DW248" s="67">
        <v>0</v>
      </c>
      <c r="DX248" s="67">
        <v>0</v>
      </c>
      <c r="DY248" s="67"/>
      <c r="DZ248" s="67">
        <v>0</v>
      </c>
      <c r="EA248" s="67"/>
      <c r="EB248" s="67">
        <v>0</v>
      </c>
      <c r="EC248" s="67"/>
      <c r="ED248" s="67">
        <v>0</v>
      </c>
      <c r="EE248" s="67"/>
      <c r="EF248" s="67">
        <v>0</v>
      </c>
      <c r="EG248" s="67"/>
      <c r="EH248" s="67"/>
      <c r="EI248" s="67"/>
      <c r="EJ248" s="67"/>
      <c r="EK248" s="67"/>
      <c r="EL248" s="67"/>
      <c r="EM248" s="67"/>
      <c r="EN248" s="67"/>
      <c r="EO248" s="67"/>
      <c r="EP248" s="67">
        <v>0</v>
      </c>
      <c r="EQ248" s="67">
        <v>25</v>
      </c>
      <c r="ER248" s="67">
        <v>25</v>
      </c>
      <c r="ES248" s="67"/>
      <c r="ET248">
        <v>0</v>
      </c>
      <c r="EX248" s="67"/>
      <c r="EY248" s="67"/>
      <c r="EZ248" s="67"/>
      <c r="FA248" s="67">
        <v>25</v>
      </c>
      <c r="FB248" s="67"/>
      <c r="FC248" s="67"/>
      <c r="FD248" s="67"/>
      <c r="FE248" s="67"/>
      <c r="FF248" s="67"/>
      <c r="FG248" s="67"/>
      <c r="FH248" s="67"/>
      <c r="FI248" s="67" t="s">
        <v>1600</v>
      </c>
    </row>
    <row r="249" spans="2:165" ht="24" x14ac:dyDescent="0.2">
      <c r="B249" s="67" t="s">
        <v>305</v>
      </c>
      <c r="C249" s="67" t="s">
        <v>1729</v>
      </c>
      <c r="D249" s="67" t="s">
        <v>695</v>
      </c>
      <c r="E249" s="67" t="s">
        <v>13</v>
      </c>
      <c r="F249" s="67" t="s">
        <v>766</v>
      </c>
      <c r="G249" s="67" t="s">
        <v>694</v>
      </c>
      <c r="H249" s="67"/>
      <c r="I249" s="67" t="s">
        <v>41</v>
      </c>
      <c r="J249" s="67" t="s">
        <v>68</v>
      </c>
      <c r="K249" s="67" t="s">
        <v>771</v>
      </c>
      <c r="L249" s="67" t="s">
        <v>787</v>
      </c>
      <c r="M249" s="67" t="s">
        <v>752</v>
      </c>
      <c r="N249" s="67" t="s">
        <v>1604</v>
      </c>
      <c r="O249" s="67" t="s">
        <v>1605</v>
      </c>
      <c r="P249" s="67"/>
      <c r="Q249" s="67">
        <v>0</v>
      </c>
      <c r="R249" s="67">
        <v>0</v>
      </c>
      <c r="S249" s="67">
        <v>0</v>
      </c>
      <c r="T249" s="67">
        <v>0</v>
      </c>
      <c r="U249" s="67">
        <v>0</v>
      </c>
      <c r="V249" s="67">
        <v>0</v>
      </c>
      <c r="W249" s="67">
        <v>0</v>
      </c>
      <c r="X249" s="67">
        <v>0</v>
      </c>
      <c r="Y249" s="67">
        <v>0</v>
      </c>
      <c r="Z249" s="67">
        <v>0</v>
      </c>
      <c r="AA249" s="67">
        <v>0</v>
      </c>
      <c r="AB249" s="67">
        <v>0</v>
      </c>
      <c r="AC249" s="67">
        <v>0</v>
      </c>
      <c r="AD249" s="67">
        <v>0</v>
      </c>
      <c r="AE249" s="67">
        <v>0</v>
      </c>
      <c r="AF249" s="67">
        <v>0</v>
      </c>
      <c r="AG249" s="67">
        <v>0</v>
      </c>
      <c r="AH249" s="67">
        <v>0</v>
      </c>
      <c r="AI249" s="67">
        <v>0</v>
      </c>
      <c r="AJ249" s="67">
        <v>0</v>
      </c>
      <c r="AK249" s="67">
        <v>0</v>
      </c>
      <c r="AL249" s="67">
        <v>0</v>
      </c>
      <c r="AM249" s="67">
        <v>0</v>
      </c>
      <c r="AN249" s="67">
        <v>0</v>
      </c>
      <c r="AO249" s="67">
        <v>0</v>
      </c>
      <c r="AP249" s="67">
        <v>0</v>
      </c>
      <c r="AQ249" s="67">
        <v>0</v>
      </c>
      <c r="AR249" s="67">
        <v>0</v>
      </c>
      <c r="AS249" s="67">
        <v>0</v>
      </c>
      <c r="AT249" s="67"/>
      <c r="AU249" s="67"/>
      <c r="AV249" s="67"/>
      <c r="AW249" s="67">
        <v>0</v>
      </c>
      <c r="AX249" s="67">
        <v>0</v>
      </c>
      <c r="AY249" s="67"/>
      <c r="AZ249" s="67"/>
      <c r="BA249" s="67"/>
      <c r="BB249" s="67"/>
      <c r="BC249" s="67"/>
      <c r="BD249" s="67"/>
      <c r="BE249" s="67"/>
      <c r="BG249" s="67"/>
      <c r="BH249" s="67"/>
      <c r="BI249" s="67"/>
      <c r="BJ249" s="67">
        <v>0</v>
      </c>
      <c r="BK249" s="67"/>
      <c r="BL249" s="67"/>
      <c r="BP249" s="67"/>
      <c r="BQ249" s="67">
        <v>0</v>
      </c>
      <c r="BR249" s="67"/>
      <c r="BS249" s="67"/>
      <c r="BT249" s="67">
        <v>0</v>
      </c>
      <c r="BU249" s="67"/>
      <c r="BV249" s="67"/>
      <c r="BW249" s="67">
        <v>0</v>
      </c>
      <c r="BX249" s="67">
        <v>0</v>
      </c>
      <c r="BY249" s="67">
        <v>0</v>
      </c>
      <c r="BZ249" s="67">
        <v>0</v>
      </c>
      <c r="CA249" s="67"/>
      <c r="CB249" s="67">
        <v>0</v>
      </c>
      <c r="CC249" s="67"/>
      <c r="CD249" s="67"/>
      <c r="CE249" s="67">
        <v>0</v>
      </c>
      <c r="CF249" s="67">
        <v>0</v>
      </c>
      <c r="CG249" s="67"/>
      <c r="CH249" s="67"/>
      <c r="CI249" s="67"/>
      <c r="CJ249" s="67"/>
      <c r="CK249" s="67">
        <v>0</v>
      </c>
      <c r="CL249" s="67">
        <v>0</v>
      </c>
      <c r="CM249" s="67"/>
      <c r="CN249" s="67"/>
      <c r="CO249" s="67">
        <v>0</v>
      </c>
      <c r="CP249" s="67">
        <v>0</v>
      </c>
      <c r="CQ249" s="67"/>
      <c r="CR249" s="67"/>
      <c r="CS249" s="67"/>
      <c r="CT249" s="67"/>
      <c r="CU249" s="67">
        <v>0</v>
      </c>
      <c r="CV249" s="67"/>
      <c r="CW249" s="67"/>
      <c r="CX249" s="67"/>
      <c r="CY249" s="67">
        <v>0</v>
      </c>
      <c r="CZ249" s="67"/>
      <c r="DA249" s="67"/>
      <c r="DB249" s="67"/>
      <c r="DC249" s="67"/>
      <c r="DF249" s="67"/>
      <c r="DG249" s="67">
        <v>0</v>
      </c>
      <c r="DH249" s="67">
        <v>0</v>
      </c>
      <c r="DI249" s="67">
        <v>0</v>
      </c>
      <c r="DJ249" s="67"/>
      <c r="DK249" s="67">
        <v>0</v>
      </c>
      <c r="DL249" s="67">
        <v>0</v>
      </c>
      <c r="DM249" s="67">
        <v>0</v>
      </c>
      <c r="DN249" s="67"/>
      <c r="DO249" s="67"/>
      <c r="DP249" s="67"/>
      <c r="DQ249" s="67">
        <v>0</v>
      </c>
      <c r="DR249" s="67">
        <v>0</v>
      </c>
      <c r="DS249" s="67"/>
      <c r="DT249" s="67"/>
      <c r="DU249" s="67">
        <v>0</v>
      </c>
      <c r="DV249" s="67">
        <v>0</v>
      </c>
      <c r="DW249" s="67">
        <v>0</v>
      </c>
      <c r="DX249" s="67">
        <v>0</v>
      </c>
      <c r="DY249" s="67"/>
      <c r="DZ249" s="67">
        <v>0</v>
      </c>
      <c r="EA249" s="67"/>
      <c r="EB249" s="67">
        <v>0</v>
      </c>
      <c r="EC249" s="67"/>
      <c r="ED249" s="67">
        <v>0</v>
      </c>
      <c r="EE249" s="67"/>
      <c r="EF249" s="67">
        <v>0</v>
      </c>
      <c r="EG249" s="67"/>
      <c r="EH249" s="67"/>
      <c r="EI249" s="67"/>
      <c r="EJ249" s="67"/>
      <c r="EK249" s="67"/>
      <c r="EL249" s="67"/>
      <c r="EM249" s="67"/>
      <c r="EN249" s="67"/>
      <c r="EO249" s="67"/>
      <c r="EP249" s="67">
        <v>0</v>
      </c>
      <c r="EQ249" s="67">
        <v>0</v>
      </c>
      <c r="ER249" s="67">
        <v>0</v>
      </c>
      <c r="ES249" s="67"/>
      <c r="ET249">
        <v>0</v>
      </c>
      <c r="EX249" s="67"/>
      <c r="EY249" s="67"/>
      <c r="EZ249" s="67"/>
      <c r="FA249" s="67">
        <v>0</v>
      </c>
      <c r="FB249" s="67"/>
      <c r="FC249" s="67"/>
      <c r="FD249" s="67"/>
      <c r="FE249" s="67"/>
      <c r="FF249" s="67"/>
      <c r="FG249" s="67"/>
      <c r="FH249" s="67"/>
      <c r="FI249" s="67" t="s">
        <v>1600</v>
      </c>
    </row>
    <row r="250" spans="2:165" ht="24" x14ac:dyDescent="0.2">
      <c r="B250" s="67" t="s">
        <v>305</v>
      </c>
      <c r="C250" s="67" t="s">
        <v>1730</v>
      </c>
      <c r="D250" s="67" t="s">
        <v>696</v>
      </c>
      <c r="E250" s="67" t="s">
        <v>13</v>
      </c>
      <c r="F250" s="67" t="s">
        <v>1241</v>
      </c>
      <c r="G250" s="67"/>
      <c r="H250" s="67"/>
      <c r="I250" s="67" t="s">
        <v>22</v>
      </c>
      <c r="J250" s="67" t="s">
        <v>74</v>
      </c>
      <c r="K250" s="67" t="s">
        <v>1651</v>
      </c>
      <c r="L250" s="67" t="s">
        <v>787</v>
      </c>
      <c r="M250" s="67" t="s">
        <v>752</v>
      </c>
      <c r="N250" s="67" t="s">
        <v>1607</v>
      </c>
      <c r="O250" s="67" t="s">
        <v>1599</v>
      </c>
      <c r="P250" s="67"/>
      <c r="Q250" s="67">
        <v>0</v>
      </c>
      <c r="R250" s="67">
        <v>0</v>
      </c>
      <c r="S250" s="67">
        <v>0</v>
      </c>
      <c r="T250" s="67">
        <v>0</v>
      </c>
      <c r="U250" s="67">
        <v>0</v>
      </c>
      <c r="V250" s="67">
        <v>0</v>
      </c>
      <c r="W250" s="67">
        <v>0</v>
      </c>
      <c r="X250" s="67">
        <v>0</v>
      </c>
      <c r="Y250" s="67">
        <v>0</v>
      </c>
      <c r="Z250" s="67">
        <v>0</v>
      </c>
      <c r="AA250" s="67">
        <v>0</v>
      </c>
      <c r="AB250" s="67">
        <v>0</v>
      </c>
      <c r="AC250" s="67">
        <v>0</v>
      </c>
      <c r="AD250" s="67">
        <v>0</v>
      </c>
      <c r="AE250" s="67">
        <v>0</v>
      </c>
      <c r="AF250" s="67">
        <v>0</v>
      </c>
      <c r="AG250" s="67">
        <v>0</v>
      </c>
      <c r="AH250" s="67">
        <v>0</v>
      </c>
      <c r="AI250" s="67">
        <v>0</v>
      </c>
      <c r="AJ250" s="67">
        <v>0</v>
      </c>
      <c r="AK250" s="67">
        <v>0</v>
      </c>
      <c r="AL250" s="67">
        <v>0</v>
      </c>
      <c r="AM250" s="67">
        <v>0</v>
      </c>
      <c r="AN250" s="67">
        <v>0</v>
      </c>
      <c r="AO250" s="67">
        <v>0</v>
      </c>
      <c r="AP250" s="67">
        <v>0</v>
      </c>
      <c r="AQ250" s="67">
        <v>0</v>
      </c>
      <c r="AR250" s="67">
        <v>0</v>
      </c>
      <c r="AS250" s="67">
        <v>0</v>
      </c>
      <c r="AT250" s="67"/>
      <c r="AU250" s="67"/>
      <c r="AV250" s="67"/>
      <c r="AW250" s="67">
        <v>0</v>
      </c>
      <c r="AX250" s="67">
        <v>0</v>
      </c>
      <c r="AY250" s="67"/>
      <c r="AZ250" s="67"/>
      <c r="BA250" s="67"/>
      <c r="BB250" s="67"/>
      <c r="BC250" s="67"/>
      <c r="BD250" s="67"/>
      <c r="BE250" s="67"/>
      <c r="BG250" s="67"/>
      <c r="BH250" s="67"/>
      <c r="BI250" s="67"/>
      <c r="BJ250" s="67">
        <v>0</v>
      </c>
      <c r="BK250" s="67"/>
      <c r="BL250" s="67"/>
      <c r="BP250" s="67"/>
      <c r="BQ250" s="67">
        <v>0</v>
      </c>
      <c r="BR250" s="67"/>
      <c r="BS250" s="67"/>
      <c r="BT250" s="67">
        <v>0</v>
      </c>
      <c r="BU250" s="67"/>
      <c r="BV250" s="67"/>
      <c r="BW250" s="67">
        <v>0</v>
      </c>
      <c r="BX250" s="67">
        <v>0</v>
      </c>
      <c r="BY250" s="67">
        <v>0</v>
      </c>
      <c r="BZ250" s="67">
        <v>0</v>
      </c>
      <c r="CA250" s="67"/>
      <c r="CB250" s="67">
        <v>0</v>
      </c>
      <c r="CC250" s="67"/>
      <c r="CD250" s="67"/>
      <c r="CE250" s="67">
        <v>0</v>
      </c>
      <c r="CF250" s="67">
        <v>0</v>
      </c>
      <c r="CG250" s="67"/>
      <c r="CH250" s="67"/>
      <c r="CI250" s="67"/>
      <c r="CJ250" s="67"/>
      <c r="CK250" s="67">
        <v>0</v>
      </c>
      <c r="CL250" s="67">
        <v>0</v>
      </c>
      <c r="CM250" s="67"/>
      <c r="CN250" s="67"/>
      <c r="CO250" s="67">
        <v>0</v>
      </c>
      <c r="CP250" s="67">
        <v>0</v>
      </c>
      <c r="CQ250" s="67"/>
      <c r="CR250" s="67"/>
      <c r="CS250" s="67"/>
      <c r="CT250" s="67"/>
      <c r="CU250" s="67">
        <v>0</v>
      </c>
      <c r="CV250" s="67"/>
      <c r="CW250" s="67"/>
      <c r="CX250" s="67"/>
      <c r="CY250" s="67">
        <v>0</v>
      </c>
      <c r="CZ250" s="67"/>
      <c r="DA250" s="67"/>
      <c r="DB250" s="67"/>
      <c r="DC250" s="67"/>
      <c r="DF250" s="67"/>
      <c r="DG250" s="67">
        <v>0</v>
      </c>
      <c r="DH250" s="67">
        <v>0</v>
      </c>
      <c r="DI250" s="67">
        <v>0</v>
      </c>
      <c r="DJ250" s="67"/>
      <c r="DK250" s="67">
        <v>0</v>
      </c>
      <c r="DL250" s="67">
        <v>0</v>
      </c>
      <c r="DM250" s="67">
        <v>0</v>
      </c>
      <c r="DN250" s="67"/>
      <c r="DO250" s="67"/>
      <c r="DP250" s="67"/>
      <c r="DQ250" s="67">
        <v>0</v>
      </c>
      <c r="DR250" s="67">
        <v>0</v>
      </c>
      <c r="DS250" s="67"/>
      <c r="DT250" s="67"/>
      <c r="DU250" s="67">
        <v>0</v>
      </c>
      <c r="DV250" s="67">
        <v>0</v>
      </c>
      <c r="DW250" s="67">
        <v>0</v>
      </c>
      <c r="DX250" s="67">
        <v>0</v>
      </c>
      <c r="DY250" s="67"/>
      <c r="DZ250" s="67">
        <v>0</v>
      </c>
      <c r="EA250" s="67"/>
      <c r="EB250" s="67">
        <v>0</v>
      </c>
      <c r="EC250" s="67"/>
      <c r="ED250" s="67">
        <v>0</v>
      </c>
      <c r="EE250" s="67"/>
      <c r="EF250" s="67">
        <v>0</v>
      </c>
      <c r="EG250" s="67"/>
      <c r="EH250" s="67"/>
      <c r="EI250" s="67"/>
      <c r="EJ250" s="67"/>
      <c r="EK250" s="67"/>
      <c r="EL250" s="67"/>
      <c r="EM250" s="67"/>
      <c r="EN250" s="67"/>
      <c r="EO250" s="67"/>
      <c r="EP250" s="67">
        <v>0</v>
      </c>
      <c r="EQ250" s="67">
        <v>0</v>
      </c>
      <c r="ER250" s="67">
        <v>0</v>
      </c>
      <c r="ES250" s="67"/>
      <c r="ET250">
        <v>0</v>
      </c>
      <c r="EX250" s="67"/>
      <c r="EY250" s="67"/>
      <c r="EZ250" s="67"/>
      <c r="FA250" s="67">
        <v>0</v>
      </c>
      <c r="FB250" s="67"/>
      <c r="FC250" s="67"/>
      <c r="FD250" s="67"/>
      <c r="FE250" s="67"/>
      <c r="FF250" s="67"/>
      <c r="FG250" s="67"/>
      <c r="FH250" s="67"/>
      <c r="FI250" s="67" t="s">
        <v>1600</v>
      </c>
    </row>
    <row r="251" spans="2:165" x14ac:dyDescent="0.2">
      <c r="B251" s="67" t="s">
        <v>697</v>
      </c>
      <c r="C251" s="67" t="s">
        <v>697</v>
      </c>
      <c r="D251" s="67" t="s">
        <v>698</v>
      </c>
      <c r="E251" s="67" t="s">
        <v>35</v>
      </c>
      <c r="F251" s="67" t="s">
        <v>766</v>
      </c>
      <c r="G251" s="67"/>
      <c r="H251" s="67"/>
      <c r="I251" s="67" t="s">
        <v>43</v>
      </c>
      <c r="J251" s="67" t="s">
        <v>68</v>
      </c>
      <c r="K251" s="67" t="s">
        <v>1567</v>
      </c>
      <c r="L251" s="67" t="s">
        <v>767</v>
      </c>
      <c r="M251" s="67" t="s">
        <v>752</v>
      </c>
      <c r="N251" s="67" t="s">
        <v>1598</v>
      </c>
      <c r="O251" s="67" t="s">
        <v>1599</v>
      </c>
      <c r="P251" s="67"/>
      <c r="Q251" s="67">
        <v>744.9</v>
      </c>
      <c r="R251" s="67">
        <v>0</v>
      </c>
      <c r="S251" s="67">
        <v>0</v>
      </c>
      <c r="T251" s="67">
        <v>0</v>
      </c>
      <c r="U251" s="67">
        <v>0</v>
      </c>
      <c r="V251" s="67">
        <v>0</v>
      </c>
      <c r="W251" s="67">
        <v>0</v>
      </c>
      <c r="X251" s="67">
        <v>0</v>
      </c>
      <c r="Y251" s="67">
        <v>0</v>
      </c>
      <c r="Z251" s="67">
        <v>0</v>
      </c>
      <c r="AA251" s="67">
        <v>0</v>
      </c>
      <c r="AB251" s="67">
        <v>0</v>
      </c>
      <c r="AC251" s="67">
        <v>0</v>
      </c>
      <c r="AD251" s="67">
        <v>0</v>
      </c>
      <c r="AE251" s="67">
        <v>0</v>
      </c>
      <c r="AF251" s="67">
        <v>0</v>
      </c>
      <c r="AG251" s="67">
        <v>744.9</v>
      </c>
      <c r="AH251" s="67">
        <v>0</v>
      </c>
      <c r="AI251" s="67">
        <v>0</v>
      </c>
      <c r="AJ251" s="67">
        <v>0</v>
      </c>
      <c r="AK251" s="67">
        <v>0</v>
      </c>
      <c r="AL251" s="67">
        <v>0</v>
      </c>
      <c r="AM251" s="67">
        <v>0</v>
      </c>
      <c r="AN251" s="67">
        <v>0</v>
      </c>
      <c r="AO251" s="67">
        <v>0</v>
      </c>
      <c r="AP251" s="67">
        <v>0</v>
      </c>
      <c r="AQ251" s="67">
        <v>0</v>
      </c>
      <c r="AR251" s="67">
        <v>0</v>
      </c>
      <c r="AS251" s="67">
        <v>0</v>
      </c>
      <c r="AT251" s="67"/>
      <c r="AU251" s="67"/>
      <c r="AV251" s="67"/>
      <c r="AW251" s="67">
        <v>0</v>
      </c>
      <c r="AX251" s="67">
        <v>0</v>
      </c>
      <c r="AY251" s="67"/>
      <c r="AZ251" s="67"/>
      <c r="BA251" s="67"/>
      <c r="BB251" s="67"/>
      <c r="BC251" s="67"/>
      <c r="BD251" s="67"/>
      <c r="BE251" s="67"/>
      <c r="BG251" s="67"/>
      <c r="BH251" s="67"/>
      <c r="BI251" s="67"/>
      <c r="BJ251" s="67">
        <v>0</v>
      </c>
      <c r="BK251" s="67"/>
      <c r="BL251" s="67"/>
      <c r="BP251" s="67"/>
      <c r="BQ251" s="67">
        <v>0</v>
      </c>
      <c r="BR251" s="67"/>
      <c r="BS251" s="67"/>
      <c r="BT251" s="67">
        <v>0</v>
      </c>
      <c r="BU251" s="67"/>
      <c r="BV251" s="67"/>
      <c r="BW251" s="67">
        <v>0</v>
      </c>
      <c r="BX251" s="67">
        <v>0</v>
      </c>
      <c r="BY251" s="67">
        <v>0</v>
      </c>
      <c r="BZ251" s="67">
        <v>0</v>
      </c>
      <c r="CA251" s="67"/>
      <c r="CB251" s="67">
        <v>0</v>
      </c>
      <c r="CC251" s="67"/>
      <c r="CD251" s="67"/>
      <c r="CE251" s="67">
        <v>0</v>
      </c>
      <c r="CF251" s="67">
        <v>0</v>
      </c>
      <c r="CG251" s="67"/>
      <c r="CH251" s="67"/>
      <c r="CI251" s="67"/>
      <c r="CJ251" s="67"/>
      <c r="CK251" s="67">
        <v>0</v>
      </c>
      <c r="CL251" s="67">
        <v>0</v>
      </c>
      <c r="CM251" s="67"/>
      <c r="CN251" s="67"/>
      <c r="CO251" s="67">
        <v>0</v>
      </c>
      <c r="CP251" s="67">
        <v>0</v>
      </c>
      <c r="CQ251" s="67"/>
      <c r="CR251" s="67"/>
      <c r="CS251" s="67"/>
      <c r="CT251" s="67"/>
      <c r="CU251" s="67">
        <v>0</v>
      </c>
      <c r="CV251" s="67"/>
      <c r="CW251" s="67"/>
      <c r="CX251" s="67"/>
      <c r="CY251" s="67">
        <v>0</v>
      </c>
      <c r="CZ251" s="67"/>
      <c r="DA251" s="67"/>
      <c r="DB251" s="67"/>
      <c r="DC251" s="67"/>
      <c r="DF251" s="67"/>
      <c r="DG251" s="67">
        <v>0</v>
      </c>
      <c r="DH251" s="67">
        <v>0</v>
      </c>
      <c r="DI251" s="67">
        <v>0</v>
      </c>
      <c r="DJ251" s="67"/>
      <c r="DK251" s="67">
        <v>0</v>
      </c>
      <c r="DL251" s="67">
        <v>0</v>
      </c>
      <c r="DM251" s="67">
        <v>0</v>
      </c>
      <c r="DN251" s="67"/>
      <c r="DO251" s="67"/>
      <c r="DP251" s="67"/>
      <c r="DQ251" s="67">
        <v>0</v>
      </c>
      <c r="DR251" s="67">
        <v>0</v>
      </c>
      <c r="DS251" s="67"/>
      <c r="DT251" s="67"/>
      <c r="DU251" s="67">
        <v>0</v>
      </c>
      <c r="DV251" s="67">
        <v>0</v>
      </c>
      <c r="DW251" s="67">
        <v>0</v>
      </c>
      <c r="DX251" s="67">
        <v>0</v>
      </c>
      <c r="DY251" s="67"/>
      <c r="DZ251" s="67">
        <v>0</v>
      </c>
      <c r="EA251" s="67"/>
      <c r="EB251" s="67">
        <v>0</v>
      </c>
      <c r="EC251" s="67"/>
      <c r="ED251" s="67">
        <v>0</v>
      </c>
      <c r="EE251" s="67"/>
      <c r="EF251" s="67">
        <v>0</v>
      </c>
      <c r="EG251" s="67"/>
      <c r="EH251" s="67"/>
      <c r="EI251" s="67"/>
      <c r="EJ251" s="67"/>
      <c r="EK251" s="67"/>
      <c r="EL251" s="67"/>
      <c r="EM251" s="67"/>
      <c r="EN251" s="67"/>
      <c r="EO251" s="67"/>
      <c r="EP251" s="67">
        <v>0</v>
      </c>
      <c r="EQ251" s="67">
        <v>0</v>
      </c>
      <c r="ER251" s="67">
        <v>0</v>
      </c>
      <c r="ES251" s="67"/>
      <c r="ET251">
        <v>0</v>
      </c>
      <c r="EX251" s="67"/>
      <c r="EY251" s="67"/>
      <c r="EZ251" s="67"/>
      <c r="FA251" s="67">
        <v>744.9</v>
      </c>
      <c r="FB251" s="67"/>
      <c r="FC251" s="67"/>
      <c r="FD251" s="67"/>
      <c r="FE251" s="67"/>
      <c r="FF251" s="67"/>
      <c r="FG251" s="67"/>
      <c r="FH251" s="67"/>
      <c r="FI251" s="67" t="s">
        <v>1600</v>
      </c>
    </row>
    <row r="252" spans="2:165" ht="24" x14ac:dyDescent="0.2">
      <c r="B252" s="67" t="s">
        <v>305</v>
      </c>
      <c r="C252" s="67" t="s">
        <v>1731</v>
      </c>
      <c r="D252" s="67" t="s">
        <v>699</v>
      </c>
      <c r="E252" s="67" t="s">
        <v>13</v>
      </c>
      <c r="F252" s="67" t="s">
        <v>1241</v>
      </c>
      <c r="G252" s="67"/>
      <c r="H252" s="67"/>
      <c r="I252" s="67" t="s">
        <v>41</v>
      </c>
      <c r="J252" s="67" t="s">
        <v>74</v>
      </c>
      <c r="K252" s="67" t="s">
        <v>1651</v>
      </c>
      <c r="L252" s="67" t="s">
        <v>787</v>
      </c>
      <c r="M252" s="67" t="s">
        <v>752</v>
      </c>
      <c r="N252" s="67" t="s">
        <v>1598</v>
      </c>
      <c r="O252" s="67" t="s">
        <v>1610</v>
      </c>
      <c r="P252" s="67"/>
      <c r="Q252" s="67">
        <v>0</v>
      </c>
      <c r="R252" s="67">
        <v>0</v>
      </c>
      <c r="S252" s="67">
        <v>0</v>
      </c>
      <c r="T252" s="67">
        <v>0</v>
      </c>
      <c r="U252" s="67">
        <v>0</v>
      </c>
      <c r="V252" s="67">
        <v>0</v>
      </c>
      <c r="W252" s="67">
        <v>0</v>
      </c>
      <c r="X252" s="67">
        <v>0</v>
      </c>
      <c r="Y252" s="67">
        <v>0</v>
      </c>
      <c r="Z252" s="67">
        <v>0</v>
      </c>
      <c r="AA252" s="67">
        <v>0</v>
      </c>
      <c r="AB252" s="67">
        <v>0</v>
      </c>
      <c r="AC252" s="67">
        <v>0</v>
      </c>
      <c r="AD252" s="67">
        <v>0</v>
      </c>
      <c r="AE252" s="67">
        <v>0</v>
      </c>
      <c r="AF252" s="67">
        <v>0</v>
      </c>
      <c r="AG252" s="67">
        <v>0</v>
      </c>
      <c r="AH252" s="67">
        <v>0</v>
      </c>
      <c r="AI252" s="67">
        <v>0</v>
      </c>
      <c r="AJ252" s="67">
        <v>0</v>
      </c>
      <c r="AK252" s="67">
        <v>0</v>
      </c>
      <c r="AL252" s="67">
        <v>0</v>
      </c>
      <c r="AM252" s="67">
        <v>0</v>
      </c>
      <c r="AN252" s="67">
        <v>0</v>
      </c>
      <c r="AO252" s="67">
        <v>0</v>
      </c>
      <c r="AP252" s="67">
        <v>0</v>
      </c>
      <c r="AQ252" s="67">
        <v>0</v>
      </c>
      <c r="AR252" s="67">
        <v>0</v>
      </c>
      <c r="AS252" s="67">
        <v>0</v>
      </c>
      <c r="AT252" s="67"/>
      <c r="AU252" s="67"/>
      <c r="AV252" s="67"/>
      <c r="AW252" s="67">
        <v>0</v>
      </c>
      <c r="AX252" s="67">
        <v>0</v>
      </c>
      <c r="AY252" s="67"/>
      <c r="AZ252" s="67"/>
      <c r="BA252" s="67"/>
      <c r="BB252" s="67"/>
      <c r="BC252" s="67"/>
      <c r="BD252" s="67"/>
      <c r="BE252" s="67"/>
      <c r="BG252" s="67"/>
      <c r="BH252" s="67"/>
      <c r="BI252" s="67"/>
      <c r="BJ252" s="67">
        <v>0</v>
      </c>
      <c r="BK252" s="67"/>
      <c r="BL252" s="67"/>
      <c r="BP252" s="67"/>
      <c r="BQ252" s="67">
        <v>0</v>
      </c>
      <c r="BR252" s="67"/>
      <c r="BS252" s="67"/>
      <c r="BT252" s="67">
        <v>0</v>
      </c>
      <c r="BU252" s="67"/>
      <c r="BV252" s="67"/>
      <c r="BW252" s="67">
        <v>0</v>
      </c>
      <c r="BX252" s="67">
        <v>0</v>
      </c>
      <c r="BY252" s="67">
        <v>0</v>
      </c>
      <c r="BZ252" s="67">
        <v>0</v>
      </c>
      <c r="CA252" s="67"/>
      <c r="CB252" s="67">
        <v>0</v>
      </c>
      <c r="CC252" s="67"/>
      <c r="CD252" s="67"/>
      <c r="CE252" s="67">
        <v>0</v>
      </c>
      <c r="CF252" s="67">
        <v>0</v>
      </c>
      <c r="CG252" s="67"/>
      <c r="CH252" s="67"/>
      <c r="CI252" s="67"/>
      <c r="CJ252" s="67"/>
      <c r="CK252" s="67">
        <v>0</v>
      </c>
      <c r="CL252" s="67">
        <v>0</v>
      </c>
      <c r="CM252" s="67"/>
      <c r="CN252" s="67"/>
      <c r="CO252" s="67">
        <v>0</v>
      </c>
      <c r="CP252" s="67">
        <v>0</v>
      </c>
      <c r="CQ252" s="67"/>
      <c r="CR252" s="67"/>
      <c r="CS252" s="67"/>
      <c r="CT252" s="67"/>
      <c r="CU252" s="67">
        <v>0</v>
      </c>
      <c r="CV252" s="67"/>
      <c r="CW252" s="67"/>
      <c r="CX252" s="67"/>
      <c r="CY252" s="67">
        <v>0</v>
      </c>
      <c r="CZ252" s="67"/>
      <c r="DA252" s="67"/>
      <c r="DB252" s="67"/>
      <c r="DC252" s="67"/>
      <c r="DF252" s="67"/>
      <c r="DG252" s="67">
        <v>0</v>
      </c>
      <c r="DH252" s="67">
        <v>0</v>
      </c>
      <c r="DI252" s="67">
        <v>0</v>
      </c>
      <c r="DJ252" s="67"/>
      <c r="DK252" s="67">
        <v>0</v>
      </c>
      <c r="DL252" s="67">
        <v>0</v>
      </c>
      <c r="DM252" s="67">
        <v>0</v>
      </c>
      <c r="DN252" s="67"/>
      <c r="DO252" s="67"/>
      <c r="DP252" s="67"/>
      <c r="DQ252" s="67">
        <v>0</v>
      </c>
      <c r="DR252" s="67">
        <v>0</v>
      </c>
      <c r="DS252" s="67"/>
      <c r="DT252" s="67"/>
      <c r="DU252" s="67">
        <v>0</v>
      </c>
      <c r="DV252" s="67">
        <v>0</v>
      </c>
      <c r="DW252" s="67">
        <v>0</v>
      </c>
      <c r="DX252" s="67">
        <v>0</v>
      </c>
      <c r="DY252" s="67"/>
      <c r="DZ252" s="67">
        <v>0</v>
      </c>
      <c r="EA252" s="67"/>
      <c r="EB252" s="67">
        <v>0</v>
      </c>
      <c r="EC252" s="67"/>
      <c r="ED252" s="67">
        <v>0</v>
      </c>
      <c r="EE252" s="67"/>
      <c r="EF252" s="67">
        <v>0</v>
      </c>
      <c r="EG252" s="67"/>
      <c r="EH252" s="67"/>
      <c r="EI252" s="67"/>
      <c r="EJ252" s="67"/>
      <c r="EK252" s="67"/>
      <c r="EL252" s="67"/>
      <c r="EM252" s="67"/>
      <c r="EN252" s="67"/>
      <c r="EO252" s="67"/>
      <c r="EP252" s="67">
        <v>0</v>
      </c>
      <c r="EQ252" s="67">
        <v>0</v>
      </c>
      <c r="ER252" s="67">
        <v>0</v>
      </c>
      <c r="ES252" s="67"/>
      <c r="ET252">
        <v>0</v>
      </c>
      <c r="EX252" s="67"/>
      <c r="EY252" s="67"/>
      <c r="EZ252" s="67"/>
      <c r="FA252" s="67">
        <v>0</v>
      </c>
      <c r="FB252" s="67"/>
      <c r="FC252" s="67"/>
      <c r="FD252" s="67"/>
      <c r="FE252" s="67"/>
      <c r="FF252" s="67"/>
      <c r="FG252" s="67"/>
      <c r="FH252" s="67"/>
      <c r="FI252" s="67" t="s">
        <v>1600</v>
      </c>
    </row>
    <row r="253" spans="2:165" x14ac:dyDescent="0.2">
      <c r="B253" s="67" t="s">
        <v>305</v>
      </c>
      <c r="C253" s="67" t="s">
        <v>1732</v>
      </c>
      <c r="D253" s="67" t="s">
        <v>700</v>
      </c>
      <c r="E253" s="67" t="s">
        <v>305</v>
      </c>
      <c r="F253" s="67" t="s">
        <v>305</v>
      </c>
      <c r="G253" s="67"/>
      <c r="H253" s="67"/>
      <c r="I253" s="67" t="s">
        <v>305</v>
      </c>
      <c r="J253" s="67" t="s">
        <v>305</v>
      </c>
      <c r="K253" s="67" t="s">
        <v>305</v>
      </c>
      <c r="L253" s="67" t="s">
        <v>787</v>
      </c>
      <c r="M253" s="67" t="s">
        <v>752</v>
      </c>
      <c r="N253" s="67" t="s">
        <v>305</v>
      </c>
      <c r="O253" s="67" t="s">
        <v>305</v>
      </c>
      <c r="P253" s="67"/>
      <c r="Q253" s="67">
        <v>0</v>
      </c>
      <c r="R253" s="67">
        <v>0</v>
      </c>
      <c r="S253" s="67">
        <v>0</v>
      </c>
      <c r="T253" s="67">
        <v>0</v>
      </c>
      <c r="U253" s="67">
        <v>0</v>
      </c>
      <c r="V253" s="67">
        <v>0</v>
      </c>
      <c r="W253" s="67">
        <v>0</v>
      </c>
      <c r="X253" s="67">
        <v>0</v>
      </c>
      <c r="Y253" s="67">
        <v>0</v>
      </c>
      <c r="Z253" s="67">
        <v>0</v>
      </c>
      <c r="AA253" s="67">
        <v>0</v>
      </c>
      <c r="AB253" s="67">
        <v>0</v>
      </c>
      <c r="AC253" s="67">
        <v>0</v>
      </c>
      <c r="AD253" s="67">
        <v>0</v>
      </c>
      <c r="AE253" s="67">
        <v>0</v>
      </c>
      <c r="AF253" s="67">
        <v>0</v>
      </c>
      <c r="AG253" s="67">
        <v>0</v>
      </c>
      <c r="AH253" s="67">
        <v>0</v>
      </c>
      <c r="AI253" s="67">
        <v>0</v>
      </c>
      <c r="AJ253" s="67">
        <v>0</v>
      </c>
      <c r="AK253" s="67">
        <v>0</v>
      </c>
      <c r="AL253" s="67">
        <v>0</v>
      </c>
      <c r="AM253" s="67">
        <v>0</v>
      </c>
      <c r="AN253" s="67">
        <v>0</v>
      </c>
      <c r="AO253" s="67">
        <v>0</v>
      </c>
      <c r="AP253" s="67">
        <v>0</v>
      </c>
      <c r="AQ253" s="67">
        <v>0</v>
      </c>
      <c r="AR253" s="67">
        <v>0</v>
      </c>
      <c r="AS253" s="67">
        <v>0</v>
      </c>
      <c r="AT253" s="67"/>
      <c r="AU253" s="67"/>
      <c r="AV253" s="67"/>
      <c r="AW253" s="67">
        <v>0</v>
      </c>
      <c r="AX253" s="67">
        <v>0</v>
      </c>
      <c r="AY253" s="67"/>
      <c r="AZ253" s="67"/>
      <c r="BA253" s="67"/>
      <c r="BB253" s="67"/>
      <c r="BC253" s="67"/>
      <c r="BD253" s="67"/>
      <c r="BE253" s="67"/>
      <c r="BG253" s="67"/>
      <c r="BH253" s="67"/>
      <c r="BI253" s="67"/>
      <c r="BJ253" s="67">
        <v>0</v>
      </c>
      <c r="BK253" s="67"/>
      <c r="BL253" s="67"/>
      <c r="BP253" s="67"/>
      <c r="BQ253" s="67">
        <v>0</v>
      </c>
      <c r="BR253" s="67"/>
      <c r="BS253" s="67"/>
      <c r="BT253" s="67">
        <v>0</v>
      </c>
      <c r="BU253" s="67"/>
      <c r="BV253" s="67"/>
      <c r="BW253" s="67">
        <v>0</v>
      </c>
      <c r="BX253" s="67">
        <v>0</v>
      </c>
      <c r="BY253" s="67">
        <v>0</v>
      </c>
      <c r="BZ253" s="67">
        <v>0</v>
      </c>
      <c r="CA253" s="67"/>
      <c r="CB253" s="67">
        <v>0</v>
      </c>
      <c r="CC253" s="67"/>
      <c r="CD253" s="67"/>
      <c r="CE253" s="67">
        <v>0</v>
      </c>
      <c r="CF253" s="67">
        <v>0</v>
      </c>
      <c r="CG253" s="67"/>
      <c r="CH253" s="67"/>
      <c r="CI253" s="67"/>
      <c r="CJ253" s="67"/>
      <c r="CK253" s="67">
        <v>0</v>
      </c>
      <c r="CL253" s="67">
        <v>0</v>
      </c>
      <c r="CM253" s="67"/>
      <c r="CN253" s="67"/>
      <c r="CO253" s="67">
        <v>0</v>
      </c>
      <c r="CP253" s="67">
        <v>0</v>
      </c>
      <c r="CQ253" s="67"/>
      <c r="CR253" s="67"/>
      <c r="CS253" s="67"/>
      <c r="CT253" s="67"/>
      <c r="CU253" s="67">
        <v>0</v>
      </c>
      <c r="CV253" s="67"/>
      <c r="CW253" s="67"/>
      <c r="CX253" s="67"/>
      <c r="CY253" s="67">
        <v>0</v>
      </c>
      <c r="CZ253" s="67"/>
      <c r="DA253" s="67"/>
      <c r="DB253" s="67"/>
      <c r="DC253" s="67"/>
      <c r="DF253" s="67"/>
      <c r="DG253" s="67">
        <v>0</v>
      </c>
      <c r="DH253" s="67">
        <v>0</v>
      </c>
      <c r="DI253" s="67">
        <v>0</v>
      </c>
      <c r="DJ253" s="67"/>
      <c r="DK253" s="67">
        <v>0</v>
      </c>
      <c r="DL253" s="67">
        <v>0</v>
      </c>
      <c r="DM253" s="67">
        <v>0</v>
      </c>
      <c r="DN253" s="67"/>
      <c r="DO253" s="67"/>
      <c r="DP253" s="67"/>
      <c r="DQ253" s="67">
        <v>0</v>
      </c>
      <c r="DR253" s="67">
        <v>0</v>
      </c>
      <c r="DS253" s="67"/>
      <c r="DT253" s="67"/>
      <c r="DU253" s="67">
        <v>0</v>
      </c>
      <c r="DV253" s="67">
        <v>0</v>
      </c>
      <c r="DW253" s="67">
        <v>0</v>
      </c>
      <c r="DX253" s="67">
        <v>0</v>
      </c>
      <c r="DY253" s="67"/>
      <c r="DZ253" s="67">
        <v>0</v>
      </c>
      <c r="EA253" s="67"/>
      <c r="EB253" s="67">
        <v>0</v>
      </c>
      <c r="EC253" s="67"/>
      <c r="ED253" s="67">
        <v>0</v>
      </c>
      <c r="EE253" s="67"/>
      <c r="EF253" s="67">
        <v>0</v>
      </c>
      <c r="EG253" s="67"/>
      <c r="EH253" s="67"/>
      <c r="EI253" s="67"/>
      <c r="EJ253" s="67"/>
      <c r="EK253" s="67"/>
      <c r="EL253" s="67"/>
      <c r="EM253" s="67"/>
      <c r="EN253" s="67"/>
      <c r="EO253" s="67"/>
      <c r="EP253" s="67">
        <v>0</v>
      </c>
      <c r="EQ253" s="67">
        <v>0</v>
      </c>
      <c r="ER253" s="67">
        <v>0</v>
      </c>
      <c r="ES253" s="67"/>
      <c r="ET253">
        <v>0</v>
      </c>
      <c r="EX253" s="67"/>
      <c r="EY253" s="67"/>
      <c r="EZ253" s="67"/>
      <c r="FA253" s="67">
        <v>0</v>
      </c>
      <c r="FB253" s="67"/>
      <c r="FC253" s="67"/>
      <c r="FD253" s="67"/>
      <c r="FE253" s="67"/>
      <c r="FF253" s="67"/>
      <c r="FG253" s="67"/>
      <c r="FH253" s="67"/>
      <c r="FI253" s="67" t="s">
        <v>1600</v>
      </c>
    </row>
    <row r="254" spans="2:165" ht="24" x14ac:dyDescent="0.2">
      <c r="B254" s="67" t="s">
        <v>701</v>
      </c>
      <c r="C254" s="67" t="s">
        <v>701</v>
      </c>
      <c r="D254" s="67" t="s">
        <v>702</v>
      </c>
      <c r="E254" s="67" t="s">
        <v>13</v>
      </c>
      <c r="F254" s="67" t="s">
        <v>1241</v>
      </c>
      <c r="G254" s="67"/>
      <c r="H254" s="67"/>
      <c r="I254" s="67" t="s">
        <v>41</v>
      </c>
      <c r="J254" s="67" t="s">
        <v>74</v>
      </c>
      <c r="K254" s="67" t="s">
        <v>1246</v>
      </c>
      <c r="L254" s="67" t="s">
        <v>787</v>
      </c>
      <c r="M254" s="67" t="s">
        <v>752</v>
      </c>
      <c r="N254" s="67" t="s">
        <v>1598</v>
      </c>
      <c r="O254" s="67" t="s">
        <v>1599</v>
      </c>
      <c r="P254" s="67"/>
      <c r="Q254" s="67">
        <v>625</v>
      </c>
      <c r="R254" s="67">
        <v>0</v>
      </c>
      <c r="S254" s="67">
        <v>0</v>
      </c>
      <c r="T254" s="67">
        <v>0</v>
      </c>
      <c r="U254" s="67">
        <v>0</v>
      </c>
      <c r="V254" s="67">
        <v>0</v>
      </c>
      <c r="W254" s="67">
        <v>0</v>
      </c>
      <c r="X254" s="67">
        <v>0</v>
      </c>
      <c r="Y254" s="67">
        <v>0</v>
      </c>
      <c r="Z254" s="67">
        <v>0</v>
      </c>
      <c r="AA254" s="67">
        <v>500</v>
      </c>
      <c r="AB254" s="67">
        <v>0</v>
      </c>
      <c r="AC254" s="67">
        <v>0</v>
      </c>
      <c r="AD254" s="67">
        <v>0</v>
      </c>
      <c r="AE254" s="67">
        <v>0</v>
      </c>
      <c r="AF254" s="67">
        <v>0</v>
      </c>
      <c r="AG254" s="67">
        <v>0</v>
      </c>
      <c r="AH254" s="67">
        <v>0</v>
      </c>
      <c r="AI254" s="67">
        <v>0</v>
      </c>
      <c r="AJ254" s="67">
        <v>0</v>
      </c>
      <c r="AK254" s="67">
        <v>0</v>
      </c>
      <c r="AL254" s="67">
        <v>0</v>
      </c>
      <c r="AM254" s="67">
        <v>0</v>
      </c>
      <c r="AN254" s="67">
        <v>125</v>
      </c>
      <c r="AO254" s="67">
        <v>0</v>
      </c>
      <c r="AP254" s="67">
        <v>0</v>
      </c>
      <c r="AQ254" s="67">
        <v>0</v>
      </c>
      <c r="AR254" s="67">
        <v>0</v>
      </c>
      <c r="AS254" s="67">
        <v>0</v>
      </c>
      <c r="AT254" s="67"/>
      <c r="AU254" s="67"/>
      <c r="AV254" s="67"/>
      <c r="AW254" s="67">
        <v>0</v>
      </c>
      <c r="AX254" s="67">
        <v>0</v>
      </c>
      <c r="AY254" s="67"/>
      <c r="AZ254" s="67"/>
      <c r="BA254" s="67"/>
      <c r="BB254" s="67"/>
      <c r="BC254" s="67"/>
      <c r="BD254" s="67"/>
      <c r="BE254" s="67"/>
      <c r="BG254" s="67"/>
      <c r="BH254" s="67"/>
      <c r="BI254" s="67"/>
      <c r="BJ254" s="67">
        <v>0</v>
      </c>
      <c r="BK254" s="67"/>
      <c r="BL254" s="67"/>
      <c r="BP254" s="67"/>
      <c r="BQ254" s="67">
        <v>0</v>
      </c>
      <c r="BR254" s="67"/>
      <c r="BS254" s="67"/>
      <c r="BT254" s="67">
        <v>0</v>
      </c>
      <c r="BU254" s="67"/>
      <c r="BV254" s="67"/>
      <c r="BW254" s="67">
        <v>0</v>
      </c>
      <c r="BX254" s="67">
        <v>0</v>
      </c>
      <c r="BY254" s="67">
        <v>0</v>
      </c>
      <c r="BZ254" s="67">
        <v>0</v>
      </c>
      <c r="CA254" s="67"/>
      <c r="CB254" s="67">
        <v>0</v>
      </c>
      <c r="CC254" s="67"/>
      <c r="CD254" s="67"/>
      <c r="CE254" s="67">
        <v>0</v>
      </c>
      <c r="CF254" s="67">
        <v>0</v>
      </c>
      <c r="CG254" s="67"/>
      <c r="CH254" s="67"/>
      <c r="CI254" s="67"/>
      <c r="CJ254" s="67"/>
      <c r="CK254" s="67">
        <v>0</v>
      </c>
      <c r="CL254" s="67">
        <v>0</v>
      </c>
      <c r="CM254" s="67"/>
      <c r="CN254" s="67"/>
      <c r="CO254" s="67">
        <v>0</v>
      </c>
      <c r="CP254" s="67">
        <v>0</v>
      </c>
      <c r="CQ254" s="67"/>
      <c r="CR254" s="67"/>
      <c r="CS254" s="67"/>
      <c r="CT254" s="67"/>
      <c r="CU254" s="67">
        <v>0</v>
      </c>
      <c r="CV254" s="67"/>
      <c r="CW254" s="67"/>
      <c r="CX254" s="67"/>
      <c r="CY254" s="67">
        <v>0</v>
      </c>
      <c r="CZ254" s="67"/>
      <c r="DA254" s="67"/>
      <c r="DB254" s="67"/>
      <c r="DC254" s="67"/>
      <c r="DF254" s="67"/>
      <c r="DG254" s="67">
        <v>0</v>
      </c>
      <c r="DH254" s="67">
        <v>0</v>
      </c>
      <c r="DI254" s="67">
        <v>0</v>
      </c>
      <c r="DJ254" s="67"/>
      <c r="DK254" s="67">
        <v>0</v>
      </c>
      <c r="DL254" s="67">
        <v>0</v>
      </c>
      <c r="DM254" s="67">
        <v>0</v>
      </c>
      <c r="DN254" s="67"/>
      <c r="DO254" s="67"/>
      <c r="DP254" s="67"/>
      <c r="DQ254" s="67">
        <v>0</v>
      </c>
      <c r="DR254" s="67">
        <v>0</v>
      </c>
      <c r="DS254" s="67"/>
      <c r="DT254" s="67"/>
      <c r="DU254" s="67">
        <v>0</v>
      </c>
      <c r="DV254" s="67">
        <v>0</v>
      </c>
      <c r="DW254" s="67">
        <v>0</v>
      </c>
      <c r="DX254" s="67">
        <v>0</v>
      </c>
      <c r="DY254" s="67"/>
      <c r="DZ254" s="67">
        <v>0</v>
      </c>
      <c r="EA254" s="67"/>
      <c r="EB254" s="67">
        <v>0</v>
      </c>
      <c r="EC254" s="67"/>
      <c r="ED254" s="67">
        <v>0</v>
      </c>
      <c r="EE254" s="67"/>
      <c r="EF254" s="67">
        <v>0</v>
      </c>
      <c r="EG254" s="67"/>
      <c r="EH254" s="67"/>
      <c r="EI254" s="67"/>
      <c r="EJ254" s="67"/>
      <c r="EK254" s="67"/>
      <c r="EL254" s="67"/>
      <c r="EM254" s="67"/>
      <c r="EN254" s="67"/>
      <c r="EO254" s="67"/>
      <c r="EP254" s="67">
        <v>0</v>
      </c>
      <c r="EQ254" s="67">
        <v>0</v>
      </c>
      <c r="ER254" s="67">
        <v>0</v>
      </c>
      <c r="ES254" s="67"/>
      <c r="ET254">
        <v>0</v>
      </c>
      <c r="EX254" s="67"/>
      <c r="EY254" s="67"/>
      <c r="EZ254" s="67"/>
      <c r="FA254" s="67">
        <v>625</v>
      </c>
      <c r="FB254" s="67"/>
      <c r="FC254" s="67"/>
      <c r="FD254" s="67"/>
      <c r="FE254" s="67"/>
      <c r="FF254" s="67"/>
      <c r="FG254" s="67"/>
      <c r="FH254" s="67"/>
      <c r="FI254" s="67" t="s">
        <v>1600</v>
      </c>
    </row>
    <row r="255" spans="2:165" ht="24" x14ac:dyDescent="0.2">
      <c r="B255" s="67" t="s">
        <v>703</v>
      </c>
      <c r="C255" s="67" t="s">
        <v>703</v>
      </c>
      <c r="D255" s="67" t="s">
        <v>704</v>
      </c>
      <c r="E255" s="67" t="s">
        <v>13</v>
      </c>
      <c r="F255" s="67" t="s">
        <v>1241</v>
      </c>
      <c r="G255" s="67"/>
      <c r="H255" s="67"/>
      <c r="I255" s="67" t="s">
        <v>41</v>
      </c>
      <c r="J255" s="67" t="s">
        <v>74</v>
      </c>
      <c r="K255" s="67" t="s">
        <v>1246</v>
      </c>
      <c r="L255" s="67" t="s">
        <v>787</v>
      </c>
      <c r="M255" s="67" t="s">
        <v>752</v>
      </c>
      <c r="N255" s="67" t="s">
        <v>1598</v>
      </c>
      <c r="O255" s="67" t="s">
        <v>1599</v>
      </c>
      <c r="P255" s="67"/>
      <c r="Q255" s="67">
        <v>100</v>
      </c>
      <c r="R255" s="67">
        <v>0</v>
      </c>
      <c r="S255" s="67">
        <v>0</v>
      </c>
      <c r="T255" s="67">
        <v>0</v>
      </c>
      <c r="U255" s="67">
        <v>0</v>
      </c>
      <c r="V255" s="67">
        <v>0</v>
      </c>
      <c r="W255" s="67">
        <v>0</v>
      </c>
      <c r="X255" s="67">
        <v>0</v>
      </c>
      <c r="Y255" s="67">
        <v>0</v>
      </c>
      <c r="Z255" s="67">
        <v>0</v>
      </c>
      <c r="AA255" s="67">
        <v>0</v>
      </c>
      <c r="AB255" s="67">
        <v>0</v>
      </c>
      <c r="AC255" s="67">
        <v>0</v>
      </c>
      <c r="AD255" s="67">
        <v>0</v>
      </c>
      <c r="AE255" s="67">
        <v>0</v>
      </c>
      <c r="AF255" s="67">
        <v>0</v>
      </c>
      <c r="AG255" s="67">
        <v>0</v>
      </c>
      <c r="AH255" s="67">
        <v>0</v>
      </c>
      <c r="AI255" s="67">
        <v>0</v>
      </c>
      <c r="AJ255" s="67">
        <v>0</v>
      </c>
      <c r="AK255" s="67">
        <v>0</v>
      </c>
      <c r="AL255" s="67">
        <v>0</v>
      </c>
      <c r="AM255" s="67">
        <v>0</v>
      </c>
      <c r="AN255" s="67">
        <v>100</v>
      </c>
      <c r="AO255" s="67">
        <v>0</v>
      </c>
      <c r="AP255" s="67">
        <v>0</v>
      </c>
      <c r="AQ255" s="67">
        <v>0</v>
      </c>
      <c r="AR255" s="67">
        <v>0</v>
      </c>
      <c r="AS255" s="67">
        <v>0</v>
      </c>
      <c r="AT255" s="67"/>
      <c r="AU255" s="67"/>
      <c r="AV255" s="67"/>
      <c r="AW255" s="67">
        <v>0</v>
      </c>
      <c r="AX255" s="67">
        <v>0</v>
      </c>
      <c r="AY255" s="67"/>
      <c r="AZ255" s="67"/>
      <c r="BA255" s="67"/>
      <c r="BB255" s="67"/>
      <c r="BC255" s="67"/>
      <c r="BD255" s="67"/>
      <c r="BE255" s="67"/>
      <c r="BG255" s="67"/>
      <c r="BH255" s="67"/>
      <c r="BI255" s="67"/>
      <c r="BJ255" s="67">
        <v>0</v>
      </c>
      <c r="BK255" s="67"/>
      <c r="BL255" s="67"/>
      <c r="BP255" s="67"/>
      <c r="BQ255" s="67">
        <v>0</v>
      </c>
      <c r="BR255" s="67"/>
      <c r="BS255" s="67"/>
      <c r="BT255" s="67">
        <v>0</v>
      </c>
      <c r="BU255" s="67"/>
      <c r="BV255" s="67"/>
      <c r="BW255" s="67">
        <v>0</v>
      </c>
      <c r="BX255" s="67">
        <v>0</v>
      </c>
      <c r="BY255" s="67">
        <v>0</v>
      </c>
      <c r="BZ255" s="67">
        <v>0</v>
      </c>
      <c r="CA255" s="67"/>
      <c r="CB255" s="67">
        <v>0</v>
      </c>
      <c r="CC255" s="67"/>
      <c r="CD255" s="67"/>
      <c r="CE255" s="67">
        <v>0</v>
      </c>
      <c r="CF255" s="67">
        <v>0</v>
      </c>
      <c r="CG255" s="67"/>
      <c r="CH255" s="67"/>
      <c r="CI255" s="67"/>
      <c r="CJ255" s="67"/>
      <c r="CK255" s="67">
        <v>0</v>
      </c>
      <c r="CL255" s="67">
        <v>0</v>
      </c>
      <c r="CM255" s="67"/>
      <c r="CN255" s="67"/>
      <c r="CO255" s="67">
        <v>0</v>
      </c>
      <c r="CP255" s="67">
        <v>0</v>
      </c>
      <c r="CQ255" s="67"/>
      <c r="CR255" s="67"/>
      <c r="CS255" s="67"/>
      <c r="CT255" s="67"/>
      <c r="CU255" s="67">
        <v>0</v>
      </c>
      <c r="CV255" s="67"/>
      <c r="CW255" s="67"/>
      <c r="CX255" s="67"/>
      <c r="CY255" s="67">
        <v>0</v>
      </c>
      <c r="CZ255" s="67"/>
      <c r="DA255" s="67"/>
      <c r="DB255" s="67"/>
      <c r="DC255" s="67"/>
      <c r="DF255" s="67"/>
      <c r="DG255" s="67">
        <v>0</v>
      </c>
      <c r="DH255" s="67">
        <v>0</v>
      </c>
      <c r="DI255" s="67">
        <v>0</v>
      </c>
      <c r="DJ255" s="67"/>
      <c r="DK255" s="67">
        <v>0</v>
      </c>
      <c r="DL255" s="67">
        <v>0</v>
      </c>
      <c r="DM255" s="67">
        <v>0</v>
      </c>
      <c r="DN255" s="67"/>
      <c r="DO255" s="67"/>
      <c r="DP255" s="67"/>
      <c r="DQ255" s="67">
        <v>0</v>
      </c>
      <c r="DR255" s="67">
        <v>0</v>
      </c>
      <c r="DS255" s="67"/>
      <c r="DT255" s="67"/>
      <c r="DU255" s="67">
        <v>0</v>
      </c>
      <c r="DV255" s="67">
        <v>0</v>
      </c>
      <c r="DW255" s="67">
        <v>0</v>
      </c>
      <c r="DX255" s="67">
        <v>0</v>
      </c>
      <c r="DY255" s="67"/>
      <c r="DZ255" s="67">
        <v>0</v>
      </c>
      <c r="EA255" s="67"/>
      <c r="EB255" s="67">
        <v>0</v>
      </c>
      <c r="EC255" s="67"/>
      <c r="ED255" s="67">
        <v>0</v>
      </c>
      <c r="EE255" s="67"/>
      <c r="EF255" s="67">
        <v>0</v>
      </c>
      <c r="EG255" s="67"/>
      <c r="EH255" s="67"/>
      <c r="EI255" s="67"/>
      <c r="EJ255" s="67"/>
      <c r="EK255" s="67"/>
      <c r="EL255" s="67"/>
      <c r="EM255" s="67"/>
      <c r="EN255" s="67"/>
      <c r="EO255" s="67"/>
      <c r="EP255" s="67">
        <v>0</v>
      </c>
      <c r="EQ255" s="67">
        <v>0</v>
      </c>
      <c r="ER255" s="67">
        <v>0</v>
      </c>
      <c r="ES255" s="67"/>
      <c r="ET255">
        <v>0</v>
      </c>
      <c r="EX255" s="67"/>
      <c r="EY255" s="67"/>
      <c r="EZ255" s="67"/>
      <c r="FA255" s="67">
        <v>100</v>
      </c>
      <c r="FB255" s="67"/>
      <c r="FC255" s="67"/>
      <c r="FD255" s="67"/>
      <c r="FE255" s="67"/>
      <c r="FF255" s="67"/>
      <c r="FG255" s="67"/>
      <c r="FH255" s="67"/>
      <c r="FI255" s="67" t="s">
        <v>1600</v>
      </c>
    </row>
    <row r="256" spans="2:165" ht="24" x14ac:dyDescent="0.2">
      <c r="B256" s="67" t="s">
        <v>705</v>
      </c>
      <c r="C256" s="67" t="s">
        <v>705</v>
      </c>
      <c r="D256" s="67" t="s">
        <v>706</v>
      </c>
      <c r="E256" s="67" t="s">
        <v>13</v>
      </c>
      <c r="F256" s="67" t="s">
        <v>1241</v>
      </c>
      <c r="G256" s="67"/>
      <c r="H256" s="67"/>
      <c r="I256" s="67" t="s">
        <v>41</v>
      </c>
      <c r="J256" s="67" t="s">
        <v>74</v>
      </c>
      <c r="K256" s="67" t="s">
        <v>1246</v>
      </c>
      <c r="L256" s="67" t="s">
        <v>787</v>
      </c>
      <c r="M256" s="67" t="s">
        <v>752</v>
      </c>
      <c r="N256" s="67" t="s">
        <v>1598</v>
      </c>
      <c r="O256" s="67" t="s">
        <v>1599</v>
      </c>
      <c r="P256" s="67"/>
      <c r="Q256" s="67">
        <v>200</v>
      </c>
      <c r="R256" s="67">
        <v>0</v>
      </c>
      <c r="S256" s="67">
        <v>0</v>
      </c>
      <c r="T256" s="67">
        <v>0</v>
      </c>
      <c r="U256" s="67">
        <v>0</v>
      </c>
      <c r="V256" s="67">
        <v>0</v>
      </c>
      <c r="W256" s="67">
        <v>0</v>
      </c>
      <c r="X256" s="67">
        <v>0</v>
      </c>
      <c r="Y256" s="67">
        <v>0</v>
      </c>
      <c r="Z256" s="67">
        <v>0</v>
      </c>
      <c r="AA256" s="67">
        <v>0</v>
      </c>
      <c r="AB256" s="67">
        <v>0</v>
      </c>
      <c r="AC256" s="67">
        <v>0</v>
      </c>
      <c r="AD256" s="67">
        <v>0</v>
      </c>
      <c r="AE256" s="67">
        <v>0</v>
      </c>
      <c r="AF256" s="67">
        <v>0</v>
      </c>
      <c r="AG256" s="67">
        <v>0</v>
      </c>
      <c r="AH256" s="67">
        <v>0</v>
      </c>
      <c r="AI256" s="67">
        <v>0</v>
      </c>
      <c r="AJ256" s="67">
        <v>0</v>
      </c>
      <c r="AK256" s="67">
        <v>0</v>
      </c>
      <c r="AL256" s="67">
        <v>0</v>
      </c>
      <c r="AM256" s="67">
        <v>0</v>
      </c>
      <c r="AN256" s="67">
        <v>200</v>
      </c>
      <c r="AO256" s="67">
        <v>0</v>
      </c>
      <c r="AP256" s="67">
        <v>0</v>
      </c>
      <c r="AQ256" s="67">
        <v>0</v>
      </c>
      <c r="AR256" s="67">
        <v>0</v>
      </c>
      <c r="AS256" s="67">
        <v>0</v>
      </c>
      <c r="AT256" s="67"/>
      <c r="AU256" s="67"/>
      <c r="AV256" s="67"/>
      <c r="AW256" s="67">
        <v>0</v>
      </c>
      <c r="AX256" s="67">
        <v>0</v>
      </c>
      <c r="AY256" s="67"/>
      <c r="AZ256" s="67"/>
      <c r="BA256" s="67"/>
      <c r="BB256" s="67"/>
      <c r="BC256" s="67"/>
      <c r="BD256" s="67"/>
      <c r="BE256" s="67"/>
      <c r="BG256" s="67"/>
      <c r="BH256" s="67"/>
      <c r="BI256" s="67"/>
      <c r="BJ256" s="67">
        <v>0</v>
      </c>
      <c r="BK256" s="67"/>
      <c r="BL256" s="67"/>
      <c r="BP256" s="67"/>
      <c r="BQ256" s="67">
        <v>0</v>
      </c>
      <c r="BR256" s="67"/>
      <c r="BS256" s="67"/>
      <c r="BT256" s="67">
        <v>0</v>
      </c>
      <c r="BU256" s="67"/>
      <c r="BV256" s="67"/>
      <c r="BW256" s="67">
        <v>0</v>
      </c>
      <c r="BX256" s="67">
        <v>0</v>
      </c>
      <c r="BY256" s="67">
        <v>0</v>
      </c>
      <c r="BZ256" s="67">
        <v>0</v>
      </c>
      <c r="CA256" s="67"/>
      <c r="CB256" s="67">
        <v>0</v>
      </c>
      <c r="CC256" s="67"/>
      <c r="CD256" s="67"/>
      <c r="CE256" s="67">
        <v>0</v>
      </c>
      <c r="CF256" s="67">
        <v>0</v>
      </c>
      <c r="CG256" s="67"/>
      <c r="CH256" s="67"/>
      <c r="CI256" s="67"/>
      <c r="CJ256" s="67"/>
      <c r="CK256" s="67">
        <v>0</v>
      </c>
      <c r="CL256" s="67">
        <v>0</v>
      </c>
      <c r="CM256" s="67"/>
      <c r="CN256" s="67"/>
      <c r="CO256" s="67">
        <v>0</v>
      </c>
      <c r="CP256" s="67">
        <v>0</v>
      </c>
      <c r="CQ256" s="67"/>
      <c r="CR256" s="67"/>
      <c r="CS256" s="67"/>
      <c r="CT256" s="67"/>
      <c r="CU256" s="67">
        <v>0</v>
      </c>
      <c r="CV256" s="67"/>
      <c r="CW256" s="67"/>
      <c r="CX256" s="67"/>
      <c r="CY256" s="67">
        <v>0</v>
      </c>
      <c r="CZ256" s="67"/>
      <c r="DA256" s="67"/>
      <c r="DB256" s="67"/>
      <c r="DC256" s="67"/>
      <c r="DF256" s="67"/>
      <c r="DG256" s="67">
        <v>0</v>
      </c>
      <c r="DH256" s="67">
        <v>0</v>
      </c>
      <c r="DI256" s="67">
        <v>0</v>
      </c>
      <c r="DJ256" s="67"/>
      <c r="DK256" s="67">
        <v>0</v>
      </c>
      <c r="DL256" s="67">
        <v>0</v>
      </c>
      <c r="DM256" s="67">
        <v>0</v>
      </c>
      <c r="DN256" s="67"/>
      <c r="DO256" s="67"/>
      <c r="DP256" s="67"/>
      <c r="DQ256" s="67">
        <v>0</v>
      </c>
      <c r="DR256" s="67">
        <v>0</v>
      </c>
      <c r="DS256" s="67"/>
      <c r="DT256" s="67"/>
      <c r="DU256" s="67">
        <v>0</v>
      </c>
      <c r="DV256" s="67">
        <v>0</v>
      </c>
      <c r="DW256" s="67">
        <v>0</v>
      </c>
      <c r="DX256" s="67">
        <v>0</v>
      </c>
      <c r="DY256" s="67"/>
      <c r="DZ256" s="67">
        <v>0</v>
      </c>
      <c r="EA256" s="67"/>
      <c r="EB256" s="67">
        <v>0</v>
      </c>
      <c r="EC256" s="67"/>
      <c r="ED256" s="67">
        <v>0</v>
      </c>
      <c r="EE256" s="67"/>
      <c r="EF256" s="67">
        <v>0</v>
      </c>
      <c r="EG256" s="67"/>
      <c r="EH256" s="67"/>
      <c r="EI256" s="67"/>
      <c r="EJ256" s="67"/>
      <c r="EK256" s="67"/>
      <c r="EL256" s="67"/>
      <c r="EM256" s="67"/>
      <c r="EN256" s="67"/>
      <c r="EO256" s="67"/>
      <c r="EP256" s="67">
        <v>0</v>
      </c>
      <c r="EQ256" s="67">
        <v>0</v>
      </c>
      <c r="ER256" s="67">
        <v>0</v>
      </c>
      <c r="ES256" s="67"/>
      <c r="ET256">
        <v>0</v>
      </c>
      <c r="EX256" s="67"/>
      <c r="EY256" s="67"/>
      <c r="EZ256" s="67"/>
      <c r="FA256" s="67">
        <v>200</v>
      </c>
      <c r="FB256" s="67"/>
      <c r="FC256" s="67"/>
      <c r="FD256" s="67"/>
      <c r="FE256" s="67"/>
      <c r="FF256" s="67"/>
      <c r="FG256" s="67"/>
      <c r="FH256" s="67"/>
      <c r="FI256" s="67" t="s">
        <v>1600</v>
      </c>
    </row>
    <row r="257" spans="2:165" ht="24" x14ac:dyDescent="0.2">
      <c r="B257" s="67" t="s">
        <v>707</v>
      </c>
      <c r="C257" s="67" t="s">
        <v>707</v>
      </c>
      <c r="D257" s="67" t="s">
        <v>708</v>
      </c>
      <c r="E257" s="67" t="s">
        <v>13</v>
      </c>
      <c r="F257" s="67" t="s">
        <v>1241</v>
      </c>
      <c r="G257" s="67"/>
      <c r="H257" s="67"/>
      <c r="I257" s="67" t="s">
        <v>43</v>
      </c>
      <c r="J257" s="67" t="s">
        <v>74</v>
      </c>
      <c r="K257" s="67" t="s">
        <v>1246</v>
      </c>
      <c r="L257" s="67" t="s">
        <v>787</v>
      </c>
      <c r="M257" s="67" t="s">
        <v>752</v>
      </c>
      <c r="N257" s="67" t="s">
        <v>1598</v>
      </c>
      <c r="O257" s="67" t="s">
        <v>1599</v>
      </c>
      <c r="P257" s="67" t="s">
        <v>298</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v>0</v>
      </c>
      <c r="AK257" s="67">
        <v>0</v>
      </c>
      <c r="AL257" s="67">
        <v>0</v>
      </c>
      <c r="AM257" s="67">
        <v>0</v>
      </c>
      <c r="AN257" s="67">
        <v>0</v>
      </c>
      <c r="AO257" s="67">
        <v>0</v>
      </c>
      <c r="AP257" s="67">
        <v>0</v>
      </c>
      <c r="AQ257" s="67">
        <v>0</v>
      </c>
      <c r="AR257" s="67">
        <v>0</v>
      </c>
      <c r="AS257" s="67">
        <v>0</v>
      </c>
      <c r="AT257" s="67"/>
      <c r="AU257" s="67"/>
      <c r="AV257" s="67"/>
      <c r="AW257" s="67">
        <v>0</v>
      </c>
      <c r="AX257" s="67">
        <v>0</v>
      </c>
      <c r="AY257" s="67"/>
      <c r="AZ257" s="67"/>
      <c r="BA257" s="67"/>
      <c r="BB257" s="67"/>
      <c r="BC257" s="67"/>
      <c r="BD257" s="67"/>
      <c r="BE257" s="67"/>
      <c r="BG257" s="67"/>
      <c r="BH257" s="67"/>
      <c r="BI257" s="67"/>
      <c r="BJ257" s="67">
        <v>0</v>
      </c>
      <c r="BK257" s="67"/>
      <c r="BL257" s="67"/>
      <c r="BP257" s="67"/>
      <c r="BQ257" s="67">
        <v>0</v>
      </c>
      <c r="BR257" s="67"/>
      <c r="BS257" s="67"/>
      <c r="BT257" s="67">
        <v>0</v>
      </c>
      <c r="BU257" s="67"/>
      <c r="BV257" s="67"/>
      <c r="BW257" s="67">
        <v>0</v>
      </c>
      <c r="BX257" s="67">
        <v>0</v>
      </c>
      <c r="BY257" s="67">
        <v>0</v>
      </c>
      <c r="BZ257" s="67">
        <v>0</v>
      </c>
      <c r="CA257" s="67"/>
      <c r="CB257" s="67">
        <v>0</v>
      </c>
      <c r="CC257" s="67"/>
      <c r="CD257" s="67"/>
      <c r="CE257" s="67">
        <v>0</v>
      </c>
      <c r="CF257" s="67">
        <v>0</v>
      </c>
      <c r="CG257" s="67"/>
      <c r="CH257" s="67"/>
      <c r="CI257" s="67"/>
      <c r="CJ257" s="67"/>
      <c r="CK257" s="67">
        <v>0</v>
      </c>
      <c r="CL257" s="67">
        <v>0</v>
      </c>
      <c r="CM257" s="67"/>
      <c r="CN257" s="67"/>
      <c r="CO257" s="67">
        <v>0</v>
      </c>
      <c r="CP257" s="67">
        <v>0</v>
      </c>
      <c r="CQ257" s="67"/>
      <c r="CR257" s="67"/>
      <c r="CS257" s="67"/>
      <c r="CT257" s="67"/>
      <c r="CU257" s="67">
        <v>0</v>
      </c>
      <c r="CV257" s="67"/>
      <c r="CW257" s="67"/>
      <c r="CX257" s="67"/>
      <c r="CY257" s="67">
        <v>0</v>
      </c>
      <c r="CZ257" s="67"/>
      <c r="DA257" s="67"/>
      <c r="DB257" s="67"/>
      <c r="DC257" s="67"/>
      <c r="DF257" s="67"/>
      <c r="DG257" s="67">
        <v>0</v>
      </c>
      <c r="DH257" s="67">
        <v>0</v>
      </c>
      <c r="DI257" s="67">
        <v>0</v>
      </c>
      <c r="DJ257" s="67"/>
      <c r="DK257" s="67">
        <v>105</v>
      </c>
      <c r="DL257" s="67"/>
      <c r="DM257" s="67">
        <v>105</v>
      </c>
      <c r="DN257" s="67"/>
      <c r="DO257" s="67"/>
      <c r="DP257" s="67"/>
      <c r="DQ257" s="67">
        <v>0</v>
      </c>
      <c r="DR257" s="67">
        <v>0</v>
      </c>
      <c r="DS257" s="67"/>
      <c r="DT257" s="67"/>
      <c r="DU257" s="67">
        <v>0</v>
      </c>
      <c r="DV257" s="67">
        <v>0</v>
      </c>
      <c r="DW257" s="67">
        <v>0</v>
      </c>
      <c r="DX257" s="67">
        <v>0</v>
      </c>
      <c r="DY257" s="67"/>
      <c r="DZ257" s="67">
        <v>0</v>
      </c>
      <c r="EA257" s="67"/>
      <c r="EB257" s="67">
        <v>0</v>
      </c>
      <c r="EC257" s="67"/>
      <c r="ED257" s="67">
        <v>0</v>
      </c>
      <c r="EE257" s="67"/>
      <c r="EF257" s="67">
        <v>0</v>
      </c>
      <c r="EG257" s="67"/>
      <c r="EH257" s="67"/>
      <c r="EI257" s="67"/>
      <c r="EJ257" s="67"/>
      <c r="EK257" s="67"/>
      <c r="EL257" s="67"/>
      <c r="EM257" s="67"/>
      <c r="EN257" s="67"/>
      <c r="EO257" s="67"/>
      <c r="EP257" s="67">
        <v>0</v>
      </c>
      <c r="EQ257" s="67">
        <v>0</v>
      </c>
      <c r="ER257" s="67">
        <v>0</v>
      </c>
      <c r="ES257" s="67"/>
      <c r="ET257">
        <v>0</v>
      </c>
      <c r="EX257" s="67"/>
      <c r="EY257" s="67"/>
      <c r="EZ257" s="67"/>
      <c r="FA257" s="67">
        <v>105</v>
      </c>
      <c r="FB257" s="67"/>
      <c r="FC257" s="67"/>
      <c r="FD257" s="67"/>
      <c r="FE257" s="67"/>
      <c r="FF257" s="67"/>
      <c r="FG257" s="67"/>
      <c r="FH257" s="67"/>
      <c r="FI257" s="67" t="s">
        <v>1600</v>
      </c>
    </row>
    <row r="258" spans="2:165" ht="24" x14ac:dyDescent="0.2">
      <c r="B258" s="67" t="s">
        <v>305</v>
      </c>
      <c r="C258" s="67" t="s">
        <v>1733</v>
      </c>
      <c r="D258" s="67" t="s">
        <v>709</v>
      </c>
      <c r="E258" s="67" t="s">
        <v>13</v>
      </c>
      <c r="F258" s="67" t="s">
        <v>1241</v>
      </c>
      <c r="G258" s="67"/>
      <c r="H258" s="67"/>
      <c r="I258" s="67" t="s">
        <v>22</v>
      </c>
      <c r="J258" s="67" t="s">
        <v>74</v>
      </c>
      <c r="K258" s="67" t="s">
        <v>1651</v>
      </c>
      <c r="L258" s="67" t="s">
        <v>1242</v>
      </c>
      <c r="M258" s="67" t="s">
        <v>752</v>
      </c>
      <c r="N258" s="67" t="s">
        <v>1607</v>
      </c>
      <c r="O258" s="67" t="s">
        <v>1599</v>
      </c>
      <c r="P258" s="67"/>
      <c r="Q258" s="67">
        <v>0</v>
      </c>
      <c r="R258" s="67">
        <v>0</v>
      </c>
      <c r="S258" s="67">
        <v>0</v>
      </c>
      <c r="T258" s="67">
        <v>0</v>
      </c>
      <c r="U258" s="67">
        <v>0</v>
      </c>
      <c r="V258" s="67">
        <v>0</v>
      </c>
      <c r="W258" s="67">
        <v>0</v>
      </c>
      <c r="X258" s="67">
        <v>0</v>
      </c>
      <c r="Y258" s="67">
        <v>0</v>
      </c>
      <c r="Z258" s="67">
        <v>0</v>
      </c>
      <c r="AA258" s="67">
        <v>0</v>
      </c>
      <c r="AB258" s="67">
        <v>0</v>
      </c>
      <c r="AC258" s="67">
        <v>0</v>
      </c>
      <c r="AD258" s="67">
        <v>0</v>
      </c>
      <c r="AE258" s="67">
        <v>0</v>
      </c>
      <c r="AF258" s="67">
        <v>0</v>
      </c>
      <c r="AG258" s="67">
        <v>0</v>
      </c>
      <c r="AH258" s="67">
        <v>0</v>
      </c>
      <c r="AI258" s="67">
        <v>0</v>
      </c>
      <c r="AJ258" s="67">
        <v>0</v>
      </c>
      <c r="AK258" s="67">
        <v>0</v>
      </c>
      <c r="AL258" s="67">
        <v>0</v>
      </c>
      <c r="AM258" s="67">
        <v>0</v>
      </c>
      <c r="AN258" s="67">
        <v>0</v>
      </c>
      <c r="AO258" s="67">
        <v>0</v>
      </c>
      <c r="AP258" s="67">
        <v>0</v>
      </c>
      <c r="AQ258" s="67">
        <v>0</v>
      </c>
      <c r="AR258" s="67">
        <v>0</v>
      </c>
      <c r="AS258" s="67">
        <v>0</v>
      </c>
      <c r="AT258" s="67"/>
      <c r="AU258" s="67"/>
      <c r="AV258" s="67"/>
      <c r="AW258" s="67">
        <v>0</v>
      </c>
      <c r="AX258" s="67">
        <v>0</v>
      </c>
      <c r="AY258" s="67"/>
      <c r="AZ258" s="67"/>
      <c r="BA258" s="67"/>
      <c r="BB258" s="67"/>
      <c r="BC258" s="67"/>
      <c r="BD258" s="67"/>
      <c r="BE258" s="67"/>
      <c r="BG258" s="67"/>
      <c r="BH258" s="67"/>
      <c r="BI258" s="67"/>
      <c r="BJ258" s="67">
        <v>0</v>
      </c>
      <c r="BK258" s="67"/>
      <c r="BL258" s="67"/>
      <c r="BP258" s="67"/>
      <c r="BQ258" s="67">
        <v>0</v>
      </c>
      <c r="BR258" s="67"/>
      <c r="BS258" s="67"/>
      <c r="BT258" s="67">
        <v>0</v>
      </c>
      <c r="BU258" s="67"/>
      <c r="BV258" s="67"/>
      <c r="BW258" s="67">
        <v>0</v>
      </c>
      <c r="BX258" s="67">
        <v>0</v>
      </c>
      <c r="BY258" s="67">
        <v>0</v>
      </c>
      <c r="BZ258" s="67">
        <v>0</v>
      </c>
      <c r="CA258" s="67"/>
      <c r="CB258" s="67">
        <v>0</v>
      </c>
      <c r="CC258" s="67"/>
      <c r="CD258" s="67"/>
      <c r="CE258" s="67">
        <v>0</v>
      </c>
      <c r="CF258" s="67">
        <v>0</v>
      </c>
      <c r="CG258" s="67"/>
      <c r="CH258" s="67"/>
      <c r="CI258" s="67"/>
      <c r="CJ258" s="67"/>
      <c r="CK258" s="67">
        <v>0</v>
      </c>
      <c r="CL258" s="67">
        <v>0</v>
      </c>
      <c r="CM258" s="67"/>
      <c r="CN258" s="67"/>
      <c r="CO258" s="67">
        <v>0</v>
      </c>
      <c r="CP258" s="67">
        <v>0</v>
      </c>
      <c r="CQ258" s="67"/>
      <c r="CR258" s="67"/>
      <c r="CS258" s="67"/>
      <c r="CT258" s="67"/>
      <c r="CU258" s="67">
        <v>0</v>
      </c>
      <c r="CV258" s="67"/>
      <c r="CW258" s="67"/>
      <c r="CX258" s="67"/>
      <c r="CY258" s="67">
        <v>0</v>
      </c>
      <c r="CZ258" s="67"/>
      <c r="DA258" s="67"/>
      <c r="DB258" s="67"/>
      <c r="DC258" s="67"/>
      <c r="DF258" s="67"/>
      <c r="DG258" s="67">
        <v>0</v>
      </c>
      <c r="DH258" s="67">
        <v>0</v>
      </c>
      <c r="DI258" s="67">
        <v>0</v>
      </c>
      <c r="DJ258" s="67"/>
      <c r="DK258" s="67">
        <v>0</v>
      </c>
      <c r="DL258" s="67">
        <v>0</v>
      </c>
      <c r="DM258" s="67">
        <v>0</v>
      </c>
      <c r="DN258" s="67"/>
      <c r="DO258" s="67"/>
      <c r="DP258" s="67"/>
      <c r="DQ258" s="67">
        <v>0</v>
      </c>
      <c r="DR258" s="67">
        <v>0</v>
      </c>
      <c r="DS258" s="67"/>
      <c r="DT258" s="67"/>
      <c r="DU258" s="67">
        <v>0</v>
      </c>
      <c r="DV258" s="67">
        <v>0</v>
      </c>
      <c r="DW258" s="67">
        <v>0</v>
      </c>
      <c r="DX258" s="67">
        <v>0</v>
      </c>
      <c r="DY258" s="67"/>
      <c r="DZ258" s="67">
        <v>0</v>
      </c>
      <c r="EA258" s="67"/>
      <c r="EB258" s="67">
        <v>0</v>
      </c>
      <c r="EC258" s="67"/>
      <c r="ED258" s="67">
        <v>0</v>
      </c>
      <c r="EE258" s="67"/>
      <c r="EF258" s="67">
        <v>0</v>
      </c>
      <c r="EG258" s="67"/>
      <c r="EH258" s="67"/>
      <c r="EI258" s="67"/>
      <c r="EJ258" s="67"/>
      <c r="EK258" s="67"/>
      <c r="EL258" s="67"/>
      <c r="EM258" s="67"/>
      <c r="EN258" s="67"/>
      <c r="EO258" s="67"/>
      <c r="EP258" s="67">
        <v>0</v>
      </c>
      <c r="EQ258" s="67">
        <v>0</v>
      </c>
      <c r="ER258" s="67">
        <v>0</v>
      </c>
      <c r="ES258" s="67"/>
      <c r="ET258">
        <v>0</v>
      </c>
      <c r="EX258" s="67"/>
      <c r="EY258" s="67"/>
      <c r="EZ258" s="67"/>
      <c r="FA258" s="67">
        <v>0</v>
      </c>
      <c r="FB258" s="67"/>
      <c r="FC258" s="67"/>
      <c r="FD258" s="67"/>
      <c r="FE258" s="67"/>
      <c r="FF258" s="67"/>
      <c r="FG258" s="67"/>
      <c r="FH258" s="67"/>
      <c r="FI258" s="67" t="s">
        <v>1600</v>
      </c>
    </row>
    <row r="259" spans="2:165" ht="24" x14ac:dyDescent="0.2">
      <c r="B259" s="67" t="s">
        <v>710</v>
      </c>
      <c r="C259" s="67" t="s">
        <v>710</v>
      </c>
      <c r="D259" s="67" t="s">
        <v>711</v>
      </c>
      <c r="E259" s="67" t="s">
        <v>13</v>
      </c>
      <c r="F259" s="67" t="s">
        <v>750</v>
      </c>
      <c r="G259" s="67"/>
      <c r="H259" s="67"/>
      <c r="I259" s="67" t="s">
        <v>41</v>
      </c>
      <c r="J259" s="67" t="s">
        <v>64</v>
      </c>
      <c r="K259" s="67" t="s">
        <v>1679</v>
      </c>
      <c r="L259" s="67" t="s">
        <v>767</v>
      </c>
      <c r="M259" s="67" t="s">
        <v>752</v>
      </c>
      <c r="N259" s="67" t="s">
        <v>1598</v>
      </c>
      <c r="O259" s="67" t="s">
        <v>1606</v>
      </c>
      <c r="P259" s="67"/>
      <c r="Q259" s="67">
        <v>0</v>
      </c>
      <c r="R259" s="67">
        <v>0</v>
      </c>
      <c r="S259" s="67">
        <v>0</v>
      </c>
      <c r="T259" s="67">
        <v>0</v>
      </c>
      <c r="U259" s="67">
        <v>0</v>
      </c>
      <c r="V259" s="67">
        <v>0</v>
      </c>
      <c r="W259" s="67">
        <v>0</v>
      </c>
      <c r="X259" s="67">
        <v>0</v>
      </c>
      <c r="Y259" s="67">
        <v>0</v>
      </c>
      <c r="Z259" s="67">
        <v>0</v>
      </c>
      <c r="AA259" s="67">
        <v>0</v>
      </c>
      <c r="AB259" s="67">
        <v>0</v>
      </c>
      <c r="AC259" s="67">
        <v>0</v>
      </c>
      <c r="AD259" s="67">
        <v>0</v>
      </c>
      <c r="AE259" s="67">
        <v>0</v>
      </c>
      <c r="AF259" s="67">
        <v>0</v>
      </c>
      <c r="AG259" s="67">
        <v>0</v>
      </c>
      <c r="AH259" s="67">
        <v>0</v>
      </c>
      <c r="AI259" s="67">
        <v>0</v>
      </c>
      <c r="AJ259" s="67">
        <v>0</v>
      </c>
      <c r="AK259" s="67">
        <v>0</v>
      </c>
      <c r="AL259" s="67">
        <v>0</v>
      </c>
      <c r="AM259" s="67">
        <v>0</v>
      </c>
      <c r="AN259" s="67">
        <v>0</v>
      </c>
      <c r="AO259" s="67">
        <v>0</v>
      </c>
      <c r="AP259" s="67">
        <v>0</v>
      </c>
      <c r="AQ259" s="67">
        <v>0</v>
      </c>
      <c r="AR259" s="67">
        <v>0</v>
      </c>
      <c r="AS259" s="67">
        <v>0</v>
      </c>
      <c r="AT259" s="67"/>
      <c r="AU259" s="67"/>
      <c r="AV259" s="67"/>
      <c r="AW259" s="67">
        <v>0</v>
      </c>
      <c r="AX259" s="67">
        <v>0</v>
      </c>
      <c r="AY259" s="67"/>
      <c r="AZ259" s="67"/>
      <c r="BA259" s="67"/>
      <c r="BB259" s="67"/>
      <c r="BC259" s="67"/>
      <c r="BD259" s="67"/>
      <c r="BE259" s="67"/>
      <c r="BG259" s="67"/>
      <c r="BH259" s="67"/>
      <c r="BI259" s="67"/>
      <c r="BJ259" s="67">
        <v>0</v>
      </c>
      <c r="BK259" s="67"/>
      <c r="BL259" s="67"/>
      <c r="BP259" s="67"/>
      <c r="BQ259" s="67">
        <v>0</v>
      </c>
      <c r="BR259" s="67"/>
      <c r="BS259" s="67"/>
      <c r="BT259" s="67">
        <v>0</v>
      </c>
      <c r="BU259" s="67"/>
      <c r="BV259" s="67"/>
      <c r="BW259" s="67">
        <v>0</v>
      </c>
      <c r="BX259" s="67">
        <v>0</v>
      </c>
      <c r="BY259" s="67">
        <v>0</v>
      </c>
      <c r="BZ259" s="67">
        <v>0</v>
      </c>
      <c r="CA259" s="67"/>
      <c r="CB259" s="67">
        <v>0</v>
      </c>
      <c r="CC259" s="67"/>
      <c r="CD259" s="67"/>
      <c r="CE259" s="67">
        <v>0</v>
      </c>
      <c r="CF259" s="67">
        <v>0</v>
      </c>
      <c r="CG259" s="67"/>
      <c r="CH259" s="67"/>
      <c r="CI259" s="67"/>
      <c r="CJ259" s="67"/>
      <c r="CK259" s="67">
        <v>0</v>
      </c>
      <c r="CL259" s="67">
        <v>0</v>
      </c>
      <c r="CM259" s="67"/>
      <c r="CN259" s="67"/>
      <c r="CO259" s="67">
        <v>0</v>
      </c>
      <c r="CP259" s="67">
        <v>0</v>
      </c>
      <c r="CQ259" s="67"/>
      <c r="CR259" s="67"/>
      <c r="CS259" s="67"/>
      <c r="CT259" s="67"/>
      <c r="CU259" s="67">
        <v>0</v>
      </c>
      <c r="CV259" s="67"/>
      <c r="CW259" s="67"/>
      <c r="CX259" s="67"/>
      <c r="CY259" s="67">
        <v>0</v>
      </c>
      <c r="CZ259" s="67"/>
      <c r="DA259" s="67"/>
      <c r="DB259" s="67"/>
      <c r="DC259" s="67"/>
      <c r="DF259" s="67"/>
      <c r="DG259" s="67">
        <v>30</v>
      </c>
      <c r="DH259" s="67">
        <v>30</v>
      </c>
      <c r="DI259" s="67">
        <v>0</v>
      </c>
      <c r="DJ259" s="67"/>
      <c r="DK259" s="67">
        <v>0</v>
      </c>
      <c r="DL259" s="67">
        <v>0</v>
      </c>
      <c r="DM259" s="67">
        <v>0</v>
      </c>
      <c r="DN259" s="67"/>
      <c r="DO259" s="67"/>
      <c r="DP259" s="67"/>
      <c r="DQ259" s="67">
        <v>0</v>
      </c>
      <c r="DR259" s="67">
        <v>0</v>
      </c>
      <c r="DS259" s="67"/>
      <c r="DT259" s="67"/>
      <c r="DU259" s="67">
        <v>0</v>
      </c>
      <c r="DV259" s="67">
        <v>0</v>
      </c>
      <c r="DW259" s="67">
        <v>0</v>
      </c>
      <c r="DX259" s="67">
        <v>0</v>
      </c>
      <c r="DY259" s="67"/>
      <c r="DZ259" s="67">
        <v>0</v>
      </c>
      <c r="EA259" s="67"/>
      <c r="EB259" s="67">
        <v>0</v>
      </c>
      <c r="EC259" s="67"/>
      <c r="ED259" s="67">
        <v>0</v>
      </c>
      <c r="EE259" s="67"/>
      <c r="EF259" s="67">
        <v>0</v>
      </c>
      <c r="EG259" s="67"/>
      <c r="EH259" s="67"/>
      <c r="EI259" s="67"/>
      <c r="EJ259" s="67"/>
      <c r="EK259" s="67"/>
      <c r="EL259" s="67"/>
      <c r="EM259" s="67"/>
      <c r="EN259" s="67"/>
      <c r="EO259" s="67"/>
      <c r="EP259" s="67">
        <v>0</v>
      </c>
      <c r="EQ259" s="67">
        <v>0</v>
      </c>
      <c r="ER259" s="67">
        <v>0</v>
      </c>
      <c r="ES259" s="67"/>
      <c r="ET259">
        <v>0</v>
      </c>
      <c r="EX259" s="67"/>
      <c r="EY259" s="67"/>
      <c r="EZ259" s="67"/>
      <c r="FA259" s="67">
        <v>30</v>
      </c>
      <c r="FB259" s="67"/>
      <c r="FC259" s="67"/>
      <c r="FD259" s="67"/>
      <c r="FE259" s="67"/>
      <c r="FF259" s="67"/>
      <c r="FG259" s="67"/>
      <c r="FH259" s="67"/>
      <c r="FI259" s="67" t="s">
        <v>1600</v>
      </c>
    </row>
    <row r="260" spans="2:165" ht="24" x14ac:dyDescent="0.2">
      <c r="B260" s="67" t="s">
        <v>712</v>
      </c>
      <c r="C260" s="67" t="s">
        <v>712</v>
      </c>
      <c r="D260" s="67" t="s">
        <v>713</v>
      </c>
      <c r="E260" s="67" t="s">
        <v>889</v>
      </c>
      <c r="F260" s="67" t="s">
        <v>1618</v>
      </c>
      <c r="G260" s="67"/>
      <c r="H260" s="67"/>
      <c r="I260" s="67" t="s">
        <v>41</v>
      </c>
      <c r="J260" s="67" t="s">
        <v>64</v>
      </c>
      <c r="K260" s="67" t="s">
        <v>839</v>
      </c>
      <c r="L260" s="67" t="s">
        <v>767</v>
      </c>
      <c r="M260" s="67" t="s">
        <v>752</v>
      </c>
      <c r="N260" s="67" t="s">
        <v>1598</v>
      </c>
      <c r="O260" s="67" t="s">
        <v>1610</v>
      </c>
      <c r="P260" s="67"/>
      <c r="Q260" s="67">
        <v>0</v>
      </c>
      <c r="R260" s="67">
        <v>0</v>
      </c>
      <c r="S260" s="67">
        <v>0</v>
      </c>
      <c r="T260" s="67">
        <v>0</v>
      </c>
      <c r="U260" s="67">
        <v>0</v>
      </c>
      <c r="V260" s="67">
        <v>0</v>
      </c>
      <c r="W260" s="67">
        <v>0</v>
      </c>
      <c r="X260" s="67">
        <v>0</v>
      </c>
      <c r="Y260" s="67">
        <v>0</v>
      </c>
      <c r="Z260" s="67">
        <v>0</v>
      </c>
      <c r="AA260" s="67">
        <v>0</v>
      </c>
      <c r="AB260" s="67">
        <v>0</v>
      </c>
      <c r="AC260" s="67">
        <v>0</v>
      </c>
      <c r="AD260" s="67">
        <v>0</v>
      </c>
      <c r="AE260" s="67">
        <v>0</v>
      </c>
      <c r="AF260" s="67">
        <v>0</v>
      </c>
      <c r="AG260" s="67">
        <v>0</v>
      </c>
      <c r="AH260" s="67">
        <v>0</v>
      </c>
      <c r="AI260" s="67">
        <v>0</v>
      </c>
      <c r="AJ260" s="67">
        <v>0</v>
      </c>
      <c r="AK260" s="67">
        <v>0</v>
      </c>
      <c r="AL260" s="67">
        <v>0</v>
      </c>
      <c r="AM260" s="67">
        <v>0</v>
      </c>
      <c r="AN260" s="67">
        <v>0</v>
      </c>
      <c r="AO260" s="67">
        <v>0</v>
      </c>
      <c r="AP260" s="67">
        <v>0</v>
      </c>
      <c r="AQ260" s="67">
        <v>0</v>
      </c>
      <c r="AR260" s="67">
        <v>0</v>
      </c>
      <c r="AS260" s="67">
        <v>0</v>
      </c>
      <c r="AT260" s="67"/>
      <c r="AU260" s="67"/>
      <c r="AV260" s="67"/>
      <c r="AW260" s="67">
        <v>0</v>
      </c>
      <c r="AX260" s="67">
        <v>0</v>
      </c>
      <c r="AY260" s="67"/>
      <c r="AZ260" s="67"/>
      <c r="BA260" s="67"/>
      <c r="BB260" s="67"/>
      <c r="BC260" s="67"/>
      <c r="BD260" s="67"/>
      <c r="BE260" s="67"/>
      <c r="BG260" s="67"/>
      <c r="BH260" s="67"/>
      <c r="BI260" s="67"/>
      <c r="BJ260" s="67">
        <v>0</v>
      </c>
      <c r="BK260" s="67"/>
      <c r="BL260" s="67"/>
      <c r="BP260" s="67"/>
      <c r="BQ260" s="67">
        <v>0</v>
      </c>
      <c r="BR260" s="67"/>
      <c r="BS260" s="67"/>
      <c r="BT260" s="67">
        <v>0</v>
      </c>
      <c r="BU260" s="67"/>
      <c r="BV260" s="67"/>
      <c r="BW260" s="67">
        <v>0</v>
      </c>
      <c r="BX260" s="67">
        <v>0</v>
      </c>
      <c r="BY260" s="67">
        <v>0</v>
      </c>
      <c r="BZ260" s="67">
        <v>0</v>
      </c>
      <c r="CA260" s="67"/>
      <c r="CB260" s="67">
        <v>0</v>
      </c>
      <c r="CC260" s="67"/>
      <c r="CD260" s="67"/>
      <c r="CE260" s="67">
        <v>0</v>
      </c>
      <c r="CF260" s="67">
        <v>0</v>
      </c>
      <c r="CG260" s="67"/>
      <c r="CH260" s="67"/>
      <c r="CI260" s="67"/>
      <c r="CJ260" s="67"/>
      <c r="CK260" s="67">
        <v>0</v>
      </c>
      <c r="CL260" s="67">
        <v>0</v>
      </c>
      <c r="CM260" s="67"/>
      <c r="CN260" s="67"/>
      <c r="CO260" s="67">
        <v>0</v>
      </c>
      <c r="CP260" s="67">
        <v>0</v>
      </c>
      <c r="CQ260" s="67"/>
      <c r="CR260" s="67"/>
      <c r="CS260" s="67"/>
      <c r="CT260" s="67"/>
      <c r="CU260" s="67">
        <v>0</v>
      </c>
      <c r="CV260" s="67"/>
      <c r="CW260" s="67"/>
      <c r="CX260" s="67"/>
      <c r="CY260" s="67">
        <v>0</v>
      </c>
      <c r="CZ260" s="67"/>
      <c r="DA260" s="67"/>
      <c r="DB260" s="67"/>
      <c r="DC260" s="67"/>
      <c r="DF260" s="67"/>
      <c r="DG260" s="67">
        <v>100</v>
      </c>
      <c r="DH260" s="67">
        <v>100</v>
      </c>
      <c r="DI260" s="67">
        <v>0</v>
      </c>
      <c r="DJ260" s="67"/>
      <c r="DK260" s="67">
        <v>0</v>
      </c>
      <c r="DL260" s="67">
        <v>0</v>
      </c>
      <c r="DM260" s="67">
        <v>0</v>
      </c>
      <c r="DN260" s="67"/>
      <c r="DO260" s="67"/>
      <c r="DP260" s="67"/>
      <c r="DQ260" s="67">
        <v>0</v>
      </c>
      <c r="DR260" s="67">
        <v>0</v>
      </c>
      <c r="DS260" s="67"/>
      <c r="DT260" s="67"/>
      <c r="DU260" s="67">
        <v>0</v>
      </c>
      <c r="DV260" s="67">
        <v>0</v>
      </c>
      <c r="DW260" s="67">
        <v>0</v>
      </c>
      <c r="DX260" s="67">
        <v>0</v>
      </c>
      <c r="DY260" s="67"/>
      <c r="DZ260" s="67">
        <v>0</v>
      </c>
      <c r="EA260" s="67"/>
      <c r="EB260" s="67">
        <v>0</v>
      </c>
      <c r="EC260" s="67"/>
      <c r="ED260" s="67">
        <v>0</v>
      </c>
      <c r="EE260" s="67"/>
      <c r="EF260" s="67">
        <v>0</v>
      </c>
      <c r="EG260" s="67"/>
      <c r="EH260" s="67"/>
      <c r="EI260" s="67"/>
      <c r="EJ260" s="67"/>
      <c r="EK260" s="67"/>
      <c r="EL260" s="67"/>
      <c r="EM260" s="67"/>
      <c r="EN260" s="67"/>
      <c r="EO260" s="67"/>
      <c r="EP260" s="67">
        <v>0</v>
      </c>
      <c r="EQ260" s="67">
        <v>0</v>
      </c>
      <c r="ER260" s="67">
        <v>0</v>
      </c>
      <c r="ES260" s="67"/>
      <c r="ET260">
        <v>0</v>
      </c>
      <c r="EX260" s="67"/>
      <c r="EY260" s="67"/>
      <c r="EZ260" s="67"/>
      <c r="FA260" s="67">
        <v>100</v>
      </c>
      <c r="FB260" s="67"/>
      <c r="FC260" s="67"/>
      <c r="FD260" s="67"/>
      <c r="FE260" s="67"/>
      <c r="FF260" s="67"/>
      <c r="FG260" s="67"/>
      <c r="FH260" s="67"/>
      <c r="FI260" s="67" t="s">
        <v>1600</v>
      </c>
    </row>
    <row r="261" spans="2:165" ht="24" x14ac:dyDescent="0.2">
      <c r="B261" s="67" t="s">
        <v>714</v>
      </c>
      <c r="C261" s="67" t="s">
        <v>714</v>
      </c>
      <c r="D261" s="67" t="s">
        <v>715</v>
      </c>
      <c r="E261" s="67" t="s">
        <v>889</v>
      </c>
      <c r="F261" s="67" t="s">
        <v>1618</v>
      </c>
      <c r="G261" s="67"/>
      <c r="H261" s="67"/>
      <c r="I261" s="67" t="s">
        <v>43</v>
      </c>
      <c r="J261" s="67" t="s">
        <v>64</v>
      </c>
      <c r="K261" s="67" t="s">
        <v>839</v>
      </c>
      <c r="L261" s="67" t="s">
        <v>767</v>
      </c>
      <c r="M261" s="67" t="s">
        <v>752</v>
      </c>
      <c r="N261" s="67" t="s">
        <v>1601</v>
      </c>
      <c r="O261" s="67" t="s">
        <v>1608</v>
      </c>
      <c r="P261" s="67"/>
      <c r="Q261" s="67">
        <v>100</v>
      </c>
      <c r="R261" s="67">
        <v>0</v>
      </c>
      <c r="S261" s="67">
        <v>0</v>
      </c>
      <c r="T261" s="67">
        <v>0</v>
      </c>
      <c r="U261" s="67">
        <v>0</v>
      </c>
      <c r="V261" s="67">
        <v>0</v>
      </c>
      <c r="W261" s="67">
        <v>0</v>
      </c>
      <c r="X261" s="67">
        <v>0</v>
      </c>
      <c r="Y261" s="67">
        <v>0</v>
      </c>
      <c r="Z261" s="67">
        <v>0</v>
      </c>
      <c r="AA261" s="67">
        <v>0</v>
      </c>
      <c r="AB261" s="67">
        <v>0</v>
      </c>
      <c r="AC261" s="67">
        <v>0</v>
      </c>
      <c r="AD261" s="67">
        <v>0</v>
      </c>
      <c r="AE261" s="67">
        <v>0</v>
      </c>
      <c r="AF261" s="67">
        <v>0</v>
      </c>
      <c r="AG261" s="67">
        <v>0</v>
      </c>
      <c r="AH261" s="67">
        <v>0</v>
      </c>
      <c r="AI261" s="67">
        <v>0</v>
      </c>
      <c r="AJ261" s="67">
        <v>0</v>
      </c>
      <c r="AK261" s="67">
        <v>0</v>
      </c>
      <c r="AL261" s="67">
        <v>100</v>
      </c>
      <c r="AM261" s="67">
        <v>0</v>
      </c>
      <c r="AN261" s="67">
        <v>0</v>
      </c>
      <c r="AO261" s="67">
        <v>0</v>
      </c>
      <c r="AP261" s="67">
        <v>0</v>
      </c>
      <c r="AQ261" s="67">
        <v>0</v>
      </c>
      <c r="AR261" s="67">
        <v>0</v>
      </c>
      <c r="AS261" s="67">
        <v>0</v>
      </c>
      <c r="AT261" s="67"/>
      <c r="AU261" s="67"/>
      <c r="AV261" s="67"/>
      <c r="AW261" s="67">
        <v>0</v>
      </c>
      <c r="AX261" s="67">
        <v>0</v>
      </c>
      <c r="AY261" s="67"/>
      <c r="AZ261" s="67"/>
      <c r="BA261" s="67"/>
      <c r="BB261" s="67"/>
      <c r="BC261" s="67"/>
      <c r="BD261" s="67"/>
      <c r="BE261" s="67"/>
      <c r="BG261" s="67"/>
      <c r="BH261" s="67"/>
      <c r="BI261" s="67"/>
      <c r="BJ261" s="67">
        <v>0</v>
      </c>
      <c r="BK261" s="67"/>
      <c r="BL261" s="67"/>
      <c r="BP261" s="67"/>
      <c r="BQ261" s="67">
        <v>0</v>
      </c>
      <c r="BR261" s="67"/>
      <c r="BS261" s="67"/>
      <c r="BT261" s="67">
        <v>0</v>
      </c>
      <c r="BU261" s="67"/>
      <c r="BV261" s="67"/>
      <c r="BW261" s="67">
        <v>0</v>
      </c>
      <c r="BX261" s="67">
        <v>0</v>
      </c>
      <c r="BY261" s="67">
        <v>0</v>
      </c>
      <c r="BZ261" s="67">
        <v>0</v>
      </c>
      <c r="CA261" s="67"/>
      <c r="CB261" s="67">
        <v>0</v>
      </c>
      <c r="CC261" s="67"/>
      <c r="CD261" s="67"/>
      <c r="CE261" s="67">
        <v>0</v>
      </c>
      <c r="CF261" s="67">
        <v>0</v>
      </c>
      <c r="CG261" s="67"/>
      <c r="CH261" s="67"/>
      <c r="CI261" s="67"/>
      <c r="CJ261" s="67"/>
      <c r="CK261" s="67">
        <v>0</v>
      </c>
      <c r="CL261" s="67">
        <v>0</v>
      </c>
      <c r="CM261" s="67"/>
      <c r="CN261" s="67"/>
      <c r="CO261" s="67">
        <v>0</v>
      </c>
      <c r="CP261" s="67">
        <v>0</v>
      </c>
      <c r="CQ261" s="67"/>
      <c r="CR261" s="67"/>
      <c r="CS261" s="67"/>
      <c r="CT261" s="67"/>
      <c r="CU261" s="67">
        <v>0</v>
      </c>
      <c r="CV261" s="67"/>
      <c r="CW261" s="67"/>
      <c r="CX261" s="67"/>
      <c r="CY261" s="67">
        <v>0</v>
      </c>
      <c r="CZ261" s="67"/>
      <c r="DA261" s="67"/>
      <c r="DB261" s="67"/>
      <c r="DC261" s="67"/>
      <c r="DF261" s="67"/>
      <c r="DG261" s="67">
        <v>50</v>
      </c>
      <c r="DH261" s="67">
        <v>50</v>
      </c>
      <c r="DI261" s="67">
        <v>0</v>
      </c>
      <c r="DJ261" s="67"/>
      <c r="DK261" s="67">
        <v>0</v>
      </c>
      <c r="DL261" s="67">
        <v>0</v>
      </c>
      <c r="DM261" s="67">
        <v>0</v>
      </c>
      <c r="DN261" s="67"/>
      <c r="DO261" s="67"/>
      <c r="DP261" s="67"/>
      <c r="DQ261" s="67">
        <v>0</v>
      </c>
      <c r="DR261" s="67">
        <v>0</v>
      </c>
      <c r="DS261" s="67"/>
      <c r="DT261" s="67"/>
      <c r="DU261" s="67">
        <v>0</v>
      </c>
      <c r="DV261" s="67">
        <v>0</v>
      </c>
      <c r="DW261" s="67">
        <v>0</v>
      </c>
      <c r="DX261" s="67">
        <v>0</v>
      </c>
      <c r="DY261" s="67"/>
      <c r="DZ261" s="67">
        <v>0</v>
      </c>
      <c r="EA261" s="67"/>
      <c r="EB261" s="67">
        <v>0</v>
      </c>
      <c r="EC261" s="67"/>
      <c r="ED261" s="67">
        <v>0</v>
      </c>
      <c r="EE261" s="67"/>
      <c r="EF261" s="67">
        <v>0</v>
      </c>
      <c r="EG261" s="67"/>
      <c r="EH261" s="67"/>
      <c r="EI261" s="67"/>
      <c r="EJ261" s="67"/>
      <c r="EK261" s="67"/>
      <c r="EL261" s="67"/>
      <c r="EM261" s="67"/>
      <c r="EN261" s="67"/>
      <c r="EO261" s="67"/>
      <c r="EP261" s="67">
        <v>0</v>
      </c>
      <c r="EQ261" s="67">
        <v>0</v>
      </c>
      <c r="ER261" s="67">
        <v>0</v>
      </c>
      <c r="ES261" s="67"/>
      <c r="ET261">
        <v>0</v>
      </c>
      <c r="EX261" s="67"/>
      <c r="EY261" s="67"/>
      <c r="EZ261" s="67"/>
      <c r="FA261" s="67">
        <v>150</v>
      </c>
      <c r="FB261" s="67"/>
      <c r="FC261" s="67"/>
      <c r="FD261" s="67"/>
      <c r="FE261" s="67"/>
      <c r="FF261" s="67"/>
      <c r="FG261" s="67"/>
      <c r="FH261" s="67"/>
      <c r="FI261" s="67" t="s">
        <v>1600</v>
      </c>
    </row>
    <row r="262" spans="2:165" x14ac:dyDescent="0.2">
      <c r="B262" s="67" t="s">
        <v>730</v>
      </c>
      <c r="C262" s="67"/>
      <c r="D262" s="67" t="s">
        <v>731</v>
      </c>
      <c r="E262" s="67" t="s">
        <v>732</v>
      </c>
      <c r="F262" s="67"/>
      <c r="G262" s="67" t="s">
        <v>694</v>
      </c>
      <c r="H262" s="67"/>
      <c r="I262" s="67"/>
      <c r="J262" s="67"/>
      <c r="K262" s="67" t="s">
        <v>733</v>
      </c>
      <c r="L262" s="67"/>
      <c r="M262" s="67"/>
      <c r="N262" s="67">
        <v>44197</v>
      </c>
      <c r="O262" s="67" t="s">
        <v>1605</v>
      </c>
      <c r="P262" s="67" t="s">
        <v>734</v>
      </c>
      <c r="Q262" s="67">
        <v>0</v>
      </c>
      <c r="R262" s="67">
        <v>0</v>
      </c>
      <c r="S262" s="67">
        <v>0</v>
      </c>
      <c r="T262" s="67">
        <v>0</v>
      </c>
      <c r="U262" s="67">
        <v>0</v>
      </c>
      <c r="V262" s="67">
        <v>0</v>
      </c>
      <c r="W262" s="67">
        <v>0</v>
      </c>
      <c r="X262" s="67">
        <v>0</v>
      </c>
      <c r="Y262" s="67">
        <v>0</v>
      </c>
      <c r="Z262" s="67">
        <v>0</v>
      </c>
      <c r="AA262" s="67">
        <v>0</v>
      </c>
      <c r="AB262" s="67">
        <v>0</v>
      </c>
      <c r="AC262" s="67">
        <v>0</v>
      </c>
      <c r="AD262" s="67">
        <v>0</v>
      </c>
      <c r="AE262" s="67">
        <v>0</v>
      </c>
      <c r="AF262" s="67">
        <v>0</v>
      </c>
      <c r="AG262" s="67">
        <v>0</v>
      </c>
      <c r="AH262" s="67">
        <v>0</v>
      </c>
      <c r="AI262" s="67">
        <v>0</v>
      </c>
      <c r="AJ262" s="67">
        <v>0</v>
      </c>
      <c r="AK262" s="67">
        <v>0</v>
      </c>
      <c r="AL262" s="67">
        <v>0</v>
      </c>
      <c r="AM262" s="67">
        <v>0</v>
      </c>
      <c r="AN262" s="67">
        <v>0</v>
      </c>
      <c r="AO262" s="67">
        <v>0</v>
      </c>
      <c r="AP262" s="67">
        <v>0</v>
      </c>
      <c r="AQ262" s="67">
        <v>0</v>
      </c>
      <c r="AR262" s="67">
        <v>0</v>
      </c>
      <c r="AS262" s="67">
        <v>0</v>
      </c>
      <c r="AT262" s="67"/>
      <c r="AU262" s="67"/>
      <c r="AV262" s="67"/>
      <c r="AW262" s="67">
        <v>0</v>
      </c>
      <c r="AX262" s="67">
        <v>0</v>
      </c>
      <c r="AY262" s="67"/>
      <c r="AZ262" s="67"/>
      <c r="BA262" s="67"/>
      <c r="BB262" s="67"/>
      <c r="BC262" s="67"/>
      <c r="BD262" s="67"/>
      <c r="BE262" s="67"/>
      <c r="BG262" s="67"/>
      <c r="BH262" s="67"/>
      <c r="BI262" s="67"/>
      <c r="BJ262" s="67">
        <v>0</v>
      </c>
      <c r="BK262" s="67"/>
      <c r="BL262" s="67"/>
      <c r="BP262" s="67"/>
      <c r="BQ262" s="67">
        <v>0</v>
      </c>
      <c r="BR262" s="67"/>
      <c r="BS262" s="67"/>
      <c r="BT262" s="67">
        <v>0</v>
      </c>
      <c r="BU262" s="67">
        <v>0</v>
      </c>
      <c r="BV262" s="67"/>
      <c r="BW262" s="67"/>
      <c r="BX262" s="67">
        <v>0</v>
      </c>
      <c r="BY262" s="67">
        <v>0</v>
      </c>
      <c r="BZ262" s="67">
        <v>0</v>
      </c>
      <c r="CA262" s="67"/>
      <c r="CB262" s="67">
        <v>0</v>
      </c>
      <c r="CC262" s="67"/>
      <c r="CD262" s="67"/>
      <c r="CE262" s="67">
        <v>0</v>
      </c>
      <c r="CF262" s="67"/>
      <c r="CG262" s="67"/>
      <c r="CH262" s="67"/>
      <c r="CI262" s="67"/>
      <c r="CJ262" s="67"/>
      <c r="CK262" s="67">
        <v>0</v>
      </c>
      <c r="CL262" s="67"/>
      <c r="CM262" s="67"/>
      <c r="CN262" s="67"/>
      <c r="CO262" s="67">
        <v>0</v>
      </c>
      <c r="CP262" s="67"/>
      <c r="CQ262" s="67"/>
      <c r="CR262" s="67"/>
      <c r="CS262" s="67"/>
      <c r="CT262" s="67"/>
      <c r="CU262" s="67">
        <v>0</v>
      </c>
      <c r="CV262" s="67"/>
      <c r="CW262" s="67"/>
      <c r="CX262" s="67"/>
      <c r="CY262" s="67">
        <v>0</v>
      </c>
      <c r="CZ262" s="67"/>
      <c r="DA262" s="67"/>
      <c r="DB262" s="67"/>
      <c r="DC262" s="67"/>
      <c r="DF262" s="67"/>
      <c r="DG262" s="67">
        <v>0</v>
      </c>
      <c r="DH262" s="67">
        <v>0</v>
      </c>
      <c r="DI262" s="67">
        <v>0</v>
      </c>
      <c r="DJ262" s="67"/>
      <c r="DK262" s="67">
        <v>0</v>
      </c>
      <c r="DL262" s="67">
        <v>0</v>
      </c>
      <c r="DM262" s="67">
        <v>0</v>
      </c>
      <c r="DN262" s="67"/>
      <c r="DO262" s="67"/>
      <c r="DP262" s="67"/>
      <c r="DQ262" s="67">
        <v>0</v>
      </c>
      <c r="DR262" s="67">
        <v>0</v>
      </c>
      <c r="DS262" s="67"/>
      <c r="DT262" s="67"/>
      <c r="DU262" s="67">
        <v>0</v>
      </c>
      <c r="DV262" s="67">
        <v>0</v>
      </c>
      <c r="DW262" s="67">
        <v>0</v>
      </c>
      <c r="DX262" s="67">
        <v>0</v>
      </c>
      <c r="DY262" s="67"/>
      <c r="DZ262" s="67">
        <v>0</v>
      </c>
      <c r="EA262" s="67"/>
      <c r="EB262" s="67">
        <v>0</v>
      </c>
      <c r="EC262" s="67"/>
      <c r="ED262" s="67">
        <v>0</v>
      </c>
      <c r="EE262" s="67">
        <v>0</v>
      </c>
      <c r="EF262" s="67">
        <v>0</v>
      </c>
      <c r="EG262" s="67"/>
      <c r="EH262" s="67"/>
      <c r="EI262" s="67"/>
      <c r="EJ262" s="67"/>
      <c r="EK262" s="67"/>
      <c r="EL262" s="67"/>
      <c r="EM262" s="67"/>
      <c r="EN262" s="67"/>
      <c r="EO262" s="67"/>
      <c r="EP262" s="67">
        <v>0</v>
      </c>
      <c r="EQ262" s="67">
        <v>0</v>
      </c>
      <c r="ER262" s="67">
        <v>0</v>
      </c>
      <c r="ES262" s="67"/>
      <c r="ET262">
        <v>0</v>
      </c>
      <c r="EX262" s="67"/>
      <c r="EY262" s="67"/>
      <c r="EZ262" s="67"/>
      <c r="FA262" s="67">
        <v>0</v>
      </c>
      <c r="FB262" s="67">
        <v>0</v>
      </c>
      <c r="FC262" s="67"/>
      <c r="FD262" s="67"/>
      <c r="FE262" s="67"/>
      <c r="FF262" s="67"/>
      <c r="FG262" s="67"/>
      <c r="FH262" s="67"/>
      <c r="FI262" s="67" t="s">
        <v>1734</v>
      </c>
    </row>
    <row r="263" spans="2:165" ht="24" x14ac:dyDescent="0.2">
      <c r="B263" s="67" t="s">
        <v>735</v>
      </c>
      <c r="C263" s="67"/>
      <c r="D263" s="67" t="s">
        <v>736</v>
      </c>
      <c r="E263" s="67" t="s">
        <v>13</v>
      </c>
      <c r="F263" s="67"/>
      <c r="G263" s="67" t="s">
        <v>694</v>
      </c>
      <c r="H263" s="67"/>
      <c r="I263" s="67" t="s">
        <v>41</v>
      </c>
      <c r="J263" s="67"/>
      <c r="K263" s="67"/>
      <c r="L263" s="67"/>
      <c r="M263" s="67"/>
      <c r="N263" s="67"/>
      <c r="O263" s="67" t="s">
        <v>1605</v>
      </c>
      <c r="P263" s="67"/>
      <c r="Q263" s="67">
        <v>0</v>
      </c>
      <c r="R263" s="67">
        <v>0</v>
      </c>
      <c r="S263" s="67">
        <v>0</v>
      </c>
      <c r="T263" s="67">
        <v>0</v>
      </c>
      <c r="U263" s="67">
        <v>0</v>
      </c>
      <c r="V263" s="67">
        <v>0</v>
      </c>
      <c r="W263" s="67">
        <v>0</v>
      </c>
      <c r="X263" s="67">
        <v>0</v>
      </c>
      <c r="Y263" s="67">
        <v>0</v>
      </c>
      <c r="Z263" s="67">
        <v>0</v>
      </c>
      <c r="AA263" s="67">
        <v>0</v>
      </c>
      <c r="AB263" s="67">
        <v>0</v>
      </c>
      <c r="AC263" s="67">
        <v>0</v>
      </c>
      <c r="AD263" s="67">
        <v>0</v>
      </c>
      <c r="AE263" s="67">
        <v>0</v>
      </c>
      <c r="AF263" s="67">
        <v>0</v>
      </c>
      <c r="AG263" s="67">
        <v>0</v>
      </c>
      <c r="AH263" s="67">
        <v>0</v>
      </c>
      <c r="AI263" s="67">
        <v>0</v>
      </c>
      <c r="AJ263" s="67">
        <v>0</v>
      </c>
      <c r="AK263" s="67">
        <v>0</v>
      </c>
      <c r="AL263" s="67">
        <v>0</v>
      </c>
      <c r="AM263" s="67">
        <v>0</v>
      </c>
      <c r="AN263" s="67">
        <v>0</v>
      </c>
      <c r="AO263" s="67">
        <v>0</v>
      </c>
      <c r="AP263" s="67">
        <v>0</v>
      </c>
      <c r="AQ263" s="67">
        <v>0</v>
      </c>
      <c r="AR263" s="67">
        <v>0</v>
      </c>
      <c r="AS263" s="67">
        <v>0</v>
      </c>
      <c r="AT263" s="67"/>
      <c r="AU263" s="67"/>
      <c r="AV263" s="67"/>
      <c r="AW263" s="67">
        <v>0</v>
      </c>
      <c r="AX263" s="67">
        <v>0</v>
      </c>
      <c r="AY263" s="67"/>
      <c r="AZ263" s="67"/>
      <c r="BA263" s="67"/>
      <c r="BB263" s="67"/>
      <c r="BC263" s="67"/>
      <c r="BD263" s="67"/>
      <c r="BE263" s="67"/>
      <c r="BG263" s="67"/>
      <c r="BH263" s="67"/>
      <c r="BI263" s="67"/>
      <c r="BJ263" s="67">
        <v>0</v>
      </c>
      <c r="BK263" s="67"/>
      <c r="BL263" s="67"/>
      <c r="BP263" s="67"/>
      <c r="BQ263" s="67">
        <v>0</v>
      </c>
      <c r="BR263" s="67"/>
      <c r="BS263" s="67"/>
      <c r="BT263" s="67">
        <v>0</v>
      </c>
      <c r="BU263" s="67">
        <v>0</v>
      </c>
      <c r="BV263" s="67"/>
      <c r="BW263" s="67"/>
      <c r="BX263" s="67">
        <v>0</v>
      </c>
      <c r="BY263" s="67">
        <v>0</v>
      </c>
      <c r="BZ263" s="67">
        <v>0</v>
      </c>
      <c r="CA263" s="67"/>
      <c r="CB263" s="67">
        <v>0</v>
      </c>
      <c r="CC263" s="67"/>
      <c r="CD263" s="67"/>
      <c r="CE263" s="67">
        <v>0</v>
      </c>
      <c r="CF263" s="67"/>
      <c r="CG263" s="67"/>
      <c r="CH263" s="67"/>
      <c r="CI263" s="67"/>
      <c r="CJ263" s="67"/>
      <c r="CK263" s="67">
        <v>0</v>
      </c>
      <c r="CL263" s="67"/>
      <c r="CM263" s="67"/>
      <c r="CN263" s="67"/>
      <c r="CO263" s="67">
        <v>0</v>
      </c>
      <c r="CP263" s="67"/>
      <c r="CQ263" s="67"/>
      <c r="CR263" s="67"/>
      <c r="CS263" s="67"/>
      <c r="CT263" s="67"/>
      <c r="CU263" s="67">
        <v>0</v>
      </c>
      <c r="CV263" s="67"/>
      <c r="CW263" s="67"/>
      <c r="CX263" s="67"/>
      <c r="CY263" s="67">
        <v>0</v>
      </c>
      <c r="CZ263" s="67"/>
      <c r="DA263" s="67"/>
      <c r="DB263" s="67"/>
      <c r="DC263" s="67"/>
      <c r="DF263" s="67"/>
      <c r="DG263" s="67">
        <v>0</v>
      </c>
      <c r="DH263" s="67">
        <v>0</v>
      </c>
      <c r="DI263" s="67">
        <v>0</v>
      </c>
      <c r="DJ263" s="67"/>
      <c r="DK263" s="67">
        <v>0</v>
      </c>
      <c r="DL263" s="67">
        <v>0</v>
      </c>
      <c r="DM263" s="67">
        <v>0</v>
      </c>
      <c r="DN263" s="67"/>
      <c r="DO263" s="67"/>
      <c r="DP263" s="67"/>
      <c r="DQ263" s="67">
        <v>0</v>
      </c>
      <c r="DR263" s="67">
        <v>0</v>
      </c>
      <c r="DS263" s="67"/>
      <c r="DT263" s="67"/>
      <c r="DU263" s="67">
        <v>0</v>
      </c>
      <c r="DV263" s="67">
        <v>0</v>
      </c>
      <c r="DW263" s="67">
        <v>0</v>
      </c>
      <c r="DX263" s="67">
        <v>0</v>
      </c>
      <c r="DY263" s="67"/>
      <c r="DZ263" s="67">
        <v>0</v>
      </c>
      <c r="EA263" s="67"/>
      <c r="EB263" s="67">
        <v>0</v>
      </c>
      <c r="EC263" s="67"/>
      <c r="ED263" s="67">
        <v>0</v>
      </c>
      <c r="EE263" s="67"/>
      <c r="EF263" s="67">
        <v>0</v>
      </c>
      <c r="EG263" s="67"/>
      <c r="EH263" s="67"/>
      <c r="EI263" s="67"/>
      <c r="EJ263" s="67"/>
      <c r="EK263" s="67"/>
      <c r="EL263" s="67"/>
      <c r="EM263" s="67"/>
      <c r="EN263" s="67"/>
      <c r="EO263" s="67"/>
      <c r="EP263" s="67">
        <v>0</v>
      </c>
      <c r="EQ263" s="67">
        <v>0</v>
      </c>
      <c r="ER263" s="67">
        <v>0</v>
      </c>
      <c r="ES263" s="67"/>
      <c r="ET263">
        <v>0</v>
      </c>
      <c r="EX263" s="67"/>
      <c r="EY263" s="67"/>
      <c r="EZ263" s="67"/>
      <c r="FA263" s="67">
        <v>0</v>
      </c>
      <c r="FB263" s="67">
        <v>0</v>
      </c>
      <c r="FC263" s="67"/>
      <c r="FD263" s="67"/>
      <c r="FE263" s="67"/>
      <c r="FF263" s="67"/>
      <c r="FG263" s="67"/>
      <c r="FH263" s="67"/>
      <c r="FI263" s="67" t="s">
        <v>1734</v>
      </c>
    </row>
    <row r="264" spans="2:165" x14ac:dyDescent="0.2">
      <c r="B264" s="67" t="s">
        <v>738</v>
      </c>
      <c r="C264" s="67"/>
      <c r="D264" s="67" t="s">
        <v>739</v>
      </c>
      <c r="E264" s="67" t="s">
        <v>20</v>
      </c>
      <c r="F264" s="67"/>
      <c r="G264" s="67" t="s">
        <v>694</v>
      </c>
      <c r="H264" s="67"/>
      <c r="I264" s="67"/>
      <c r="J264" s="67"/>
      <c r="K264" s="67" t="s">
        <v>733</v>
      </c>
      <c r="L264" s="67"/>
      <c r="M264" s="67"/>
      <c r="N264" s="67"/>
      <c r="O264" s="67" t="s">
        <v>1605</v>
      </c>
      <c r="P264" s="67"/>
      <c r="Q264" s="67">
        <v>0</v>
      </c>
      <c r="R264" s="67">
        <v>0</v>
      </c>
      <c r="S264" s="67">
        <v>0</v>
      </c>
      <c r="T264" s="67">
        <v>0</v>
      </c>
      <c r="U264" s="67">
        <v>0</v>
      </c>
      <c r="V264" s="67">
        <v>0</v>
      </c>
      <c r="W264" s="67">
        <v>0</v>
      </c>
      <c r="X264" s="67">
        <v>0</v>
      </c>
      <c r="Y264" s="67">
        <v>0</v>
      </c>
      <c r="Z264" s="67">
        <v>0</v>
      </c>
      <c r="AA264" s="67">
        <v>0</v>
      </c>
      <c r="AB264" s="67">
        <v>0</v>
      </c>
      <c r="AC264" s="67">
        <v>0</v>
      </c>
      <c r="AD264" s="67">
        <v>0</v>
      </c>
      <c r="AE264" s="67">
        <v>0</v>
      </c>
      <c r="AF264" s="67">
        <v>0</v>
      </c>
      <c r="AG264" s="67">
        <v>0</v>
      </c>
      <c r="AH264" s="67">
        <v>0</v>
      </c>
      <c r="AI264" s="67">
        <v>0</v>
      </c>
      <c r="AJ264" s="67">
        <v>0</v>
      </c>
      <c r="AK264" s="67">
        <v>0</v>
      </c>
      <c r="AL264" s="67">
        <v>0</v>
      </c>
      <c r="AM264" s="67">
        <v>0</v>
      </c>
      <c r="AN264" s="67">
        <v>0</v>
      </c>
      <c r="AO264" s="67">
        <v>0</v>
      </c>
      <c r="AP264" s="67">
        <v>0</v>
      </c>
      <c r="AQ264" s="67">
        <v>0</v>
      </c>
      <c r="AR264" s="67">
        <v>0</v>
      </c>
      <c r="AS264" s="67">
        <v>0</v>
      </c>
      <c r="AT264" s="67"/>
      <c r="AU264" s="67"/>
      <c r="AV264" s="67"/>
      <c r="AW264" s="67">
        <v>0</v>
      </c>
      <c r="AX264" s="67">
        <v>0</v>
      </c>
      <c r="AY264" s="67"/>
      <c r="AZ264" s="67"/>
      <c r="BA264" s="67"/>
      <c r="BB264" s="67"/>
      <c r="BC264" s="67"/>
      <c r="BD264" s="67"/>
      <c r="BE264" s="67"/>
      <c r="BG264" s="67"/>
      <c r="BH264" s="67"/>
      <c r="BI264" s="67"/>
      <c r="BJ264" s="67">
        <v>0</v>
      </c>
      <c r="BK264" s="67"/>
      <c r="BL264" s="67"/>
      <c r="BP264" s="67"/>
      <c r="BQ264" s="67">
        <v>0</v>
      </c>
      <c r="BR264" s="67"/>
      <c r="BS264" s="67"/>
      <c r="BT264" s="67">
        <v>0</v>
      </c>
      <c r="BU264" s="67">
        <v>0</v>
      </c>
      <c r="BV264" s="67"/>
      <c r="BW264" s="67"/>
      <c r="BX264" s="67">
        <v>0</v>
      </c>
      <c r="BY264" s="67">
        <v>0</v>
      </c>
      <c r="BZ264" s="67">
        <v>0</v>
      </c>
      <c r="CA264" s="67"/>
      <c r="CB264" s="67">
        <v>0</v>
      </c>
      <c r="CC264" s="67"/>
      <c r="CD264" s="67"/>
      <c r="CE264" s="67">
        <v>0</v>
      </c>
      <c r="CF264" s="67"/>
      <c r="CG264" s="67"/>
      <c r="CH264" s="67"/>
      <c r="CI264" s="67"/>
      <c r="CJ264" s="67"/>
      <c r="CK264" s="67">
        <v>0</v>
      </c>
      <c r="CL264" s="67"/>
      <c r="CM264" s="67"/>
      <c r="CN264" s="67"/>
      <c r="CO264" s="67">
        <v>0</v>
      </c>
      <c r="CP264" s="67"/>
      <c r="CQ264" s="67"/>
      <c r="CR264" s="67"/>
      <c r="CS264" s="67"/>
      <c r="CT264" s="67"/>
      <c r="CU264" s="67">
        <v>0</v>
      </c>
      <c r="CV264" s="67"/>
      <c r="CW264" s="67"/>
      <c r="CX264" s="67"/>
      <c r="CY264" s="67">
        <v>0</v>
      </c>
      <c r="CZ264" s="67"/>
      <c r="DA264" s="67"/>
      <c r="DB264" s="67"/>
      <c r="DC264" s="67"/>
      <c r="DF264" s="67"/>
      <c r="DG264" s="67">
        <v>0</v>
      </c>
      <c r="DH264" s="67">
        <v>0</v>
      </c>
      <c r="DI264" s="67">
        <v>0</v>
      </c>
      <c r="DJ264" s="67"/>
      <c r="DK264" s="67">
        <v>0</v>
      </c>
      <c r="DL264" s="67">
        <v>0</v>
      </c>
      <c r="DM264" s="67">
        <v>0</v>
      </c>
      <c r="DN264" s="67"/>
      <c r="DO264" s="67"/>
      <c r="DP264" s="67"/>
      <c r="DQ264" s="67">
        <v>0</v>
      </c>
      <c r="DR264" s="67">
        <v>0</v>
      </c>
      <c r="DS264" s="67"/>
      <c r="DT264" s="67"/>
      <c r="DU264" s="67">
        <v>0</v>
      </c>
      <c r="DV264" s="67">
        <v>0</v>
      </c>
      <c r="DW264" s="67">
        <v>0</v>
      </c>
      <c r="DX264" s="67">
        <v>0</v>
      </c>
      <c r="DY264" s="67"/>
      <c r="DZ264" s="67">
        <v>0</v>
      </c>
      <c r="EA264" s="67"/>
      <c r="EB264" s="67">
        <v>0</v>
      </c>
      <c r="EC264" s="67"/>
      <c r="ED264" s="67">
        <v>0</v>
      </c>
      <c r="EE264" s="67"/>
      <c r="EF264" s="67">
        <v>0</v>
      </c>
      <c r="EG264" s="67"/>
      <c r="EH264" s="67"/>
      <c r="EI264" s="67"/>
      <c r="EJ264" s="67"/>
      <c r="EK264" s="67"/>
      <c r="EL264" s="67"/>
      <c r="EM264" s="67"/>
      <c r="EN264" s="67"/>
      <c r="EO264" s="67"/>
      <c r="EP264" s="67">
        <v>0</v>
      </c>
      <c r="EQ264" s="67">
        <v>0</v>
      </c>
      <c r="ER264" s="67">
        <v>0</v>
      </c>
      <c r="ES264" s="67"/>
      <c r="ET264">
        <v>0</v>
      </c>
      <c r="EX264" s="67"/>
      <c r="EY264" s="67"/>
      <c r="EZ264" s="67"/>
      <c r="FA264" s="67">
        <v>0</v>
      </c>
      <c r="FB264" s="67">
        <v>0</v>
      </c>
      <c r="FC264" s="67"/>
      <c r="FD264" s="67"/>
      <c r="FE264" s="67"/>
      <c r="FF264" s="67"/>
      <c r="FG264" s="67"/>
      <c r="FH264" s="67"/>
      <c r="FI264" s="67" t="s">
        <v>1734</v>
      </c>
    </row>
    <row r="265" spans="2:165" x14ac:dyDescent="0.2">
      <c r="B265" s="67" t="s">
        <v>740</v>
      </c>
      <c r="C265" s="67"/>
      <c r="D265" s="67" t="s">
        <v>741</v>
      </c>
      <c r="E265" s="67" t="s">
        <v>20</v>
      </c>
      <c r="F265" s="67"/>
      <c r="G265" s="67" t="s">
        <v>694</v>
      </c>
      <c r="H265" s="67"/>
      <c r="I265" s="67"/>
      <c r="J265" s="67"/>
      <c r="K265" s="67" t="s">
        <v>733</v>
      </c>
      <c r="L265" s="67"/>
      <c r="M265" s="67"/>
      <c r="N265" s="67"/>
      <c r="O265" s="67" t="s">
        <v>1605</v>
      </c>
      <c r="P265" s="67"/>
      <c r="Q265" s="67">
        <v>0</v>
      </c>
      <c r="R265" s="67">
        <v>0</v>
      </c>
      <c r="S265" s="67">
        <v>0</v>
      </c>
      <c r="T265" s="67">
        <v>0</v>
      </c>
      <c r="U265" s="67">
        <v>0</v>
      </c>
      <c r="V265" s="67">
        <v>0</v>
      </c>
      <c r="W265" s="67">
        <v>0</v>
      </c>
      <c r="X265" s="67">
        <v>0</v>
      </c>
      <c r="Y265" s="67">
        <v>0</v>
      </c>
      <c r="Z265" s="67">
        <v>0</v>
      </c>
      <c r="AA265" s="67">
        <v>0</v>
      </c>
      <c r="AB265" s="67">
        <v>0</v>
      </c>
      <c r="AC265" s="67">
        <v>0</v>
      </c>
      <c r="AD265" s="67">
        <v>0</v>
      </c>
      <c r="AE265" s="67">
        <v>0</v>
      </c>
      <c r="AF265" s="67">
        <v>0</v>
      </c>
      <c r="AG265" s="67">
        <v>0</v>
      </c>
      <c r="AH265" s="67">
        <v>0</v>
      </c>
      <c r="AI265" s="67">
        <v>0</v>
      </c>
      <c r="AJ265" s="67">
        <v>0</v>
      </c>
      <c r="AK265" s="67">
        <v>0</v>
      </c>
      <c r="AL265" s="67">
        <v>0</v>
      </c>
      <c r="AM265" s="67">
        <v>0</v>
      </c>
      <c r="AN265" s="67">
        <v>0</v>
      </c>
      <c r="AO265" s="67">
        <v>0</v>
      </c>
      <c r="AP265" s="67">
        <v>0</v>
      </c>
      <c r="AQ265" s="67">
        <v>0</v>
      </c>
      <c r="AR265" s="67">
        <v>0</v>
      </c>
      <c r="AS265" s="67">
        <v>0</v>
      </c>
      <c r="AT265" s="67"/>
      <c r="AU265" s="67"/>
      <c r="AV265" s="67"/>
      <c r="AW265" s="67">
        <v>0</v>
      </c>
      <c r="AX265" s="67">
        <v>0</v>
      </c>
      <c r="AY265" s="67"/>
      <c r="AZ265" s="67"/>
      <c r="BA265" s="67"/>
      <c r="BB265" s="67"/>
      <c r="BC265" s="67"/>
      <c r="BD265" s="67"/>
      <c r="BE265" s="67"/>
      <c r="BG265" s="67"/>
      <c r="BH265" s="67"/>
      <c r="BI265" s="67"/>
      <c r="BJ265" s="67">
        <v>0</v>
      </c>
      <c r="BK265" s="67"/>
      <c r="BL265" s="67"/>
      <c r="BP265" s="67"/>
      <c r="BQ265" s="67">
        <v>0</v>
      </c>
      <c r="BR265" s="67"/>
      <c r="BS265" s="67"/>
      <c r="BT265" s="67">
        <v>0</v>
      </c>
      <c r="BU265" s="67">
        <v>0</v>
      </c>
      <c r="BV265" s="67"/>
      <c r="BW265" s="67"/>
      <c r="BX265" s="67">
        <v>0</v>
      </c>
      <c r="BY265" s="67">
        <v>0</v>
      </c>
      <c r="BZ265" s="67">
        <v>0</v>
      </c>
      <c r="CA265" s="67"/>
      <c r="CB265" s="67">
        <v>0</v>
      </c>
      <c r="CC265" s="67"/>
      <c r="CD265" s="67"/>
      <c r="CE265" s="67">
        <v>0</v>
      </c>
      <c r="CF265" s="67"/>
      <c r="CG265" s="67"/>
      <c r="CH265" s="67"/>
      <c r="CI265" s="67"/>
      <c r="CJ265" s="67"/>
      <c r="CK265" s="67">
        <v>0</v>
      </c>
      <c r="CL265" s="67"/>
      <c r="CM265" s="67"/>
      <c r="CN265" s="67"/>
      <c r="CO265" s="67">
        <v>0</v>
      </c>
      <c r="CP265" s="67"/>
      <c r="CQ265" s="67"/>
      <c r="CR265" s="67"/>
      <c r="CS265" s="67"/>
      <c r="CT265" s="67"/>
      <c r="CU265" s="67">
        <v>0</v>
      </c>
      <c r="CV265" s="67"/>
      <c r="CW265" s="67"/>
      <c r="CX265" s="67"/>
      <c r="CY265" s="67">
        <v>0</v>
      </c>
      <c r="CZ265" s="67"/>
      <c r="DA265" s="67"/>
      <c r="DB265" s="67"/>
      <c r="DC265" s="67"/>
      <c r="DF265" s="67"/>
      <c r="DG265" s="67">
        <v>0</v>
      </c>
      <c r="DH265" s="67">
        <v>0</v>
      </c>
      <c r="DI265" s="67">
        <v>0</v>
      </c>
      <c r="DJ265" s="67"/>
      <c r="DK265" s="67">
        <v>0</v>
      </c>
      <c r="DL265" s="67">
        <v>0</v>
      </c>
      <c r="DM265" s="67">
        <v>0</v>
      </c>
      <c r="DN265" s="67"/>
      <c r="DO265" s="67"/>
      <c r="DP265" s="67"/>
      <c r="DQ265" s="67">
        <v>0</v>
      </c>
      <c r="DR265" s="67">
        <v>0</v>
      </c>
      <c r="DS265" s="67"/>
      <c r="DT265" s="67"/>
      <c r="DU265" s="67">
        <v>0</v>
      </c>
      <c r="DV265" s="67">
        <v>0</v>
      </c>
      <c r="DW265" s="67">
        <v>0</v>
      </c>
      <c r="DX265" s="67">
        <v>0</v>
      </c>
      <c r="DY265" s="67"/>
      <c r="DZ265" s="67">
        <v>0</v>
      </c>
      <c r="EA265" s="67"/>
      <c r="EB265" s="67">
        <v>0</v>
      </c>
      <c r="EC265" s="67"/>
      <c r="ED265" s="67">
        <v>0</v>
      </c>
      <c r="EE265" s="67"/>
      <c r="EF265" s="67">
        <v>0</v>
      </c>
      <c r="EG265" s="67"/>
      <c r="EH265" s="67"/>
      <c r="EI265" s="67"/>
      <c r="EJ265" s="67"/>
      <c r="EK265" s="67"/>
      <c r="EL265" s="67"/>
      <c r="EM265" s="67"/>
      <c r="EN265" s="67"/>
      <c r="EO265" s="67"/>
      <c r="EP265" s="67">
        <v>0</v>
      </c>
      <c r="EQ265" s="67">
        <v>0</v>
      </c>
      <c r="ER265" s="67">
        <v>0</v>
      </c>
      <c r="ES265" s="67"/>
      <c r="ET265">
        <v>0</v>
      </c>
      <c r="EX265" s="67"/>
      <c r="EY265" s="67"/>
      <c r="EZ265" s="67"/>
      <c r="FA265" s="67">
        <v>0</v>
      </c>
      <c r="FB265" s="67">
        <v>0</v>
      </c>
      <c r="FC265" s="67"/>
      <c r="FD265" s="67"/>
      <c r="FE265" s="67"/>
      <c r="FF265" s="67"/>
      <c r="FG265" s="67"/>
      <c r="FH265" s="67"/>
      <c r="FI265" s="67" t="s">
        <v>1734</v>
      </c>
    </row>
    <row r="266" spans="2:165" x14ac:dyDescent="0.2">
      <c r="B266" s="67" t="s">
        <v>742</v>
      </c>
      <c r="C266" s="67"/>
      <c r="D266" s="67" t="s">
        <v>743</v>
      </c>
      <c r="E266" s="67" t="s">
        <v>20</v>
      </c>
      <c r="F266" s="67"/>
      <c r="G266" s="67" t="s">
        <v>694</v>
      </c>
      <c r="H266" s="67"/>
      <c r="I266" s="67"/>
      <c r="J266" s="67"/>
      <c r="K266" s="67" t="s">
        <v>733</v>
      </c>
      <c r="L266" s="67"/>
      <c r="M266" s="67"/>
      <c r="N266" s="67"/>
      <c r="O266" s="67" t="s">
        <v>1605</v>
      </c>
      <c r="P266" s="67"/>
      <c r="Q266" s="67">
        <v>0</v>
      </c>
      <c r="R266" s="67">
        <v>0</v>
      </c>
      <c r="S266" s="67">
        <v>0</v>
      </c>
      <c r="T266" s="67">
        <v>0</v>
      </c>
      <c r="U266" s="67">
        <v>0</v>
      </c>
      <c r="V266" s="67">
        <v>0</v>
      </c>
      <c r="W266" s="67">
        <v>0</v>
      </c>
      <c r="X266" s="67">
        <v>0</v>
      </c>
      <c r="Y266" s="67">
        <v>0</v>
      </c>
      <c r="Z266" s="67">
        <v>0</v>
      </c>
      <c r="AA266" s="67">
        <v>0</v>
      </c>
      <c r="AB266" s="67">
        <v>0</v>
      </c>
      <c r="AC266" s="67">
        <v>0</v>
      </c>
      <c r="AD266" s="67">
        <v>0</v>
      </c>
      <c r="AE266" s="67">
        <v>0</v>
      </c>
      <c r="AF266" s="67">
        <v>0</v>
      </c>
      <c r="AG266" s="67">
        <v>0</v>
      </c>
      <c r="AH266" s="67">
        <v>0</v>
      </c>
      <c r="AI266" s="67">
        <v>0</v>
      </c>
      <c r="AJ266" s="67">
        <v>0</v>
      </c>
      <c r="AK266" s="67">
        <v>0</v>
      </c>
      <c r="AL266" s="67">
        <v>0</v>
      </c>
      <c r="AM266" s="67">
        <v>0</v>
      </c>
      <c r="AN266" s="67">
        <v>0</v>
      </c>
      <c r="AO266" s="67">
        <v>0</v>
      </c>
      <c r="AP266" s="67">
        <v>0</v>
      </c>
      <c r="AQ266" s="67">
        <v>0</v>
      </c>
      <c r="AR266" s="67">
        <v>0</v>
      </c>
      <c r="AS266" s="67">
        <v>0</v>
      </c>
      <c r="AT266" s="67"/>
      <c r="AU266" s="67"/>
      <c r="AV266" s="67"/>
      <c r="AW266" s="67">
        <v>0</v>
      </c>
      <c r="AX266" s="67">
        <v>0</v>
      </c>
      <c r="AY266" s="67"/>
      <c r="AZ266" s="67"/>
      <c r="BA266" s="67"/>
      <c r="BB266" s="67"/>
      <c r="BC266" s="67"/>
      <c r="BD266" s="67"/>
      <c r="BE266" s="67"/>
      <c r="BG266" s="67"/>
      <c r="BH266" s="67"/>
      <c r="BI266" s="67"/>
      <c r="BJ266" s="67">
        <v>0</v>
      </c>
      <c r="BK266" s="67"/>
      <c r="BL266" s="67"/>
      <c r="BP266" s="67"/>
      <c r="BQ266" s="67">
        <v>0</v>
      </c>
      <c r="BR266" s="67"/>
      <c r="BS266" s="67"/>
      <c r="BT266" s="67">
        <v>0</v>
      </c>
      <c r="BU266" s="67">
        <v>0</v>
      </c>
      <c r="BV266" s="67"/>
      <c r="BW266" s="67"/>
      <c r="BX266" s="67">
        <v>0</v>
      </c>
      <c r="BY266" s="67">
        <v>0</v>
      </c>
      <c r="BZ266" s="67">
        <v>0</v>
      </c>
      <c r="CA266" s="67"/>
      <c r="CB266" s="67">
        <v>0</v>
      </c>
      <c r="CC266" s="67"/>
      <c r="CD266" s="67"/>
      <c r="CE266" s="67">
        <v>0</v>
      </c>
      <c r="CF266" s="67"/>
      <c r="CG266" s="67"/>
      <c r="CH266" s="67"/>
      <c r="CI266" s="67"/>
      <c r="CJ266" s="67"/>
      <c r="CK266" s="67">
        <v>0</v>
      </c>
      <c r="CL266" s="67"/>
      <c r="CM266" s="67"/>
      <c r="CN266" s="67"/>
      <c r="CO266" s="67">
        <v>0</v>
      </c>
      <c r="CP266" s="67"/>
      <c r="CQ266" s="67"/>
      <c r="CR266" s="67"/>
      <c r="CS266" s="67"/>
      <c r="CT266" s="67"/>
      <c r="CU266" s="67">
        <v>0</v>
      </c>
      <c r="CV266" s="67"/>
      <c r="CW266" s="67"/>
      <c r="CX266" s="67"/>
      <c r="CY266" s="67">
        <v>0</v>
      </c>
      <c r="CZ266" s="67"/>
      <c r="DA266" s="67"/>
      <c r="DB266" s="67"/>
      <c r="DC266" s="67"/>
      <c r="DF266" s="67"/>
      <c r="DG266" s="67">
        <v>0</v>
      </c>
      <c r="DH266" s="67">
        <v>0</v>
      </c>
      <c r="DI266" s="67">
        <v>0</v>
      </c>
      <c r="DJ266" s="67"/>
      <c r="DK266" s="67">
        <v>0</v>
      </c>
      <c r="DL266" s="67">
        <v>0</v>
      </c>
      <c r="DM266" s="67">
        <v>0</v>
      </c>
      <c r="DN266" s="67"/>
      <c r="DO266" s="67"/>
      <c r="DP266" s="67"/>
      <c r="DQ266" s="67">
        <v>0</v>
      </c>
      <c r="DR266" s="67">
        <v>0</v>
      </c>
      <c r="DS266" s="67"/>
      <c r="DT266" s="67"/>
      <c r="DU266" s="67">
        <v>0</v>
      </c>
      <c r="DV266" s="67">
        <v>0</v>
      </c>
      <c r="DW266" s="67">
        <v>0</v>
      </c>
      <c r="DX266" s="67">
        <v>0</v>
      </c>
      <c r="DY266" s="67"/>
      <c r="DZ266" s="67">
        <v>0</v>
      </c>
      <c r="EA266" s="67"/>
      <c r="EB266" s="67">
        <v>0</v>
      </c>
      <c r="EC266" s="67"/>
      <c r="ED266" s="67">
        <v>0</v>
      </c>
      <c r="EE266" s="67"/>
      <c r="EF266" s="67">
        <v>0</v>
      </c>
      <c r="EG266" s="67"/>
      <c r="EH266" s="67"/>
      <c r="EI266" s="67"/>
      <c r="EJ266" s="67"/>
      <c r="EK266" s="67"/>
      <c r="EL266" s="67"/>
      <c r="EM266" s="67"/>
      <c r="EN266" s="67"/>
      <c r="EO266" s="67"/>
      <c r="EP266" s="67">
        <v>0</v>
      </c>
      <c r="EQ266" s="67">
        <v>0</v>
      </c>
      <c r="ER266" s="67">
        <v>0</v>
      </c>
      <c r="ES266" s="67"/>
      <c r="ET266">
        <v>0</v>
      </c>
      <c r="EX266" s="67"/>
      <c r="EY266" s="67"/>
      <c r="EZ266" s="67"/>
      <c r="FA266" s="67">
        <v>0</v>
      </c>
      <c r="FB266" s="67">
        <v>0</v>
      </c>
      <c r="FC266" s="67"/>
      <c r="FD266" s="67"/>
      <c r="FE266" s="67"/>
      <c r="FF266" s="67"/>
      <c r="FG266" s="67"/>
      <c r="FH266" s="67"/>
      <c r="FI266" s="67" t="s">
        <v>1734</v>
      </c>
    </row>
    <row r="267" spans="2:165" x14ac:dyDescent="0.2">
      <c r="B267" s="67" t="s">
        <v>744</v>
      </c>
      <c r="C267" s="67"/>
      <c r="D267" s="67" t="s">
        <v>745</v>
      </c>
      <c r="E267" s="67" t="s">
        <v>35</v>
      </c>
      <c r="F267" s="67"/>
      <c r="G267" s="67" t="s">
        <v>694</v>
      </c>
      <c r="H267" s="67"/>
      <c r="I267" s="67"/>
      <c r="J267" s="67"/>
      <c r="K267" s="67" t="s">
        <v>733</v>
      </c>
      <c r="L267" s="67"/>
      <c r="M267" s="67"/>
      <c r="N267" s="67"/>
      <c r="O267" s="67" t="s">
        <v>1605</v>
      </c>
      <c r="P267" s="67"/>
      <c r="Q267" s="67">
        <v>0</v>
      </c>
      <c r="R267" s="67">
        <v>0</v>
      </c>
      <c r="S267" s="67">
        <v>0</v>
      </c>
      <c r="T267" s="67">
        <v>0</v>
      </c>
      <c r="U267" s="67">
        <v>0</v>
      </c>
      <c r="V267" s="67">
        <v>0</v>
      </c>
      <c r="W267" s="67">
        <v>0</v>
      </c>
      <c r="X267" s="67">
        <v>0</v>
      </c>
      <c r="Y267" s="67">
        <v>0</v>
      </c>
      <c r="Z267" s="67">
        <v>0</v>
      </c>
      <c r="AA267" s="67">
        <v>0</v>
      </c>
      <c r="AB267" s="67">
        <v>0</v>
      </c>
      <c r="AC267" s="67">
        <v>0</v>
      </c>
      <c r="AD267" s="67">
        <v>0</v>
      </c>
      <c r="AE267" s="67">
        <v>0</v>
      </c>
      <c r="AF267" s="67">
        <v>0</v>
      </c>
      <c r="AG267" s="67">
        <v>0</v>
      </c>
      <c r="AH267" s="67">
        <v>0</v>
      </c>
      <c r="AI267" s="67">
        <v>0</v>
      </c>
      <c r="AJ267" s="67">
        <v>0</v>
      </c>
      <c r="AK267" s="67">
        <v>0</v>
      </c>
      <c r="AL267" s="67">
        <v>0</v>
      </c>
      <c r="AM267" s="67">
        <v>0</v>
      </c>
      <c r="AN267" s="67">
        <v>0</v>
      </c>
      <c r="AO267" s="67">
        <v>0</v>
      </c>
      <c r="AP267" s="67">
        <v>0</v>
      </c>
      <c r="AQ267" s="67">
        <v>0</v>
      </c>
      <c r="AR267" s="67">
        <v>0</v>
      </c>
      <c r="AS267" s="67">
        <v>0</v>
      </c>
      <c r="AT267" s="67"/>
      <c r="AU267" s="67"/>
      <c r="AV267" s="67"/>
      <c r="AW267" s="67">
        <v>0</v>
      </c>
      <c r="AX267" s="67">
        <v>0</v>
      </c>
      <c r="AY267" s="67"/>
      <c r="AZ267" s="67"/>
      <c r="BA267" s="67"/>
      <c r="BB267" s="67"/>
      <c r="BC267" s="67"/>
      <c r="BD267" s="67"/>
      <c r="BE267" s="67"/>
      <c r="BG267" s="67"/>
      <c r="BH267" s="67"/>
      <c r="BI267" s="67"/>
      <c r="BJ267" s="67">
        <v>0</v>
      </c>
      <c r="BK267" s="67"/>
      <c r="BL267" s="67"/>
      <c r="BP267" s="67"/>
      <c r="BQ267" s="67">
        <v>0</v>
      </c>
      <c r="BR267" s="67"/>
      <c r="BS267" s="67"/>
      <c r="BT267" s="67">
        <v>0</v>
      </c>
      <c r="BU267" s="67">
        <v>0</v>
      </c>
      <c r="BV267" s="67"/>
      <c r="BW267" s="67"/>
      <c r="BX267" s="67">
        <v>0</v>
      </c>
      <c r="BY267" s="67">
        <v>0</v>
      </c>
      <c r="BZ267" s="67">
        <v>0</v>
      </c>
      <c r="CA267" s="67"/>
      <c r="CB267" s="67">
        <v>0</v>
      </c>
      <c r="CC267" s="67"/>
      <c r="CD267" s="67"/>
      <c r="CE267" s="67">
        <v>0</v>
      </c>
      <c r="CF267" s="67"/>
      <c r="CG267" s="67"/>
      <c r="CH267" s="67"/>
      <c r="CI267" s="67"/>
      <c r="CJ267" s="67"/>
      <c r="CK267" s="67">
        <v>0</v>
      </c>
      <c r="CL267" s="67"/>
      <c r="CM267" s="67"/>
      <c r="CN267" s="67"/>
      <c r="CO267" s="67">
        <v>0</v>
      </c>
      <c r="CP267" s="67"/>
      <c r="CQ267" s="67"/>
      <c r="CR267" s="67"/>
      <c r="CS267" s="67"/>
      <c r="CT267" s="67"/>
      <c r="CU267" s="67">
        <v>0</v>
      </c>
      <c r="CV267" s="67"/>
      <c r="CW267" s="67"/>
      <c r="CX267" s="67"/>
      <c r="CY267" s="67">
        <v>0</v>
      </c>
      <c r="CZ267" s="67"/>
      <c r="DA267" s="67"/>
      <c r="DB267" s="67"/>
      <c r="DC267" s="67"/>
      <c r="DF267" s="67"/>
      <c r="DG267" s="67">
        <v>0</v>
      </c>
      <c r="DH267" s="67">
        <v>0</v>
      </c>
      <c r="DI267" s="67">
        <v>0</v>
      </c>
      <c r="DJ267" s="67"/>
      <c r="DK267" s="67">
        <v>0</v>
      </c>
      <c r="DL267" s="67">
        <v>0</v>
      </c>
      <c r="DM267" s="67">
        <v>0</v>
      </c>
      <c r="DN267" s="67"/>
      <c r="DO267" s="67"/>
      <c r="DP267" s="67"/>
      <c r="DQ267" s="67">
        <v>0</v>
      </c>
      <c r="DR267" s="67">
        <v>0</v>
      </c>
      <c r="DS267" s="67"/>
      <c r="DT267" s="67"/>
      <c r="DU267" s="67">
        <v>0</v>
      </c>
      <c r="DV267" s="67">
        <v>0</v>
      </c>
      <c r="DW267" s="67">
        <v>0</v>
      </c>
      <c r="DX267" s="67">
        <v>0</v>
      </c>
      <c r="DY267" s="67"/>
      <c r="DZ267" s="67">
        <v>0</v>
      </c>
      <c r="EA267" s="67"/>
      <c r="EB267" s="67">
        <v>0</v>
      </c>
      <c r="EC267" s="67"/>
      <c r="ED267" s="67">
        <v>0</v>
      </c>
      <c r="EE267" s="67"/>
      <c r="EF267" s="67">
        <v>0</v>
      </c>
      <c r="EG267" s="67"/>
      <c r="EH267" s="67"/>
      <c r="EI267" s="67"/>
      <c r="EJ267" s="67"/>
      <c r="EK267" s="67"/>
      <c r="EL267" s="67"/>
      <c r="EM267" s="67"/>
      <c r="EN267" s="67"/>
      <c r="EO267" s="67"/>
      <c r="EP267" s="67">
        <v>0</v>
      </c>
      <c r="EQ267" s="67">
        <v>0</v>
      </c>
      <c r="ER267" s="67">
        <v>0</v>
      </c>
      <c r="ES267" s="67"/>
      <c r="ET267">
        <v>0</v>
      </c>
      <c r="EX267" s="67"/>
      <c r="EY267" s="67"/>
      <c r="EZ267" s="67"/>
      <c r="FA267" s="67">
        <v>0</v>
      </c>
      <c r="FB267" s="67">
        <v>0</v>
      </c>
      <c r="FC267" s="67"/>
      <c r="FD267" s="67"/>
      <c r="FE267" s="67"/>
      <c r="FF267" s="67"/>
      <c r="FG267" s="67"/>
      <c r="FH267" s="67"/>
      <c r="FI267" s="67" t="s">
        <v>1734</v>
      </c>
    </row>
    <row r="268" spans="2:165" x14ac:dyDescent="0.2">
      <c r="B268" s="67" t="s">
        <v>746</v>
      </c>
      <c r="C268" s="67"/>
      <c r="D268" s="67" t="s">
        <v>747</v>
      </c>
      <c r="E268" s="67" t="s">
        <v>35</v>
      </c>
      <c r="F268" s="67"/>
      <c r="G268" s="67" t="s">
        <v>694</v>
      </c>
      <c r="H268" s="67"/>
      <c r="I268" s="67"/>
      <c r="J268" s="67"/>
      <c r="K268" s="67" t="s">
        <v>733</v>
      </c>
      <c r="L268" s="67"/>
      <c r="M268" s="67"/>
      <c r="N268" s="67"/>
      <c r="O268" s="67" t="s">
        <v>1605</v>
      </c>
      <c r="P268" s="67"/>
      <c r="Q268" s="67">
        <v>0</v>
      </c>
      <c r="R268" s="67">
        <v>0</v>
      </c>
      <c r="S268" s="67">
        <v>0</v>
      </c>
      <c r="T268" s="67">
        <v>0</v>
      </c>
      <c r="U268" s="67">
        <v>0</v>
      </c>
      <c r="V268" s="67">
        <v>0</v>
      </c>
      <c r="W268" s="67">
        <v>0</v>
      </c>
      <c r="X268" s="67">
        <v>0</v>
      </c>
      <c r="Y268" s="67">
        <v>0</v>
      </c>
      <c r="Z268" s="67">
        <v>0</v>
      </c>
      <c r="AA268" s="67">
        <v>0</v>
      </c>
      <c r="AB268" s="67">
        <v>0</v>
      </c>
      <c r="AC268" s="67">
        <v>0</v>
      </c>
      <c r="AD268" s="67">
        <v>0</v>
      </c>
      <c r="AE268" s="67">
        <v>0</v>
      </c>
      <c r="AF268" s="67">
        <v>0</v>
      </c>
      <c r="AG268" s="67">
        <v>0</v>
      </c>
      <c r="AH268" s="67">
        <v>0</v>
      </c>
      <c r="AI268" s="67">
        <v>0</v>
      </c>
      <c r="AJ268" s="67">
        <v>0</v>
      </c>
      <c r="AK268" s="67">
        <v>0</v>
      </c>
      <c r="AL268" s="67">
        <v>0</v>
      </c>
      <c r="AM268" s="67">
        <v>0</v>
      </c>
      <c r="AN268" s="67">
        <v>0</v>
      </c>
      <c r="AO268" s="67">
        <v>0</v>
      </c>
      <c r="AP268" s="67">
        <v>0</v>
      </c>
      <c r="AQ268" s="67">
        <v>0</v>
      </c>
      <c r="AR268" s="67">
        <v>0</v>
      </c>
      <c r="AS268" s="67">
        <v>0</v>
      </c>
      <c r="AT268" s="67"/>
      <c r="AU268" s="67"/>
      <c r="AV268" s="67"/>
      <c r="AW268" s="67">
        <v>0</v>
      </c>
      <c r="AX268" s="67">
        <v>0</v>
      </c>
      <c r="AY268" s="67"/>
      <c r="AZ268" s="67"/>
      <c r="BA268" s="67"/>
      <c r="BB268" s="67"/>
      <c r="BC268" s="67"/>
      <c r="BD268" s="67"/>
      <c r="BE268" s="67"/>
      <c r="BG268" s="67"/>
      <c r="BH268" s="67"/>
      <c r="BI268" s="67"/>
      <c r="BJ268" s="67">
        <v>0</v>
      </c>
      <c r="BK268" s="67"/>
      <c r="BL268" s="67"/>
      <c r="BP268" s="67"/>
      <c r="BQ268" s="67">
        <v>0</v>
      </c>
      <c r="BR268" s="67"/>
      <c r="BS268" s="67"/>
      <c r="BT268" s="67">
        <v>0</v>
      </c>
      <c r="BU268" s="67">
        <v>0</v>
      </c>
      <c r="BV268" s="67"/>
      <c r="BW268" s="67"/>
      <c r="BX268" s="67">
        <v>0</v>
      </c>
      <c r="BY268" s="67">
        <v>0</v>
      </c>
      <c r="BZ268" s="67">
        <v>0</v>
      </c>
      <c r="CA268" s="67"/>
      <c r="CB268" s="67">
        <v>0</v>
      </c>
      <c r="CC268" s="67"/>
      <c r="CD268" s="67"/>
      <c r="CE268" s="67">
        <v>0</v>
      </c>
      <c r="CF268" s="67"/>
      <c r="CG268" s="67"/>
      <c r="CH268" s="67"/>
      <c r="CI268" s="67"/>
      <c r="CJ268" s="67"/>
      <c r="CK268" s="67">
        <v>0</v>
      </c>
      <c r="CL268" s="67"/>
      <c r="CM268" s="67"/>
      <c r="CN268" s="67"/>
      <c r="CO268" s="67">
        <v>0</v>
      </c>
      <c r="CP268" s="67"/>
      <c r="CQ268" s="67"/>
      <c r="CR268" s="67"/>
      <c r="CS268" s="67"/>
      <c r="CT268" s="67"/>
      <c r="CU268" s="67">
        <v>0</v>
      </c>
      <c r="CV268" s="67"/>
      <c r="CW268" s="67"/>
      <c r="CX268" s="67"/>
      <c r="CY268" s="67">
        <v>0</v>
      </c>
      <c r="CZ268" s="67"/>
      <c r="DA268" s="67"/>
      <c r="DB268" s="67"/>
      <c r="DC268" s="67"/>
      <c r="DF268" s="67"/>
      <c r="DG268" s="67">
        <v>0</v>
      </c>
      <c r="DH268" s="67">
        <v>0</v>
      </c>
      <c r="DI268" s="67">
        <v>0</v>
      </c>
      <c r="DJ268" s="67"/>
      <c r="DK268" s="67">
        <v>0</v>
      </c>
      <c r="DL268" s="67">
        <v>0</v>
      </c>
      <c r="DM268" s="67">
        <v>0</v>
      </c>
      <c r="DN268" s="67"/>
      <c r="DO268" s="67"/>
      <c r="DP268" s="67"/>
      <c r="DQ268" s="67">
        <v>0</v>
      </c>
      <c r="DR268" s="67">
        <v>0</v>
      </c>
      <c r="DS268" s="67"/>
      <c r="DT268" s="67"/>
      <c r="DU268" s="67">
        <v>0</v>
      </c>
      <c r="DV268" s="67">
        <v>0</v>
      </c>
      <c r="DW268" s="67">
        <v>0</v>
      </c>
      <c r="DX268" s="67">
        <v>0</v>
      </c>
      <c r="DY268" s="67"/>
      <c r="DZ268" s="67">
        <v>0</v>
      </c>
      <c r="EA268" s="67"/>
      <c r="EB268" s="67">
        <v>0</v>
      </c>
      <c r="EC268" s="67"/>
      <c r="ED268" s="67">
        <v>0</v>
      </c>
      <c r="EE268" s="67"/>
      <c r="EF268" s="67">
        <v>0</v>
      </c>
      <c r="EG268" s="67"/>
      <c r="EH268" s="67"/>
      <c r="EI268" s="67"/>
      <c r="EJ268" s="67"/>
      <c r="EK268" s="67"/>
      <c r="EL268" s="67"/>
      <c r="EM268" s="67"/>
      <c r="EN268" s="67"/>
      <c r="EO268" s="67"/>
      <c r="EP268" s="67">
        <v>0</v>
      </c>
      <c r="EQ268" s="67">
        <v>0</v>
      </c>
      <c r="ER268" s="67">
        <v>0</v>
      </c>
      <c r="ES268" s="67"/>
      <c r="ET268">
        <v>0</v>
      </c>
      <c r="EX268" s="67"/>
      <c r="EY268" s="67"/>
      <c r="EZ268" s="67"/>
      <c r="FA268" s="67">
        <v>0</v>
      </c>
      <c r="FB268" s="67">
        <v>0</v>
      </c>
      <c r="FC268" s="67"/>
      <c r="FD268" s="67"/>
      <c r="FE268" s="67"/>
      <c r="FF268" s="67"/>
      <c r="FG268" s="67"/>
      <c r="FH268" s="67"/>
      <c r="FI268" s="67" t="s">
        <v>1734</v>
      </c>
    </row>
    <row r="269" spans="2:165" x14ac:dyDescent="0.2">
      <c r="B269" s="67" t="s">
        <v>748</v>
      </c>
      <c r="C269" s="67"/>
      <c r="D269" s="67" t="s">
        <v>749</v>
      </c>
      <c r="E269" s="67" t="s">
        <v>35</v>
      </c>
      <c r="F269" s="67" t="s">
        <v>750</v>
      </c>
      <c r="G269" s="67" t="s">
        <v>694</v>
      </c>
      <c r="H269" s="67"/>
      <c r="I269" s="67" t="s">
        <v>43</v>
      </c>
      <c r="J269" s="67"/>
      <c r="K269" s="67"/>
      <c r="L269" s="67" t="s">
        <v>751</v>
      </c>
      <c r="M269" s="67" t="s">
        <v>752</v>
      </c>
      <c r="N269" s="67"/>
      <c r="O269" s="67" t="s">
        <v>1599</v>
      </c>
      <c r="P269" s="67" t="s">
        <v>753</v>
      </c>
      <c r="Q269" s="67">
        <v>4190</v>
      </c>
      <c r="R269" s="67">
        <v>0</v>
      </c>
      <c r="S269" s="67">
        <v>0</v>
      </c>
      <c r="T269" s="67">
        <v>4040</v>
      </c>
      <c r="U269" s="67">
        <v>0</v>
      </c>
      <c r="V269" s="67">
        <v>0</v>
      </c>
      <c r="W269" s="67">
        <v>0</v>
      </c>
      <c r="X269" s="67">
        <v>0</v>
      </c>
      <c r="Y269" s="67">
        <v>0</v>
      </c>
      <c r="Z269" s="67">
        <v>0</v>
      </c>
      <c r="AA269" s="67">
        <v>0</v>
      </c>
      <c r="AB269" s="67">
        <v>0</v>
      </c>
      <c r="AC269" s="67">
        <v>0</v>
      </c>
      <c r="AD269" s="67">
        <v>0</v>
      </c>
      <c r="AE269" s="67">
        <v>0</v>
      </c>
      <c r="AF269" s="67">
        <v>0</v>
      </c>
      <c r="AG269" s="67">
        <v>0</v>
      </c>
      <c r="AH269" s="67">
        <v>0</v>
      </c>
      <c r="AI269" s="67">
        <v>0</v>
      </c>
      <c r="AJ269" s="67">
        <v>0</v>
      </c>
      <c r="AK269" s="67">
        <v>0</v>
      </c>
      <c r="AL269" s="67">
        <v>0</v>
      </c>
      <c r="AM269" s="67">
        <v>0</v>
      </c>
      <c r="AN269" s="67">
        <v>150</v>
      </c>
      <c r="AO269" s="67">
        <v>0</v>
      </c>
      <c r="AP269" s="67">
        <v>0</v>
      </c>
      <c r="AQ269" s="67">
        <v>0</v>
      </c>
      <c r="AR269" s="67">
        <v>0</v>
      </c>
      <c r="AS269" s="67">
        <v>0</v>
      </c>
      <c r="AT269" s="67"/>
      <c r="AU269" s="67"/>
      <c r="AV269" s="67"/>
      <c r="AW269" s="67">
        <v>0</v>
      </c>
      <c r="AX269" s="67">
        <v>0</v>
      </c>
      <c r="AY269" s="67"/>
      <c r="AZ269" s="67"/>
      <c r="BA269" s="67"/>
      <c r="BB269" s="67"/>
      <c r="BC269" s="67"/>
      <c r="BD269" s="67"/>
      <c r="BE269" s="67"/>
      <c r="BG269" s="67"/>
      <c r="BH269" s="67"/>
      <c r="BI269" s="67"/>
      <c r="BJ269" s="67">
        <v>0</v>
      </c>
      <c r="BK269" s="67"/>
      <c r="BL269" s="67"/>
      <c r="BP269" s="67"/>
      <c r="BQ269" s="67">
        <v>0</v>
      </c>
      <c r="BR269" s="67"/>
      <c r="BS269" s="67"/>
      <c r="BT269" s="67">
        <v>0</v>
      </c>
      <c r="BU269" s="67">
        <v>0</v>
      </c>
      <c r="BV269" s="67"/>
      <c r="BW269" s="67"/>
      <c r="BX269" s="67">
        <v>100</v>
      </c>
      <c r="BY269" s="67">
        <v>0</v>
      </c>
      <c r="BZ269" s="67">
        <v>100</v>
      </c>
      <c r="CA269" s="67"/>
      <c r="CB269" s="67">
        <v>0</v>
      </c>
      <c r="CC269" s="67"/>
      <c r="CD269" s="67"/>
      <c r="CE269" s="67">
        <v>0</v>
      </c>
      <c r="CF269" s="67"/>
      <c r="CG269" s="67"/>
      <c r="CH269" s="67"/>
      <c r="CI269" s="67"/>
      <c r="CJ269" s="67"/>
      <c r="CK269" s="67">
        <v>0</v>
      </c>
      <c r="CL269" s="67"/>
      <c r="CM269" s="67"/>
      <c r="CN269" s="67"/>
      <c r="CO269" s="67">
        <v>0</v>
      </c>
      <c r="CP269" s="67"/>
      <c r="CQ269" s="67"/>
      <c r="CR269" s="67"/>
      <c r="CS269" s="67"/>
      <c r="CT269" s="67"/>
      <c r="CU269" s="67">
        <v>0</v>
      </c>
      <c r="CV269" s="67"/>
      <c r="CW269" s="67"/>
      <c r="CX269" s="67"/>
      <c r="CY269" s="67">
        <v>0</v>
      </c>
      <c r="CZ269" s="67"/>
      <c r="DA269" s="67"/>
      <c r="DB269" s="67"/>
      <c r="DC269" s="67"/>
      <c r="DF269" s="67"/>
      <c r="DG269" s="67">
        <v>20</v>
      </c>
      <c r="DH269" s="67">
        <v>20</v>
      </c>
      <c r="DI269" s="67">
        <v>0</v>
      </c>
      <c r="DJ269" s="67"/>
      <c r="DK269" s="67">
        <v>0</v>
      </c>
      <c r="DL269" s="67">
        <v>0</v>
      </c>
      <c r="DM269" s="67">
        <v>0</v>
      </c>
      <c r="DN269" s="67"/>
      <c r="DO269" s="67"/>
      <c r="DP269" s="67"/>
      <c r="DQ269" s="67">
        <v>0</v>
      </c>
      <c r="DR269" s="67">
        <v>0</v>
      </c>
      <c r="DS269" s="67"/>
      <c r="DT269" s="67"/>
      <c r="DU269" s="67">
        <v>0</v>
      </c>
      <c r="DV269" s="67">
        <v>0</v>
      </c>
      <c r="DW269" s="67">
        <v>0</v>
      </c>
      <c r="DX269" s="67">
        <v>0</v>
      </c>
      <c r="DY269" s="67"/>
      <c r="DZ269" s="67">
        <v>0</v>
      </c>
      <c r="EA269" s="67"/>
      <c r="EB269" s="67">
        <v>0</v>
      </c>
      <c r="EC269" s="67"/>
      <c r="ED269" s="67">
        <v>0</v>
      </c>
      <c r="EE269" s="67"/>
      <c r="EF269" s="67">
        <v>0</v>
      </c>
      <c r="EG269" s="67"/>
      <c r="EH269" s="67"/>
      <c r="EI269" s="67"/>
      <c r="EJ269" s="67"/>
      <c r="EK269" s="67"/>
      <c r="EL269" s="67"/>
      <c r="EM269" s="67"/>
      <c r="EN269" s="67"/>
      <c r="EO269" s="67"/>
      <c r="EP269" s="67">
        <v>0</v>
      </c>
      <c r="EQ269" s="67">
        <v>50</v>
      </c>
      <c r="ER269" s="67">
        <v>50</v>
      </c>
      <c r="ES269" s="67"/>
      <c r="ET269">
        <v>0</v>
      </c>
      <c r="EX269" s="67"/>
      <c r="EY269" s="67"/>
      <c r="EZ269" s="67"/>
      <c r="FA269" s="67">
        <v>4310</v>
      </c>
      <c r="FB269" s="67">
        <v>0</v>
      </c>
      <c r="FC269" s="67"/>
      <c r="FD269" s="67"/>
      <c r="FE269" s="67"/>
      <c r="FF269" s="67"/>
      <c r="FG269" s="67"/>
      <c r="FH269" s="67"/>
      <c r="FI269" s="67" t="s">
        <v>1734</v>
      </c>
    </row>
    <row r="270" spans="2:165" x14ac:dyDescent="0.2">
      <c r="B270" s="67" t="s">
        <v>760</v>
      </c>
      <c r="C270" s="67"/>
      <c r="D270" s="67" t="s">
        <v>761</v>
      </c>
      <c r="E270" s="67" t="s">
        <v>23</v>
      </c>
      <c r="F270" s="67"/>
      <c r="G270" s="67" t="s">
        <v>694</v>
      </c>
      <c r="H270" s="67"/>
      <c r="I270" s="67" t="s">
        <v>43</v>
      </c>
      <c r="J270" s="67"/>
      <c r="K270" s="67"/>
      <c r="L270" s="67" t="s">
        <v>751</v>
      </c>
      <c r="M270" s="67" t="s">
        <v>752</v>
      </c>
      <c r="N270" s="67"/>
      <c r="O270" s="67" t="s">
        <v>1605</v>
      </c>
      <c r="P270" s="67"/>
      <c r="Q270" s="67">
        <v>0</v>
      </c>
      <c r="R270" s="67">
        <v>0</v>
      </c>
      <c r="S270" s="67">
        <v>0</v>
      </c>
      <c r="T270" s="67">
        <v>0</v>
      </c>
      <c r="U270" s="67">
        <v>0</v>
      </c>
      <c r="V270" s="67">
        <v>0</v>
      </c>
      <c r="W270" s="67">
        <v>0</v>
      </c>
      <c r="X270" s="67">
        <v>0</v>
      </c>
      <c r="Y270" s="67">
        <v>0</v>
      </c>
      <c r="Z270" s="67">
        <v>0</v>
      </c>
      <c r="AA270" s="67">
        <v>0</v>
      </c>
      <c r="AB270" s="67">
        <v>0</v>
      </c>
      <c r="AC270" s="67">
        <v>0</v>
      </c>
      <c r="AD270" s="67">
        <v>0</v>
      </c>
      <c r="AE270" s="67">
        <v>0</v>
      </c>
      <c r="AF270" s="67">
        <v>0</v>
      </c>
      <c r="AG270" s="67">
        <v>0</v>
      </c>
      <c r="AH270" s="67">
        <v>0</v>
      </c>
      <c r="AI270" s="67">
        <v>0</v>
      </c>
      <c r="AJ270" s="67">
        <v>0</v>
      </c>
      <c r="AK270" s="67">
        <v>0</v>
      </c>
      <c r="AL270" s="67">
        <v>0</v>
      </c>
      <c r="AM270" s="67">
        <v>0</v>
      </c>
      <c r="AN270" s="67">
        <v>0</v>
      </c>
      <c r="AO270" s="67">
        <v>0</v>
      </c>
      <c r="AP270" s="67">
        <v>0</v>
      </c>
      <c r="AQ270" s="67">
        <v>0</v>
      </c>
      <c r="AR270" s="67">
        <v>0</v>
      </c>
      <c r="AS270" s="67">
        <v>0</v>
      </c>
      <c r="AT270" s="67"/>
      <c r="AU270" s="67"/>
      <c r="AV270" s="67"/>
      <c r="AW270" s="67">
        <v>0</v>
      </c>
      <c r="AX270" s="67">
        <v>0</v>
      </c>
      <c r="AY270" s="67"/>
      <c r="AZ270" s="67"/>
      <c r="BA270" s="67"/>
      <c r="BB270" s="67"/>
      <c r="BC270" s="67"/>
      <c r="BD270" s="67"/>
      <c r="BE270" s="67"/>
      <c r="BG270" s="67"/>
      <c r="BH270" s="67"/>
      <c r="BI270" s="67"/>
      <c r="BJ270" s="67">
        <v>0</v>
      </c>
      <c r="BK270" s="67"/>
      <c r="BL270" s="67"/>
      <c r="BP270" s="67"/>
      <c r="BQ270" s="67">
        <v>0</v>
      </c>
      <c r="BR270" s="67"/>
      <c r="BS270" s="67"/>
      <c r="BT270" s="67">
        <v>0</v>
      </c>
      <c r="BU270" s="67">
        <v>0</v>
      </c>
      <c r="BV270" s="67"/>
      <c r="BW270" s="67"/>
      <c r="BX270" s="67">
        <v>0</v>
      </c>
      <c r="BY270" s="67">
        <v>0</v>
      </c>
      <c r="BZ270" s="67">
        <v>0</v>
      </c>
      <c r="CA270" s="67"/>
      <c r="CB270" s="67">
        <v>0</v>
      </c>
      <c r="CC270" s="67"/>
      <c r="CD270" s="67"/>
      <c r="CE270" s="67">
        <v>0</v>
      </c>
      <c r="CF270" s="67"/>
      <c r="CG270" s="67"/>
      <c r="CH270" s="67"/>
      <c r="CI270" s="67"/>
      <c r="CJ270" s="67"/>
      <c r="CK270" s="67">
        <v>0</v>
      </c>
      <c r="CL270" s="67"/>
      <c r="CM270" s="67"/>
      <c r="CN270" s="67"/>
      <c r="CO270" s="67">
        <v>0</v>
      </c>
      <c r="CP270" s="67"/>
      <c r="CQ270" s="67"/>
      <c r="CR270" s="67"/>
      <c r="CS270" s="67"/>
      <c r="CT270" s="67"/>
      <c r="CU270" s="67">
        <v>0</v>
      </c>
      <c r="CV270" s="67"/>
      <c r="CW270" s="67"/>
      <c r="CX270" s="67"/>
      <c r="CY270" s="67">
        <v>0</v>
      </c>
      <c r="CZ270" s="67"/>
      <c r="DA270" s="67"/>
      <c r="DB270" s="67"/>
      <c r="DC270" s="67"/>
      <c r="DF270" s="67"/>
      <c r="DG270" s="67">
        <v>0</v>
      </c>
      <c r="DH270" s="67">
        <v>0</v>
      </c>
      <c r="DI270" s="67">
        <v>0</v>
      </c>
      <c r="DJ270" s="67"/>
      <c r="DK270" s="67">
        <v>0</v>
      </c>
      <c r="DL270" s="67">
        <v>0</v>
      </c>
      <c r="DM270" s="67">
        <v>0</v>
      </c>
      <c r="DN270" s="67"/>
      <c r="DO270" s="67"/>
      <c r="DP270" s="67"/>
      <c r="DQ270" s="67">
        <v>0</v>
      </c>
      <c r="DR270" s="67">
        <v>0</v>
      </c>
      <c r="DS270" s="67"/>
      <c r="DT270" s="67"/>
      <c r="DU270" s="67">
        <v>0</v>
      </c>
      <c r="DV270" s="67">
        <v>0</v>
      </c>
      <c r="DW270" s="67">
        <v>0</v>
      </c>
      <c r="DX270" s="67">
        <v>0</v>
      </c>
      <c r="DY270" s="67"/>
      <c r="DZ270" s="67">
        <v>0</v>
      </c>
      <c r="EA270" s="67"/>
      <c r="EB270" s="67">
        <v>0</v>
      </c>
      <c r="EC270" s="67"/>
      <c r="ED270" s="67">
        <v>0</v>
      </c>
      <c r="EE270" s="67"/>
      <c r="EF270" s="67">
        <v>0</v>
      </c>
      <c r="EG270" s="67"/>
      <c r="EH270" s="67"/>
      <c r="EI270" s="67"/>
      <c r="EJ270" s="67"/>
      <c r="EK270" s="67"/>
      <c r="EL270" s="67"/>
      <c r="EM270" s="67"/>
      <c r="EN270" s="67"/>
      <c r="EO270" s="67"/>
      <c r="EP270" s="67">
        <v>0</v>
      </c>
      <c r="EQ270" s="67">
        <v>0</v>
      </c>
      <c r="ER270" s="67">
        <v>0</v>
      </c>
      <c r="ES270" s="67"/>
      <c r="ET270">
        <v>0</v>
      </c>
      <c r="EX270" s="67"/>
      <c r="EY270" s="67"/>
      <c r="EZ270" s="67"/>
      <c r="FA270" s="67">
        <v>0</v>
      </c>
      <c r="FB270" s="67">
        <v>0</v>
      </c>
      <c r="FC270" s="67"/>
      <c r="FD270" s="67"/>
      <c r="FE270" s="67"/>
      <c r="FF270" s="67"/>
      <c r="FG270" s="67"/>
      <c r="FH270" s="67"/>
      <c r="FI270" s="67" t="s">
        <v>1734</v>
      </c>
    </row>
    <row r="271" spans="2:165" x14ac:dyDescent="0.2">
      <c r="B271" s="67" t="s">
        <v>762</v>
      </c>
      <c r="C271" s="67"/>
      <c r="D271" s="67" t="s">
        <v>763</v>
      </c>
      <c r="E271" s="67"/>
      <c r="F271" s="67"/>
      <c r="G271" s="67" t="s">
        <v>694</v>
      </c>
      <c r="H271" s="67"/>
      <c r="I271" s="67"/>
      <c r="J271" s="67"/>
      <c r="K271" s="67"/>
      <c r="L271" s="67"/>
      <c r="M271" s="67"/>
      <c r="N271" s="67"/>
      <c r="O271" s="67" t="s">
        <v>1605</v>
      </c>
      <c r="P271" s="67"/>
      <c r="Q271" s="67">
        <v>0</v>
      </c>
      <c r="R271" s="67">
        <v>0</v>
      </c>
      <c r="S271" s="67">
        <v>0</v>
      </c>
      <c r="T271" s="67">
        <v>0</v>
      </c>
      <c r="U271" s="67">
        <v>0</v>
      </c>
      <c r="V271" s="67">
        <v>0</v>
      </c>
      <c r="W271" s="67">
        <v>0</v>
      </c>
      <c r="X271" s="67">
        <v>0</v>
      </c>
      <c r="Y271" s="67">
        <v>0</v>
      </c>
      <c r="Z271" s="67">
        <v>0</v>
      </c>
      <c r="AA271" s="67">
        <v>0</v>
      </c>
      <c r="AB271" s="67">
        <v>0</v>
      </c>
      <c r="AC271" s="67">
        <v>0</v>
      </c>
      <c r="AD271" s="67">
        <v>0</v>
      </c>
      <c r="AE271" s="67">
        <v>0</v>
      </c>
      <c r="AF271" s="67">
        <v>0</v>
      </c>
      <c r="AG271" s="67">
        <v>0</v>
      </c>
      <c r="AH271" s="67">
        <v>0</v>
      </c>
      <c r="AI271" s="67">
        <v>0</v>
      </c>
      <c r="AJ271" s="67">
        <v>0</v>
      </c>
      <c r="AK271" s="67">
        <v>0</v>
      </c>
      <c r="AL271" s="67">
        <v>0</v>
      </c>
      <c r="AM271" s="67">
        <v>0</v>
      </c>
      <c r="AN271" s="67">
        <v>0</v>
      </c>
      <c r="AO271" s="67">
        <v>0</v>
      </c>
      <c r="AP271" s="67">
        <v>0</v>
      </c>
      <c r="AQ271" s="67">
        <v>0</v>
      </c>
      <c r="AR271" s="67">
        <v>0</v>
      </c>
      <c r="AS271" s="67">
        <v>0</v>
      </c>
      <c r="AT271" s="67"/>
      <c r="AU271" s="67"/>
      <c r="AV271" s="67"/>
      <c r="AW271" s="67">
        <v>0</v>
      </c>
      <c r="AX271" s="67">
        <v>0</v>
      </c>
      <c r="AY271" s="67"/>
      <c r="AZ271" s="67"/>
      <c r="BA271" s="67"/>
      <c r="BB271" s="67"/>
      <c r="BC271" s="67"/>
      <c r="BD271" s="67"/>
      <c r="BE271" s="67"/>
      <c r="BG271" s="67"/>
      <c r="BH271" s="67"/>
      <c r="BI271" s="67"/>
      <c r="BJ271" s="67">
        <v>0</v>
      </c>
      <c r="BK271" s="67"/>
      <c r="BL271" s="67"/>
      <c r="BP271" s="67"/>
      <c r="BQ271" s="67">
        <v>0</v>
      </c>
      <c r="BR271" s="67"/>
      <c r="BS271" s="67"/>
      <c r="BT271" s="67">
        <v>0</v>
      </c>
      <c r="BU271" s="67">
        <v>0</v>
      </c>
      <c r="BV271" s="67"/>
      <c r="BW271" s="67"/>
      <c r="BX271" s="67">
        <v>0</v>
      </c>
      <c r="BY271" s="67">
        <v>0</v>
      </c>
      <c r="BZ271" s="67">
        <v>0</v>
      </c>
      <c r="CA271" s="67"/>
      <c r="CB271" s="67">
        <v>0</v>
      </c>
      <c r="CC271" s="67"/>
      <c r="CD271" s="67"/>
      <c r="CE271" s="67">
        <v>0</v>
      </c>
      <c r="CF271" s="67"/>
      <c r="CG271" s="67"/>
      <c r="CH271" s="67"/>
      <c r="CI271" s="67"/>
      <c r="CJ271" s="67"/>
      <c r="CK271" s="67">
        <v>0</v>
      </c>
      <c r="CL271" s="67"/>
      <c r="CM271" s="67"/>
      <c r="CN271" s="67"/>
      <c r="CO271" s="67">
        <v>0</v>
      </c>
      <c r="CP271" s="67"/>
      <c r="CQ271" s="67"/>
      <c r="CR271" s="67"/>
      <c r="CS271" s="67"/>
      <c r="CT271" s="67"/>
      <c r="CU271" s="67">
        <v>0</v>
      </c>
      <c r="CV271" s="67"/>
      <c r="CW271" s="67"/>
      <c r="CX271" s="67"/>
      <c r="CY271" s="67">
        <v>0</v>
      </c>
      <c r="CZ271" s="67"/>
      <c r="DA271" s="67"/>
      <c r="DB271" s="67"/>
      <c r="DC271" s="67"/>
      <c r="DF271" s="67"/>
      <c r="DG271" s="67">
        <v>0</v>
      </c>
      <c r="DH271" s="67">
        <v>0</v>
      </c>
      <c r="DI271" s="67">
        <v>0</v>
      </c>
      <c r="DJ271" s="67"/>
      <c r="DK271" s="67">
        <v>0</v>
      </c>
      <c r="DL271" s="67">
        <v>0</v>
      </c>
      <c r="DM271" s="67">
        <v>0</v>
      </c>
      <c r="DN271" s="67"/>
      <c r="DO271" s="67"/>
      <c r="DP271" s="67"/>
      <c r="DQ271" s="67">
        <v>0</v>
      </c>
      <c r="DR271" s="67">
        <v>0</v>
      </c>
      <c r="DS271" s="67"/>
      <c r="DT271" s="67"/>
      <c r="DU271" s="67">
        <v>0</v>
      </c>
      <c r="DV271" s="67">
        <v>0</v>
      </c>
      <c r="DW271" s="67">
        <v>0</v>
      </c>
      <c r="DX271" s="67">
        <v>0</v>
      </c>
      <c r="DY271" s="67"/>
      <c r="DZ271" s="67">
        <v>0</v>
      </c>
      <c r="EA271" s="67"/>
      <c r="EB271" s="67">
        <v>0</v>
      </c>
      <c r="EC271" s="67"/>
      <c r="ED271" s="67">
        <v>0</v>
      </c>
      <c r="EE271" s="67"/>
      <c r="EF271" s="67">
        <v>0</v>
      </c>
      <c r="EG271" s="67"/>
      <c r="EH271" s="67"/>
      <c r="EI271" s="67"/>
      <c r="EJ271" s="67"/>
      <c r="EK271" s="67"/>
      <c r="EL271" s="67"/>
      <c r="EM271" s="67"/>
      <c r="EN271" s="67"/>
      <c r="EO271" s="67"/>
      <c r="EP271" s="67">
        <v>0</v>
      </c>
      <c r="EQ271" s="67">
        <v>0</v>
      </c>
      <c r="ER271" s="67">
        <v>0</v>
      </c>
      <c r="ES271" s="67"/>
      <c r="ET271">
        <v>0</v>
      </c>
      <c r="EX271" s="67"/>
      <c r="EY271" s="67"/>
      <c r="EZ271" s="67"/>
      <c r="FA271" s="67">
        <v>0</v>
      </c>
      <c r="FB271" s="67">
        <v>0</v>
      </c>
      <c r="FC271" s="67"/>
      <c r="FD271" s="67"/>
      <c r="FE271" s="67"/>
      <c r="FF271" s="67"/>
      <c r="FG271" s="67"/>
      <c r="FH271" s="67"/>
      <c r="FI271" s="67" t="s">
        <v>1734</v>
      </c>
    </row>
    <row r="272" spans="2:165" ht="24" x14ac:dyDescent="0.2">
      <c r="B272" s="67" t="s">
        <v>764</v>
      </c>
      <c r="C272" s="67"/>
      <c r="D272" s="67" t="s">
        <v>765</v>
      </c>
      <c r="E272" s="67" t="s">
        <v>13</v>
      </c>
      <c r="F272" s="67" t="s">
        <v>766</v>
      </c>
      <c r="G272" s="67" t="s">
        <v>694</v>
      </c>
      <c r="H272" s="67"/>
      <c r="I272" s="67" t="s">
        <v>41</v>
      </c>
      <c r="J272" s="67"/>
      <c r="K272" s="67"/>
      <c r="L272" s="67" t="s">
        <v>767</v>
      </c>
      <c r="M272" s="67" t="s">
        <v>752</v>
      </c>
      <c r="N272" s="67"/>
      <c r="O272" s="67" t="s">
        <v>1605</v>
      </c>
      <c r="P272" s="67"/>
      <c r="Q272" s="67">
        <v>0</v>
      </c>
      <c r="R272" s="67">
        <v>0</v>
      </c>
      <c r="S272" s="67">
        <v>0</v>
      </c>
      <c r="T272" s="67">
        <v>0</v>
      </c>
      <c r="U272" s="67">
        <v>0</v>
      </c>
      <c r="V272" s="67">
        <v>0</v>
      </c>
      <c r="W272" s="67">
        <v>0</v>
      </c>
      <c r="X272" s="67">
        <v>0</v>
      </c>
      <c r="Y272" s="67">
        <v>0</v>
      </c>
      <c r="Z272" s="67">
        <v>0</v>
      </c>
      <c r="AA272" s="67">
        <v>0</v>
      </c>
      <c r="AB272" s="67">
        <v>0</v>
      </c>
      <c r="AC272" s="67">
        <v>0</v>
      </c>
      <c r="AD272" s="67">
        <v>0</v>
      </c>
      <c r="AE272" s="67">
        <v>0</v>
      </c>
      <c r="AF272" s="67">
        <v>0</v>
      </c>
      <c r="AG272" s="67">
        <v>0</v>
      </c>
      <c r="AH272" s="67">
        <v>0</v>
      </c>
      <c r="AI272" s="67">
        <v>0</v>
      </c>
      <c r="AJ272" s="67">
        <v>0</v>
      </c>
      <c r="AK272" s="67">
        <v>0</v>
      </c>
      <c r="AL272" s="67">
        <v>0</v>
      </c>
      <c r="AM272" s="67">
        <v>0</v>
      </c>
      <c r="AN272" s="67">
        <v>0</v>
      </c>
      <c r="AO272" s="67">
        <v>0</v>
      </c>
      <c r="AP272" s="67">
        <v>0</v>
      </c>
      <c r="AQ272" s="67">
        <v>0</v>
      </c>
      <c r="AR272" s="67">
        <v>0</v>
      </c>
      <c r="AS272" s="67">
        <v>0</v>
      </c>
      <c r="AT272" s="67"/>
      <c r="AU272" s="67"/>
      <c r="AV272" s="67"/>
      <c r="AW272" s="67">
        <v>0</v>
      </c>
      <c r="AX272" s="67">
        <v>0</v>
      </c>
      <c r="AY272" s="67"/>
      <c r="AZ272" s="67"/>
      <c r="BA272" s="67"/>
      <c r="BB272" s="67"/>
      <c r="BC272" s="67"/>
      <c r="BD272" s="67"/>
      <c r="BE272" s="67"/>
      <c r="BG272" s="67"/>
      <c r="BH272" s="67"/>
      <c r="BI272" s="67"/>
      <c r="BJ272" s="67">
        <v>0</v>
      </c>
      <c r="BK272" s="67"/>
      <c r="BL272" s="67"/>
      <c r="BP272" s="67"/>
      <c r="BQ272" s="67">
        <v>0</v>
      </c>
      <c r="BR272" s="67"/>
      <c r="BS272" s="67"/>
      <c r="BT272" s="67">
        <v>0</v>
      </c>
      <c r="BU272" s="67">
        <v>0</v>
      </c>
      <c r="BV272" s="67"/>
      <c r="BW272" s="67"/>
      <c r="BX272" s="67">
        <v>0</v>
      </c>
      <c r="BY272" s="67">
        <v>0</v>
      </c>
      <c r="BZ272" s="67">
        <v>0</v>
      </c>
      <c r="CA272" s="67"/>
      <c r="CB272" s="67">
        <v>0</v>
      </c>
      <c r="CC272" s="67"/>
      <c r="CD272" s="67"/>
      <c r="CE272" s="67">
        <v>0</v>
      </c>
      <c r="CF272" s="67"/>
      <c r="CG272" s="67"/>
      <c r="CH272" s="67"/>
      <c r="CI272" s="67"/>
      <c r="CJ272" s="67"/>
      <c r="CK272" s="67">
        <v>0</v>
      </c>
      <c r="CL272" s="67"/>
      <c r="CM272" s="67"/>
      <c r="CN272" s="67"/>
      <c r="CO272" s="67">
        <v>0</v>
      </c>
      <c r="CP272" s="67"/>
      <c r="CQ272" s="67"/>
      <c r="CR272" s="67"/>
      <c r="CS272" s="67"/>
      <c r="CT272" s="67"/>
      <c r="CU272" s="67">
        <v>0</v>
      </c>
      <c r="CV272" s="67"/>
      <c r="CW272" s="67"/>
      <c r="CX272" s="67"/>
      <c r="CY272" s="67">
        <v>0</v>
      </c>
      <c r="CZ272" s="67"/>
      <c r="DA272" s="67"/>
      <c r="DB272" s="67"/>
      <c r="DC272" s="67"/>
      <c r="DF272" s="67"/>
      <c r="DG272" s="67">
        <v>0</v>
      </c>
      <c r="DH272" s="67">
        <v>0</v>
      </c>
      <c r="DI272" s="67">
        <v>0</v>
      </c>
      <c r="DJ272" s="67"/>
      <c r="DK272" s="67">
        <v>0</v>
      </c>
      <c r="DL272" s="67">
        <v>0</v>
      </c>
      <c r="DM272" s="67">
        <v>0</v>
      </c>
      <c r="DN272" s="67"/>
      <c r="DO272" s="67"/>
      <c r="DP272" s="67"/>
      <c r="DQ272" s="67">
        <v>0</v>
      </c>
      <c r="DR272" s="67">
        <v>0</v>
      </c>
      <c r="DS272" s="67"/>
      <c r="DT272" s="67"/>
      <c r="DU272" s="67">
        <v>0</v>
      </c>
      <c r="DV272" s="67">
        <v>0</v>
      </c>
      <c r="DW272" s="67">
        <v>0</v>
      </c>
      <c r="DX272" s="67">
        <v>0</v>
      </c>
      <c r="DY272" s="67"/>
      <c r="DZ272" s="67">
        <v>0</v>
      </c>
      <c r="EA272" s="67"/>
      <c r="EB272" s="67">
        <v>0</v>
      </c>
      <c r="EC272" s="67"/>
      <c r="ED272" s="67">
        <v>0</v>
      </c>
      <c r="EE272" s="67"/>
      <c r="EF272" s="67">
        <v>0</v>
      </c>
      <c r="EG272" s="67"/>
      <c r="EH272" s="67"/>
      <c r="EI272" s="67"/>
      <c r="EJ272" s="67"/>
      <c r="EK272" s="67"/>
      <c r="EL272" s="67"/>
      <c r="EM272" s="67"/>
      <c r="EN272" s="67"/>
      <c r="EO272" s="67"/>
      <c r="EP272" s="67">
        <v>0</v>
      </c>
      <c r="EQ272" s="67">
        <v>0</v>
      </c>
      <c r="ER272" s="67">
        <v>0</v>
      </c>
      <c r="ES272" s="67"/>
      <c r="ET272">
        <v>0</v>
      </c>
      <c r="EX272" s="67"/>
      <c r="EY272" s="67"/>
      <c r="EZ272" s="67"/>
      <c r="FA272" s="67">
        <v>0</v>
      </c>
      <c r="FB272" s="67">
        <v>0</v>
      </c>
      <c r="FC272" s="67"/>
      <c r="FD272" s="67"/>
      <c r="FE272" s="67"/>
      <c r="FF272" s="67"/>
      <c r="FG272" s="67"/>
      <c r="FH272" s="67"/>
      <c r="FI272" s="67" t="s">
        <v>1734</v>
      </c>
    </row>
    <row r="273" spans="2:165" ht="24" x14ac:dyDescent="0.2">
      <c r="B273" s="67" t="s">
        <v>772</v>
      </c>
      <c r="C273" s="67"/>
      <c r="D273" s="67" t="s">
        <v>773</v>
      </c>
      <c r="E273" s="67" t="s">
        <v>13</v>
      </c>
      <c r="F273" s="67" t="s">
        <v>766</v>
      </c>
      <c r="G273" s="67" t="s">
        <v>694</v>
      </c>
      <c r="H273" s="67"/>
      <c r="I273" s="67" t="s">
        <v>41</v>
      </c>
      <c r="J273" s="67"/>
      <c r="K273" s="67"/>
      <c r="L273" s="67" t="s">
        <v>767</v>
      </c>
      <c r="M273" s="67" t="s">
        <v>752</v>
      </c>
      <c r="N273" s="67"/>
      <c r="O273" s="67" t="s">
        <v>1605</v>
      </c>
      <c r="P273" s="67"/>
      <c r="Q273" s="67">
        <v>0</v>
      </c>
      <c r="R273" s="67">
        <v>0</v>
      </c>
      <c r="S273" s="67">
        <v>0</v>
      </c>
      <c r="T273" s="67">
        <v>0</v>
      </c>
      <c r="U273" s="67">
        <v>0</v>
      </c>
      <c r="V273" s="67">
        <v>0</v>
      </c>
      <c r="W273" s="67">
        <v>0</v>
      </c>
      <c r="X273" s="67">
        <v>0</v>
      </c>
      <c r="Y273" s="67">
        <v>0</v>
      </c>
      <c r="Z273" s="67">
        <v>0</v>
      </c>
      <c r="AA273" s="67">
        <v>0</v>
      </c>
      <c r="AB273" s="67">
        <v>0</v>
      </c>
      <c r="AC273" s="67">
        <v>0</v>
      </c>
      <c r="AD273" s="67">
        <v>0</v>
      </c>
      <c r="AE273" s="67">
        <v>0</v>
      </c>
      <c r="AF273" s="67">
        <v>0</v>
      </c>
      <c r="AG273" s="67">
        <v>0</v>
      </c>
      <c r="AH273" s="67">
        <v>0</v>
      </c>
      <c r="AI273" s="67">
        <v>0</v>
      </c>
      <c r="AJ273" s="67">
        <v>0</v>
      </c>
      <c r="AK273" s="67">
        <v>0</v>
      </c>
      <c r="AL273" s="67">
        <v>0</v>
      </c>
      <c r="AM273" s="67">
        <v>0</v>
      </c>
      <c r="AN273" s="67">
        <v>0</v>
      </c>
      <c r="AO273" s="67">
        <v>0</v>
      </c>
      <c r="AP273" s="67">
        <v>0</v>
      </c>
      <c r="AQ273" s="67">
        <v>0</v>
      </c>
      <c r="AR273" s="67">
        <v>0</v>
      </c>
      <c r="AS273" s="67">
        <v>0</v>
      </c>
      <c r="AT273" s="67"/>
      <c r="AU273" s="67"/>
      <c r="AV273" s="67"/>
      <c r="AW273" s="67">
        <v>0</v>
      </c>
      <c r="AX273" s="67">
        <v>0</v>
      </c>
      <c r="AY273" s="67"/>
      <c r="AZ273" s="67"/>
      <c r="BA273" s="67"/>
      <c r="BB273" s="67"/>
      <c r="BC273" s="67"/>
      <c r="BD273" s="67"/>
      <c r="BE273" s="67"/>
      <c r="BG273" s="67"/>
      <c r="BH273" s="67"/>
      <c r="BI273" s="67"/>
      <c r="BJ273" s="67">
        <v>0</v>
      </c>
      <c r="BK273" s="67"/>
      <c r="BL273" s="67"/>
      <c r="BP273" s="67"/>
      <c r="BQ273" s="67">
        <v>0</v>
      </c>
      <c r="BR273" s="67"/>
      <c r="BS273" s="67"/>
      <c r="BT273" s="67">
        <v>0</v>
      </c>
      <c r="BU273" s="67">
        <v>0</v>
      </c>
      <c r="BV273" s="67"/>
      <c r="BW273" s="67"/>
      <c r="BX273" s="67">
        <v>0</v>
      </c>
      <c r="BY273" s="67">
        <v>0</v>
      </c>
      <c r="BZ273" s="67">
        <v>0</v>
      </c>
      <c r="CA273" s="67"/>
      <c r="CB273" s="67">
        <v>0</v>
      </c>
      <c r="CC273" s="67"/>
      <c r="CD273" s="67"/>
      <c r="CE273" s="67">
        <v>0</v>
      </c>
      <c r="CF273" s="67"/>
      <c r="CG273" s="67"/>
      <c r="CH273" s="67"/>
      <c r="CI273" s="67"/>
      <c r="CJ273" s="67"/>
      <c r="CK273" s="67">
        <v>0</v>
      </c>
      <c r="CL273" s="67"/>
      <c r="CM273" s="67"/>
      <c r="CN273" s="67"/>
      <c r="CO273" s="67">
        <v>0</v>
      </c>
      <c r="CP273" s="67"/>
      <c r="CQ273" s="67"/>
      <c r="CR273" s="67"/>
      <c r="CS273" s="67"/>
      <c r="CT273" s="67"/>
      <c r="CU273" s="67">
        <v>0</v>
      </c>
      <c r="CV273" s="67"/>
      <c r="CW273" s="67"/>
      <c r="CX273" s="67"/>
      <c r="CY273" s="67">
        <v>0</v>
      </c>
      <c r="CZ273" s="67"/>
      <c r="DA273" s="67"/>
      <c r="DB273" s="67"/>
      <c r="DC273" s="67"/>
      <c r="DF273" s="67"/>
      <c r="DG273" s="67">
        <v>0</v>
      </c>
      <c r="DH273" s="67">
        <v>0</v>
      </c>
      <c r="DI273" s="67">
        <v>0</v>
      </c>
      <c r="DJ273" s="67"/>
      <c r="DK273" s="67">
        <v>0</v>
      </c>
      <c r="DL273" s="67">
        <v>0</v>
      </c>
      <c r="DM273" s="67">
        <v>0</v>
      </c>
      <c r="DN273" s="67"/>
      <c r="DO273" s="67"/>
      <c r="DP273" s="67"/>
      <c r="DQ273" s="67">
        <v>0</v>
      </c>
      <c r="DR273" s="67">
        <v>0</v>
      </c>
      <c r="DS273" s="67"/>
      <c r="DT273" s="67"/>
      <c r="DU273" s="67">
        <v>0</v>
      </c>
      <c r="DV273" s="67">
        <v>0</v>
      </c>
      <c r="DW273" s="67">
        <v>0</v>
      </c>
      <c r="DX273" s="67">
        <v>0</v>
      </c>
      <c r="DY273" s="67"/>
      <c r="DZ273" s="67">
        <v>0</v>
      </c>
      <c r="EA273" s="67"/>
      <c r="EB273" s="67">
        <v>0</v>
      </c>
      <c r="EC273" s="67"/>
      <c r="ED273" s="67">
        <v>0</v>
      </c>
      <c r="EE273" s="67"/>
      <c r="EF273" s="67">
        <v>0</v>
      </c>
      <c r="EG273" s="67"/>
      <c r="EH273" s="67"/>
      <c r="EI273" s="67"/>
      <c r="EJ273" s="67"/>
      <c r="EK273" s="67"/>
      <c r="EL273" s="67"/>
      <c r="EM273" s="67"/>
      <c r="EN273" s="67"/>
      <c r="EO273" s="67"/>
      <c r="EP273" s="67">
        <v>0</v>
      </c>
      <c r="EQ273" s="67">
        <v>0</v>
      </c>
      <c r="ER273" s="67">
        <v>0</v>
      </c>
      <c r="ES273" s="67"/>
      <c r="ET273">
        <v>0</v>
      </c>
      <c r="EX273" s="67"/>
      <c r="EY273" s="67"/>
      <c r="EZ273" s="67"/>
      <c r="FA273" s="67">
        <v>0</v>
      </c>
      <c r="FB273" s="67">
        <v>0</v>
      </c>
      <c r="FC273" s="67"/>
      <c r="FD273" s="67"/>
      <c r="FE273" s="67"/>
      <c r="FF273" s="67"/>
      <c r="FG273" s="67"/>
      <c r="FH273" s="67"/>
      <c r="FI273" s="67" t="s">
        <v>1734</v>
      </c>
    </row>
    <row r="274" spans="2:165" x14ac:dyDescent="0.2">
      <c r="B274" s="67" t="s">
        <v>775</v>
      </c>
      <c r="C274" s="67"/>
      <c r="D274" s="67" t="s">
        <v>776</v>
      </c>
      <c r="E274" s="67"/>
      <c r="F274" s="67" t="s">
        <v>766</v>
      </c>
      <c r="G274" s="67" t="s">
        <v>694</v>
      </c>
      <c r="H274" s="67"/>
      <c r="I274" s="67" t="s">
        <v>43</v>
      </c>
      <c r="J274" s="67"/>
      <c r="K274" s="67"/>
      <c r="L274" s="67" t="s">
        <v>767</v>
      </c>
      <c r="M274" s="67" t="s">
        <v>752</v>
      </c>
      <c r="N274" s="67"/>
      <c r="O274" s="67" t="s">
        <v>1605</v>
      </c>
      <c r="P274" s="67"/>
      <c r="Q274" s="67">
        <v>0</v>
      </c>
      <c r="R274" s="67">
        <v>0</v>
      </c>
      <c r="S274" s="67">
        <v>0</v>
      </c>
      <c r="T274" s="67">
        <v>0</v>
      </c>
      <c r="U274" s="67">
        <v>0</v>
      </c>
      <c r="V274" s="67">
        <v>0</v>
      </c>
      <c r="W274" s="67">
        <v>0</v>
      </c>
      <c r="X274" s="67">
        <v>0</v>
      </c>
      <c r="Y274" s="67">
        <v>0</v>
      </c>
      <c r="Z274" s="67">
        <v>0</v>
      </c>
      <c r="AA274" s="67">
        <v>0</v>
      </c>
      <c r="AB274" s="67">
        <v>0</v>
      </c>
      <c r="AC274" s="67">
        <v>0</v>
      </c>
      <c r="AD274" s="67">
        <v>0</v>
      </c>
      <c r="AE274" s="67">
        <v>0</v>
      </c>
      <c r="AF274" s="67">
        <v>0</v>
      </c>
      <c r="AG274" s="67">
        <v>0</v>
      </c>
      <c r="AH274" s="67">
        <v>0</v>
      </c>
      <c r="AI274" s="67">
        <v>0</v>
      </c>
      <c r="AJ274" s="67">
        <v>0</v>
      </c>
      <c r="AK274" s="67">
        <v>0</v>
      </c>
      <c r="AL274" s="67">
        <v>0</v>
      </c>
      <c r="AM274" s="67">
        <v>0</v>
      </c>
      <c r="AN274" s="67">
        <v>0</v>
      </c>
      <c r="AO274" s="67">
        <v>0</v>
      </c>
      <c r="AP274" s="67">
        <v>0</v>
      </c>
      <c r="AQ274" s="67">
        <v>0</v>
      </c>
      <c r="AR274" s="67">
        <v>0</v>
      </c>
      <c r="AS274" s="67">
        <v>0</v>
      </c>
      <c r="AT274" s="67"/>
      <c r="AU274" s="67"/>
      <c r="AV274" s="67"/>
      <c r="AW274" s="67">
        <v>0</v>
      </c>
      <c r="AX274" s="67">
        <v>0</v>
      </c>
      <c r="AY274" s="67"/>
      <c r="AZ274" s="67"/>
      <c r="BA274" s="67"/>
      <c r="BB274" s="67"/>
      <c r="BC274" s="67"/>
      <c r="BD274" s="67"/>
      <c r="BE274" s="67"/>
      <c r="BG274" s="67"/>
      <c r="BH274" s="67"/>
      <c r="BI274" s="67"/>
      <c r="BJ274" s="67">
        <v>0</v>
      </c>
      <c r="BK274" s="67"/>
      <c r="BL274" s="67"/>
      <c r="BP274" s="67"/>
      <c r="BQ274" s="67">
        <v>0</v>
      </c>
      <c r="BR274" s="67"/>
      <c r="BS274" s="67"/>
      <c r="BT274" s="67">
        <v>0</v>
      </c>
      <c r="BU274" s="67">
        <v>0</v>
      </c>
      <c r="BV274" s="67"/>
      <c r="BW274" s="67"/>
      <c r="BX274" s="67">
        <v>0</v>
      </c>
      <c r="BY274" s="67">
        <v>0</v>
      </c>
      <c r="BZ274" s="67">
        <v>0</v>
      </c>
      <c r="CA274" s="67"/>
      <c r="CB274" s="67">
        <v>0</v>
      </c>
      <c r="CC274" s="67"/>
      <c r="CD274" s="67"/>
      <c r="CE274" s="67">
        <v>0</v>
      </c>
      <c r="CF274" s="67"/>
      <c r="CG274" s="67"/>
      <c r="CH274" s="67"/>
      <c r="CI274" s="67"/>
      <c r="CJ274" s="67"/>
      <c r="CK274" s="67">
        <v>0</v>
      </c>
      <c r="CL274" s="67"/>
      <c r="CM274" s="67"/>
      <c r="CN274" s="67"/>
      <c r="CO274" s="67">
        <v>0</v>
      </c>
      <c r="CP274" s="67"/>
      <c r="CQ274" s="67"/>
      <c r="CR274" s="67"/>
      <c r="CS274" s="67"/>
      <c r="CT274" s="67"/>
      <c r="CU274" s="67">
        <v>0</v>
      </c>
      <c r="CV274" s="67"/>
      <c r="CW274" s="67"/>
      <c r="CX274" s="67"/>
      <c r="CY274" s="67">
        <v>0</v>
      </c>
      <c r="CZ274" s="67"/>
      <c r="DA274" s="67"/>
      <c r="DB274" s="67"/>
      <c r="DC274" s="67"/>
      <c r="DF274" s="67"/>
      <c r="DG274" s="67">
        <v>0</v>
      </c>
      <c r="DH274" s="67">
        <v>0</v>
      </c>
      <c r="DI274" s="67">
        <v>0</v>
      </c>
      <c r="DJ274" s="67"/>
      <c r="DK274" s="67">
        <v>0</v>
      </c>
      <c r="DL274" s="67">
        <v>0</v>
      </c>
      <c r="DM274" s="67">
        <v>0</v>
      </c>
      <c r="DN274" s="67"/>
      <c r="DO274" s="67"/>
      <c r="DP274" s="67"/>
      <c r="DQ274" s="67">
        <v>0</v>
      </c>
      <c r="DR274" s="67">
        <v>0</v>
      </c>
      <c r="DS274" s="67"/>
      <c r="DT274" s="67"/>
      <c r="DU274" s="67">
        <v>0</v>
      </c>
      <c r="DV274" s="67">
        <v>0</v>
      </c>
      <c r="DW274" s="67">
        <v>0</v>
      </c>
      <c r="DX274" s="67">
        <v>0</v>
      </c>
      <c r="DY274" s="67"/>
      <c r="DZ274" s="67">
        <v>0</v>
      </c>
      <c r="EA274" s="67"/>
      <c r="EB274" s="67">
        <v>0</v>
      </c>
      <c r="EC274" s="67"/>
      <c r="ED274" s="67">
        <v>0</v>
      </c>
      <c r="EE274" s="67"/>
      <c r="EF274" s="67">
        <v>0</v>
      </c>
      <c r="EG274" s="67"/>
      <c r="EH274" s="67"/>
      <c r="EI274" s="67"/>
      <c r="EJ274" s="67"/>
      <c r="EK274" s="67"/>
      <c r="EL274" s="67"/>
      <c r="EM274" s="67"/>
      <c r="EN274" s="67"/>
      <c r="EO274" s="67"/>
      <c r="EP274" s="67">
        <v>0</v>
      </c>
      <c r="EQ274" s="67">
        <v>0</v>
      </c>
      <c r="ER274" s="67">
        <v>0</v>
      </c>
      <c r="ES274" s="67"/>
      <c r="ET274">
        <v>0</v>
      </c>
      <c r="EX274" s="67"/>
      <c r="EY274" s="67"/>
      <c r="EZ274" s="67"/>
      <c r="FA274" s="67">
        <v>0</v>
      </c>
      <c r="FB274" s="67">
        <v>0</v>
      </c>
      <c r="FC274" s="67"/>
      <c r="FD274" s="67"/>
      <c r="FE274" s="67"/>
      <c r="FF274" s="67"/>
      <c r="FG274" s="67"/>
      <c r="FH274" s="67"/>
      <c r="FI274" s="67" t="s">
        <v>1734</v>
      </c>
    </row>
    <row r="275" spans="2:165" x14ac:dyDescent="0.2">
      <c r="B275" s="67" t="s">
        <v>777</v>
      </c>
      <c r="C275" s="67"/>
      <c r="D275" s="67" t="s">
        <v>778</v>
      </c>
      <c r="E275" s="67"/>
      <c r="F275" s="67"/>
      <c r="G275" s="67" t="s">
        <v>694</v>
      </c>
      <c r="H275" s="67"/>
      <c r="I275" s="67" t="s">
        <v>43</v>
      </c>
      <c r="J275" s="67"/>
      <c r="K275" s="67"/>
      <c r="L275" s="67" t="s">
        <v>779</v>
      </c>
      <c r="M275" s="67" t="s">
        <v>752</v>
      </c>
      <c r="N275" s="67"/>
      <c r="O275" s="67" t="s">
        <v>1599</v>
      </c>
      <c r="P275" s="67"/>
      <c r="Q275" s="67">
        <v>200</v>
      </c>
      <c r="R275" s="67">
        <v>0</v>
      </c>
      <c r="S275" s="67">
        <v>0</v>
      </c>
      <c r="T275" s="67">
        <v>0</v>
      </c>
      <c r="U275" s="67">
        <v>0</v>
      </c>
      <c r="V275" s="67">
        <v>0</v>
      </c>
      <c r="W275" s="67">
        <v>0</v>
      </c>
      <c r="X275" s="67">
        <v>0</v>
      </c>
      <c r="Y275" s="67">
        <v>0</v>
      </c>
      <c r="Z275" s="67">
        <v>0</v>
      </c>
      <c r="AA275" s="67">
        <v>0</v>
      </c>
      <c r="AB275" s="67">
        <v>0</v>
      </c>
      <c r="AC275" s="67">
        <v>0</v>
      </c>
      <c r="AD275" s="67">
        <v>0</v>
      </c>
      <c r="AE275" s="67">
        <v>0</v>
      </c>
      <c r="AF275" s="67">
        <v>0</v>
      </c>
      <c r="AG275" s="67">
        <v>0</v>
      </c>
      <c r="AH275" s="67">
        <v>0</v>
      </c>
      <c r="AI275" s="67">
        <v>200</v>
      </c>
      <c r="AJ275" s="67">
        <v>0</v>
      </c>
      <c r="AK275" s="67">
        <v>0</v>
      </c>
      <c r="AL275" s="67">
        <v>0</v>
      </c>
      <c r="AM275" s="67">
        <v>0</v>
      </c>
      <c r="AN275" s="67">
        <v>0</v>
      </c>
      <c r="AO275" s="67">
        <v>0</v>
      </c>
      <c r="AP275" s="67">
        <v>0</v>
      </c>
      <c r="AQ275" s="67">
        <v>0</v>
      </c>
      <c r="AR275" s="67">
        <v>0</v>
      </c>
      <c r="AS275" s="67">
        <v>0</v>
      </c>
      <c r="AT275" s="67"/>
      <c r="AU275" s="67"/>
      <c r="AV275" s="67"/>
      <c r="AW275" s="67">
        <v>0</v>
      </c>
      <c r="AX275" s="67">
        <v>0</v>
      </c>
      <c r="AY275" s="67"/>
      <c r="AZ275" s="67"/>
      <c r="BA275" s="67"/>
      <c r="BB275" s="67"/>
      <c r="BC275" s="67"/>
      <c r="BD275" s="67"/>
      <c r="BE275" s="67"/>
      <c r="BG275" s="67"/>
      <c r="BH275" s="67"/>
      <c r="BI275" s="67"/>
      <c r="BJ275" s="67">
        <v>0</v>
      </c>
      <c r="BK275" s="67"/>
      <c r="BL275" s="67"/>
      <c r="BP275" s="67"/>
      <c r="BQ275" s="67">
        <v>0</v>
      </c>
      <c r="BR275" s="67"/>
      <c r="BS275" s="67"/>
      <c r="BT275" s="67">
        <v>0</v>
      </c>
      <c r="BU275" s="67">
        <v>0</v>
      </c>
      <c r="BV275" s="67"/>
      <c r="BW275" s="67"/>
      <c r="BX275" s="67">
        <v>0</v>
      </c>
      <c r="BY275" s="67">
        <v>0</v>
      </c>
      <c r="BZ275" s="67">
        <v>0</v>
      </c>
      <c r="CA275" s="67"/>
      <c r="CB275" s="67">
        <v>0</v>
      </c>
      <c r="CC275" s="67"/>
      <c r="CD275" s="67"/>
      <c r="CE275" s="67">
        <v>0</v>
      </c>
      <c r="CF275" s="67"/>
      <c r="CG275" s="67"/>
      <c r="CH275" s="67"/>
      <c r="CI275" s="67"/>
      <c r="CJ275" s="67"/>
      <c r="CK275" s="67">
        <v>0</v>
      </c>
      <c r="CL275" s="67"/>
      <c r="CM275" s="67"/>
      <c r="CN275" s="67"/>
      <c r="CO275" s="67">
        <v>0</v>
      </c>
      <c r="CP275" s="67"/>
      <c r="CQ275" s="67"/>
      <c r="CR275" s="67"/>
      <c r="CS275" s="67"/>
      <c r="CT275" s="67"/>
      <c r="CU275" s="67">
        <v>0</v>
      </c>
      <c r="CV275" s="67"/>
      <c r="CW275" s="67"/>
      <c r="CX275" s="67"/>
      <c r="CY275" s="67">
        <v>0</v>
      </c>
      <c r="CZ275" s="67"/>
      <c r="DA275" s="67"/>
      <c r="DB275" s="67"/>
      <c r="DC275" s="67"/>
      <c r="DF275" s="67"/>
      <c r="DG275" s="67">
        <v>0</v>
      </c>
      <c r="DH275" s="67">
        <v>0</v>
      </c>
      <c r="DI275" s="67">
        <v>0</v>
      </c>
      <c r="DJ275" s="67"/>
      <c r="DK275" s="67">
        <v>0</v>
      </c>
      <c r="DL275" s="67">
        <v>0</v>
      </c>
      <c r="DM275" s="67">
        <v>0</v>
      </c>
      <c r="DN275" s="67"/>
      <c r="DO275" s="67"/>
      <c r="DP275" s="67"/>
      <c r="DQ275" s="67">
        <v>0</v>
      </c>
      <c r="DR275" s="67">
        <v>0</v>
      </c>
      <c r="DS275" s="67"/>
      <c r="DT275" s="67"/>
      <c r="DU275" s="67">
        <v>0</v>
      </c>
      <c r="DV275" s="67">
        <v>0</v>
      </c>
      <c r="DW275" s="67">
        <v>0</v>
      </c>
      <c r="DX275" s="67">
        <v>0</v>
      </c>
      <c r="DY275" s="67"/>
      <c r="DZ275" s="67">
        <v>0</v>
      </c>
      <c r="EA275" s="67"/>
      <c r="EB275" s="67">
        <v>0</v>
      </c>
      <c r="EC275" s="67"/>
      <c r="ED275" s="67">
        <v>0</v>
      </c>
      <c r="EE275" s="67"/>
      <c r="EF275" s="67">
        <v>0</v>
      </c>
      <c r="EG275" s="67"/>
      <c r="EH275" s="67"/>
      <c r="EI275" s="67"/>
      <c r="EJ275" s="67"/>
      <c r="EK275" s="67"/>
      <c r="EL275" s="67"/>
      <c r="EM275" s="67"/>
      <c r="EN275" s="67"/>
      <c r="EO275" s="67"/>
      <c r="EP275" s="67">
        <v>0</v>
      </c>
      <c r="EQ275" s="67">
        <v>0</v>
      </c>
      <c r="ER275" s="67">
        <v>0</v>
      </c>
      <c r="ES275" s="67"/>
      <c r="ET275">
        <v>0</v>
      </c>
      <c r="EX275" s="67"/>
      <c r="EY275" s="67"/>
      <c r="EZ275" s="67"/>
      <c r="FA275" s="67">
        <v>200</v>
      </c>
      <c r="FB275" s="67">
        <v>0</v>
      </c>
      <c r="FC275" s="67"/>
      <c r="FD275" s="67"/>
      <c r="FE275" s="67"/>
      <c r="FF275" s="67"/>
      <c r="FG275" s="67"/>
      <c r="FH275" s="67"/>
      <c r="FI275" s="67" t="s">
        <v>1734</v>
      </c>
    </row>
    <row r="276" spans="2:165" x14ac:dyDescent="0.2">
      <c r="B276" s="67" t="s">
        <v>784</v>
      </c>
      <c r="C276" s="67"/>
      <c r="D276" s="67" t="s">
        <v>785</v>
      </c>
      <c r="E276" s="67" t="s">
        <v>20</v>
      </c>
      <c r="F276" s="67"/>
      <c r="G276" s="67" t="s">
        <v>694</v>
      </c>
      <c r="H276" s="67"/>
      <c r="I276" s="67" t="s">
        <v>786</v>
      </c>
      <c r="J276" s="67"/>
      <c r="K276" s="67"/>
      <c r="L276" s="67" t="s">
        <v>787</v>
      </c>
      <c r="M276" s="67" t="s">
        <v>752</v>
      </c>
      <c r="N276" s="67"/>
      <c r="O276" s="67" t="s">
        <v>1599</v>
      </c>
      <c r="P276" s="67"/>
      <c r="Q276" s="67">
        <v>2070</v>
      </c>
      <c r="R276" s="67">
        <v>0</v>
      </c>
      <c r="S276" s="67">
        <v>0</v>
      </c>
      <c r="T276" s="67">
        <v>520</v>
      </c>
      <c r="U276" s="67">
        <v>0</v>
      </c>
      <c r="V276" s="67">
        <v>0</v>
      </c>
      <c r="W276" s="67">
        <v>560</v>
      </c>
      <c r="X276" s="67">
        <v>0</v>
      </c>
      <c r="Y276" s="67">
        <v>0</v>
      </c>
      <c r="Z276" s="67">
        <v>0</v>
      </c>
      <c r="AA276" s="67">
        <v>0</v>
      </c>
      <c r="AB276" s="67">
        <v>0</v>
      </c>
      <c r="AC276" s="67">
        <v>0</v>
      </c>
      <c r="AD276" s="67">
        <v>0</v>
      </c>
      <c r="AE276" s="67">
        <v>0</v>
      </c>
      <c r="AF276" s="67">
        <v>0</v>
      </c>
      <c r="AG276" s="67">
        <v>0</v>
      </c>
      <c r="AH276" s="67">
        <v>100</v>
      </c>
      <c r="AI276" s="67">
        <v>840</v>
      </c>
      <c r="AJ276" s="67">
        <v>0</v>
      </c>
      <c r="AK276" s="67">
        <v>0</v>
      </c>
      <c r="AL276" s="67">
        <v>0</v>
      </c>
      <c r="AM276" s="67">
        <v>0</v>
      </c>
      <c r="AN276" s="67">
        <v>50</v>
      </c>
      <c r="AO276" s="67">
        <v>0</v>
      </c>
      <c r="AP276" s="67">
        <v>0</v>
      </c>
      <c r="AQ276" s="67">
        <v>0</v>
      </c>
      <c r="AR276" s="67">
        <v>0</v>
      </c>
      <c r="AS276" s="67">
        <v>0</v>
      </c>
      <c r="AT276" s="67"/>
      <c r="AU276" s="67"/>
      <c r="AV276" s="67"/>
      <c r="AW276" s="67">
        <v>0</v>
      </c>
      <c r="AX276" s="67">
        <v>0</v>
      </c>
      <c r="AY276" s="67"/>
      <c r="AZ276" s="67"/>
      <c r="BA276" s="67"/>
      <c r="BB276" s="67"/>
      <c r="BC276" s="67"/>
      <c r="BD276" s="67"/>
      <c r="BE276" s="67"/>
      <c r="BG276" s="67"/>
      <c r="BH276" s="67"/>
      <c r="BI276" s="67"/>
      <c r="BJ276" s="67">
        <v>0</v>
      </c>
      <c r="BK276" s="67"/>
      <c r="BL276" s="67"/>
      <c r="BP276" s="67"/>
      <c r="BQ276" s="67">
        <v>0</v>
      </c>
      <c r="BR276" s="67"/>
      <c r="BS276" s="67"/>
      <c r="BT276" s="67">
        <v>0</v>
      </c>
      <c r="BU276" s="67">
        <v>0</v>
      </c>
      <c r="BV276" s="67"/>
      <c r="BW276" s="67"/>
      <c r="BX276" s="67">
        <v>0</v>
      </c>
      <c r="BY276" s="67">
        <v>0</v>
      </c>
      <c r="BZ276" s="67">
        <v>0</v>
      </c>
      <c r="CA276" s="67"/>
      <c r="CB276" s="67">
        <v>0</v>
      </c>
      <c r="CC276" s="67"/>
      <c r="CD276" s="67"/>
      <c r="CE276" s="67">
        <v>0</v>
      </c>
      <c r="CF276" s="67"/>
      <c r="CG276" s="67"/>
      <c r="CH276" s="67"/>
      <c r="CI276" s="67"/>
      <c r="CJ276" s="67"/>
      <c r="CK276" s="67">
        <v>0</v>
      </c>
      <c r="CL276" s="67"/>
      <c r="CM276" s="67"/>
      <c r="CN276" s="67"/>
      <c r="CO276" s="67">
        <v>0</v>
      </c>
      <c r="CP276" s="67"/>
      <c r="CQ276" s="67"/>
      <c r="CR276" s="67"/>
      <c r="CS276" s="67"/>
      <c r="CT276" s="67"/>
      <c r="CU276" s="67">
        <v>0</v>
      </c>
      <c r="CV276" s="67"/>
      <c r="CW276" s="67"/>
      <c r="CX276" s="67"/>
      <c r="CY276" s="67">
        <v>0</v>
      </c>
      <c r="CZ276" s="67"/>
      <c r="DA276" s="67"/>
      <c r="DB276" s="67"/>
      <c r="DC276" s="67"/>
      <c r="DF276" s="67"/>
      <c r="DG276" s="67">
        <v>0</v>
      </c>
      <c r="DH276" s="67">
        <v>0</v>
      </c>
      <c r="DI276" s="67">
        <v>0</v>
      </c>
      <c r="DJ276" s="67"/>
      <c r="DK276" s="67">
        <v>0</v>
      </c>
      <c r="DL276" s="67">
        <v>0</v>
      </c>
      <c r="DM276" s="67">
        <v>0</v>
      </c>
      <c r="DN276" s="67"/>
      <c r="DO276" s="67"/>
      <c r="DP276" s="67"/>
      <c r="DQ276" s="67">
        <v>0</v>
      </c>
      <c r="DR276" s="67">
        <v>0</v>
      </c>
      <c r="DS276" s="67"/>
      <c r="DT276" s="67"/>
      <c r="DU276" s="67">
        <v>0</v>
      </c>
      <c r="DV276" s="67">
        <v>0</v>
      </c>
      <c r="DW276" s="67">
        <v>0</v>
      </c>
      <c r="DX276" s="67">
        <v>0</v>
      </c>
      <c r="DY276" s="67"/>
      <c r="DZ276" s="67">
        <v>0</v>
      </c>
      <c r="EA276" s="67"/>
      <c r="EB276" s="67">
        <v>0</v>
      </c>
      <c r="EC276" s="67"/>
      <c r="ED276" s="67">
        <v>0</v>
      </c>
      <c r="EE276" s="67"/>
      <c r="EF276" s="67">
        <v>0</v>
      </c>
      <c r="EG276" s="67"/>
      <c r="EH276" s="67"/>
      <c r="EI276" s="67"/>
      <c r="EJ276" s="67"/>
      <c r="EK276" s="67"/>
      <c r="EL276" s="67"/>
      <c r="EM276" s="67"/>
      <c r="EN276" s="67"/>
      <c r="EO276" s="67"/>
      <c r="EP276" s="67">
        <v>0</v>
      </c>
      <c r="EQ276" s="67">
        <v>0</v>
      </c>
      <c r="ER276" s="67">
        <v>0</v>
      </c>
      <c r="ES276" s="67"/>
      <c r="ET276">
        <v>0</v>
      </c>
      <c r="EX276" s="67"/>
      <c r="EY276" s="67"/>
      <c r="EZ276" s="67"/>
      <c r="FA276" s="67">
        <v>2070</v>
      </c>
      <c r="FB276" s="67">
        <v>0</v>
      </c>
      <c r="FC276" s="67"/>
      <c r="FD276" s="67"/>
      <c r="FE276" s="67"/>
      <c r="FF276" s="67"/>
      <c r="FG276" s="67"/>
      <c r="FH276" s="67"/>
      <c r="FI276" s="67" t="s">
        <v>1734</v>
      </c>
    </row>
    <row r="277" spans="2:165" x14ac:dyDescent="0.2">
      <c r="B277" s="67" t="s">
        <v>793</v>
      </c>
      <c r="C277" s="67"/>
      <c r="D277" s="67" t="s">
        <v>794</v>
      </c>
      <c r="E277" s="67"/>
      <c r="F277" s="67"/>
      <c r="G277" s="67" t="s">
        <v>694</v>
      </c>
      <c r="H277" s="67"/>
      <c r="I277" s="67" t="s">
        <v>43</v>
      </c>
      <c r="J277" s="67"/>
      <c r="K277" s="67"/>
      <c r="L277" s="67" t="s">
        <v>751</v>
      </c>
      <c r="M277" s="67" t="s">
        <v>752</v>
      </c>
      <c r="N277" s="67"/>
      <c r="O277" s="67" t="s">
        <v>1605</v>
      </c>
      <c r="P277" s="67"/>
      <c r="Q277" s="67">
        <v>0</v>
      </c>
      <c r="R277" s="67">
        <v>0</v>
      </c>
      <c r="S277" s="67">
        <v>0</v>
      </c>
      <c r="T277" s="67">
        <v>0</v>
      </c>
      <c r="U277" s="67">
        <v>0</v>
      </c>
      <c r="V277" s="67">
        <v>0</v>
      </c>
      <c r="W277" s="67">
        <v>0</v>
      </c>
      <c r="X277" s="67">
        <v>0</v>
      </c>
      <c r="Y277" s="67">
        <v>0</v>
      </c>
      <c r="Z277" s="67">
        <v>0</v>
      </c>
      <c r="AA277" s="67">
        <v>0</v>
      </c>
      <c r="AB277" s="67">
        <v>0</v>
      </c>
      <c r="AC277" s="67">
        <v>0</v>
      </c>
      <c r="AD277" s="67">
        <v>0</v>
      </c>
      <c r="AE277" s="67">
        <v>0</v>
      </c>
      <c r="AF277" s="67">
        <v>0</v>
      </c>
      <c r="AG277" s="67">
        <v>0</v>
      </c>
      <c r="AH277" s="67">
        <v>0</v>
      </c>
      <c r="AI277" s="67">
        <v>0</v>
      </c>
      <c r="AJ277" s="67">
        <v>0</v>
      </c>
      <c r="AK277" s="67">
        <v>0</v>
      </c>
      <c r="AL277" s="67">
        <v>0</v>
      </c>
      <c r="AM277" s="67">
        <v>0</v>
      </c>
      <c r="AN277" s="67">
        <v>0</v>
      </c>
      <c r="AO277" s="67">
        <v>0</v>
      </c>
      <c r="AP277" s="67">
        <v>0</v>
      </c>
      <c r="AQ277" s="67">
        <v>0</v>
      </c>
      <c r="AR277" s="67">
        <v>0</v>
      </c>
      <c r="AS277" s="67">
        <v>0</v>
      </c>
      <c r="AT277" s="67"/>
      <c r="AU277" s="67"/>
      <c r="AV277" s="67"/>
      <c r="AW277" s="67">
        <v>0</v>
      </c>
      <c r="AX277" s="67">
        <v>0</v>
      </c>
      <c r="AY277" s="67"/>
      <c r="AZ277" s="67"/>
      <c r="BA277" s="67"/>
      <c r="BB277" s="67"/>
      <c r="BC277" s="67"/>
      <c r="BD277" s="67"/>
      <c r="BE277" s="67"/>
      <c r="BG277" s="67"/>
      <c r="BH277" s="67"/>
      <c r="BI277" s="67"/>
      <c r="BJ277" s="67">
        <v>0</v>
      </c>
      <c r="BK277" s="67"/>
      <c r="BL277" s="67"/>
      <c r="BP277" s="67"/>
      <c r="BQ277" s="67">
        <v>0</v>
      </c>
      <c r="BR277" s="67"/>
      <c r="BS277" s="67"/>
      <c r="BT277" s="67">
        <v>0</v>
      </c>
      <c r="BU277" s="67">
        <v>0</v>
      </c>
      <c r="BV277" s="67"/>
      <c r="BW277" s="67"/>
      <c r="BX277" s="67">
        <v>0</v>
      </c>
      <c r="BY277" s="67">
        <v>0</v>
      </c>
      <c r="BZ277" s="67">
        <v>0</v>
      </c>
      <c r="CA277" s="67"/>
      <c r="CB277" s="67">
        <v>0</v>
      </c>
      <c r="CC277" s="67"/>
      <c r="CD277" s="67"/>
      <c r="CE277" s="67">
        <v>0</v>
      </c>
      <c r="CF277" s="67"/>
      <c r="CG277" s="67"/>
      <c r="CH277" s="67"/>
      <c r="CI277" s="67"/>
      <c r="CJ277" s="67"/>
      <c r="CK277" s="67">
        <v>0</v>
      </c>
      <c r="CL277" s="67"/>
      <c r="CM277" s="67"/>
      <c r="CN277" s="67"/>
      <c r="CO277" s="67">
        <v>0</v>
      </c>
      <c r="CP277" s="67"/>
      <c r="CQ277" s="67"/>
      <c r="CR277" s="67"/>
      <c r="CS277" s="67"/>
      <c r="CT277" s="67"/>
      <c r="CU277" s="67">
        <v>0</v>
      </c>
      <c r="CV277" s="67"/>
      <c r="CW277" s="67"/>
      <c r="CX277" s="67"/>
      <c r="CY277" s="67">
        <v>0</v>
      </c>
      <c r="CZ277" s="67"/>
      <c r="DA277" s="67"/>
      <c r="DB277" s="67"/>
      <c r="DC277" s="67"/>
      <c r="DF277" s="67"/>
      <c r="DG277" s="67">
        <v>0</v>
      </c>
      <c r="DH277" s="67">
        <v>0</v>
      </c>
      <c r="DI277" s="67">
        <v>0</v>
      </c>
      <c r="DJ277" s="67"/>
      <c r="DK277" s="67">
        <v>0</v>
      </c>
      <c r="DL277" s="67">
        <v>0</v>
      </c>
      <c r="DM277" s="67">
        <v>0</v>
      </c>
      <c r="DN277" s="67"/>
      <c r="DO277" s="67"/>
      <c r="DP277" s="67"/>
      <c r="DQ277" s="67">
        <v>0</v>
      </c>
      <c r="DR277" s="67">
        <v>0</v>
      </c>
      <c r="DS277" s="67"/>
      <c r="DT277" s="67"/>
      <c r="DU277" s="67">
        <v>0</v>
      </c>
      <c r="DV277" s="67">
        <v>0</v>
      </c>
      <c r="DW277" s="67">
        <v>0</v>
      </c>
      <c r="DX277" s="67">
        <v>0</v>
      </c>
      <c r="DY277" s="67"/>
      <c r="DZ277" s="67">
        <v>0</v>
      </c>
      <c r="EA277" s="67"/>
      <c r="EB277" s="67">
        <v>0</v>
      </c>
      <c r="EC277" s="67"/>
      <c r="ED277" s="67">
        <v>0</v>
      </c>
      <c r="EE277" s="67"/>
      <c r="EF277" s="67">
        <v>0</v>
      </c>
      <c r="EG277" s="67"/>
      <c r="EH277" s="67"/>
      <c r="EI277" s="67"/>
      <c r="EJ277" s="67"/>
      <c r="EK277" s="67"/>
      <c r="EL277" s="67"/>
      <c r="EM277" s="67"/>
      <c r="EN277" s="67"/>
      <c r="EO277" s="67"/>
      <c r="EP277" s="67">
        <v>0</v>
      </c>
      <c r="EQ277" s="67">
        <v>0</v>
      </c>
      <c r="ER277" s="67">
        <v>0</v>
      </c>
      <c r="ES277" s="67"/>
      <c r="ET277">
        <v>0</v>
      </c>
      <c r="EX277" s="67"/>
      <c r="EY277" s="67"/>
      <c r="EZ277" s="67"/>
      <c r="FA277" s="67">
        <v>0</v>
      </c>
      <c r="FB277" s="67">
        <v>0</v>
      </c>
      <c r="FC277" s="67"/>
      <c r="FD277" s="67"/>
      <c r="FE277" s="67"/>
      <c r="FF277" s="67"/>
      <c r="FG277" s="67"/>
      <c r="FH277" s="67"/>
      <c r="FI277" s="67" t="s">
        <v>1734</v>
      </c>
    </row>
    <row r="278" spans="2:165" x14ac:dyDescent="0.2">
      <c r="B278" s="67" t="s">
        <v>795</v>
      </c>
      <c r="C278" s="67"/>
      <c r="D278" s="67" t="s">
        <v>796</v>
      </c>
      <c r="E278" s="67"/>
      <c r="F278" s="67"/>
      <c r="G278" s="67" t="s">
        <v>694</v>
      </c>
      <c r="H278" s="67"/>
      <c r="I278" s="67" t="s">
        <v>43</v>
      </c>
      <c r="J278" s="67"/>
      <c r="K278" s="67"/>
      <c r="L278" s="67" t="s">
        <v>779</v>
      </c>
      <c r="M278" s="67" t="s">
        <v>752</v>
      </c>
      <c r="N278" s="67"/>
      <c r="O278" s="67" t="s">
        <v>1599</v>
      </c>
      <c r="P278" s="67"/>
      <c r="Q278" s="67">
        <v>2842</v>
      </c>
      <c r="R278" s="67">
        <v>0</v>
      </c>
      <c r="S278" s="67">
        <v>0</v>
      </c>
      <c r="T278" s="67">
        <v>0</v>
      </c>
      <c r="U278" s="67">
        <v>0</v>
      </c>
      <c r="V278" s="67">
        <v>0</v>
      </c>
      <c r="W278" s="67">
        <v>520</v>
      </c>
      <c r="X278" s="67">
        <v>0</v>
      </c>
      <c r="Y278" s="67">
        <v>0</v>
      </c>
      <c r="Z278" s="67">
        <v>2322</v>
      </c>
      <c r="AA278" s="67">
        <v>0</v>
      </c>
      <c r="AB278" s="67">
        <v>0</v>
      </c>
      <c r="AC278" s="67">
        <v>0</v>
      </c>
      <c r="AD278" s="67">
        <v>0</v>
      </c>
      <c r="AE278" s="67">
        <v>0</v>
      </c>
      <c r="AF278" s="67">
        <v>0</v>
      </c>
      <c r="AG278" s="67">
        <v>0</v>
      </c>
      <c r="AH278" s="67">
        <v>0</v>
      </c>
      <c r="AI278" s="67">
        <v>0</v>
      </c>
      <c r="AJ278" s="67">
        <v>0</v>
      </c>
      <c r="AK278" s="67">
        <v>0</v>
      </c>
      <c r="AL278" s="67">
        <v>0</v>
      </c>
      <c r="AM278" s="67">
        <v>0</v>
      </c>
      <c r="AN278" s="67">
        <v>0</v>
      </c>
      <c r="AO278" s="67">
        <v>0</v>
      </c>
      <c r="AP278" s="67">
        <v>0</v>
      </c>
      <c r="AQ278" s="67">
        <v>0</v>
      </c>
      <c r="AR278" s="67">
        <v>0</v>
      </c>
      <c r="AS278" s="67">
        <v>0</v>
      </c>
      <c r="AT278" s="67"/>
      <c r="AU278" s="67"/>
      <c r="AV278" s="67"/>
      <c r="AW278" s="67">
        <v>0</v>
      </c>
      <c r="AX278" s="67">
        <v>0</v>
      </c>
      <c r="AY278" s="67"/>
      <c r="AZ278" s="67"/>
      <c r="BA278" s="67"/>
      <c r="BB278" s="67"/>
      <c r="BC278" s="67"/>
      <c r="BD278" s="67"/>
      <c r="BE278" s="67"/>
      <c r="BG278" s="67"/>
      <c r="BH278" s="67"/>
      <c r="BI278" s="67"/>
      <c r="BJ278" s="67">
        <v>0</v>
      </c>
      <c r="BK278" s="67"/>
      <c r="BL278" s="67"/>
      <c r="BP278" s="67"/>
      <c r="BQ278" s="67">
        <v>0</v>
      </c>
      <c r="BR278" s="67"/>
      <c r="BS278" s="67"/>
      <c r="BT278" s="67">
        <v>0</v>
      </c>
      <c r="BU278" s="67">
        <v>0</v>
      </c>
      <c r="BV278" s="67"/>
      <c r="BW278" s="67"/>
      <c r="BX278" s="67">
        <v>0</v>
      </c>
      <c r="BY278" s="67">
        <v>0</v>
      </c>
      <c r="BZ278" s="67">
        <v>0</v>
      </c>
      <c r="CA278" s="67"/>
      <c r="CB278" s="67">
        <v>0</v>
      </c>
      <c r="CC278" s="67"/>
      <c r="CD278" s="67"/>
      <c r="CE278" s="67">
        <v>0</v>
      </c>
      <c r="CF278" s="67"/>
      <c r="CG278" s="67"/>
      <c r="CH278" s="67"/>
      <c r="CI278" s="67"/>
      <c r="CJ278" s="67"/>
      <c r="CK278" s="67">
        <v>0</v>
      </c>
      <c r="CL278" s="67"/>
      <c r="CM278" s="67"/>
      <c r="CN278" s="67"/>
      <c r="CO278" s="67">
        <v>0</v>
      </c>
      <c r="CP278" s="67"/>
      <c r="CQ278" s="67"/>
      <c r="CR278" s="67"/>
      <c r="CS278" s="67"/>
      <c r="CT278" s="67"/>
      <c r="CU278" s="67">
        <v>0</v>
      </c>
      <c r="CV278" s="67"/>
      <c r="CW278" s="67"/>
      <c r="CX278" s="67"/>
      <c r="CY278" s="67">
        <v>0</v>
      </c>
      <c r="CZ278" s="67"/>
      <c r="DA278" s="67"/>
      <c r="DB278" s="67"/>
      <c r="DC278" s="67"/>
      <c r="DF278" s="67"/>
      <c r="DG278" s="67">
        <v>0</v>
      </c>
      <c r="DH278" s="67">
        <v>0</v>
      </c>
      <c r="DI278" s="67">
        <v>0</v>
      </c>
      <c r="DJ278" s="67"/>
      <c r="DK278" s="67">
        <v>0</v>
      </c>
      <c r="DL278" s="67">
        <v>0</v>
      </c>
      <c r="DM278" s="67">
        <v>0</v>
      </c>
      <c r="DN278" s="67"/>
      <c r="DO278" s="67"/>
      <c r="DP278" s="67"/>
      <c r="DQ278" s="67">
        <v>0</v>
      </c>
      <c r="DR278" s="67">
        <v>0</v>
      </c>
      <c r="DS278" s="67"/>
      <c r="DT278" s="67"/>
      <c r="DU278" s="67">
        <v>0</v>
      </c>
      <c r="DV278" s="67">
        <v>0</v>
      </c>
      <c r="DW278" s="67">
        <v>0</v>
      </c>
      <c r="DX278" s="67">
        <v>0</v>
      </c>
      <c r="DY278" s="67"/>
      <c r="DZ278" s="67">
        <v>0</v>
      </c>
      <c r="EA278" s="67"/>
      <c r="EB278" s="67">
        <v>0</v>
      </c>
      <c r="EC278" s="67"/>
      <c r="ED278" s="67">
        <v>0</v>
      </c>
      <c r="EE278" s="67"/>
      <c r="EF278" s="67">
        <v>0</v>
      </c>
      <c r="EG278" s="67"/>
      <c r="EH278" s="67"/>
      <c r="EI278" s="67"/>
      <c r="EJ278" s="67"/>
      <c r="EK278" s="67"/>
      <c r="EL278" s="67"/>
      <c r="EM278" s="67"/>
      <c r="EN278" s="67"/>
      <c r="EO278" s="67"/>
      <c r="EP278" s="67">
        <v>0</v>
      </c>
      <c r="EQ278" s="67">
        <v>0</v>
      </c>
      <c r="ER278" s="67">
        <v>0</v>
      </c>
      <c r="ES278" s="67"/>
      <c r="ET278">
        <v>0</v>
      </c>
      <c r="EX278" s="67"/>
      <c r="EY278" s="67"/>
      <c r="EZ278" s="67"/>
      <c r="FA278" s="67">
        <v>2842</v>
      </c>
      <c r="FB278" s="67">
        <v>0</v>
      </c>
      <c r="FC278" s="67"/>
      <c r="FD278" s="67"/>
      <c r="FE278" s="67"/>
      <c r="FF278" s="67"/>
      <c r="FG278" s="67"/>
      <c r="FH278" s="67"/>
      <c r="FI278" s="67" t="s">
        <v>1734</v>
      </c>
    </row>
    <row r="279" spans="2:165" x14ac:dyDescent="0.2">
      <c r="B279" s="67" t="s">
        <v>797</v>
      </c>
      <c r="C279" s="67"/>
      <c r="D279" s="67" t="s">
        <v>798</v>
      </c>
      <c r="E279" s="67" t="s">
        <v>23</v>
      </c>
      <c r="F279" s="67"/>
      <c r="G279" s="67" t="s">
        <v>694</v>
      </c>
      <c r="H279" s="67"/>
      <c r="I279" s="67" t="s">
        <v>43</v>
      </c>
      <c r="J279" s="67"/>
      <c r="K279" s="67"/>
      <c r="L279" s="67" t="s">
        <v>751</v>
      </c>
      <c r="M279" s="67" t="s">
        <v>752</v>
      </c>
      <c r="N279" s="67"/>
      <c r="O279" s="67" t="s">
        <v>1605</v>
      </c>
      <c r="P279" s="67"/>
      <c r="Q279" s="67">
        <v>0</v>
      </c>
      <c r="R279" s="67">
        <v>0</v>
      </c>
      <c r="S279" s="67">
        <v>0</v>
      </c>
      <c r="T279" s="67">
        <v>0</v>
      </c>
      <c r="U279" s="67">
        <v>0</v>
      </c>
      <c r="V279" s="67">
        <v>0</v>
      </c>
      <c r="W279" s="67">
        <v>0</v>
      </c>
      <c r="X279" s="67">
        <v>0</v>
      </c>
      <c r="Y279" s="67">
        <v>0</v>
      </c>
      <c r="Z279" s="67">
        <v>0</v>
      </c>
      <c r="AA279" s="67">
        <v>0</v>
      </c>
      <c r="AB279" s="67">
        <v>0</v>
      </c>
      <c r="AC279" s="67">
        <v>0</v>
      </c>
      <c r="AD279" s="67">
        <v>0</v>
      </c>
      <c r="AE279" s="67">
        <v>0</v>
      </c>
      <c r="AF279" s="67">
        <v>0</v>
      </c>
      <c r="AG279" s="67">
        <v>0</v>
      </c>
      <c r="AH279" s="67">
        <v>0</v>
      </c>
      <c r="AI279" s="67">
        <v>0</v>
      </c>
      <c r="AJ279" s="67">
        <v>0</v>
      </c>
      <c r="AK279" s="67">
        <v>0</v>
      </c>
      <c r="AL279" s="67">
        <v>0</v>
      </c>
      <c r="AM279" s="67">
        <v>0</v>
      </c>
      <c r="AN279" s="67">
        <v>0</v>
      </c>
      <c r="AO279" s="67">
        <v>0</v>
      </c>
      <c r="AP279" s="67">
        <v>0</v>
      </c>
      <c r="AQ279" s="67">
        <v>0</v>
      </c>
      <c r="AR279" s="67">
        <v>0</v>
      </c>
      <c r="AS279" s="67">
        <v>0</v>
      </c>
      <c r="AT279" s="67"/>
      <c r="AU279" s="67"/>
      <c r="AV279" s="67"/>
      <c r="AW279" s="67">
        <v>0</v>
      </c>
      <c r="AX279" s="67">
        <v>0</v>
      </c>
      <c r="AY279" s="67"/>
      <c r="AZ279" s="67"/>
      <c r="BA279" s="67"/>
      <c r="BB279" s="67"/>
      <c r="BC279" s="67"/>
      <c r="BD279" s="67"/>
      <c r="BE279" s="67"/>
      <c r="BG279" s="67"/>
      <c r="BH279" s="67"/>
      <c r="BI279" s="67"/>
      <c r="BJ279" s="67">
        <v>0</v>
      </c>
      <c r="BK279" s="67"/>
      <c r="BL279" s="67"/>
      <c r="BP279" s="67"/>
      <c r="BQ279" s="67">
        <v>0</v>
      </c>
      <c r="BR279" s="67"/>
      <c r="BS279" s="67"/>
      <c r="BT279" s="67">
        <v>0</v>
      </c>
      <c r="BU279" s="67">
        <v>0</v>
      </c>
      <c r="BV279" s="67"/>
      <c r="BW279" s="67"/>
      <c r="BX279" s="67">
        <v>0</v>
      </c>
      <c r="BY279" s="67">
        <v>0</v>
      </c>
      <c r="BZ279" s="67">
        <v>0</v>
      </c>
      <c r="CA279" s="67"/>
      <c r="CB279" s="67">
        <v>0</v>
      </c>
      <c r="CC279" s="67"/>
      <c r="CD279" s="67"/>
      <c r="CE279" s="67">
        <v>0</v>
      </c>
      <c r="CF279" s="67"/>
      <c r="CG279" s="67"/>
      <c r="CH279" s="67"/>
      <c r="CI279" s="67"/>
      <c r="CJ279" s="67"/>
      <c r="CK279" s="67">
        <v>0</v>
      </c>
      <c r="CL279" s="67"/>
      <c r="CM279" s="67"/>
      <c r="CN279" s="67"/>
      <c r="CO279" s="67">
        <v>0</v>
      </c>
      <c r="CP279" s="67"/>
      <c r="CQ279" s="67"/>
      <c r="CR279" s="67"/>
      <c r="CS279" s="67"/>
      <c r="CT279" s="67"/>
      <c r="CU279" s="67">
        <v>0</v>
      </c>
      <c r="CV279" s="67"/>
      <c r="CW279" s="67"/>
      <c r="CX279" s="67"/>
      <c r="CY279" s="67">
        <v>0</v>
      </c>
      <c r="CZ279" s="67"/>
      <c r="DA279" s="67"/>
      <c r="DB279" s="67"/>
      <c r="DC279" s="67"/>
      <c r="DF279" s="67"/>
      <c r="DG279" s="67">
        <v>0</v>
      </c>
      <c r="DH279" s="67">
        <v>0</v>
      </c>
      <c r="DI279" s="67">
        <v>0</v>
      </c>
      <c r="DJ279" s="67"/>
      <c r="DK279" s="67">
        <v>0</v>
      </c>
      <c r="DL279" s="67">
        <v>0</v>
      </c>
      <c r="DM279" s="67">
        <v>0</v>
      </c>
      <c r="DN279" s="67"/>
      <c r="DO279" s="67"/>
      <c r="DP279" s="67"/>
      <c r="DQ279" s="67">
        <v>0</v>
      </c>
      <c r="DR279" s="67">
        <v>0</v>
      </c>
      <c r="DS279" s="67"/>
      <c r="DT279" s="67"/>
      <c r="DU279" s="67">
        <v>0</v>
      </c>
      <c r="DV279" s="67">
        <v>0</v>
      </c>
      <c r="DW279" s="67">
        <v>0</v>
      </c>
      <c r="DX279" s="67">
        <v>0</v>
      </c>
      <c r="DY279" s="67"/>
      <c r="DZ279" s="67">
        <v>0</v>
      </c>
      <c r="EA279" s="67"/>
      <c r="EB279" s="67">
        <v>0</v>
      </c>
      <c r="EC279" s="67"/>
      <c r="ED279" s="67">
        <v>0</v>
      </c>
      <c r="EE279" s="67"/>
      <c r="EF279" s="67">
        <v>0</v>
      </c>
      <c r="EG279" s="67"/>
      <c r="EH279" s="67"/>
      <c r="EI279" s="67"/>
      <c r="EJ279" s="67"/>
      <c r="EK279" s="67"/>
      <c r="EL279" s="67"/>
      <c r="EM279" s="67"/>
      <c r="EN279" s="67"/>
      <c r="EO279" s="67"/>
      <c r="EP279" s="67">
        <v>0</v>
      </c>
      <c r="EQ279" s="67">
        <v>0</v>
      </c>
      <c r="ER279" s="67">
        <v>0</v>
      </c>
      <c r="ES279" s="67"/>
      <c r="ET279">
        <v>0</v>
      </c>
      <c r="EX279" s="67"/>
      <c r="EY279" s="67"/>
      <c r="EZ279" s="67"/>
      <c r="FA279" s="67">
        <v>0</v>
      </c>
      <c r="FB279" s="67">
        <v>0</v>
      </c>
      <c r="FC279" s="67"/>
      <c r="FD279" s="67"/>
      <c r="FE279" s="67"/>
      <c r="FF279" s="67"/>
      <c r="FG279" s="67"/>
      <c r="FH279" s="67"/>
      <c r="FI279" s="67" t="s">
        <v>1734</v>
      </c>
    </row>
    <row r="280" spans="2:165" x14ac:dyDescent="0.2">
      <c r="B280" s="67" t="s">
        <v>799</v>
      </c>
      <c r="C280" s="67"/>
      <c r="D280" s="67" t="s">
        <v>800</v>
      </c>
      <c r="E280" s="67" t="s">
        <v>23</v>
      </c>
      <c r="F280" s="67" t="s">
        <v>766</v>
      </c>
      <c r="G280" s="67" t="s">
        <v>694</v>
      </c>
      <c r="H280" s="67"/>
      <c r="I280" s="67" t="s">
        <v>43</v>
      </c>
      <c r="J280" s="67"/>
      <c r="K280" s="67"/>
      <c r="L280" s="67" t="s">
        <v>767</v>
      </c>
      <c r="M280" s="67" t="s">
        <v>752</v>
      </c>
      <c r="N280" s="67"/>
      <c r="O280" s="67" t="s">
        <v>1605</v>
      </c>
      <c r="P280" s="67"/>
      <c r="Q280" s="67">
        <v>0</v>
      </c>
      <c r="R280" s="67">
        <v>0</v>
      </c>
      <c r="S280" s="67">
        <v>0</v>
      </c>
      <c r="T280" s="67">
        <v>0</v>
      </c>
      <c r="U280" s="67">
        <v>0</v>
      </c>
      <c r="V280" s="67">
        <v>0</v>
      </c>
      <c r="W280" s="67">
        <v>0</v>
      </c>
      <c r="X280" s="67">
        <v>0</v>
      </c>
      <c r="Y280" s="67">
        <v>0</v>
      </c>
      <c r="Z280" s="67">
        <v>0</v>
      </c>
      <c r="AA280" s="67">
        <v>0</v>
      </c>
      <c r="AB280" s="67">
        <v>0</v>
      </c>
      <c r="AC280" s="67">
        <v>0</v>
      </c>
      <c r="AD280" s="67">
        <v>0</v>
      </c>
      <c r="AE280" s="67">
        <v>0</v>
      </c>
      <c r="AF280" s="67">
        <v>0</v>
      </c>
      <c r="AG280" s="67">
        <v>0</v>
      </c>
      <c r="AH280" s="67">
        <v>0</v>
      </c>
      <c r="AI280" s="67">
        <v>0</v>
      </c>
      <c r="AJ280" s="67">
        <v>0</v>
      </c>
      <c r="AK280" s="67">
        <v>0</v>
      </c>
      <c r="AL280" s="67">
        <v>0</v>
      </c>
      <c r="AM280" s="67">
        <v>0</v>
      </c>
      <c r="AN280" s="67">
        <v>0</v>
      </c>
      <c r="AO280" s="67">
        <v>0</v>
      </c>
      <c r="AP280" s="67">
        <v>0</v>
      </c>
      <c r="AQ280" s="67">
        <v>0</v>
      </c>
      <c r="AR280" s="67">
        <v>0</v>
      </c>
      <c r="AS280" s="67">
        <v>0</v>
      </c>
      <c r="AT280" s="67"/>
      <c r="AU280" s="67"/>
      <c r="AV280" s="67"/>
      <c r="AW280" s="67">
        <v>0</v>
      </c>
      <c r="AX280" s="67">
        <v>0</v>
      </c>
      <c r="AY280" s="67"/>
      <c r="AZ280" s="67"/>
      <c r="BA280" s="67"/>
      <c r="BB280" s="67"/>
      <c r="BC280" s="67"/>
      <c r="BD280" s="67"/>
      <c r="BE280" s="67"/>
      <c r="BG280" s="67"/>
      <c r="BH280" s="67"/>
      <c r="BI280" s="67"/>
      <c r="BJ280" s="67">
        <v>0</v>
      </c>
      <c r="BK280" s="67"/>
      <c r="BL280" s="67"/>
      <c r="BP280" s="67"/>
      <c r="BQ280" s="67">
        <v>0</v>
      </c>
      <c r="BR280" s="67"/>
      <c r="BS280" s="67"/>
      <c r="BT280" s="67">
        <v>0</v>
      </c>
      <c r="BU280" s="67">
        <v>0</v>
      </c>
      <c r="BV280" s="67"/>
      <c r="BW280" s="67"/>
      <c r="BX280" s="67">
        <v>0</v>
      </c>
      <c r="BY280" s="67">
        <v>0</v>
      </c>
      <c r="BZ280" s="67">
        <v>0</v>
      </c>
      <c r="CA280" s="67"/>
      <c r="CB280" s="67">
        <v>0</v>
      </c>
      <c r="CC280" s="67"/>
      <c r="CD280" s="67"/>
      <c r="CE280" s="67">
        <v>0</v>
      </c>
      <c r="CF280" s="67"/>
      <c r="CG280" s="67"/>
      <c r="CH280" s="67"/>
      <c r="CI280" s="67"/>
      <c r="CJ280" s="67"/>
      <c r="CK280" s="67">
        <v>0</v>
      </c>
      <c r="CL280" s="67"/>
      <c r="CM280" s="67"/>
      <c r="CN280" s="67"/>
      <c r="CO280" s="67">
        <v>0</v>
      </c>
      <c r="CP280" s="67"/>
      <c r="CQ280" s="67"/>
      <c r="CR280" s="67"/>
      <c r="CS280" s="67"/>
      <c r="CT280" s="67"/>
      <c r="CU280" s="67">
        <v>0</v>
      </c>
      <c r="CV280" s="67"/>
      <c r="CW280" s="67"/>
      <c r="CX280" s="67"/>
      <c r="CY280" s="67">
        <v>0</v>
      </c>
      <c r="CZ280" s="67"/>
      <c r="DA280" s="67"/>
      <c r="DB280" s="67"/>
      <c r="DC280" s="67"/>
      <c r="DF280" s="67"/>
      <c r="DG280" s="67">
        <v>0</v>
      </c>
      <c r="DH280" s="67">
        <v>0</v>
      </c>
      <c r="DI280" s="67">
        <v>0</v>
      </c>
      <c r="DJ280" s="67"/>
      <c r="DK280" s="67">
        <v>0</v>
      </c>
      <c r="DL280" s="67">
        <v>0</v>
      </c>
      <c r="DM280" s="67">
        <v>0</v>
      </c>
      <c r="DN280" s="67"/>
      <c r="DO280" s="67"/>
      <c r="DP280" s="67"/>
      <c r="DQ280" s="67">
        <v>0</v>
      </c>
      <c r="DR280" s="67">
        <v>0</v>
      </c>
      <c r="DS280" s="67"/>
      <c r="DT280" s="67"/>
      <c r="DU280" s="67">
        <v>0</v>
      </c>
      <c r="DV280" s="67">
        <v>0</v>
      </c>
      <c r="DW280" s="67">
        <v>0</v>
      </c>
      <c r="DX280" s="67">
        <v>0</v>
      </c>
      <c r="DY280" s="67"/>
      <c r="DZ280" s="67">
        <v>0</v>
      </c>
      <c r="EA280" s="67"/>
      <c r="EB280" s="67">
        <v>0</v>
      </c>
      <c r="EC280" s="67"/>
      <c r="ED280" s="67">
        <v>0</v>
      </c>
      <c r="EE280" s="67"/>
      <c r="EF280" s="67">
        <v>0</v>
      </c>
      <c r="EG280" s="67"/>
      <c r="EH280" s="67"/>
      <c r="EI280" s="67"/>
      <c r="EJ280" s="67"/>
      <c r="EK280" s="67"/>
      <c r="EL280" s="67"/>
      <c r="EM280" s="67"/>
      <c r="EN280" s="67"/>
      <c r="EO280" s="67"/>
      <c r="EP280" s="67">
        <v>0</v>
      </c>
      <c r="EQ280" s="67">
        <v>0</v>
      </c>
      <c r="ER280" s="67">
        <v>0</v>
      </c>
      <c r="ES280" s="67"/>
      <c r="ET280">
        <v>0</v>
      </c>
      <c r="EX280" s="67"/>
      <c r="EY280" s="67"/>
      <c r="EZ280" s="67"/>
      <c r="FA280" s="67">
        <v>0</v>
      </c>
      <c r="FB280" s="67">
        <v>0</v>
      </c>
      <c r="FC280" s="67"/>
      <c r="FD280" s="67"/>
      <c r="FE280" s="67"/>
      <c r="FF280" s="67"/>
      <c r="FG280" s="67"/>
      <c r="FH280" s="67"/>
      <c r="FI280" s="67" t="s">
        <v>1734</v>
      </c>
    </row>
    <row r="281" spans="2:165" x14ac:dyDescent="0.2">
      <c r="B281" s="67" t="s">
        <v>802</v>
      </c>
      <c r="C281" s="67"/>
      <c r="D281" s="67" t="s">
        <v>803</v>
      </c>
      <c r="E281" s="67" t="s">
        <v>23</v>
      </c>
      <c r="F281" s="67" t="s">
        <v>766</v>
      </c>
      <c r="G281" s="67" t="s">
        <v>694</v>
      </c>
      <c r="H281" s="67"/>
      <c r="I281" s="67" t="s">
        <v>43</v>
      </c>
      <c r="J281" s="67"/>
      <c r="K281" s="67"/>
      <c r="L281" s="67" t="s">
        <v>767</v>
      </c>
      <c r="M281" s="67" t="s">
        <v>752</v>
      </c>
      <c r="N281" s="67"/>
      <c r="O281" s="67" t="s">
        <v>1605</v>
      </c>
      <c r="P281" s="67"/>
      <c r="Q281" s="67">
        <v>0</v>
      </c>
      <c r="R281" s="67">
        <v>0</v>
      </c>
      <c r="S281" s="67">
        <v>0</v>
      </c>
      <c r="T281" s="67">
        <v>0</v>
      </c>
      <c r="U281" s="67">
        <v>0</v>
      </c>
      <c r="V281" s="67">
        <v>0</v>
      </c>
      <c r="W281" s="67">
        <v>0</v>
      </c>
      <c r="X281" s="67">
        <v>0</v>
      </c>
      <c r="Y281" s="67">
        <v>0</v>
      </c>
      <c r="Z281" s="67">
        <v>0</v>
      </c>
      <c r="AA281" s="67">
        <v>0</v>
      </c>
      <c r="AB281" s="67">
        <v>0</v>
      </c>
      <c r="AC281" s="67">
        <v>0</v>
      </c>
      <c r="AD281" s="67">
        <v>0</v>
      </c>
      <c r="AE281" s="67">
        <v>0</v>
      </c>
      <c r="AF281" s="67">
        <v>0</v>
      </c>
      <c r="AG281" s="67">
        <v>0</v>
      </c>
      <c r="AH281" s="67">
        <v>0</v>
      </c>
      <c r="AI281" s="67">
        <v>0</v>
      </c>
      <c r="AJ281" s="67">
        <v>0</v>
      </c>
      <c r="AK281" s="67">
        <v>0</v>
      </c>
      <c r="AL281" s="67">
        <v>0</v>
      </c>
      <c r="AM281" s="67">
        <v>0</v>
      </c>
      <c r="AN281" s="67">
        <v>0</v>
      </c>
      <c r="AO281" s="67">
        <v>0</v>
      </c>
      <c r="AP281" s="67">
        <v>0</v>
      </c>
      <c r="AQ281" s="67">
        <v>0</v>
      </c>
      <c r="AR281" s="67">
        <v>0</v>
      </c>
      <c r="AS281" s="67">
        <v>0</v>
      </c>
      <c r="AT281" s="67"/>
      <c r="AU281" s="67"/>
      <c r="AV281" s="67"/>
      <c r="AW281" s="67">
        <v>0</v>
      </c>
      <c r="AX281" s="67">
        <v>0</v>
      </c>
      <c r="AY281" s="67"/>
      <c r="AZ281" s="67"/>
      <c r="BA281" s="67"/>
      <c r="BB281" s="67"/>
      <c r="BC281" s="67"/>
      <c r="BD281" s="67"/>
      <c r="BE281" s="67"/>
      <c r="BG281" s="67"/>
      <c r="BH281" s="67"/>
      <c r="BI281" s="67"/>
      <c r="BJ281" s="67">
        <v>0</v>
      </c>
      <c r="BK281" s="67"/>
      <c r="BL281" s="67"/>
      <c r="BP281" s="67"/>
      <c r="BQ281" s="67">
        <v>0</v>
      </c>
      <c r="BR281" s="67"/>
      <c r="BS281" s="67"/>
      <c r="BT281" s="67">
        <v>0</v>
      </c>
      <c r="BU281" s="67">
        <v>0</v>
      </c>
      <c r="BV281" s="67"/>
      <c r="BW281" s="67"/>
      <c r="BX281" s="67">
        <v>0</v>
      </c>
      <c r="BY281" s="67">
        <v>0</v>
      </c>
      <c r="BZ281" s="67">
        <v>0</v>
      </c>
      <c r="CA281" s="67"/>
      <c r="CB281" s="67">
        <v>0</v>
      </c>
      <c r="CC281" s="67"/>
      <c r="CD281" s="67"/>
      <c r="CE281" s="67">
        <v>0</v>
      </c>
      <c r="CF281" s="67"/>
      <c r="CG281" s="67"/>
      <c r="CH281" s="67"/>
      <c r="CI281" s="67"/>
      <c r="CJ281" s="67"/>
      <c r="CK281" s="67">
        <v>0</v>
      </c>
      <c r="CL281" s="67"/>
      <c r="CM281" s="67"/>
      <c r="CN281" s="67"/>
      <c r="CO281" s="67">
        <v>0</v>
      </c>
      <c r="CP281" s="67"/>
      <c r="CQ281" s="67"/>
      <c r="CR281" s="67"/>
      <c r="CS281" s="67"/>
      <c r="CT281" s="67"/>
      <c r="CU281" s="67">
        <v>0</v>
      </c>
      <c r="CV281" s="67"/>
      <c r="CW281" s="67"/>
      <c r="CX281" s="67"/>
      <c r="CY281" s="67">
        <v>0</v>
      </c>
      <c r="CZ281" s="67"/>
      <c r="DA281" s="67"/>
      <c r="DB281" s="67"/>
      <c r="DC281" s="67"/>
      <c r="DF281" s="67"/>
      <c r="DG281" s="67">
        <v>0</v>
      </c>
      <c r="DH281" s="67">
        <v>0</v>
      </c>
      <c r="DI281" s="67">
        <v>0</v>
      </c>
      <c r="DJ281" s="67"/>
      <c r="DK281" s="67">
        <v>0</v>
      </c>
      <c r="DL281" s="67">
        <v>0</v>
      </c>
      <c r="DM281" s="67">
        <v>0</v>
      </c>
      <c r="DN281" s="67"/>
      <c r="DO281" s="67"/>
      <c r="DP281" s="67"/>
      <c r="DQ281" s="67">
        <v>0</v>
      </c>
      <c r="DR281" s="67">
        <v>0</v>
      </c>
      <c r="DS281" s="67"/>
      <c r="DT281" s="67"/>
      <c r="DU281" s="67">
        <v>0</v>
      </c>
      <c r="DV281" s="67">
        <v>0</v>
      </c>
      <c r="DW281" s="67">
        <v>0</v>
      </c>
      <c r="DX281" s="67">
        <v>0</v>
      </c>
      <c r="DY281" s="67"/>
      <c r="DZ281" s="67">
        <v>0</v>
      </c>
      <c r="EA281" s="67"/>
      <c r="EB281" s="67">
        <v>0</v>
      </c>
      <c r="EC281" s="67"/>
      <c r="ED281" s="67">
        <v>0</v>
      </c>
      <c r="EE281" s="67"/>
      <c r="EF281" s="67">
        <v>0</v>
      </c>
      <c r="EG281" s="67"/>
      <c r="EH281" s="67"/>
      <c r="EI281" s="67"/>
      <c r="EJ281" s="67"/>
      <c r="EK281" s="67"/>
      <c r="EL281" s="67"/>
      <c r="EM281" s="67"/>
      <c r="EN281" s="67"/>
      <c r="EO281" s="67"/>
      <c r="EP281" s="67">
        <v>0</v>
      </c>
      <c r="EQ281" s="67">
        <v>0</v>
      </c>
      <c r="ER281" s="67">
        <v>0</v>
      </c>
      <c r="ES281" s="67"/>
      <c r="ET281">
        <v>0</v>
      </c>
      <c r="EX281" s="67"/>
      <c r="EY281" s="67"/>
      <c r="EZ281" s="67"/>
      <c r="FA281" s="67">
        <v>0</v>
      </c>
      <c r="FB281" s="67">
        <v>0</v>
      </c>
      <c r="FC281" s="67"/>
      <c r="FD281" s="67"/>
      <c r="FE281" s="67"/>
      <c r="FF281" s="67"/>
      <c r="FG281" s="67"/>
      <c r="FH281" s="67"/>
      <c r="FI281" s="67" t="s">
        <v>1734</v>
      </c>
    </row>
    <row r="282" spans="2:165" ht="24" x14ac:dyDescent="0.2">
      <c r="B282" s="67" t="s">
        <v>804</v>
      </c>
      <c r="C282" s="67"/>
      <c r="D282" s="67" t="s">
        <v>805</v>
      </c>
      <c r="E282" s="67" t="s">
        <v>13</v>
      </c>
      <c r="F282" s="67" t="s">
        <v>766</v>
      </c>
      <c r="G282" s="67" t="s">
        <v>694</v>
      </c>
      <c r="H282" s="67"/>
      <c r="I282" s="67" t="s">
        <v>43</v>
      </c>
      <c r="J282" s="67"/>
      <c r="K282" s="67"/>
      <c r="L282" s="67" t="s">
        <v>767</v>
      </c>
      <c r="M282" s="67" t="s">
        <v>752</v>
      </c>
      <c r="N282" s="67"/>
      <c r="O282" s="67" t="s">
        <v>1605</v>
      </c>
      <c r="P282" s="67"/>
      <c r="Q282" s="67">
        <v>0</v>
      </c>
      <c r="R282" s="67">
        <v>0</v>
      </c>
      <c r="S282" s="67">
        <v>0</v>
      </c>
      <c r="T282" s="67">
        <v>0</v>
      </c>
      <c r="U282" s="67">
        <v>0</v>
      </c>
      <c r="V282" s="67">
        <v>0</v>
      </c>
      <c r="W282" s="67">
        <v>0</v>
      </c>
      <c r="X282" s="67">
        <v>0</v>
      </c>
      <c r="Y282" s="67">
        <v>0</v>
      </c>
      <c r="Z282" s="67">
        <v>0</v>
      </c>
      <c r="AA282" s="67">
        <v>0</v>
      </c>
      <c r="AB282" s="67">
        <v>0</v>
      </c>
      <c r="AC282" s="67">
        <v>0</v>
      </c>
      <c r="AD282" s="67">
        <v>0</v>
      </c>
      <c r="AE282" s="67">
        <v>0</v>
      </c>
      <c r="AF282" s="67">
        <v>0</v>
      </c>
      <c r="AG282" s="67">
        <v>0</v>
      </c>
      <c r="AH282" s="67">
        <v>0</v>
      </c>
      <c r="AI282" s="67">
        <v>0</v>
      </c>
      <c r="AJ282" s="67">
        <v>0</v>
      </c>
      <c r="AK282" s="67">
        <v>0</v>
      </c>
      <c r="AL282" s="67">
        <v>0</v>
      </c>
      <c r="AM282" s="67">
        <v>0</v>
      </c>
      <c r="AN282" s="67">
        <v>0</v>
      </c>
      <c r="AO282" s="67">
        <v>0</v>
      </c>
      <c r="AP282" s="67">
        <v>0</v>
      </c>
      <c r="AQ282" s="67">
        <v>0</v>
      </c>
      <c r="AR282" s="67">
        <v>0</v>
      </c>
      <c r="AS282" s="67">
        <v>0</v>
      </c>
      <c r="AT282" s="67"/>
      <c r="AU282" s="67"/>
      <c r="AV282" s="67"/>
      <c r="AW282" s="67">
        <v>0</v>
      </c>
      <c r="AX282" s="67">
        <v>0</v>
      </c>
      <c r="AY282" s="67"/>
      <c r="AZ282" s="67"/>
      <c r="BA282" s="67"/>
      <c r="BB282" s="67"/>
      <c r="BC282" s="67"/>
      <c r="BD282" s="67"/>
      <c r="BE282" s="67"/>
      <c r="BG282" s="67"/>
      <c r="BH282" s="67"/>
      <c r="BI282" s="67"/>
      <c r="BJ282" s="67">
        <v>0</v>
      </c>
      <c r="BK282" s="67"/>
      <c r="BL282" s="67"/>
      <c r="BP282" s="67"/>
      <c r="BQ282" s="67">
        <v>0</v>
      </c>
      <c r="BR282" s="67"/>
      <c r="BS282" s="67"/>
      <c r="BT282" s="67">
        <v>0</v>
      </c>
      <c r="BU282" s="67">
        <v>0</v>
      </c>
      <c r="BV282" s="67"/>
      <c r="BW282" s="67"/>
      <c r="BX282" s="67">
        <v>0</v>
      </c>
      <c r="BY282" s="67">
        <v>0</v>
      </c>
      <c r="BZ282" s="67">
        <v>0</v>
      </c>
      <c r="CA282" s="67"/>
      <c r="CB282" s="67">
        <v>0</v>
      </c>
      <c r="CC282" s="67"/>
      <c r="CD282" s="67"/>
      <c r="CE282" s="67">
        <v>0</v>
      </c>
      <c r="CF282" s="67"/>
      <c r="CG282" s="67"/>
      <c r="CH282" s="67"/>
      <c r="CI282" s="67"/>
      <c r="CJ282" s="67"/>
      <c r="CK282" s="67">
        <v>0</v>
      </c>
      <c r="CL282" s="67"/>
      <c r="CM282" s="67"/>
      <c r="CN282" s="67"/>
      <c r="CO282" s="67">
        <v>0</v>
      </c>
      <c r="CP282" s="67"/>
      <c r="CQ282" s="67"/>
      <c r="CR282" s="67"/>
      <c r="CS282" s="67"/>
      <c r="CT282" s="67"/>
      <c r="CU282" s="67">
        <v>0</v>
      </c>
      <c r="CV282" s="67"/>
      <c r="CW282" s="67"/>
      <c r="CX282" s="67"/>
      <c r="CY282" s="67">
        <v>0</v>
      </c>
      <c r="CZ282" s="67"/>
      <c r="DA282" s="67"/>
      <c r="DB282" s="67"/>
      <c r="DC282" s="67"/>
      <c r="DF282" s="67"/>
      <c r="DG282" s="67">
        <v>0</v>
      </c>
      <c r="DH282" s="67">
        <v>0</v>
      </c>
      <c r="DI282" s="67">
        <v>0</v>
      </c>
      <c r="DJ282" s="67"/>
      <c r="DK282" s="67">
        <v>0</v>
      </c>
      <c r="DL282" s="67">
        <v>0</v>
      </c>
      <c r="DM282" s="67">
        <v>0</v>
      </c>
      <c r="DN282" s="67"/>
      <c r="DO282" s="67"/>
      <c r="DP282" s="67"/>
      <c r="DQ282" s="67">
        <v>0</v>
      </c>
      <c r="DR282" s="67">
        <v>0</v>
      </c>
      <c r="DS282" s="67"/>
      <c r="DT282" s="67"/>
      <c r="DU282" s="67">
        <v>0</v>
      </c>
      <c r="DV282" s="67">
        <v>0</v>
      </c>
      <c r="DW282" s="67">
        <v>0</v>
      </c>
      <c r="DX282" s="67">
        <v>0</v>
      </c>
      <c r="DY282" s="67"/>
      <c r="DZ282" s="67">
        <v>0</v>
      </c>
      <c r="EA282" s="67"/>
      <c r="EB282" s="67">
        <v>0</v>
      </c>
      <c r="EC282" s="67"/>
      <c r="ED282" s="67">
        <v>0</v>
      </c>
      <c r="EE282" s="67"/>
      <c r="EF282" s="67">
        <v>0</v>
      </c>
      <c r="EG282" s="67"/>
      <c r="EH282" s="67"/>
      <c r="EI282" s="67"/>
      <c r="EJ282" s="67"/>
      <c r="EK282" s="67"/>
      <c r="EL282" s="67"/>
      <c r="EM282" s="67"/>
      <c r="EN282" s="67"/>
      <c r="EO282" s="67"/>
      <c r="EP282" s="67">
        <v>0</v>
      </c>
      <c r="EQ282" s="67">
        <v>0</v>
      </c>
      <c r="ER282" s="67">
        <v>0</v>
      </c>
      <c r="ES282" s="67"/>
      <c r="ET282">
        <v>0</v>
      </c>
      <c r="EX282" s="67"/>
      <c r="EY282" s="67"/>
      <c r="EZ282" s="67"/>
      <c r="FA282" s="67">
        <v>0</v>
      </c>
      <c r="FB282" s="67">
        <v>0</v>
      </c>
      <c r="FC282" s="67"/>
      <c r="FD282" s="67"/>
      <c r="FE282" s="67"/>
      <c r="FF282" s="67"/>
      <c r="FG282" s="67"/>
      <c r="FH282" s="67"/>
      <c r="FI282" s="67" t="s">
        <v>1734</v>
      </c>
    </row>
    <row r="283" spans="2:165" x14ac:dyDescent="0.2">
      <c r="B283" s="67" t="s">
        <v>806</v>
      </c>
      <c r="C283" s="67"/>
      <c r="D283" s="67" t="s">
        <v>807</v>
      </c>
      <c r="E283" s="67" t="s">
        <v>23</v>
      </c>
      <c r="F283" s="67" t="s">
        <v>766</v>
      </c>
      <c r="G283" s="67" t="s">
        <v>694</v>
      </c>
      <c r="H283" s="67"/>
      <c r="I283" s="67" t="s">
        <v>43</v>
      </c>
      <c r="J283" s="67"/>
      <c r="K283" s="67"/>
      <c r="L283" s="67" t="s">
        <v>767</v>
      </c>
      <c r="M283" s="67" t="s">
        <v>752</v>
      </c>
      <c r="N283" s="67"/>
      <c r="O283" s="67" t="s">
        <v>1605</v>
      </c>
      <c r="P283" s="67"/>
      <c r="Q283" s="67">
        <v>0</v>
      </c>
      <c r="R283" s="67">
        <v>0</v>
      </c>
      <c r="S283" s="67">
        <v>0</v>
      </c>
      <c r="T283" s="67">
        <v>0</v>
      </c>
      <c r="U283" s="67">
        <v>0</v>
      </c>
      <c r="V283" s="67">
        <v>0</v>
      </c>
      <c r="W283" s="67">
        <v>0</v>
      </c>
      <c r="X283" s="67">
        <v>0</v>
      </c>
      <c r="Y283" s="67">
        <v>0</v>
      </c>
      <c r="Z283" s="67">
        <v>0</v>
      </c>
      <c r="AA283" s="67">
        <v>0</v>
      </c>
      <c r="AB283" s="67">
        <v>0</v>
      </c>
      <c r="AC283" s="67">
        <v>0</v>
      </c>
      <c r="AD283" s="67">
        <v>0</v>
      </c>
      <c r="AE283" s="67">
        <v>0</v>
      </c>
      <c r="AF283" s="67">
        <v>0</v>
      </c>
      <c r="AG283" s="67">
        <v>0</v>
      </c>
      <c r="AH283" s="67">
        <v>0</v>
      </c>
      <c r="AI283" s="67">
        <v>0</v>
      </c>
      <c r="AJ283" s="67">
        <v>0</v>
      </c>
      <c r="AK283" s="67">
        <v>0</v>
      </c>
      <c r="AL283" s="67">
        <v>0</v>
      </c>
      <c r="AM283" s="67">
        <v>0</v>
      </c>
      <c r="AN283" s="67">
        <v>0</v>
      </c>
      <c r="AO283" s="67">
        <v>0</v>
      </c>
      <c r="AP283" s="67">
        <v>0</v>
      </c>
      <c r="AQ283" s="67">
        <v>0</v>
      </c>
      <c r="AR283" s="67">
        <v>0</v>
      </c>
      <c r="AS283" s="67">
        <v>0</v>
      </c>
      <c r="AT283" s="67"/>
      <c r="AU283" s="67"/>
      <c r="AV283" s="67"/>
      <c r="AW283" s="67">
        <v>0</v>
      </c>
      <c r="AX283" s="67">
        <v>0</v>
      </c>
      <c r="AY283" s="67"/>
      <c r="AZ283" s="67"/>
      <c r="BA283" s="67"/>
      <c r="BB283" s="67"/>
      <c r="BC283" s="67"/>
      <c r="BD283" s="67"/>
      <c r="BE283" s="67"/>
      <c r="BG283" s="67"/>
      <c r="BH283" s="67"/>
      <c r="BI283" s="67"/>
      <c r="BJ283" s="67">
        <v>0</v>
      </c>
      <c r="BK283" s="67"/>
      <c r="BL283" s="67"/>
      <c r="BP283" s="67"/>
      <c r="BQ283" s="67">
        <v>0</v>
      </c>
      <c r="BR283" s="67"/>
      <c r="BS283" s="67"/>
      <c r="BT283" s="67">
        <v>0</v>
      </c>
      <c r="BU283" s="67">
        <v>0</v>
      </c>
      <c r="BV283" s="67"/>
      <c r="BW283" s="67"/>
      <c r="BX283" s="67">
        <v>0</v>
      </c>
      <c r="BY283" s="67">
        <v>0</v>
      </c>
      <c r="BZ283" s="67">
        <v>0</v>
      </c>
      <c r="CA283" s="67"/>
      <c r="CB283" s="67">
        <v>0</v>
      </c>
      <c r="CC283" s="67"/>
      <c r="CD283" s="67"/>
      <c r="CE283" s="67">
        <v>0</v>
      </c>
      <c r="CF283" s="67"/>
      <c r="CG283" s="67"/>
      <c r="CH283" s="67"/>
      <c r="CI283" s="67"/>
      <c r="CJ283" s="67"/>
      <c r="CK283" s="67">
        <v>0</v>
      </c>
      <c r="CL283" s="67"/>
      <c r="CM283" s="67"/>
      <c r="CN283" s="67"/>
      <c r="CO283" s="67">
        <v>0</v>
      </c>
      <c r="CP283" s="67"/>
      <c r="CQ283" s="67"/>
      <c r="CR283" s="67"/>
      <c r="CS283" s="67"/>
      <c r="CT283" s="67"/>
      <c r="CU283" s="67">
        <v>0</v>
      </c>
      <c r="CV283" s="67"/>
      <c r="CW283" s="67"/>
      <c r="CX283" s="67"/>
      <c r="CY283" s="67">
        <v>0</v>
      </c>
      <c r="CZ283" s="67"/>
      <c r="DA283" s="67"/>
      <c r="DB283" s="67"/>
      <c r="DC283" s="67"/>
      <c r="DF283" s="67"/>
      <c r="DG283" s="67">
        <v>0</v>
      </c>
      <c r="DH283" s="67">
        <v>0</v>
      </c>
      <c r="DI283" s="67">
        <v>0</v>
      </c>
      <c r="DJ283" s="67"/>
      <c r="DK283" s="67">
        <v>0</v>
      </c>
      <c r="DL283" s="67">
        <v>0</v>
      </c>
      <c r="DM283" s="67">
        <v>0</v>
      </c>
      <c r="DN283" s="67"/>
      <c r="DO283" s="67"/>
      <c r="DP283" s="67"/>
      <c r="DQ283" s="67">
        <v>0</v>
      </c>
      <c r="DR283" s="67">
        <v>0</v>
      </c>
      <c r="DS283" s="67"/>
      <c r="DT283" s="67"/>
      <c r="DU283" s="67">
        <v>0</v>
      </c>
      <c r="DV283" s="67">
        <v>0</v>
      </c>
      <c r="DW283" s="67">
        <v>0</v>
      </c>
      <c r="DX283" s="67">
        <v>0</v>
      </c>
      <c r="DY283" s="67"/>
      <c r="DZ283" s="67">
        <v>0</v>
      </c>
      <c r="EA283" s="67"/>
      <c r="EB283" s="67">
        <v>0</v>
      </c>
      <c r="EC283" s="67"/>
      <c r="ED283" s="67">
        <v>0</v>
      </c>
      <c r="EE283" s="67"/>
      <c r="EF283" s="67">
        <v>0</v>
      </c>
      <c r="EG283" s="67"/>
      <c r="EH283" s="67"/>
      <c r="EI283" s="67"/>
      <c r="EJ283" s="67"/>
      <c r="EK283" s="67"/>
      <c r="EL283" s="67"/>
      <c r="EM283" s="67"/>
      <c r="EN283" s="67"/>
      <c r="EO283" s="67"/>
      <c r="EP283" s="67">
        <v>0</v>
      </c>
      <c r="EQ283" s="67">
        <v>0</v>
      </c>
      <c r="ER283" s="67">
        <v>0</v>
      </c>
      <c r="ES283" s="67"/>
      <c r="ET283">
        <v>0</v>
      </c>
      <c r="EX283" s="67"/>
      <c r="EY283" s="67"/>
      <c r="EZ283" s="67"/>
      <c r="FA283" s="67">
        <v>0</v>
      </c>
      <c r="FB283" s="67">
        <v>0</v>
      </c>
      <c r="FC283" s="67"/>
      <c r="FD283" s="67"/>
      <c r="FE283" s="67"/>
      <c r="FF283" s="67"/>
      <c r="FG283" s="67"/>
      <c r="FH283" s="67"/>
      <c r="FI283" s="67" t="s">
        <v>1734</v>
      </c>
    </row>
    <row r="284" spans="2:165" x14ac:dyDescent="0.2">
      <c r="B284" s="67" t="s">
        <v>808</v>
      </c>
      <c r="C284" s="67"/>
      <c r="D284" s="67" t="s">
        <v>809</v>
      </c>
      <c r="E284" s="67" t="s">
        <v>23</v>
      </c>
      <c r="F284" s="67" t="s">
        <v>810</v>
      </c>
      <c r="G284" s="67" t="s">
        <v>694</v>
      </c>
      <c r="H284" s="67"/>
      <c r="I284" s="67" t="s">
        <v>43</v>
      </c>
      <c r="J284" s="67"/>
      <c r="K284" s="67"/>
      <c r="L284" s="67" t="s">
        <v>779</v>
      </c>
      <c r="M284" s="67" t="s">
        <v>752</v>
      </c>
      <c r="N284" s="67"/>
      <c r="O284" s="67" t="s">
        <v>1599</v>
      </c>
      <c r="P284" s="67"/>
      <c r="Q284" s="67">
        <v>0</v>
      </c>
      <c r="R284" s="67">
        <v>0</v>
      </c>
      <c r="S284" s="67">
        <v>0</v>
      </c>
      <c r="T284" s="67">
        <v>0</v>
      </c>
      <c r="U284" s="67">
        <v>0</v>
      </c>
      <c r="V284" s="67">
        <v>0</v>
      </c>
      <c r="W284" s="67">
        <v>0</v>
      </c>
      <c r="X284" s="67">
        <v>0</v>
      </c>
      <c r="Y284" s="67">
        <v>0</v>
      </c>
      <c r="Z284" s="67">
        <v>0</v>
      </c>
      <c r="AA284" s="67">
        <v>0</v>
      </c>
      <c r="AB284" s="67">
        <v>0</v>
      </c>
      <c r="AC284" s="67">
        <v>0</v>
      </c>
      <c r="AD284" s="67">
        <v>0</v>
      </c>
      <c r="AE284" s="67">
        <v>0</v>
      </c>
      <c r="AF284" s="67">
        <v>0</v>
      </c>
      <c r="AG284" s="67">
        <v>0</v>
      </c>
      <c r="AH284" s="67">
        <v>0</v>
      </c>
      <c r="AI284" s="67">
        <v>0</v>
      </c>
      <c r="AJ284" s="67">
        <v>0</v>
      </c>
      <c r="AK284" s="67">
        <v>0</v>
      </c>
      <c r="AL284" s="67">
        <v>0</v>
      </c>
      <c r="AM284" s="67">
        <v>0</v>
      </c>
      <c r="AN284" s="67">
        <v>0</v>
      </c>
      <c r="AO284" s="67">
        <v>0</v>
      </c>
      <c r="AP284" s="67">
        <v>0</v>
      </c>
      <c r="AQ284" s="67">
        <v>0</v>
      </c>
      <c r="AR284" s="67">
        <v>0</v>
      </c>
      <c r="AS284" s="67">
        <v>0</v>
      </c>
      <c r="AT284" s="67"/>
      <c r="AU284" s="67"/>
      <c r="AV284" s="67"/>
      <c r="AW284" s="67">
        <v>0</v>
      </c>
      <c r="AX284" s="67">
        <v>0</v>
      </c>
      <c r="AY284" s="67"/>
      <c r="AZ284" s="67"/>
      <c r="BA284" s="67"/>
      <c r="BB284" s="67"/>
      <c r="BC284" s="67"/>
      <c r="BD284" s="67"/>
      <c r="BE284" s="67"/>
      <c r="BG284" s="67"/>
      <c r="BH284" s="67"/>
      <c r="BI284" s="67"/>
      <c r="BJ284" s="67">
        <v>0</v>
      </c>
      <c r="BK284" s="67"/>
      <c r="BL284" s="67"/>
      <c r="BP284" s="67"/>
      <c r="BQ284" s="67">
        <v>0</v>
      </c>
      <c r="BR284" s="67"/>
      <c r="BS284" s="67"/>
      <c r="BT284" s="67">
        <v>150</v>
      </c>
      <c r="BU284" s="67">
        <v>150</v>
      </c>
      <c r="BV284" s="67"/>
      <c r="BW284" s="67"/>
      <c r="BX284" s="67">
        <v>0</v>
      </c>
      <c r="BY284" s="67">
        <v>0</v>
      </c>
      <c r="BZ284" s="67">
        <v>0</v>
      </c>
      <c r="CA284" s="67"/>
      <c r="CB284" s="67">
        <v>0</v>
      </c>
      <c r="CC284" s="67"/>
      <c r="CD284" s="67"/>
      <c r="CE284" s="67">
        <v>0</v>
      </c>
      <c r="CF284" s="67"/>
      <c r="CG284" s="67"/>
      <c r="CH284" s="67"/>
      <c r="CI284" s="67"/>
      <c r="CJ284" s="67"/>
      <c r="CK284" s="67">
        <v>0</v>
      </c>
      <c r="CL284" s="67"/>
      <c r="CM284" s="67"/>
      <c r="CN284" s="67"/>
      <c r="CO284" s="67">
        <v>0</v>
      </c>
      <c r="CP284" s="67"/>
      <c r="CQ284" s="67"/>
      <c r="CR284" s="67"/>
      <c r="CS284" s="67"/>
      <c r="CT284" s="67"/>
      <c r="CU284" s="67">
        <v>0</v>
      </c>
      <c r="CV284" s="67"/>
      <c r="CW284" s="67"/>
      <c r="CX284" s="67"/>
      <c r="CY284" s="67">
        <v>0</v>
      </c>
      <c r="CZ284" s="67"/>
      <c r="DA284" s="67"/>
      <c r="DB284" s="67"/>
      <c r="DC284" s="67"/>
      <c r="DF284" s="67"/>
      <c r="DG284" s="67">
        <v>0</v>
      </c>
      <c r="DH284" s="67">
        <v>0</v>
      </c>
      <c r="DI284" s="67">
        <v>0</v>
      </c>
      <c r="DJ284" s="67"/>
      <c r="DK284" s="67">
        <v>0</v>
      </c>
      <c r="DL284" s="67">
        <v>0</v>
      </c>
      <c r="DM284" s="67">
        <v>0</v>
      </c>
      <c r="DN284" s="67"/>
      <c r="DO284" s="67"/>
      <c r="DP284" s="67"/>
      <c r="DQ284" s="67">
        <v>0</v>
      </c>
      <c r="DR284" s="67">
        <v>0</v>
      </c>
      <c r="DS284" s="67"/>
      <c r="DT284" s="67"/>
      <c r="DU284" s="67">
        <v>0</v>
      </c>
      <c r="DV284" s="67">
        <v>0</v>
      </c>
      <c r="DW284" s="67">
        <v>0</v>
      </c>
      <c r="DX284" s="67">
        <v>0</v>
      </c>
      <c r="DY284" s="67"/>
      <c r="DZ284" s="67">
        <v>0</v>
      </c>
      <c r="EA284" s="67"/>
      <c r="EB284" s="67">
        <v>0</v>
      </c>
      <c r="EC284" s="67"/>
      <c r="ED284" s="67">
        <v>0</v>
      </c>
      <c r="EE284" s="67"/>
      <c r="EF284" s="67">
        <v>0</v>
      </c>
      <c r="EG284" s="67"/>
      <c r="EH284" s="67"/>
      <c r="EI284" s="67"/>
      <c r="EJ284" s="67"/>
      <c r="EK284" s="67"/>
      <c r="EL284" s="67"/>
      <c r="EM284" s="67"/>
      <c r="EN284" s="67"/>
      <c r="EO284" s="67"/>
      <c r="EP284" s="67">
        <v>0</v>
      </c>
      <c r="EQ284" s="67">
        <v>0</v>
      </c>
      <c r="ER284" s="67">
        <v>0</v>
      </c>
      <c r="ES284" s="67"/>
      <c r="ET284">
        <v>0</v>
      </c>
      <c r="EX284" s="67"/>
      <c r="EY284" s="67"/>
      <c r="EZ284" s="67"/>
      <c r="FA284" s="67">
        <v>150</v>
      </c>
      <c r="FB284" s="67">
        <v>0</v>
      </c>
      <c r="FC284" s="67"/>
      <c r="FD284" s="67"/>
      <c r="FE284" s="67"/>
      <c r="FF284" s="67"/>
      <c r="FG284" s="67"/>
      <c r="FH284" s="67"/>
      <c r="FI284" s="67" t="s">
        <v>1734</v>
      </c>
    </row>
    <row r="285" spans="2:165" x14ac:dyDescent="0.2">
      <c r="B285" s="67" t="s">
        <v>812</v>
      </c>
      <c r="C285" s="67"/>
      <c r="D285" s="67" t="s">
        <v>813</v>
      </c>
      <c r="E285" s="67" t="s">
        <v>23</v>
      </c>
      <c r="F285" s="67"/>
      <c r="G285" s="67" t="s">
        <v>694</v>
      </c>
      <c r="H285" s="67"/>
      <c r="I285" s="67" t="s">
        <v>43</v>
      </c>
      <c r="J285" s="67"/>
      <c r="K285" s="67"/>
      <c r="L285" s="67" t="s">
        <v>779</v>
      </c>
      <c r="M285" s="67" t="s">
        <v>752</v>
      </c>
      <c r="N285" s="67"/>
      <c r="O285" s="67" t="s">
        <v>1605</v>
      </c>
      <c r="P285" s="67"/>
      <c r="Q285" s="67">
        <v>0</v>
      </c>
      <c r="R285" s="67">
        <v>0</v>
      </c>
      <c r="S285" s="67">
        <v>0</v>
      </c>
      <c r="T285" s="67">
        <v>0</v>
      </c>
      <c r="U285" s="67">
        <v>0</v>
      </c>
      <c r="V285" s="67">
        <v>0</v>
      </c>
      <c r="W285" s="67">
        <v>0</v>
      </c>
      <c r="X285" s="67">
        <v>0</v>
      </c>
      <c r="Y285" s="67">
        <v>0</v>
      </c>
      <c r="Z285" s="67">
        <v>0</v>
      </c>
      <c r="AA285" s="67">
        <v>0</v>
      </c>
      <c r="AB285" s="67">
        <v>0</v>
      </c>
      <c r="AC285" s="67">
        <v>0</v>
      </c>
      <c r="AD285" s="67">
        <v>0</v>
      </c>
      <c r="AE285" s="67">
        <v>0</v>
      </c>
      <c r="AF285" s="67">
        <v>0</v>
      </c>
      <c r="AG285" s="67">
        <v>0</v>
      </c>
      <c r="AH285" s="67">
        <v>0</v>
      </c>
      <c r="AI285" s="67">
        <v>0</v>
      </c>
      <c r="AJ285" s="67">
        <v>0</v>
      </c>
      <c r="AK285" s="67">
        <v>0</v>
      </c>
      <c r="AL285" s="67">
        <v>0</v>
      </c>
      <c r="AM285" s="67">
        <v>0</v>
      </c>
      <c r="AN285" s="67">
        <v>0</v>
      </c>
      <c r="AO285" s="67">
        <v>0</v>
      </c>
      <c r="AP285" s="67">
        <v>0</v>
      </c>
      <c r="AQ285" s="67">
        <v>0</v>
      </c>
      <c r="AR285" s="67">
        <v>0</v>
      </c>
      <c r="AS285" s="67">
        <v>0</v>
      </c>
      <c r="AT285" s="67"/>
      <c r="AU285" s="67"/>
      <c r="AV285" s="67"/>
      <c r="AW285" s="67">
        <v>0</v>
      </c>
      <c r="AX285" s="67">
        <v>0</v>
      </c>
      <c r="AY285" s="67"/>
      <c r="AZ285" s="67"/>
      <c r="BA285" s="67"/>
      <c r="BB285" s="67"/>
      <c r="BC285" s="67"/>
      <c r="BD285" s="67"/>
      <c r="BE285" s="67"/>
      <c r="BG285" s="67"/>
      <c r="BH285" s="67"/>
      <c r="BI285" s="67"/>
      <c r="BJ285" s="67">
        <v>0</v>
      </c>
      <c r="BK285" s="67"/>
      <c r="BL285" s="67"/>
      <c r="BP285" s="67"/>
      <c r="BQ285" s="67">
        <v>0</v>
      </c>
      <c r="BR285" s="67"/>
      <c r="BS285" s="67"/>
      <c r="BT285" s="67">
        <v>0</v>
      </c>
      <c r="BU285" s="67">
        <v>0</v>
      </c>
      <c r="BV285" s="67"/>
      <c r="BW285" s="67"/>
      <c r="BX285" s="67">
        <v>0</v>
      </c>
      <c r="BY285" s="67">
        <v>0</v>
      </c>
      <c r="BZ285" s="67">
        <v>0</v>
      </c>
      <c r="CA285" s="67"/>
      <c r="CB285" s="67">
        <v>0</v>
      </c>
      <c r="CC285" s="67"/>
      <c r="CD285" s="67"/>
      <c r="CE285" s="67">
        <v>0</v>
      </c>
      <c r="CF285" s="67"/>
      <c r="CG285" s="67"/>
      <c r="CH285" s="67"/>
      <c r="CI285" s="67"/>
      <c r="CJ285" s="67"/>
      <c r="CK285" s="67">
        <v>0</v>
      </c>
      <c r="CL285" s="67"/>
      <c r="CM285" s="67"/>
      <c r="CN285" s="67"/>
      <c r="CO285" s="67">
        <v>0</v>
      </c>
      <c r="CP285" s="67"/>
      <c r="CQ285" s="67"/>
      <c r="CR285" s="67"/>
      <c r="CS285" s="67"/>
      <c r="CT285" s="67"/>
      <c r="CU285" s="67">
        <v>0</v>
      </c>
      <c r="CV285" s="67"/>
      <c r="CW285" s="67"/>
      <c r="CX285" s="67"/>
      <c r="CY285" s="67">
        <v>0</v>
      </c>
      <c r="CZ285" s="67"/>
      <c r="DA285" s="67"/>
      <c r="DB285" s="67"/>
      <c r="DC285" s="67"/>
      <c r="DF285" s="67"/>
      <c r="DG285" s="67">
        <v>0</v>
      </c>
      <c r="DH285" s="67">
        <v>0</v>
      </c>
      <c r="DI285" s="67">
        <v>0</v>
      </c>
      <c r="DJ285" s="67"/>
      <c r="DK285" s="67">
        <v>0</v>
      </c>
      <c r="DL285" s="67">
        <v>0</v>
      </c>
      <c r="DM285" s="67">
        <v>0</v>
      </c>
      <c r="DN285" s="67"/>
      <c r="DO285" s="67"/>
      <c r="DP285" s="67"/>
      <c r="DQ285" s="67">
        <v>0</v>
      </c>
      <c r="DR285" s="67">
        <v>0</v>
      </c>
      <c r="DS285" s="67"/>
      <c r="DT285" s="67"/>
      <c r="DU285" s="67">
        <v>0</v>
      </c>
      <c r="DV285" s="67">
        <v>0</v>
      </c>
      <c r="DW285" s="67">
        <v>0</v>
      </c>
      <c r="DX285" s="67">
        <v>0</v>
      </c>
      <c r="DY285" s="67"/>
      <c r="DZ285" s="67">
        <v>0</v>
      </c>
      <c r="EA285" s="67"/>
      <c r="EB285" s="67">
        <v>0</v>
      </c>
      <c r="EC285" s="67"/>
      <c r="ED285" s="67">
        <v>0</v>
      </c>
      <c r="EE285" s="67"/>
      <c r="EF285" s="67">
        <v>0</v>
      </c>
      <c r="EG285" s="67"/>
      <c r="EH285" s="67"/>
      <c r="EI285" s="67"/>
      <c r="EJ285" s="67"/>
      <c r="EK285" s="67"/>
      <c r="EL285" s="67"/>
      <c r="EM285" s="67"/>
      <c r="EN285" s="67"/>
      <c r="EO285" s="67"/>
      <c r="EP285" s="67">
        <v>0</v>
      </c>
      <c r="EQ285" s="67">
        <v>0</v>
      </c>
      <c r="ER285" s="67">
        <v>0</v>
      </c>
      <c r="ES285" s="67"/>
      <c r="ET285">
        <v>0</v>
      </c>
      <c r="EX285" s="67"/>
      <c r="EY285" s="67"/>
      <c r="EZ285" s="67"/>
      <c r="FA285" s="67">
        <v>0</v>
      </c>
      <c r="FB285" s="67">
        <v>0</v>
      </c>
      <c r="FC285" s="67"/>
      <c r="FD285" s="67"/>
      <c r="FE285" s="67"/>
      <c r="FF285" s="67"/>
      <c r="FG285" s="67"/>
      <c r="FH285" s="67"/>
      <c r="FI285" s="67" t="s">
        <v>1734</v>
      </c>
    </row>
    <row r="286" spans="2:165" x14ac:dyDescent="0.2">
      <c r="B286" s="67" t="s">
        <v>815</v>
      </c>
      <c r="C286" s="67"/>
      <c r="D286" s="67" t="s">
        <v>816</v>
      </c>
      <c r="E286" s="67" t="s">
        <v>23</v>
      </c>
      <c r="F286" s="67" t="s">
        <v>810</v>
      </c>
      <c r="G286" s="67" t="s">
        <v>694</v>
      </c>
      <c r="H286" s="67"/>
      <c r="I286" s="67" t="s">
        <v>43</v>
      </c>
      <c r="J286" s="67"/>
      <c r="K286" s="67"/>
      <c r="L286" s="67" t="s">
        <v>779</v>
      </c>
      <c r="M286" s="67" t="s">
        <v>752</v>
      </c>
      <c r="N286" s="67"/>
      <c r="O286" s="67" t="s">
        <v>1605</v>
      </c>
      <c r="P286" s="67"/>
      <c r="Q286" s="67">
        <v>0</v>
      </c>
      <c r="R286" s="67">
        <v>0</v>
      </c>
      <c r="S286" s="67">
        <v>0</v>
      </c>
      <c r="T286" s="67">
        <v>0</v>
      </c>
      <c r="U286" s="67">
        <v>0</v>
      </c>
      <c r="V286" s="67">
        <v>0</v>
      </c>
      <c r="W286" s="67">
        <v>0</v>
      </c>
      <c r="X286" s="67">
        <v>0</v>
      </c>
      <c r="Y286" s="67">
        <v>0</v>
      </c>
      <c r="Z286" s="67">
        <v>0</v>
      </c>
      <c r="AA286" s="67">
        <v>0</v>
      </c>
      <c r="AB286" s="67">
        <v>0</v>
      </c>
      <c r="AC286" s="67">
        <v>0</v>
      </c>
      <c r="AD286" s="67">
        <v>0</v>
      </c>
      <c r="AE286" s="67">
        <v>0</v>
      </c>
      <c r="AF286" s="67">
        <v>0</v>
      </c>
      <c r="AG286" s="67">
        <v>0</v>
      </c>
      <c r="AH286" s="67">
        <v>0</v>
      </c>
      <c r="AI286" s="67">
        <v>0</v>
      </c>
      <c r="AJ286" s="67">
        <v>0</v>
      </c>
      <c r="AK286" s="67">
        <v>0</v>
      </c>
      <c r="AL286" s="67">
        <v>0</v>
      </c>
      <c r="AM286" s="67">
        <v>0</v>
      </c>
      <c r="AN286" s="67">
        <v>0</v>
      </c>
      <c r="AO286" s="67">
        <v>0</v>
      </c>
      <c r="AP286" s="67">
        <v>0</v>
      </c>
      <c r="AQ286" s="67">
        <v>0</v>
      </c>
      <c r="AR286" s="67">
        <v>0</v>
      </c>
      <c r="AS286" s="67">
        <v>0</v>
      </c>
      <c r="AT286" s="67"/>
      <c r="AU286" s="67"/>
      <c r="AV286" s="67"/>
      <c r="AW286" s="67">
        <v>0</v>
      </c>
      <c r="AX286" s="67">
        <v>0</v>
      </c>
      <c r="AY286" s="67"/>
      <c r="AZ286" s="67"/>
      <c r="BA286" s="67"/>
      <c r="BB286" s="67"/>
      <c r="BC286" s="67"/>
      <c r="BD286" s="67"/>
      <c r="BE286" s="67"/>
      <c r="BG286" s="67"/>
      <c r="BH286" s="67"/>
      <c r="BI286" s="67"/>
      <c r="BJ286" s="67">
        <v>0</v>
      </c>
      <c r="BK286" s="67"/>
      <c r="BL286" s="67"/>
      <c r="BP286" s="67"/>
      <c r="BQ286" s="67">
        <v>0</v>
      </c>
      <c r="BR286" s="67"/>
      <c r="BS286" s="67"/>
      <c r="BT286" s="67">
        <v>0</v>
      </c>
      <c r="BU286" s="67">
        <v>0</v>
      </c>
      <c r="BV286" s="67"/>
      <c r="BW286" s="67"/>
      <c r="BX286" s="67">
        <v>0</v>
      </c>
      <c r="BY286" s="67">
        <v>0</v>
      </c>
      <c r="BZ286" s="67">
        <v>0</v>
      </c>
      <c r="CA286" s="67"/>
      <c r="CB286" s="67">
        <v>0</v>
      </c>
      <c r="CC286" s="67"/>
      <c r="CD286" s="67"/>
      <c r="CE286" s="67">
        <v>0</v>
      </c>
      <c r="CF286" s="67"/>
      <c r="CG286" s="67"/>
      <c r="CH286" s="67"/>
      <c r="CI286" s="67"/>
      <c r="CJ286" s="67"/>
      <c r="CK286" s="67">
        <v>0</v>
      </c>
      <c r="CL286" s="67"/>
      <c r="CM286" s="67"/>
      <c r="CN286" s="67"/>
      <c r="CO286" s="67">
        <v>0</v>
      </c>
      <c r="CP286" s="67"/>
      <c r="CQ286" s="67"/>
      <c r="CR286" s="67"/>
      <c r="CS286" s="67"/>
      <c r="CT286" s="67"/>
      <c r="CU286" s="67">
        <v>0</v>
      </c>
      <c r="CV286" s="67"/>
      <c r="CW286" s="67"/>
      <c r="CX286" s="67"/>
      <c r="CY286" s="67">
        <v>0</v>
      </c>
      <c r="CZ286" s="67"/>
      <c r="DA286" s="67"/>
      <c r="DB286" s="67"/>
      <c r="DC286" s="67"/>
      <c r="DF286" s="67"/>
      <c r="DG286" s="67">
        <v>0</v>
      </c>
      <c r="DH286" s="67">
        <v>0</v>
      </c>
      <c r="DI286" s="67">
        <v>0</v>
      </c>
      <c r="DJ286" s="67"/>
      <c r="DK286" s="67">
        <v>0</v>
      </c>
      <c r="DL286" s="67">
        <v>0</v>
      </c>
      <c r="DM286" s="67">
        <v>0</v>
      </c>
      <c r="DN286" s="67"/>
      <c r="DO286" s="67"/>
      <c r="DP286" s="67"/>
      <c r="DQ286" s="67">
        <v>0</v>
      </c>
      <c r="DR286" s="67">
        <v>0</v>
      </c>
      <c r="DS286" s="67"/>
      <c r="DT286" s="67"/>
      <c r="DU286" s="67">
        <v>0</v>
      </c>
      <c r="DV286" s="67">
        <v>0</v>
      </c>
      <c r="DW286" s="67">
        <v>0</v>
      </c>
      <c r="DX286" s="67">
        <v>0</v>
      </c>
      <c r="DY286" s="67"/>
      <c r="DZ286" s="67">
        <v>0</v>
      </c>
      <c r="EA286" s="67"/>
      <c r="EB286" s="67">
        <v>0</v>
      </c>
      <c r="EC286" s="67"/>
      <c r="ED286" s="67">
        <v>0</v>
      </c>
      <c r="EE286" s="67"/>
      <c r="EF286" s="67">
        <v>0</v>
      </c>
      <c r="EG286" s="67"/>
      <c r="EH286" s="67"/>
      <c r="EI286" s="67"/>
      <c r="EJ286" s="67"/>
      <c r="EK286" s="67"/>
      <c r="EL286" s="67"/>
      <c r="EM286" s="67"/>
      <c r="EN286" s="67"/>
      <c r="EO286" s="67"/>
      <c r="EP286" s="67">
        <v>0</v>
      </c>
      <c r="EQ286" s="67">
        <v>0</v>
      </c>
      <c r="ER286" s="67">
        <v>0</v>
      </c>
      <c r="ES286" s="67"/>
      <c r="ET286">
        <v>0</v>
      </c>
      <c r="EX286" s="67"/>
      <c r="EY286" s="67"/>
      <c r="EZ286" s="67"/>
      <c r="FA286" s="67">
        <v>0</v>
      </c>
      <c r="FB286" s="67">
        <v>0</v>
      </c>
      <c r="FC286" s="67"/>
      <c r="FD286" s="67"/>
      <c r="FE286" s="67"/>
      <c r="FF286" s="67"/>
      <c r="FG286" s="67"/>
      <c r="FH286" s="67"/>
      <c r="FI286" s="67" t="s">
        <v>1734</v>
      </c>
    </row>
    <row r="287" spans="2:165" x14ac:dyDescent="0.2">
      <c r="B287" s="67" t="s">
        <v>818</v>
      </c>
      <c r="C287" s="67"/>
      <c r="D287" s="67" t="s">
        <v>819</v>
      </c>
      <c r="E287" s="67" t="s">
        <v>23</v>
      </c>
      <c r="F287" s="67" t="s">
        <v>810</v>
      </c>
      <c r="G287" s="67" t="s">
        <v>694</v>
      </c>
      <c r="H287" s="67"/>
      <c r="I287" s="67" t="s">
        <v>43</v>
      </c>
      <c r="J287" s="67"/>
      <c r="K287" s="67"/>
      <c r="L287" s="67" t="s">
        <v>779</v>
      </c>
      <c r="M287" s="67" t="s">
        <v>752</v>
      </c>
      <c r="N287" s="67"/>
      <c r="O287" s="67" t="s">
        <v>1599</v>
      </c>
      <c r="P287" s="67"/>
      <c r="Q287" s="67">
        <v>920</v>
      </c>
      <c r="R287" s="67">
        <v>0</v>
      </c>
      <c r="S287" s="67">
        <v>0</v>
      </c>
      <c r="T287" s="67">
        <v>0</v>
      </c>
      <c r="U287" s="67">
        <v>0</v>
      </c>
      <c r="V287" s="67">
        <v>0</v>
      </c>
      <c r="W287" s="67">
        <v>920</v>
      </c>
      <c r="X287" s="67">
        <v>0</v>
      </c>
      <c r="Y287" s="67">
        <v>0</v>
      </c>
      <c r="Z287" s="67">
        <v>0</v>
      </c>
      <c r="AA287" s="67">
        <v>0</v>
      </c>
      <c r="AB287" s="67">
        <v>0</v>
      </c>
      <c r="AC287" s="67">
        <v>0</v>
      </c>
      <c r="AD287" s="67">
        <v>0</v>
      </c>
      <c r="AE287" s="67">
        <v>0</v>
      </c>
      <c r="AF287" s="67">
        <v>0</v>
      </c>
      <c r="AG287" s="67">
        <v>0</v>
      </c>
      <c r="AH287" s="67">
        <v>0</v>
      </c>
      <c r="AI287" s="67">
        <v>0</v>
      </c>
      <c r="AJ287" s="67">
        <v>0</v>
      </c>
      <c r="AK287" s="67">
        <v>0</v>
      </c>
      <c r="AL287" s="67">
        <v>0</v>
      </c>
      <c r="AM287" s="67">
        <v>0</v>
      </c>
      <c r="AN287" s="67">
        <v>0</v>
      </c>
      <c r="AO287" s="67">
        <v>0</v>
      </c>
      <c r="AP287" s="67">
        <v>0</v>
      </c>
      <c r="AQ287" s="67">
        <v>0</v>
      </c>
      <c r="AR287" s="67">
        <v>0</v>
      </c>
      <c r="AS287" s="67">
        <v>0</v>
      </c>
      <c r="AT287" s="67"/>
      <c r="AU287" s="67"/>
      <c r="AV287" s="67"/>
      <c r="AW287" s="67">
        <v>0</v>
      </c>
      <c r="AX287" s="67">
        <v>0</v>
      </c>
      <c r="AY287" s="67"/>
      <c r="AZ287" s="67"/>
      <c r="BA287" s="67"/>
      <c r="BB287" s="67"/>
      <c r="BC287" s="67"/>
      <c r="BD287" s="67"/>
      <c r="BE287" s="67"/>
      <c r="BG287" s="67"/>
      <c r="BH287" s="67"/>
      <c r="BI287" s="67"/>
      <c r="BJ287" s="67">
        <v>0</v>
      </c>
      <c r="BK287" s="67"/>
      <c r="BL287" s="67"/>
      <c r="BP287" s="67"/>
      <c r="BQ287" s="67">
        <v>0</v>
      </c>
      <c r="BR287" s="67"/>
      <c r="BS287" s="67"/>
      <c r="BT287" s="67">
        <v>0</v>
      </c>
      <c r="BU287" s="67">
        <v>0</v>
      </c>
      <c r="BV287" s="67"/>
      <c r="BW287" s="67"/>
      <c r="BX287" s="67">
        <v>0</v>
      </c>
      <c r="BY287" s="67">
        <v>0</v>
      </c>
      <c r="BZ287" s="67">
        <v>0</v>
      </c>
      <c r="CA287" s="67"/>
      <c r="CB287" s="67">
        <v>0</v>
      </c>
      <c r="CC287" s="67"/>
      <c r="CD287" s="67"/>
      <c r="CE287" s="67">
        <v>0</v>
      </c>
      <c r="CF287" s="67"/>
      <c r="CG287" s="67"/>
      <c r="CH287" s="67"/>
      <c r="CI287" s="67"/>
      <c r="CJ287" s="67"/>
      <c r="CK287" s="67">
        <v>0</v>
      </c>
      <c r="CL287" s="67"/>
      <c r="CM287" s="67"/>
      <c r="CN287" s="67"/>
      <c r="CO287" s="67">
        <v>0</v>
      </c>
      <c r="CP287" s="67"/>
      <c r="CQ287" s="67"/>
      <c r="CR287" s="67"/>
      <c r="CS287" s="67"/>
      <c r="CT287" s="67"/>
      <c r="CU287" s="67">
        <v>0</v>
      </c>
      <c r="CV287" s="67"/>
      <c r="CW287" s="67"/>
      <c r="CX287" s="67"/>
      <c r="CY287" s="67">
        <v>0</v>
      </c>
      <c r="CZ287" s="67"/>
      <c r="DA287" s="67"/>
      <c r="DB287" s="67"/>
      <c r="DC287" s="67"/>
      <c r="DF287" s="67"/>
      <c r="DG287" s="67">
        <v>0</v>
      </c>
      <c r="DH287" s="67">
        <v>0</v>
      </c>
      <c r="DI287" s="67">
        <v>0</v>
      </c>
      <c r="DJ287" s="67"/>
      <c r="DK287" s="67">
        <v>0</v>
      </c>
      <c r="DL287" s="67">
        <v>0</v>
      </c>
      <c r="DM287" s="67">
        <v>0</v>
      </c>
      <c r="DN287" s="67"/>
      <c r="DO287" s="67"/>
      <c r="DP287" s="67"/>
      <c r="DQ287" s="67">
        <v>0</v>
      </c>
      <c r="DR287" s="67">
        <v>0</v>
      </c>
      <c r="DS287" s="67"/>
      <c r="DT287" s="67"/>
      <c r="DU287" s="67">
        <v>0</v>
      </c>
      <c r="DV287" s="67">
        <v>0</v>
      </c>
      <c r="DW287" s="67">
        <v>0</v>
      </c>
      <c r="DX287" s="67">
        <v>0</v>
      </c>
      <c r="DY287" s="67"/>
      <c r="DZ287" s="67">
        <v>0</v>
      </c>
      <c r="EA287" s="67"/>
      <c r="EB287" s="67">
        <v>0</v>
      </c>
      <c r="EC287" s="67"/>
      <c r="ED287" s="67">
        <v>0</v>
      </c>
      <c r="EE287" s="67"/>
      <c r="EF287" s="67">
        <v>0</v>
      </c>
      <c r="EG287" s="67"/>
      <c r="EH287" s="67"/>
      <c r="EI287" s="67"/>
      <c r="EJ287" s="67"/>
      <c r="EK287" s="67"/>
      <c r="EL287" s="67"/>
      <c r="EM287" s="67"/>
      <c r="EN287" s="67"/>
      <c r="EO287" s="67"/>
      <c r="EP287" s="67">
        <v>0</v>
      </c>
      <c r="EQ287" s="67">
        <v>0</v>
      </c>
      <c r="ER287" s="67">
        <v>0</v>
      </c>
      <c r="ES287" s="67"/>
      <c r="ET287">
        <v>0</v>
      </c>
      <c r="EX287" s="67"/>
      <c r="EY287" s="67"/>
      <c r="EZ287" s="67"/>
      <c r="FA287" s="67">
        <v>920</v>
      </c>
      <c r="FB287" s="67">
        <v>0</v>
      </c>
      <c r="FC287" s="67"/>
      <c r="FD287" s="67"/>
      <c r="FE287" s="67"/>
      <c r="FF287" s="67"/>
      <c r="FG287" s="67"/>
      <c r="FH287" s="67"/>
      <c r="FI287" s="67" t="s">
        <v>1734</v>
      </c>
    </row>
    <row r="288" spans="2:165" ht="24" x14ac:dyDescent="0.2">
      <c r="B288" s="67" t="s">
        <v>821</v>
      </c>
      <c r="C288" s="67"/>
      <c r="D288" s="67" t="s">
        <v>822</v>
      </c>
      <c r="E288" s="67" t="s">
        <v>13</v>
      </c>
      <c r="F288" s="67"/>
      <c r="G288" s="67" t="s">
        <v>694</v>
      </c>
      <c r="H288" s="67"/>
      <c r="I288" s="67" t="s">
        <v>41</v>
      </c>
      <c r="J288" s="67"/>
      <c r="K288" s="67"/>
      <c r="L288" s="67" t="s">
        <v>751</v>
      </c>
      <c r="M288" s="67" t="s">
        <v>752</v>
      </c>
      <c r="N288" s="67"/>
      <c r="O288" s="67" t="s">
        <v>1605</v>
      </c>
      <c r="P288" s="67"/>
      <c r="Q288" s="67">
        <v>0</v>
      </c>
      <c r="R288" s="67">
        <v>0</v>
      </c>
      <c r="S288" s="67">
        <v>0</v>
      </c>
      <c r="T288" s="67">
        <v>0</v>
      </c>
      <c r="U288" s="67">
        <v>0</v>
      </c>
      <c r="V288" s="67">
        <v>0</v>
      </c>
      <c r="W288" s="67">
        <v>0</v>
      </c>
      <c r="X288" s="67">
        <v>0</v>
      </c>
      <c r="Y288" s="67">
        <v>0</v>
      </c>
      <c r="Z288" s="67">
        <v>0</v>
      </c>
      <c r="AA288" s="67">
        <v>0</v>
      </c>
      <c r="AB288" s="67">
        <v>0</v>
      </c>
      <c r="AC288" s="67">
        <v>0</v>
      </c>
      <c r="AD288" s="67">
        <v>0</v>
      </c>
      <c r="AE288" s="67">
        <v>0</v>
      </c>
      <c r="AF288" s="67">
        <v>0</v>
      </c>
      <c r="AG288" s="67">
        <v>0</v>
      </c>
      <c r="AH288" s="67">
        <v>0</v>
      </c>
      <c r="AI288" s="67">
        <v>0</v>
      </c>
      <c r="AJ288" s="67">
        <v>0</v>
      </c>
      <c r="AK288" s="67">
        <v>0</v>
      </c>
      <c r="AL288" s="67">
        <v>0</v>
      </c>
      <c r="AM288" s="67">
        <v>0</v>
      </c>
      <c r="AN288" s="67">
        <v>0</v>
      </c>
      <c r="AO288" s="67">
        <v>0</v>
      </c>
      <c r="AP288" s="67">
        <v>0</v>
      </c>
      <c r="AQ288" s="67">
        <v>0</v>
      </c>
      <c r="AR288" s="67">
        <v>0</v>
      </c>
      <c r="AS288" s="67">
        <v>0</v>
      </c>
      <c r="AT288" s="67"/>
      <c r="AU288" s="67"/>
      <c r="AV288" s="67"/>
      <c r="AW288" s="67">
        <v>0</v>
      </c>
      <c r="AX288" s="67">
        <v>0</v>
      </c>
      <c r="AY288" s="67"/>
      <c r="AZ288" s="67"/>
      <c r="BA288" s="67"/>
      <c r="BB288" s="67"/>
      <c r="BC288" s="67"/>
      <c r="BD288" s="67"/>
      <c r="BE288" s="67"/>
      <c r="BG288" s="67"/>
      <c r="BH288" s="67"/>
      <c r="BI288" s="67"/>
      <c r="BJ288" s="67">
        <v>0</v>
      </c>
      <c r="BK288" s="67"/>
      <c r="BL288" s="67"/>
      <c r="BP288" s="67"/>
      <c r="BQ288" s="67">
        <v>0</v>
      </c>
      <c r="BR288" s="67"/>
      <c r="BS288" s="67"/>
      <c r="BT288" s="67">
        <v>0</v>
      </c>
      <c r="BU288" s="67">
        <v>0</v>
      </c>
      <c r="BV288" s="67"/>
      <c r="BW288" s="67"/>
      <c r="BX288" s="67">
        <v>0</v>
      </c>
      <c r="BY288" s="67">
        <v>0</v>
      </c>
      <c r="BZ288" s="67">
        <v>0</v>
      </c>
      <c r="CA288" s="67"/>
      <c r="CB288" s="67">
        <v>0</v>
      </c>
      <c r="CC288" s="67"/>
      <c r="CD288" s="67"/>
      <c r="CE288" s="67">
        <v>0</v>
      </c>
      <c r="CF288" s="67"/>
      <c r="CG288" s="67"/>
      <c r="CH288" s="67"/>
      <c r="CI288" s="67"/>
      <c r="CJ288" s="67"/>
      <c r="CK288" s="67">
        <v>0</v>
      </c>
      <c r="CL288" s="67"/>
      <c r="CM288" s="67"/>
      <c r="CN288" s="67"/>
      <c r="CO288" s="67">
        <v>0</v>
      </c>
      <c r="CP288" s="67"/>
      <c r="CQ288" s="67"/>
      <c r="CR288" s="67"/>
      <c r="CS288" s="67"/>
      <c r="CT288" s="67"/>
      <c r="CU288" s="67">
        <v>0</v>
      </c>
      <c r="CV288" s="67"/>
      <c r="CW288" s="67"/>
      <c r="CX288" s="67"/>
      <c r="CY288" s="67">
        <v>0</v>
      </c>
      <c r="CZ288" s="67"/>
      <c r="DA288" s="67"/>
      <c r="DB288" s="67"/>
      <c r="DC288" s="67"/>
      <c r="DF288" s="67"/>
      <c r="DG288" s="67">
        <v>0</v>
      </c>
      <c r="DH288" s="67">
        <v>0</v>
      </c>
      <c r="DI288" s="67">
        <v>0</v>
      </c>
      <c r="DJ288" s="67"/>
      <c r="DK288" s="67">
        <v>0</v>
      </c>
      <c r="DL288" s="67">
        <v>0</v>
      </c>
      <c r="DM288" s="67">
        <v>0</v>
      </c>
      <c r="DN288" s="67"/>
      <c r="DO288" s="67"/>
      <c r="DP288" s="67"/>
      <c r="DQ288" s="67">
        <v>0</v>
      </c>
      <c r="DR288" s="67">
        <v>0</v>
      </c>
      <c r="DS288" s="67"/>
      <c r="DT288" s="67"/>
      <c r="DU288" s="67">
        <v>0</v>
      </c>
      <c r="DV288" s="67">
        <v>0</v>
      </c>
      <c r="DW288" s="67">
        <v>0</v>
      </c>
      <c r="DX288" s="67">
        <v>0</v>
      </c>
      <c r="DY288" s="67"/>
      <c r="DZ288" s="67">
        <v>0</v>
      </c>
      <c r="EA288" s="67"/>
      <c r="EB288" s="67">
        <v>0</v>
      </c>
      <c r="EC288" s="67"/>
      <c r="ED288" s="67">
        <v>0</v>
      </c>
      <c r="EE288" s="67"/>
      <c r="EF288" s="67">
        <v>0</v>
      </c>
      <c r="EG288" s="67"/>
      <c r="EH288" s="67"/>
      <c r="EI288" s="67"/>
      <c r="EJ288" s="67"/>
      <c r="EK288" s="67"/>
      <c r="EL288" s="67"/>
      <c r="EM288" s="67"/>
      <c r="EN288" s="67"/>
      <c r="EO288" s="67"/>
      <c r="EP288" s="67">
        <v>0</v>
      </c>
      <c r="EQ288" s="67">
        <v>0</v>
      </c>
      <c r="ER288" s="67">
        <v>0</v>
      </c>
      <c r="ES288" s="67"/>
      <c r="ET288">
        <v>0</v>
      </c>
      <c r="EX288" s="67"/>
      <c r="EY288" s="67"/>
      <c r="EZ288" s="67"/>
      <c r="FA288" s="67">
        <v>0</v>
      </c>
      <c r="FB288" s="67">
        <v>0</v>
      </c>
      <c r="FC288" s="67"/>
      <c r="FD288" s="67"/>
      <c r="FE288" s="67"/>
      <c r="FF288" s="67"/>
      <c r="FG288" s="67"/>
      <c r="FH288" s="67"/>
      <c r="FI288" s="67" t="s">
        <v>1734</v>
      </c>
    </row>
    <row r="289" spans="2:165" ht="24" x14ac:dyDescent="0.2">
      <c r="B289" s="67" t="s">
        <v>823</v>
      </c>
      <c r="C289" s="67"/>
      <c r="D289" s="67" t="s">
        <v>824</v>
      </c>
      <c r="E289" s="67" t="s">
        <v>13</v>
      </c>
      <c r="F289" s="67"/>
      <c r="G289" s="67" t="s">
        <v>694</v>
      </c>
      <c r="H289" s="67"/>
      <c r="I289" s="67" t="s">
        <v>41</v>
      </c>
      <c r="J289" s="67"/>
      <c r="K289" s="67"/>
      <c r="L289" s="67" t="s">
        <v>751</v>
      </c>
      <c r="M289" s="67" t="s">
        <v>752</v>
      </c>
      <c r="N289" s="67"/>
      <c r="O289" s="67" t="s">
        <v>1610</v>
      </c>
      <c r="P289" s="67"/>
      <c r="Q289" s="67">
        <v>150</v>
      </c>
      <c r="R289" s="67">
        <v>0</v>
      </c>
      <c r="S289" s="67">
        <v>0</v>
      </c>
      <c r="T289" s="67">
        <v>150</v>
      </c>
      <c r="U289" s="67">
        <v>0</v>
      </c>
      <c r="V289" s="67">
        <v>0</v>
      </c>
      <c r="W289" s="67">
        <v>0</v>
      </c>
      <c r="X289" s="67">
        <v>0</v>
      </c>
      <c r="Y289" s="67">
        <v>0</v>
      </c>
      <c r="Z289" s="67">
        <v>0</v>
      </c>
      <c r="AA289" s="67">
        <v>0</v>
      </c>
      <c r="AB289" s="67">
        <v>0</v>
      </c>
      <c r="AC289" s="67">
        <v>0</v>
      </c>
      <c r="AD289" s="67">
        <v>0</v>
      </c>
      <c r="AE289" s="67">
        <v>0</v>
      </c>
      <c r="AF289" s="67">
        <v>0</v>
      </c>
      <c r="AG289" s="67">
        <v>0</v>
      </c>
      <c r="AH289" s="67">
        <v>0</v>
      </c>
      <c r="AI289" s="67">
        <v>0</v>
      </c>
      <c r="AJ289" s="67">
        <v>0</v>
      </c>
      <c r="AK289" s="67">
        <v>0</v>
      </c>
      <c r="AL289" s="67">
        <v>0</v>
      </c>
      <c r="AM289" s="67">
        <v>0</v>
      </c>
      <c r="AN289" s="67">
        <v>0</v>
      </c>
      <c r="AO289" s="67">
        <v>0</v>
      </c>
      <c r="AP289" s="67">
        <v>0</v>
      </c>
      <c r="AQ289" s="67">
        <v>0</v>
      </c>
      <c r="AR289" s="67">
        <v>0</v>
      </c>
      <c r="AS289" s="67">
        <v>0</v>
      </c>
      <c r="AT289" s="67"/>
      <c r="AU289" s="67"/>
      <c r="AV289" s="67"/>
      <c r="AW289" s="67">
        <v>0</v>
      </c>
      <c r="AX289" s="67">
        <v>0</v>
      </c>
      <c r="AY289" s="67"/>
      <c r="AZ289" s="67"/>
      <c r="BA289" s="67"/>
      <c r="BB289" s="67"/>
      <c r="BC289" s="67"/>
      <c r="BD289" s="67"/>
      <c r="BE289" s="67"/>
      <c r="BG289" s="67"/>
      <c r="BH289" s="67"/>
      <c r="BI289" s="67"/>
      <c r="BJ289" s="67">
        <v>0</v>
      </c>
      <c r="BK289" s="67"/>
      <c r="BL289" s="67"/>
      <c r="BP289" s="67"/>
      <c r="BQ289" s="67">
        <v>0</v>
      </c>
      <c r="BR289" s="67"/>
      <c r="BS289" s="67"/>
      <c r="BT289" s="67">
        <v>0</v>
      </c>
      <c r="BU289" s="67">
        <v>0</v>
      </c>
      <c r="BV289" s="67"/>
      <c r="BW289" s="67"/>
      <c r="BX289" s="67">
        <v>0</v>
      </c>
      <c r="BY289" s="67">
        <v>0</v>
      </c>
      <c r="BZ289" s="67">
        <v>0</v>
      </c>
      <c r="CA289" s="67"/>
      <c r="CB289" s="67">
        <v>0</v>
      </c>
      <c r="CC289" s="67"/>
      <c r="CD289" s="67"/>
      <c r="CE289" s="67">
        <v>0</v>
      </c>
      <c r="CF289" s="67"/>
      <c r="CG289" s="67"/>
      <c r="CH289" s="67"/>
      <c r="CI289" s="67"/>
      <c r="CJ289" s="67"/>
      <c r="CK289" s="67">
        <v>0</v>
      </c>
      <c r="CL289" s="67"/>
      <c r="CM289" s="67"/>
      <c r="CN289" s="67"/>
      <c r="CO289" s="67">
        <v>0</v>
      </c>
      <c r="CP289" s="67"/>
      <c r="CQ289" s="67"/>
      <c r="CR289" s="67"/>
      <c r="CS289" s="67"/>
      <c r="CT289" s="67"/>
      <c r="CU289" s="67">
        <v>0</v>
      </c>
      <c r="CV289" s="67"/>
      <c r="CW289" s="67"/>
      <c r="CX289" s="67"/>
      <c r="CY289" s="67">
        <v>0</v>
      </c>
      <c r="CZ289" s="67"/>
      <c r="DA289" s="67"/>
      <c r="DB289" s="67"/>
      <c r="DC289" s="67"/>
      <c r="DF289" s="67"/>
      <c r="DG289" s="67">
        <v>11.25</v>
      </c>
      <c r="DH289" s="67">
        <v>11.25</v>
      </c>
      <c r="DI289" s="67">
        <v>0</v>
      </c>
      <c r="DJ289" s="67"/>
      <c r="DK289" s="67">
        <v>0</v>
      </c>
      <c r="DL289" s="67">
        <v>0</v>
      </c>
      <c r="DM289" s="67">
        <v>0</v>
      </c>
      <c r="DN289" s="67"/>
      <c r="DO289" s="67"/>
      <c r="DP289" s="67"/>
      <c r="DQ289" s="67">
        <v>0</v>
      </c>
      <c r="DR289" s="67">
        <v>0</v>
      </c>
      <c r="DS289" s="67"/>
      <c r="DT289" s="67"/>
      <c r="DU289" s="67">
        <v>0</v>
      </c>
      <c r="DV289" s="67">
        <v>0</v>
      </c>
      <c r="DW289" s="67">
        <v>0</v>
      </c>
      <c r="DX289" s="67">
        <v>0</v>
      </c>
      <c r="DY289" s="67"/>
      <c r="DZ289" s="67">
        <v>0</v>
      </c>
      <c r="EA289" s="67"/>
      <c r="EB289" s="67">
        <v>0</v>
      </c>
      <c r="EC289" s="67"/>
      <c r="ED289" s="67">
        <v>0</v>
      </c>
      <c r="EE289" s="67"/>
      <c r="EF289" s="67">
        <v>0</v>
      </c>
      <c r="EG289" s="67"/>
      <c r="EH289" s="67"/>
      <c r="EI289" s="67"/>
      <c r="EJ289" s="67"/>
      <c r="EK289" s="67"/>
      <c r="EL289" s="67"/>
      <c r="EM289" s="67"/>
      <c r="EN289" s="67"/>
      <c r="EO289" s="67"/>
      <c r="EP289" s="67">
        <v>0</v>
      </c>
      <c r="EQ289" s="67">
        <v>0</v>
      </c>
      <c r="ER289" s="67">
        <v>0</v>
      </c>
      <c r="ES289" s="67"/>
      <c r="ET289">
        <v>0</v>
      </c>
      <c r="EX289" s="67"/>
      <c r="EY289" s="67"/>
      <c r="EZ289" s="67"/>
      <c r="FA289" s="67">
        <v>161.25</v>
      </c>
      <c r="FB289" s="67">
        <v>0</v>
      </c>
      <c r="FC289" s="67"/>
      <c r="FD289" s="67"/>
      <c r="FE289" s="67"/>
      <c r="FF289" s="67"/>
      <c r="FG289" s="67"/>
      <c r="FH289" s="67"/>
      <c r="FI289" s="67" t="s">
        <v>1734</v>
      </c>
    </row>
    <row r="290" spans="2:165" ht="24" x14ac:dyDescent="0.2">
      <c r="B290" s="67" t="s">
        <v>826</v>
      </c>
      <c r="C290" s="67"/>
      <c r="D290" s="67" t="s">
        <v>827</v>
      </c>
      <c r="E290" s="67" t="s">
        <v>13</v>
      </c>
      <c r="F290" s="67" t="s">
        <v>766</v>
      </c>
      <c r="G290" s="67" t="s">
        <v>694</v>
      </c>
      <c r="H290" s="67"/>
      <c r="I290" s="67" t="s">
        <v>41</v>
      </c>
      <c r="J290" s="67"/>
      <c r="K290" s="67"/>
      <c r="L290" s="67" t="s">
        <v>767</v>
      </c>
      <c r="M290" s="67" t="s">
        <v>752</v>
      </c>
      <c r="N290" s="67"/>
      <c r="O290" s="67" t="s">
        <v>1605</v>
      </c>
      <c r="P290" s="67"/>
      <c r="Q290" s="67">
        <v>0</v>
      </c>
      <c r="R290" s="67">
        <v>0</v>
      </c>
      <c r="S290" s="67">
        <v>0</v>
      </c>
      <c r="T290" s="67">
        <v>0</v>
      </c>
      <c r="U290" s="67">
        <v>0</v>
      </c>
      <c r="V290" s="67">
        <v>0</v>
      </c>
      <c r="W290" s="67">
        <v>0</v>
      </c>
      <c r="X290" s="67">
        <v>0</v>
      </c>
      <c r="Y290" s="67">
        <v>0</v>
      </c>
      <c r="Z290" s="67">
        <v>0</v>
      </c>
      <c r="AA290" s="67">
        <v>0</v>
      </c>
      <c r="AB290" s="67">
        <v>0</v>
      </c>
      <c r="AC290" s="67">
        <v>0</v>
      </c>
      <c r="AD290" s="67">
        <v>0</v>
      </c>
      <c r="AE290" s="67">
        <v>0</v>
      </c>
      <c r="AF290" s="67">
        <v>0</v>
      </c>
      <c r="AG290" s="67">
        <v>0</v>
      </c>
      <c r="AH290" s="67">
        <v>0</v>
      </c>
      <c r="AI290" s="67">
        <v>0</v>
      </c>
      <c r="AJ290" s="67">
        <v>0</v>
      </c>
      <c r="AK290" s="67">
        <v>0</v>
      </c>
      <c r="AL290" s="67">
        <v>0</v>
      </c>
      <c r="AM290" s="67">
        <v>0</v>
      </c>
      <c r="AN290" s="67">
        <v>0</v>
      </c>
      <c r="AO290" s="67">
        <v>0</v>
      </c>
      <c r="AP290" s="67">
        <v>0</v>
      </c>
      <c r="AQ290" s="67">
        <v>0</v>
      </c>
      <c r="AR290" s="67">
        <v>0</v>
      </c>
      <c r="AS290" s="67">
        <v>0</v>
      </c>
      <c r="AT290" s="67"/>
      <c r="AU290" s="67"/>
      <c r="AV290" s="67"/>
      <c r="AW290" s="67">
        <v>0</v>
      </c>
      <c r="AX290" s="67">
        <v>0</v>
      </c>
      <c r="AY290" s="67"/>
      <c r="AZ290" s="67"/>
      <c r="BA290" s="67"/>
      <c r="BB290" s="67"/>
      <c r="BC290" s="67"/>
      <c r="BD290" s="67"/>
      <c r="BE290" s="67"/>
      <c r="BG290" s="67"/>
      <c r="BH290" s="67"/>
      <c r="BI290" s="67"/>
      <c r="BJ290" s="67">
        <v>0</v>
      </c>
      <c r="BK290" s="67"/>
      <c r="BL290" s="67"/>
      <c r="BP290" s="67"/>
      <c r="BQ290" s="67">
        <v>0</v>
      </c>
      <c r="BR290" s="67"/>
      <c r="BS290" s="67"/>
      <c r="BT290" s="67">
        <v>0</v>
      </c>
      <c r="BU290" s="67">
        <v>0</v>
      </c>
      <c r="BV290" s="67"/>
      <c r="BW290" s="67"/>
      <c r="BX290" s="67">
        <v>0</v>
      </c>
      <c r="BY290" s="67">
        <v>0</v>
      </c>
      <c r="BZ290" s="67">
        <v>0</v>
      </c>
      <c r="CA290" s="67"/>
      <c r="CB290" s="67">
        <v>0</v>
      </c>
      <c r="CC290" s="67"/>
      <c r="CD290" s="67"/>
      <c r="CE290" s="67">
        <v>0</v>
      </c>
      <c r="CF290" s="67"/>
      <c r="CG290" s="67"/>
      <c r="CH290" s="67"/>
      <c r="CI290" s="67"/>
      <c r="CJ290" s="67"/>
      <c r="CK290" s="67">
        <v>0</v>
      </c>
      <c r="CL290" s="67"/>
      <c r="CM290" s="67"/>
      <c r="CN290" s="67"/>
      <c r="CO290" s="67">
        <v>0</v>
      </c>
      <c r="CP290" s="67"/>
      <c r="CQ290" s="67"/>
      <c r="CR290" s="67"/>
      <c r="CS290" s="67"/>
      <c r="CT290" s="67"/>
      <c r="CU290" s="67">
        <v>0</v>
      </c>
      <c r="CV290" s="67"/>
      <c r="CW290" s="67"/>
      <c r="CX290" s="67"/>
      <c r="CY290" s="67">
        <v>0</v>
      </c>
      <c r="CZ290" s="67"/>
      <c r="DA290" s="67"/>
      <c r="DB290" s="67"/>
      <c r="DC290" s="67"/>
      <c r="DF290" s="67"/>
      <c r="DG290" s="67">
        <v>0</v>
      </c>
      <c r="DH290" s="67">
        <v>0</v>
      </c>
      <c r="DI290" s="67">
        <v>0</v>
      </c>
      <c r="DJ290" s="67"/>
      <c r="DK290" s="67">
        <v>0</v>
      </c>
      <c r="DL290" s="67">
        <v>0</v>
      </c>
      <c r="DM290" s="67">
        <v>0</v>
      </c>
      <c r="DN290" s="67"/>
      <c r="DO290" s="67"/>
      <c r="DP290" s="67"/>
      <c r="DQ290" s="67">
        <v>0</v>
      </c>
      <c r="DR290" s="67">
        <v>0</v>
      </c>
      <c r="DS290" s="67"/>
      <c r="DT290" s="67"/>
      <c r="DU290" s="67">
        <v>0</v>
      </c>
      <c r="DV290" s="67">
        <v>0</v>
      </c>
      <c r="DW290" s="67">
        <v>0</v>
      </c>
      <c r="DX290" s="67">
        <v>0</v>
      </c>
      <c r="DY290" s="67"/>
      <c r="DZ290" s="67">
        <v>0</v>
      </c>
      <c r="EA290" s="67"/>
      <c r="EB290" s="67">
        <v>0</v>
      </c>
      <c r="EC290" s="67"/>
      <c r="ED290" s="67">
        <v>0</v>
      </c>
      <c r="EE290" s="67"/>
      <c r="EF290" s="67">
        <v>0</v>
      </c>
      <c r="EG290" s="67"/>
      <c r="EH290" s="67"/>
      <c r="EI290" s="67"/>
      <c r="EJ290" s="67"/>
      <c r="EK290" s="67"/>
      <c r="EL290" s="67"/>
      <c r="EM290" s="67"/>
      <c r="EN290" s="67"/>
      <c r="EO290" s="67"/>
      <c r="EP290" s="67">
        <v>0</v>
      </c>
      <c r="EQ290" s="67">
        <v>0</v>
      </c>
      <c r="ER290" s="67">
        <v>0</v>
      </c>
      <c r="ES290" s="67"/>
      <c r="ET290">
        <v>0</v>
      </c>
      <c r="EX290" s="67"/>
      <c r="EY290" s="67"/>
      <c r="EZ290" s="67"/>
      <c r="FA290" s="67">
        <v>0</v>
      </c>
      <c r="FB290" s="67">
        <v>0</v>
      </c>
      <c r="FC290" s="67"/>
      <c r="FD290" s="67"/>
      <c r="FE290" s="67"/>
      <c r="FF290" s="67"/>
      <c r="FG290" s="67"/>
      <c r="FH290" s="67"/>
      <c r="FI290" s="67" t="s">
        <v>1734</v>
      </c>
    </row>
    <row r="291" spans="2:165" ht="24" x14ac:dyDescent="0.2">
      <c r="B291" s="67" t="s">
        <v>828</v>
      </c>
      <c r="C291" s="67"/>
      <c r="D291" s="67" t="s">
        <v>829</v>
      </c>
      <c r="E291" s="67" t="s">
        <v>13</v>
      </c>
      <c r="F291" s="67" t="s">
        <v>766</v>
      </c>
      <c r="G291" s="67" t="s">
        <v>694</v>
      </c>
      <c r="H291" s="67"/>
      <c r="I291" s="67" t="s">
        <v>41</v>
      </c>
      <c r="J291" s="67"/>
      <c r="K291" s="67"/>
      <c r="L291" s="67" t="s">
        <v>767</v>
      </c>
      <c r="M291" s="67" t="s">
        <v>752</v>
      </c>
      <c r="N291" s="67"/>
      <c r="O291" s="67" t="s">
        <v>1605</v>
      </c>
      <c r="P291" s="67"/>
      <c r="Q291" s="67">
        <v>0</v>
      </c>
      <c r="R291" s="67">
        <v>0</v>
      </c>
      <c r="S291" s="67">
        <v>0</v>
      </c>
      <c r="T291" s="67">
        <v>0</v>
      </c>
      <c r="U291" s="67">
        <v>0</v>
      </c>
      <c r="V291" s="67">
        <v>0</v>
      </c>
      <c r="W291" s="67">
        <v>0</v>
      </c>
      <c r="X291" s="67">
        <v>0</v>
      </c>
      <c r="Y291" s="67">
        <v>0</v>
      </c>
      <c r="Z291" s="67">
        <v>0</v>
      </c>
      <c r="AA291" s="67">
        <v>0</v>
      </c>
      <c r="AB291" s="67">
        <v>0</v>
      </c>
      <c r="AC291" s="67">
        <v>0</v>
      </c>
      <c r="AD291" s="67">
        <v>0</v>
      </c>
      <c r="AE291" s="67">
        <v>0</v>
      </c>
      <c r="AF291" s="67">
        <v>0</v>
      </c>
      <c r="AG291" s="67">
        <v>0</v>
      </c>
      <c r="AH291" s="67">
        <v>0</v>
      </c>
      <c r="AI291" s="67">
        <v>0</v>
      </c>
      <c r="AJ291" s="67">
        <v>0</v>
      </c>
      <c r="AK291" s="67">
        <v>0</v>
      </c>
      <c r="AL291" s="67">
        <v>0</v>
      </c>
      <c r="AM291" s="67">
        <v>0</v>
      </c>
      <c r="AN291" s="67">
        <v>0</v>
      </c>
      <c r="AO291" s="67">
        <v>0</v>
      </c>
      <c r="AP291" s="67">
        <v>0</v>
      </c>
      <c r="AQ291" s="67">
        <v>0</v>
      </c>
      <c r="AR291" s="67">
        <v>0</v>
      </c>
      <c r="AS291" s="67">
        <v>0</v>
      </c>
      <c r="AT291" s="67"/>
      <c r="AU291" s="67"/>
      <c r="AV291" s="67"/>
      <c r="AW291" s="67">
        <v>0</v>
      </c>
      <c r="AX291" s="67">
        <v>0</v>
      </c>
      <c r="AY291" s="67"/>
      <c r="AZ291" s="67"/>
      <c r="BA291" s="67"/>
      <c r="BB291" s="67"/>
      <c r="BC291" s="67"/>
      <c r="BD291" s="67"/>
      <c r="BE291" s="67"/>
      <c r="BG291" s="67"/>
      <c r="BH291" s="67"/>
      <c r="BI291" s="67"/>
      <c r="BJ291" s="67">
        <v>0</v>
      </c>
      <c r="BK291" s="67"/>
      <c r="BL291" s="67"/>
      <c r="BP291" s="67"/>
      <c r="BQ291" s="67">
        <v>0</v>
      </c>
      <c r="BR291" s="67"/>
      <c r="BS291" s="67"/>
      <c r="BT291" s="67">
        <v>0</v>
      </c>
      <c r="BU291" s="67">
        <v>0</v>
      </c>
      <c r="BV291" s="67"/>
      <c r="BW291" s="67"/>
      <c r="BX291" s="67">
        <v>0</v>
      </c>
      <c r="BY291" s="67">
        <v>0</v>
      </c>
      <c r="BZ291" s="67">
        <v>0</v>
      </c>
      <c r="CA291" s="67"/>
      <c r="CB291" s="67">
        <v>0</v>
      </c>
      <c r="CC291" s="67"/>
      <c r="CD291" s="67"/>
      <c r="CE291" s="67">
        <v>0</v>
      </c>
      <c r="CF291" s="67"/>
      <c r="CG291" s="67"/>
      <c r="CH291" s="67"/>
      <c r="CI291" s="67"/>
      <c r="CJ291" s="67"/>
      <c r="CK291" s="67">
        <v>0</v>
      </c>
      <c r="CL291" s="67"/>
      <c r="CM291" s="67"/>
      <c r="CN291" s="67"/>
      <c r="CO291" s="67">
        <v>0</v>
      </c>
      <c r="CP291" s="67"/>
      <c r="CQ291" s="67"/>
      <c r="CR291" s="67"/>
      <c r="CS291" s="67"/>
      <c r="CT291" s="67"/>
      <c r="CU291" s="67">
        <v>0</v>
      </c>
      <c r="CV291" s="67"/>
      <c r="CW291" s="67"/>
      <c r="CX291" s="67"/>
      <c r="CY291" s="67">
        <v>0</v>
      </c>
      <c r="CZ291" s="67"/>
      <c r="DA291" s="67"/>
      <c r="DB291" s="67"/>
      <c r="DC291" s="67"/>
      <c r="DF291" s="67"/>
      <c r="DG291" s="67">
        <v>0</v>
      </c>
      <c r="DH291" s="67">
        <v>0</v>
      </c>
      <c r="DI291" s="67">
        <v>0</v>
      </c>
      <c r="DJ291" s="67"/>
      <c r="DK291" s="67">
        <v>0</v>
      </c>
      <c r="DL291" s="67">
        <v>0</v>
      </c>
      <c r="DM291" s="67">
        <v>0</v>
      </c>
      <c r="DN291" s="67"/>
      <c r="DO291" s="67"/>
      <c r="DP291" s="67"/>
      <c r="DQ291" s="67">
        <v>0</v>
      </c>
      <c r="DR291" s="67">
        <v>0</v>
      </c>
      <c r="DS291" s="67"/>
      <c r="DT291" s="67"/>
      <c r="DU291" s="67">
        <v>0</v>
      </c>
      <c r="DV291" s="67">
        <v>0</v>
      </c>
      <c r="DW291" s="67">
        <v>0</v>
      </c>
      <c r="DX291" s="67">
        <v>0</v>
      </c>
      <c r="DY291" s="67"/>
      <c r="DZ291" s="67">
        <v>0</v>
      </c>
      <c r="EA291" s="67"/>
      <c r="EB291" s="67">
        <v>0</v>
      </c>
      <c r="EC291" s="67"/>
      <c r="ED291" s="67">
        <v>0</v>
      </c>
      <c r="EE291" s="67"/>
      <c r="EF291" s="67">
        <v>0</v>
      </c>
      <c r="EG291" s="67"/>
      <c r="EH291" s="67"/>
      <c r="EI291" s="67"/>
      <c r="EJ291" s="67"/>
      <c r="EK291" s="67"/>
      <c r="EL291" s="67"/>
      <c r="EM291" s="67"/>
      <c r="EN291" s="67"/>
      <c r="EO291" s="67"/>
      <c r="EP291" s="67">
        <v>0</v>
      </c>
      <c r="EQ291" s="67">
        <v>0</v>
      </c>
      <c r="ER291" s="67">
        <v>0</v>
      </c>
      <c r="ES291" s="67"/>
      <c r="ET291">
        <v>0</v>
      </c>
      <c r="EX291" s="67"/>
      <c r="EY291" s="67"/>
      <c r="EZ291" s="67"/>
      <c r="FA291" s="67">
        <v>0</v>
      </c>
      <c r="FB291" s="67">
        <v>0</v>
      </c>
      <c r="FC291" s="67"/>
      <c r="FD291" s="67"/>
      <c r="FE291" s="67"/>
      <c r="FF291" s="67"/>
      <c r="FG291" s="67"/>
      <c r="FH291" s="67"/>
      <c r="FI291" s="67" t="s">
        <v>1734</v>
      </c>
    </row>
    <row r="292" spans="2:165" ht="24" x14ac:dyDescent="0.2">
      <c r="B292" s="67" t="s">
        <v>830</v>
      </c>
      <c r="C292" s="67"/>
      <c r="D292" s="67" t="s">
        <v>831</v>
      </c>
      <c r="E292" s="67" t="s">
        <v>13</v>
      </c>
      <c r="F292" s="67" t="s">
        <v>766</v>
      </c>
      <c r="G292" s="67" t="s">
        <v>694</v>
      </c>
      <c r="H292" s="67"/>
      <c r="I292" s="67" t="s">
        <v>41</v>
      </c>
      <c r="J292" s="67"/>
      <c r="K292" s="67"/>
      <c r="L292" s="67" t="s">
        <v>767</v>
      </c>
      <c r="M292" s="67" t="s">
        <v>752</v>
      </c>
      <c r="N292" s="67"/>
      <c r="O292" s="67" t="s">
        <v>1605</v>
      </c>
      <c r="P292" s="67"/>
      <c r="Q292" s="67">
        <v>0</v>
      </c>
      <c r="R292" s="67">
        <v>0</v>
      </c>
      <c r="S292" s="67">
        <v>0</v>
      </c>
      <c r="T292" s="67">
        <v>0</v>
      </c>
      <c r="U292" s="67">
        <v>0</v>
      </c>
      <c r="V292" s="67">
        <v>0</v>
      </c>
      <c r="W292" s="67">
        <v>0</v>
      </c>
      <c r="X292" s="67">
        <v>0</v>
      </c>
      <c r="Y292" s="67">
        <v>0</v>
      </c>
      <c r="Z292" s="67">
        <v>0</v>
      </c>
      <c r="AA292" s="67">
        <v>0</v>
      </c>
      <c r="AB292" s="67">
        <v>0</v>
      </c>
      <c r="AC292" s="67">
        <v>0</v>
      </c>
      <c r="AD292" s="67">
        <v>0</v>
      </c>
      <c r="AE292" s="67">
        <v>0</v>
      </c>
      <c r="AF292" s="67">
        <v>0</v>
      </c>
      <c r="AG292" s="67">
        <v>0</v>
      </c>
      <c r="AH292" s="67">
        <v>0</v>
      </c>
      <c r="AI292" s="67">
        <v>0</v>
      </c>
      <c r="AJ292" s="67">
        <v>0</v>
      </c>
      <c r="AK292" s="67">
        <v>0</v>
      </c>
      <c r="AL292" s="67">
        <v>0</v>
      </c>
      <c r="AM292" s="67">
        <v>0</v>
      </c>
      <c r="AN292" s="67">
        <v>0</v>
      </c>
      <c r="AO292" s="67">
        <v>0</v>
      </c>
      <c r="AP292" s="67">
        <v>0</v>
      </c>
      <c r="AQ292" s="67">
        <v>0</v>
      </c>
      <c r="AR292" s="67">
        <v>0</v>
      </c>
      <c r="AS292" s="67">
        <v>0</v>
      </c>
      <c r="AT292" s="67"/>
      <c r="AU292" s="67"/>
      <c r="AV292" s="67"/>
      <c r="AW292" s="67">
        <v>0</v>
      </c>
      <c r="AX292" s="67">
        <v>0</v>
      </c>
      <c r="AY292" s="67"/>
      <c r="AZ292" s="67"/>
      <c r="BA292" s="67"/>
      <c r="BB292" s="67"/>
      <c r="BC292" s="67"/>
      <c r="BD292" s="67"/>
      <c r="BE292" s="67"/>
      <c r="BG292" s="67"/>
      <c r="BH292" s="67"/>
      <c r="BI292" s="67"/>
      <c r="BJ292" s="67">
        <v>0</v>
      </c>
      <c r="BK292" s="67"/>
      <c r="BL292" s="67"/>
      <c r="BP292" s="67"/>
      <c r="BQ292" s="67">
        <v>0</v>
      </c>
      <c r="BR292" s="67"/>
      <c r="BS292" s="67"/>
      <c r="BT292" s="67">
        <v>0</v>
      </c>
      <c r="BU292" s="67">
        <v>0</v>
      </c>
      <c r="BV292" s="67"/>
      <c r="BW292" s="67"/>
      <c r="BX292" s="67">
        <v>0</v>
      </c>
      <c r="BY292" s="67">
        <v>0</v>
      </c>
      <c r="BZ292" s="67">
        <v>0</v>
      </c>
      <c r="CA292" s="67"/>
      <c r="CB292" s="67">
        <v>0</v>
      </c>
      <c r="CC292" s="67"/>
      <c r="CD292" s="67"/>
      <c r="CE292" s="67">
        <v>0</v>
      </c>
      <c r="CF292" s="67"/>
      <c r="CG292" s="67"/>
      <c r="CH292" s="67"/>
      <c r="CI292" s="67"/>
      <c r="CJ292" s="67"/>
      <c r="CK292" s="67">
        <v>0</v>
      </c>
      <c r="CL292" s="67"/>
      <c r="CM292" s="67"/>
      <c r="CN292" s="67"/>
      <c r="CO292" s="67">
        <v>0</v>
      </c>
      <c r="CP292" s="67"/>
      <c r="CQ292" s="67"/>
      <c r="CR292" s="67"/>
      <c r="CS292" s="67"/>
      <c r="CT292" s="67"/>
      <c r="CU292" s="67">
        <v>0</v>
      </c>
      <c r="CV292" s="67"/>
      <c r="CW292" s="67"/>
      <c r="CX292" s="67"/>
      <c r="CY292" s="67">
        <v>0</v>
      </c>
      <c r="CZ292" s="67"/>
      <c r="DA292" s="67"/>
      <c r="DB292" s="67"/>
      <c r="DC292" s="67"/>
      <c r="DF292" s="67"/>
      <c r="DG292" s="67">
        <v>0</v>
      </c>
      <c r="DH292" s="67">
        <v>0</v>
      </c>
      <c r="DI292" s="67">
        <v>0</v>
      </c>
      <c r="DJ292" s="67"/>
      <c r="DK292" s="67">
        <v>0</v>
      </c>
      <c r="DL292" s="67">
        <v>0</v>
      </c>
      <c r="DM292" s="67">
        <v>0</v>
      </c>
      <c r="DN292" s="67"/>
      <c r="DO292" s="67"/>
      <c r="DP292" s="67"/>
      <c r="DQ292" s="67">
        <v>0</v>
      </c>
      <c r="DR292" s="67">
        <v>0</v>
      </c>
      <c r="DS292" s="67"/>
      <c r="DT292" s="67"/>
      <c r="DU292" s="67">
        <v>0</v>
      </c>
      <c r="DV292" s="67">
        <v>0</v>
      </c>
      <c r="DW292" s="67">
        <v>0</v>
      </c>
      <c r="DX292" s="67">
        <v>0</v>
      </c>
      <c r="DY292" s="67"/>
      <c r="DZ292" s="67">
        <v>0</v>
      </c>
      <c r="EA292" s="67"/>
      <c r="EB292" s="67">
        <v>0</v>
      </c>
      <c r="EC292" s="67"/>
      <c r="ED292" s="67">
        <v>0</v>
      </c>
      <c r="EE292" s="67"/>
      <c r="EF292" s="67">
        <v>0</v>
      </c>
      <c r="EG292" s="67"/>
      <c r="EH292" s="67"/>
      <c r="EI292" s="67"/>
      <c r="EJ292" s="67"/>
      <c r="EK292" s="67"/>
      <c r="EL292" s="67"/>
      <c r="EM292" s="67"/>
      <c r="EN292" s="67"/>
      <c r="EO292" s="67"/>
      <c r="EP292" s="67">
        <v>0</v>
      </c>
      <c r="EQ292" s="67">
        <v>0</v>
      </c>
      <c r="ER292" s="67">
        <v>0</v>
      </c>
      <c r="ES292" s="67"/>
      <c r="ET292">
        <v>0</v>
      </c>
      <c r="EX292" s="67"/>
      <c r="EY292" s="67"/>
      <c r="EZ292" s="67"/>
      <c r="FA292" s="67">
        <v>0</v>
      </c>
      <c r="FB292" s="67">
        <v>0</v>
      </c>
      <c r="FC292" s="67"/>
      <c r="FD292" s="67"/>
      <c r="FE292" s="67"/>
      <c r="FF292" s="67"/>
      <c r="FG292" s="67"/>
      <c r="FH292" s="67"/>
      <c r="FI292" s="67" t="s">
        <v>1734</v>
      </c>
    </row>
    <row r="293" spans="2:165" ht="24" x14ac:dyDescent="0.2">
      <c r="B293" s="67" t="s">
        <v>832</v>
      </c>
      <c r="C293" s="67"/>
      <c r="D293" s="67" t="s">
        <v>833</v>
      </c>
      <c r="E293" s="67" t="s">
        <v>13</v>
      </c>
      <c r="F293" s="67" t="s">
        <v>766</v>
      </c>
      <c r="G293" s="67" t="s">
        <v>694</v>
      </c>
      <c r="H293" s="67"/>
      <c r="I293" s="67" t="s">
        <v>41</v>
      </c>
      <c r="J293" s="67"/>
      <c r="K293" s="67"/>
      <c r="L293" s="67" t="s">
        <v>767</v>
      </c>
      <c r="M293" s="67" t="s">
        <v>752</v>
      </c>
      <c r="N293" s="67"/>
      <c r="O293" s="67" t="s">
        <v>1605</v>
      </c>
      <c r="P293" s="67"/>
      <c r="Q293" s="67">
        <v>0</v>
      </c>
      <c r="R293" s="67">
        <v>0</v>
      </c>
      <c r="S293" s="67">
        <v>0</v>
      </c>
      <c r="T293" s="67">
        <v>0</v>
      </c>
      <c r="U293" s="67">
        <v>0</v>
      </c>
      <c r="V293" s="67">
        <v>0</v>
      </c>
      <c r="W293" s="67">
        <v>0</v>
      </c>
      <c r="X293" s="67">
        <v>0</v>
      </c>
      <c r="Y293" s="67">
        <v>0</v>
      </c>
      <c r="Z293" s="67">
        <v>0</v>
      </c>
      <c r="AA293" s="67">
        <v>0</v>
      </c>
      <c r="AB293" s="67">
        <v>0</v>
      </c>
      <c r="AC293" s="67">
        <v>0</v>
      </c>
      <c r="AD293" s="67">
        <v>0</v>
      </c>
      <c r="AE293" s="67">
        <v>0</v>
      </c>
      <c r="AF293" s="67">
        <v>0</v>
      </c>
      <c r="AG293" s="67">
        <v>0</v>
      </c>
      <c r="AH293" s="67">
        <v>0</v>
      </c>
      <c r="AI293" s="67">
        <v>0</v>
      </c>
      <c r="AJ293" s="67">
        <v>0</v>
      </c>
      <c r="AK293" s="67">
        <v>0</v>
      </c>
      <c r="AL293" s="67">
        <v>0</v>
      </c>
      <c r="AM293" s="67">
        <v>0</v>
      </c>
      <c r="AN293" s="67">
        <v>0</v>
      </c>
      <c r="AO293" s="67">
        <v>0</v>
      </c>
      <c r="AP293" s="67">
        <v>0</v>
      </c>
      <c r="AQ293" s="67">
        <v>0</v>
      </c>
      <c r="AR293" s="67">
        <v>0</v>
      </c>
      <c r="AS293" s="67">
        <v>0</v>
      </c>
      <c r="AT293" s="67"/>
      <c r="AU293" s="67"/>
      <c r="AV293" s="67"/>
      <c r="AW293" s="67">
        <v>0</v>
      </c>
      <c r="AX293" s="67">
        <v>0</v>
      </c>
      <c r="AY293" s="67"/>
      <c r="AZ293" s="67"/>
      <c r="BA293" s="67"/>
      <c r="BB293" s="67"/>
      <c r="BC293" s="67"/>
      <c r="BD293" s="67"/>
      <c r="BE293" s="67"/>
      <c r="BG293" s="67"/>
      <c r="BH293" s="67"/>
      <c r="BI293" s="67"/>
      <c r="BJ293" s="67">
        <v>0</v>
      </c>
      <c r="BK293" s="67"/>
      <c r="BL293" s="67"/>
      <c r="BP293" s="67"/>
      <c r="BQ293" s="67">
        <v>0</v>
      </c>
      <c r="BR293" s="67"/>
      <c r="BS293" s="67"/>
      <c r="BT293" s="67">
        <v>0</v>
      </c>
      <c r="BU293" s="67">
        <v>0</v>
      </c>
      <c r="BV293" s="67"/>
      <c r="BW293" s="67"/>
      <c r="BX293" s="67">
        <v>0</v>
      </c>
      <c r="BY293" s="67">
        <v>0</v>
      </c>
      <c r="BZ293" s="67">
        <v>0</v>
      </c>
      <c r="CA293" s="67"/>
      <c r="CB293" s="67">
        <v>0</v>
      </c>
      <c r="CC293" s="67"/>
      <c r="CD293" s="67"/>
      <c r="CE293" s="67">
        <v>0</v>
      </c>
      <c r="CF293" s="67"/>
      <c r="CG293" s="67"/>
      <c r="CH293" s="67"/>
      <c r="CI293" s="67"/>
      <c r="CJ293" s="67"/>
      <c r="CK293" s="67">
        <v>0</v>
      </c>
      <c r="CL293" s="67"/>
      <c r="CM293" s="67"/>
      <c r="CN293" s="67"/>
      <c r="CO293" s="67">
        <v>0</v>
      </c>
      <c r="CP293" s="67"/>
      <c r="CQ293" s="67"/>
      <c r="CR293" s="67"/>
      <c r="CS293" s="67"/>
      <c r="CT293" s="67"/>
      <c r="CU293" s="67">
        <v>0</v>
      </c>
      <c r="CV293" s="67"/>
      <c r="CW293" s="67"/>
      <c r="CX293" s="67"/>
      <c r="CY293" s="67">
        <v>0</v>
      </c>
      <c r="CZ293" s="67"/>
      <c r="DA293" s="67"/>
      <c r="DB293" s="67"/>
      <c r="DC293" s="67"/>
      <c r="DF293" s="67"/>
      <c r="DG293" s="67">
        <v>0</v>
      </c>
      <c r="DH293" s="67">
        <v>0</v>
      </c>
      <c r="DI293" s="67">
        <v>0</v>
      </c>
      <c r="DJ293" s="67"/>
      <c r="DK293" s="67">
        <v>0</v>
      </c>
      <c r="DL293" s="67">
        <v>0</v>
      </c>
      <c r="DM293" s="67">
        <v>0</v>
      </c>
      <c r="DN293" s="67"/>
      <c r="DO293" s="67"/>
      <c r="DP293" s="67"/>
      <c r="DQ293" s="67">
        <v>0</v>
      </c>
      <c r="DR293" s="67">
        <v>0</v>
      </c>
      <c r="DS293" s="67"/>
      <c r="DT293" s="67"/>
      <c r="DU293" s="67">
        <v>0</v>
      </c>
      <c r="DV293" s="67">
        <v>0</v>
      </c>
      <c r="DW293" s="67">
        <v>0</v>
      </c>
      <c r="DX293" s="67">
        <v>0</v>
      </c>
      <c r="DY293" s="67"/>
      <c r="DZ293" s="67">
        <v>0</v>
      </c>
      <c r="EA293" s="67"/>
      <c r="EB293" s="67">
        <v>0</v>
      </c>
      <c r="EC293" s="67"/>
      <c r="ED293" s="67">
        <v>0</v>
      </c>
      <c r="EE293" s="67"/>
      <c r="EF293" s="67">
        <v>0</v>
      </c>
      <c r="EG293" s="67"/>
      <c r="EH293" s="67"/>
      <c r="EI293" s="67"/>
      <c r="EJ293" s="67"/>
      <c r="EK293" s="67"/>
      <c r="EL293" s="67"/>
      <c r="EM293" s="67"/>
      <c r="EN293" s="67"/>
      <c r="EO293" s="67"/>
      <c r="EP293" s="67">
        <v>0</v>
      </c>
      <c r="EQ293" s="67">
        <v>0</v>
      </c>
      <c r="ER293" s="67">
        <v>0</v>
      </c>
      <c r="ES293" s="67"/>
      <c r="ET293">
        <v>0</v>
      </c>
      <c r="EX293" s="67"/>
      <c r="EY293" s="67"/>
      <c r="EZ293" s="67"/>
      <c r="FA293" s="67">
        <v>0</v>
      </c>
      <c r="FB293" s="67">
        <v>0</v>
      </c>
      <c r="FC293" s="67"/>
      <c r="FD293" s="67"/>
      <c r="FE293" s="67"/>
      <c r="FF293" s="67"/>
      <c r="FG293" s="67"/>
      <c r="FH293" s="67"/>
      <c r="FI293" s="67" t="s">
        <v>1734</v>
      </c>
    </row>
    <row r="294" spans="2:165" ht="24" x14ac:dyDescent="0.2">
      <c r="B294" s="67" t="s">
        <v>834</v>
      </c>
      <c r="C294" s="67"/>
      <c r="D294" s="67" t="s">
        <v>835</v>
      </c>
      <c r="E294" s="67" t="s">
        <v>13</v>
      </c>
      <c r="F294" s="67" t="s">
        <v>766</v>
      </c>
      <c r="G294" s="67" t="s">
        <v>694</v>
      </c>
      <c r="H294" s="67"/>
      <c r="I294" s="67" t="s">
        <v>41</v>
      </c>
      <c r="J294" s="67"/>
      <c r="K294" s="67"/>
      <c r="L294" s="67" t="s">
        <v>767</v>
      </c>
      <c r="M294" s="67" t="s">
        <v>752</v>
      </c>
      <c r="N294" s="67"/>
      <c r="O294" s="67" t="s">
        <v>1605</v>
      </c>
      <c r="P294" s="67"/>
      <c r="Q294" s="67">
        <v>0</v>
      </c>
      <c r="R294" s="67">
        <v>0</v>
      </c>
      <c r="S294" s="67">
        <v>0</v>
      </c>
      <c r="T294" s="67">
        <v>0</v>
      </c>
      <c r="U294" s="67">
        <v>0</v>
      </c>
      <c r="V294" s="67">
        <v>0</v>
      </c>
      <c r="W294" s="67">
        <v>0</v>
      </c>
      <c r="X294" s="67">
        <v>0</v>
      </c>
      <c r="Y294" s="67">
        <v>0</v>
      </c>
      <c r="Z294" s="67">
        <v>0</v>
      </c>
      <c r="AA294" s="67">
        <v>0</v>
      </c>
      <c r="AB294" s="67">
        <v>0</v>
      </c>
      <c r="AC294" s="67">
        <v>0</v>
      </c>
      <c r="AD294" s="67">
        <v>0</v>
      </c>
      <c r="AE294" s="67">
        <v>0</v>
      </c>
      <c r="AF294" s="67">
        <v>0</v>
      </c>
      <c r="AG294" s="67">
        <v>0</v>
      </c>
      <c r="AH294" s="67">
        <v>0</v>
      </c>
      <c r="AI294" s="67">
        <v>0</v>
      </c>
      <c r="AJ294" s="67">
        <v>0</v>
      </c>
      <c r="AK294" s="67">
        <v>0</v>
      </c>
      <c r="AL294" s="67">
        <v>0</v>
      </c>
      <c r="AM294" s="67">
        <v>0</v>
      </c>
      <c r="AN294" s="67">
        <v>0</v>
      </c>
      <c r="AO294" s="67">
        <v>0</v>
      </c>
      <c r="AP294" s="67">
        <v>0</v>
      </c>
      <c r="AQ294" s="67">
        <v>0</v>
      </c>
      <c r="AR294" s="67">
        <v>0</v>
      </c>
      <c r="AS294" s="67">
        <v>0</v>
      </c>
      <c r="AT294" s="67"/>
      <c r="AU294" s="67"/>
      <c r="AV294" s="67"/>
      <c r="AW294" s="67">
        <v>0</v>
      </c>
      <c r="AX294" s="67">
        <v>0</v>
      </c>
      <c r="AY294" s="67"/>
      <c r="AZ294" s="67"/>
      <c r="BA294" s="67"/>
      <c r="BB294" s="67"/>
      <c r="BC294" s="67"/>
      <c r="BD294" s="67"/>
      <c r="BE294" s="67"/>
      <c r="BG294" s="67"/>
      <c r="BH294" s="67"/>
      <c r="BI294" s="67"/>
      <c r="BJ294" s="67">
        <v>0</v>
      </c>
      <c r="BK294" s="67"/>
      <c r="BL294" s="67"/>
      <c r="BP294" s="67"/>
      <c r="BQ294" s="67">
        <v>0</v>
      </c>
      <c r="BR294" s="67"/>
      <c r="BS294" s="67"/>
      <c r="BT294" s="67">
        <v>0</v>
      </c>
      <c r="BU294" s="67">
        <v>0</v>
      </c>
      <c r="BV294" s="67"/>
      <c r="BW294" s="67"/>
      <c r="BX294" s="67">
        <v>0</v>
      </c>
      <c r="BY294" s="67">
        <v>0</v>
      </c>
      <c r="BZ294" s="67">
        <v>0</v>
      </c>
      <c r="CA294" s="67"/>
      <c r="CB294" s="67">
        <v>0</v>
      </c>
      <c r="CC294" s="67"/>
      <c r="CD294" s="67"/>
      <c r="CE294" s="67">
        <v>0</v>
      </c>
      <c r="CF294" s="67"/>
      <c r="CG294" s="67"/>
      <c r="CH294" s="67"/>
      <c r="CI294" s="67"/>
      <c r="CJ294" s="67"/>
      <c r="CK294" s="67">
        <v>0</v>
      </c>
      <c r="CL294" s="67"/>
      <c r="CM294" s="67"/>
      <c r="CN294" s="67"/>
      <c r="CO294" s="67">
        <v>0</v>
      </c>
      <c r="CP294" s="67"/>
      <c r="CQ294" s="67"/>
      <c r="CR294" s="67"/>
      <c r="CS294" s="67"/>
      <c r="CT294" s="67"/>
      <c r="CU294" s="67">
        <v>0</v>
      </c>
      <c r="CV294" s="67"/>
      <c r="CW294" s="67"/>
      <c r="CX294" s="67"/>
      <c r="CY294" s="67">
        <v>0</v>
      </c>
      <c r="CZ294" s="67"/>
      <c r="DA294" s="67"/>
      <c r="DB294" s="67"/>
      <c r="DC294" s="67"/>
      <c r="DF294" s="67"/>
      <c r="DG294" s="67">
        <v>0</v>
      </c>
      <c r="DH294" s="67">
        <v>0</v>
      </c>
      <c r="DI294" s="67">
        <v>0</v>
      </c>
      <c r="DJ294" s="67"/>
      <c r="DK294" s="67">
        <v>0</v>
      </c>
      <c r="DL294" s="67">
        <v>0</v>
      </c>
      <c r="DM294" s="67">
        <v>0</v>
      </c>
      <c r="DN294" s="67"/>
      <c r="DO294" s="67"/>
      <c r="DP294" s="67"/>
      <c r="DQ294" s="67">
        <v>0</v>
      </c>
      <c r="DR294" s="67">
        <v>0</v>
      </c>
      <c r="DS294" s="67"/>
      <c r="DT294" s="67"/>
      <c r="DU294" s="67">
        <v>0</v>
      </c>
      <c r="DV294" s="67">
        <v>0</v>
      </c>
      <c r="DW294" s="67">
        <v>0</v>
      </c>
      <c r="DX294" s="67">
        <v>0</v>
      </c>
      <c r="DY294" s="67"/>
      <c r="DZ294" s="67">
        <v>0</v>
      </c>
      <c r="EA294" s="67"/>
      <c r="EB294" s="67">
        <v>0</v>
      </c>
      <c r="EC294" s="67"/>
      <c r="ED294" s="67">
        <v>0</v>
      </c>
      <c r="EE294" s="67"/>
      <c r="EF294" s="67">
        <v>0</v>
      </c>
      <c r="EG294" s="67"/>
      <c r="EH294" s="67"/>
      <c r="EI294" s="67"/>
      <c r="EJ294" s="67"/>
      <c r="EK294" s="67"/>
      <c r="EL294" s="67"/>
      <c r="EM294" s="67"/>
      <c r="EN294" s="67"/>
      <c r="EO294" s="67"/>
      <c r="EP294" s="67">
        <v>0</v>
      </c>
      <c r="EQ294" s="67">
        <v>0</v>
      </c>
      <c r="ER294" s="67">
        <v>0</v>
      </c>
      <c r="ES294" s="67"/>
      <c r="ET294">
        <v>0</v>
      </c>
      <c r="EX294" s="67"/>
      <c r="EY294" s="67"/>
      <c r="EZ294" s="67"/>
      <c r="FA294" s="67">
        <v>0</v>
      </c>
      <c r="FB294" s="67">
        <v>0</v>
      </c>
      <c r="FC294" s="67"/>
      <c r="FD294" s="67"/>
      <c r="FE294" s="67"/>
      <c r="FF294" s="67"/>
      <c r="FG294" s="67"/>
      <c r="FH294" s="67"/>
      <c r="FI294" s="67" t="s">
        <v>1734</v>
      </c>
    </row>
    <row r="295" spans="2:165" ht="24" x14ac:dyDescent="0.2">
      <c r="B295" s="67" t="s">
        <v>836</v>
      </c>
      <c r="C295" s="67"/>
      <c r="D295" s="67" t="s">
        <v>837</v>
      </c>
      <c r="E295" s="67" t="s">
        <v>13</v>
      </c>
      <c r="F295" s="67"/>
      <c r="G295" s="67" t="s">
        <v>694</v>
      </c>
      <c r="H295" s="67"/>
      <c r="I295" s="67" t="s">
        <v>41</v>
      </c>
      <c r="J295" s="67"/>
      <c r="K295" s="67"/>
      <c r="L295" s="67" t="s">
        <v>767</v>
      </c>
      <c r="M295" s="67" t="s">
        <v>752</v>
      </c>
      <c r="N295" s="67"/>
      <c r="O295" s="67" t="s">
        <v>1605</v>
      </c>
      <c r="P295" s="67"/>
      <c r="Q295" s="67">
        <v>0</v>
      </c>
      <c r="R295" s="67">
        <v>0</v>
      </c>
      <c r="S295" s="67">
        <v>0</v>
      </c>
      <c r="T295" s="67">
        <v>0</v>
      </c>
      <c r="U295" s="67">
        <v>0</v>
      </c>
      <c r="V295" s="67">
        <v>0</v>
      </c>
      <c r="W295" s="67">
        <v>0</v>
      </c>
      <c r="X295" s="67">
        <v>0</v>
      </c>
      <c r="Y295" s="67">
        <v>0</v>
      </c>
      <c r="Z295" s="67">
        <v>0</v>
      </c>
      <c r="AA295" s="67">
        <v>0</v>
      </c>
      <c r="AB295" s="67">
        <v>0</v>
      </c>
      <c r="AC295" s="67">
        <v>0</v>
      </c>
      <c r="AD295" s="67">
        <v>0</v>
      </c>
      <c r="AE295" s="67">
        <v>0</v>
      </c>
      <c r="AF295" s="67">
        <v>0</v>
      </c>
      <c r="AG295" s="67">
        <v>0</v>
      </c>
      <c r="AH295" s="67">
        <v>0</v>
      </c>
      <c r="AI295" s="67">
        <v>0</v>
      </c>
      <c r="AJ295" s="67">
        <v>0</v>
      </c>
      <c r="AK295" s="67">
        <v>0</v>
      </c>
      <c r="AL295" s="67">
        <v>0</v>
      </c>
      <c r="AM295" s="67">
        <v>0</v>
      </c>
      <c r="AN295" s="67">
        <v>0</v>
      </c>
      <c r="AO295" s="67">
        <v>0</v>
      </c>
      <c r="AP295" s="67">
        <v>0</v>
      </c>
      <c r="AQ295" s="67">
        <v>0</v>
      </c>
      <c r="AR295" s="67">
        <v>0</v>
      </c>
      <c r="AS295" s="67">
        <v>0</v>
      </c>
      <c r="AT295" s="67"/>
      <c r="AU295" s="67"/>
      <c r="AV295" s="67"/>
      <c r="AW295" s="67">
        <v>0</v>
      </c>
      <c r="AX295" s="67">
        <v>0</v>
      </c>
      <c r="AY295" s="67"/>
      <c r="AZ295" s="67"/>
      <c r="BA295" s="67"/>
      <c r="BB295" s="67"/>
      <c r="BC295" s="67"/>
      <c r="BD295" s="67"/>
      <c r="BE295" s="67"/>
      <c r="BG295" s="67"/>
      <c r="BH295" s="67"/>
      <c r="BI295" s="67"/>
      <c r="BJ295" s="67">
        <v>0</v>
      </c>
      <c r="BK295" s="67"/>
      <c r="BL295" s="67"/>
      <c r="BP295" s="67"/>
      <c r="BQ295" s="67">
        <v>0</v>
      </c>
      <c r="BR295" s="67"/>
      <c r="BS295" s="67"/>
      <c r="BT295" s="67">
        <v>0</v>
      </c>
      <c r="BU295" s="67">
        <v>0</v>
      </c>
      <c r="BV295" s="67"/>
      <c r="BW295" s="67"/>
      <c r="BX295" s="67">
        <v>0</v>
      </c>
      <c r="BY295" s="67">
        <v>0</v>
      </c>
      <c r="BZ295" s="67">
        <v>0</v>
      </c>
      <c r="CA295" s="67"/>
      <c r="CB295" s="67">
        <v>0</v>
      </c>
      <c r="CC295" s="67"/>
      <c r="CD295" s="67"/>
      <c r="CE295" s="67">
        <v>0</v>
      </c>
      <c r="CF295" s="67"/>
      <c r="CG295" s="67"/>
      <c r="CH295" s="67"/>
      <c r="CI295" s="67"/>
      <c r="CJ295" s="67"/>
      <c r="CK295" s="67">
        <v>0</v>
      </c>
      <c r="CL295" s="67"/>
      <c r="CM295" s="67"/>
      <c r="CN295" s="67"/>
      <c r="CO295" s="67">
        <v>0</v>
      </c>
      <c r="CP295" s="67"/>
      <c r="CQ295" s="67"/>
      <c r="CR295" s="67"/>
      <c r="CS295" s="67"/>
      <c r="CT295" s="67"/>
      <c r="CU295" s="67">
        <v>0</v>
      </c>
      <c r="CV295" s="67"/>
      <c r="CW295" s="67"/>
      <c r="CX295" s="67"/>
      <c r="CY295" s="67">
        <v>0</v>
      </c>
      <c r="CZ295" s="67"/>
      <c r="DA295" s="67"/>
      <c r="DB295" s="67"/>
      <c r="DC295" s="67"/>
      <c r="DF295" s="67"/>
      <c r="DG295" s="67">
        <v>0</v>
      </c>
      <c r="DH295" s="67">
        <v>0</v>
      </c>
      <c r="DI295" s="67">
        <v>0</v>
      </c>
      <c r="DJ295" s="67"/>
      <c r="DK295" s="67">
        <v>0</v>
      </c>
      <c r="DL295" s="67">
        <v>0</v>
      </c>
      <c r="DM295" s="67">
        <v>0</v>
      </c>
      <c r="DN295" s="67"/>
      <c r="DO295" s="67"/>
      <c r="DP295" s="67"/>
      <c r="DQ295" s="67">
        <v>0</v>
      </c>
      <c r="DR295" s="67">
        <v>0</v>
      </c>
      <c r="DS295" s="67"/>
      <c r="DT295" s="67"/>
      <c r="DU295" s="67">
        <v>0</v>
      </c>
      <c r="DV295" s="67">
        <v>0</v>
      </c>
      <c r="DW295" s="67">
        <v>0</v>
      </c>
      <c r="DX295" s="67">
        <v>0</v>
      </c>
      <c r="DY295" s="67"/>
      <c r="DZ295" s="67">
        <v>0</v>
      </c>
      <c r="EA295" s="67"/>
      <c r="EB295" s="67">
        <v>0</v>
      </c>
      <c r="EC295" s="67"/>
      <c r="ED295" s="67">
        <v>0</v>
      </c>
      <c r="EE295" s="67"/>
      <c r="EF295" s="67">
        <v>0</v>
      </c>
      <c r="EG295" s="67"/>
      <c r="EH295" s="67"/>
      <c r="EI295" s="67"/>
      <c r="EJ295" s="67"/>
      <c r="EK295" s="67"/>
      <c r="EL295" s="67"/>
      <c r="EM295" s="67"/>
      <c r="EN295" s="67"/>
      <c r="EO295" s="67"/>
      <c r="EP295" s="67">
        <v>0</v>
      </c>
      <c r="EQ295" s="67">
        <v>0</v>
      </c>
      <c r="ER295" s="67">
        <v>0</v>
      </c>
      <c r="ES295" s="67"/>
      <c r="ET295">
        <v>0</v>
      </c>
      <c r="EX295" s="67"/>
      <c r="EY295" s="67"/>
      <c r="EZ295" s="67"/>
      <c r="FA295" s="67">
        <v>0</v>
      </c>
      <c r="FB295" s="67">
        <v>0</v>
      </c>
      <c r="FC295" s="67"/>
      <c r="FD295" s="67"/>
      <c r="FE295" s="67"/>
      <c r="FF295" s="67"/>
      <c r="FG295" s="67"/>
      <c r="FH295" s="67"/>
      <c r="FI295" s="67" t="s">
        <v>1734</v>
      </c>
    </row>
    <row r="296" spans="2:165" ht="24" x14ac:dyDescent="0.2">
      <c r="B296" s="67" t="s">
        <v>840</v>
      </c>
      <c r="C296" s="67"/>
      <c r="D296" s="67" t="s">
        <v>841</v>
      </c>
      <c r="E296" s="67" t="s">
        <v>13</v>
      </c>
      <c r="F296" s="67" t="s">
        <v>766</v>
      </c>
      <c r="G296" s="67" t="s">
        <v>694</v>
      </c>
      <c r="H296" s="67"/>
      <c r="I296" s="67" t="s">
        <v>41</v>
      </c>
      <c r="J296" s="67"/>
      <c r="K296" s="67"/>
      <c r="L296" s="67" t="s">
        <v>767</v>
      </c>
      <c r="M296" s="67" t="s">
        <v>752</v>
      </c>
      <c r="N296" s="67"/>
      <c r="O296" s="67" t="s">
        <v>1605</v>
      </c>
      <c r="P296" s="67"/>
      <c r="Q296" s="67">
        <v>0</v>
      </c>
      <c r="R296" s="67">
        <v>0</v>
      </c>
      <c r="S296" s="67">
        <v>0</v>
      </c>
      <c r="T296" s="67">
        <v>0</v>
      </c>
      <c r="U296" s="67">
        <v>0</v>
      </c>
      <c r="V296" s="67">
        <v>0</v>
      </c>
      <c r="W296" s="67">
        <v>0</v>
      </c>
      <c r="X296" s="67">
        <v>0</v>
      </c>
      <c r="Y296" s="67">
        <v>0</v>
      </c>
      <c r="Z296" s="67">
        <v>0</v>
      </c>
      <c r="AA296" s="67">
        <v>0</v>
      </c>
      <c r="AB296" s="67">
        <v>0</v>
      </c>
      <c r="AC296" s="67">
        <v>0</v>
      </c>
      <c r="AD296" s="67">
        <v>0</v>
      </c>
      <c r="AE296" s="67">
        <v>0</v>
      </c>
      <c r="AF296" s="67">
        <v>0</v>
      </c>
      <c r="AG296" s="67">
        <v>0</v>
      </c>
      <c r="AH296" s="67">
        <v>0</v>
      </c>
      <c r="AI296" s="67">
        <v>0</v>
      </c>
      <c r="AJ296" s="67">
        <v>0</v>
      </c>
      <c r="AK296" s="67">
        <v>0</v>
      </c>
      <c r="AL296" s="67">
        <v>0</v>
      </c>
      <c r="AM296" s="67">
        <v>0</v>
      </c>
      <c r="AN296" s="67">
        <v>0</v>
      </c>
      <c r="AO296" s="67">
        <v>0</v>
      </c>
      <c r="AP296" s="67">
        <v>0</v>
      </c>
      <c r="AQ296" s="67">
        <v>0</v>
      </c>
      <c r="AR296" s="67">
        <v>0</v>
      </c>
      <c r="AS296" s="67">
        <v>0</v>
      </c>
      <c r="AT296" s="67"/>
      <c r="AU296" s="67"/>
      <c r="AV296" s="67"/>
      <c r="AW296" s="67">
        <v>0</v>
      </c>
      <c r="AX296" s="67">
        <v>0</v>
      </c>
      <c r="AY296" s="67"/>
      <c r="AZ296" s="67"/>
      <c r="BA296" s="67"/>
      <c r="BB296" s="67"/>
      <c r="BC296" s="67"/>
      <c r="BD296" s="67"/>
      <c r="BE296" s="67"/>
      <c r="BG296" s="67"/>
      <c r="BH296" s="67"/>
      <c r="BI296" s="67"/>
      <c r="BJ296" s="67">
        <v>0</v>
      </c>
      <c r="BK296" s="67"/>
      <c r="BL296" s="67"/>
      <c r="BP296" s="67"/>
      <c r="BQ296" s="67">
        <v>0</v>
      </c>
      <c r="BR296" s="67"/>
      <c r="BS296" s="67"/>
      <c r="BT296" s="67">
        <v>0</v>
      </c>
      <c r="BU296" s="67">
        <v>0</v>
      </c>
      <c r="BV296" s="67"/>
      <c r="BW296" s="67"/>
      <c r="BX296" s="67">
        <v>0</v>
      </c>
      <c r="BY296" s="67">
        <v>0</v>
      </c>
      <c r="BZ296" s="67">
        <v>0</v>
      </c>
      <c r="CA296" s="67"/>
      <c r="CB296" s="67">
        <v>0</v>
      </c>
      <c r="CC296" s="67"/>
      <c r="CD296" s="67"/>
      <c r="CE296" s="67">
        <v>0</v>
      </c>
      <c r="CF296" s="67"/>
      <c r="CG296" s="67"/>
      <c r="CH296" s="67"/>
      <c r="CI296" s="67"/>
      <c r="CJ296" s="67"/>
      <c r="CK296" s="67">
        <v>0</v>
      </c>
      <c r="CL296" s="67"/>
      <c r="CM296" s="67"/>
      <c r="CN296" s="67"/>
      <c r="CO296" s="67">
        <v>0</v>
      </c>
      <c r="CP296" s="67"/>
      <c r="CQ296" s="67"/>
      <c r="CR296" s="67"/>
      <c r="CS296" s="67"/>
      <c r="CT296" s="67"/>
      <c r="CU296" s="67">
        <v>0</v>
      </c>
      <c r="CV296" s="67"/>
      <c r="CW296" s="67"/>
      <c r="CX296" s="67"/>
      <c r="CY296" s="67">
        <v>0</v>
      </c>
      <c r="CZ296" s="67"/>
      <c r="DA296" s="67"/>
      <c r="DB296" s="67"/>
      <c r="DC296" s="67"/>
      <c r="DF296" s="67"/>
      <c r="DG296" s="67">
        <v>0</v>
      </c>
      <c r="DH296" s="67">
        <v>0</v>
      </c>
      <c r="DI296" s="67">
        <v>0</v>
      </c>
      <c r="DJ296" s="67"/>
      <c r="DK296" s="67">
        <v>0</v>
      </c>
      <c r="DL296" s="67">
        <v>0</v>
      </c>
      <c r="DM296" s="67">
        <v>0</v>
      </c>
      <c r="DN296" s="67"/>
      <c r="DO296" s="67"/>
      <c r="DP296" s="67"/>
      <c r="DQ296" s="67">
        <v>0</v>
      </c>
      <c r="DR296" s="67">
        <v>0</v>
      </c>
      <c r="DS296" s="67"/>
      <c r="DT296" s="67"/>
      <c r="DU296" s="67">
        <v>0</v>
      </c>
      <c r="DV296" s="67">
        <v>0</v>
      </c>
      <c r="DW296" s="67">
        <v>0</v>
      </c>
      <c r="DX296" s="67">
        <v>0</v>
      </c>
      <c r="DY296" s="67"/>
      <c r="DZ296" s="67">
        <v>0</v>
      </c>
      <c r="EA296" s="67"/>
      <c r="EB296" s="67">
        <v>0</v>
      </c>
      <c r="EC296" s="67"/>
      <c r="ED296" s="67">
        <v>0</v>
      </c>
      <c r="EE296" s="67"/>
      <c r="EF296" s="67">
        <v>0</v>
      </c>
      <c r="EG296" s="67"/>
      <c r="EH296" s="67"/>
      <c r="EI296" s="67"/>
      <c r="EJ296" s="67"/>
      <c r="EK296" s="67"/>
      <c r="EL296" s="67"/>
      <c r="EM296" s="67"/>
      <c r="EN296" s="67"/>
      <c r="EO296" s="67"/>
      <c r="EP296" s="67">
        <v>0</v>
      </c>
      <c r="EQ296" s="67">
        <v>0</v>
      </c>
      <c r="ER296" s="67">
        <v>0</v>
      </c>
      <c r="ES296" s="67"/>
      <c r="ET296">
        <v>0</v>
      </c>
      <c r="EX296" s="67"/>
      <c r="EY296" s="67"/>
      <c r="EZ296" s="67"/>
      <c r="FA296" s="67">
        <v>0</v>
      </c>
      <c r="FB296" s="67">
        <v>0</v>
      </c>
      <c r="FC296" s="67"/>
      <c r="FD296" s="67"/>
      <c r="FE296" s="67"/>
      <c r="FF296" s="67"/>
      <c r="FG296" s="67"/>
      <c r="FH296" s="67"/>
      <c r="FI296" s="67" t="s">
        <v>1734</v>
      </c>
    </row>
    <row r="297" spans="2:165" ht="24" x14ac:dyDescent="0.2">
      <c r="B297" s="67" t="s">
        <v>842</v>
      </c>
      <c r="C297" s="67"/>
      <c r="D297" s="67" t="s">
        <v>843</v>
      </c>
      <c r="E297" s="67" t="s">
        <v>13</v>
      </c>
      <c r="F297" s="67"/>
      <c r="G297" s="67" t="s">
        <v>694</v>
      </c>
      <c r="H297" s="67"/>
      <c r="I297" s="67" t="s">
        <v>41</v>
      </c>
      <c r="J297" s="67"/>
      <c r="K297" s="67"/>
      <c r="L297" s="67" t="s">
        <v>767</v>
      </c>
      <c r="M297" s="67" t="s">
        <v>752</v>
      </c>
      <c r="N297" s="67"/>
      <c r="O297" s="67" t="s">
        <v>1605</v>
      </c>
      <c r="P297" s="67"/>
      <c r="Q297" s="67">
        <v>0</v>
      </c>
      <c r="R297" s="67">
        <v>0</v>
      </c>
      <c r="S297" s="67">
        <v>0</v>
      </c>
      <c r="T297" s="67">
        <v>0</v>
      </c>
      <c r="U297" s="67">
        <v>0</v>
      </c>
      <c r="V297" s="67">
        <v>0</v>
      </c>
      <c r="W297" s="67">
        <v>0</v>
      </c>
      <c r="X297" s="67">
        <v>0</v>
      </c>
      <c r="Y297" s="67">
        <v>0</v>
      </c>
      <c r="Z297" s="67">
        <v>0</v>
      </c>
      <c r="AA297" s="67">
        <v>0</v>
      </c>
      <c r="AB297" s="67">
        <v>0</v>
      </c>
      <c r="AC297" s="67">
        <v>0</v>
      </c>
      <c r="AD297" s="67">
        <v>0</v>
      </c>
      <c r="AE297" s="67">
        <v>0</v>
      </c>
      <c r="AF297" s="67">
        <v>0</v>
      </c>
      <c r="AG297" s="67">
        <v>0</v>
      </c>
      <c r="AH297" s="67">
        <v>0</v>
      </c>
      <c r="AI297" s="67">
        <v>0</v>
      </c>
      <c r="AJ297" s="67">
        <v>0</v>
      </c>
      <c r="AK297" s="67">
        <v>0</v>
      </c>
      <c r="AL297" s="67">
        <v>0</v>
      </c>
      <c r="AM297" s="67">
        <v>0</v>
      </c>
      <c r="AN297" s="67">
        <v>0</v>
      </c>
      <c r="AO297" s="67">
        <v>0</v>
      </c>
      <c r="AP297" s="67">
        <v>0</v>
      </c>
      <c r="AQ297" s="67">
        <v>0</v>
      </c>
      <c r="AR297" s="67">
        <v>0</v>
      </c>
      <c r="AS297" s="67">
        <v>0</v>
      </c>
      <c r="AT297" s="67"/>
      <c r="AU297" s="67"/>
      <c r="AV297" s="67"/>
      <c r="AW297" s="67">
        <v>0</v>
      </c>
      <c r="AX297" s="67">
        <v>0</v>
      </c>
      <c r="AY297" s="67"/>
      <c r="AZ297" s="67"/>
      <c r="BA297" s="67"/>
      <c r="BB297" s="67"/>
      <c r="BC297" s="67"/>
      <c r="BD297" s="67"/>
      <c r="BE297" s="67"/>
      <c r="BG297" s="67"/>
      <c r="BH297" s="67"/>
      <c r="BI297" s="67"/>
      <c r="BJ297" s="67">
        <v>0</v>
      </c>
      <c r="BK297" s="67"/>
      <c r="BL297" s="67"/>
      <c r="BP297" s="67"/>
      <c r="BQ297" s="67">
        <v>0</v>
      </c>
      <c r="BR297" s="67"/>
      <c r="BS297" s="67"/>
      <c r="BT297" s="67">
        <v>0</v>
      </c>
      <c r="BU297" s="67">
        <v>0</v>
      </c>
      <c r="BV297" s="67"/>
      <c r="BW297" s="67"/>
      <c r="BX297" s="67">
        <v>0</v>
      </c>
      <c r="BY297" s="67">
        <v>0</v>
      </c>
      <c r="BZ297" s="67">
        <v>0</v>
      </c>
      <c r="CA297" s="67"/>
      <c r="CB297" s="67">
        <v>0</v>
      </c>
      <c r="CC297" s="67"/>
      <c r="CD297" s="67"/>
      <c r="CE297" s="67">
        <v>0</v>
      </c>
      <c r="CF297" s="67"/>
      <c r="CG297" s="67"/>
      <c r="CH297" s="67"/>
      <c r="CI297" s="67"/>
      <c r="CJ297" s="67"/>
      <c r="CK297" s="67">
        <v>0</v>
      </c>
      <c r="CL297" s="67"/>
      <c r="CM297" s="67"/>
      <c r="CN297" s="67"/>
      <c r="CO297" s="67">
        <v>0</v>
      </c>
      <c r="CP297" s="67"/>
      <c r="CQ297" s="67"/>
      <c r="CR297" s="67"/>
      <c r="CS297" s="67"/>
      <c r="CT297" s="67"/>
      <c r="CU297" s="67">
        <v>0</v>
      </c>
      <c r="CV297" s="67"/>
      <c r="CW297" s="67"/>
      <c r="CX297" s="67"/>
      <c r="CY297" s="67">
        <v>0</v>
      </c>
      <c r="CZ297" s="67"/>
      <c r="DA297" s="67"/>
      <c r="DB297" s="67"/>
      <c r="DC297" s="67"/>
      <c r="DF297" s="67"/>
      <c r="DG297" s="67">
        <v>0</v>
      </c>
      <c r="DH297" s="67">
        <v>0</v>
      </c>
      <c r="DI297" s="67">
        <v>0</v>
      </c>
      <c r="DJ297" s="67"/>
      <c r="DK297" s="67">
        <v>0</v>
      </c>
      <c r="DL297" s="67">
        <v>0</v>
      </c>
      <c r="DM297" s="67">
        <v>0</v>
      </c>
      <c r="DN297" s="67"/>
      <c r="DO297" s="67"/>
      <c r="DP297" s="67"/>
      <c r="DQ297" s="67">
        <v>0</v>
      </c>
      <c r="DR297" s="67">
        <v>0</v>
      </c>
      <c r="DS297" s="67"/>
      <c r="DT297" s="67"/>
      <c r="DU297" s="67">
        <v>0</v>
      </c>
      <c r="DV297" s="67">
        <v>0</v>
      </c>
      <c r="DW297" s="67">
        <v>0</v>
      </c>
      <c r="DX297" s="67">
        <v>0</v>
      </c>
      <c r="DY297" s="67"/>
      <c r="DZ297" s="67">
        <v>0</v>
      </c>
      <c r="EA297" s="67"/>
      <c r="EB297" s="67">
        <v>0</v>
      </c>
      <c r="EC297" s="67"/>
      <c r="ED297" s="67">
        <v>0</v>
      </c>
      <c r="EE297" s="67"/>
      <c r="EF297" s="67">
        <v>0</v>
      </c>
      <c r="EG297" s="67"/>
      <c r="EH297" s="67"/>
      <c r="EI297" s="67"/>
      <c r="EJ297" s="67"/>
      <c r="EK297" s="67"/>
      <c r="EL297" s="67"/>
      <c r="EM297" s="67"/>
      <c r="EN297" s="67"/>
      <c r="EO297" s="67"/>
      <c r="EP297" s="67">
        <v>0</v>
      </c>
      <c r="EQ297" s="67">
        <v>0</v>
      </c>
      <c r="ER297" s="67">
        <v>0</v>
      </c>
      <c r="ES297" s="67"/>
      <c r="ET297">
        <v>0</v>
      </c>
      <c r="EX297" s="67"/>
      <c r="EY297" s="67"/>
      <c r="EZ297" s="67"/>
      <c r="FA297" s="67">
        <v>0</v>
      </c>
      <c r="FB297" s="67">
        <v>0</v>
      </c>
      <c r="FC297" s="67"/>
      <c r="FD297" s="67"/>
      <c r="FE297" s="67"/>
      <c r="FF297" s="67"/>
      <c r="FG297" s="67"/>
      <c r="FH297" s="67"/>
      <c r="FI297" s="67" t="s">
        <v>1734</v>
      </c>
    </row>
    <row r="298" spans="2:165" x14ac:dyDescent="0.2">
      <c r="B298" s="67" t="s">
        <v>844</v>
      </c>
      <c r="C298" s="67"/>
      <c r="D298" s="67" t="s">
        <v>845</v>
      </c>
      <c r="E298" s="67" t="s">
        <v>20</v>
      </c>
      <c r="F298" s="67"/>
      <c r="G298" s="67" t="s">
        <v>694</v>
      </c>
      <c r="H298" s="67"/>
      <c r="I298" s="67" t="s">
        <v>786</v>
      </c>
      <c r="J298" s="67"/>
      <c r="K298" s="67"/>
      <c r="L298" s="67"/>
      <c r="M298" s="67"/>
      <c r="N298" s="67"/>
      <c r="O298" s="67" t="s">
        <v>1605</v>
      </c>
      <c r="P298" s="67"/>
      <c r="Q298" s="67">
        <v>0</v>
      </c>
      <c r="R298" s="67">
        <v>0</v>
      </c>
      <c r="S298" s="67">
        <v>0</v>
      </c>
      <c r="T298" s="67">
        <v>0</v>
      </c>
      <c r="U298" s="67">
        <v>0</v>
      </c>
      <c r="V298" s="67">
        <v>0</v>
      </c>
      <c r="W298" s="67">
        <v>0</v>
      </c>
      <c r="X298" s="67">
        <v>0</v>
      </c>
      <c r="Y298" s="67">
        <v>0</v>
      </c>
      <c r="Z298" s="67">
        <v>0</v>
      </c>
      <c r="AA298" s="67">
        <v>0</v>
      </c>
      <c r="AB298" s="67">
        <v>0</v>
      </c>
      <c r="AC298" s="67">
        <v>0</v>
      </c>
      <c r="AD298" s="67">
        <v>0</v>
      </c>
      <c r="AE298" s="67">
        <v>0</v>
      </c>
      <c r="AF298" s="67">
        <v>0</v>
      </c>
      <c r="AG298" s="67">
        <v>0</v>
      </c>
      <c r="AH298" s="67">
        <v>0</v>
      </c>
      <c r="AI298" s="67">
        <v>0</v>
      </c>
      <c r="AJ298" s="67">
        <v>0</v>
      </c>
      <c r="AK298" s="67">
        <v>0</v>
      </c>
      <c r="AL298" s="67">
        <v>0</v>
      </c>
      <c r="AM298" s="67">
        <v>0</v>
      </c>
      <c r="AN298" s="67">
        <v>0</v>
      </c>
      <c r="AO298" s="67">
        <v>0</v>
      </c>
      <c r="AP298" s="67">
        <v>0</v>
      </c>
      <c r="AQ298" s="67">
        <v>0</v>
      </c>
      <c r="AR298" s="67">
        <v>0</v>
      </c>
      <c r="AS298" s="67">
        <v>0</v>
      </c>
      <c r="AT298" s="67"/>
      <c r="AU298" s="67"/>
      <c r="AV298" s="67"/>
      <c r="AW298" s="67">
        <v>0</v>
      </c>
      <c r="AX298" s="67">
        <v>0</v>
      </c>
      <c r="AY298" s="67"/>
      <c r="AZ298" s="67"/>
      <c r="BA298" s="67"/>
      <c r="BB298" s="67"/>
      <c r="BC298" s="67"/>
      <c r="BD298" s="67"/>
      <c r="BE298" s="67"/>
      <c r="BG298" s="67"/>
      <c r="BH298" s="67"/>
      <c r="BI298" s="67"/>
      <c r="BJ298" s="67">
        <v>0</v>
      </c>
      <c r="BK298" s="67"/>
      <c r="BL298" s="67"/>
      <c r="BP298" s="67"/>
      <c r="BQ298" s="67">
        <v>0</v>
      </c>
      <c r="BR298" s="67"/>
      <c r="BS298" s="67"/>
      <c r="BT298" s="67">
        <v>0</v>
      </c>
      <c r="BU298" s="67">
        <v>0</v>
      </c>
      <c r="BV298" s="67"/>
      <c r="BW298" s="67"/>
      <c r="BX298" s="67">
        <v>0</v>
      </c>
      <c r="BY298" s="67">
        <v>0</v>
      </c>
      <c r="BZ298" s="67">
        <v>0</v>
      </c>
      <c r="CA298" s="67"/>
      <c r="CB298" s="67">
        <v>0</v>
      </c>
      <c r="CC298" s="67"/>
      <c r="CD298" s="67"/>
      <c r="CE298" s="67">
        <v>0</v>
      </c>
      <c r="CF298" s="67"/>
      <c r="CG298" s="67"/>
      <c r="CH298" s="67"/>
      <c r="CI298" s="67"/>
      <c r="CJ298" s="67"/>
      <c r="CK298" s="67">
        <v>0</v>
      </c>
      <c r="CL298" s="67"/>
      <c r="CM298" s="67"/>
      <c r="CN298" s="67"/>
      <c r="CO298" s="67">
        <v>0</v>
      </c>
      <c r="CP298" s="67"/>
      <c r="CQ298" s="67"/>
      <c r="CR298" s="67"/>
      <c r="CS298" s="67"/>
      <c r="CT298" s="67"/>
      <c r="CU298" s="67">
        <v>0</v>
      </c>
      <c r="CV298" s="67"/>
      <c r="CW298" s="67"/>
      <c r="CX298" s="67"/>
      <c r="CY298" s="67">
        <v>0</v>
      </c>
      <c r="CZ298" s="67"/>
      <c r="DA298" s="67"/>
      <c r="DB298" s="67"/>
      <c r="DC298" s="67"/>
      <c r="DF298" s="67"/>
      <c r="DG298" s="67">
        <v>0</v>
      </c>
      <c r="DH298" s="67">
        <v>0</v>
      </c>
      <c r="DI298" s="67">
        <v>0</v>
      </c>
      <c r="DJ298" s="67"/>
      <c r="DK298" s="67">
        <v>0</v>
      </c>
      <c r="DL298" s="67">
        <v>0</v>
      </c>
      <c r="DM298" s="67">
        <v>0</v>
      </c>
      <c r="DN298" s="67"/>
      <c r="DO298" s="67"/>
      <c r="DP298" s="67"/>
      <c r="DQ298" s="67">
        <v>0</v>
      </c>
      <c r="DR298" s="67">
        <v>0</v>
      </c>
      <c r="DS298" s="67"/>
      <c r="DT298" s="67"/>
      <c r="DU298" s="67">
        <v>0</v>
      </c>
      <c r="DV298" s="67">
        <v>0</v>
      </c>
      <c r="DW298" s="67">
        <v>0</v>
      </c>
      <c r="DX298" s="67">
        <v>0</v>
      </c>
      <c r="DY298" s="67"/>
      <c r="DZ298" s="67">
        <v>0</v>
      </c>
      <c r="EA298" s="67"/>
      <c r="EB298" s="67">
        <v>0</v>
      </c>
      <c r="EC298" s="67"/>
      <c r="ED298" s="67">
        <v>0</v>
      </c>
      <c r="EE298" s="67"/>
      <c r="EF298" s="67">
        <v>0</v>
      </c>
      <c r="EG298" s="67"/>
      <c r="EH298" s="67"/>
      <c r="EI298" s="67"/>
      <c r="EJ298" s="67"/>
      <c r="EK298" s="67"/>
      <c r="EL298" s="67"/>
      <c r="EM298" s="67"/>
      <c r="EN298" s="67"/>
      <c r="EO298" s="67"/>
      <c r="EP298" s="67">
        <v>0</v>
      </c>
      <c r="EQ298" s="67">
        <v>0</v>
      </c>
      <c r="ER298" s="67">
        <v>0</v>
      </c>
      <c r="ES298" s="67"/>
      <c r="ET298">
        <v>0</v>
      </c>
      <c r="EX298" s="67"/>
      <c r="EY298" s="67"/>
      <c r="EZ298" s="67"/>
      <c r="FA298" s="67">
        <v>0</v>
      </c>
      <c r="FB298" s="67">
        <v>0</v>
      </c>
      <c r="FC298" s="67"/>
      <c r="FD298" s="67"/>
      <c r="FE298" s="67"/>
      <c r="FF298" s="67"/>
      <c r="FG298" s="67"/>
      <c r="FH298" s="67"/>
      <c r="FI298" s="67" t="s">
        <v>1734</v>
      </c>
    </row>
    <row r="299" spans="2:165" x14ac:dyDescent="0.2">
      <c r="B299" s="67" t="s">
        <v>846</v>
      </c>
      <c r="C299" s="67"/>
      <c r="D299" s="67" t="s">
        <v>847</v>
      </c>
      <c r="E299" s="67" t="s">
        <v>20</v>
      </c>
      <c r="F299" s="67"/>
      <c r="G299" s="67" t="s">
        <v>694</v>
      </c>
      <c r="H299" s="67"/>
      <c r="I299" s="67" t="s">
        <v>786</v>
      </c>
      <c r="J299" s="67"/>
      <c r="K299" s="67"/>
      <c r="L299" s="67"/>
      <c r="M299" s="67"/>
      <c r="N299" s="67"/>
      <c r="O299" s="67" t="s">
        <v>1605</v>
      </c>
      <c r="P299" s="67"/>
      <c r="Q299" s="67">
        <v>0</v>
      </c>
      <c r="R299" s="67">
        <v>0</v>
      </c>
      <c r="S299" s="67">
        <v>0</v>
      </c>
      <c r="T299" s="67">
        <v>0</v>
      </c>
      <c r="U299" s="67">
        <v>0</v>
      </c>
      <c r="V299" s="67">
        <v>0</v>
      </c>
      <c r="W299" s="67">
        <v>0</v>
      </c>
      <c r="X299" s="67">
        <v>0</v>
      </c>
      <c r="Y299" s="67">
        <v>0</v>
      </c>
      <c r="Z299" s="67">
        <v>0</v>
      </c>
      <c r="AA299" s="67">
        <v>0</v>
      </c>
      <c r="AB299" s="67">
        <v>0</v>
      </c>
      <c r="AC299" s="67">
        <v>0</v>
      </c>
      <c r="AD299" s="67">
        <v>0</v>
      </c>
      <c r="AE299" s="67">
        <v>0</v>
      </c>
      <c r="AF299" s="67">
        <v>0</v>
      </c>
      <c r="AG299" s="67">
        <v>0</v>
      </c>
      <c r="AH299" s="67">
        <v>0</v>
      </c>
      <c r="AI299" s="67">
        <v>0</v>
      </c>
      <c r="AJ299" s="67">
        <v>0</v>
      </c>
      <c r="AK299" s="67">
        <v>0</v>
      </c>
      <c r="AL299" s="67">
        <v>0</v>
      </c>
      <c r="AM299" s="67">
        <v>0</v>
      </c>
      <c r="AN299" s="67">
        <v>0</v>
      </c>
      <c r="AO299" s="67">
        <v>0</v>
      </c>
      <c r="AP299" s="67">
        <v>0</v>
      </c>
      <c r="AQ299" s="67">
        <v>0</v>
      </c>
      <c r="AR299" s="67">
        <v>0</v>
      </c>
      <c r="AS299" s="67">
        <v>0</v>
      </c>
      <c r="AT299" s="67"/>
      <c r="AU299" s="67"/>
      <c r="AV299" s="67"/>
      <c r="AW299" s="67">
        <v>0</v>
      </c>
      <c r="AX299" s="67">
        <v>0</v>
      </c>
      <c r="AY299" s="67"/>
      <c r="AZ299" s="67"/>
      <c r="BA299" s="67"/>
      <c r="BB299" s="67"/>
      <c r="BC299" s="67"/>
      <c r="BD299" s="67"/>
      <c r="BE299" s="67"/>
      <c r="BG299" s="67"/>
      <c r="BH299" s="67"/>
      <c r="BI299" s="67"/>
      <c r="BJ299" s="67">
        <v>0</v>
      </c>
      <c r="BK299" s="67"/>
      <c r="BL299" s="67"/>
      <c r="BP299" s="67"/>
      <c r="BQ299" s="67">
        <v>0</v>
      </c>
      <c r="BR299" s="67"/>
      <c r="BS299" s="67"/>
      <c r="BT299" s="67">
        <v>0</v>
      </c>
      <c r="BU299" s="67">
        <v>0</v>
      </c>
      <c r="BV299" s="67"/>
      <c r="BW299" s="67"/>
      <c r="BX299" s="67">
        <v>0</v>
      </c>
      <c r="BY299" s="67">
        <v>0</v>
      </c>
      <c r="BZ299" s="67">
        <v>0</v>
      </c>
      <c r="CA299" s="67"/>
      <c r="CB299" s="67">
        <v>0</v>
      </c>
      <c r="CC299" s="67"/>
      <c r="CD299" s="67"/>
      <c r="CE299" s="67">
        <v>0</v>
      </c>
      <c r="CF299" s="67"/>
      <c r="CG299" s="67"/>
      <c r="CH299" s="67"/>
      <c r="CI299" s="67"/>
      <c r="CJ299" s="67"/>
      <c r="CK299" s="67">
        <v>0</v>
      </c>
      <c r="CL299" s="67"/>
      <c r="CM299" s="67"/>
      <c r="CN299" s="67"/>
      <c r="CO299" s="67">
        <v>0</v>
      </c>
      <c r="CP299" s="67"/>
      <c r="CQ299" s="67"/>
      <c r="CR299" s="67"/>
      <c r="CS299" s="67"/>
      <c r="CT299" s="67"/>
      <c r="CU299" s="67">
        <v>0</v>
      </c>
      <c r="CV299" s="67"/>
      <c r="CW299" s="67"/>
      <c r="CX299" s="67"/>
      <c r="CY299" s="67">
        <v>0</v>
      </c>
      <c r="CZ299" s="67"/>
      <c r="DA299" s="67"/>
      <c r="DB299" s="67"/>
      <c r="DC299" s="67"/>
      <c r="DF299" s="67"/>
      <c r="DG299" s="67">
        <v>0</v>
      </c>
      <c r="DH299" s="67">
        <v>0</v>
      </c>
      <c r="DI299" s="67">
        <v>0</v>
      </c>
      <c r="DJ299" s="67"/>
      <c r="DK299" s="67">
        <v>0</v>
      </c>
      <c r="DL299" s="67">
        <v>0</v>
      </c>
      <c r="DM299" s="67">
        <v>0</v>
      </c>
      <c r="DN299" s="67"/>
      <c r="DO299" s="67"/>
      <c r="DP299" s="67"/>
      <c r="DQ299" s="67">
        <v>0</v>
      </c>
      <c r="DR299" s="67">
        <v>0</v>
      </c>
      <c r="DS299" s="67"/>
      <c r="DT299" s="67"/>
      <c r="DU299" s="67">
        <v>0</v>
      </c>
      <c r="DV299" s="67">
        <v>0</v>
      </c>
      <c r="DW299" s="67">
        <v>0</v>
      </c>
      <c r="DX299" s="67">
        <v>0</v>
      </c>
      <c r="DY299" s="67"/>
      <c r="DZ299" s="67">
        <v>0</v>
      </c>
      <c r="EA299" s="67"/>
      <c r="EB299" s="67">
        <v>0</v>
      </c>
      <c r="EC299" s="67"/>
      <c r="ED299" s="67">
        <v>0</v>
      </c>
      <c r="EE299" s="67"/>
      <c r="EF299" s="67">
        <v>0</v>
      </c>
      <c r="EG299" s="67"/>
      <c r="EH299" s="67"/>
      <c r="EI299" s="67"/>
      <c r="EJ299" s="67"/>
      <c r="EK299" s="67"/>
      <c r="EL299" s="67"/>
      <c r="EM299" s="67"/>
      <c r="EN299" s="67"/>
      <c r="EO299" s="67"/>
      <c r="EP299" s="67">
        <v>0</v>
      </c>
      <c r="EQ299" s="67">
        <v>0</v>
      </c>
      <c r="ER299" s="67">
        <v>0</v>
      </c>
      <c r="ES299" s="67"/>
      <c r="ET299">
        <v>0</v>
      </c>
      <c r="EX299" s="67"/>
      <c r="EY299" s="67"/>
      <c r="EZ299" s="67"/>
      <c r="FA299" s="67">
        <v>0</v>
      </c>
      <c r="FB299" s="67">
        <v>0</v>
      </c>
      <c r="FC299" s="67"/>
      <c r="FD299" s="67"/>
      <c r="FE299" s="67"/>
      <c r="FF299" s="67"/>
      <c r="FG299" s="67"/>
      <c r="FH299" s="67"/>
      <c r="FI299" s="67" t="s">
        <v>1734</v>
      </c>
    </row>
    <row r="300" spans="2:165" ht="24" x14ac:dyDescent="0.2">
      <c r="B300" s="67" t="s">
        <v>848</v>
      </c>
      <c r="C300" s="67"/>
      <c r="D300" s="67" t="s">
        <v>849</v>
      </c>
      <c r="E300" s="67" t="s">
        <v>13</v>
      </c>
      <c r="F300" s="67" t="s">
        <v>810</v>
      </c>
      <c r="G300" s="67" t="s">
        <v>694</v>
      </c>
      <c r="H300" s="67"/>
      <c r="I300" s="67" t="s">
        <v>41</v>
      </c>
      <c r="J300" s="67"/>
      <c r="K300" s="67"/>
      <c r="L300" s="67" t="s">
        <v>779</v>
      </c>
      <c r="M300" s="67" t="s">
        <v>752</v>
      </c>
      <c r="N300" s="67"/>
      <c r="O300" s="67" t="s">
        <v>1605</v>
      </c>
      <c r="P300" s="67"/>
      <c r="Q300" s="67">
        <v>0</v>
      </c>
      <c r="R300" s="67">
        <v>0</v>
      </c>
      <c r="S300" s="67">
        <v>0</v>
      </c>
      <c r="T300" s="67">
        <v>0</v>
      </c>
      <c r="U300" s="67">
        <v>0</v>
      </c>
      <c r="V300" s="67">
        <v>0</v>
      </c>
      <c r="W300" s="67">
        <v>0</v>
      </c>
      <c r="X300" s="67">
        <v>0</v>
      </c>
      <c r="Y300" s="67">
        <v>0</v>
      </c>
      <c r="Z300" s="67">
        <v>0</v>
      </c>
      <c r="AA300" s="67">
        <v>0</v>
      </c>
      <c r="AB300" s="67">
        <v>0</v>
      </c>
      <c r="AC300" s="67">
        <v>0</v>
      </c>
      <c r="AD300" s="67">
        <v>0</v>
      </c>
      <c r="AE300" s="67">
        <v>0</v>
      </c>
      <c r="AF300" s="67">
        <v>0</v>
      </c>
      <c r="AG300" s="67">
        <v>0</v>
      </c>
      <c r="AH300" s="67">
        <v>0</v>
      </c>
      <c r="AI300" s="67">
        <v>0</v>
      </c>
      <c r="AJ300" s="67">
        <v>0</v>
      </c>
      <c r="AK300" s="67">
        <v>0</v>
      </c>
      <c r="AL300" s="67">
        <v>0</v>
      </c>
      <c r="AM300" s="67">
        <v>0</v>
      </c>
      <c r="AN300" s="67">
        <v>0</v>
      </c>
      <c r="AO300" s="67">
        <v>0</v>
      </c>
      <c r="AP300" s="67">
        <v>0</v>
      </c>
      <c r="AQ300" s="67">
        <v>0</v>
      </c>
      <c r="AR300" s="67">
        <v>0</v>
      </c>
      <c r="AS300" s="67">
        <v>0</v>
      </c>
      <c r="AT300" s="67"/>
      <c r="AU300" s="67"/>
      <c r="AV300" s="67"/>
      <c r="AW300" s="67">
        <v>0</v>
      </c>
      <c r="AX300" s="67">
        <v>0</v>
      </c>
      <c r="AY300" s="67"/>
      <c r="AZ300" s="67"/>
      <c r="BA300" s="67"/>
      <c r="BB300" s="67"/>
      <c r="BC300" s="67"/>
      <c r="BD300" s="67"/>
      <c r="BE300" s="67"/>
      <c r="BG300" s="67"/>
      <c r="BH300" s="67"/>
      <c r="BI300" s="67"/>
      <c r="BJ300" s="67">
        <v>0</v>
      </c>
      <c r="BK300" s="67"/>
      <c r="BL300" s="67"/>
      <c r="BP300" s="67"/>
      <c r="BQ300" s="67">
        <v>0</v>
      </c>
      <c r="BR300" s="67"/>
      <c r="BS300" s="67"/>
      <c r="BT300" s="67">
        <v>0</v>
      </c>
      <c r="BU300" s="67">
        <v>0</v>
      </c>
      <c r="BV300" s="67"/>
      <c r="BW300" s="67"/>
      <c r="BX300" s="67">
        <v>0</v>
      </c>
      <c r="BY300" s="67">
        <v>0</v>
      </c>
      <c r="BZ300" s="67">
        <v>0</v>
      </c>
      <c r="CA300" s="67"/>
      <c r="CB300" s="67">
        <v>0</v>
      </c>
      <c r="CC300" s="67"/>
      <c r="CD300" s="67"/>
      <c r="CE300" s="67">
        <v>0</v>
      </c>
      <c r="CF300" s="67"/>
      <c r="CG300" s="67"/>
      <c r="CH300" s="67"/>
      <c r="CI300" s="67"/>
      <c r="CJ300" s="67"/>
      <c r="CK300" s="67">
        <v>0</v>
      </c>
      <c r="CL300" s="67"/>
      <c r="CM300" s="67"/>
      <c r="CN300" s="67"/>
      <c r="CO300" s="67">
        <v>0</v>
      </c>
      <c r="CP300" s="67"/>
      <c r="CQ300" s="67"/>
      <c r="CR300" s="67"/>
      <c r="CS300" s="67"/>
      <c r="CT300" s="67"/>
      <c r="CU300" s="67">
        <v>0</v>
      </c>
      <c r="CV300" s="67"/>
      <c r="CW300" s="67"/>
      <c r="CX300" s="67"/>
      <c r="CY300" s="67">
        <v>0</v>
      </c>
      <c r="CZ300" s="67"/>
      <c r="DA300" s="67"/>
      <c r="DB300" s="67"/>
      <c r="DC300" s="67"/>
      <c r="DF300" s="67"/>
      <c r="DG300" s="67">
        <v>0</v>
      </c>
      <c r="DH300" s="67">
        <v>0</v>
      </c>
      <c r="DI300" s="67">
        <v>0</v>
      </c>
      <c r="DJ300" s="67"/>
      <c r="DK300" s="67">
        <v>0</v>
      </c>
      <c r="DL300" s="67">
        <v>0</v>
      </c>
      <c r="DM300" s="67">
        <v>0</v>
      </c>
      <c r="DN300" s="67"/>
      <c r="DO300" s="67"/>
      <c r="DP300" s="67"/>
      <c r="DQ300" s="67">
        <v>0</v>
      </c>
      <c r="DR300" s="67">
        <v>0</v>
      </c>
      <c r="DS300" s="67"/>
      <c r="DT300" s="67"/>
      <c r="DU300" s="67">
        <v>0</v>
      </c>
      <c r="DV300" s="67">
        <v>0</v>
      </c>
      <c r="DW300" s="67">
        <v>0</v>
      </c>
      <c r="DX300" s="67">
        <v>0</v>
      </c>
      <c r="DY300" s="67"/>
      <c r="DZ300" s="67">
        <v>0</v>
      </c>
      <c r="EA300" s="67"/>
      <c r="EB300" s="67">
        <v>0</v>
      </c>
      <c r="EC300" s="67"/>
      <c r="ED300" s="67">
        <v>0</v>
      </c>
      <c r="EE300" s="67"/>
      <c r="EF300" s="67">
        <v>0</v>
      </c>
      <c r="EG300" s="67"/>
      <c r="EH300" s="67"/>
      <c r="EI300" s="67"/>
      <c r="EJ300" s="67"/>
      <c r="EK300" s="67"/>
      <c r="EL300" s="67"/>
      <c r="EM300" s="67"/>
      <c r="EN300" s="67"/>
      <c r="EO300" s="67"/>
      <c r="EP300" s="67">
        <v>0</v>
      </c>
      <c r="EQ300" s="67">
        <v>0</v>
      </c>
      <c r="ER300" s="67">
        <v>0</v>
      </c>
      <c r="ES300" s="67"/>
      <c r="ET300">
        <v>0</v>
      </c>
      <c r="EX300" s="67"/>
      <c r="EY300" s="67"/>
      <c r="EZ300" s="67"/>
      <c r="FA300" s="67">
        <v>0</v>
      </c>
      <c r="FB300" s="67">
        <v>0</v>
      </c>
      <c r="FC300" s="67"/>
      <c r="FD300" s="67"/>
      <c r="FE300" s="67"/>
      <c r="FF300" s="67"/>
      <c r="FG300" s="67"/>
      <c r="FH300" s="67"/>
      <c r="FI300" s="67" t="s">
        <v>1734</v>
      </c>
    </row>
    <row r="301" spans="2:165" ht="24" x14ac:dyDescent="0.2">
      <c r="B301" s="67" t="s">
        <v>851</v>
      </c>
      <c r="C301" s="67"/>
      <c r="D301" s="67" t="s">
        <v>852</v>
      </c>
      <c r="E301" s="67" t="s">
        <v>13</v>
      </c>
      <c r="F301" s="67" t="s">
        <v>810</v>
      </c>
      <c r="G301" s="67" t="s">
        <v>694</v>
      </c>
      <c r="H301" s="67"/>
      <c r="I301" s="67" t="s">
        <v>41</v>
      </c>
      <c r="J301" s="67"/>
      <c r="K301" s="67"/>
      <c r="L301" s="67" t="s">
        <v>779</v>
      </c>
      <c r="M301" s="67" t="s">
        <v>752</v>
      </c>
      <c r="N301" s="67"/>
      <c r="O301" s="67" t="s">
        <v>1605</v>
      </c>
      <c r="P301" s="67"/>
      <c r="Q301" s="67">
        <v>0</v>
      </c>
      <c r="R301" s="67">
        <v>0</v>
      </c>
      <c r="S301" s="67">
        <v>0</v>
      </c>
      <c r="T301" s="67">
        <v>0</v>
      </c>
      <c r="U301" s="67">
        <v>0</v>
      </c>
      <c r="V301" s="67">
        <v>0</v>
      </c>
      <c r="W301" s="67">
        <v>0</v>
      </c>
      <c r="X301" s="67">
        <v>0</v>
      </c>
      <c r="Y301" s="67">
        <v>0</v>
      </c>
      <c r="Z301" s="67">
        <v>0</v>
      </c>
      <c r="AA301" s="67">
        <v>0</v>
      </c>
      <c r="AB301" s="67">
        <v>0</v>
      </c>
      <c r="AC301" s="67">
        <v>0</v>
      </c>
      <c r="AD301" s="67">
        <v>0</v>
      </c>
      <c r="AE301" s="67">
        <v>0</v>
      </c>
      <c r="AF301" s="67">
        <v>0</v>
      </c>
      <c r="AG301" s="67">
        <v>0</v>
      </c>
      <c r="AH301" s="67">
        <v>0</v>
      </c>
      <c r="AI301" s="67">
        <v>0</v>
      </c>
      <c r="AJ301" s="67">
        <v>0</v>
      </c>
      <c r="AK301" s="67">
        <v>0</v>
      </c>
      <c r="AL301" s="67">
        <v>0</v>
      </c>
      <c r="AM301" s="67">
        <v>0</v>
      </c>
      <c r="AN301" s="67">
        <v>0</v>
      </c>
      <c r="AO301" s="67">
        <v>0</v>
      </c>
      <c r="AP301" s="67">
        <v>0</v>
      </c>
      <c r="AQ301" s="67">
        <v>0</v>
      </c>
      <c r="AR301" s="67">
        <v>0</v>
      </c>
      <c r="AS301" s="67">
        <v>0</v>
      </c>
      <c r="AT301" s="67"/>
      <c r="AU301" s="67"/>
      <c r="AV301" s="67"/>
      <c r="AW301" s="67">
        <v>0</v>
      </c>
      <c r="AX301" s="67">
        <v>0</v>
      </c>
      <c r="AY301" s="67"/>
      <c r="AZ301" s="67"/>
      <c r="BA301" s="67"/>
      <c r="BB301" s="67"/>
      <c r="BC301" s="67"/>
      <c r="BD301" s="67"/>
      <c r="BE301" s="67"/>
      <c r="BG301" s="67"/>
      <c r="BH301" s="67"/>
      <c r="BI301" s="67"/>
      <c r="BJ301" s="67">
        <v>0</v>
      </c>
      <c r="BK301" s="67"/>
      <c r="BL301" s="67"/>
      <c r="BP301" s="67"/>
      <c r="BQ301" s="67">
        <v>0</v>
      </c>
      <c r="BR301" s="67"/>
      <c r="BS301" s="67"/>
      <c r="BT301" s="67">
        <v>0</v>
      </c>
      <c r="BU301" s="67">
        <v>0</v>
      </c>
      <c r="BV301" s="67"/>
      <c r="BW301" s="67"/>
      <c r="BX301" s="67">
        <v>0</v>
      </c>
      <c r="BY301" s="67">
        <v>0</v>
      </c>
      <c r="BZ301" s="67">
        <v>0</v>
      </c>
      <c r="CA301" s="67"/>
      <c r="CB301" s="67">
        <v>0</v>
      </c>
      <c r="CC301" s="67"/>
      <c r="CD301" s="67"/>
      <c r="CE301" s="67">
        <v>0</v>
      </c>
      <c r="CF301" s="67"/>
      <c r="CG301" s="67"/>
      <c r="CH301" s="67"/>
      <c r="CI301" s="67"/>
      <c r="CJ301" s="67"/>
      <c r="CK301" s="67">
        <v>0</v>
      </c>
      <c r="CL301" s="67"/>
      <c r="CM301" s="67"/>
      <c r="CN301" s="67"/>
      <c r="CO301" s="67">
        <v>0</v>
      </c>
      <c r="CP301" s="67"/>
      <c r="CQ301" s="67"/>
      <c r="CR301" s="67"/>
      <c r="CS301" s="67"/>
      <c r="CT301" s="67"/>
      <c r="CU301" s="67">
        <v>0</v>
      </c>
      <c r="CV301" s="67"/>
      <c r="CW301" s="67"/>
      <c r="CX301" s="67"/>
      <c r="CY301" s="67">
        <v>0</v>
      </c>
      <c r="CZ301" s="67"/>
      <c r="DA301" s="67"/>
      <c r="DB301" s="67"/>
      <c r="DC301" s="67"/>
      <c r="DF301" s="67"/>
      <c r="DG301" s="67">
        <v>0</v>
      </c>
      <c r="DH301" s="67">
        <v>0</v>
      </c>
      <c r="DI301" s="67">
        <v>0</v>
      </c>
      <c r="DJ301" s="67"/>
      <c r="DK301" s="67">
        <v>0</v>
      </c>
      <c r="DL301" s="67">
        <v>0</v>
      </c>
      <c r="DM301" s="67">
        <v>0</v>
      </c>
      <c r="DN301" s="67"/>
      <c r="DO301" s="67"/>
      <c r="DP301" s="67"/>
      <c r="DQ301" s="67">
        <v>0</v>
      </c>
      <c r="DR301" s="67">
        <v>0</v>
      </c>
      <c r="DS301" s="67"/>
      <c r="DT301" s="67"/>
      <c r="DU301" s="67">
        <v>0</v>
      </c>
      <c r="DV301" s="67">
        <v>0</v>
      </c>
      <c r="DW301" s="67">
        <v>0</v>
      </c>
      <c r="DX301" s="67">
        <v>0</v>
      </c>
      <c r="DY301" s="67"/>
      <c r="DZ301" s="67">
        <v>0</v>
      </c>
      <c r="EA301" s="67"/>
      <c r="EB301" s="67">
        <v>0</v>
      </c>
      <c r="EC301" s="67"/>
      <c r="ED301" s="67">
        <v>0</v>
      </c>
      <c r="EE301" s="67"/>
      <c r="EF301" s="67">
        <v>0</v>
      </c>
      <c r="EG301" s="67"/>
      <c r="EH301" s="67"/>
      <c r="EI301" s="67"/>
      <c r="EJ301" s="67"/>
      <c r="EK301" s="67"/>
      <c r="EL301" s="67"/>
      <c r="EM301" s="67"/>
      <c r="EN301" s="67"/>
      <c r="EO301" s="67"/>
      <c r="EP301" s="67">
        <v>0</v>
      </c>
      <c r="EQ301" s="67">
        <v>0</v>
      </c>
      <c r="ER301" s="67">
        <v>0</v>
      </c>
      <c r="ES301" s="67"/>
      <c r="ET301">
        <v>0</v>
      </c>
      <c r="EX301" s="67"/>
      <c r="EY301" s="67"/>
      <c r="EZ301" s="67"/>
      <c r="FA301" s="67">
        <v>0</v>
      </c>
      <c r="FB301" s="67">
        <v>0</v>
      </c>
      <c r="FC301" s="67"/>
      <c r="FD301" s="67"/>
      <c r="FE301" s="67"/>
      <c r="FF301" s="67"/>
      <c r="FG301" s="67"/>
      <c r="FH301" s="67"/>
      <c r="FI301" s="67" t="s">
        <v>1734</v>
      </c>
    </row>
    <row r="302" spans="2:165" x14ac:dyDescent="0.2">
      <c r="B302" s="67" t="s">
        <v>853</v>
      </c>
      <c r="C302" s="67"/>
      <c r="D302" s="67" t="s">
        <v>854</v>
      </c>
      <c r="E302" s="67" t="s">
        <v>20</v>
      </c>
      <c r="F302" s="67"/>
      <c r="G302" s="67" t="s">
        <v>694</v>
      </c>
      <c r="H302" s="67"/>
      <c r="I302" s="67" t="s">
        <v>786</v>
      </c>
      <c r="J302" s="67"/>
      <c r="K302" s="67"/>
      <c r="L302" s="67" t="s">
        <v>779</v>
      </c>
      <c r="M302" s="67" t="s">
        <v>752</v>
      </c>
      <c r="N302" s="67"/>
      <c r="O302" s="67" t="s">
        <v>1599</v>
      </c>
      <c r="P302" s="67"/>
      <c r="Q302" s="67">
        <v>2000</v>
      </c>
      <c r="R302" s="67">
        <v>0</v>
      </c>
      <c r="S302" s="67">
        <v>0</v>
      </c>
      <c r="T302" s="67">
        <v>0</v>
      </c>
      <c r="U302" s="67">
        <v>0</v>
      </c>
      <c r="V302" s="67">
        <v>0</v>
      </c>
      <c r="W302" s="67">
        <v>2000</v>
      </c>
      <c r="X302" s="67">
        <v>0</v>
      </c>
      <c r="Y302" s="67">
        <v>0</v>
      </c>
      <c r="Z302" s="67">
        <v>0</v>
      </c>
      <c r="AA302" s="67">
        <v>0</v>
      </c>
      <c r="AB302" s="67">
        <v>0</v>
      </c>
      <c r="AC302" s="67">
        <v>0</v>
      </c>
      <c r="AD302" s="67">
        <v>0</v>
      </c>
      <c r="AE302" s="67">
        <v>0</v>
      </c>
      <c r="AF302" s="67">
        <v>0</v>
      </c>
      <c r="AG302" s="67">
        <v>0</v>
      </c>
      <c r="AH302" s="67">
        <v>0</v>
      </c>
      <c r="AI302" s="67">
        <v>0</v>
      </c>
      <c r="AJ302" s="67">
        <v>0</v>
      </c>
      <c r="AK302" s="67">
        <v>0</v>
      </c>
      <c r="AL302" s="67">
        <v>0</v>
      </c>
      <c r="AM302" s="67">
        <v>0</v>
      </c>
      <c r="AN302" s="67">
        <v>0</v>
      </c>
      <c r="AO302" s="67">
        <v>0</v>
      </c>
      <c r="AP302" s="67">
        <v>0</v>
      </c>
      <c r="AQ302" s="67">
        <v>0</v>
      </c>
      <c r="AR302" s="67">
        <v>0</v>
      </c>
      <c r="AS302" s="67">
        <v>0</v>
      </c>
      <c r="AT302" s="67"/>
      <c r="AU302" s="67"/>
      <c r="AV302" s="67"/>
      <c r="AW302" s="67">
        <v>0</v>
      </c>
      <c r="AX302" s="67">
        <v>0</v>
      </c>
      <c r="AY302" s="67"/>
      <c r="AZ302" s="67"/>
      <c r="BA302" s="67"/>
      <c r="BB302" s="67"/>
      <c r="BC302" s="67"/>
      <c r="BD302" s="67"/>
      <c r="BE302" s="67"/>
      <c r="BG302" s="67"/>
      <c r="BH302" s="67"/>
      <c r="BI302" s="67"/>
      <c r="BJ302" s="67">
        <v>0</v>
      </c>
      <c r="BK302" s="67"/>
      <c r="BL302" s="67"/>
      <c r="BP302" s="67"/>
      <c r="BQ302" s="67">
        <v>0</v>
      </c>
      <c r="BR302" s="67"/>
      <c r="BS302" s="67"/>
      <c r="BT302" s="67">
        <v>0</v>
      </c>
      <c r="BU302" s="67">
        <v>0</v>
      </c>
      <c r="BV302" s="67"/>
      <c r="BW302" s="67"/>
      <c r="BX302" s="67">
        <v>0</v>
      </c>
      <c r="BY302" s="67">
        <v>0</v>
      </c>
      <c r="BZ302" s="67">
        <v>0</v>
      </c>
      <c r="CA302" s="67"/>
      <c r="CB302" s="67">
        <v>0</v>
      </c>
      <c r="CC302" s="67"/>
      <c r="CD302" s="67"/>
      <c r="CE302" s="67">
        <v>0</v>
      </c>
      <c r="CF302" s="67"/>
      <c r="CG302" s="67"/>
      <c r="CH302" s="67"/>
      <c r="CI302" s="67"/>
      <c r="CJ302" s="67"/>
      <c r="CK302" s="67">
        <v>0</v>
      </c>
      <c r="CL302" s="67"/>
      <c r="CM302" s="67"/>
      <c r="CN302" s="67"/>
      <c r="CO302" s="67">
        <v>0</v>
      </c>
      <c r="CP302" s="67"/>
      <c r="CQ302" s="67"/>
      <c r="CR302" s="67"/>
      <c r="CS302" s="67"/>
      <c r="CT302" s="67"/>
      <c r="CU302" s="67">
        <v>0</v>
      </c>
      <c r="CV302" s="67"/>
      <c r="CW302" s="67"/>
      <c r="CX302" s="67"/>
      <c r="CY302" s="67">
        <v>0</v>
      </c>
      <c r="CZ302" s="67"/>
      <c r="DA302" s="67"/>
      <c r="DB302" s="67"/>
      <c r="DC302" s="67"/>
      <c r="DF302" s="67"/>
      <c r="DG302" s="67">
        <v>0</v>
      </c>
      <c r="DH302" s="67">
        <v>0</v>
      </c>
      <c r="DI302" s="67">
        <v>0</v>
      </c>
      <c r="DJ302" s="67"/>
      <c r="DK302" s="67">
        <v>0</v>
      </c>
      <c r="DL302" s="67">
        <v>0</v>
      </c>
      <c r="DM302" s="67">
        <v>0</v>
      </c>
      <c r="DN302" s="67"/>
      <c r="DO302" s="67"/>
      <c r="DP302" s="67"/>
      <c r="DQ302" s="67">
        <v>0</v>
      </c>
      <c r="DR302" s="67">
        <v>0</v>
      </c>
      <c r="DS302" s="67"/>
      <c r="DT302" s="67"/>
      <c r="DU302" s="67">
        <v>0</v>
      </c>
      <c r="DV302" s="67">
        <v>0</v>
      </c>
      <c r="DW302" s="67">
        <v>0</v>
      </c>
      <c r="DX302" s="67">
        <v>0</v>
      </c>
      <c r="DY302" s="67"/>
      <c r="DZ302" s="67">
        <v>0</v>
      </c>
      <c r="EA302" s="67"/>
      <c r="EB302" s="67">
        <v>0</v>
      </c>
      <c r="EC302" s="67"/>
      <c r="ED302" s="67">
        <v>0</v>
      </c>
      <c r="EE302" s="67"/>
      <c r="EF302" s="67">
        <v>0</v>
      </c>
      <c r="EG302" s="67"/>
      <c r="EH302" s="67"/>
      <c r="EI302" s="67"/>
      <c r="EJ302" s="67"/>
      <c r="EK302" s="67"/>
      <c r="EL302" s="67"/>
      <c r="EM302" s="67"/>
      <c r="EN302" s="67"/>
      <c r="EO302" s="67"/>
      <c r="EP302" s="67">
        <v>0</v>
      </c>
      <c r="EQ302" s="67">
        <v>0</v>
      </c>
      <c r="ER302" s="67">
        <v>0</v>
      </c>
      <c r="ES302" s="67"/>
      <c r="ET302">
        <v>0</v>
      </c>
      <c r="EX302" s="67"/>
      <c r="EY302" s="67"/>
      <c r="EZ302" s="67"/>
      <c r="FA302" s="67">
        <v>2000</v>
      </c>
      <c r="FB302" s="67">
        <v>0</v>
      </c>
      <c r="FC302" s="67"/>
      <c r="FD302" s="67"/>
      <c r="FE302" s="67"/>
      <c r="FF302" s="67"/>
      <c r="FG302" s="67"/>
      <c r="FH302" s="67"/>
      <c r="FI302" s="67" t="s">
        <v>1734</v>
      </c>
    </row>
    <row r="303" spans="2:165" x14ac:dyDescent="0.2">
      <c r="B303" s="67" t="s">
        <v>855</v>
      </c>
      <c r="C303" s="67"/>
      <c r="D303" s="67" t="s">
        <v>856</v>
      </c>
      <c r="E303" s="67" t="s">
        <v>20</v>
      </c>
      <c r="F303" s="67"/>
      <c r="G303" s="67" t="s">
        <v>694</v>
      </c>
      <c r="H303" s="67"/>
      <c r="I303" s="67" t="s">
        <v>786</v>
      </c>
      <c r="J303" s="67"/>
      <c r="K303" s="67"/>
      <c r="L303" s="67" t="s">
        <v>787</v>
      </c>
      <c r="M303" s="67" t="s">
        <v>752</v>
      </c>
      <c r="N303" s="67"/>
      <c r="O303" s="67" t="s">
        <v>1599</v>
      </c>
      <c r="P303" s="67"/>
      <c r="Q303" s="67">
        <v>450</v>
      </c>
      <c r="R303" s="67">
        <v>0</v>
      </c>
      <c r="S303" s="67">
        <v>0</v>
      </c>
      <c r="T303" s="67">
        <v>0</v>
      </c>
      <c r="U303" s="67">
        <v>0</v>
      </c>
      <c r="V303" s="67">
        <v>0</v>
      </c>
      <c r="W303" s="67">
        <v>0</v>
      </c>
      <c r="X303" s="67">
        <v>0</v>
      </c>
      <c r="Y303" s="67">
        <v>0</v>
      </c>
      <c r="Z303" s="67">
        <v>0</v>
      </c>
      <c r="AA303" s="67">
        <v>0</v>
      </c>
      <c r="AB303" s="67">
        <v>0</v>
      </c>
      <c r="AC303" s="67">
        <v>0</v>
      </c>
      <c r="AD303" s="67">
        <v>0</v>
      </c>
      <c r="AE303" s="67">
        <v>0</v>
      </c>
      <c r="AF303" s="67">
        <v>0</v>
      </c>
      <c r="AG303" s="67">
        <v>0</v>
      </c>
      <c r="AH303" s="67">
        <v>0</v>
      </c>
      <c r="AI303" s="67">
        <v>450</v>
      </c>
      <c r="AJ303" s="67">
        <v>0</v>
      </c>
      <c r="AK303" s="67">
        <v>0</v>
      </c>
      <c r="AL303" s="67">
        <v>0</v>
      </c>
      <c r="AM303" s="67">
        <v>0</v>
      </c>
      <c r="AN303" s="67">
        <v>0</v>
      </c>
      <c r="AO303" s="67">
        <v>0</v>
      </c>
      <c r="AP303" s="67">
        <v>0</v>
      </c>
      <c r="AQ303" s="67">
        <v>0</v>
      </c>
      <c r="AR303" s="67">
        <v>0</v>
      </c>
      <c r="AS303" s="67">
        <v>0</v>
      </c>
      <c r="AT303" s="67"/>
      <c r="AU303" s="67"/>
      <c r="AV303" s="67"/>
      <c r="AW303" s="67">
        <v>0</v>
      </c>
      <c r="AX303" s="67">
        <v>0</v>
      </c>
      <c r="AY303" s="67"/>
      <c r="AZ303" s="67"/>
      <c r="BA303" s="67"/>
      <c r="BB303" s="67"/>
      <c r="BC303" s="67"/>
      <c r="BD303" s="67"/>
      <c r="BE303" s="67"/>
      <c r="BG303" s="67"/>
      <c r="BH303" s="67"/>
      <c r="BI303" s="67"/>
      <c r="BJ303" s="67">
        <v>0</v>
      </c>
      <c r="BK303" s="67"/>
      <c r="BL303" s="67"/>
      <c r="BP303" s="67"/>
      <c r="BQ303" s="67">
        <v>0</v>
      </c>
      <c r="BR303" s="67"/>
      <c r="BS303" s="67"/>
      <c r="BT303" s="67">
        <v>0</v>
      </c>
      <c r="BU303" s="67">
        <v>0</v>
      </c>
      <c r="BV303" s="67"/>
      <c r="BW303" s="67"/>
      <c r="BX303" s="67">
        <v>0</v>
      </c>
      <c r="BY303" s="67">
        <v>0</v>
      </c>
      <c r="BZ303" s="67">
        <v>0</v>
      </c>
      <c r="CA303" s="67"/>
      <c r="CB303" s="67">
        <v>0</v>
      </c>
      <c r="CC303" s="67"/>
      <c r="CD303" s="67"/>
      <c r="CE303" s="67">
        <v>0</v>
      </c>
      <c r="CF303" s="67"/>
      <c r="CG303" s="67"/>
      <c r="CH303" s="67"/>
      <c r="CI303" s="67"/>
      <c r="CJ303" s="67"/>
      <c r="CK303" s="67">
        <v>0</v>
      </c>
      <c r="CL303" s="67"/>
      <c r="CM303" s="67"/>
      <c r="CN303" s="67"/>
      <c r="CO303" s="67">
        <v>0</v>
      </c>
      <c r="CP303" s="67"/>
      <c r="CQ303" s="67"/>
      <c r="CR303" s="67"/>
      <c r="CS303" s="67"/>
      <c r="CT303" s="67"/>
      <c r="CU303" s="67">
        <v>0</v>
      </c>
      <c r="CV303" s="67"/>
      <c r="CW303" s="67"/>
      <c r="CX303" s="67"/>
      <c r="CY303" s="67">
        <v>0</v>
      </c>
      <c r="CZ303" s="67"/>
      <c r="DA303" s="67"/>
      <c r="DB303" s="67"/>
      <c r="DC303" s="67"/>
      <c r="DF303" s="67"/>
      <c r="DG303" s="67">
        <v>0</v>
      </c>
      <c r="DH303" s="67">
        <v>0</v>
      </c>
      <c r="DI303" s="67">
        <v>0</v>
      </c>
      <c r="DJ303" s="67"/>
      <c r="DK303" s="67">
        <v>0</v>
      </c>
      <c r="DL303" s="67">
        <v>0</v>
      </c>
      <c r="DM303" s="67">
        <v>0</v>
      </c>
      <c r="DN303" s="67"/>
      <c r="DO303" s="67"/>
      <c r="DP303" s="67"/>
      <c r="DQ303" s="67">
        <v>0</v>
      </c>
      <c r="DR303" s="67">
        <v>0</v>
      </c>
      <c r="DS303" s="67"/>
      <c r="DT303" s="67"/>
      <c r="DU303" s="67">
        <v>0</v>
      </c>
      <c r="DV303" s="67">
        <v>0</v>
      </c>
      <c r="DW303" s="67">
        <v>0</v>
      </c>
      <c r="DX303" s="67">
        <v>0</v>
      </c>
      <c r="DY303" s="67"/>
      <c r="DZ303" s="67">
        <v>0</v>
      </c>
      <c r="EA303" s="67"/>
      <c r="EB303" s="67">
        <v>0</v>
      </c>
      <c r="EC303" s="67"/>
      <c r="ED303" s="67">
        <v>0</v>
      </c>
      <c r="EE303" s="67"/>
      <c r="EF303" s="67">
        <v>0</v>
      </c>
      <c r="EG303" s="67"/>
      <c r="EH303" s="67"/>
      <c r="EI303" s="67"/>
      <c r="EJ303" s="67"/>
      <c r="EK303" s="67"/>
      <c r="EL303" s="67"/>
      <c r="EM303" s="67"/>
      <c r="EN303" s="67"/>
      <c r="EO303" s="67"/>
      <c r="EP303" s="67">
        <v>0</v>
      </c>
      <c r="EQ303" s="67">
        <v>0</v>
      </c>
      <c r="ER303" s="67">
        <v>0</v>
      </c>
      <c r="ES303" s="67"/>
      <c r="ET303">
        <v>0</v>
      </c>
      <c r="EX303" s="67"/>
      <c r="EY303" s="67"/>
      <c r="EZ303" s="67"/>
      <c r="FA303" s="67">
        <v>450</v>
      </c>
      <c r="FB303" s="67">
        <v>0</v>
      </c>
      <c r="FC303" s="67"/>
      <c r="FD303" s="67"/>
      <c r="FE303" s="67"/>
      <c r="FF303" s="67"/>
      <c r="FG303" s="67"/>
      <c r="FH303" s="67"/>
      <c r="FI303" s="67" t="s">
        <v>1734</v>
      </c>
    </row>
    <row r="304" spans="2:165" x14ac:dyDescent="0.2">
      <c r="B304" s="67" t="s">
        <v>857</v>
      </c>
      <c r="C304" s="67"/>
      <c r="D304" s="67" t="s">
        <v>858</v>
      </c>
      <c r="E304" s="67" t="s">
        <v>20</v>
      </c>
      <c r="F304" s="67"/>
      <c r="G304" s="67" t="s">
        <v>694</v>
      </c>
      <c r="H304" s="67"/>
      <c r="I304" s="67" t="s">
        <v>786</v>
      </c>
      <c r="J304" s="67"/>
      <c r="K304" s="67"/>
      <c r="L304" s="67" t="s">
        <v>787</v>
      </c>
      <c r="M304" s="67" t="s">
        <v>752</v>
      </c>
      <c r="N304" s="67"/>
      <c r="O304" s="67" t="s">
        <v>1599</v>
      </c>
      <c r="P304" s="67"/>
      <c r="Q304" s="67">
        <v>200</v>
      </c>
      <c r="R304" s="67">
        <v>0</v>
      </c>
      <c r="S304" s="67">
        <v>0</v>
      </c>
      <c r="T304" s="67">
        <v>0</v>
      </c>
      <c r="U304" s="67">
        <v>0</v>
      </c>
      <c r="V304" s="67">
        <v>0</v>
      </c>
      <c r="W304" s="67">
        <v>200</v>
      </c>
      <c r="X304" s="67">
        <v>0</v>
      </c>
      <c r="Y304" s="67">
        <v>0</v>
      </c>
      <c r="Z304" s="67">
        <v>0</v>
      </c>
      <c r="AA304" s="67">
        <v>0</v>
      </c>
      <c r="AB304" s="67">
        <v>0</v>
      </c>
      <c r="AC304" s="67">
        <v>0</v>
      </c>
      <c r="AD304" s="67">
        <v>0</v>
      </c>
      <c r="AE304" s="67">
        <v>0</v>
      </c>
      <c r="AF304" s="67">
        <v>0</v>
      </c>
      <c r="AG304" s="67">
        <v>0</v>
      </c>
      <c r="AH304" s="67">
        <v>0</v>
      </c>
      <c r="AI304" s="67">
        <v>0</v>
      </c>
      <c r="AJ304" s="67">
        <v>0</v>
      </c>
      <c r="AK304" s="67">
        <v>0</v>
      </c>
      <c r="AL304" s="67">
        <v>0</v>
      </c>
      <c r="AM304" s="67">
        <v>0</v>
      </c>
      <c r="AN304" s="67">
        <v>0</v>
      </c>
      <c r="AO304" s="67">
        <v>0</v>
      </c>
      <c r="AP304" s="67">
        <v>0</v>
      </c>
      <c r="AQ304" s="67">
        <v>0</v>
      </c>
      <c r="AR304" s="67">
        <v>0</v>
      </c>
      <c r="AS304" s="67">
        <v>0</v>
      </c>
      <c r="AT304" s="67"/>
      <c r="AU304" s="67"/>
      <c r="AV304" s="67"/>
      <c r="AW304" s="67">
        <v>0</v>
      </c>
      <c r="AX304" s="67">
        <v>0</v>
      </c>
      <c r="AY304" s="67"/>
      <c r="AZ304" s="67"/>
      <c r="BA304" s="67"/>
      <c r="BB304" s="67"/>
      <c r="BC304" s="67"/>
      <c r="BD304" s="67"/>
      <c r="BE304" s="67"/>
      <c r="BG304" s="67"/>
      <c r="BH304" s="67"/>
      <c r="BI304" s="67"/>
      <c r="BJ304" s="67">
        <v>0</v>
      </c>
      <c r="BK304" s="67"/>
      <c r="BL304" s="67"/>
      <c r="BP304" s="67"/>
      <c r="BQ304" s="67">
        <v>0</v>
      </c>
      <c r="BR304" s="67"/>
      <c r="BS304" s="67"/>
      <c r="BT304" s="67">
        <v>0</v>
      </c>
      <c r="BU304" s="67">
        <v>0</v>
      </c>
      <c r="BV304" s="67"/>
      <c r="BW304" s="67"/>
      <c r="BX304" s="67">
        <v>0</v>
      </c>
      <c r="BY304" s="67">
        <v>0</v>
      </c>
      <c r="BZ304" s="67">
        <v>0</v>
      </c>
      <c r="CA304" s="67"/>
      <c r="CB304" s="67">
        <v>0</v>
      </c>
      <c r="CC304" s="67"/>
      <c r="CD304" s="67"/>
      <c r="CE304" s="67">
        <v>0</v>
      </c>
      <c r="CF304" s="67"/>
      <c r="CG304" s="67"/>
      <c r="CH304" s="67"/>
      <c r="CI304" s="67"/>
      <c r="CJ304" s="67"/>
      <c r="CK304" s="67">
        <v>0</v>
      </c>
      <c r="CL304" s="67"/>
      <c r="CM304" s="67"/>
      <c r="CN304" s="67"/>
      <c r="CO304" s="67">
        <v>0</v>
      </c>
      <c r="CP304" s="67"/>
      <c r="CQ304" s="67"/>
      <c r="CR304" s="67"/>
      <c r="CS304" s="67"/>
      <c r="CT304" s="67"/>
      <c r="CU304" s="67">
        <v>0</v>
      </c>
      <c r="CV304" s="67"/>
      <c r="CW304" s="67"/>
      <c r="CX304" s="67"/>
      <c r="CY304" s="67">
        <v>0</v>
      </c>
      <c r="CZ304" s="67"/>
      <c r="DA304" s="67"/>
      <c r="DB304" s="67"/>
      <c r="DC304" s="67"/>
      <c r="DF304" s="67"/>
      <c r="DG304" s="67">
        <v>0</v>
      </c>
      <c r="DH304" s="67">
        <v>0</v>
      </c>
      <c r="DI304" s="67">
        <v>0</v>
      </c>
      <c r="DJ304" s="67"/>
      <c r="DK304" s="67">
        <v>0</v>
      </c>
      <c r="DL304" s="67">
        <v>0</v>
      </c>
      <c r="DM304" s="67">
        <v>0</v>
      </c>
      <c r="DN304" s="67"/>
      <c r="DO304" s="67"/>
      <c r="DP304" s="67"/>
      <c r="DQ304" s="67">
        <v>0</v>
      </c>
      <c r="DR304" s="67">
        <v>0</v>
      </c>
      <c r="DS304" s="67"/>
      <c r="DT304" s="67"/>
      <c r="DU304" s="67">
        <v>0</v>
      </c>
      <c r="DV304" s="67">
        <v>0</v>
      </c>
      <c r="DW304" s="67">
        <v>0</v>
      </c>
      <c r="DX304" s="67">
        <v>0</v>
      </c>
      <c r="DY304" s="67"/>
      <c r="DZ304" s="67">
        <v>0</v>
      </c>
      <c r="EA304" s="67"/>
      <c r="EB304" s="67">
        <v>0</v>
      </c>
      <c r="EC304" s="67"/>
      <c r="ED304" s="67">
        <v>0</v>
      </c>
      <c r="EE304" s="67"/>
      <c r="EF304" s="67">
        <v>0</v>
      </c>
      <c r="EG304" s="67"/>
      <c r="EH304" s="67"/>
      <c r="EI304" s="67"/>
      <c r="EJ304" s="67"/>
      <c r="EK304" s="67"/>
      <c r="EL304" s="67"/>
      <c r="EM304" s="67"/>
      <c r="EN304" s="67"/>
      <c r="EO304" s="67"/>
      <c r="EP304" s="67">
        <v>0</v>
      </c>
      <c r="EQ304" s="67">
        <v>0</v>
      </c>
      <c r="ER304" s="67">
        <v>0</v>
      </c>
      <c r="ES304" s="67"/>
      <c r="ET304">
        <v>0</v>
      </c>
      <c r="EX304" s="67"/>
      <c r="EY304" s="67"/>
      <c r="EZ304" s="67"/>
      <c r="FA304" s="67">
        <v>200</v>
      </c>
      <c r="FB304" s="67">
        <v>0</v>
      </c>
      <c r="FC304" s="67"/>
      <c r="FD304" s="67"/>
      <c r="FE304" s="67"/>
      <c r="FF304" s="67"/>
      <c r="FG304" s="67"/>
      <c r="FH304" s="67"/>
      <c r="FI304" s="67" t="s">
        <v>1734</v>
      </c>
    </row>
    <row r="305" spans="2:165" x14ac:dyDescent="0.2">
      <c r="B305" s="67" t="s">
        <v>859</v>
      </c>
      <c r="C305" s="67"/>
      <c r="D305" s="67" t="s">
        <v>860</v>
      </c>
      <c r="E305" s="67" t="s">
        <v>20</v>
      </c>
      <c r="F305" s="67"/>
      <c r="G305" s="67" t="s">
        <v>694</v>
      </c>
      <c r="H305" s="67"/>
      <c r="I305" s="67" t="s">
        <v>786</v>
      </c>
      <c r="J305" s="67"/>
      <c r="K305" s="67"/>
      <c r="L305" s="67" t="s">
        <v>787</v>
      </c>
      <c r="M305" s="67" t="s">
        <v>752</v>
      </c>
      <c r="N305" s="67"/>
      <c r="O305" s="67" t="s">
        <v>1599</v>
      </c>
      <c r="P305" s="67"/>
      <c r="Q305" s="67">
        <v>300</v>
      </c>
      <c r="R305" s="67">
        <v>0</v>
      </c>
      <c r="S305" s="67">
        <v>0</v>
      </c>
      <c r="T305" s="67">
        <v>0</v>
      </c>
      <c r="U305" s="67">
        <v>0</v>
      </c>
      <c r="V305" s="67">
        <v>0</v>
      </c>
      <c r="W305" s="67">
        <v>300</v>
      </c>
      <c r="X305" s="67">
        <v>0</v>
      </c>
      <c r="Y305" s="67">
        <v>0</v>
      </c>
      <c r="Z305" s="67">
        <v>0</v>
      </c>
      <c r="AA305" s="67">
        <v>0</v>
      </c>
      <c r="AB305" s="67">
        <v>0</v>
      </c>
      <c r="AC305" s="67">
        <v>0</v>
      </c>
      <c r="AD305" s="67">
        <v>0</v>
      </c>
      <c r="AE305" s="67">
        <v>0</v>
      </c>
      <c r="AF305" s="67">
        <v>0</v>
      </c>
      <c r="AG305" s="67">
        <v>0</v>
      </c>
      <c r="AH305" s="67">
        <v>0</v>
      </c>
      <c r="AI305" s="67">
        <v>0</v>
      </c>
      <c r="AJ305" s="67">
        <v>0</v>
      </c>
      <c r="AK305" s="67">
        <v>0</v>
      </c>
      <c r="AL305" s="67">
        <v>0</v>
      </c>
      <c r="AM305" s="67">
        <v>0</v>
      </c>
      <c r="AN305" s="67">
        <v>0</v>
      </c>
      <c r="AO305" s="67">
        <v>0</v>
      </c>
      <c r="AP305" s="67">
        <v>0</v>
      </c>
      <c r="AQ305" s="67">
        <v>0</v>
      </c>
      <c r="AR305" s="67">
        <v>0</v>
      </c>
      <c r="AS305" s="67">
        <v>0</v>
      </c>
      <c r="AT305" s="67"/>
      <c r="AU305" s="67"/>
      <c r="AV305" s="67"/>
      <c r="AW305" s="67">
        <v>0</v>
      </c>
      <c r="AX305" s="67">
        <v>0</v>
      </c>
      <c r="AY305" s="67"/>
      <c r="AZ305" s="67"/>
      <c r="BA305" s="67"/>
      <c r="BB305" s="67"/>
      <c r="BC305" s="67"/>
      <c r="BD305" s="67"/>
      <c r="BE305" s="67"/>
      <c r="BG305" s="67"/>
      <c r="BH305" s="67"/>
      <c r="BI305" s="67"/>
      <c r="BJ305" s="67">
        <v>0</v>
      </c>
      <c r="BK305" s="67"/>
      <c r="BL305" s="67"/>
      <c r="BP305" s="67"/>
      <c r="BQ305" s="67">
        <v>0</v>
      </c>
      <c r="BR305" s="67"/>
      <c r="BS305" s="67"/>
      <c r="BT305" s="67">
        <v>0</v>
      </c>
      <c r="BU305" s="67">
        <v>0</v>
      </c>
      <c r="BV305" s="67"/>
      <c r="BW305" s="67"/>
      <c r="BX305" s="67">
        <v>0</v>
      </c>
      <c r="BY305" s="67">
        <v>0</v>
      </c>
      <c r="BZ305" s="67">
        <v>0</v>
      </c>
      <c r="CA305" s="67"/>
      <c r="CB305" s="67">
        <v>0</v>
      </c>
      <c r="CC305" s="67"/>
      <c r="CD305" s="67"/>
      <c r="CE305" s="67">
        <v>0</v>
      </c>
      <c r="CF305" s="67"/>
      <c r="CG305" s="67"/>
      <c r="CH305" s="67"/>
      <c r="CI305" s="67"/>
      <c r="CJ305" s="67"/>
      <c r="CK305" s="67">
        <v>0</v>
      </c>
      <c r="CL305" s="67"/>
      <c r="CM305" s="67"/>
      <c r="CN305" s="67"/>
      <c r="CO305" s="67">
        <v>0</v>
      </c>
      <c r="CP305" s="67"/>
      <c r="CQ305" s="67"/>
      <c r="CR305" s="67"/>
      <c r="CS305" s="67"/>
      <c r="CT305" s="67"/>
      <c r="CU305" s="67">
        <v>0</v>
      </c>
      <c r="CV305" s="67"/>
      <c r="CW305" s="67"/>
      <c r="CX305" s="67"/>
      <c r="CY305" s="67">
        <v>0</v>
      </c>
      <c r="CZ305" s="67"/>
      <c r="DA305" s="67"/>
      <c r="DB305" s="67"/>
      <c r="DC305" s="67"/>
      <c r="DF305" s="67"/>
      <c r="DG305" s="67">
        <v>0</v>
      </c>
      <c r="DH305" s="67">
        <v>0</v>
      </c>
      <c r="DI305" s="67">
        <v>0</v>
      </c>
      <c r="DJ305" s="67"/>
      <c r="DK305" s="67">
        <v>0</v>
      </c>
      <c r="DL305" s="67">
        <v>0</v>
      </c>
      <c r="DM305" s="67">
        <v>0</v>
      </c>
      <c r="DN305" s="67"/>
      <c r="DO305" s="67"/>
      <c r="DP305" s="67"/>
      <c r="DQ305" s="67">
        <v>0</v>
      </c>
      <c r="DR305" s="67">
        <v>0</v>
      </c>
      <c r="DS305" s="67"/>
      <c r="DT305" s="67"/>
      <c r="DU305" s="67">
        <v>0</v>
      </c>
      <c r="DV305" s="67">
        <v>0</v>
      </c>
      <c r="DW305" s="67">
        <v>0</v>
      </c>
      <c r="DX305" s="67">
        <v>0</v>
      </c>
      <c r="DY305" s="67"/>
      <c r="DZ305" s="67">
        <v>0</v>
      </c>
      <c r="EA305" s="67"/>
      <c r="EB305" s="67">
        <v>0</v>
      </c>
      <c r="EC305" s="67"/>
      <c r="ED305" s="67">
        <v>0</v>
      </c>
      <c r="EE305" s="67"/>
      <c r="EF305" s="67">
        <v>0</v>
      </c>
      <c r="EG305" s="67"/>
      <c r="EH305" s="67"/>
      <c r="EI305" s="67"/>
      <c r="EJ305" s="67"/>
      <c r="EK305" s="67"/>
      <c r="EL305" s="67"/>
      <c r="EM305" s="67"/>
      <c r="EN305" s="67"/>
      <c r="EO305" s="67"/>
      <c r="EP305" s="67">
        <v>0</v>
      </c>
      <c r="EQ305" s="67">
        <v>0</v>
      </c>
      <c r="ER305" s="67">
        <v>0</v>
      </c>
      <c r="ES305" s="67"/>
      <c r="ET305">
        <v>0</v>
      </c>
      <c r="EX305" s="67"/>
      <c r="EY305" s="67"/>
      <c r="EZ305" s="67"/>
      <c r="FA305" s="67">
        <v>300</v>
      </c>
      <c r="FB305" s="67">
        <v>0</v>
      </c>
      <c r="FC305" s="67"/>
      <c r="FD305" s="67"/>
      <c r="FE305" s="67"/>
      <c r="FF305" s="67"/>
      <c r="FG305" s="67"/>
      <c r="FH305" s="67"/>
      <c r="FI305" s="67" t="s">
        <v>1734</v>
      </c>
    </row>
    <row r="306" spans="2:165" x14ac:dyDescent="0.2">
      <c r="B306" s="67" t="s">
        <v>861</v>
      </c>
      <c r="C306" s="67"/>
      <c r="D306" s="67" t="s">
        <v>862</v>
      </c>
      <c r="E306" s="67" t="s">
        <v>20</v>
      </c>
      <c r="F306" s="67"/>
      <c r="G306" s="67" t="s">
        <v>694</v>
      </c>
      <c r="H306" s="67"/>
      <c r="I306" s="67" t="s">
        <v>786</v>
      </c>
      <c r="J306" s="67"/>
      <c r="K306" s="67"/>
      <c r="L306" s="67" t="s">
        <v>787</v>
      </c>
      <c r="M306" s="67" t="s">
        <v>752</v>
      </c>
      <c r="N306" s="67"/>
      <c r="O306" s="67" t="s">
        <v>1599</v>
      </c>
      <c r="P306" s="67"/>
      <c r="Q306" s="67">
        <v>650</v>
      </c>
      <c r="R306" s="67">
        <v>0</v>
      </c>
      <c r="S306" s="67">
        <v>0</v>
      </c>
      <c r="T306" s="67">
        <v>0</v>
      </c>
      <c r="U306" s="67">
        <v>0</v>
      </c>
      <c r="V306" s="67">
        <v>0</v>
      </c>
      <c r="W306" s="67">
        <v>650</v>
      </c>
      <c r="X306" s="67">
        <v>0</v>
      </c>
      <c r="Y306" s="67">
        <v>0</v>
      </c>
      <c r="Z306" s="67">
        <v>0</v>
      </c>
      <c r="AA306" s="67">
        <v>0</v>
      </c>
      <c r="AB306" s="67">
        <v>0</v>
      </c>
      <c r="AC306" s="67">
        <v>0</v>
      </c>
      <c r="AD306" s="67">
        <v>0</v>
      </c>
      <c r="AE306" s="67">
        <v>0</v>
      </c>
      <c r="AF306" s="67">
        <v>0</v>
      </c>
      <c r="AG306" s="67">
        <v>0</v>
      </c>
      <c r="AH306" s="67">
        <v>0</v>
      </c>
      <c r="AI306" s="67">
        <v>0</v>
      </c>
      <c r="AJ306" s="67">
        <v>0</v>
      </c>
      <c r="AK306" s="67">
        <v>0</v>
      </c>
      <c r="AL306" s="67">
        <v>0</v>
      </c>
      <c r="AM306" s="67">
        <v>0</v>
      </c>
      <c r="AN306" s="67">
        <v>0</v>
      </c>
      <c r="AO306" s="67">
        <v>0</v>
      </c>
      <c r="AP306" s="67">
        <v>0</v>
      </c>
      <c r="AQ306" s="67">
        <v>0</v>
      </c>
      <c r="AR306" s="67">
        <v>0</v>
      </c>
      <c r="AS306" s="67">
        <v>0</v>
      </c>
      <c r="AT306" s="67"/>
      <c r="AU306" s="67"/>
      <c r="AV306" s="67"/>
      <c r="AW306" s="67">
        <v>0</v>
      </c>
      <c r="AX306" s="67">
        <v>0</v>
      </c>
      <c r="AY306" s="67"/>
      <c r="AZ306" s="67"/>
      <c r="BA306" s="67"/>
      <c r="BB306" s="67"/>
      <c r="BC306" s="67"/>
      <c r="BD306" s="67"/>
      <c r="BE306" s="67"/>
      <c r="BG306" s="67"/>
      <c r="BH306" s="67"/>
      <c r="BI306" s="67"/>
      <c r="BJ306" s="67">
        <v>0</v>
      </c>
      <c r="BK306" s="67"/>
      <c r="BL306" s="67"/>
      <c r="BP306" s="67"/>
      <c r="BQ306" s="67">
        <v>0</v>
      </c>
      <c r="BR306" s="67"/>
      <c r="BS306" s="67"/>
      <c r="BT306" s="67">
        <v>0</v>
      </c>
      <c r="BU306" s="67">
        <v>0</v>
      </c>
      <c r="BV306" s="67"/>
      <c r="BW306" s="67"/>
      <c r="BX306" s="67">
        <v>0</v>
      </c>
      <c r="BY306" s="67">
        <v>0</v>
      </c>
      <c r="BZ306" s="67">
        <v>0</v>
      </c>
      <c r="CA306" s="67"/>
      <c r="CB306" s="67">
        <v>0</v>
      </c>
      <c r="CC306" s="67"/>
      <c r="CD306" s="67"/>
      <c r="CE306" s="67">
        <v>0</v>
      </c>
      <c r="CF306" s="67"/>
      <c r="CG306" s="67"/>
      <c r="CH306" s="67"/>
      <c r="CI306" s="67"/>
      <c r="CJ306" s="67"/>
      <c r="CK306" s="67">
        <v>0</v>
      </c>
      <c r="CL306" s="67"/>
      <c r="CM306" s="67"/>
      <c r="CN306" s="67"/>
      <c r="CO306" s="67">
        <v>0</v>
      </c>
      <c r="CP306" s="67"/>
      <c r="CQ306" s="67"/>
      <c r="CR306" s="67"/>
      <c r="CS306" s="67"/>
      <c r="CT306" s="67"/>
      <c r="CU306" s="67">
        <v>0</v>
      </c>
      <c r="CV306" s="67"/>
      <c r="CW306" s="67"/>
      <c r="CX306" s="67"/>
      <c r="CY306" s="67">
        <v>0</v>
      </c>
      <c r="CZ306" s="67"/>
      <c r="DA306" s="67"/>
      <c r="DB306" s="67"/>
      <c r="DC306" s="67"/>
      <c r="DF306" s="67"/>
      <c r="DG306" s="67">
        <v>0</v>
      </c>
      <c r="DH306" s="67">
        <v>0</v>
      </c>
      <c r="DI306" s="67">
        <v>0</v>
      </c>
      <c r="DJ306" s="67"/>
      <c r="DK306" s="67">
        <v>0</v>
      </c>
      <c r="DL306" s="67">
        <v>0</v>
      </c>
      <c r="DM306" s="67">
        <v>0</v>
      </c>
      <c r="DN306" s="67"/>
      <c r="DO306" s="67"/>
      <c r="DP306" s="67"/>
      <c r="DQ306" s="67">
        <v>0</v>
      </c>
      <c r="DR306" s="67">
        <v>0</v>
      </c>
      <c r="DS306" s="67"/>
      <c r="DT306" s="67"/>
      <c r="DU306" s="67">
        <v>0</v>
      </c>
      <c r="DV306" s="67">
        <v>0</v>
      </c>
      <c r="DW306" s="67">
        <v>0</v>
      </c>
      <c r="DX306" s="67">
        <v>0</v>
      </c>
      <c r="DY306" s="67"/>
      <c r="DZ306" s="67">
        <v>0</v>
      </c>
      <c r="EA306" s="67"/>
      <c r="EB306" s="67">
        <v>0</v>
      </c>
      <c r="EC306" s="67"/>
      <c r="ED306" s="67">
        <v>0</v>
      </c>
      <c r="EE306" s="67"/>
      <c r="EF306" s="67">
        <v>0</v>
      </c>
      <c r="EG306" s="67"/>
      <c r="EH306" s="67"/>
      <c r="EI306" s="67"/>
      <c r="EJ306" s="67"/>
      <c r="EK306" s="67"/>
      <c r="EL306" s="67"/>
      <c r="EM306" s="67"/>
      <c r="EN306" s="67"/>
      <c r="EO306" s="67"/>
      <c r="EP306" s="67">
        <v>0</v>
      </c>
      <c r="EQ306" s="67">
        <v>0</v>
      </c>
      <c r="ER306" s="67">
        <v>0</v>
      </c>
      <c r="ES306" s="67"/>
      <c r="ET306">
        <v>0</v>
      </c>
      <c r="EX306" s="67"/>
      <c r="EY306" s="67"/>
      <c r="EZ306" s="67"/>
      <c r="FA306" s="67">
        <v>650</v>
      </c>
      <c r="FB306" s="67">
        <v>0</v>
      </c>
      <c r="FC306" s="67"/>
      <c r="FD306" s="67"/>
      <c r="FE306" s="67"/>
      <c r="FF306" s="67"/>
      <c r="FG306" s="67"/>
      <c r="FH306" s="67"/>
      <c r="FI306" s="67" t="s">
        <v>1734</v>
      </c>
    </row>
    <row r="307" spans="2:165" x14ac:dyDescent="0.2">
      <c r="B307" s="67" t="s">
        <v>863</v>
      </c>
      <c r="C307" s="67"/>
      <c r="D307" s="67" t="s">
        <v>864</v>
      </c>
      <c r="E307" s="67" t="s">
        <v>20</v>
      </c>
      <c r="F307" s="67"/>
      <c r="G307" s="67" t="s">
        <v>694</v>
      </c>
      <c r="H307" s="67"/>
      <c r="I307" s="67" t="s">
        <v>786</v>
      </c>
      <c r="J307" s="67"/>
      <c r="K307" s="67"/>
      <c r="L307" s="67" t="s">
        <v>787</v>
      </c>
      <c r="M307" s="67" t="s">
        <v>752</v>
      </c>
      <c r="N307" s="67"/>
      <c r="O307" s="67" t="s">
        <v>1599</v>
      </c>
      <c r="P307" s="67"/>
      <c r="Q307" s="67">
        <v>100</v>
      </c>
      <c r="R307" s="67">
        <v>0</v>
      </c>
      <c r="S307" s="67">
        <v>0</v>
      </c>
      <c r="T307" s="67">
        <v>0</v>
      </c>
      <c r="U307" s="67">
        <v>0</v>
      </c>
      <c r="V307" s="67">
        <v>0</v>
      </c>
      <c r="W307" s="67">
        <v>100</v>
      </c>
      <c r="X307" s="67">
        <v>0</v>
      </c>
      <c r="Y307" s="67">
        <v>0</v>
      </c>
      <c r="Z307" s="67">
        <v>0</v>
      </c>
      <c r="AA307" s="67">
        <v>0</v>
      </c>
      <c r="AB307" s="67">
        <v>0</v>
      </c>
      <c r="AC307" s="67">
        <v>0</v>
      </c>
      <c r="AD307" s="67">
        <v>0</v>
      </c>
      <c r="AE307" s="67">
        <v>0</v>
      </c>
      <c r="AF307" s="67">
        <v>0</v>
      </c>
      <c r="AG307" s="67">
        <v>0</v>
      </c>
      <c r="AH307" s="67">
        <v>0</v>
      </c>
      <c r="AI307" s="67">
        <v>0</v>
      </c>
      <c r="AJ307" s="67">
        <v>0</v>
      </c>
      <c r="AK307" s="67">
        <v>0</v>
      </c>
      <c r="AL307" s="67">
        <v>0</v>
      </c>
      <c r="AM307" s="67">
        <v>0</v>
      </c>
      <c r="AN307" s="67">
        <v>0</v>
      </c>
      <c r="AO307" s="67">
        <v>0</v>
      </c>
      <c r="AP307" s="67">
        <v>0</v>
      </c>
      <c r="AQ307" s="67">
        <v>0</v>
      </c>
      <c r="AR307" s="67">
        <v>0</v>
      </c>
      <c r="AS307" s="67">
        <v>0</v>
      </c>
      <c r="AT307" s="67"/>
      <c r="AU307" s="67"/>
      <c r="AV307" s="67"/>
      <c r="AW307" s="67">
        <v>0</v>
      </c>
      <c r="AX307" s="67">
        <v>0</v>
      </c>
      <c r="AY307" s="67"/>
      <c r="AZ307" s="67"/>
      <c r="BA307" s="67"/>
      <c r="BB307" s="67"/>
      <c r="BC307" s="67"/>
      <c r="BD307" s="67"/>
      <c r="BE307" s="67"/>
      <c r="BG307" s="67"/>
      <c r="BH307" s="67"/>
      <c r="BI307" s="67"/>
      <c r="BJ307" s="67">
        <v>0</v>
      </c>
      <c r="BK307" s="67"/>
      <c r="BL307" s="67"/>
      <c r="BP307" s="67"/>
      <c r="BQ307" s="67">
        <v>0</v>
      </c>
      <c r="BR307" s="67"/>
      <c r="BS307" s="67"/>
      <c r="BT307" s="67">
        <v>0</v>
      </c>
      <c r="BU307" s="67">
        <v>0</v>
      </c>
      <c r="BV307" s="67"/>
      <c r="BW307" s="67"/>
      <c r="BX307" s="67">
        <v>0</v>
      </c>
      <c r="BY307" s="67">
        <v>0</v>
      </c>
      <c r="BZ307" s="67">
        <v>0</v>
      </c>
      <c r="CA307" s="67"/>
      <c r="CB307" s="67">
        <v>0</v>
      </c>
      <c r="CC307" s="67"/>
      <c r="CD307" s="67"/>
      <c r="CE307" s="67">
        <v>0</v>
      </c>
      <c r="CF307" s="67"/>
      <c r="CG307" s="67"/>
      <c r="CH307" s="67"/>
      <c r="CI307" s="67"/>
      <c r="CJ307" s="67"/>
      <c r="CK307" s="67">
        <v>0</v>
      </c>
      <c r="CL307" s="67"/>
      <c r="CM307" s="67"/>
      <c r="CN307" s="67"/>
      <c r="CO307" s="67">
        <v>0</v>
      </c>
      <c r="CP307" s="67"/>
      <c r="CQ307" s="67"/>
      <c r="CR307" s="67"/>
      <c r="CS307" s="67"/>
      <c r="CT307" s="67"/>
      <c r="CU307" s="67">
        <v>0</v>
      </c>
      <c r="CV307" s="67"/>
      <c r="CW307" s="67"/>
      <c r="CX307" s="67"/>
      <c r="CY307" s="67">
        <v>0</v>
      </c>
      <c r="CZ307" s="67"/>
      <c r="DA307" s="67"/>
      <c r="DB307" s="67"/>
      <c r="DC307" s="67"/>
      <c r="DF307" s="67"/>
      <c r="DG307" s="67">
        <v>0</v>
      </c>
      <c r="DH307" s="67">
        <v>0</v>
      </c>
      <c r="DI307" s="67">
        <v>0</v>
      </c>
      <c r="DJ307" s="67"/>
      <c r="DK307" s="67">
        <v>0</v>
      </c>
      <c r="DL307" s="67">
        <v>0</v>
      </c>
      <c r="DM307" s="67">
        <v>0</v>
      </c>
      <c r="DN307" s="67"/>
      <c r="DO307" s="67"/>
      <c r="DP307" s="67"/>
      <c r="DQ307" s="67">
        <v>0</v>
      </c>
      <c r="DR307" s="67">
        <v>0</v>
      </c>
      <c r="DS307" s="67"/>
      <c r="DT307" s="67"/>
      <c r="DU307" s="67">
        <v>0</v>
      </c>
      <c r="DV307" s="67">
        <v>0</v>
      </c>
      <c r="DW307" s="67">
        <v>0</v>
      </c>
      <c r="DX307" s="67">
        <v>0</v>
      </c>
      <c r="DY307" s="67"/>
      <c r="DZ307" s="67">
        <v>0</v>
      </c>
      <c r="EA307" s="67"/>
      <c r="EB307" s="67">
        <v>0</v>
      </c>
      <c r="EC307" s="67"/>
      <c r="ED307" s="67">
        <v>0</v>
      </c>
      <c r="EE307" s="67"/>
      <c r="EF307" s="67">
        <v>0</v>
      </c>
      <c r="EG307" s="67"/>
      <c r="EH307" s="67"/>
      <c r="EI307" s="67"/>
      <c r="EJ307" s="67"/>
      <c r="EK307" s="67"/>
      <c r="EL307" s="67"/>
      <c r="EM307" s="67"/>
      <c r="EN307" s="67"/>
      <c r="EO307" s="67"/>
      <c r="EP307" s="67">
        <v>0</v>
      </c>
      <c r="EQ307" s="67">
        <v>0</v>
      </c>
      <c r="ER307" s="67">
        <v>0</v>
      </c>
      <c r="ES307" s="67"/>
      <c r="ET307">
        <v>0</v>
      </c>
      <c r="EX307" s="67"/>
      <c r="EY307" s="67"/>
      <c r="EZ307" s="67"/>
      <c r="FA307" s="67">
        <v>100</v>
      </c>
      <c r="FB307" s="67">
        <v>0</v>
      </c>
      <c r="FC307" s="67"/>
      <c r="FD307" s="67"/>
      <c r="FE307" s="67"/>
      <c r="FF307" s="67"/>
      <c r="FG307" s="67"/>
      <c r="FH307" s="67"/>
      <c r="FI307" s="67" t="s">
        <v>1734</v>
      </c>
    </row>
    <row r="308" spans="2:165" ht="24" x14ac:dyDescent="0.2">
      <c r="B308" s="67" t="s">
        <v>865</v>
      </c>
      <c r="C308" s="67"/>
      <c r="D308" s="67" t="s">
        <v>866</v>
      </c>
      <c r="E308" s="67" t="s">
        <v>13</v>
      </c>
      <c r="F308" s="67" t="s">
        <v>766</v>
      </c>
      <c r="G308" s="67" t="s">
        <v>694</v>
      </c>
      <c r="H308" s="67"/>
      <c r="I308" s="67" t="s">
        <v>43</v>
      </c>
      <c r="J308" s="67"/>
      <c r="K308" s="67"/>
      <c r="L308" s="67" t="s">
        <v>767</v>
      </c>
      <c r="M308" s="67" t="s">
        <v>752</v>
      </c>
      <c r="N308" s="67"/>
      <c r="O308" s="67" t="s">
        <v>1605</v>
      </c>
      <c r="P308" s="67"/>
      <c r="Q308" s="67">
        <v>0</v>
      </c>
      <c r="R308" s="67">
        <v>0</v>
      </c>
      <c r="S308" s="67">
        <v>0</v>
      </c>
      <c r="T308" s="67">
        <v>0</v>
      </c>
      <c r="U308" s="67">
        <v>0</v>
      </c>
      <c r="V308" s="67">
        <v>0</v>
      </c>
      <c r="W308" s="67">
        <v>0</v>
      </c>
      <c r="X308" s="67">
        <v>0</v>
      </c>
      <c r="Y308" s="67">
        <v>0</v>
      </c>
      <c r="Z308" s="67">
        <v>0</v>
      </c>
      <c r="AA308" s="67">
        <v>0</v>
      </c>
      <c r="AB308" s="67">
        <v>0</v>
      </c>
      <c r="AC308" s="67">
        <v>0</v>
      </c>
      <c r="AD308" s="67">
        <v>0</v>
      </c>
      <c r="AE308" s="67">
        <v>0</v>
      </c>
      <c r="AF308" s="67">
        <v>0</v>
      </c>
      <c r="AG308" s="67">
        <v>0</v>
      </c>
      <c r="AH308" s="67">
        <v>0</v>
      </c>
      <c r="AI308" s="67">
        <v>0</v>
      </c>
      <c r="AJ308" s="67">
        <v>0</v>
      </c>
      <c r="AK308" s="67">
        <v>0</v>
      </c>
      <c r="AL308" s="67">
        <v>0</v>
      </c>
      <c r="AM308" s="67">
        <v>0</v>
      </c>
      <c r="AN308" s="67">
        <v>0</v>
      </c>
      <c r="AO308" s="67">
        <v>0</v>
      </c>
      <c r="AP308" s="67">
        <v>0</v>
      </c>
      <c r="AQ308" s="67">
        <v>0</v>
      </c>
      <c r="AR308" s="67">
        <v>0</v>
      </c>
      <c r="AS308" s="67">
        <v>0</v>
      </c>
      <c r="AT308" s="67"/>
      <c r="AU308" s="67"/>
      <c r="AV308" s="67"/>
      <c r="AW308" s="67">
        <v>0</v>
      </c>
      <c r="AX308" s="67">
        <v>0</v>
      </c>
      <c r="AY308" s="67"/>
      <c r="AZ308" s="67"/>
      <c r="BA308" s="67"/>
      <c r="BB308" s="67"/>
      <c r="BC308" s="67"/>
      <c r="BD308" s="67"/>
      <c r="BE308" s="67"/>
      <c r="BG308" s="67"/>
      <c r="BH308" s="67"/>
      <c r="BI308" s="67"/>
      <c r="BJ308" s="67">
        <v>0</v>
      </c>
      <c r="BK308" s="67"/>
      <c r="BL308" s="67"/>
      <c r="BP308" s="67"/>
      <c r="BQ308" s="67">
        <v>0</v>
      </c>
      <c r="BR308" s="67"/>
      <c r="BS308" s="67"/>
      <c r="BT308" s="67">
        <v>0</v>
      </c>
      <c r="BU308" s="67">
        <v>0</v>
      </c>
      <c r="BV308" s="67"/>
      <c r="BW308" s="67"/>
      <c r="BX308" s="67">
        <v>0</v>
      </c>
      <c r="BY308" s="67">
        <v>0</v>
      </c>
      <c r="BZ308" s="67">
        <v>0</v>
      </c>
      <c r="CA308" s="67"/>
      <c r="CB308" s="67">
        <v>0</v>
      </c>
      <c r="CC308" s="67"/>
      <c r="CD308" s="67"/>
      <c r="CE308" s="67">
        <v>0</v>
      </c>
      <c r="CF308" s="67"/>
      <c r="CG308" s="67"/>
      <c r="CH308" s="67"/>
      <c r="CI308" s="67"/>
      <c r="CJ308" s="67"/>
      <c r="CK308" s="67">
        <v>0</v>
      </c>
      <c r="CL308" s="67"/>
      <c r="CM308" s="67"/>
      <c r="CN308" s="67"/>
      <c r="CO308" s="67">
        <v>0</v>
      </c>
      <c r="CP308" s="67"/>
      <c r="CQ308" s="67"/>
      <c r="CR308" s="67"/>
      <c r="CS308" s="67"/>
      <c r="CT308" s="67"/>
      <c r="CU308" s="67">
        <v>0</v>
      </c>
      <c r="CV308" s="67"/>
      <c r="CW308" s="67"/>
      <c r="CX308" s="67"/>
      <c r="CY308" s="67">
        <v>0</v>
      </c>
      <c r="CZ308" s="67"/>
      <c r="DA308" s="67"/>
      <c r="DB308" s="67"/>
      <c r="DC308" s="67"/>
      <c r="DF308" s="67"/>
      <c r="DG308" s="67">
        <v>0</v>
      </c>
      <c r="DH308" s="67">
        <v>0</v>
      </c>
      <c r="DI308" s="67">
        <v>0</v>
      </c>
      <c r="DJ308" s="67"/>
      <c r="DK308" s="67">
        <v>0</v>
      </c>
      <c r="DL308" s="67">
        <v>0</v>
      </c>
      <c r="DM308" s="67">
        <v>0</v>
      </c>
      <c r="DN308" s="67"/>
      <c r="DO308" s="67"/>
      <c r="DP308" s="67"/>
      <c r="DQ308" s="67">
        <v>0</v>
      </c>
      <c r="DR308" s="67">
        <v>0</v>
      </c>
      <c r="DS308" s="67"/>
      <c r="DT308" s="67"/>
      <c r="DU308" s="67">
        <v>0</v>
      </c>
      <c r="DV308" s="67">
        <v>0</v>
      </c>
      <c r="DW308" s="67">
        <v>0</v>
      </c>
      <c r="DX308" s="67">
        <v>0</v>
      </c>
      <c r="DY308" s="67"/>
      <c r="DZ308" s="67">
        <v>0</v>
      </c>
      <c r="EA308" s="67"/>
      <c r="EB308" s="67">
        <v>0</v>
      </c>
      <c r="EC308" s="67"/>
      <c r="ED308" s="67">
        <v>0</v>
      </c>
      <c r="EE308" s="67"/>
      <c r="EF308" s="67">
        <v>0</v>
      </c>
      <c r="EG308" s="67"/>
      <c r="EH308" s="67"/>
      <c r="EI308" s="67"/>
      <c r="EJ308" s="67"/>
      <c r="EK308" s="67"/>
      <c r="EL308" s="67"/>
      <c r="EM308" s="67"/>
      <c r="EN308" s="67"/>
      <c r="EO308" s="67"/>
      <c r="EP308" s="67">
        <v>0</v>
      </c>
      <c r="EQ308" s="67">
        <v>0</v>
      </c>
      <c r="ER308" s="67">
        <v>0</v>
      </c>
      <c r="ES308" s="67"/>
      <c r="ET308">
        <v>0</v>
      </c>
      <c r="EX308" s="67"/>
      <c r="EY308" s="67"/>
      <c r="EZ308" s="67"/>
      <c r="FA308" s="67">
        <v>0</v>
      </c>
      <c r="FB308" s="67">
        <v>0</v>
      </c>
      <c r="FC308" s="67"/>
      <c r="FD308" s="67"/>
      <c r="FE308" s="67"/>
      <c r="FF308" s="67"/>
      <c r="FG308" s="67"/>
      <c r="FH308" s="67"/>
      <c r="FI308" s="67" t="s">
        <v>1734</v>
      </c>
    </row>
    <row r="309" spans="2:165" ht="24" x14ac:dyDescent="0.2">
      <c r="B309" s="67" t="s">
        <v>867</v>
      </c>
      <c r="C309" s="67"/>
      <c r="D309" s="67" t="s">
        <v>868</v>
      </c>
      <c r="E309" s="67" t="s">
        <v>13</v>
      </c>
      <c r="F309" s="67" t="s">
        <v>766</v>
      </c>
      <c r="G309" s="67" t="s">
        <v>694</v>
      </c>
      <c r="H309" s="67"/>
      <c r="I309" s="67" t="s">
        <v>43</v>
      </c>
      <c r="J309" s="67"/>
      <c r="K309" s="67"/>
      <c r="L309" s="67" t="s">
        <v>767</v>
      </c>
      <c r="M309" s="67" t="s">
        <v>752</v>
      </c>
      <c r="N309" s="67"/>
      <c r="O309" s="67" t="s">
        <v>1605</v>
      </c>
      <c r="P309" s="67"/>
      <c r="Q309" s="67">
        <v>0</v>
      </c>
      <c r="R309" s="67">
        <v>0</v>
      </c>
      <c r="S309" s="67">
        <v>0</v>
      </c>
      <c r="T309" s="67">
        <v>0</v>
      </c>
      <c r="U309" s="67">
        <v>0</v>
      </c>
      <c r="V309" s="67">
        <v>0</v>
      </c>
      <c r="W309" s="67">
        <v>0</v>
      </c>
      <c r="X309" s="67">
        <v>0</v>
      </c>
      <c r="Y309" s="67">
        <v>0</v>
      </c>
      <c r="Z309" s="67">
        <v>0</v>
      </c>
      <c r="AA309" s="67">
        <v>0</v>
      </c>
      <c r="AB309" s="67">
        <v>0</v>
      </c>
      <c r="AC309" s="67">
        <v>0</v>
      </c>
      <c r="AD309" s="67">
        <v>0</v>
      </c>
      <c r="AE309" s="67">
        <v>0</v>
      </c>
      <c r="AF309" s="67">
        <v>0</v>
      </c>
      <c r="AG309" s="67">
        <v>0</v>
      </c>
      <c r="AH309" s="67">
        <v>0</v>
      </c>
      <c r="AI309" s="67">
        <v>0</v>
      </c>
      <c r="AJ309" s="67">
        <v>0</v>
      </c>
      <c r="AK309" s="67">
        <v>0</v>
      </c>
      <c r="AL309" s="67">
        <v>0</v>
      </c>
      <c r="AM309" s="67">
        <v>0</v>
      </c>
      <c r="AN309" s="67">
        <v>0</v>
      </c>
      <c r="AO309" s="67">
        <v>0</v>
      </c>
      <c r="AP309" s="67">
        <v>0</v>
      </c>
      <c r="AQ309" s="67">
        <v>0</v>
      </c>
      <c r="AR309" s="67">
        <v>0</v>
      </c>
      <c r="AS309" s="67">
        <v>0</v>
      </c>
      <c r="AT309" s="67"/>
      <c r="AU309" s="67"/>
      <c r="AV309" s="67"/>
      <c r="AW309" s="67">
        <v>0</v>
      </c>
      <c r="AX309" s="67">
        <v>0</v>
      </c>
      <c r="AY309" s="67"/>
      <c r="AZ309" s="67"/>
      <c r="BA309" s="67"/>
      <c r="BB309" s="67"/>
      <c r="BC309" s="67"/>
      <c r="BD309" s="67"/>
      <c r="BE309" s="67"/>
      <c r="BG309" s="67"/>
      <c r="BH309" s="67"/>
      <c r="BI309" s="67"/>
      <c r="BJ309" s="67">
        <v>0</v>
      </c>
      <c r="BK309" s="67"/>
      <c r="BL309" s="67"/>
      <c r="BP309" s="67"/>
      <c r="BQ309" s="67">
        <v>0</v>
      </c>
      <c r="BR309" s="67"/>
      <c r="BS309" s="67"/>
      <c r="BT309" s="67">
        <v>0</v>
      </c>
      <c r="BU309" s="67">
        <v>0</v>
      </c>
      <c r="BV309" s="67"/>
      <c r="BW309" s="67"/>
      <c r="BX309" s="67">
        <v>0</v>
      </c>
      <c r="BY309" s="67">
        <v>0</v>
      </c>
      <c r="BZ309" s="67">
        <v>0</v>
      </c>
      <c r="CA309" s="67"/>
      <c r="CB309" s="67">
        <v>0</v>
      </c>
      <c r="CC309" s="67"/>
      <c r="CD309" s="67"/>
      <c r="CE309" s="67">
        <v>0</v>
      </c>
      <c r="CF309" s="67"/>
      <c r="CG309" s="67"/>
      <c r="CH309" s="67"/>
      <c r="CI309" s="67"/>
      <c r="CJ309" s="67"/>
      <c r="CK309" s="67">
        <v>0</v>
      </c>
      <c r="CL309" s="67"/>
      <c r="CM309" s="67"/>
      <c r="CN309" s="67"/>
      <c r="CO309" s="67">
        <v>0</v>
      </c>
      <c r="CP309" s="67"/>
      <c r="CQ309" s="67"/>
      <c r="CR309" s="67"/>
      <c r="CS309" s="67"/>
      <c r="CT309" s="67"/>
      <c r="CU309" s="67">
        <v>0</v>
      </c>
      <c r="CV309" s="67"/>
      <c r="CW309" s="67"/>
      <c r="CX309" s="67"/>
      <c r="CY309" s="67">
        <v>0</v>
      </c>
      <c r="CZ309" s="67"/>
      <c r="DA309" s="67"/>
      <c r="DB309" s="67"/>
      <c r="DC309" s="67"/>
      <c r="DF309" s="67"/>
      <c r="DG309" s="67">
        <v>0</v>
      </c>
      <c r="DH309" s="67">
        <v>0</v>
      </c>
      <c r="DI309" s="67">
        <v>0</v>
      </c>
      <c r="DJ309" s="67"/>
      <c r="DK309" s="67">
        <v>0</v>
      </c>
      <c r="DL309" s="67">
        <v>0</v>
      </c>
      <c r="DM309" s="67">
        <v>0</v>
      </c>
      <c r="DN309" s="67"/>
      <c r="DO309" s="67"/>
      <c r="DP309" s="67"/>
      <c r="DQ309" s="67">
        <v>0</v>
      </c>
      <c r="DR309" s="67">
        <v>0</v>
      </c>
      <c r="DS309" s="67"/>
      <c r="DT309" s="67"/>
      <c r="DU309" s="67">
        <v>0</v>
      </c>
      <c r="DV309" s="67">
        <v>0</v>
      </c>
      <c r="DW309" s="67">
        <v>0</v>
      </c>
      <c r="DX309" s="67">
        <v>0</v>
      </c>
      <c r="DY309" s="67"/>
      <c r="DZ309" s="67">
        <v>0</v>
      </c>
      <c r="EA309" s="67"/>
      <c r="EB309" s="67">
        <v>0</v>
      </c>
      <c r="EC309" s="67"/>
      <c r="ED309" s="67">
        <v>0</v>
      </c>
      <c r="EE309" s="67"/>
      <c r="EF309" s="67">
        <v>0</v>
      </c>
      <c r="EG309" s="67"/>
      <c r="EH309" s="67"/>
      <c r="EI309" s="67"/>
      <c r="EJ309" s="67"/>
      <c r="EK309" s="67"/>
      <c r="EL309" s="67"/>
      <c r="EM309" s="67"/>
      <c r="EN309" s="67"/>
      <c r="EO309" s="67"/>
      <c r="EP309" s="67">
        <v>0</v>
      </c>
      <c r="EQ309" s="67">
        <v>0</v>
      </c>
      <c r="ER309" s="67">
        <v>0</v>
      </c>
      <c r="ES309" s="67"/>
      <c r="ET309">
        <v>0</v>
      </c>
      <c r="EX309" s="67"/>
      <c r="EY309" s="67"/>
      <c r="EZ309" s="67"/>
      <c r="FA309" s="67">
        <v>0</v>
      </c>
      <c r="FB309" s="67">
        <v>0</v>
      </c>
      <c r="FC309" s="67"/>
      <c r="FD309" s="67"/>
      <c r="FE309" s="67"/>
      <c r="FF309" s="67"/>
      <c r="FG309" s="67"/>
      <c r="FH309" s="67"/>
      <c r="FI309" s="67" t="s">
        <v>1734</v>
      </c>
    </row>
    <row r="310" spans="2:165" ht="24" x14ac:dyDescent="0.2">
      <c r="B310" s="67" t="s">
        <v>869</v>
      </c>
      <c r="C310" s="67"/>
      <c r="D310" s="67" t="s">
        <v>870</v>
      </c>
      <c r="E310" s="67" t="s">
        <v>13</v>
      </c>
      <c r="F310" s="67" t="s">
        <v>766</v>
      </c>
      <c r="G310" s="67" t="s">
        <v>694</v>
      </c>
      <c r="H310" s="67"/>
      <c r="I310" s="67" t="s">
        <v>43</v>
      </c>
      <c r="J310" s="67"/>
      <c r="K310" s="67"/>
      <c r="L310" s="67" t="s">
        <v>767</v>
      </c>
      <c r="M310" s="67" t="s">
        <v>752</v>
      </c>
      <c r="N310" s="67"/>
      <c r="O310" s="67" t="s">
        <v>1605</v>
      </c>
      <c r="P310" s="67"/>
      <c r="Q310" s="67">
        <v>0</v>
      </c>
      <c r="R310" s="67">
        <v>0</v>
      </c>
      <c r="S310" s="67">
        <v>0</v>
      </c>
      <c r="T310" s="67">
        <v>0</v>
      </c>
      <c r="U310" s="67">
        <v>0</v>
      </c>
      <c r="V310" s="67">
        <v>0</v>
      </c>
      <c r="W310" s="67">
        <v>0</v>
      </c>
      <c r="X310" s="67">
        <v>0</v>
      </c>
      <c r="Y310" s="67">
        <v>0</v>
      </c>
      <c r="Z310" s="67">
        <v>0</v>
      </c>
      <c r="AA310" s="67">
        <v>0</v>
      </c>
      <c r="AB310" s="67">
        <v>0</v>
      </c>
      <c r="AC310" s="67">
        <v>0</v>
      </c>
      <c r="AD310" s="67">
        <v>0</v>
      </c>
      <c r="AE310" s="67">
        <v>0</v>
      </c>
      <c r="AF310" s="67">
        <v>0</v>
      </c>
      <c r="AG310" s="67">
        <v>0</v>
      </c>
      <c r="AH310" s="67">
        <v>0</v>
      </c>
      <c r="AI310" s="67">
        <v>0</v>
      </c>
      <c r="AJ310" s="67">
        <v>0</v>
      </c>
      <c r="AK310" s="67">
        <v>0</v>
      </c>
      <c r="AL310" s="67">
        <v>0</v>
      </c>
      <c r="AM310" s="67">
        <v>0</v>
      </c>
      <c r="AN310" s="67">
        <v>0</v>
      </c>
      <c r="AO310" s="67">
        <v>0</v>
      </c>
      <c r="AP310" s="67">
        <v>0</v>
      </c>
      <c r="AQ310" s="67">
        <v>0</v>
      </c>
      <c r="AR310" s="67">
        <v>0</v>
      </c>
      <c r="AS310" s="67">
        <v>0</v>
      </c>
      <c r="AT310" s="67"/>
      <c r="AU310" s="67"/>
      <c r="AV310" s="67"/>
      <c r="AW310" s="67">
        <v>0</v>
      </c>
      <c r="AX310" s="67">
        <v>0</v>
      </c>
      <c r="AY310" s="67"/>
      <c r="AZ310" s="67"/>
      <c r="BA310" s="67"/>
      <c r="BB310" s="67"/>
      <c r="BC310" s="67"/>
      <c r="BD310" s="67"/>
      <c r="BE310" s="67"/>
      <c r="BG310" s="67"/>
      <c r="BH310" s="67"/>
      <c r="BI310" s="67"/>
      <c r="BJ310" s="67">
        <v>0</v>
      </c>
      <c r="BK310" s="67"/>
      <c r="BL310" s="67"/>
      <c r="BP310" s="67"/>
      <c r="BQ310" s="67">
        <v>0</v>
      </c>
      <c r="BR310" s="67"/>
      <c r="BS310" s="67"/>
      <c r="BT310" s="67">
        <v>0</v>
      </c>
      <c r="BU310" s="67">
        <v>0</v>
      </c>
      <c r="BV310" s="67"/>
      <c r="BW310" s="67"/>
      <c r="BX310" s="67">
        <v>0</v>
      </c>
      <c r="BY310" s="67">
        <v>0</v>
      </c>
      <c r="BZ310" s="67">
        <v>0</v>
      </c>
      <c r="CA310" s="67"/>
      <c r="CB310" s="67">
        <v>0</v>
      </c>
      <c r="CC310" s="67"/>
      <c r="CD310" s="67"/>
      <c r="CE310" s="67">
        <v>0</v>
      </c>
      <c r="CF310" s="67"/>
      <c r="CG310" s="67"/>
      <c r="CH310" s="67"/>
      <c r="CI310" s="67"/>
      <c r="CJ310" s="67"/>
      <c r="CK310" s="67">
        <v>0</v>
      </c>
      <c r="CL310" s="67"/>
      <c r="CM310" s="67"/>
      <c r="CN310" s="67"/>
      <c r="CO310" s="67">
        <v>0</v>
      </c>
      <c r="CP310" s="67"/>
      <c r="CQ310" s="67"/>
      <c r="CR310" s="67"/>
      <c r="CS310" s="67"/>
      <c r="CT310" s="67"/>
      <c r="CU310" s="67">
        <v>0</v>
      </c>
      <c r="CV310" s="67"/>
      <c r="CW310" s="67"/>
      <c r="CX310" s="67"/>
      <c r="CY310" s="67">
        <v>0</v>
      </c>
      <c r="CZ310" s="67"/>
      <c r="DA310" s="67"/>
      <c r="DB310" s="67"/>
      <c r="DC310" s="67"/>
      <c r="DF310" s="67"/>
      <c r="DG310" s="67">
        <v>0</v>
      </c>
      <c r="DH310" s="67">
        <v>0</v>
      </c>
      <c r="DI310" s="67">
        <v>0</v>
      </c>
      <c r="DJ310" s="67"/>
      <c r="DK310" s="67">
        <v>0</v>
      </c>
      <c r="DL310" s="67">
        <v>0</v>
      </c>
      <c r="DM310" s="67">
        <v>0</v>
      </c>
      <c r="DN310" s="67"/>
      <c r="DO310" s="67"/>
      <c r="DP310" s="67"/>
      <c r="DQ310" s="67">
        <v>0</v>
      </c>
      <c r="DR310" s="67">
        <v>0</v>
      </c>
      <c r="DS310" s="67"/>
      <c r="DT310" s="67"/>
      <c r="DU310" s="67">
        <v>0</v>
      </c>
      <c r="DV310" s="67">
        <v>0</v>
      </c>
      <c r="DW310" s="67">
        <v>0</v>
      </c>
      <c r="DX310" s="67">
        <v>0</v>
      </c>
      <c r="DY310" s="67"/>
      <c r="DZ310" s="67">
        <v>0</v>
      </c>
      <c r="EA310" s="67"/>
      <c r="EB310" s="67">
        <v>0</v>
      </c>
      <c r="EC310" s="67"/>
      <c r="ED310" s="67">
        <v>0</v>
      </c>
      <c r="EE310" s="67"/>
      <c r="EF310" s="67">
        <v>0</v>
      </c>
      <c r="EG310" s="67"/>
      <c r="EH310" s="67"/>
      <c r="EI310" s="67"/>
      <c r="EJ310" s="67"/>
      <c r="EK310" s="67"/>
      <c r="EL310" s="67"/>
      <c r="EM310" s="67"/>
      <c r="EN310" s="67"/>
      <c r="EO310" s="67"/>
      <c r="EP310" s="67">
        <v>0</v>
      </c>
      <c r="EQ310" s="67">
        <v>0</v>
      </c>
      <c r="ER310" s="67">
        <v>0</v>
      </c>
      <c r="ES310" s="67"/>
      <c r="ET310">
        <v>0</v>
      </c>
      <c r="EX310" s="67"/>
      <c r="EY310" s="67"/>
      <c r="EZ310" s="67"/>
      <c r="FA310" s="67">
        <v>0</v>
      </c>
      <c r="FB310" s="67">
        <v>0</v>
      </c>
      <c r="FC310" s="67"/>
      <c r="FD310" s="67"/>
      <c r="FE310" s="67"/>
      <c r="FF310" s="67"/>
      <c r="FG310" s="67"/>
      <c r="FH310" s="67"/>
      <c r="FI310" s="67" t="s">
        <v>1734</v>
      </c>
    </row>
    <row r="311" spans="2:165" ht="24" x14ac:dyDescent="0.2">
      <c r="B311" s="67" t="s">
        <v>871</v>
      </c>
      <c r="C311" s="67"/>
      <c r="D311" s="67" t="s">
        <v>872</v>
      </c>
      <c r="E311" s="67" t="s">
        <v>13</v>
      </c>
      <c r="F311" s="67" t="s">
        <v>766</v>
      </c>
      <c r="G311" s="67" t="s">
        <v>694</v>
      </c>
      <c r="H311" s="67"/>
      <c r="I311" s="67" t="s">
        <v>43</v>
      </c>
      <c r="J311" s="67"/>
      <c r="K311" s="67"/>
      <c r="L311" s="67" t="s">
        <v>767</v>
      </c>
      <c r="M311" s="67" t="s">
        <v>752</v>
      </c>
      <c r="N311" s="67"/>
      <c r="O311" s="67" t="s">
        <v>1599</v>
      </c>
      <c r="P311" s="67"/>
      <c r="Q311" s="67">
        <v>600</v>
      </c>
      <c r="R311" s="67">
        <v>0</v>
      </c>
      <c r="S311" s="67">
        <v>0</v>
      </c>
      <c r="T311" s="67">
        <v>0</v>
      </c>
      <c r="U311" s="67">
        <v>0</v>
      </c>
      <c r="V311" s="67">
        <v>0</v>
      </c>
      <c r="W311" s="67">
        <v>0</v>
      </c>
      <c r="X311" s="67">
        <v>0</v>
      </c>
      <c r="Y311" s="67">
        <v>0</v>
      </c>
      <c r="Z311" s="67">
        <v>0</v>
      </c>
      <c r="AA311" s="67">
        <v>0</v>
      </c>
      <c r="AB311" s="67">
        <v>0</v>
      </c>
      <c r="AC311" s="67">
        <v>0</v>
      </c>
      <c r="AD311" s="67">
        <v>0</v>
      </c>
      <c r="AE311" s="67">
        <v>0</v>
      </c>
      <c r="AF311" s="67">
        <v>0</v>
      </c>
      <c r="AG311" s="67">
        <v>600</v>
      </c>
      <c r="AH311" s="67">
        <v>0</v>
      </c>
      <c r="AI311" s="67">
        <v>0</v>
      </c>
      <c r="AJ311" s="67">
        <v>0</v>
      </c>
      <c r="AK311" s="67">
        <v>0</v>
      </c>
      <c r="AL311" s="67">
        <v>0</v>
      </c>
      <c r="AM311" s="67">
        <v>0</v>
      </c>
      <c r="AN311" s="67">
        <v>0</v>
      </c>
      <c r="AO311" s="67">
        <v>0</v>
      </c>
      <c r="AP311" s="67">
        <v>0</v>
      </c>
      <c r="AQ311" s="67">
        <v>0</v>
      </c>
      <c r="AR311" s="67">
        <v>0</v>
      </c>
      <c r="AS311" s="67">
        <v>0</v>
      </c>
      <c r="AT311" s="67"/>
      <c r="AU311" s="67"/>
      <c r="AV311" s="67"/>
      <c r="AW311" s="67">
        <v>0</v>
      </c>
      <c r="AX311" s="67">
        <v>0</v>
      </c>
      <c r="AY311" s="67"/>
      <c r="AZ311" s="67"/>
      <c r="BA311" s="67"/>
      <c r="BB311" s="67"/>
      <c r="BC311" s="67"/>
      <c r="BD311" s="67"/>
      <c r="BE311" s="67"/>
      <c r="BG311" s="67"/>
      <c r="BH311" s="67"/>
      <c r="BI311" s="67"/>
      <c r="BJ311" s="67">
        <v>0</v>
      </c>
      <c r="BK311" s="67"/>
      <c r="BL311" s="67"/>
      <c r="BP311" s="67"/>
      <c r="BQ311" s="67">
        <v>0</v>
      </c>
      <c r="BR311" s="67"/>
      <c r="BS311" s="67"/>
      <c r="BT311" s="67">
        <v>0</v>
      </c>
      <c r="BU311" s="67">
        <v>0</v>
      </c>
      <c r="BV311" s="67"/>
      <c r="BW311" s="67"/>
      <c r="BX311" s="67">
        <v>0</v>
      </c>
      <c r="BY311" s="67">
        <v>0</v>
      </c>
      <c r="BZ311" s="67">
        <v>0</v>
      </c>
      <c r="CA311" s="67"/>
      <c r="CB311" s="67">
        <v>0</v>
      </c>
      <c r="CC311" s="67"/>
      <c r="CD311" s="67"/>
      <c r="CE311" s="67">
        <v>0</v>
      </c>
      <c r="CF311" s="67"/>
      <c r="CG311" s="67"/>
      <c r="CH311" s="67"/>
      <c r="CI311" s="67"/>
      <c r="CJ311" s="67"/>
      <c r="CK311" s="67">
        <v>0</v>
      </c>
      <c r="CL311" s="67"/>
      <c r="CM311" s="67"/>
      <c r="CN311" s="67"/>
      <c r="CO311" s="67">
        <v>0</v>
      </c>
      <c r="CP311" s="67"/>
      <c r="CQ311" s="67"/>
      <c r="CR311" s="67"/>
      <c r="CS311" s="67"/>
      <c r="CT311" s="67"/>
      <c r="CU311" s="67">
        <v>0</v>
      </c>
      <c r="CV311" s="67"/>
      <c r="CW311" s="67"/>
      <c r="CX311" s="67"/>
      <c r="CY311" s="67">
        <v>0</v>
      </c>
      <c r="CZ311" s="67"/>
      <c r="DA311" s="67"/>
      <c r="DB311" s="67"/>
      <c r="DC311" s="67"/>
      <c r="DF311" s="67"/>
      <c r="DG311" s="67">
        <v>0</v>
      </c>
      <c r="DH311" s="67">
        <v>0</v>
      </c>
      <c r="DI311" s="67">
        <v>0</v>
      </c>
      <c r="DJ311" s="67"/>
      <c r="DK311" s="67">
        <v>0</v>
      </c>
      <c r="DL311" s="67">
        <v>0</v>
      </c>
      <c r="DM311" s="67">
        <v>0</v>
      </c>
      <c r="DN311" s="67"/>
      <c r="DO311" s="67"/>
      <c r="DP311" s="67"/>
      <c r="DQ311" s="67">
        <v>0</v>
      </c>
      <c r="DR311" s="67">
        <v>0</v>
      </c>
      <c r="DS311" s="67"/>
      <c r="DT311" s="67"/>
      <c r="DU311" s="67">
        <v>0</v>
      </c>
      <c r="DV311" s="67">
        <v>0</v>
      </c>
      <c r="DW311" s="67">
        <v>0</v>
      </c>
      <c r="DX311" s="67">
        <v>0</v>
      </c>
      <c r="DY311" s="67"/>
      <c r="DZ311" s="67">
        <v>0</v>
      </c>
      <c r="EA311" s="67"/>
      <c r="EB311" s="67">
        <v>0</v>
      </c>
      <c r="EC311" s="67"/>
      <c r="ED311" s="67">
        <v>0</v>
      </c>
      <c r="EE311" s="67"/>
      <c r="EF311" s="67">
        <v>0</v>
      </c>
      <c r="EG311" s="67"/>
      <c r="EH311" s="67"/>
      <c r="EI311" s="67"/>
      <c r="EJ311" s="67"/>
      <c r="EK311" s="67"/>
      <c r="EL311" s="67"/>
      <c r="EM311" s="67"/>
      <c r="EN311" s="67"/>
      <c r="EO311" s="67"/>
      <c r="EP311" s="67">
        <v>0</v>
      </c>
      <c r="EQ311" s="67">
        <v>50</v>
      </c>
      <c r="ER311" s="67">
        <v>50</v>
      </c>
      <c r="ES311" s="67"/>
      <c r="ET311">
        <v>0</v>
      </c>
      <c r="EX311" s="67"/>
      <c r="EY311" s="67"/>
      <c r="EZ311" s="67"/>
      <c r="FA311" s="67">
        <v>600</v>
      </c>
      <c r="FB311" s="67">
        <v>0</v>
      </c>
      <c r="FC311" s="67"/>
      <c r="FD311" s="67"/>
      <c r="FE311" s="67"/>
      <c r="FF311" s="67"/>
      <c r="FG311" s="67"/>
      <c r="FH311" s="67"/>
      <c r="FI311" s="67" t="s">
        <v>1734</v>
      </c>
    </row>
    <row r="312" spans="2:165" ht="24" x14ac:dyDescent="0.2">
      <c r="B312" s="67" t="s">
        <v>874</v>
      </c>
      <c r="C312" s="67"/>
      <c r="D312" s="67" t="s">
        <v>875</v>
      </c>
      <c r="E312" s="67" t="s">
        <v>13</v>
      </c>
      <c r="F312" s="67" t="s">
        <v>766</v>
      </c>
      <c r="G312" s="67" t="s">
        <v>694</v>
      </c>
      <c r="H312" s="67"/>
      <c r="I312" s="67" t="s">
        <v>41</v>
      </c>
      <c r="J312" s="67"/>
      <c r="K312" s="67"/>
      <c r="L312" s="67" t="s">
        <v>767</v>
      </c>
      <c r="M312" s="67" t="s">
        <v>752</v>
      </c>
      <c r="N312" s="67"/>
      <c r="O312" s="67" t="s">
        <v>1605</v>
      </c>
      <c r="P312" s="67"/>
      <c r="Q312" s="67">
        <v>0</v>
      </c>
      <c r="R312" s="67">
        <v>0</v>
      </c>
      <c r="S312" s="67">
        <v>0</v>
      </c>
      <c r="T312" s="67">
        <v>0</v>
      </c>
      <c r="U312" s="67">
        <v>0</v>
      </c>
      <c r="V312" s="67">
        <v>0</v>
      </c>
      <c r="W312" s="67">
        <v>0</v>
      </c>
      <c r="X312" s="67">
        <v>0</v>
      </c>
      <c r="Y312" s="67">
        <v>0</v>
      </c>
      <c r="Z312" s="67">
        <v>0</v>
      </c>
      <c r="AA312" s="67">
        <v>0</v>
      </c>
      <c r="AB312" s="67">
        <v>0</v>
      </c>
      <c r="AC312" s="67">
        <v>0</v>
      </c>
      <c r="AD312" s="67">
        <v>0</v>
      </c>
      <c r="AE312" s="67">
        <v>0</v>
      </c>
      <c r="AF312" s="67">
        <v>0</v>
      </c>
      <c r="AG312" s="67">
        <v>0</v>
      </c>
      <c r="AH312" s="67">
        <v>0</v>
      </c>
      <c r="AI312" s="67">
        <v>0</v>
      </c>
      <c r="AJ312" s="67">
        <v>0</v>
      </c>
      <c r="AK312" s="67">
        <v>0</v>
      </c>
      <c r="AL312" s="67">
        <v>0</v>
      </c>
      <c r="AM312" s="67">
        <v>0</v>
      </c>
      <c r="AN312" s="67">
        <v>0</v>
      </c>
      <c r="AO312" s="67">
        <v>0</v>
      </c>
      <c r="AP312" s="67">
        <v>0</v>
      </c>
      <c r="AQ312" s="67">
        <v>0</v>
      </c>
      <c r="AR312" s="67">
        <v>0</v>
      </c>
      <c r="AS312" s="67">
        <v>0</v>
      </c>
      <c r="AT312" s="67"/>
      <c r="AU312" s="67"/>
      <c r="AV312" s="67"/>
      <c r="AW312" s="67">
        <v>0</v>
      </c>
      <c r="AX312" s="67">
        <v>0</v>
      </c>
      <c r="AY312" s="67"/>
      <c r="AZ312" s="67"/>
      <c r="BA312" s="67"/>
      <c r="BB312" s="67"/>
      <c r="BC312" s="67"/>
      <c r="BD312" s="67"/>
      <c r="BE312" s="67"/>
      <c r="BG312" s="67"/>
      <c r="BH312" s="67"/>
      <c r="BI312" s="67"/>
      <c r="BJ312" s="67">
        <v>0</v>
      </c>
      <c r="BK312" s="67"/>
      <c r="BL312" s="67"/>
      <c r="BP312" s="67"/>
      <c r="BQ312" s="67">
        <v>0</v>
      </c>
      <c r="BR312" s="67"/>
      <c r="BS312" s="67"/>
      <c r="BT312" s="67">
        <v>0</v>
      </c>
      <c r="BU312" s="67">
        <v>0</v>
      </c>
      <c r="BV312" s="67"/>
      <c r="BW312" s="67"/>
      <c r="BX312" s="67">
        <v>0</v>
      </c>
      <c r="BY312" s="67">
        <v>0</v>
      </c>
      <c r="BZ312" s="67">
        <v>0</v>
      </c>
      <c r="CA312" s="67"/>
      <c r="CB312" s="67">
        <v>0</v>
      </c>
      <c r="CC312" s="67"/>
      <c r="CD312" s="67"/>
      <c r="CE312" s="67">
        <v>0</v>
      </c>
      <c r="CF312" s="67"/>
      <c r="CG312" s="67"/>
      <c r="CH312" s="67"/>
      <c r="CI312" s="67"/>
      <c r="CJ312" s="67"/>
      <c r="CK312" s="67">
        <v>0</v>
      </c>
      <c r="CL312" s="67"/>
      <c r="CM312" s="67"/>
      <c r="CN312" s="67"/>
      <c r="CO312" s="67">
        <v>0</v>
      </c>
      <c r="CP312" s="67"/>
      <c r="CQ312" s="67"/>
      <c r="CR312" s="67"/>
      <c r="CS312" s="67"/>
      <c r="CT312" s="67"/>
      <c r="CU312" s="67">
        <v>0</v>
      </c>
      <c r="CV312" s="67"/>
      <c r="CW312" s="67"/>
      <c r="CX312" s="67"/>
      <c r="CY312" s="67">
        <v>0</v>
      </c>
      <c r="CZ312" s="67"/>
      <c r="DA312" s="67"/>
      <c r="DB312" s="67"/>
      <c r="DC312" s="67"/>
      <c r="DF312" s="67"/>
      <c r="DG312" s="67">
        <v>0</v>
      </c>
      <c r="DH312" s="67">
        <v>0</v>
      </c>
      <c r="DI312" s="67">
        <v>0</v>
      </c>
      <c r="DJ312" s="67"/>
      <c r="DK312" s="67">
        <v>0</v>
      </c>
      <c r="DL312" s="67">
        <v>0</v>
      </c>
      <c r="DM312" s="67">
        <v>0</v>
      </c>
      <c r="DN312" s="67"/>
      <c r="DO312" s="67"/>
      <c r="DP312" s="67"/>
      <c r="DQ312" s="67">
        <v>0</v>
      </c>
      <c r="DR312" s="67">
        <v>0</v>
      </c>
      <c r="DS312" s="67"/>
      <c r="DT312" s="67"/>
      <c r="DU312" s="67">
        <v>0</v>
      </c>
      <c r="DV312" s="67">
        <v>0</v>
      </c>
      <c r="DW312" s="67">
        <v>0</v>
      </c>
      <c r="DX312" s="67">
        <v>0</v>
      </c>
      <c r="DY312" s="67"/>
      <c r="DZ312" s="67">
        <v>0</v>
      </c>
      <c r="EA312" s="67"/>
      <c r="EB312" s="67">
        <v>0</v>
      </c>
      <c r="EC312" s="67"/>
      <c r="ED312" s="67">
        <v>0</v>
      </c>
      <c r="EE312" s="67"/>
      <c r="EF312" s="67">
        <v>0</v>
      </c>
      <c r="EG312" s="67"/>
      <c r="EH312" s="67"/>
      <c r="EI312" s="67"/>
      <c r="EJ312" s="67"/>
      <c r="EK312" s="67"/>
      <c r="EL312" s="67"/>
      <c r="EM312" s="67"/>
      <c r="EN312" s="67"/>
      <c r="EO312" s="67"/>
      <c r="EP312" s="67">
        <v>0</v>
      </c>
      <c r="EQ312" s="67">
        <v>0</v>
      </c>
      <c r="ER312" s="67">
        <v>0</v>
      </c>
      <c r="ES312" s="67"/>
      <c r="ET312">
        <v>0</v>
      </c>
      <c r="EX312" s="67"/>
      <c r="EY312" s="67"/>
      <c r="EZ312" s="67"/>
      <c r="FA312" s="67">
        <v>0</v>
      </c>
      <c r="FB312" s="67">
        <v>0</v>
      </c>
      <c r="FC312" s="67"/>
      <c r="FD312" s="67"/>
      <c r="FE312" s="67"/>
      <c r="FF312" s="67"/>
      <c r="FG312" s="67"/>
      <c r="FH312" s="67"/>
      <c r="FI312" s="67" t="s">
        <v>1734</v>
      </c>
    </row>
    <row r="313" spans="2:165" x14ac:dyDescent="0.2">
      <c r="B313" s="67" t="s">
        <v>876</v>
      </c>
      <c r="C313" s="67"/>
      <c r="D313" s="67" t="s">
        <v>877</v>
      </c>
      <c r="E313" s="67" t="s">
        <v>20</v>
      </c>
      <c r="F313" s="67"/>
      <c r="G313" s="67" t="s">
        <v>694</v>
      </c>
      <c r="H313" s="67"/>
      <c r="I313" s="67" t="s">
        <v>786</v>
      </c>
      <c r="J313" s="67"/>
      <c r="K313" s="67"/>
      <c r="L313" s="67" t="s">
        <v>767</v>
      </c>
      <c r="M313" s="67" t="s">
        <v>752</v>
      </c>
      <c r="N313" s="67"/>
      <c r="O313" s="67" t="s">
        <v>1610</v>
      </c>
      <c r="P313" s="67"/>
      <c r="Q313" s="67">
        <v>240</v>
      </c>
      <c r="R313" s="67">
        <v>0</v>
      </c>
      <c r="S313" s="67">
        <v>0</v>
      </c>
      <c r="T313" s="67">
        <v>0</v>
      </c>
      <c r="U313" s="67">
        <v>0</v>
      </c>
      <c r="V313" s="67">
        <v>0</v>
      </c>
      <c r="W313" s="67">
        <v>0</v>
      </c>
      <c r="X313" s="67">
        <v>0</v>
      </c>
      <c r="Y313" s="67">
        <v>0</v>
      </c>
      <c r="Z313" s="67">
        <v>0</v>
      </c>
      <c r="AA313" s="67">
        <v>0</v>
      </c>
      <c r="AB313" s="67">
        <v>0</v>
      </c>
      <c r="AC313" s="67">
        <v>0</v>
      </c>
      <c r="AD313" s="67">
        <v>0</v>
      </c>
      <c r="AE313" s="67">
        <v>0</v>
      </c>
      <c r="AF313" s="67">
        <v>0</v>
      </c>
      <c r="AG313" s="67">
        <v>240</v>
      </c>
      <c r="AH313" s="67">
        <v>0</v>
      </c>
      <c r="AI313" s="67">
        <v>0</v>
      </c>
      <c r="AJ313" s="67">
        <v>0</v>
      </c>
      <c r="AK313" s="67">
        <v>0</v>
      </c>
      <c r="AL313" s="67">
        <v>0</v>
      </c>
      <c r="AM313" s="67">
        <v>0</v>
      </c>
      <c r="AN313" s="67">
        <v>0</v>
      </c>
      <c r="AO313" s="67">
        <v>0</v>
      </c>
      <c r="AP313" s="67">
        <v>0</v>
      </c>
      <c r="AQ313" s="67">
        <v>0</v>
      </c>
      <c r="AR313" s="67">
        <v>0</v>
      </c>
      <c r="AS313" s="67">
        <v>0</v>
      </c>
      <c r="AT313" s="67"/>
      <c r="AU313" s="67"/>
      <c r="AV313" s="67"/>
      <c r="AW313" s="67">
        <v>0</v>
      </c>
      <c r="AX313" s="67">
        <v>0</v>
      </c>
      <c r="AY313" s="67"/>
      <c r="AZ313" s="67"/>
      <c r="BA313" s="67"/>
      <c r="BB313" s="67"/>
      <c r="BC313" s="67"/>
      <c r="BD313" s="67"/>
      <c r="BE313" s="67"/>
      <c r="BG313" s="67"/>
      <c r="BH313" s="67"/>
      <c r="BI313" s="67"/>
      <c r="BJ313" s="67">
        <v>0</v>
      </c>
      <c r="BK313" s="67"/>
      <c r="BL313" s="67"/>
      <c r="BP313" s="67"/>
      <c r="BQ313" s="67">
        <v>0</v>
      </c>
      <c r="BR313" s="67"/>
      <c r="BS313" s="67"/>
      <c r="BT313" s="67">
        <v>0</v>
      </c>
      <c r="BU313" s="67">
        <v>0</v>
      </c>
      <c r="BV313" s="67"/>
      <c r="BW313" s="67"/>
      <c r="BX313" s="67">
        <v>0</v>
      </c>
      <c r="BY313" s="67">
        <v>0</v>
      </c>
      <c r="BZ313" s="67">
        <v>0</v>
      </c>
      <c r="CA313" s="67"/>
      <c r="CB313" s="67">
        <v>0</v>
      </c>
      <c r="CC313" s="67"/>
      <c r="CD313" s="67"/>
      <c r="CE313" s="67">
        <v>0</v>
      </c>
      <c r="CF313" s="67"/>
      <c r="CG313" s="67"/>
      <c r="CH313" s="67"/>
      <c r="CI313" s="67"/>
      <c r="CJ313" s="67"/>
      <c r="CK313" s="67">
        <v>0</v>
      </c>
      <c r="CL313" s="67"/>
      <c r="CM313" s="67"/>
      <c r="CN313" s="67"/>
      <c r="CO313" s="67">
        <v>0</v>
      </c>
      <c r="CP313" s="67"/>
      <c r="CQ313" s="67"/>
      <c r="CR313" s="67"/>
      <c r="CS313" s="67"/>
      <c r="CT313" s="67"/>
      <c r="CU313" s="67">
        <v>0</v>
      </c>
      <c r="CV313" s="67"/>
      <c r="CW313" s="67"/>
      <c r="CX313" s="67"/>
      <c r="CY313" s="67">
        <v>0</v>
      </c>
      <c r="CZ313" s="67"/>
      <c r="DA313" s="67"/>
      <c r="DB313" s="67"/>
      <c r="DC313" s="67"/>
      <c r="DF313" s="67"/>
      <c r="DG313" s="67">
        <v>0</v>
      </c>
      <c r="DH313" s="67">
        <v>0</v>
      </c>
      <c r="DI313" s="67">
        <v>0</v>
      </c>
      <c r="DJ313" s="67"/>
      <c r="DK313" s="67">
        <v>0</v>
      </c>
      <c r="DL313" s="67">
        <v>0</v>
      </c>
      <c r="DM313" s="67">
        <v>0</v>
      </c>
      <c r="DN313" s="67"/>
      <c r="DO313" s="67"/>
      <c r="DP313" s="67"/>
      <c r="DQ313" s="67">
        <v>0</v>
      </c>
      <c r="DR313" s="67">
        <v>0</v>
      </c>
      <c r="DS313" s="67"/>
      <c r="DT313" s="67"/>
      <c r="DU313" s="67">
        <v>0</v>
      </c>
      <c r="DV313" s="67">
        <v>0</v>
      </c>
      <c r="DW313" s="67">
        <v>0</v>
      </c>
      <c r="DX313" s="67">
        <v>0</v>
      </c>
      <c r="DY313" s="67"/>
      <c r="DZ313" s="67">
        <v>0</v>
      </c>
      <c r="EA313" s="67"/>
      <c r="EB313" s="67">
        <v>0</v>
      </c>
      <c r="EC313" s="67"/>
      <c r="ED313" s="67">
        <v>0</v>
      </c>
      <c r="EE313" s="67"/>
      <c r="EF313" s="67">
        <v>0</v>
      </c>
      <c r="EG313" s="67"/>
      <c r="EH313" s="67"/>
      <c r="EI313" s="67"/>
      <c r="EJ313" s="67"/>
      <c r="EK313" s="67"/>
      <c r="EL313" s="67"/>
      <c r="EM313" s="67"/>
      <c r="EN313" s="67"/>
      <c r="EO313" s="67"/>
      <c r="EP313" s="67">
        <v>0</v>
      </c>
      <c r="EQ313" s="67">
        <v>0</v>
      </c>
      <c r="ER313" s="67">
        <v>0</v>
      </c>
      <c r="ES313" s="67"/>
      <c r="ET313">
        <v>0</v>
      </c>
      <c r="EX313" s="67"/>
      <c r="EY313" s="67"/>
      <c r="EZ313" s="67"/>
      <c r="FA313" s="67">
        <v>240</v>
      </c>
      <c r="FB313" s="67">
        <v>0</v>
      </c>
      <c r="FC313" s="67"/>
      <c r="FD313" s="67"/>
      <c r="FE313" s="67"/>
      <c r="FF313" s="67"/>
      <c r="FG313" s="67"/>
      <c r="FH313" s="67"/>
      <c r="FI313" s="67" t="s">
        <v>1734</v>
      </c>
    </row>
    <row r="314" spans="2:165" ht="24" x14ac:dyDescent="0.2">
      <c r="B314" s="67" t="s">
        <v>878</v>
      </c>
      <c r="C314" s="67"/>
      <c r="D314" s="67" t="s">
        <v>879</v>
      </c>
      <c r="E314" s="67" t="s">
        <v>13</v>
      </c>
      <c r="F314" s="67" t="s">
        <v>810</v>
      </c>
      <c r="G314" s="67" t="s">
        <v>694</v>
      </c>
      <c r="H314" s="67"/>
      <c r="I314" s="67" t="s">
        <v>41</v>
      </c>
      <c r="J314" s="67"/>
      <c r="K314" s="67"/>
      <c r="L314" s="67" t="s">
        <v>779</v>
      </c>
      <c r="M314" s="67" t="s">
        <v>752</v>
      </c>
      <c r="N314" s="67"/>
      <c r="O314" s="67" t="s">
        <v>1605</v>
      </c>
      <c r="P314" s="67"/>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v>0</v>
      </c>
      <c r="AK314" s="67">
        <v>0</v>
      </c>
      <c r="AL314" s="67">
        <v>0</v>
      </c>
      <c r="AM314" s="67">
        <v>0</v>
      </c>
      <c r="AN314" s="67">
        <v>0</v>
      </c>
      <c r="AO314" s="67">
        <v>0</v>
      </c>
      <c r="AP314" s="67">
        <v>0</v>
      </c>
      <c r="AQ314" s="67">
        <v>0</v>
      </c>
      <c r="AR314" s="67">
        <v>0</v>
      </c>
      <c r="AS314" s="67">
        <v>0</v>
      </c>
      <c r="AT314" s="67"/>
      <c r="AU314" s="67"/>
      <c r="AV314" s="67"/>
      <c r="AW314" s="67">
        <v>0</v>
      </c>
      <c r="AX314" s="67">
        <v>0</v>
      </c>
      <c r="AY314" s="67"/>
      <c r="AZ314" s="67"/>
      <c r="BA314" s="67"/>
      <c r="BB314" s="67"/>
      <c r="BC314" s="67"/>
      <c r="BD314" s="67"/>
      <c r="BE314" s="67"/>
      <c r="BG314" s="67"/>
      <c r="BH314" s="67"/>
      <c r="BI314" s="67"/>
      <c r="BJ314" s="67">
        <v>0</v>
      </c>
      <c r="BK314" s="67"/>
      <c r="BL314" s="67"/>
      <c r="BP314" s="67"/>
      <c r="BQ314" s="67">
        <v>0</v>
      </c>
      <c r="BR314" s="67"/>
      <c r="BS314" s="67"/>
      <c r="BT314" s="67">
        <v>0</v>
      </c>
      <c r="BU314" s="67">
        <v>0</v>
      </c>
      <c r="BV314" s="67"/>
      <c r="BW314" s="67"/>
      <c r="BX314" s="67">
        <v>0</v>
      </c>
      <c r="BY314" s="67">
        <v>0</v>
      </c>
      <c r="BZ314" s="67">
        <v>0</v>
      </c>
      <c r="CA314" s="67"/>
      <c r="CB314" s="67">
        <v>0</v>
      </c>
      <c r="CC314" s="67"/>
      <c r="CD314" s="67"/>
      <c r="CE314" s="67">
        <v>0</v>
      </c>
      <c r="CF314" s="67"/>
      <c r="CG314" s="67"/>
      <c r="CH314" s="67"/>
      <c r="CI314" s="67"/>
      <c r="CJ314" s="67"/>
      <c r="CK314" s="67">
        <v>0</v>
      </c>
      <c r="CL314" s="67"/>
      <c r="CM314" s="67"/>
      <c r="CN314" s="67"/>
      <c r="CO314" s="67">
        <v>0</v>
      </c>
      <c r="CP314" s="67"/>
      <c r="CQ314" s="67"/>
      <c r="CR314" s="67"/>
      <c r="CS314" s="67"/>
      <c r="CT314" s="67"/>
      <c r="CU314" s="67">
        <v>0</v>
      </c>
      <c r="CV314" s="67"/>
      <c r="CW314" s="67"/>
      <c r="CX314" s="67"/>
      <c r="CY314" s="67">
        <v>0</v>
      </c>
      <c r="CZ314" s="67"/>
      <c r="DA314" s="67"/>
      <c r="DB314" s="67"/>
      <c r="DC314" s="67"/>
      <c r="DF314" s="67"/>
      <c r="DG314" s="67">
        <v>0</v>
      </c>
      <c r="DH314" s="67">
        <v>0</v>
      </c>
      <c r="DI314" s="67">
        <v>0</v>
      </c>
      <c r="DJ314" s="67"/>
      <c r="DK314" s="67">
        <v>0</v>
      </c>
      <c r="DL314" s="67">
        <v>0</v>
      </c>
      <c r="DM314" s="67">
        <v>0</v>
      </c>
      <c r="DN314" s="67"/>
      <c r="DO314" s="67"/>
      <c r="DP314" s="67"/>
      <c r="DQ314" s="67">
        <v>0</v>
      </c>
      <c r="DR314" s="67">
        <v>0</v>
      </c>
      <c r="DS314" s="67"/>
      <c r="DT314" s="67"/>
      <c r="DU314" s="67">
        <v>0</v>
      </c>
      <c r="DV314" s="67">
        <v>0</v>
      </c>
      <c r="DW314" s="67">
        <v>0</v>
      </c>
      <c r="DX314" s="67">
        <v>0</v>
      </c>
      <c r="DY314" s="67"/>
      <c r="DZ314" s="67">
        <v>0</v>
      </c>
      <c r="EA314" s="67"/>
      <c r="EB314" s="67">
        <v>0</v>
      </c>
      <c r="EC314" s="67"/>
      <c r="ED314" s="67">
        <v>0</v>
      </c>
      <c r="EE314" s="67"/>
      <c r="EF314" s="67">
        <v>0</v>
      </c>
      <c r="EG314" s="67"/>
      <c r="EH314" s="67"/>
      <c r="EI314" s="67"/>
      <c r="EJ314" s="67"/>
      <c r="EK314" s="67"/>
      <c r="EL314" s="67"/>
      <c r="EM314" s="67"/>
      <c r="EN314" s="67"/>
      <c r="EO314" s="67"/>
      <c r="EP314" s="67">
        <v>0</v>
      </c>
      <c r="EQ314" s="67">
        <v>0</v>
      </c>
      <c r="ER314" s="67">
        <v>0</v>
      </c>
      <c r="ES314" s="67"/>
      <c r="ET314">
        <v>0</v>
      </c>
      <c r="EX314" s="67"/>
      <c r="EY314" s="67"/>
      <c r="EZ314" s="67"/>
      <c r="FA314" s="67">
        <v>0</v>
      </c>
      <c r="FB314" s="67">
        <v>0</v>
      </c>
      <c r="FC314" s="67"/>
      <c r="FD314" s="67"/>
      <c r="FE314" s="67"/>
      <c r="FF314" s="67"/>
      <c r="FG314" s="67"/>
      <c r="FH314" s="67"/>
      <c r="FI314" s="67" t="s">
        <v>1734</v>
      </c>
    </row>
    <row r="315" spans="2:165" ht="24" x14ac:dyDescent="0.2">
      <c r="B315" s="67" t="s">
        <v>881</v>
      </c>
      <c r="C315" s="67"/>
      <c r="D315" s="67" t="s">
        <v>882</v>
      </c>
      <c r="E315" s="67" t="s">
        <v>13</v>
      </c>
      <c r="F315" s="67" t="s">
        <v>810</v>
      </c>
      <c r="G315" s="67" t="s">
        <v>694</v>
      </c>
      <c r="H315" s="67"/>
      <c r="I315" s="67" t="s">
        <v>41</v>
      </c>
      <c r="J315" s="67"/>
      <c r="K315" s="67"/>
      <c r="L315" s="67" t="s">
        <v>779</v>
      </c>
      <c r="M315" s="67" t="s">
        <v>752</v>
      </c>
      <c r="N315" s="67"/>
      <c r="O315" s="67" t="s">
        <v>1599</v>
      </c>
      <c r="P315" s="67"/>
      <c r="Q315" s="67">
        <v>140</v>
      </c>
      <c r="R315" s="67">
        <v>0</v>
      </c>
      <c r="S315" s="67">
        <v>0</v>
      </c>
      <c r="T315" s="67">
        <v>0</v>
      </c>
      <c r="U315" s="67">
        <v>0</v>
      </c>
      <c r="V315" s="67">
        <v>0</v>
      </c>
      <c r="W315" s="67">
        <v>40</v>
      </c>
      <c r="X315" s="67">
        <v>0</v>
      </c>
      <c r="Y315" s="67">
        <v>0</v>
      </c>
      <c r="Z315" s="67">
        <v>0</v>
      </c>
      <c r="AA315" s="67">
        <v>0</v>
      </c>
      <c r="AB315" s="67">
        <v>0</v>
      </c>
      <c r="AC315" s="67">
        <v>0</v>
      </c>
      <c r="AD315" s="67">
        <v>0</v>
      </c>
      <c r="AE315" s="67">
        <v>0</v>
      </c>
      <c r="AF315" s="67">
        <v>0</v>
      </c>
      <c r="AG315" s="67">
        <v>0</v>
      </c>
      <c r="AH315" s="67">
        <v>0</v>
      </c>
      <c r="AI315" s="67">
        <v>100</v>
      </c>
      <c r="AJ315" s="67">
        <v>0</v>
      </c>
      <c r="AK315" s="67">
        <v>0</v>
      </c>
      <c r="AL315" s="67">
        <v>0</v>
      </c>
      <c r="AM315" s="67">
        <v>0</v>
      </c>
      <c r="AN315" s="67">
        <v>0</v>
      </c>
      <c r="AO315" s="67">
        <v>0</v>
      </c>
      <c r="AP315" s="67">
        <v>0</v>
      </c>
      <c r="AQ315" s="67">
        <v>0</v>
      </c>
      <c r="AR315" s="67">
        <v>0</v>
      </c>
      <c r="AS315" s="67">
        <v>0</v>
      </c>
      <c r="AT315" s="67"/>
      <c r="AU315" s="67"/>
      <c r="AV315" s="67"/>
      <c r="AW315" s="67">
        <v>0</v>
      </c>
      <c r="AX315" s="67">
        <v>0</v>
      </c>
      <c r="AY315" s="67"/>
      <c r="AZ315" s="67"/>
      <c r="BA315" s="67"/>
      <c r="BB315" s="67"/>
      <c r="BC315" s="67"/>
      <c r="BD315" s="67"/>
      <c r="BE315" s="67"/>
      <c r="BG315" s="67"/>
      <c r="BH315" s="67"/>
      <c r="BI315" s="67"/>
      <c r="BJ315" s="67">
        <v>0</v>
      </c>
      <c r="BK315" s="67"/>
      <c r="BL315" s="67"/>
      <c r="BP315" s="67"/>
      <c r="BQ315" s="67">
        <v>0</v>
      </c>
      <c r="BR315" s="67"/>
      <c r="BS315" s="67"/>
      <c r="BT315" s="67">
        <v>0</v>
      </c>
      <c r="BU315" s="67">
        <v>0</v>
      </c>
      <c r="BV315" s="67"/>
      <c r="BW315" s="67"/>
      <c r="BX315" s="67">
        <v>0</v>
      </c>
      <c r="BY315" s="67">
        <v>0</v>
      </c>
      <c r="BZ315" s="67">
        <v>0</v>
      </c>
      <c r="CA315" s="67"/>
      <c r="CB315" s="67">
        <v>0</v>
      </c>
      <c r="CC315" s="67"/>
      <c r="CD315" s="67"/>
      <c r="CE315" s="67">
        <v>0</v>
      </c>
      <c r="CF315" s="67"/>
      <c r="CG315" s="67"/>
      <c r="CH315" s="67"/>
      <c r="CI315" s="67"/>
      <c r="CJ315" s="67"/>
      <c r="CK315" s="67">
        <v>0</v>
      </c>
      <c r="CL315" s="67"/>
      <c r="CM315" s="67"/>
      <c r="CN315" s="67"/>
      <c r="CO315" s="67">
        <v>0</v>
      </c>
      <c r="CP315" s="67"/>
      <c r="CQ315" s="67"/>
      <c r="CR315" s="67"/>
      <c r="CS315" s="67"/>
      <c r="CT315" s="67"/>
      <c r="CU315" s="67">
        <v>0</v>
      </c>
      <c r="CV315" s="67"/>
      <c r="CW315" s="67"/>
      <c r="CX315" s="67"/>
      <c r="CY315" s="67">
        <v>0</v>
      </c>
      <c r="CZ315" s="67"/>
      <c r="DA315" s="67"/>
      <c r="DB315" s="67"/>
      <c r="DC315" s="67"/>
      <c r="DF315" s="67"/>
      <c r="DG315" s="67">
        <v>0</v>
      </c>
      <c r="DH315" s="67">
        <v>0</v>
      </c>
      <c r="DI315" s="67">
        <v>0</v>
      </c>
      <c r="DJ315" s="67"/>
      <c r="DK315" s="67">
        <v>0</v>
      </c>
      <c r="DL315" s="67">
        <v>0</v>
      </c>
      <c r="DM315" s="67">
        <v>0</v>
      </c>
      <c r="DN315" s="67"/>
      <c r="DO315" s="67"/>
      <c r="DP315" s="67"/>
      <c r="DQ315" s="67">
        <v>0</v>
      </c>
      <c r="DR315" s="67">
        <v>0</v>
      </c>
      <c r="DS315" s="67"/>
      <c r="DT315" s="67"/>
      <c r="DU315" s="67">
        <v>0</v>
      </c>
      <c r="DV315" s="67">
        <v>0</v>
      </c>
      <c r="DW315" s="67">
        <v>0</v>
      </c>
      <c r="DX315" s="67">
        <v>0</v>
      </c>
      <c r="DY315" s="67"/>
      <c r="DZ315" s="67">
        <v>0</v>
      </c>
      <c r="EA315" s="67"/>
      <c r="EB315" s="67">
        <v>0</v>
      </c>
      <c r="EC315" s="67"/>
      <c r="ED315" s="67">
        <v>0</v>
      </c>
      <c r="EE315" s="67"/>
      <c r="EF315" s="67">
        <v>0</v>
      </c>
      <c r="EG315" s="67"/>
      <c r="EH315" s="67"/>
      <c r="EI315" s="67"/>
      <c r="EJ315" s="67"/>
      <c r="EK315" s="67"/>
      <c r="EL315" s="67"/>
      <c r="EM315" s="67"/>
      <c r="EN315" s="67"/>
      <c r="EO315" s="67"/>
      <c r="EP315" s="67">
        <v>0</v>
      </c>
      <c r="EQ315" s="67">
        <v>0</v>
      </c>
      <c r="ER315" s="67">
        <v>0</v>
      </c>
      <c r="ES315" s="67"/>
      <c r="ET315">
        <v>0</v>
      </c>
      <c r="EX315" s="67"/>
      <c r="EY315" s="67"/>
      <c r="EZ315" s="67"/>
      <c r="FA315" s="67">
        <v>140</v>
      </c>
      <c r="FB315" s="67">
        <v>0</v>
      </c>
      <c r="FC315" s="67"/>
      <c r="FD315" s="67"/>
      <c r="FE315" s="67"/>
      <c r="FF315" s="67"/>
      <c r="FG315" s="67"/>
      <c r="FH315" s="67"/>
      <c r="FI315" s="67" t="s">
        <v>1734</v>
      </c>
    </row>
    <row r="316" spans="2:165" ht="24" x14ac:dyDescent="0.2">
      <c r="B316" s="67" t="s">
        <v>883</v>
      </c>
      <c r="C316" s="67"/>
      <c r="D316" s="67" t="s">
        <v>884</v>
      </c>
      <c r="E316" s="67" t="s">
        <v>13</v>
      </c>
      <c r="F316" s="67" t="s">
        <v>810</v>
      </c>
      <c r="G316" s="67" t="s">
        <v>694</v>
      </c>
      <c r="H316" s="67"/>
      <c r="I316" s="67" t="s">
        <v>41</v>
      </c>
      <c r="J316" s="67"/>
      <c r="K316" s="67"/>
      <c r="L316" s="67" t="s">
        <v>779</v>
      </c>
      <c r="M316" s="67" t="s">
        <v>752</v>
      </c>
      <c r="N316" s="67"/>
      <c r="O316" s="67" t="s">
        <v>1599</v>
      </c>
      <c r="P316" s="67"/>
      <c r="Q316" s="67">
        <v>820</v>
      </c>
      <c r="R316" s="67">
        <v>0</v>
      </c>
      <c r="S316" s="67">
        <v>0</v>
      </c>
      <c r="T316" s="67">
        <v>0</v>
      </c>
      <c r="U316" s="67">
        <v>0</v>
      </c>
      <c r="V316" s="67">
        <v>0</v>
      </c>
      <c r="W316" s="67">
        <v>820</v>
      </c>
      <c r="X316" s="67">
        <v>0</v>
      </c>
      <c r="Y316" s="67">
        <v>0</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67">
        <v>0</v>
      </c>
      <c r="AQ316" s="67">
        <v>0</v>
      </c>
      <c r="AR316" s="67">
        <v>0</v>
      </c>
      <c r="AS316" s="67">
        <v>0</v>
      </c>
      <c r="AT316" s="67"/>
      <c r="AU316" s="67"/>
      <c r="AV316" s="67"/>
      <c r="AW316" s="67">
        <v>0</v>
      </c>
      <c r="AX316" s="67">
        <v>0</v>
      </c>
      <c r="AY316" s="67"/>
      <c r="AZ316" s="67"/>
      <c r="BA316" s="67"/>
      <c r="BB316" s="67"/>
      <c r="BC316" s="67"/>
      <c r="BD316" s="67"/>
      <c r="BE316" s="67"/>
      <c r="BG316" s="67"/>
      <c r="BH316" s="67"/>
      <c r="BI316" s="67"/>
      <c r="BJ316" s="67">
        <v>0</v>
      </c>
      <c r="BK316" s="67"/>
      <c r="BL316" s="67"/>
      <c r="BP316" s="67"/>
      <c r="BQ316" s="67">
        <v>0</v>
      </c>
      <c r="BR316" s="67"/>
      <c r="BS316" s="67"/>
      <c r="BT316" s="67">
        <v>0</v>
      </c>
      <c r="BU316" s="67">
        <v>0</v>
      </c>
      <c r="BV316" s="67"/>
      <c r="BW316" s="67"/>
      <c r="BX316" s="67">
        <v>0</v>
      </c>
      <c r="BY316" s="67">
        <v>0</v>
      </c>
      <c r="BZ316" s="67">
        <v>0</v>
      </c>
      <c r="CA316" s="67"/>
      <c r="CB316" s="67">
        <v>0</v>
      </c>
      <c r="CC316" s="67"/>
      <c r="CD316" s="67"/>
      <c r="CE316" s="67">
        <v>0</v>
      </c>
      <c r="CF316" s="67"/>
      <c r="CG316" s="67"/>
      <c r="CH316" s="67"/>
      <c r="CI316" s="67"/>
      <c r="CJ316" s="67"/>
      <c r="CK316" s="67">
        <v>0</v>
      </c>
      <c r="CL316" s="67"/>
      <c r="CM316" s="67"/>
      <c r="CN316" s="67"/>
      <c r="CO316" s="67">
        <v>0</v>
      </c>
      <c r="CP316" s="67"/>
      <c r="CQ316" s="67"/>
      <c r="CR316" s="67"/>
      <c r="CS316" s="67"/>
      <c r="CT316" s="67"/>
      <c r="CU316" s="67">
        <v>0</v>
      </c>
      <c r="CV316" s="67"/>
      <c r="CW316" s="67"/>
      <c r="CX316" s="67"/>
      <c r="CY316" s="67">
        <v>0</v>
      </c>
      <c r="CZ316" s="67"/>
      <c r="DA316" s="67"/>
      <c r="DB316" s="67"/>
      <c r="DC316" s="67"/>
      <c r="DF316" s="67"/>
      <c r="DG316" s="67">
        <v>0</v>
      </c>
      <c r="DH316" s="67">
        <v>0</v>
      </c>
      <c r="DI316" s="67">
        <v>0</v>
      </c>
      <c r="DJ316" s="67"/>
      <c r="DK316" s="67">
        <v>0</v>
      </c>
      <c r="DL316" s="67">
        <v>0</v>
      </c>
      <c r="DM316" s="67">
        <v>0</v>
      </c>
      <c r="DN316" s="67"/>
      <c r="DO316" s="67"/>
      <c r="DP316" s="67"/>
      <c r="DQ316" s="67">
        <v>0</v>
      </c>
      <c r="DR316" s="67">
        <v>0</v>
      </c>
      <c r="DS316" s="67"/>
      <c r="DT316" s="67"/>
      <c r="DU316" s="67">
        <v>0</v>
      </c>
      <c r="DV316" s="67">
        <v>0</v>
      </c>
      <c r="DW316" s="67">
        <v>0</v>
      </c>
      <c r="DX316" s="67">
        <v>0</v>
      </c>
      <c r="DY316" s="67"/>
      <c r="DZ316" s="67">
        <v>0</v>
      </c>
      <c r="EA316" s="67"/>
      <c r="EB316" s="67">
        <v>0</v>
      </c>
      <c r="EC316" s="67"/>
      <c r="ED316" s="67">
        <v>0</v>
      </c>
      <c r="EE316" s="67"/>
      <c r="EF316" s="67">
        <v>0</v>
      </c>
      <c r="EG316" s="67"/>
      <c r="EH316" s="67"/>
      <c r="EI316" s="67"/>
      <c r="EJ316" s="67"/>
      <c r="EK316" s="67"/>
      <c r="EL316" s="67"/>
      <c r="EM316" s="67"/>
      <c r="EN316" s="67"/>
      <c r="EO316" s="67"/>
      <c r="EP316" s="67">
        <v>0</v>
      </c>
      <c r="EQ316" s="67">
        <v>0</v>
      </c>
      <c r="ER316" s="67">
        <v>0</v>
      </c>
      <c r="ES316" s="67"/>
      <c r="ET316">
        <v>0</v>
      </c>
      <c r="EX316" s="67"/>
      <c r="EY316" s="67"/>
      <c r="EZ316" s="67"/>
      <c r="FA316" s="67">
        <v>820</v>
      </c>
      <c r="FB316" s="67">
        <v>0</v>
      </c>
      <c r="FC316" s="67"/>
      <c r="FD316" s="67"/>
      <c r="FE316" s="67"/>
      <c r="FF316" s="67"/>
      <c r="FG316" s="67"/>
      <c r="FH316" s="67"/>
      <c r="FI316" s="67" t="s">
        <v>1734</v>
      </c>
    </row>
    <row r="317" spans="2:165" ht="24" x14ac:dyDescent="0.2">
      <c r="B317" s="67" t="s">
        <v>885</v>
      </c>
      <c r="C317" s="67"/>
      <c r="D317" s="67" t="s">
        <v>886</v>
      </c>
      <c r="E317" s="67" t="s">
        <v>13</v>
      </c>
      <c r="F317" s="67" t="s">
        <v>766</v>
      </c>
      <c r="G317" s="67" t="s">
        <v>694</v>
      </c>
      <c r="H317" s="67"/>
      <c r="I317" s="67" t="s">
        <v>41</v>
      </c>
      <c r="J317" s="67"/>
      <c r="K317" s="67"/>
      <c r="L317" s="67" t="s">
        <v>767</v>
      </c>
      <c r="M317" s="67" t="s">
        <v>752</v>
      </c>
      <c r="N317" s="67"/>
      <c r="O317" s="67" t="s">
        <v>1599</v>
      </c>
      <c r="P317" s="67"/>
      <c r="Q317" s="67">
        <v>300</v>
      </c>
      <c r="R317" s="67">
        <v>0</v>
      </c>
      <c r="S317" s="67">
        <v>0</v>
      </c>
      <c r="T317" s="67">
        <v>0</v>
      </c>
      <c r="U317" s="67">
        <v>0</v>
      </c>
      <c r="V317" s="67">
        <v>0</v>
      </c>
      <c r="W317" s="67">
        <v>0</v>
      </c>
      <c r="X317" s="67">
        <v>0</v>
      </c>
      <c r="Y317" s="67">
        <v>0</v>
      </c>
      <c r="Z317" s="67">
        <v>0</v>
      </c>
      <c r="AA317" s="67">
        <v>0</v>
      </c>
      <c r="AB317" s="67">
        <v>0</v>
      </c>
      <c r="AC317" s="67">
        <v>0</v>
      </c>
      <c r="AD317" s="67">
        <v>0</v>
      </c>
      <c r="AE317" s="67">
        <v>0</v>
      </c>
      <c r="AF317" s="67">
        <v>0</v>
      </c>
      <c r="AG317" s="67">
        <v>300</v>
      </c>
      <c r="AH317" s="67">
        <v>0</v>
      </c>
      <c r="AI317" s="67">
        <v>0</v>
      </c>
      <c r="AJ317" s="67">
        <v>0</v>
      </c>
      <c r="AK317" s="67">
        <v>0</v>
      </c>
      <c r="AL317" s="67">
        <v>0</v>
      </c>
      <c r="AM317" s="67">
        <v>0</v>
      </c>
      <c r="AN317" s="67">
        <v>0</v>
      </c>
      <c r="AO317" s="67">
        <v>0</v>
      </c>
      <c r="AP317" s="67">
        <v>0</v>
      </c>
      <c r="AQ317" s="67">
        <v>0</v>
      </c>
      <c r="AR317" s="67">
        <v>0</v>
      </c>
      <c r="AS317" s="67">
        <v>0</v>
      </c>
      <c r="AT317" s="67"/>
      <c r="AU317" s="67"/>
      <c r="AV317" s="67"/>
      <c r="AW317" s="67">
        <v>0</v>
      </c>
      <c r="AX317" s="67">
        <v>0</v>
      </c>
      <c r="AY317" s="67"/>
      <c r="AZ317" s="67"/>
      <c r="BA317" s="67"/>
      <c r="BB317" s="67"/>
      <c r="BC317" s="67"/>
      <c r="BD317" s="67"/>
      <c r="BE317" s="67"/>
      <c r="BG317" s="67"/>
      <c r="BH317" s="67"/>
      <c r="BI317" s="67"/>
      <c r="BJ317" s="67">
        <v>0</v>
      </c>
      <c r="BK317" s="67"/>
      <c r="BL317" s="67"/>
      <c r="BP317" s="67"/>
      <c r="BQ317" s="67">
        <v>0</v>
      </c>
      <c r="BR317" s="67"/>
      <c r="BS317" s="67"/>
      <c r="BT317" s="67">
        <v>0</v>
      </c>
      <c r="BU317" s="67">
        <v>0</v>
      </c>
      <c r="BV317" s="67"/>
      <c r="BW317" s="67"/>
      <c r="BX317" s="67">
        <v>0</v>
      </c>
      <c r="BY317" s="67">
        <v>0</v>
      </c>
      <c r="BZ317" s="67">
        <v>0</v>
      </c>
      <c r="CA317" s="67"/>
      <c r="CB317" s="67">
        <v>0</v>
      </c>
      <c r="CC317" s="67"/>
      <c r="CD317" s="67"/>
      <c r="CE317" s="67">
        <v>0</v>
      </c>
      <c r="CF317" s="67"/>
      <c r="CG317" s="67"/>
      <c r="CH317" s="67"/>
      <c r="CI317" s="67"/>
      <c r="CJ317" s="67"/>
      <c r="CK317" s="67">
        <v>0</v>
      </c>
      <c r="CL317" s="67"/>
      <c r="CM317" s="67"/>
      <c r="CN317" s="67"/>
      <c r="CO317" s="67">
        <v>0</v>
      </c>
      <c r="CP317" s="67"/>
      <c r="CQ317" s="67"/>
      <c r="CR317" s="67"/>
      <c r="CS317" s="67"/>
      <c r="CT317" s="67"/>
      <c r="CU317" s="67">
        <v>0</v>
      </c>
      <c r="CV317" s="67"/>
      <c r="CW317" s="67"/>
      <c r="CX317" s="67"/>
      <c r="CY317" s="67">
        <v>0</v>
      </c>
      <c r="CZ317" s="67"/>
      <c r="DA317" s="67"/>
      <c r="DB317" s="67"/>
      <c r="DC317" s="67"/>
      <c r="DF317" s="67"/>
      <c r="DG317" s="67">
        <v>0</v>
      </c>
      <c r="DH317" s="67">
        <v>0</v>
      </c>
      <c r="DI317" s="67">
        <v>0</v>
      </c>
      <c r="DJ317" s="67"/>
      <c r="DK317" s="67">
        <v>0</v>
      </c>
      <c r="DL317" s="67">
        <v>0</v>
      </c>
      <c r="DM317" s="67">
        <v>0</v>
      </c>
      <c r="DN317" s="67"/>
      <c r="DO317" s="67"/>
      <c r="DP317" s="67"/>
      <c r="DQ317" s="67">
        <v>0</v>
      </c>
      <c r="DR317" s="67">
        <v>0</v>
      </c>
      <c r="DS317" s="67"/>
      <c r="DT317" s="67"/>
      <c r="DU317" s="67">
        <v>0</v>
      </c>
      <c r="DV317" s="67">
        <v>0</v>
      </c>
      <c r="DW317" s="67">
        <v>0</v>
      </c>
      <c r="DX317" s="67">
        <v>0</v>
      </c>
      <c r="DY317" s="67"/>
      <c r="DZ317" s="67">
        <v>0</v>
      </c>
      <c r="EA317" s="67"/>
      <c r="EB317" s="67">
        <v>0</v>
      </c>
      <c r="EC317" s="67"/>
      <c r="ED317" s="67">
        <v>0</v>
      </c>
      <c r="EE317" s="67"/>
      <c r="EF317" s="67">
        <v>0</v>
      </c>
      <c r="EG317" s="67"/>
      <c r="EH317" s="67"/>
      <c r="EI317" s="67"/>
      <c r="EJ317" s="67"/>
      <c r="EK317" s="67"/>
      <c r="EL317" s="67"/>
      <c r="EM317" s="67"/>
      <c r="EN317" s="67"/>
      <c r="EO317" s="67"/>
      <c r="EP317" s="67">
        <v>0</v>
      </c>
      <c r="EQ317" s="67">
        <v>0</v>
      </c>
      <c r="ER317" s="67">
        <v>0</v>
      </c>
      <c r="ES317" s="67"/>
      <c r="ET317">
        <v>0</v>
      </c>
      <c r="EX317" s="67"/>
      <c r="EY317" s="67"/>
      <c r="EZ317" s="67"/>
      <c r="FA317" s="67">
        <v>300</v>
      </c>
      <c r="FB317" s="67">
        <v>0</v>
      </c>
      <c r="FC317" s="67"/>
      <c r="FD317" s="67"/>
      <c r="FE317" s="67"/>
      <c r="FF317" s="67"/>
      <c r="FG317" s="67"/>
      <c r="FH317" s="67"/>
      <c r="FI317" s="67" t="s">
        <v>1734</v>
      </c>
    </row>
    <row r="318" spans="2:165" ht="24" x14ac:dyDescent="0.2">
      <c r="B318" s="67" t="s">
        <v>887</v>
      </c>
      <c r="C318" s="67"/>
      <c r="D318" s="67" t="s">
        <v>888</v>
      </c>
      <c r="E318" s="67" t="s">
        <v>889</v>
      </c>
      <c r="F318" s="67" t="s">
        <v>766</v>
      </c>
      <c r="G318" s="67" t="s">
        <v>694</v>
      </c>
      <c r="H318" s="67"/>
      <c r="I318" s="67" t="s">
        <v>43</v>
      </c>
      <c r="J318" s="67"/>
      <c r="K318" s="67"/>
      <c r="L318" s="67" t="s">
        <v>767</v>
      </c>
      <c r="M318" s="67" t="s">
        <v>752</v>
      </c>
      <c r="N318" s="67"/>
      <c r="O318" s="67" t="s">
        <v>1605</v>
      </c>
      <c r="P318" s="67"/>
      <c r="Q318" s="67">
        <v>0</v>
      </c>
      <c r="R318" s="67">
        <v>0</v>
      </c>
      <c r="S318" s="67">
        <v>0</v>
      </c>
      <c r="T318" s="67">
        <v>0</v>
      </c>
      <c r="U318" s="67">
        <v>0</v>
      </c>
      <c r="V318" s="67">
        <v>0</v>
      </c>
      <c r="W318" s="67">
        <v>0</v>
      </c>
      <c r="X318" s="67">
        <v>0</v>
      </c>
      <c r="Y318" s="67">
        <v>0</v>
      </c>
      <c r="Z318" s="67">
        <v>0</v>
      </c>
      <c r="AA318" s="67">
        <v>0</v>
      </c>
      <c r="AB318" s="67">
        <v>0</v>
      </c>
      <c r="AC318" s="67">
        <v>0</v>
      </c>
      <c r="AD318" s="67">
        <v>0</v>
      </c>
      <c r="AE318" s="67">
        <v>0</v>
      </c>
      <c r="AF318" s="67">
        <v>0</v>
      </c>
      <c r="AG318" s="67">
        <v>0</v>
      </c>
      <c r="AH318" s="67">
        <v>0</v>
      </c>
      <c r="AI318" s="67">
        <v>0</v>
      </c>
      <c r="AJ318" s="67">
        <v>0</v>
      </c>
      <c r="AK318" s="67">
        <v>0</v>
      </c>
      <c r="AL318" s="67">
        <v>0</v>
      </c>
      <c r="AM318" s="67">
        <v>0</v>
      </c>
      <c r="AN318" s="67">
        <v>0</v>
      </c>
      <c r="AO318" s="67">
        <v>0</v>
      </c>
      <c r="AP318" s="67">
        <v>0</v>
      </c>
      <c r="AQ318" s="67">
        <v>0</v>
      </c>
      <c r="AR318" s="67">
        <v>0</v>
      </c>
      <c r="AS318" s="67">
        <v>0</v>
      </c>
      <c r="AT318" s="67"/>
      <c r="AU318" s="67"/>
      <c r="AV318" s="67"/>
      <c r="AW318" s="67">
        <v>0</v>
      </c>
      <c r="AX318" s="67">
        <v>0</v>
      </c>
      <c r="AY318" s="67"/>
      <c r="AZ318" s="67"/>
      <c r="BA318" s="67"/>
      <c r="BB318" s="67"/>
      <c r="BC318" s="67"/>
      <c r="BD318" s="67"/>
      <c r="BE318" s="67"/>
      <c r="BG318" s="67"/>
      <c r="BH318" s="67"/>
      <c r="BI318" s="67"/>
      <c r="BJ318" s="67">
        <v>0</v>
      </c>
      <c r="BK318" s="67"/>
      <c r="BL318" s="67"/>
      <c r="BP318" s="67"/>
      <c r="BQ318" s="67">
        <v>0</v>
      </c>
      <c r="BR318" s="67"/>
      <c r="BS318" s="67"/>
      <c r="BT318" s="67">
        <v>0</v>
      </c>
      <c r="BU318" s="67">
        <v>0</v>
      </c>
      <c r="BV318" s="67"/>
      <c r="BW318" s="67"/>
      <c r="BX318" s="67">
        <v>0</v>
      </c>
      <c r="BY318" s="67">
        <v>0</v>
      </c>
      <c r="BZ318" s="67">
        <v>0</v>
      </c>
      <c r="CA318" s="67"/>
      <c r="CB318" s="67">
        <v>0</v>
      </c>
      <c r="CC318" s="67"/>
      <c r="CD318" s="67"/>
      <c r="CE318" s="67">
        <v>0</v>
      </c>
      <c r="CF318" s="67"/>
      <c r="CG318" s="67"/>
      <c r="CH318" s="67"/>
      <c r="CI318" s="67"/>
      <c r="CJ318" s="67"/>
      <c r="CK318" s="67">
        <v>0</v>
      </c>
      <c r="CL318" s="67"/>
      <c r="CM318" s="67"/>
      <c r="CN318" s="67"/>
      <c r="CO318" s="67">
        <v>0</v>
      </c>
      <c r="CP318" s="67"/>
      <c r="CQ318" s="67"/>
      <c r="CR318" s="67"/>
      <c r="CS318" s="67"/>
      <c r="CT318" s="67"/>
      <c r="CU318" s="67">
        <v>0</v>
      </c>
      <c r="CV318" s="67"/>
      <c r="CW318" s="67"/>
      <c r="CX318" s="67"/>
      <c r="CY318" s="67">
        <v>0</v>
      </c>
      <c r="CZ318" s="67"/>
      <c r="DA318" s="67"/>
      <c r="DB318" s="67"/>
      <c r="DC318" s="67"/>
      <c r="DF318" s="67"/>
      <c r="DG318" s="67">
        <v>0</v>
      </c>
      <c r="DH318" s="67">
        <v>0</v>
      </c>
      <c r="DI318" s="67">
        <v>0</v>
      </c>
      <c r="DJ318" s="67"/>
      <c r="DK318" s="67">
        <v>0</v>
      </c>
      <c r="DL318" s="67">
        <v>0</v>
      </c>
      <c r="DM318" s="67">
        <v>0</v>
      </c>
      <c r="DN318" s="67"/>
      <c r="DO318" s="67"/>
      <c r="DP318" s="67"/>
      <c r="DQ318" s="67">
        <v>0</v>
      </c>
      <c r="DR318" s="67">
        <v>0</v>
      </c>
      <c r="DS318" s="67"/>
      <c r="DT318" s="67"/>
      <c r="DU318" s="67">
        <v>0</v>
      </c>
      <c r="DV318" s="67">
        <v>0</v>
      </c>
      <c r="DW318" s="67">
        <v>0</v>
      </c>
      <c r="DX318" s="67">
        <v>0</v>
      </c>
      <c r="DY318" s="67"/>
      <c r="DZ318" s="67">
        <v>0</v>
      </c>
      <c r="EA318" s="67"/>
      <c r="EB318" s="67">
        <v>0</v>
      </c>
      <c r="EC318" s="67"/>
      <c r="ED318" s="67">
        <v>0</v>
      </c>
      <c r="EE318" s="67"/>
      <c r="EF318" s="67">
        <v>0</v>
      </c>
      <c r="EG318" s="67"/>
      <c r="EH318" s="67"/>
      <c r="EI318" s="67"/>
      <c r="EJ318" s="67"/>
      <c r="EK318" s="67"/>
      <c r="EL318" s="67"/>
      <c r="EM318" s="67"/>
      <c r="EN318" s="67"/>
      <c r="EO318" s="67"/>
      <c r="EP318" s="67">
        <v>0</v>
      </c>
      <c r="EQ318" s="67">
        <v>0</v>
      </c>
      <c r="ER318" s="67">
        <v>0</v>
      </c>
      <c r="ES318" s="67"/>
      <c r="ET318">
        <v>0</v>
      </c>
      <c r="EX318" s="67"/>
      <c r="EY318" s="67"/>
      <c r="EZ318" s="67"/>
      <c r="FA318" s="67">
        <v>0</v>
      </c>
      <c r="FB318" s="67">
        <v>0</v>
      </c>
      <c r="FC318" s="67"/>
      <c r="FD318" s="67"/>
      <c r="FE318" s="67"/>
      <c r="FF318" s="67"/>
      <c r="FG318" s="67"/>
      <c r="FH318" s="67"/>
      <c r="FI318" s="67" t="s">
        <v>1734</v>
      </c>
    </row>
    <row r="319" spans="2:165" ht="24" x14ac:dyDescent="0.2">
      <c r="B319" s="67" t="s">
        <v>890</v>
      </c>
      <c r="C319" s="67"/>
      <c r="D319" s="67" t="s">
        <v>891</v>
      </c>
      <c r="E319" s="67" t="s">
        <v>889</v>
      </c>
      <c r="F319" s="67"/>
      <c r="G319" s="67" t="s">
        <v>694</v>
      </c>
      <c r="H319" s="67"/>
      <c r="I319" s="67" t="s">
        <v>43</v>
      </c>
      <c r="J319" s="67"/>
      <c r="K319" s="67"/>
      <c r="L319" s="67" t="s">
        <v>779</v>
      </c>
      <c r="M319" s="67" t="s">
        <v>752</v>
      </c>
      <c r="N319" s="67"/>
      <c r="O319" s="67" t="s">
        <v>1605</v>
      </c>
      <c r="P319" s="67"/>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67">
        <v>0</v>
      </c>
      <c r="AQ319" s="67">
        <v>0</v>
      </c>
      <c r="AR319" s="67">
        <v>0</v>
      </c>
      <c r="AS319" s="67">
        <v>0</v>
      </c>
      <c r="AT319" s="67"/>
      <c r="AU319" s="67"/>
      <c r="AV319" s="67"/>
      <c r="AW319" s="67">
        <v>0</v>
      </c>
      <c r="AX319" s="67">
        <v>0</v>
      </c>
      <c r="AY319" s="67"/>
      <c r="AZ319" s="67"/>
      <c r="BA319" s="67"/>
      <c r="BB319" s="67"/>
      <c r="BC319" s="67"/>
      <c r="BD319" s="67"/>
      <c r="BE319" s="67"/>
      <c r="BG319" s="67"/>
      <c r="BH319" s="67"/>
      <c r="BI319" s="67"/>
      <c r="BJ319" s="67">
        <v>0</v>
      </c>
      <c r="BK319" s="67"/>
      <c r="BL319" s="67"/>
      <c r="BP319" s="67"/>
      <c r="BQ319" s="67">
        <v>0</v>
      </c>
      <c r="BR319" s="67"/>
      <c r="BS319" s="67"/>
      <c r="BT319" s="67">
        <v>0</v>
      </c>
      <c r="BU319" s="67">
        <v>0</v>
      </c>
      <c r="BV319" s="67"/>
      <c r="BW319" s="67"/>
      <c r="BX319" s="67">
        <v>0</v>
      </c>
      <c r="BY319" s="67">
        <v>0</v>
      </c>
      <c r="BZ319" s="67">
        <v>0</v>
      </c>
      <c r="CA319" s="67"/>
      <c r="CB319" s="67">
        <v>0</v>
      </c>
      <c r="CC319" s="67"/>
      <c r="CD319" s="67"/>
      <c r="CE319" s="67">
        <v>0</v>
      </c>
      <c r="CF319" s="67"/>
      <c r="CG319" s="67"/>
      <c r="CH319" s="67"/>
      <c r="CI319" s="67"/>
      <c r="CJ319" s="67"/>
      <c r="CK319" s="67">
        <v>0</v>
      </c>
      <c r="CL319" s="67"/>
      <c r="CM319" s="67"/>
      <c r="CN319" s="67"/>
      <c r="CO319" s="67">
        <v>0</v>
      </c>
      <c r="CP319" s="67"/>
      <c r="CQ319" s="67"/>
      <c r="CR319" s="67"/>
      <c r="CS319" s="67"/>
      <c r="CT319" s="67"/>
      <c r="CU319" s="67">
        <v>0</v>
      </c>
      <c r="CV319" s="67"/>
      <c r="CW319" s="67"/>
      <c r="CX319" s="67"/>
      <c r="CY319" s="67">
        <v>0</v>
      </c>
      <c r="CZ319" s="67"/>
      <c r="DA319" s="67"/>
      <c r="DB319" s="67"/>
      <c r="DC319" s="67"/>
      <c r="DF319" s="67"/>
      <c r="DG319" s="67">
        <v>0</v>
      </c>
      <c r="DH319" s="67">
        <v>0</v>
      </c>
      <c r="DI319" s="67">
        <v>0</v>
      </c>
      <c r="DJ319" s="67"/>
      <c r="DK319" s="67">
        <v>0</v>
      </c>
      <c r="DL319" s="67">
        <v>0</v>
      </c>
      <c r="DM319" s="67">
        <v>0</v>
      </c>
      <c r="DN319" s="67"/>
      <c r="DO319" s="67"/>
      <c r="DP319" s="67"/>
      <c r="DQ319" s="67">
        <v>0</v>
      </c>
      <c r="DR319" s="67">
        <v>0</v>
      </c>
      <c r="DS319" s="67"/>
      <c r="DT319" s="67"/>
      <c r="DU319" s="67">
        <v>0</v>
      </c>
      <c r="DV319" s="67">
        <v>0</v>
      </c>
      <c r="DW319" s="67">
        <v>0</v>
      </c>
      <c r="DX319" s="67">
        <v>0</v>
      </c>
      <c r="DY319" s="67"/>
      <c r="DZ319" s="67">
        <v>0</v>
      </c>
      <c r="EA319" s="67"/>
      <c r="EB319" s="67">
        <v>0</v>
      </c>
      <c r="EC319" s="67"/>
      <c r="ED319" s="67">
        <v>0</v>
      </c>
      <c r="EE319" s="67"/>
      <c r="EF319" s="67">
        <v>0</v>
      </c>
      <c r="EG319" s="67"/>
      <c r="EH319" s="67"/>
      <c r="EI319" s="67"/>
      <c r="EJ319" s="67"/>
      <c r="EK319" s="67"/>
      <c r="EL319" s="67"/>
      <c r="EM319" s="67"/>
      <c r="EN319" s="67"/>
      <c r="EO319" s="67"/>
      <c r="EP319" s="67">
        <v>0</v>
      </c>
      <c r="EQ319" s="67">
        <v>0</v>
      </c>
      <c r="ER319" s="67">
        <v>0</v>
      </c>
      <c r="ES319" s="67"/>
      <c r="ET319">
        <v>0</v>
      </c>
      <c r="EX319" s="67"/>
      <c r="EY319" s="67"/>
      <c r="EZ319" s="67"/>
      <c r="FA319" s="67">
        <v>0</v>
      </c>
      <c r="FB319" s="67">
        <v>0</v>
      </c>
      <c r="FC319" s="67"/>
      <c r="FD319" s="67"/>
      <c r="FE319" s="67"/>
      <c r="FF319" s="67"/>
      <c r="FG319" s="67"/>
      <c r="FH319" s="67"/>
      <c r="FI319" s="67" t="s">
        <v>1734</v>
      </c>
    </row>
    <row r="320" spans="2:165" ht="24" x14ac:dyDescent="0.2">
      <c r="B320" s="67" t="s">
        <v>892</v>
      </c>
      <c r="C320" s="67"/>
      <c r="D320" s="67" t="s">
        <v>893</v>
      </c>
      <c r="E320" s="67" t="s">
        <v>889</v>
      </c>
      <c r="F320" s="67" t="s">
        <v>810</v>
      </c>
      <c r="G320" s="67" t="s">
        <v>694</v>
      </c>
      <c r="H320" s="67"/>
      <c r="I320" s="67" t="s">
        <v>43</v>
      </c>
      <c r="J320" s="67"/>
      <c r="K320" s="67"/>
      <c r="L320" s="67" t="s">
        <v>779</v>
      </c>
      <c r="M320" s="67" t="s">
        <v>752</v>
      </c>
      <c r="N320" s="67"/>
      <c r="O320" s="67" t="s">
        <v>1605</v>
      </c>
      <c r="P320" s="67"/>
      <c r="Q320" s="67">
        <v>0</v>
      </c>
      <c r="R320" s="67">
        <v>0</v>
      </c>
      <c r="S320" s="67">
        <v>0</v>
      </c>
      <c r="T320" s="67">
        <v>0</v>
      </c>
      <c r="U320" s="67">
        <v>0</v>
      </c>
      <c r="V320" s="67">
        <v>0</v>
      </c>
      <c r="W320" s="67">
        <v>0</v>
      </c>
      <c r="X320" s="67">
        <v>0</v>
      </c>
      <c r="Y320" s="67">
        <v>0</v>
      </c>
      <c r="Z320" s="67">
        <v>0</v>
      </c>
      <c r="AA320" s="67">
        <v>0</v>
      </c>
      <c r="AB320" s="67">
        <v>0</v>
      </c>
      <c r="AC320" s="67">
        <v>0</v>
      </c>
      <c r="AD320" s="67">
        <v>0</v>
      </c>
      <c r="AE320" s="67">
        <v>0</v>
      </c>
      <c r="AF320" s="67">
        <v>0</v>
      </c>
      <c r="AG320" s="67">
        <v>0</v>
      </c>
      <c r="AH320" s="67">
        <v>0</v>
      </c>
      <c r="AI320" s="67">
        <v>0</v>
      </c>
      <c r="AJ320" s="67">
        <v>0</v>
      </c>
      <c r="AK320" s="67">
        <v>0</v>
      </c>
      <c r="AL320" s="67">
        <v>0</v>
      </c>
      <c r="AM320" s="67">
        <v>0</v>
      </c>
      <c r="AN320" s="67">
        <v>0</v>
      </c>
      <c r="AO320" s="67">
        <v>0</v>
      </c>
      <c r="AP320" s="67">
        <v>0</v>
      </c>
      <c r="AQ320" s="67">
        <v>0</v>
      </c>
      <c r="AR320" s="67">
        <v>0</v>
      </c>
      <c r="AS320" s="67">
        <v>0</v>
      </c>
      <c r="AT320" s="67"/>
      <c r="AU320" s="67"/>
      <c r="AV320" s="67"/>
      <c r="AW320" s="67">
        <v>0</v>
      </c>
      <c r="AX320" s="67">
        <v>0</v>
      </c>
      <c r="AY320" s="67"/>
      <c r="AZ320" s="67"/>
      <c r="BA320" s="67"/>
      <c r="BB320" s="67"/>
      <c r="BC320" s="67"/>
      <c r="BD320" s="67"/>
      <c r="BE320" s="67"/>
      <c r="BG320" s="67"/>
      <c r="BH320" s="67"/>
      <c r="BI320" s="67"/>
      <c r="BJ320" s="67">
        <v>0</v>
      </c>
      <c r="BK320" s="67"/>
      <c r="BL320" s="67"/>
      <c r="BP320" s="67"/>
      <c r="BQ320" s="67">
        <v>0</v>
      </c>
      <c r="BR320" s="67"/>
      <c r="BS320" s="67"/>
      <c r="BT320" s="67">
        <v>0</v>
      </c>
      <c r="BU320" s="67">
        <v>0</v>
      </c>
      <c r="BV320" s="67"/>
      <c r="BW320" s="67"/>
      <c r="BX320" s="67">
        <v>0</v>
      </c>
      <c r="BY320" s="67">
        <v>0</v>
      </c>
      <c r="BZ320" s="67">
        <v>0</v>
      </c>
      <c r="CA320" s="67"/>
      <c r="CB320" s="67">
        <v>0</v>
      </c>
      <c r="CC320" s="67"/>
      <c r="CD320" s="67"/>
      <c r="CE320" s="67">
        <v>0</v>
      </c>
      <c r="CF320" s="67"/>
      <c r="CG320" s="67"/>
      <c r="CH320" s="67"/>
      <c r="CI320" s="67"/>
      <c r="CJ320" s="67"/>
      <c r="CK320" s="67">
        <v>0</v>
      </c>
      <c r="CL320" s="67"/>
      <c r="CM320" s="67"/>
      <c r="CN320" s="67"/>
      <c r="CO320" s="67">
        <v>0</v>
      </c>
      <c r="CP320" s="67"/>
      <c r="CQ320" s="67"/>
      <c r="CR320" s="67"/>
      <c r="CS320" s="67"/>
      <c r="CT320" s="67"/>
      <c r="CU320" s="67">
        <v>0</v>
      </c>
      <c r="CV320" s="67"/>
      <c r="CW320" s="67"/>
      <c r="CX320" s="67"/>
      <c r="CY320" s="67">
        <v>0</v>
      </c>
      <c r="CZ320" s="67"/>
      <c r="DA320" s="67"/>
      <c r="DB320" s="67"/>
      <c r="DC320" s="67"/>
      <c r="DF320" s="67"/>
      <c r="DG320" s="67">
        <v>0</v>
      </c>
      <c r="DH320" s="67">
        <v>0</v>
      </c>
      <c r="DI320" s="67">
        <v>0</v>
      </c>
      <c r="DJ320" s="67"/>
      <c r="DK320" s="67">
        <v>0</v>
      </c>
      <c r="DL320" s="67">
        <v>0</v>
      </c>
      <c r="DM320" s="67">
        <v>0</v>
      </c>
      <c r="DN320" s="67"/>
      <c r="DO320" s="67"/>
      <c r="DP320" s="67"/>
      <c r="DQ320" s="67">
        <v>0</v>
      </c>
      <c r="DR320" s="67">
        <v>0</v>
      </c>
      <c r="DS320" s="67"/>
      <c r="DT320" s="67"/>
      <c r="DU320" s="67">
        <v>0</v>
      </c>
      <c r="DV320" s="67">
        <v>0</v>
      </c>
      <c r="DW320" s="67">
        <v>0</v>
      </c>
      <c r="DX320" s="67">
        <v>0</v>
      </c>
      <c r="DY320" s="67"/>
      <c r="DZ320" s="67">
        <v>0</v>
      </c>
      <c r="EA320" s="67"/>
      <c r="EB320" s="67">
        <v>0</v>
      </c>
      <c r="EC320" s="67"/>
      <c r="ED320" s="67">
        <v>0</v>
      </c>
      <c r="EE320" s="67"/>
      <c r="EF320" s="67">
        <v>0</v>
      </c>
      <c r="EG320" s="67"/>
      <c r="EH320" s="67"/>
      <c r="EI320" s="67"/>
      <c r="EJ320" s="67"/>
      <c r="EK320" s="67"/>
      <c r="EL320" s="67"/>
      <c r="EM320" s="67"/>
      <c r="EN320" s="67"/>
      <c r="EO320" s="67"/>
      <c r="EP320" s="67">
        <v>0</v>
      </c>
      <c r="EQ320" s="67">
        <v>0</v>
      </c>
      <c r="ER320" s="67">
        <v>0</v>
      </c>
      <c r="ES320" s="67"/>
      <c r="ET320">
        <v>0</v>
      </c>
      <c r="EX320" s="67"/>
      <c r="EY320" s="67"/>
      <c r="EZ320" s="67"/>
      <c r="FA320" s="67">
        <v>0</v>
      </c>
      <c r="FB320" s="67">
        <v>0</v>
      </c>
      <c r="FC320" s="67"/>
      <c r="FD320" s="67"/>
      <c r="FE320" s="67"/>
      <c r="FF320" s="67"/>
      <c r="FG320" s="67"/>
      <c r="FH320" s="67"/>
      <c r="FI320" s="67" t="s">
        <v>1734</v>
      </c>
    </row>
    <row r="321" spans="2:165" ht="24" x14ac:dyDescent="0.2">
      <c r="B321" s="67" t="s">
        <v>894</v>
      </c>
      <c r="C321" s="67"/>
      <c r="D321" s="67" t="s">
        <v>895</v>
      </c>
      <c r="E321" s="67" t="s">
        <v>889</v>
      </c>
      <c r="F321" s="67"/>
      <c r="G321" s="67" t="s">
        <v>694</v>
      </c>
      <c r="H321" s="67"/>
      <c r="I321" s="67" t="s">
        <v>43</v>
      </c>
      <c r="J321" s="67"/>
      <c r="K321" s="67"/>
      <c r="L321" s="67" t="s">
        <v>779</v>
      </c>
      <c r="M321" s="67" t="s">
        <v>752</v>
      </c>
      <c r="N321" s="67"/>
      <c r="O321" s="67" t="s">
        <v>1605</v>
      </c>
      <c r="P321" s="67"/>
      <c r="Q321" s="67">
        <v>0</v>
      </c>
      <c r="R321" s="67">
        <v>0</v>
      </c>
      <c r="S321" s="67">
        <v>0</v>
      </c>
      <c r="T321" s="67">
        <v>0</v>
      </c>
      <c r="U321" s="67">
        <v>0</v>
      </c>
      <c r="V321" s="67">
        <v>0</v>
      </c>
      <c r="W321" s="67">
        <v>0</v>
      </c>
      <c r="X321" s="67">
        <v>0</v>
      </c>
      <c r="Y321" s="67">
        <v>0</v>
      </c>
      <c r="Z321" s="67">
        <v>0</v>
      </c>
      <c r="AA321" s="67">
        <v>0</v>
      </c>
      <c r="AB321" s="67">
        <v>0</v>
      </c>
      <c r="AC321" s="67">
        <v>0</v>
      </c>
      <c r="AD321" s="67">
        <v>0</v>
      </c>
      <c r="AE321" s="67">
        <v>0</v>
      </c>
      <c r="AF321" s="67">
        <v>0</v>
      </c>
      <c r="AG321" s="67">
        <v>0</v>
      </c>
      <c r="AH321" s="67">
        <v>0</v>
      </c>
      <c r="AI321" s="67">
        <v>0</v>
      </c>
      <c r="AJ321" s="67">
        <v>0</v>
      </c>
      <c r="AK321" s="67">
        <v>0</v>
      </c>
      <c r="AL321" s="67">
        <v>0</v>
      </c>
      <c r="AM321" s="67">
        <v>0</v>
      </c>
      <c r="AN321" s="67">
        <v>0</v>
      </c>
      <c r="AO321" s="67">
        <v>0</v>
      </c>
      <c r="AP321" s="67">
        <v>0</v>
      </c>
      <c r="AQ321" s="67">
        <v>0</v>
      </c>
      <c r="AR321" s="67">
        <v>0</v>
      </c>
      <c r="AS321" s="67">
        <v>0</v>
      </c>
      <c r="AT321" s="67"/>
      <c r="AU321" s="67"/>
      <c r="AV321" s="67"/>
      <c r="AW321" s="67">
        <v>0</v>
      </c>
      <c r="AX321" s="67">
        <v>0</v>
      </c>
      <c r="AY321" s="67"/>
      <c r="AZ321" s="67"/>
      <c r="BA321" s="67"/>
      <c r="BB321" s="67"/>
      <c r="BC321" s="67"/>
      <c r="BD321" s="67"/>
      <c r="BE321" s="67"/>
      <c r="BG321" s="67"/>
      <c r="BH321" s="67"/>
      <c r="BI321" s="67"/>
      <c r="BJ321" s="67">
        <v>0</v>
      </c>
      <c r="BK321" s="67"/>
      <c r="BL321" s="67"/>
      <c r="BP321" s="67"/>
      <c r="BQ321" s="67">
        <v>0</v>
      </c>
      <c r="BR321" s="67"/>
      <c r="BS321" s="67"/>
      <c r="BT321" s="67">
        <v>0</v>
      </c>
      <c r="BU321" s="67">
        <v>0</v>
      </c>
      <c r="BV321" s="67"/>
      <c r="BW321" s="67"/>
      <c r="BX321" s="67">
        <v>0</v>
      </c>
      <c r="BY321" s="67">
        <v>0</v>
      </c>
      <c r="BZ321" s="67">
        <v>0</v>
      </c>
      <c r="CA321" s="67"/>
      <c r="CB321" s="67">
        <v>0</v>
      </c>
      <c r="CC321" s="67"/>
      <c r="CD321" s="67"/>
      <c r="CE321" s="67">
        <v>0</v>
      </c>
      <c r="CF321" s="67"/>
      <c r="CG321" s="67"/>
      <c r="CH321" s="67"/>
      <c r="CI321" s="67"/>
      <c r="CJ321" s="67"/>
      <c r="CK321" s="67">
        <v>0</v>
      </c>
      <c r="CL321" s="67"/>
      <c r="CM321" s="67"/>
      <c r="CN321" s="67"/>
      <c r="CO321" s="67">
        <v>0</v>
      </c>
      <c r="CP321" s="67"/>
      <c r="CQ321" s="67"/>
      <c r="CR321" s="67"/>
      <c r="CS321" s="67"/>
      <c r="CT321" s="67"/>
      <c r="CU321" s="67">
        <v>0</v>
      </c>
      <c r="CV321" s="67"/>
      <c r="CW321" s="67"/>
      <c r="CX321" s="67"/>
      <c r="CY321" s="67">
        <v>0</v>
      </c>
      <c r="CZ321" s="67"/>
      <c r="DA321" s="67"/>
      <c r="DB321" s="67"/>
      <c r="DC321" s="67"/>
      <c r="DF321" s="67"/>
      <c r="DG321" s="67">
        <v>0</v>
      </c>
      <c r="DH321" s="67">
        <v>0</v>
      </c>
      <c r="DI321" s="67">
        <v>0</v>
      </c>
      <c r="DJ321" s="67"/>
      <c r="DK321" s="67">
        <v>0</v>
      </c>
      <c r="DL321" s="67">
        <v>0</v>
      </c>
      <c r="DM321" s="67">
        <v>0</v>
      </c>
      <c r="DN321" s="67"/>
      <c r="DO321" s="67"/>
      <c r="DP321" s="67"/>
      <c r="DQ321" s="67">
        <v>0</v>
      </c>
      <c r="DR321" s="67">
        <v>0</v>
      </c>
      <c r="DS321" s="67"/>
      <c r="DT321" s="67"/>
      <c r="DU321" s="67">
        <v>0</v>
      </c>
      <c r="DV321" s="67">
        <v>0</v>
      </c>
      <c r="DW321" s="67">
        <v>0</v>
      </c>
      <c r="DX321" s="67">
        <v>0</v>
      </c>
      <c r="DY321" s="67"/>
      <c r="DZ321" s="67">
        <v>0</v>
      </c>
      <c r="EA321" s="67"/>
      <c r="EB321" s="67">
        <v>0</v>
      </c>
      <c r="EC321" s="67"/>
      <c r="ED321" s="67">
        <v>0</v>
      </c>
      <c r="EE321" s="67"/>
      <c r="EF321" s="67">
        <v>0</v>
      </c>
      <c r="EG321" s="67"/>
      <c r="EH321" s="67"/>
      <c r="EI321" s="67"/>
      <c r="EJ321" s="67"/>
      <c r="EK321" s="67"/>
      <c r="EL321" s="67"/>
      <c r="EM321" s="67"/>
      <c r="EN321" s="67"/>
      <c r="EO321" s="67"/>
      <c r="EP321" s="67">
        <v>0</v>
      </c>
      <c r="EQ321" s="67">
        <v>0</v>
      </c>
      <c r="ER321" s="67">
        <v>0</v>
      </c>
      <c r="ES321" s="67"/>
      <c r="ET321">
        <v>0</v>
      </c>
      <c r="EX321" s="67"/>
      <c r="EY321" s="67"/>
      <c r="EZ321" s="67"/>
      <c r="FA321" s="67">
        <v>0</v>
      </c>
      <c r="FB321" s="67">
        <v>0</v>
      </c>
      <c r="FC321" s="67"/>
      <c r="FD321" s="67"/>
      <c r="FE321" s="67"/>
      <c r="FF321" s="67"/>
      <c r="FG321" s="67"/>
      <c r="FH321" s="67"/>
      <c r="FI321" s="67" t="s">
        <v>1734</v>
      </c>
    </row>
    <row r="322" spans="2:165" x14ac:dyDescent="0.2">
      <c r="B322" s="67" t="s">
        <v>896</v>
      </c>
      <c r="C322" s="67"/>
      <c r="D322" s="67" t="s">
        <v>897</v>
      </c>
      <c r="E322" s="67" t="s">
        <v>23</v>
      </c>
      <c r="F322" s="67" t="s">
        <v>898</v>
      </c>
      <c r="G322" s="67" t="s">
        <v>694</v>
      </c>
      <c r="H322" s="67"/>
      <c r="I322" s="67" t="s">
        <v>43</v>
      </c>
      <c r="J322" s="67"/>
      <c r="K322" s="67"/>
      <c r="L322" s="67" t="s">
        <v>779</v>
      </c>
      <c r="M322" s="67" t="s">
        <v>752</v>
      </c>
      <c r="N322" s="67"/>
      <c r="O322" s="67" t="s">
        <v>1599</v>
      </c>
      <c r="P322" s="67"/>
      <c r="Q322" s="67">
        <v>305</v>
      </c>
      <c r="R322" s="67">
        <v>0</v>
      </c>
      <c r="S322" s="67">
        <v>0</v>
      </c>
      <c r="T322" s="67">
        <v>0</v>
      </c>
      <c r="U322" s="67">
        <v>0</v>
      </c>
      <c r="V322" s="67">
        <v>0</v>
      </c>
      <c r="W322" s="67">
        <v>0</v>
      </c>
      <c r="X322" s="67">
        <v>0</v>
      </c>
      <c r="Y322" s="67">
        <v>0</v>
      </c>
      <c r="Z322" s="67">
        <v>0</v>
      </c>
      <c r="AA322" s="67">
        <v>0</v>
      </c>
      <c r="AB322" s="67">
        <v>0</v>
      </c>
      <c r="AC322" s="67">
        <v>0</v>
      </c>
      <c r="AD322" s="67">
        <v>0</v>
      </c>
      <c r="AE322" s="67">
        <v>0</v>
      </c>
      <c r="AF322" s="67">
        <v>0</v>
      </c>
      <c r="AG322" s="67">
        <v>0</v>
      </c>
      <c r="AH322" s="67">
        <v>250</v>
      </c>
      <c r="AI322" s="67">
        <v>55</v>
      </c>
      <c r="AJ322" s="67">
        <v>0</v>
      </c>
      <c r="AK322" s="67">
        <v>0</v>
      </c>
      <c r="AL322" s="67">
        <v>0</v>
      </c>
      <c r="AM322" s="67">
        <v>0</v>
      </c>
      <c r="AN322" s="67">
        <v>0</v>
      </c>
      <c r="AO322" s="67">
        <v>0</v>
      </c>
      <c r="AP322" s="67">
        <v>0</v>
      </c>
      <c r="AQ322" s="67">
        <v>0</v>
      </c>
      <c r="AR322" s="67">
        <v>0</v>
      </c>
      <c r="AS322" s="67">
        <v>0</v>
      </c>
      <c r="AT322" s="67"/>
      <c r="AU322" s="67"/>
      <c r="AV322" s="67"/>
      <c r="AW322" s="67">
        <v>0</v>
      </c>
      <c r="AX322" s="67">
        <v>0</v>
      </c>
      <c r="AY322" s="67"/>
      <c r="AZ322" s="67"/>
      <c r="BA322" s="67"/>
      <c r="BB322" s="67"/>
      <c r="BC322" s="67"/>
      <c r="BD322" s="67"/>
      <c r="BE322" s="67"/>
      <c r="BG322" s="67"/>
      <c r="BH322" s="67"/>
      <c r="BI322" s="67"/>
      <c r="BJ322" s="67">
        <v>0</v>
      </c>
      <c r="BK322" s="67"/>
      <c r="BL322" s="67"/>
      <c r="BP322" s="67"/>
      <c r="BQ322" s="67">
        <v>0</v>
      </c>
      <c r="BR322" s="67"/>
      <c r="BS322" s="67"/>
      <c r="BT322" s="67">
        <v>0</v>
      </c>
      <c r="BU322" s="67">
        <v>0</v>
      </c>
      <c r="BV322" s="67"/>
      <c r="BW322" s="67"/>
      <c r="BX322" s="67">
        <v>0</v>
      </c>
      <c r="BY322" s="67">
        <v>0</v>
      </c>
      <c r="BZ322" s="67">
        <v>0</v>
      </c>
      <c r="CA322" s="67"/>
      <c r="CB322" s="67">
        <v>0</v>
      </c>
      <c r="CC322" s="67"/>
      <c r="CD322" s="67"/>
      <c r="CE322" s="67">
        <v>0</v>
      </c>
      <c r="CF322" s="67"/>
      <c r="CG322" s="67"/>
      <c r="CH322" s="67"/>
      <c r="CI322" s="67"/>
      <c r="CJ322" s="67"/>
      <c r="CK322" s="67">
        <v>0</v>
      </c>
      <c r="CL322" s="67"/>
      <c r="CM322" s="67"/>
      <c r="CN322" s="67"/>
      <c r="CO322" s="67">
        <v>0</v>
      </c>
      <c r="CP322" s="67"/>
      <c r="CQ322" s="67"/>
      <c r="CR322" s="67"/>
      <c r="CS322" s="67"/>
      <c r="CT322" s="67"/>
      <c r="CU322" s="67">
        <v>0</v>
      </c>
      <c r="CV322" s="67"/>
      <c r="CW322" s="67"/>
      <c r="CX322" s="67"/>
      <c r="CY322" s="67">
        <v>0</v>
      </c>
      <c r="CZ322" s="67"/>
      <c r="DA322" s="67"/>
      <c r="DB322" s="67"/>
      <c r="DC322" s="67"/>
      <c r="DF322" s="67"/>
      <c r="DG322" s="67">
        <v>0</v>
      </c>
      <c r="DH322" s="67">
        <v>0</v>
      </c>
      <c r="DI322" s="67">
        <v>0</v>
      </c>
      <c r="DJ322" s="67"/>
      <c r="DK322" s="67">
        <v>0</v>
      </c>
      <c r="DL322" s="67">
        <v>0</v>
      </c>
      <c r="DM322" s="67">
        <v>0</v>
      </c>
      <c r="DN322" s="67"/>
      <c r="DO322" s="67"/>
      <c r="DP322" s="67"/>
      <c r="DQ322" s="67">
        <v>0</v>
      </c>
      <c r="DR322" s="67">
        <v>0</v>
      </c>
      <c r="DS322" s="67"/>
      <c r="DT322" s="67"/>
      <c r="DU322" s="67">
        <v>0</v>
      </c>
      <c r="DV322" s="67">
        <v>0</v>
      </c>
      <c r="DW322" s="67">
        <v>0</v>
      </c>
      <c r="DX322" s="67">
        <v>0</v>
      </c>
      <c r="DY322" s="67"/>
      <c r="DZ322" s="67">
        <v>0</v>
      </c>
      <c r="EA322" s="67"/>
      <c r="EB322" s="67">
        <v>0</v>
      </c>
      <c r="EC322" s="67"/>
      <c r="ED322" s="67">
        <v>0</v>
      </c>
      <c r="EE322" s="67"/>
      <c r="EF322" s="67">
        <v>0</v>
      </c>
      <c r="EG322" s="67"/>
      <c r="EH322" s="67"/>
      <c r="EI322" s="67"/>
      <c r="EJ322" s="67"/>
      <c r="EK322" s="67"/>
      <c r="EL322" s="67"/>
      <c r="EM322" s="67"/>
      <c r="EN322" s="67"/>
      <c r="EO322" s="67"/>
      <c r="EP322" s="67">
        <v>0</v>
      </c>
      <c r="EQ322" s="67">
        <v>0</v>
      </c>
      <c r="ER322" s="67">
        <v>0</v>
      </c>
      <c r="ES322" s="67"/>
      <c r="ET322">
        <v>0</v>
      </c>
      <c r="EX322" s="67"/>
      <c r="EY322" s="67"/>
      <c r="EZ322" s="67"/>
      <c r="FA322" s="67">
        <v>305</v>
      </c>
      <c r="FB322" s="67">
        <v>0</v>
      </c>
      <c r="FC322" s="67"/>
      <c r="FD322" s="67"/>
      <c r="FE322" s="67"/>
      <c r="FF322" s="67"/>
      <c r="FG322" s="67"/>
      <c r="FH322" s="67"/>
      <c r="FI322" s="67" t="s">
        <v>1734</v>
      </c>
    </row>
    <row r="323" spans="2:165" x14ac:dyDescent="0.2">
      <c r="B323" s="67" t="s">
        <v>899</v>
      </c>
      <c r="C323" s="67"/>
      <c r="D323" s="67" t="s">
        <v>900</v>
      </c>
      <c r="E323" s="67" t="s">
        <v>23</v>
      </c>
      <c r="F323" s="67" t="s">
        <v>898</v>
      </c>
      <c r="G323" s="67" t="s">
        <v>694</v>
      </c>
      <c r="H323" s="67"/>
      <c r="I323" s="67" t="s">
        <v>43</v>
      </c>
      <c r="J323" s="67"/>
      <c r="K323" s="67"/>
      <c r="L323" s="67" t="s">
        <v>779</v>
      </c>
      <c r="M323" s="67" t="s">
        <v>752</v>
      </c>
      <c r="N323" s="67"/>
      <c r="O323" s="67" t="s">
        <v>1599</v>
      </c>
      <c r="P323" s="67"/>
      <c r="Q323" s="67">
        <v>180</v>
      </c>
      <c r="R323" s="67">
        <v>0</v>
      </c>
      <c r="S323" s="67">
        <v>0</v>
      </c>
      <c r="T323" s="67">
        <v>0</v>
      </c>
      <c r="U323" s="67">
        <v>0</v>
      </c>
      <c r="V323" s="67">
        <v>0</v>
      </c>
      <c r="W323" s="67">
        <v>0</v>
      </c>
      <c r="X323" s="67">
        <v>0</v>
      </c>
      <c r="Y323" s="67">
        <v>0</v>
      </c>
      <c r="Z323" s="67">
        <v>0</v>
      </c>
      <c r="AA323" s="67">
        <v>0</v>
      </c>
      <c r="AB323" s="67">
        <v>0</v>
      </c>
      <c r="AC323" s="67">
        <v>0</v>
      </c>
      <c r="AD323" s="67">
        <v>0</v>
      </c>
      <c r="AE323" s="67">
        <v>0</v>
      </c>
      <c r="AF323" s="67">
        <v>0</v>
      </c>
      <c r="AG323" s="67">
        <v>0</v>
      </c>
      <c r="AH323" s="67">
        <v>0</v>
      </c>
      <c r="AI323" s="67">
        <v>180</v>
      </c>
      <c r="AJ323" s="67">
        <v>0</v>
      </c>
      <c r="AK323" s="67">
        <v>0</v>
      </c>
      <c r="AL323" s="67">
        <v>0</v>
      </c>
      <c r="AM323" s="67">
        <v>0</v>
      </c>
      <c r="AN323" s="67">
        <v>0</v>
      </c>
      <c r="AO323" s="67">
        <v>0</v>
      </c>
      <c r="AP323" s="67">
        <v>0</v>
      </c>
      <c r="AQ323" s="67">
        <v>0</v>
      </c>
      <c r="AR323" s="67">
        <v>0</v>
      </c>
      <c r="AS323" s="67">
        <v>0</v>
      </c>
      <c r="AT323" s="67"/>
      <c r="AU323" s="67"/>
      <c r="AV323" s="67"/>
      <c r="AW323" s="67">
        <v>0</v>
      </c>
      <c r="AX323" s="67">
        <v>0</v>
      </c>
      <c r="AY323" s="67"/>
      <c r="AZ323" s="67"/>
      <c r="BA323" s="67"/>
      <c r="BB323" s="67"/>
      <c r="BC323" s="67"/>
      <c r="BD323" s="67"/>
      <c r="BE323" s="67"/>
      <c r="BG323" s="67"/>
      <c r="BH323" s="67"/>
      <c r="BI323" s="67"/>
      <c r="BJ323" s="67">
        <v>0</v>
      </c>
      <c r="BK323" s="67"/>
      <c r="BL323" s="67"/>
      <c r="BP323" s="67"/>
      <c r="BQ323" s="67">
        <v>0</v>
      </c>
      <c r="BR323" s="67"/>
      <c r="BS323" s="67"/>
      <c r="BT323" s="67">
        <v>0</v>
      </c>
      <c r="BU323" s="67">
        <v>0</v>
      </c>
      <c r="BV323" s="67"/>
      <c r="BW323" s="67"/>
      <c r="BX323" s="67">
        <v>0</v>
      </c>
      <c r="BY323" s="67">
        <v>0</v>
      </c>
      <c r="BZ323" s="67">
        <v>0</v>
      </c>
      <c r="CA323" s="67"/>
      <c r="CB323" s="67">
        <v>0</v>
      </c>
      <c r="CC323" s="67"/>
      <c r="CD323" s="67"/>
      <c r="CE323" s="67">
        <v>0</v>
      </c>
      <c r="CF323" s="67"/>
      <c r="CG323" s="67"/>
      <c r="CH323" s="67"/>
      <c r="CI323" s="67"/>
      <c r="CJ323" s="67"/>
      <c r="CK323" s="67">
        <v>0</v>
      </c>
      <c r="CL323" s="67"/>
      <c r="CM323" s="67"/>
      <c r="CN323" s="67"/>
      <c r="CO323" s="67">
        <v>0</v>
      </c>
      <c r="CP323" s="67"/>
      <c r="CQ323" s="67"/>
      <c r="CR323" s="67"/>
      <c r="CS323" s="67"/>
      <c r="CT323" s="67"/>
      <c r="CU323" s="67">
        <v>0</v>
      </c>
      <c r="CV323" s="67"/>
      <c r="CW323" s="67"/>
      <c r="CX323" s="67"/>
      <c r="CY323" s="67">
        <v>0</v>
      </c>
      <c r="CZ323" s="67"/>
      <c r="DA323" s="67"/>
      <c r="DB323" s="67"/>
      <c r="DC323" s="67"/>
      <c r="DF323" s="67"/>
      <c r="DG323" s="67">
        <v>0</v>
      </c>
      <c r="DH323" s="67">
        <v>0</v>
      </c>
      <c r="DI323" s="67">
        <v>0</v>
      </c>
      <c r="DJ323" s="67"/>
      <c r="DK323" s="67">
        <v>0</v>
      </c>
      <c r="DL323" s="67">
        <v>0</v>
      </c>
      <c r="DM323" s="67">
        <v>0</v>
      </c>
      <c r="DN323" s="67"/>
      <c r="DO323" s="67"/>
      <c r="DP323" s="67"/>
      <c r="DQ323" s="67">
        <v>0</v>
      </c>
      <c r="DR323" s="67">
        <v>0</v>
      </c>
      <c r="DS323" s="67"/>
      <c r="DT323" s="67"/>
      <c r="DU323" s="67">
        <v>0</v>
      </c>
      <c r="DV323" s="67">
        <v>0</v>
      </c>
      <c r="DW323" s="67">
        <v>0</v>
      </c>
      <c r="DX323" s="67">
        <v>0</v>
      </c>
      <c r="DY323" s="67"/>
      <c r="DZ323" s="67">
        <v>0</v>
      </c>
      <c r="EA323" s="67"/>
      <c r="EB323" s="67">
        <v>0</v>
      </c>
      <c r="EC323" s="67"/>
      <c r="ED323" s="67">
        <v>0</v>
      </c>
      <c r="EE323" s="67"/>
      <c r="EF323" s="67">
        <v>0</v>
      </c>
      <c r="EG323" s="67"/>
      <c r="EH323" s="67"/>
      <c r="EI323" s="67"/>
      <c r="EJ323" s="67"/>
      <c r="EK323" s="67"/>
      <c r="EL323" s="67"/>
      <c r="EM323" s="67"/>
      <c r="EN323" s="67"/>
      <c r="EO323" s="67"/>
      <c r="EP323" s="67">
        <v>0</v>
      </c>
      <c r="EQ323" s="67">
        <v>0</v>
      </c>
      <c r="ER323" s="67">
        <v>0</v>
      </c>
      <c r="ES323" s="67"/>
      <c r="ET323">
        <v>0</v>
      </c>
      <c r="EX323" s="67"/>
      <c r="EY323" s="67"/>
      <c r="EZ323" s="67"/>
      <c r="FA323" s="67">
        <v>180</v>
      </c>
      <c r="FB323" s="67">
        <v>0</v>
      </c>
      <c r="FC323" s="67"/>
      <c r="FD323" s="67"/>
      <c r="FE323" s="67"/>
      <c r="FF323" s="67"/>
      <c r="FG323" s="67"/>
      <c r="FH323" s="67"/>
      <c r="FI323" s="67" t="s">
        <v>1734</v>
      </c>
    </row>
    <row r="324" spans="2:165" x14ac:dyDescent="0.2">
      <c r="B324" s="67" t="s">
        <v>901</v>
      </c>
      <c r="C324" s="67"/>
      <c r="D324" s="67" t="s">
        <v>902</v>
      </c>
      <c r="E324" s="67"/>
      <c r="F324" s="67"/>
      <c r="G324" s="67" t="s">
        <v>694</v>
      </c>
      <c r="H324" s="67"/>
      <c r="I324" s="67" t="s">
        <v>43</v>
      </c>
      <c r="J324" s="67"/>
      <c r="K324" s="67"/>
      <c r="L324" s="67" t="s">
        <v>779</v>
      </c>
      <c r="M324" s="67" t="s">
        <v>752</v>
      </c>
      <c r="N324" s="67"/>
      <c r="O324" s="67" t="s">
        <v>1599</v>
      </c>
      <c r="P324" s="67"/>
      <c r="Q324" s="67">
        <v>400</v>
      </c>
      <c r="R324" s="67">
        <v>0</v>
      </c>
      <c r="S324" s="67">
        <v>0</v>
      </c>
      <c r="T324" s="67">
        <v>0</v>
      </c>
      <c r="U324" s="67">
        <v>0</v>
      </c>
      <c r="V324" s="67">
        <v>0</v>
      </c>
      <c r="W324" s="67">
        <v>0</v>
      </c>
      <c r="X324" s="67">
        <v>0</v>
      </c>
      <c r="Y324" s="67">
        <v>0</v>
      </c>
      <c r="Z324" s="67">
        <v>400</v>
      </c>
      <c r="AA324" s="67">
        <v>0</v>
      </c>
      <c r="AB324" s="67">
        <v>0</v>
      </c>
      <c r="AC324" s="67">
        <v>0</v>
      </c>
      <c r="AD324" s="67">
        <v>0</v>
      </c>
      <c r="AE324" s="67">
        <v>0</v>
      </c>
      <c r="AF324" s="67">
        <v>0</v>
      </c>
      <c r="AG324" s="67">
        <v>0</v>
      </c>
      <c r="AH324" s="67">
        <v>0</v>
      </c>
      <c r="AI324" s="67">
        <v>0</v>
      </c>
      <c r="AJ324" s="67">
        <v>0</v>
      </c>
      <c r="AK324" s="67">
        <v>0</v>
      </c>
      <c r="AL324" s="67">
        <v>0</v>
      </c>
      <c r="AM324" s="67">
        <v>0</v>
      </c>
      <c r="AN324" s="67">
        <v>0</v>
      </c>
      <c r="AO324" s="67">
        <v>0</v>
      </c>
      <c r="AP324" s="67">
        <v>0</v>
      </c>
      <c r="AQ324" s="67">
        <v>0</v>
      </c>
      <c r="AR324" s="67">
        <v>0</v>
      </c>
      <c r="AS324" s="67">
        <v>0</v>
      </c>
      <c r="AT324" s="67"/>
      <c r="AU324" s="67"/>
      <c r="AV324" s="67"/>
      <c r="AW324" s="67">
        <v>0</v>
      </c>
      <c r="AX324" s="67">
        <v>0</v>
      </c>
      <c r="AY324" s="67"/>
      <c r="AZ324" s="67"/>
      <c r="BA324" s="67"/>
      <c r="BB324" s="67"/>
      <c r="BC324" s="67"/>
      <c r="BD324" s="67"/>
      <c r="BE324" s="67"/>
      <c r="BG324" s="67"/>
      <c r="BH324" s="67"/>
      <c r="BI324" s="67"/>
      <c r="BJ324" s="67">
        <v>0</v>
      </c>
      <c r="BK324" s="67"/>
      <c r="BL324" s="67"/>
      <c r="BP324" s="67"/>
      <c r="BQ324" s="67">
        <v>0</v>
      </c>
      <c r="BR324" s="67"/>
      <c r="BS324" s="67"/>
      <c r="BT324" s="67">
        <v>0</v>
      </c>
      <c r="BU324" s="67">
        <v>0</v>
      </c>
      <c r="BV324" s="67"/>
      <c r="BW324" s="67"/>
      <c r="BX324" s="67">
        <v>0</v>
      </c>
      <c r="BY324" s="67">
        <v>0</v>
      </c>
      <c r="BZ324" s="67">
        <v>0</v>
      </c>
      <c r="CA324" s="67"/>
      <c r="CB324" s="67">
        <v>0</v>
      </c>
      <c r="CC324" s="67"/>
      <c r="CD324" s="67"/>
      <c r="CE324" s="67">
        <v>0</v>
      </c>
      <c r="CF324" s="67"/>
      <c r="CG324" s="67"/>
      <c r="CH324" s="67"/>
      <c r="CI324" s="67"/>
      <c r="CJ324" s="67"/>
      <c r="CK324" s="67">
        <v>0</v>
      </c>
      <c r="CL324" s="67"/>
      <c r="CM324" s="67"/>
      <c r="CN324" s="67"/>
      <c r="CO324" s="67">
        <v>0</v>
      </c>
      <c r="CP324" s="67"/>
      <c r="CQ324" s="67"/>
      <c r="CR324" s="67"/>
      <c r="CS324" s="67"/>
      <c r="CT324" s="67"/>
      <c r="CU324" s="67">
        <v>0</v>
      </c>
      <c r="CV324" s="67"/>
      <c r="CW324" s="67"/>
      <c r="CX324" s="67"/>
      <c r="CY324" s="67">
        <v>0</v>
      </c>
      <c r="CZ324" s="67"/>
      <c r="DA324" s="67"/>
      <c r="DB324" s="67"/>
      <c r="DC324" s="67"/>
      <c r="DF324" s="67"/>
      <c r="DG324" s="67">
        <v>0</v>
      </c>
      <c r="DH324" s="67">
        <v>0</v>
      </c>
      <c r="DI324" s="67">
        <v>0</v>
      </c>
      <c r="DJ324" s="67"/>
      <c r="DK324" s="67">
        <v>0</v>
      </c>
      <c r="DL324" s="67">
        <v>0</v>
      </c>
      <c r="DM324" s="67">
        <v>0</v>
      </c>
      <c r="DN324" s="67"/>
      <c r="DO324" s="67"/>
      <c r="DP324" s="67"/>
      <c r="DQ324" s="67">
        <v>0</v>
      </c>
      <c r="DR324" s="67">
        <v>0</v>
      </c>
      <c r="DS324" s="67"/>
      <c r="DT324" s="67"/>
      <c r="DU324" s="67">
        <v>0</v>
      </c>
      <c r="DV324" s="67">
        <v>0</v>
      </c>
      <c r="DW324" s="67">
        <v>0</v>
      </c>
      <c r="DX324" s="67">
        <v>0</v>
      </c>
      <c r="DY324" s="67"/>
      <c r="DZ324" s="67">
        <v>0</v>
      </c>
      <c r="EA324" s="67"/>
      <c r="EB324" s="67">
        <v>0</v>
      </c>
      <c r="EC324" s="67"/>
      <c r="ED324" s="67">
        <v>0</v>
      </c>
      <c r="EE324" s="67"/>
      <c r="EF324" s="67">
        <v>0</v>
      </c>
      <c r="EG324" s="67"/>
      <c r="EH324" s="67"/>
      <c r="EI324" s="67"/>
      <c r="EJ324" s="67"/>
      <c r="EK324" s="67"/>
      <c r="EL324" s="67"/>
      <c r="EM324" s="67"/>
      <c r="EN324" s="67"/>
      <c r="EO324" s="67"/>
      <c r="EP324" s="67">
        <v>0</v>
      </c>
      <c r="EQ324" s="67">
        <v>0</v>
      </c>
      <c r="ER324" s="67">
        <v>0</v>
      </c>
      <c r="ES324" s="67"/>
      <c r="ET324">
        <v>0</v>
      </c>
      <c r="EX324" s="67"/>
      <c r="EY324" s="67"/>
      <c r="EZ324" s="67"/>
      <c r="FA324" s="67">
        <v>400</v>
      </c>
      <c r="FB324" s="67">
        <v>0</v>
      </c>
      <c r="FC324" s="67"/>
      <c r="FD324" s="67"/>
      <c r="FE324" s="67"/>
      <c r="FF324" s="67"/>
      <c r="FG324" s="67"/>
      <c r="FH324" s="67"/>
      <c r="FI324" s="67" t="s">
        <v>1734</v>
      </c>
    </row>
    <row r="325" spans="2:165" ht="24" x14ac:dyDescent="0.2">
      <c r="B325" s="67" t="s">
        <v>903</v>
      </c>
      <c r="C325" s="67"/>
      <c r="D325" s="67" t="s">
        <v>904</v>
      </c>
      <c r="E325" s="67" t="s">
        <v>889</v>
      </c>
      <c r="F325" s="67"/>
      <c r="G325" s="67" t="s">
        <v>694</v>
      </c>
      <c r="H325" s="67"/>
      <c r="I325" s="67" t="s">
        <v>43</v>
      </c>
      <c r="J325" s="67"/>
      <c r="K325" s="67"/>
      <c r="L325" s="67" t="s">
        <v>751</v>
      </c>
      <c r="M325" s="67" t="s">
        <v>752</v>
      </c>
      <c r="N325" s="67"/>
      <c r="O325" s="67" t="s">
        <v>1605</v>
      </c>
      <c r="P325" s="67"/>
      <c r="Q325" s="67">
        <v>0</v>
      </c>
      <c r="R325" s="67">
        <v>0</v>
      </c>
      <c r="S325" s="67">
        <v>0</v>
      </c>
      <c r="T325" s="67">
        <v>0</v>
      </c>
      <c r="U325" s="67">
        <v>0</v>
      </c>
      <c r="V325" s="67">
        <v>0</v>
      </c>
      <c r="W325" s="67">
        <v>0</v>
      </c>
      <c r="X325" s="67">
        <v>0</v>
      </c>
      <c r="Y325" s="67">
        <v>0</v>
      </c>
      <c r="Z325" s="67">
        <v>0</v>
      </c>
      <c r="AA325" s="67">
        <v>0</v>
      </c>
      <c r="AB325" s="67">
        <v>0</v>
      </c>
      <c r="AC325" s="67">
        <v>0</v>
      </c>
      <c r="AD325" s="67">
        <v>0</v>
      </c>
      <c r="AE325" s="67">
        <v>0</v>
      </c>
      <c r="AF325" s="67">
        <v>0</v>
      </c>
      <c r="AG325" s="67">
        <v>0</v>
      </c>
      <c r="AH325" s="67">
        <v>0</v>
      </c>
      <c r="AI325" s="67">
        <v>0</v>
      </c>
      <c r="AJ325" s="67">
        <v>0</v>
      </c>
      <c r="AK325" s="67">
        <v>0</v>
      </c>
      <c r="AL325" s="67">
        <v>0</v>
      </c>
      <c r="AM325" s="67">
        <v>0</v>
      </c>
      <c r="AN325" s="67">
        <v>0</v>
      </c>
      <c r="AO325" s="67">
        <v>0</v>
      </c>
      <c r="AP325" s="67">
        <v>0</v>
      </c>
      <c r="AQ325" s="67">
        <v>0</v>
      </c>
      <c r="AR325" s="67">
        <v>0</v>
      </c>
      <c r="AS325" s="67">
        <v>0</v>
      </c>
      <c r="AT325" s="67"/>
      <c r="AU325" s="67"/>
      <c r="AV325" s="67"/>
      <c r="AW325" s="67">
        <v>0</v>
      </c>
      <c r="AX325" s="67">
        <v>0</v>
      </c>
      <c r="AY325" s="67"/>
      <c r="AZ325" s="67"/>
      <c r="BA325" s="67"/>
      <c r="BB325" s="67"/>
      <c r="BC325" s="67"/>
      <c r="BD325" s="67"/>
      <c r="BE325" s="67"/>
      <c r="BG325" s="67"/>
      <c r="BH325" s="67"/>
      <c r="BI325" s="67"/>
      <c r="BJ325" s="67">
        <v>0</v>
      </c>
      <c r="BK325" s="67"/>
      <c r="BL325" s="67"/>
      <c r="BP325" s="67"/>
      <c r="BQ325" s="67">
        <v>0</v>
      </c>
      <c r="BR325" s="67"/>
      <c r="BS325" s="67"/>
      <c r="BT325" s="67">
        <v>0</v>
      </c>
      <c r="BU325" s="67">
        <v>0</v>
      </c>
      <c r="BV325" s="67"/>
      <c r="BW325" s="67"/>
      <c r="BX325" s="67">
        <v>0</v>
      </c>
      <c r="BY325" s="67">
        <v>0</v>
      </c>
      <c r="BZ325" s="67">
        <v>0</v>
      </c>
      <c r="CA325" s="67"/>
      <c r="CB325" s="67">
        <v>0</v>
      </c>
      <c r="CC325" s="67"/>
      <c r="CD325" s="67"/>
      <c r="CE325" s="67">
        <v>0</v>
      </c>
      <c r="CF325" s="67"/>
      <c r="CG325" s="67"/>
      <c r="CH325" s="67"/>
      <c r="CI325" s="67"/>
      <c r="CJ325" s="67"/>
      <c r="CK325" s="67">
        <v>0</v>
      </c>
      <c r="CL325" s="67"/>
      <c r="CM325" s="67"/>
      <c r="CN325" s="67"/>
      <c r="CO325" s="67">
        <v>0</v>
      </c>
      <c r="CP325" s="67"/>
      <c r="CQ325" s="67"/>
      <c r="CR325" s="67"/>
      <c r="CS325" s="67"/>
      <c r="CT325" s="67"/>
      <c r="CU325" s="67">
        <v>0</v>
      </c>
      <c r="CV325" s="67"/>
      <c r="CW325" s="67"/>
      <c r="CX325" s="67"/>
      <c r="CY325" s="67">
        <v>0</v>
      </c>
      <c r="CZ325" s="67"/>
      <c r="DA325" s="67"/>
      <c r="DB325" s="67"/>
      <c r="DC325" s="67"/>
      <c r="DF325" s="67"/>
      <c r="DG325" s="67">
        <v>0</v>
      </c>
      <c r="DH325" s="67">
        <v>0</v>
      </c>
      <c r="DI325" s="67">
        <v>0</v>
      </c>
      <c r="DJ325" s="67"/>
      <c r="DK325" s="67">
        <v>0</v>
      </c>
      <c r="DL325" s="67">
        <v>0</v>
      </c>
      <c r="DM325" s="67">
        <v>0</v>
      </c>
      <c r="DN325" s="67"/>
      <c r="DO325" s="67"/>
      <c r="DP325" s="67"/>
      <c r="DQ325" s="67">
        <v>0</v>
      </c>
      <c r="DR325" s="67">
        <v>0</v>
      </c>
      <c r="DS325" s="67"/>
      <c r="DT325" s="67"/>
      <c r="DU325" s="67">
        <v>0</v>
      </c>
      <c r="DV325" s="67">
        <v>0</v>
      </c>
      <c r="DW325" s="67">
        <v>0</v>
      </c>
      <c r="DX325" s="67">
        <v>0</v>
      </c>
      <c r="DY325" s="67"/>
      <c r="DZ325" s="67">
        <v>0</v>
      </c>
      <c r="EA325" s="67"/>
      <c r="EB325" s="67">
        <v>0</v>
      </c>
      <c r="EC325" s="67"/>
      <c r="ED325" s="67">
        <v>0</v>
      </c>
      <c r="EE325" s="67"/>
      <c r="EF325" s="67">
        <v>0</v>
      </c>
      <c r="EG325" s="67"/>
      <c r="EH325" s="67"/>
      <c r="EI325" s="67"/>
      <c r="EJ325" s="67"/>
      <c r="EK325" s="67"/>
      <c r="EL325" s="67"/>
      <c r="EM325" s="67"/>
      <c r="EN325" s="67"/>
      <c r="EO325" s="67"/>
      <c r="EP325" s="67">
        <v>0</v>
      </c>
      <c r="EQ325" s="67">
        <v>0</v>
      </c>
      <c r="ER325" s="67">
        <v>0</v>
      </c>
      <c r="ES325" s="67"/>
      <c r="ET325">
        <v>0</v>
      </c>
      <c r="EX325" s="67"/>
      <c r="EY325" s="67"/>
      <c r="EZ325" s="67"/>
      <c r="FA325" s="67">
        <v>0</v>
      </c>
      <c r="FB325" s="67">
        <v>0</v>
      </c>
      <c r="FC325" s="67"/>
      <c r="FD325" s="67"/>
      <c r="FE325" s="67"/>
      <c r="FF325" s="67"/>
      <c r="FG325" s="67"/>
      <c r="FH325" s="67"/>
      <c r="FI325" s="67" t="s">
        <v>1734</v>
      </c>
    </row>
    <row r="326" spans="2:165" x14ac:dyDescent="0.2">
      <c r="B326" s="67" t="s">
        <v>905</v>
      </c>
      <c r="C326" s="67"/>
      <c r="D326" s="67" t="s">
        <v>906</v>
      </c>
      <c r="E326" s="67"/>
      <c r="F326" s="67"/>
      <c r="G326" s="67" t="s">
        <v>694</v>
      </c>
      <c r="H326" s="67"/>
      <c r="I326" s="67"/>
      <c r="J326" s="67"/>
      <c r="K326" s="67"/>
      <c r="L326" s="67" t="s">
        <v>779</v>
      </c>
      <c r="M326" s="67" t="s">
        <v>752</v>
      </c>
      <c r="N326" s="67"/>
      <c r="O326" s="67" t="s">
        <v>1599</v>
      </c>
      <c r="P326" s="67"/>
      <c r="Q326" s="67">
        <v>370</v>
      </c>
      <c r="R326" s="67">
        <v>0</v>
      </c>
      <c r="S326" s="67">
        <v>0</v>
      </c>
      <c r="T326" s="67">
        <v>0</v>
      </c>
      <c r="U326" s="67">
        <v>0</v>
      </c>
      <c r="V326" s="67">
        <v>0</v>
      </c>
      <c r="W326" s="67">
        <v>350</v>
      </c>
      <c r="X326" s="67">
        <v>0</v>
      </c>
      <c r="Y326" s="67">
        <v>0</v>
      </c>
      <c r="Z326" s="67">
        <v>20</v>
      </c>
      <c r="AA326" s="67">
        <v>0</v>
      </c>
      <c r="AB326" s="67">
        <v>0</v>
      </c>
      <c r="AC326" s="67">
        <v>0</v>
      </c>
      <c r="AD326" s="67">
        <v>0</v>
      </c>
      <c r="AE326" s="67">
        <v>0</v>
      </c>
      <c r="AF326" s="67">
        <v>0</v>
      </c>
      <c r="AG326" s="67">
        <v>0</v>
      </c>
      <c r="AH326" s="67">
        <v>0</v>
      </c>
      <c r="AI326" s="67">
        <v>0</v>
      </c>
      <c r="AJ326" s="67">
        <v>0</v>
      </c>
      <c r="AK326" s="67">
        <v>0</v>
      </c>
      <c r="AL326" s="67">
        <v>0</v>
      </c>
      <c r="AM326" s="67">
        <v>0</v>
      </c>
      <c r="AN326" s="67">
        <v>0</v>
      </c>
      <c r="AO326" s="67">
        <v>0</v>
      </c>
      <c r="AP326" s="67">
        <v>0</v>
      </c>
      <c r="AQ326" s="67">
        <v>0</v>
      </c>
      <c r="AR326" s="67">
        <v>0</v>
      </c>
      <c r="AS326" s="67">
        <v>0</v>
      </c>
      <c r="AT326" s="67"/>
      <c r="AU326" s="67"/>
      <c r="AV326" s="67"/>
      <c r="AW326" s="67">
        <v>0</v>
      </c>
      <c r="AX326" s="67">
        <v>0</v>
      </c>
      <c r="AY326" s="67"/>
      <c r="AZ326" s="67"/>
      <c r="BA326" s="67"/>
      <c r="BB326" s="67"/>
      <c r="BC326" s="67"/>
      <c r="BD326" s="67"/>
      <c r="BE326" s="67"/>
      <c r="BG326" s="67"/>
      <c r="BH326" s="67"/>
      <c r="BI326" s="67"/>
      <c r="BJ326" s="67">
        <v>0</v>
      </c>
      <c r="BK326" s="67"/>
      <c r="BL326" s="67"/>
      <c r="BP326" s="67"/>
      <c r="BQ326" s="67">
        <v>0</v>
      </c>
      <c r="BR326" s="67"/>
      <c r="BS326" s="67"/>
      <c r="BT326" s="67">
        <v>0</v>
      </c>
      <c r="BU326" s="67">
        <v>0</v>
      </c>
      <c r="BV326" s="67"/>
      <c r="BW326" s="67"/>
      <c r="BX326" s="67">
        <v>0</v>
      </c>
      <c r="BY326" s="67">
        <v>0</v>
      </c>
      <c r="BZ326" s="67">
        <v>0</v>
      </c>
      <c r="CA326" s="67"/>
      <c r="CB326" s="67">
        <v>0</v>
      </c>
      <c r="CC326" s="67"/>
      <c r="CD326" s="67"/>
      <c r="CE326" s="67">
        <v>0</v>
      </c>
      <c r="CF326" s="67"/>
      <c r="CG326" s="67"/>
      <c r="CH326" s="67"/>
      <c r="CI326" s="67"/>
      <c r="CJ326" s="67"/>
      <c r="CK326" s="67">
        <v>0</v>
      </c>
      <c r="CL326" s="67"/>
      <c r="CM326" s="67"/>
      <c r="CN326" s="67"/>
      <c r="CO326" s="67">
        <v>0</v>
      </c>
      <c r="CP326" s="67"/>
      <c r="CQ326" s="67"/>
      <c r="CR326" s="67"/>
      <c r="CS326" s="67"/>
      <c r="CT326" s="67"/>
      <c r="CU326" s="67">
        <v>0</v>
      </c>
      <c r="CV326" s="67"/>
      <c r="CW326" s="67"/>
      <c r="CX326" s="67"/>
      <c r="CY326" s="67">
        <v>0</v>
      </c>
      <c r="CZ326" s="67"/>
      <c r="DA326" s="67"/>
      <c r="DB326" s="67"/>
      <c r="DC326" s="67"/>
      <c r="DF326" s="67"/>
      <c r="DG326" s="67">
        <v>0</v>
      </c>
      <c r="DH326" s="67">
        <v>0</v>
      </c>
      <c r="DI326" s="67">
        <v>0</v>
      </c>
      <c r="DJ326" s="67"/>
      <c r="DK326" s="67">
        <v>0</v>
      </c>
      <c r="DL326" s="67">
        <v>0</v>
      </c>
      <c r="DM326" s="67">
        <v>0</v>
      </c>
      <c r="DN326" s="67"/>
      <c r="DO326" s="67"/>
      <c r="DP326" s="67"/>
      <c r="DQ326" s="67">
        <v>0</v>
      </c>
      <c r="DR326" s="67">
        <v>0</v>
      </c>
      <c r="DS326" s="67"/>
      <c r="DT326" s="67"/>
      <c r="DU326" s="67">
        <v>0</v>
      </c>
      <c r="DV326" s="67">
        <v>0</v>
      </c>
      <c r="DW326" s="67">
        <v>0</v>
      </c>
      <c r="DX326" s="67">
        <v>0</v>
      </c>
      <c r="DY326" s="67"/>
      <c r="DZ326" s="67">
        <v>0</v>
      </c>
      <c r="EA326" s="67"/>
      <c r="EB326" s="67">
        <v>0</v>
      </c>
      <c r="EC326" s="67"/>
      <c r="ED326" s="67">
        <v>0</v>
      </c>
      <c r="EE326" s="67"/>
      <c r="EF326" s="67">
        <v>0</v>
      </c>
      <c r="EG326" s="67"/>
      <c r="EH326" s="67"/>
      <c r="EI326" s="67"/>
      <c r="EJ326" s="67"/>
      <c r="EK326" s="67"/>
      <c r="EL326" s="67"/>
      <c r="EM326" s="67"/>
      <c r="EN326" s="67"/>
      <c r="EO326" s="67"/>
      <c r="EP326" s="67">
        <v>0</v>
      </c>
      <c r="EQ326" s="67">
        <v>0</v>
      </c>
      <c r="ER326" s="67">
        <v>0</v>
      </c>
      <c r="ES326" s="67"/>
      <c r="ET326">
        <v>0</v>
      </c>
      <c r="EX326" s="67"/>
      <c r="EY326" s="67"/>
      <c r="EZ326" s="67"/>
      <c r="FA326" s="67">
        <v>370</v>
      </c>
      <c r="FB326" s="67">
        <v>0</v>
      </c>
      <c r="FC326" s="67"/>
      <c r="FD326" s="67"/>
      <c r="FE326" s="67"/>
      <c r="FF326" s="67"/>
      <c r="FG326" s="67"/>
      <c r="FH326" s="67"/>
      <c r="FI326" s="67" t="s">
        <v>1734</v>
      </c>
    </row>
    <row r="327" spans="2:165" ht="24" x14ac:dyDescent="0.2">
      <c r="B327" s="67" t="s">
        <v>907</v>
      </c>
      <c r="C327" s="67"/>
      <c r="D327" s="67" t="s">
        <v>908</v>
      </c>
      <c r="E327" s="67" t="s">
        <v>889</v>
      </c>
      <c r="F327" s="67" t="s">
        <v>898</v>
      </c>
      <c r="G327" s="67" t="s">
        <v>694</v>
      </c>
      <c r="H327" s="67"/>
      <c r="I327" s="67" t="s">
        <v>43</v>
      </c>
      <c r="J327" s="67"/>
      <c r="K327" s="67"/>
      <c r="L327" s="67" t="s">
        <v>787</v>
      </c>
      <c r="M327" s="67" t="s">
        <v>752</v>
      </c>
      <c r="N327" s="67"/>
      <c r="O327" s="67" t="s">
        <v>1605</v>
      </c>
      <c r="P327" s="67"/>
      <c r="Q327" s="67">
        <v>0</v>
      </c>
      <c r="R327" s="67">
        <v>0</v>
      </c>
      <c r="S327" s="67">
        <v>0</v>
      </c>
      <c r="T327" s="67">
        <v>0</v>
      </c>
      <c r="U327" s="67">
        <v>0</v>
      </c>
      <c r="V327" s="67">
        <v>0</v>
      </c>
      <c r="W327" s="67">
        <v>0</v>
      </c>
      <c r="X327" s="67">
        <v>0</v>
      </c>
      <c r="Y327" s="67">
        <v>0</v>
      </c>
      <c r="Z327" s="67">
        <v>0</v>
      </c>
      <c r="AA327" s="67">
        <v>0</v>
      </c>
      <c r="AB327" s="67">
        <v>0</v>
      </c>
      <c r="AC327" s="67">
        <v>0</v>
      </c>
      <c r="AD327" s="67">
        <v>0</v>
      </c>
      <c r="AE327" s="67">
        <v>0</v>
      </c>
      <c r="AF327" s="67">
        <v>0</v>
      </c>
      <c r="AG327" s="67">
        <v>0</v>
      </c>
      <c r="AH327" s="67">
        <v>0</v>
      </c>
      <c r="AI327" s="67">
        <v>0</v>
      </c>
      <c r="AJ327" s="67">
        <v>0</v>
      </c>
      <c r="AK327" s="67">
        <v>0</v>
      </c>
      <c r="AL327" s="67">
        <v>0</v>
      </c>
      <c r="AM327" s="67">
        <v>0</v>
      </c>
      <c r="AN327" s="67">
        <v>0</v>
      </c>
      <c r="AO327" s="67">
        <v>0</v>
      </c>
      <c r="AP327" s="67">
        <v>0</v>
      </c>
      <c r="AQ327" s="67">
        <v>0</v>
      </c>
      <c r="AR327" s="67">
        <v>0</v>
      </c>
      <c r="AS327" s="67">
        <v>0</v>
      </c>
      <c r="AT327" s="67"/>
      <c r="AU327" s="67"/>
      <c r="AV327" s="67"/>
      <c r="AW327" s="67">
        <v>0</v>
      </c>
      <c r="AX327" s="67">
        <v>0</v>
      </c>
      <c r="AY327" s="67"/>
      <c r="AZ327" s="67"/>
      <c r="BA327" s="67"/>
      <c r="BB327" s="67"/>
      <c r="BC327" s="67"/>
      <c r="BD327" s="67"/>
      <c r="BE327" s="67"/>
      <c r="BG327" s="67"/>
      <c r="BH327" s="67"/>
      <c r="BI327" s="67"/>
      <c r="BJ327" s="67">
        <v>0</v>
      </c>
      <c r="BK327" s="67"/>
      <c r="BL327" s="67"/>
      <c r="BP327" s="67"/>
      <c r="BQ327" s="67">
        <v>0</v>
      </c>
      <c r="BR327" s="67"/>
      <c r="BS327" s="67"/>
      <c r="BT327" s="67">
        <v>0</v>
      </c>
      <c r="BU327" s="67">
        <v>0</v>
      </c>
      <c r="BV327" s="67"/>
      <c r="BW327" s="67"/>
      <c r="BX327" s="67">
        <v>0</v>
      </c>
      <c r="BY327" s="67">
        <v>0</v>
      </c>
      <c r="BZ327" s="67">
        <v>0</v>
      </c>
      <c r="CA327" s="67"/>
      <c r="CB327" s="67">
        <v>0</v>
      </c>
      <c r="CC327" s="67"/>
      <c r="CD327" s="67"/>
      <c r="CE327" s="67">
        <v>0</v>
      </c>
      <c r="CF327" s="67"/>
      <c r="CG327" s="67"/>
      <c r="CH327" s="67"/>
      <c r="CI327" s="67"/>
      <c r="CJ327" s="67"/>
      <c r="CK327" s="67">
        <v>0</v>
      </c>
      <c r="CL327" s="67"/>
      <c r="CM327" s="67"/>
      <c r="CN327" s="67"/>
      <c r="CO327" s="67">
        <v>0</v>
      </c>
      <c r="CP327" s="67"/>
      <c r="CQ327" s="67"/>
      <c r="CR327" s="67"/>
      <c r="CS327" s="67"/>
      <c r="CT327" s="67"/>
      <c r="CU327" s="67">
        <v>0</v>
      </c>
      <c r="CV327" s="67"/>
      <c r="CW327" s="67"/>
      <c r="CX327" s="67"/>
      <c r="CY327" s="67">
        <v>0</v>
      </c>
      <c r="CZ327" s="67"/>
      <c r="DA327" s="67"/>
      <c r="DB327" s="67"/>
      <c r="DC327" s="67"/>
      <c r="DF327" s="67"/>
      <c r="DG327" s="67">
        <v>0</v>
      </c>
      <c r="DH327" s="67">
        <v>0</v>
      </c>
      <c r="DI327" s="67">
        <v>0</v>
      </c>
      <c r="DJ327" s="67"/>
      <c r="DK327" s="67">
        <v>0</v>
      </c>
      <c r="DL327" s="67">
        <v>0</v>
      </c>
      <c r="DM327" s="67">
        <v>0</v>
      </c>
      <c r="DN327" s="67"/>
      <c r="DO327" s="67"/>
      <c r="DP327" s="67"/>
      <c r="DQ327" s="67">
        <v>0</v>
      </c>
      <c r="DR327" s="67">
        <v>0</v>
      </c>
      <c r="DS327" s="67"/>
      <c r="DT327" s="67"/>
      <c r="DU327" s="67">
        <v>0</v>
      </c>
      <c r="DV327" s="67">
        <v>0</v>
      </c>
      <c r="DW327" s="67">
        <v>0</v>
      </c>
      <c r="DX327" s="67">
        <v>0</v>
      </c>
      <c r="DY327" s="67"/>
      <c r="DZ327" s="67">
        <v>0</v>
      </c>
      <c r="EA327" s="67"/>
      <c r="EB327" s="67">
        <v>0</v>
      </c>
      <c r="EC327" s="67"/>
      <c r="ED327" s="67">
        <v>0</v>
      </c>
      <c r="EE327" s="67"/>
      <c r="EF327" s="67">
        <v>0</v>
      </c>
      <c r="EG327" s="67"/>
      <c r="EH327" s="67"/>
      <c r="EI327" s="67"/>
      <c r="EJ327" s="67"/>
      <c r="EK327" s="67"/>
      <c r="EL327" s="67"/>
      <c r="EM327" s="67"/>
      <c r="EN327" s="67"/>
      <c r="EO327" s="67"/>
      <c r="EP327" s="67">
        <v>0</v>
      </c>
      <c r="EQ327" s="67">
        <v>0</v>
      </c>
      <c r="ER327" s="67">
        <v>0</v>
      </c>
      <c r="ES327" s="67"/>
      <c r="ET327">
        <v>0</v>
      </c>
      <c r="EX327" s="67"/>
      <c r="EY327" s="67"/>
      <c r="EZ327" s="67"/>
      <c r="FA327" s="67">
        <v>0</v>
      </c>
      <c r="FB327" s="67">
        <v>0</v>
      </c>
      <c r="FC327" s="67"/>
      <c r="FD327" s="67"/>
      <c r="FE327" s="67"/>
      <c r="FF327" s="67"/>
      <c r="FG327" s="67"/>
      <c r="FH327" s="67"/>
      <c r="FI327" s="67" t="s">
        <v>1734</v>
      </c>
    </row>
    <row r="328" spans="2:165" x14ac:dyDescent="0.2">
      <c r="B328" s="67" t="s">
        <v>910</v>
      </c>
      <c r="C328" s="67"/>
      <c r="D328" s="67" t="s">
        <v>911</v>
      </c>
      <c r="E328" s="67" t="s">
        <v>23</v>
      </c>
      <c r="F328" s="67" t="s">
        <v>810</v>
      </c>
      <c r="G328" s="67" t="s">
        <v>694</v>
      </c>
      <c r="H328" s="67"/>
      <c r="I328" s="67" t="s">
        <v>43</v>
      </c>
      <c r="J328" s="67"/>
      <c r="K328" s="67"/>
      <c r="L328" s="67" t="s">
        <v>779</v>
      </c>
      <c r="M328" s="67" t="s">
        <v>752</v>
      </c>
      <c r="N328" s="67"/>
      <c r="O328" s="67" t="s">
        <v>1599</v>
      </c>
      <c r="P328" s="67"/>
      <c r="Q328" s="67">
        <v>600</v>
      </c>
      <c r="R328" s="67">
        <v>0</v>
      </c>
      <c r="S328" s="67">
        <v>0</v>
      </c>
      <c r="T328" s="67">
        <v>0</v>
      </c>
      <c r="U328" s="67">
        <v>0</v>
      </c>
      <c r="V328" s="67">
        <v>0</v>
      </c>
      <c r="W328" s="67">
        <v>600</v>
      </c>
      <c r="X328" s="67">
        <v>0</v>
      </c>
      <c r="Y328" s="67">
        <v>0</v>
      </c>
      <c r="Z328" s="67">
        <v>0</v>
      </c>
      <c r="AA328" s="67">
        <v>0</v>
      </c>
      <c r="AB328" s="67">
        <v>0</v>
      </c>
      <c r="AC328" s="67">
        <v>0</v>
      </c>
      <c r="AD328" s="67">
        <v>0</v>
      </c>
      <c r="AE328" s="67">
        <v>0</v>
      </c>
      <c r="AF328" s="67">
        <v>0</v>
      </c>
      <c r="AG328" s="67">
        <v>0</v>
      </c>
      <c r="AH328" s="67">
        <v>0</v>
      </c>
      <c r="AI328" s="67">
        <v>0</v>
      </c>
      <c r="AJ328" s="67">
        <v>0</v>
      </c>
      <c r="AK328" s="67">
        <v>0</v>
      </c>
      <c r="AL328" s="67">
        <v>0</v>
      </c>
      <c r="AM328" s="67">
        <v>0</v>
      </c>
      <c r="AN328" s="67">
        <v>0</v>
      </c>
      <c r="AO328" s="67">
        <v>0</v>
      </c>
      <c r="AP328" s="67">
        <v>0</v>
      </c>
      <c r="AQ328" s="67">
        <v>0</v>
      </c>
      <c r="AR328" s="67">
        <v>0</v>
      </c>
      <c r="AS328" s="67">
        <v>0</v>
      </c>
      <c r="AT328" s="67"/>
      <c r="AU328" s="67"/>
      <c r="AV328" s="67"/>
      <c r="AW328" s="67">
        <v>0</v>
      </c>
      <c r="AX328" s="67">
        <v>0</v>
      </c>
      <c r="AY328" s="67"/>
      <c r="AZ328" s="67"/>
      <c r="BA328" s="67"/>
      <c r="BB328" s="67"/>
      <c r="BC328" s="67"/>
      <c r="BD328" s="67"/>
      <c r="BE328" s="67"/>
      <c r="BG328" s="67"/>
      <c r="BH328" s="67"/>
      <c r="BI328" s="67"/>
      <c r="BJ328" s="67">
        <v>0</v>
      </c>
      <c r="BK328" s="67"/>
      <c r="BL328" s="67"/>
      <c r="BP328" s="67"/>
      <c r="BQ328" s="67">
        <v>0</v>
      </c>
      <c r="BR328" s="67"/>
      <c r="BS328" s="67"/>
      <c r="BT328" s="67">
        <v>0</v>
      </c>
      <c r="BU328" s="67">
        <v>0</v>
      </c>
      <c r="BV328" s="67"/>
      <c r="BW328" s="67"/>
      <c r="BX328" s="67">
        <v>0</v>
      </c>
      <c r="BY328" s="67">
        <v>0</v>
      </c>
      <c r="BZ328" s="67">
        <v>0</v>
      </c>
      <c r="CA328" s="67"/>
      <c r="CB328" s="67">
        <v>0</v>
      </c>
      <c r="CC328" s="67"/>
      <c r="CD328" s="67"/>
      <c r="CE328" s="67">
        <v>0</v>
      </c>
      <c r="CF328" s="67"/>
      <c r="CG328" s="67"/>
      <c r="CH328" s="67"/>
      <c r="CI328" s="67"/>
      <c r="CJ328" s="67"/>
      <c r="CK328" s="67">
        <v>0</v>
      </c>
      <c r="CL328" s="67"/>
      <c r="CM328" s="67"/>
      <c r="CN328" s="67"/>
      <c r="CO328" s="67">
        <v>0</v>
      </c>
      <c r="CP328" s="67"/>
      <c r="CQ328" s="67"/>
      <c r="CR328" s="67"/>
      <c r="CS328" s="67"/>
      <c r="CT328" s="67"/>
      <c r="CU328" s="67">
        <v>0</v>
      </c>
      <c r="CV328" s="67"/>
      <c r="CW328" s="67"/>
      <c r="CX328" s="67"/>
      <c r="CY328" s="67">
        <v>0</v>
      </c>
      <c r="CZ328" s="67"/>
      <c r="DA328" s="67"/>
      <c r="DB328" s="67"/>
      <c r="DC328" s="67"/>
      <c r="DF328" s="67"/>
      <c r="DG328" s="67">
        <v>0</v>
      </c>
      <c r="DH328" s="67">
        <v>0</v>
      </c>
      <c r="DI328" s="67">
        <v>0</v>
      </c>
      <c r="DJ328" s="67"/>
      <c r="DK328" s="67">
        <v>0</v>
      </c>
      <c r="DL328" s="67">
        <v>0</v>
      </c>
      <c r="DM328" s="67">
        <v>0</v>
      </c>
      <c r="DN328" s="67"/>
      <c r="DO328" s="67"/>
      <c r="DP328" s="67"/>
      <c r="DQ328" s="67">
        <v>0</v>
      </c>
      <c r="DR328" s="67">
        <v>0</v>
      </c>
      <c r="DS328" s="67"/>
      <c r="DT328" s="67"/>
      <c r="DU328" s="67">
        <v>0</v>
      </c>
      <c r="DV328" s="67">
        <v>0</v>
      </c>
      <c r="DW328" s="67">
        <v>0</v>
      </c>
      <c r="DX328" s="67">
        <v>0</v>
      </c>
      <c r="DY328" s="67"/>
      <c r="DZ328" s="67">
        <v>0</v>
      </c>
      <c r="EA328" s="67"/>
      <c r="EB328" s="67">
        <v>0</v>
      </c>
      <c r="EC328" s="67"/>
      <c r="ED328" s="67">
        <v>0</v>
      </c>
      <c r="EE328" s="67"/>
      <c r="EF328" s="67">
        <v>0</v>
      </c>
      <c r="EG328" s="67"/>
      <c r="EH328" s="67"/>
      <c r="EI328" s="67"/>
      <c r="EJ328" s="67"/>
      <c r="EK328" s="67"/>
      <c r="EL328" s="67"/>
      <c r="EM328" s="67"/>
      <c r="EN328" s="67"/>
      <c r="EO328" s="67"/>
      <c r="EP328" s="67">
        <v>0</v>
      </c>
      <c r="EQ328" s="67">
        <v>0</v>
      </c>
      <c r="ER328" s="67">
        <v>0</v>
      </c>
      <c r="ES328" s="67"/>
      <c r="ET328">
        <v>0</v>
      </c>
      <c r="EX328" s="67"/>
      <c r="EY328" s="67"/>
      <c r="EZ328" s="67"/>
      <c r="FA328" s="67">
        <v>600</v>
      </c>
      <c r="FB328" s="67">
        <v>0</v>
      </c>
      <c r="FC328" s="67"/>
      <c r="FD328" s="67"/>
      <c r="FE328" s="67"/>
      <c r="FF328" s="67"/>
      <c r="FG328" s="67"/>
      <c r="FH328" s="67"/>
      <c r="FI328" s="67" t="s">
        <v>1734</v>
      </c>
    </row>
    <row r="329" spans="2:165" x14ac:dyDescent="0.2">
      <c r="B329" s="67" t="s">
        <v>912</v>
      </c>
      <c r="C329" s="67"/>
      <c r="D329" s="67" t="s">
        <v>913</v>
      </c>
      <c r="E329" s="67"/>
      <c r="F329" s="67"/>
      <c r="G329" s="67" t="s">
        <v>694</v>
      </c>
      <c r="H329" s="67"/>
      <c r="I329" s="67"/>
      <c r="J329" s="67"/>
      <c r="K329" s="67"/>
      <c r="L329" s="67" t="s">
        <v>779</v>
      </c>
      <c r="M329" s="67" t="s">
        <v>752</v>
      </c>
      <c r="N329" s="67"/>
      <c r="O329" s="67" t="s">
        <v>1599</v>
      </c>
      <c r="P329" s="67"/>
      <c r="Q329" s="67">
        <v>260</v>
      </c>
      <c r="R329" s="67">
        <v>0</v>
      </c>
      <c r="S329" s="67">
        <v>0</v>
      </c>
      <c r="T329" s="67">
        <v>0</v>
      </c>
      <c r="U329" s="67">
        <v>0</v>
      </c>
      <c r="V329" s="67">
        <v>0</v>
      </c>
      <c r="W329" s="67">
        <v>0</v>
      </c>
      <c r="X329" s="67">
        <v>0</v>
      </c>
      <c r="Y329" s="67">
        <v>0</v>
      </c>
      <c r="Z329" s="67">
        <v>0</v>
      </c>
      <c r="AA329" s="67">
        <v>0</v>
      </c>
      <c r="AB329" s="67">
        <v>0</v>
      </c>
      <c r="AC329" s="67">
        <v>0</v>
      </c>
      <c r="AD329" s="67">
        <v>0</v>
      </c>
      <c r="AE329" s="67">
        <v>0</v>
      </c>
      <c r="AF329" s="67">
        <v>0</v>
      </c>
      <c r="AG329" s="67">
        <v>0</v>
      </c>
      <c r="AH329" s="67">
        <v>0</v>
      </c>
      <c r="AI329" s="67">
        <v>260</v>
      </c>
      <c r="AJ329" s="67">
        <v>0</v>
      </c>
      <c r="AK329" s="67">
        <v>0</v>
      </c>
      <c r="AL329" s="67">
        <v>0</v>
      </c>
      <c r="AM329" s="67">
        <v>0</v>
      </c>
      <c r="AN329" s="67">
        <v>0</v>
      </c>
      <c r="AO329" s="67">
        <v>0</v>
      </c>
      <c r="AP329" s="67">
        <v>0</v>
      </c>
      <c r="AQ329" s="67">
        <v>0</v>
      </c>
      <c r="AR329" s="67">
        <v>0</v>
      </c>
      <c r="AS329" s="67">
        <v>0</v>
      </c>
      <c r="AT329" s="67"/>
      <c r="AU329" s="67"/>
      <c r="AV329" s="67"/>
      <c r="AW329" s="67">
        <v>0</v>
      </c>
      <c r="AX329" s="67">
        <v>0</v>
      </c>
      <c r="AY329" s="67"/>
      <c r="AZ329" s="67"/>
      <c r="BA329" s="67"/>
      <c r="BB329" s="67"/>
      <c r="BC329" s="67"/>
      <c r="BD329" s="67"/>
      <c r="BE329" s="67"/>
      <c r="BG329" s="67"/>
      <c r="BH329" s="67"/>
      <c r="BI329" s="67"/>
      <c r="BJ329" s="67">
        <v>0</v>
      </c>
      <c r="BK329" s="67"/>
      <c r="BL329" s="67"/>
      <c r="BP329" s="67"/>
      <c r="BQ329" s="67">
        <v>0</v>
      </c>
      <c r="BR329" s="67"/>
      <c r="BS329" s="67"/>
      <c r="BT329" s="67">
        <v>0</v>
      </c>
      <c r="BU329" s="67">
        <v>0</v>
      </c>
      <c r="BV329" s="67"/>
      <c r="BW329" s="67"/>
      <c r="BX329" s="67">
        <v>0</v>
      </c>
      <c r="BY329" s="67">
        <v>0</v>
      </c>
      <c r="BZ329" s="67">
        <v>0</v>
      </c>
      <c r="CA329" s="67"/>
      <c r="CB329" s="67">
        <v>0</v>
      </c>
      <c r="CC329" s="67"/>
      <c r="CD329" s="67"/>
      <c r="CE329" s="67">
        <v>0</v>
      </c>
      <c r="CF329" s="67"/>
      <c r="CG329" s="67"/>
      <c r="CH329" s="67"/>
      <c r="CI329" s="67"/>
      <c r="CJ329" s="67"/>
      <c r="CK329" s="67">
        <v>0</v>
      </c>
      <c r="CL329" s="67"/>
      <c r="CM329" s="67"/>
      <c r="CN329" s="67"/>
      <c r="CO329" s="67">
        <v>0</v>
      </c>
      <c r="CP329" s="67"/>
      <c r="CQ329" s="67"/>
      <c r="CR329" s="67"/>
      <c r="CS329" s="67"/>
      <c r="CT329" s="67"/>
      <c r="CU329" s="67">
        <v>0</v>
      </c>
      <c r="CV329" s="67"/>
      <c r="CW329" s="67"/>
      <c r="CX329" s="67"/>
      <c r="CY329" s="67">
        <v>0</v>
      </c>
      <c r="CZ329" s="67"/>
      <c r="DA329" s="67"/>
      <c r="DB329" s="67"/>
      <c r="DC329" s="67"/>
      <c r="DF329" s="67"/>
      <c r="DG329" s="67">
        <v>0</v>
      </c>
      <c r="DH329" s="67">
        <v>0</v>
      </c>
      <c r="DI329" s="67">
        <v>0</v>
      </c>
      <c r="DJ329" s="67"/>
      <c r="DK329" s="67">
        <v>0</v>
      </c>
      <c r="DL329" s="67">
        <v>0</v>
      </c>
      <c r="DM329" s="67">
        <v>0</v>
      </c>
      <c r="DN329" s="67"/>
      <c r="DO329" s="67"/>
      <c r="DP329" s="67"/>
      <c r="DQ329" s="67">
        <v>0</v>
      </c>
      <c r="DR329" s="67">
        <v>0</v>
      </c>
      <c r="DS329" s="67"/>
      <c r="DT329" s="67"/>
      <c r="DU329" s="67">
        <v>0</v>
      </c>
      <c r="DV329" s="67">
        <v>0</v>
      </c>
      <c r="DW329" s="67">
        <v>0</v>
      </c>
      <c r="DX329" s="67">
        <v>0</v>
      </c>
      <c r="DY329" s="67"/>
      <c r="DZ329" s="67">
        <v>0</v>
      </c>
      <c r="EA329" s="67"/>
      <c r="EB329" s="67">
        <v>0</v>
      </c>
      <c r="EC329" s="67"/>
      <c r="ED329" s="67">
        <v>0</v>
      </c>
      <c r="EE329" s="67"/>
      <c r="EF329" s="67">
        <v>0</v>
      </c>
      <c r="EG329" s="67"/>
      <c r="EH329" s="67"/>
      <c r="EI329" s="67"/>
      <c r="EJ329" s="67"/>
      <c r="EK329" s="67"/>
      <c r="EL329" s="67"/>
      <c r="EM329" s="67"/>
      <c r="EN329" s="67"/>
      <c r="EO329" s="67"/>
      <c r="EP329" s="67">
        <v>0</v>
      </c>
      <c r="EQ329" s="67">
        <v>0</v>
      </c>
      <c r="ER329" s="67">
        <v>0</v>
      </c>
      <c r="ES329" s="67"/>
      <c r="ET329">
        <v>0</v>
      </c>
      <c r="EX329" s="67"/>
      <c r="EY329" s="67"/>
      <c r="EZ329" s="67"/>
      <c r="FA329" s="67">
        <v>260</v>
      </c>
      <c r="FB329" s="67">
        <v>0</v>
      </c>
      <c r="FC329" s="67"/>
      <c r="FD329" s="67"/>
      <c r="FE329" s="67"/>
      <c r="FF329" s="67"/>
      <c r="FG329" s="67"/>
      <c r="FH329" s="67"/>
      <c r="FI329" s="67" t="s">
        <v>1734</v>
      </c>
    </row>
    <row r="330" spans="2:165" x14ac:dyDescent="0.2">
      <c r="B330" s="67" t="s">
        <v>914</v>
      </c>
      <c r="C330" s="67"/>
      <c r="D330" s="67" t="s">
        <v>915</v>
      </c>
      <c r="E330" s="67"/>
      <c r="F330" s="67"/>
      <c r="G330" s="67" t="s">
        <v>694</v>
      </c>
      <c r="H330" s="67"/>
      <c r="I330" s="67" t="s">
        <v>43</v>
      </c>
      <c r="J330" s="67"/>
      <c r="K330" s="67"/>
      <c r="L330" s="67" t="s">
        <v>779</v>
      </c>
      <c r="M330" s="67" t="s">
        <v>752</v>
      </c>
      <c r="N330" s="67"/>
      <c r="O330" s="67" t="s">
        <v>1599</v>
      </c>
      <c r="P330" s="67"/>
      <c r="Q330" s="67">
        <v>5950</v>
      </c>
      <c r="R330" s="67">
        <v>0</v>
      </c>
      <c r="S330" s="67">
        <v>0</v>
      </c>
      <c r="T330" s="67">
        <v>0</v>
      </c>
      <c r="U330" s="67">
        <v>0</v>
      </c>
      <c r="V330" s="67">
        <v>0</v>
      </c>
      <c r="W330" s="67">
        <v>3720</v>
      </c>
      <c r="X330" s="67">
        <v>0</v>
      </c>
      <c r="Y330" s="67">
        <v>0</v>
      </c>
      <c r="Z330" s="67">
        <v>780</v>
      </c>
      <c r="AA330" s="67">
        <v>0</v>
      </c>
      <c r="AB330" s="67">
        <v>0</v>
      </c>
      <c r="AC330" s="67">
        <v>0</v>
      </c>
      <c r="AD330" s="67">
        <v>0</v>
      </c>
      <c r="AE330" s="67">
        <v>0</v>
      </c>
      <c r="AF330" s="67">
        <v>0</v>
      </c>
      <c r="AG330" s="67">
        <v>0</v>
      </c>
      <c r="AH330" s="67">
        <v>0</v>
      </c>
      <c r="AI330" s="67">
        <v>250</v>
      </c>
      <c r="AJ330" s="67">
        <v>1200</v>
      </c>
      <c r="AK330" s="67">
        <v>0</v>
      </c>
      <c r="AL330" s="67">
        <v>0</v>
      </c>
      <c r="AM330" s="67">
        <v>0</v>
      </c>
      <c r="AN330" s="67">
        <v>0</v>
      </c>
      <c r="AO330" s="67">
        <v>0</v>
      </c>
      <c r="AP330" s="67">
        <v>0</v>
      </c>
      <c r="AQ330" s="67">
        <v>0</v>
      </c>
      <c r="AR330" s="67">
        <v>0</v>
      </c>
      <c r="AS330" s="67">
        <v>0</v>
      </c>
      <c r="AT330" s="67"/>
      <c r="AU330" s="67"/>
      <c r="AV330" s="67"/>
      <c r="AW330" s="67">
        <v>0</v>
      </c>
      <c r="AX330" s="67">
        <v>0</v>
      </c>
      <c r="AY330" s="67"/>
      <c r="AZ330" s="67"/>
      <c r="BA330" s="67"/>
      <c r="BB330" s="67"/>
      <c r="BC330" s="67"/>
      <c r="BD330" s="67"/>
      <c r="BE330" s="67"/>
      <c r="BG330" s="67"/>
      <c r="BH330" s="67"/>
      <c r="BI330" s="67"/>
      <c r="BJ330" s="67">
        <v>0</v>
      </c>
      <c r="BK330" s="67"/>
      <c r="BL330" s="67"/>
      <c r="BP330" s="67"/>
      <c r="BQ330" s="67">
        <v>0</v>
      </c>
      <c r="BR330" s="67"/>
      <c r="BS330" s="67"/>
      <c r="BT330" s="67">
        <v>0</v>
      </c>
      <c r="BU330" s="67">
        <v>0</v>
      </c>
      <c r="BV330" s="67"/>
      <c r="BW330" s="67"/>
      <c r="BX330" s="67">
        <v>0</v>
      </c>
      <c r="BY330" s="67">
        <v>0</v>
      </c>
      <c r="BZ330" s="67">
        <v>0</v>
      </c>
      <c r="CA330" s="67"/>
      <c r="CB330" s="67">
        <v>0</v>
      </c>
      <c r="CC330" s="67"/>
      <c r="CD330" s="67"/>
      <c r="CE330" s="67">
        <v>0</v>
      </c>
      <c r="CF330" s="67"/>
      <c r="CG330" s="67"/>
      <c r="CH330" s="67"/>
      <c r="CI330" s="67"/>
      <c r="CJ330" s="67"/>
      <c r="CK330" s="67">
        <v>0</v>
      </c>
      <c r="CL330" s="67"/>
      <c r="CM330" s="67"/>
      <c r="CN330" s="67"/>
      <c r="CO330" s="67">
        <v>0</v>
      </c>
      <c r="CP330" s="67"/>
      <c r="CQ330" s="67"/>
      <c r="CR330" s="67"/>
      <c r="CS330" s="67"/>
      <c r="CT330" s="67"/>
      <c r="CU330" s="67">
        <v>0</v>
      </c>
      <c r="CV330" s="67"/>
      <c r="CW330" s="67"/>
      <c r="CX330" s="67"/>
      <c r="CY330" s="67">
        <v>0</v>
      </c>
      <c r="CZ330" s="67"/>
      <c r="DA330" s="67"/>
      <c r="DB330" s="67"/>
      <c r="DC330" s="67"/>
      <c r="DF330" s="67"/>
      <c r="DG330" s="67">
        <v>0</v>
      </c>
      <c r="DH330" s="67">
        <v>0</v>
      </c>
      <c r="DI330" s="67">
        <v>0</v>
      </c>
      <c r="DJ330" s="67"/>
      <c r="DK330" s="67">
        <v>0</v>
      </c>
      <c r="DL330" s="67">
        <v>0</v>
      </c>
      <c r="DM330" s="67">
        <v>0</v>
      </c>
      <c r="DN330" s="67"/>
      <c r="DO330" s="67"/>
      <c r="DP330" s="67"/>
      <c r="DQ330" s="67">
        <v>0</v>
      </c>
      <c r="DR330" s="67">
        <v>0</v>
      </c>
      <c r="DS330" s="67"/>
      <c r="DT330" s="67"/>
      <c r="DU330" s="67">
        <v>0</v>
      </c>
      <c r="DV330" s="67">
        <v>0</v>
      </c>
      <c r="DW330" s="67">
        <v>0</v>
      </c>
      <c r="DX330" s="67">
        <v>0</v>
      </c>
      <c r="DY330" s="67"/>
      <c r="DZ330" s="67">
        <v>0</v>
      </c>
      <c r="EA330" s="67"/>
      <c r="EB330" s="67">
        <v>0</v>
      </c>
      <c r="EC330" s="67"/>
      <c r="ED330" s="67">
        <v>0</v>
      </c>
      <c r="EE330" s="67"/>
      <c r="EF330" s="67">
        <v>0</v>
      </c>
      <c r="EG330" s="67"/>
      <c r="EH330" s="67"/>
      <c r="EI330" s="67"/>
      <c r="EJ330" s="67"/>
      <c r="EK330" s="67"/>
      <c r="EL330" s="67"/>
      <c r="EM330" s="67"/>
      <c r="EN330" s="67"/>
      <c r="EO330" s="67"/>
      <c r="EP330" s="67">
        <v>0</v>
      </c>
      <c r="EQ330" s="67">
        <v>0</v>
      </c>
      <c r="ER330" s="67">
        <v>0</v>
      </c>
      <c r="ES330" s="67"/>
      <c r="ET330">
        <v>0</v>
      </c>
      <c r="EX330" s="67"/>
      <c r="EY330" s="67"/>
      <c r="EZ330" s="67"/>
      <c r="FA330" s="67">
        <v>5950</v>
      </c>
      <c r="FB330" s="67">
        <v>0</v>
      </c>
      <c r="FC330" s="67"/>
      <c r="FD330" s="67"/>
      <c r="FE330" s="67"/>
      <c r="FF330" s="67"/>
      <c r="FG330" s="67"/>
      <c r="FH330" s="67"/>
      <c r="FI330" s="67" t="s">
        <v>1734</v>
      </c>
    </row>
    <row r="331" spans="2:165" ht="24" x14ac:dyDescent="0.2">
      <c r="B331" s="67" t="s">
        <v>916</v>
      </c>
      <c r="C331" s="67"/>
      <c r="D331" s="67" t="s">
        <v>917</v>
      </c>
      <c r="E331" s="67" t="s">
        <v>13</v>
      </c>
      <c r="F331" s="67" t="s">
        <v>898</v>
      </c>
      <c r="G331" s="67" t="s">
        <v>694</v>
      </c>
      <c r="H331" s="67"/>
      <c r="I331" s="67" t="s">
        <v>41</v>
      </c>
      <c r="J331" s="67"/>
      <c r="K331" s="67"/>
      <c r="L331" s="67" t="s">
        <v>779</v>
      </c>
      <c r="M331" s="67" t="s">
        <v>752</v>
      </c>
      <c r="N331" s="67"/>
      <c r="O331" s="67" t="s">
        <v>1599</v>
      </c>
      <c r="P331" s="67"/>
      <c r="Q331" s="67">
        <v>300</v>
      </c>
      <c r="R331" s="67">
        <v>0</v>
      </c>
      <c r="S331" s="67">
        <v>0</v>
      </c>
      <c r="T331" s="67">
        <v>0</v>
      </c>
      <c r="U331" s="67">
        <v>0</v>
      </c>
      <c r="V331" s="67">
        <v>0</v>
      </c>
      <c r="W331" s="67">
        <v>0</v>
      </c>
      <c r="X331" s="67">
        <v>0</v>
      </c>
      <c r="Y331" s="67">
        <v>0</v>
      </c>
      <c r="Z331" s="67">
        <v>0</v>
      </c>
      <c r="AA331" s="67">
        <v>0</v>
      </c>
      <c r="AB331" s="67">
        <v>0</v>
      </c>
      <c r="AC331" s="67">
        <v>0</v>
      </c>
      <c r="AD331" s="67">
        <v>0</v>
      </c>
      <c r="AE331" s="67">
        <v>0</v>
      </c>
      <c r="AF331" s="67">
        <v>0</v>
      </c>
      <c r="AG331" s="67">
        <v>0</v>
      </c>
      <c r="AH331" s="67">
        <v>0</v>
      </c>
      <c r="AI331" s="67">
        <v>300</v>
      </c>
      <c r="AJ331" s="67">
        <v>0</v>
      </c>
      <c r="AK331" s="67">
        <v>0</v>
      </c>
      <c r="AL331" s="67">
        <v>0</v>
      </c>
      <c r="AM331" s="67">
        <v>0</v>
      </c>
      <c r="AN331" s="67">
        <v>0</v>
      </c>
      <c r="AO331" s="67">
        <v>0</v>
      </c>
      <c r="AP331" s="67">
        <v>0</v>
      </c>
      <c r="AQ331" s="67">
        <v>0</v>
      </c>
      <c r="AR331" s="67">
        <v>0</v>
      </c>
      <c r="AS331" s="67">
        <v>0</v>
      </c>
      <c r="AT331" s="67"/>
      <c r="AU331" s="67"/>
      <c r="AV331" s="67"/>
      <c r="AW331" s="67">
        <v>0</v>
      </c>
      <c r="AX331" s="67">
        <v>0</v>
      </c>
      <c r="AY331" s="67"/>
      <c r="AZ331" s="67"/>
      <c r="BA331" s="67"/>
      <c r="BB331" s="67"/>
      <c r="BC331" s="67"/>
      <c r="BD331" s="67"/>
      <c r="BE331" s="67"/>
      <c r="BG331" s="67"/>
      <c r="BH331" s="67"/>
      <c r="BI331" s="67"/>
      <c r="BJ331" s="67">
        <v>0</v>
      </c>
      <c r="BK331" s="67"/>
      <c r="BL331" s="67"/>
      <c r="BP331" s="67"/>
      <c r="BQ331" s="67">
        <v>0</v>
      </c>
      <c r="BR331" s="67"/>
      <c r="BS331" s="67"/>
      <c r="BT331" s="67">
        <v>0</v>
      </c>
      <c r="BU331" s="67">
        <v>0</v>
      </c>
      <c r="BV331" s="67"/>
      <c r="BW331" s="67"/>
      <c r="BX331" s="67">
        <v>0</v>
      </c>
      <c r="BY331" s="67">
        <v>0</v>
      </c>
      <c r="BZ331" s="67">
        <v>0</v>
      </c>
      <c r="CA331" s="67"/>
      <c r="CB331" s="67">
        <v>0</v>
      </c>
      <c r="CC331" s="67"/>
      <c r="CD331" s="67"/>
      <c r="CE331" s="67">
        <v>0</v>
      </c>
      <c r="CF331" s="67"/>
      <c r="CG331" s="67"/>
      <c r="CH331" s="67"/>
      <c r="CI331" s="67"/>
      <c r="CJ331" s="67"/>
      <c r="CK331" s="67">
        <v>0</v>
      </c>
      <c r="CL331" s="67"/>
      <c r="CM331" s="67"/>
      <c r="CN331" s="67"/>
      <c r="CO331" s="67">
        <v>0</v>
      </c>
      <c r="CP331" s="67"/>
      <c r="CQ331" s="67"/>
      <c r="CR331" s="67"/>
      <c r="CS331" s="67"/>
      <c r="CT331" s="67"/>
      <c r="CU331" s="67">
        <v>0</v>
      </c>
      <c r="CV331" s="67"/>
      <c r="CW331" s="67"/>
      <c r="CX331" s="67"/>
      <c r="CY331" s="67">
        <v>0</v>
      </c>
      <c r="CZ331" s="67"/>
      <c r="DA331" s="67"/>
      <c r="DB331" s="67"/>
      <c r="DC331" s="67"/>
      <c r="DF331" s="67"/>
      <c r="DG331" s="67">
        <v>0</v>
      </c>
      <c r="DH331" s="67">
        <v>0</v>
      </c>
      <c r="DI331" s="67">
        <v>0</v>
      </c>
      <c r="DJ331" s="67"/>
      <c r="DK331" s="67">
        <v>0</v>
      </c>
      <c r="DL331" s="67">
        <v>0</v>
      </c>
      <c r="DM331" s="67">
        <v>0</v>
      </c>
      <c r="DN331" s="67"/>
      <c r="DO331" s="67"/>
      <c r="DP331" s="67"/>
      <c r="DQ331" s="67">
        <v>0</v>
      </c>
      <c r="DR331" s="67">
        <v>0</v>
      </c>
      <c r="DS331" s="67"/>
      <c r="DT331" s="67"/>
      <c r="DU331" s="67">
        <v>0</v>
      </c>
      <c r="DV331" s="67">
        <v>0</v>
      </c>
      <c r="DW331" s="67">
        <v>0</v>
      </c>
      <c r="DX331" s="67">
        <v>0</v>
      </c>
      <c r="DY331" s="67"/>
      <c r="DZ331" s="67">
        <v>0</v>
      </c>
      <c r="EA331" s="67"/>
      <c r="EB331" s="67">
        <v>0</v>
      </c>
      <c r="EC331" s="67"/>
      <c r="ED331" s="67">
        <v>0</v>
      </c>
      <c r="EE331" s="67"/>
      <c r="EF331" s="67">
        <v>0</v>
      </c>
      <c r="EG331" s="67"/>
      <c r="EH331" s="67"/>
      <c r="EI331" s="67"/>
      <c r="EJ331" s="67"/>
      <c r="EK331" s="67"/>
      <c r="EL331" s="67"/>
      <c r="EM331" s="67"/>
      <c r="EN331" s="67"/>
      <c r="EO331" s="67"/>
      <c r="EP331" s="67">
        <v>0</v>
      </c>
      <c r="EQ331" s="67">
        <v>0</v>
      </c>
      <c r="ER331" s="67">
        <v>0</v>
      </c>
      <c r="ES331" s="67"/>
      <c r="ET331">
        <v>0</v>
      </c>
      <c r="EX331" s="67"/>
      <c r="EY331" s="67"/>
      <c r="EZ331" s="67"/>
      <c r="FA331" s="67">
        <v>300</v>
      </c>
      <c r="FB331" s="67">
        <v>0</v>
      </c>
      <c r="FC331" s="67"/>
      <c r="FD331" s="67"/>
      <c r="FE331" s="67"/>
      <c r="FF331" s="67"/>
      <c r="FG331" s="67"/>
      <c r="FH331" s="67"/>
      <c r="FI331" s="67" t="s">
        <v>1734</v>
      </c>
    </row>
    <row r="332" spans="2:165" x14ac:dyDescent="0.2">
      <c r="B332" s="67" t="s">
        <v>918</v>
      </c>
      <c r="C332" s="67"/>
      <c r="D332" s="67" t="s">
        <v>919</v>
      </c>
      <c r="E332" s="67"/>
      <c r="F332" s="67"/>
      <c r="G332" s="67" t="s">
        <v>694</v>
      </c>
      <c r="H332" s="67"/>
      <c r="I332" s="67" t="s">
        <v>43</v>
      </c>
      <c r="J332" s="67"/>
      <c r="K332" s="67"/>
      <c r="L332" s="67" t="s">
        <v>779</v>
      </c>
      <c r="M332" s="67" t="s">
        <v>752</v>
      </c>
      <c r="N332" s="67"/>
      <c r="O332" s="67" t="s">
        <v>1599</v>
      </c>
      <c r="P332" s="67"/>
      <c r="Q332" s="67">
        <v>1370</v>
      </c>
      <c r="R332" s="67">
        <v>0</v>
      </c>
      <c r="S332" s="67">
        <v>0</v>
      </c>
      <c r="T332" s="67">
        <v>0</v>
      </c>
      <c r="U332" s="67">
        <v>0</v>
      </c>
      <c r="V332" s="67">
        <v>0</v>
      </c>
      <c r="W332" s="67">
        <v>1000</v>
      </c>
      <c r="X332" s="67">
        <v>0</v>
      </c>
      <c r="Y332" s="67">
        <v>0</v>
      </c>
      <c r="Z332" s="67">
        <v>370</v>
      </c>
      <c r="AA332" s="67">
        <v>0</v>
      </c>
      <c r="AB332" s="67">
        <v>0</v>
      </c>
      <c r="AC332" s="67">
        <v>0</v>
      </c>
      <c r="AD332" s="67">
        <v>0</v>
      </c>
      <c r="AE332" s="67">
        <v>0</v>
      </c>
      <c r="AF332" s="67">
        <v>0</v>
      </c>
      <c r="AG332" s="67">
        <v>0</v>
      </c>
      <c r="AH332" s="67">
        <v>0</v>
      </c>
      <c r="AI332" s="67">
        <v>0</v>
      </c>
      <c r="AJ332" s="67">
        <v>0</v>
      </c>
      <c r="AK332" s="67">
        <v>0</v>
      </c>
      <c r="AL332" s="67">
        <v>0</v>
      </c>
      <c r="AM332" s="67">
        <v>0</v>
      </c>
      <c r="AN332" s="67">
        <v>0</v>
      </c>
      <c r="AO332" s="67">
        <v>0</v>
      </c>
      <c r="AP332" s="67">
        <v>0</v>
      </c>
      <c r="AQ332" s="67">
        <v>0</v>
      </c>
      <c r="AR332" s="67">
        <v>0</v>
      </c>
      <c r="AS332" s="67">
        <v>0</v>
      </c>
      <c r="AT332" s="67"/>
      <c r="AU332" s="67"/>
      <c r="AV332" s="67"/>
      <c r="AW332" s="67">
        <v>0</v>
      </c>
      <c r="AX332" s="67">
        <v>0</v>
      </c>
      <c r="AY332" s="67"/>
      <c r="AZ332" s="67"/>
      <c r="BA332" s="67"/>
      <c r="BB332" s="67"/>
      <c r="BC332" s="67"/>
      <c r="BD332" s="67"/>
      <c r="BE332" s="67"/>
      <c r="BG332" s="67"/>
      <c r="BH332" s="67"/>
      <c r="BI332" s="67"/>
      <c r="BJ332" s="67">
        <v>0</v>
      </c>
      <c r="BK332" s="67"/>
      <c r="BL332" s="67"/>
      <c r="BP332" s="67"/>
      <c r="BQ332" s="67">
        <v>0</v>
      </c>
      <c r="BR332" s="67"/>
      <c r="BS332" s="67"/>
      <c r="BT332" s="67">
        <v>0</v>
      </c>
      <c r="BU332" s="67">
        <v>0</v>
      </c>
      <c r="BV332" s="67"/>
      <c r="BW332" s="67"/>
      <c r="BX332" s="67">
        <v>0</v>
      </c>
      <c r="BY332" s="67">
        <v>0</v>
      </c>
      <c r="BZ332" s="67">
        <v>0</v>
      </c>
      <c r="CA332" s="67"/>
      <c r="CB332" s="67">
        <v>0</v>
      </c>
      <c r="CC332" s="67"/>
      <c r="CD332" s="67"/>
      <c r="CE332" s="67">
        <v>0</v>
      </c>
      <c r="CF332" s="67"/>
      <c r="CG332" s="67"/>
      <c r="CH332" s="67"/>
      <c r="CI332" s="67"/>
      <c r="CJ332" s="67"/>
      <c r="CK332" s="67">
        <v>0</v>
      </c>
      <c r="CL332" s="67"/>
      <c r="CM332" s="67"/>
      <c r="CN332" s="67"/>
      <c r="CO332" s="67">
        <v>0</v>
      </c>
      <c r="CP332" s="67"/>
      <c r="CQ332" s="67"/>
      <c r="CR332" s="67"/>
      <c r="CS332" s="67"/>
      <c r="CT332" s="67"/>
      <c r="CU332" s="67">
        <v>0</v>
      </c>
      <c r="CV332" s="67"/>
      <c r="CW332" s="67"/>
      <c r="CX332" s="67"/>
      <c r="CY332" s="67">
        <v>0</v>
      </c>
      <c r="CZ332" s="67"/>
      <c r="DA332" s="67"/>
      <c r="DB332" s="67"/>
      <c r="DC332" s="67"/>
      <c r="DF332" s="67"/>
      <c r="DG332" s="67">
        <v>0</v>
      </c>
      <c r="DH332" s="67">
        <v>0</v>
      </c>
      <c r="DI332" s="67">
        <v>0</v>
      </c>
      <c r="DJ332" s="67"/>
      <c r="DK332" s="67">
        <v>0</v>
      </c>
      <c r="DL332" s="67">
        <v>0</v>
      </c>
      <c r="DM332" s="67">
        <v>0</v>
      </c>
      <c r="DN332" s="67"/>
      <c r="DO332" s="67"/>
      <c r="DP332" s="67"/>
      <c r="DQ332" s="67">
        <v>0</v>
      </c>
      <c r="DR332" s="67">
        <v>0</v>
      </c>
      <c r="DS332" s="67"/>
      <c r="DT332" s="67"/>
      <c r="DU332" s="67">
        <v>0</v>
      </c>
      <c r="DV332" s="67">
        <v>0</v>
      </c>
      <c r="DW332" s="67">
        <v>0</v>
      </c>
      <c r="DX332" s="67">
        <v>0</v>
      </c>
      <c r="DY332" s="67"/>
      <c r="DZ332" s="67">
        <v>0</v>
      </c>
      <c r="EA332" s="67"/>
      <c r="EB332" s="67">
        <v>0</v>
      </c>
      <c r="EC332" s="67"/>
      <c r="ED332" s="67">
        <v>0</v>
      </c>
      <c r="EE332" s="67"/>
      <c r="EF332" s="67">
        <v>0</v>
      </c>
      <c r="EG332" s="67"/>
      <c r="EH332" s="67"/>
      <c r="EI332" s="67"/>
      <c r="EJ332" s="67"/>
      <c r="EK332" s="67"/>
      <c r="EL332" s="67"/>
      <c r="EM332" s="67"/>
      <c r="EN332" s="67"/>
      <c r="EO332" s="67"/>
      <c r="EP332" s="67">
        <v>0</v>
      </c>
      <c r="EQ332" s="67">
        <v>0</v>
      </c>
      <c r="ER332" s="67">
        <v>0</v>
      </c>
      <c r="ES332" s="67"/>
      <c r="ET332">
        <v>0</v>
      </c>
      <c r="EX332" s="67"/>
      <c r="EY332" s="67"/>
      <c r="EZ332" s="67"/>
      <c r="FA332" s="67">
        <v>1370</v>
      </c>
      <c r="FB332" s="67">
        <v>0</v>
      </c>
      <c r="FC332" s="67"/>
      <c r="FD332" s="67"/>
      <c r="FE332" s="67"/>
      <c r="FF332" s="67"/>
      <c r="FG332" s="67"/>
      <c r="FH332" s="67"/>
      <c r="FI332" s="67" t="s">
        <v>1734</v>
      </c>
    </row>
    <row r="333" spans="2:165" x14ac:dyDescent="0.2">
      <c r="B333" s="67" t="s">
        <v>920</v>
      </c>
      <c r="C333" s="67"/>
      <c r="D333" s="67" t="s">
        <v>921</v>
      </c>
      <c r="E333" s="67"/>
      <c r="F333" s="67"/>
      <c r="G333" s="67" t="s">
        <v>694</v>
      </c>
      <c r="H333" s="67"/>
      <c r="I333" s="67" t="s">
        <v>43</v>
      </c>
      <c r="J333" s="67"/>
      <c r="K333" s="67"/>
      <c r="L333" s="67" t="s">
        <v>751</v>
      </c>
      <c r="M333" s="67" t="s">
        <v>752</v>
      </c>
      <c r="N333" s="67"/>
      <c r="O333" s="67" t="s">
        <v>1599</v>
      </c>
      <c r="P333" s="67"/>
      <c r="Q333" s="67">
        <v>350</v>
      </c>
      <c r="R333" s="67">
        <v>0</v>
      </c>
      <c r="S333" s="67">
        <v>0</v>
      </c>
      <c r="T333" s="67">
        <v>350</v>
      </c>
      <c r="U333" s="67">
        <v>0</v>
      </c>
      <c r="V333" s="67">
        <v>0</v>
      </c>
      <c r="W333" s="67">
        <v>0</v>
      </c>
      <c r="X333" s="67">
        <v>0</v>
      </c>
      <c r="Y333" s="67">
        <v>0</v>
      </c>
      <c r="Z333" s="67">
        <v>0</v>
      </c>
      <c r="AA333" s="67">
        <v>0</v>
      </c>
      <c r="AB333" s="67">
        <v>0</v>
      </c>
      <c r="AC333" s="67">
        <v>0</v>
      </c>
      <c r="AD333" s="67">
        <v>0</v>
      </c>
      <c r="AE333" s="67">
        <v>0</v>
      </c>
      <c r="AF333" s="67">
        <v>0</v>
      </c>
      <c r="AG333" s="67">
        <v>0</v>
      </c>
      <c r="AH333" s="67">
        <v>0</v>
      </c>
      <c r="AI333" s="67">
        <v>0</v>
      </c>
      <c r="AJ333" s="67">
        <v>0</v>
      </c>
      <c r="AK333" s="67">
        <v>0</v>
      </c>
      <c r="AL333" s="67">
        <v>0</v>
      </c>
      <c r="AM333" s="67">
        <v>0</v>
      </c>
      <c r="AN333" s="67">
        <v>0</v>
      </c>
      <c r="AO333" s="67">
        <v>0</v>
      </c>
      <c r="AP333" s="67">
        <v>0</v>
      </c>
      <c r="AQ333" s="67">
        <v>0</v>
      </c>
      <c r="AR333" s="67">
        <v>0</v>
      </c>
      <c r="AS333" s="67">
        <v>0</v>
      </c>
      <c r="AT333" s="67"/>
      <c r="AU333" s="67"/>
      <c r="AV333" s="67"/>
      <c r="AW333" s="67">
        <v>0</v>
      </c>
      <c r="AX333" s="67">
        <v>0</v>
      </c>
      <c r="AY333" s="67"/>
      <c r="AZ333" s="67"/>
      <c r="BA333" s="67"/>
      <c r="BB333" s="67"/>
      <c r="BC333" s="67"/>
      <c r="BD333" s="67"/>
      <c r="BE333" s="67"/>
      <c r="BG333" s="67"/>
      <c r="BH333" s="67"/>
      <c r="BI333" s="67"/>
      <c r="BJ333" s="67">
        <v>0</v>
      </c>
      <c r="BK333" s="67"/>
      <c r="BL333" s="67"/>
      <c r="BP333" s="67"/>
      <c r="BQ333" s="67">
        <v>0</v>
      </c>
      <c r="BR333" s="67"/>
      <c r="BS333" s="67"/>
      <c r="BT333" s="67">
        <v>0</v>
      </c>
      <c r="BU333" s="67">
        <v>0</v>
      </c>
      <c r="BV333" s="67"/>
      <c r="BW333" s="67"/>
      <c r="BX333" s="67">
        <v>0</v>
      </c>
      <c r="BY333" s="67">
        <v>0</v>
      </c>
      <c r="BZ333" s="67">
        <v>0</v>
      </c>
      <c r="CA333" s="67"/>
      <c r="CB333" s="67">
        <v>0</v>
      </c>
      <c r="CC333" s="67"/>
      <c r="CD333" s="67"/>
      <c r="CE333" s="67">
        <v>0</v>
      </c>
      <c r="CF333" s="67"/>
      <c r="CG333" s="67"/>
      <c r="CH333" s="67"/>
      <c r="CI333" s="67"/>
      <c r="CJ333" s="67"/>
      <c r="CK333" s="67">
        <v>0</v>
      </c>
      <c r="CL333" s="67"/>
      <c r="CM333" s="67"/>
      <c r="CN333" s="67"/>
      <c r="CO333" s="67">
        <v>0</v>
      </c>
      <c r="CP333" s="67"/>
      <c r="CQ333" s="67"/>
      <c r="CR333" s="67"/>
      <c r="CS333" s="67"/>
      <c r="CT333" s="67"/>
      <c r="CU333" s="67">
        <v>0</v>
      </c>
      <c r="CV333" s="67"/>
      <c r="CW333" s="67"/>
      <c r="CX333" s="67"/>
      <c r="CY333" s="67">
        <v>0</v>
      </c>
      <c r="CZ333" s="67"/>
      <c r="DA333" s="67"/>
      <c r="DB333" s="67"/>
      <c r="DC333" s="67"/>
      <c r="DF333" s="67"/>
      <c r="DG333" s="67">
        <v>0</v>
      </c>
      <c r="DH333" s="67">
        <v>0</v>
      </c>
      <c r="DI333" s="67">
        <v>0</v>
      </c>
      <c r="DJ333" s="67"/>
      <c r="DK333" s="67">
        <v>0</v>
      </c>
      <c r="DL333" s="67">
        <v>0</v>
      </c>
      <c r="DM333" s="67">
        <v>0</v>
      </c>
      <c r="DN333" s="67"/>
      <c r="DO333" s="67"/>
      <c r="DP333" s="67"/>
      <c r="DQ333" s="67">
        <v>0</v>
      </c>
      <c r="DR333" s="67">
        <v>0</v>
      </c>
      <c r="DS333" s="67"/>
      <c r="DT333" s="67"/>
      <c r="DU333" s="67">
        <v>0</v>
      </c>
      <c r="DV333" s="67">
        <v>0</v>
      </c>
      <c r="DW333" s="67">
        <v>0</v>
      </c>
      <c r="DX333" s="67">
        <v>0</v>
      </c>
      <c r="DY333" s="67"/>
      <c r="DZ333" s="67">
        <v>0</v>
      </c>
      <c r="EA333" s="67"/>
      <c r="EB333" s="67">
        <v>0</v>
      </c>
      <c r="EC333" s="67"/>
      <c r="ED333" s="67">
        <v>0</v>
      </c>
      <c r="EE333" s="67"/>
      <c r="EF333" s="67">
        <v>0</v>
      </c>
      <c r="EG333" s="67"/>
      <c r="EH333" s="67"/>
      <c r="EI333" s="67"/>
      <c r="EJ333" s="67"/>
      <c r="EK333" s="67"/>
      <c r="EL333" s="67"/>
      <c r="EM333" s="67"/>
      <c r="EN333" s="67"/>
      <c r="EO333" s="67"/>
      <c r="EP333" s="67">
        <v>0</v>
      </c>
      <c r="EQ333" s="67">
        <v>0</v>
      </c>
      <c r="ER333" s="67">
        <v>0</v>
      </c>
      <c r="ES333" s="67"/>
      <c r="ET333">
        <v>0</v>
      </c>
      <c r="EX333" s="67"/>
      <c r="EY333" s="67"/>
      <c r="EZ333" s="67"/>
      <c r="FA333" s="67">
        <v>350</v>
      </c>
      <c r="FB333" s="67">
        <v>0</v>
      </c>
      <c r="FC333" s="67"/>
      <c r="FD333" s="67"/>
      <c r="FE333" s="67"/>
      <c r="FF333" s="67"/>
      <c r="FG333" s="67"/>
      <c r="FH333" s="67"/>
      <c r="FI333" s="67" t="s">
        <v>1734</v>
      </c>
    </row>
    <row r="334" spans="2:165" x14ac:dyDescent="0.2">
      <c r="B334" s="67" t="s">
        <v>922</v>
      </c>
      <c r="C334" s="67"/>
      <c r="D334" s="67" t="s">
        <v>923</v>
      </c>
      <c r="E334" s="67"/>
      <c r="F334" s="67"/>
      <c r="G334" s="67" t="s">
        <v>694</v>
      </c>
      <c r="H334" s="67"/>
      <c r="I334" s="67" t="s">
        <v>43</v>
      </c>
      <c r="J334" s="67"/>
      <c r="K334" s="67"/>
      <c r="L334" s="67" t="s">
        <v>751</v>
      </c>
      <c r="M334" s="67" t="s">
        <v>752</v>
      </c>
      <c r="N334" s="67"/>
      <c r="O334" s="67" t="s">
        <v>1608</v>
      </c>
      <c r="P334" s="67"/>
      <c r="Q334" s="67">
        <v>90</v>
      </c>
      <c r="R334" s="67">
        <v>0</v>
      </c>
      <c r="S334" s="67">
        <v>0</v>
      </c>
      <c r="T334" s="67">
        <v>70</v>
      </c>
      <c r="U334" s="67">
        <v>0</v>
      </c>
      <c r="V334" s="67">
        <v>0</v>
      </c>
      <c r="W334" s="67">
        <v>0</v>
      </c>
      <c r="X334" s="67">
        <v>0</v>
      </c>
      <c r="Y334" s="67">
        <v>0</v>
      </c>
      <c r="Z334" s="67">
        <v>0</v>
      </c>
      <c r="AA334" s="67">
        <v>0</v>
      </c>
      <c r="AB334" s="67">
        <v>0</v>
      </c>
      <c r="AC334" s="67">
        <v>0</v>
      </c>
      <c r="AD334" s="67">
        <v>0</v>
      </c>
      <c r="AE334" s="67">
        <v>0</v>
      </c>
      <c r="AF334" s="67">
        <v>0</v>
      </c>
      <c r="AG334" s="67">
        <v>0</v>
      </c>
      <c r="AH334" s="67">
        <v>0</v>
      </c>
      <c r="AI334" s="67">
        <v>0</v>
      </c>
      <c r="AJ334" s="67">
        <v>0</v>
      </c>
      <c r="AK334" s="67">
        <v>0</v>
      </c>
      <c r="AL334" s="67">
        <v>0</v>
      </c>
      <c r="AM334" s="67">
        <v>0</v>
      </c>
      <c r="AN334" s="67">
        <v>20</v>
      </c>
      <c r="AO334" s="67">
        <v>0</v>
      </c>
      <c r="AP334" s="67">
        <v>0</v>
      </c>
      <c r="AQ334" s="67">
        <v>0</v>
      </c>
      <c r="AR334" s="67">
        <v>0</v>
      </c>
      <c r="AS334" s="67">
        <v>0</v>
      </c>
      <c r="AT334" s="67"/>
      <c r="AU334" s="67"/>
      <c r="AV334" s="67"/>
      <c r="AW334" s="67">
        <v>0</v>
      </c>
      <c r="AX334" s="67">
        <v>0</v>
      </c>
      <c r="AY334" s="67"/>
      <c r="AZ334" s="67"/>
      <c r="BA334" s="67"/>
      <c r="BB334" s="67"/>
      <c r="BC334" s="67"/>
      <c r="BD334" s="67"/>
      <c r="BE334" s="67"/>
      <c r="BG334" s="67"/>
      <c r="BH334" s="67"/>
      <c r="BI334" s="67"/>
      <c r="BJ334" s="67">
        <v>0</v>
      </c>
      <c r="BK334" s="67"/>
      <c r="BL334" s="67"/>
      <c r="BP334" s="67"/>
      <c r="BQ334" s="67">
        <v>0</v>
      </c>
      <c r="BR334" s="67"/>
      <c r="BS334" s="67"/>
      <c r="BT334" s="67">
        <v>0</v>
      </c>
      <c r="BU334" s="67">
        <v>0</v>
      </c>
      <c r="BV334" s="67"/>
      <c r="BW334" s="67"/>
      <c r="BX334" s="67">
        <v>0</v>
      </c>
      <c r="BY334" s="67">
        <v>0</v>
      </c>
      <c r="BZ334" s="67">
        <v>0</v>
      </c>
      <c r="CA334" s="67"/>
      <c r="CB334" s="67">
        <v>0</v>
      </c>
      <c r="CC334" s="67"/>
      <c r="CD334" s="67"/>
      <c r="CE334" s="67">
        <v>0</v>
      </c>
      <c r="CF334" s="67"/>
      <c r="CG334" s="67"/>
      <c r="CH334" s="67"/>
      <c r="CI334" s="67"/>
      <c r="CJ334" s="67"/>
      <c r="CK334" s="67">
        <v>0</v>
      </c>
      <c r="CL334" s="67"/>
      <c r="CM334" s="67"/>
      <c r="CN334" s="67"/>
      <c r="CO334" s="67">
        <v>0</v>
      </c>
      <c r="CP334" s="67"/>
      <c r="CQ334" s="67"/>
      <c r="CR334" s="67"/>
      <c r="CS334" s="67"/>
      <c r="CT334" s="67"/>
      <c r="CU334" s="67">
        <v>0</v>
      </c>
      <c r="CV334" s="67"/>
      <c r="CW334" s="67"/>
      <c r="CX334" s="67"/>
      <c r="CY334" s="67">
        <v>0</v>
      </c>
      <c r="CZ334" s="67"/>
      <c r="DA334" s="67"/>
      <c r="DB334" s="67"/>
      <c r="DC334" s="67"/>
      <c r="DF334" s="67"/>
      <c r="DG334" s="67">
        <v>0</v>
      </c>
      <c r="DH334" s="67">
        <v>0</v>
      </c>
      <c r="DI334" s="67">
        <v>0</v>
      </c>
      <c r="DJ334" s="67"/>
      <c r="DK334" s="67">
        <v>0</v>
      </c>
      <c r="DL334" s="67">
        <v>0</v>
      </c>
      <c r="DM334" s="67">
        <v>0</v>
      </c>
      <c r="DN334" s="67"/>
      <c r="DO334" s="67"/>
      <c r="DP334" s="67"/>
      <c r="DQ334" s="67">
        <v>0</v>
      </c>
      <c r="DR334" s="67">
        <v>0</v>
      </c>
      <c r="DS334" s="67"/>
      <c r="DT334" s="67"/>
      <c r="DU334" s="67">
        <v>0</v>
      </c>
      <c r="DV334" s="67">
        <v>0</v>
      </c>
      <c r="DW334" s="67">
        <v>0</v>
      </c>
      <c r="DX334" s="67">
        <v>0</v>
      </c>
      <c r="DY334" s="67"/>
      <c r="DZ334" s="67">
        <v>0</v>
      </c>
      <c r="EA334" s="67"/>
      <c r="EB334" s="67">
        <v>0</v>
      </c>
      <c r="EC334" s="67"/>
      <c r="ED334" s="67">
        <v>0</v>
      </c>
      <c r="EE334" s="67"/>
      <c r="EF334" s="67">
        <v>0</v>
      </c>
      <c r="EG334" s="67"/>
      <c r="EH334" s="67"/>
      <c r="EI334" s="67"/>
      <c r="EJ334" s="67"/>
      <c r="EK334" s="67"/>
      <c r="EL334" s="67"/>
      <c r="EM334" s="67"/>
      <c r="EN334" s="67"/>
      <c r="EO334" s="67"/>
      <c r="EP334" s="67">
        <v>0</v>
      </c>
      <c r="EQ334" s="67">
        <v>0</v>
      </c>
      <c r="ER334" s="67">
        <v>0</v>
      </c>
      <c r="ES334" s="67"/>
      <c r="ET334">
        <v>0</v>
      </c>
      <c r="EX334" s="67"/>
      <c r="EY334" s="67"/>
      <c r="EZ334" s="67"/>
      <c r="FA334" s="67">
        <v>90</v>
      </c>
      <c r="FB334" s="67">
        <v>0</v>
      </c>
      <c r="FC334" s="67"/>
      <c r="FD334" s="67"/>
      <c r="FE334" s="67"/>
      <c r="FF334" s="67"/>
      <c r="FG334" s="67"/>
      <c r="FH334" s="67"/>
      <c r="FI334" s="67" t="s">
        <v>1734</v>
      </c>
    </row>
    <row r="335" spans="2:165" ht="24" x14ac:dyDescent="0.2">
      <c r="B335" s="67" t="s">
        <v>924</v>
      </c>
      <c r="C335" s="67"/>
      <c r="D335" s="67" t="s">
        <v>925</v>
      </c>
      <c r="E335" s="67" t="s">
        <v>13</v>
      </c>
      <c r="F335" s="67" t="s">
        <v>810</v>
      </c>
      <c r="G335" s="67" t="s">
        <v>694</v>
      </c>
      <c r="H335" s="67"/>
      <c r="I335" s="67" t="s">
        <v>41</v>
      </c>
      <c r="J335" s="67"/>
      <c r="K335" s="67"/>
      <c r="L335" s="67" t="s">
        <v>779</v>
      </c>
      <c r="M335" s="67" t="s">
        <v>752</v>
      </c>
      <c r="N335" s="67"/>
      <c r="O335" s="67" t="s">
        <v>1599</v>
      </c>
      <c r="P335" s="67"/>
      <c r="Q335" s="67">
        <v>710</v>
      </c>
      <c r="R335" s="67">
        <v>0</v>
      </c>
      <c r="S335" s="67">
        <v>0</v>
      </c>
      <c r="T335" s="67">
        <v>300</v>
      </c>
      <c r="U335" s="67">
        <v>0</v>
      </c>
      <c r="V335" s="67">
        <v>0</v>
      </c>
      <c r="W335" s="67">
        <v>250</v>
      </c>
      <c r="X335" s="67">
        <v>0</v>
      </c>
      <c r="Y335" s="67">
        <v>0</v>
      </c>
      <c r="Z335" s="67">
        <v>0</v>
      </c>
      <c r="AA335" s="67">
        <v>0</v>
      </c>
      <c r="AB335" s="67">
        <v>0</v>
      </c>
      <c r="AC335" s="67">
        <v>0</v>
      </c>
      <c r="AD335" s="67">
        <v>0</v>
      </c>
      <c r="AE335" s="67">
        <v>0</v>
      </c>
      <c r="AF335" s="67">
        <v>0</v>
      </c>
      <c r="AG335" s="67">
        <v>0</v>
      </c>
      <c r="AH335" s="67">
        <v>0</v>
      </c>
      <c r="AI335" s="67">
        <v>160</v>
      </c>
      <c r="AJ335" s="67">
        <v>0</v>
      </c>
      <c r="AK335" s="67">
        <v>0</v>
      </c>
      <c r="AL335" s="67">
        <v>0</v>
      </c>
      <c r="AM335" s="67">
        <v>0</v>
      </c>
      <c r="AN335" s="67">
        <v>0</v>
      </c>
      <c r="AO335" s="67">
        <v>0</v>
      </c>
      <c r="AP335" s="67">
        <v>0</v>
      </c>
      <c r="AQ335" s="67">
        <v>0</v>
      </c>
      <c r="AR335" s="67">
        <v>0</v>
      </c>
      <c r="AS335" s="67">
        <v>0</v>
      </c>
      <c r="AT335" s="67"/>
      <c r="AU335" s="67"/>
      <c r="AV335" s="67"/>
      <c r="AW335" s="67">
        <v>0</v>
      </c>
      <c r="AX335" s="67">
        <v>0</v>
      </c>
      <c r="AY335" s="67"/>
      <c r="AZ335" s="67"/>
      <c r="BA335" s="67"/>
      <c r="BB335" s="67"/>
      <c r="BC335" s="67"/>
      <c r="BD335" s="67"/>
      <c r="BE335" s="67"/>
      <c r="BG335" s="67"/>
      <c r="BH335" s="67"/>
      <c r="BI335" s="67"/>
      <c r="BJ335" s="67">
        <v>0</v>
      </c>
      <c r="BK335" s="67"/>
      <c r="BL335" s="67"/>
      <c r="BP335" s="67"/>
      <c r="BQ335" s="67">
        <v>0</v>
      </c>
      <c r="BR335" s="67"/>
      <c r="BS335" s="67"/>
      <c r="BT335" s="67">
        <v>0</v>
      </c>
      <c r="BU335" s="67">
        <v>0</v>
      </c>
      <c r="BV335" s="67"/>
      <c r="BW335" s="67"/>
      <c r="BX335" s="67">
        <v>0</v>
      </c>
      <c r="BY335" s="67">
        <v>0</v>
      </c>
      <c r="BZ335" s="67">
        <v>0</v>
      </c>
      <c r="CA335" s="67"/>
      <c r="CB335" s="67">
        <v>0</v>
      </c>
      <c r="CC335" s="67"/>
      <c r="CD335" s="67"/>
      <c r="CE335" s="67">
        <v>0</v>
      </c>
      <c r="CF335" s="67"/>
      <c r="CG335" s="67"/>
      <c r="CH335" s="67"/>
      <c r="CI335" s="67"/>
      <c r="CJ335" s="67"/>
      <c r="CK335" s="67">
        <v>0</v>
      </c>
      <c r="CL335" s="67"/>
      <c r="CM335" s="67"/>
      <c r="CN335" s="67"/>
      <c r="CO335" s="67">
        <v>0</v>
      </c>
      <c r="CP335" s="67"/>
      <c r="CQ335" s="67"/>
      <c r="CR335" s="67"/>
      <c r="CS335" s="67"/>
      <c r="CT335" s="67"/>
      <c r="CU335" s="67">
        <v>0</v>
      </c>
      <c r="CV335" s="67"/>
      <c r="CW335" s="67"/>
      <c r="CX335" s="67"/>
      <c r="CY335" s="67">
        <v>0</v>
      </c>
      <c r="CZ335" s="67"/>
      <c r="DA335" s="67"/>
      <c r="DB335" s="67"/>
      <c r="DC335" s="67"/>
      <c r="DF335" s="67"/>
      <c r="DG335" s="67">
        <v>0</v>
      </c>
      <c r="DH335" s="67">
        <v>0</v>
      </c>
      <c r="DI335" s="67">
        <v>0</v>
      </c>
      <c r="DJ335" s="67"/>
      <c r="DK335" s="67">
        <v>0</v>
      </c>
      <c r="DL335" s="67">
        <v>0</v>
      </c>
      <c r="DM335" s="67">
        <v>0</v>
      </c>
      <c r="DN335" s="67"/>
      <c r="DO335" s="67"/>
      <c r="DP335" s="67"/>
      <c r="DQ335" s="67">
        <v>0</v>
      </c>
      <c r="DR335" s="67">
        <v>0</v>
      </c>
      <c r="DS335" s="67"/>
      <c r="DT335" s="67"/>
      <c r="DU335" s="67">
        <v>0</v>
      </c>
      <c r="DV335" s="67">
        <v>0</v>
      </c>
      <c r="DW335" s="67">
        <v>0</v>
      </c>
      <c r="DX335" s="67">
        <v>0</v>
      </c>
      <c r="DY335" s="67"/>
      <c r="DZ335" s="67">
        <v>0</v>
      </c>
      <c r="EA335" s="67"/>
      <c r="EB335" s="67">
        <v>0</v>
      </c>
      <c r="EC335" s="67"/>
      <c r="ED335" s="67">
        <v>0</v>
      </c>
      <c r="EE335" s="67"/>
      <c r="EF335" s="67">
        <v>0</v>
      </c>
      <c r="EG335" s="67"/>
      <c r="EH335" s="67"/>
      <c r="EI335" s="67"/>
      <c r="EJ335" s="67"/>
      <c r="EK335" s="67"/>
      <c r="EL335" s="67"/>
      <c r="EM335" s="67"/>
      <c r="EN335" s="67"/>
      <c r="EO335" s="67"/>
      <c r="EP335" s="67">
        <v>0</v>
      </c>
      <c r="EQ335" s="67">
        <v>0</v>
      </c>
      <c r="ER335" s="67">
        <v>0</v>
      </c>
      <c r="ES335" s="67"/>
      <c r="ET335">
        <v>0</v>
      </c>
      <c r="EX335" s="67"/>
      <c r="EY335" s="67"/>
      <c r="EZ335" s="67"/>
      <c r="FA335" s="67">
        <v>710</v>
      </c>
      <c r="FB335" s="67">
        <v>0</v>
      </c>
      <c r="FC335" s="67"/>
      <c r="FD335" s="67"/>
      <c r="FE335" s="67"/>
      <c r="FF335" s="67"/>
      <c r="FG335" s="67"/>
      <c r="FH335" s="67"/>
      <c r="FI335" s="67" t="s">
        <v>1734</v>
      </c>
    </row>
    <row r="336" spans="2:165" x14ac:dyDescent="0.2">
      <c r="B336" s="67" t="s">
        <v>927</v>
      </c>
      <c r="C336" s="67"/>
      <c r="D336" s="67" t="s">
        <v>928</v>
      </c>
      <c r="E336" s="67"/>
      <c r="F336" s="67" t="s">
        <v>898</v>
      </c>
      <c r="G336" s="67" t="s">
        <v>694</v>
      </c>
      <c r="H336" s="67"/>
      <c r="I336" s="67" t="s">
        <v>43</v>
      </c>
      <c r="J336" s="67"/>
      <c r="K336" s="67"/>
      <c r="L336" s="67" t="s">
        <v>787</v>
      </c>
      <c r="M336" s="67" t="s">
        <v>752</v>
      </c>
      <c r="N336" s="67"/>
      <c r="O336" s="67" t="s">
        <v>1599</v>
      </c>
      <c r="P336" s="67"/>
      <c r="Q336" s="67">
        <v>690</v>
      </c>
      <c r="R336" s="67">
        <v>0</v>
      </c>
      <c r="S336" s="67">
        <v>0</v>
      </c>
      <c r="T336" s="67">
        <v>0</v>
      </c>
      <c r="U336" s="67">
        <v>0</v>
      </c>
      <c r="V336" s="67">
        <v>0</v>
      </c>
      <c r="W336" s="67">
        <v>0</v>
      </c>
      <c r="X336" s="67">
        <v>0</v>
      </c>
      <c r="Y336" s="67">
        <v>0</v>
      </c>
      <c r="Z336" s="67">
        <v>0</v>
      </c>
      <c r="AA336" s="67">
        <v>0</v>
      </c>
      <c r="AB336" s="67">
        <v>0</v>
      </c>
      <c r="AC336" s="67">
        <v>0</v>
      </c>
      <c r="AD336" s="67">
        <v>0</v>
      </c>
      <c r="AE336" s="67">
        <v>0</v>
      </c>
      <c r="AF336" s="67">
        <v>0</v>
      </c>
      <c r="AG336" s="67">
        <v>0</v>
      </c>
      <c r="AH336" s="67">
        <v>0</v>
      </c>
      <c r="AI336" s="67">
        <v>690</v>
      </c>
      <c r="AJ336" s="67">
        <v>0</v>
      </c>
      <c r="AK336" s="67">
        <v>0</v>
      </c>
      <c r="AL336" s="67">
        <v>0</v>
      </c>
      <c r="AM336" s="67">
        <v>0</v>
      </c>
      <c r="AN336" s="67">
        <v>0</v>
      </c>
      <c r="AO336" s="67">
        <v>0</v>
      </c>
      <c r="AP336" s="67">
        <v>0</v>
      </c>
      <c r="AQ336" s="67">
        <v>0</v>
      </c>
      <c r="AR336" s="67">
        <v>0</v>
      </c>
      <c r="AS336" s="67">
        <v>0</v>
      </c>
      <c r="AT336" s="67"/>
      <c r="AU336" s="67"/>
      <c r="AV336" s="67"/>
      <c r="AW336" s="67">
        <v>0</v>
      </c>
      <c r="AX336" s="67">
        <v>0</v>
      </c>
      <c r="AY336" s="67"/>
      <c r="AZ336" s="67"/>
      <c r="BA336" s="67"/>
      <c r="BB336" s="67"/>
      <c r="BC336" s="67"/>
      <c r="BD336" s="67"/>
      <c r="BE336" s="67"/>
      <c r="BG336" s="67"/>
      <c r="BH336" s="67"/>
      <c r="BI336" s="67"/>
      <c r="BJ336" s="67">
        <v>0</v>
      </c>
      <c r="BK336" s="67"/>
      <c r="BL336" s="67"/>
      <c r="BP336" s="67"/>
      <c r="BQ336" s="67">
        <v>0</v>
      </c>
      <c r="BR336" s="67"/>
      <c r="BS336" s="67"/>
      <c r="BT336" s="67">
        <v>0</v>
      </c>
      <c r="BU336" s="67">
        <v>0</v>
      </c>
      <c r="BV336" s="67"/>
      <c r="BW336" s="67"/>
      <c r="BX336" s="67">
        <v>0</v>
      </c>
      <c r="BY336" s="67">
        <v>0</v>
      </c>
      <c r="BZ336" s="67">
        <v>0</v>
      </c>
      <c r="CA336" s="67"/>
      <c r="CB336" s="67">
        <v>0</v>
      </c>
      <c r="CC336" s="67"/>
      <c r="CD336" s="67"/>
      <c r="CE336" s="67">
        <v>0</v>
      </c>
      <c r="CF336" s="67"/>
      <c r="CG336" s="67"/>
      <c r="CH336" s="67"/>
      <c r="CI336" s="67"/>
      <c r="CJ336" s="67"/>
      <c r="CK336" s="67">
        <v>0</v>
      </c>
      <c r="CL336" s="67"/>
      <c r="CM336" s="67"/>
      <c r="CN336" s="67"/>
      <c r="CO336" s="67">
        <v>0</v>
      </c>
      <c r="CP336" s="67"/>
      <c r="CQ336" s="67"/>
      <c r="CR336" s="67"/>
      <c r="CS336" s="67"/>
      <c r="CT336" s="67"/>
      <c r="CU336" s="67">
        <v>0</v>
      </c>
      <c r="CV336" s="67"/>
      <c r="CW336" s="67"/>
      <c r="CX336" s="67"/>
      <c r="CY336" s="67">
        <v>0</v>
      </c>
      <c r="CZ336" s="67"/>
      <c r="DA336" s="67"/>
      <c r="DB336" s="67"/>
      <c r="DC336" s="67"/>
      <c r="DF336" s="67"/>
      <c r="DG336" s="67">
        <v>0</v>
      </c>
      <c r="DH336" s="67">
        <v>0</v>
      </c>
      <c r="DI336" s="67">
        <v>0</v>
      </c>
      <c r="DJ336" s="67"/>
      <c r="DK336" s="67">
        <v>0</v>
      </c>
      <c r="DL336" s="67">
        <v>0</v>
      </c>
      <c r="DM336" s="67">
        <v>0</v>
      </c>
      <c r="DN336" s="67"/>
      <c r="DO336" s="67"/>
      <c r="DP336" s="67"/>
      <c r="DQ336" s="67">
        <v>0</v>
      </c>
      <c r="DR336" s="67">
        <v>0</v>
      </c>
      <c r="DS336" s="67"/>
      <c r="DT336" s="67"/>
      <c r="DU336" s="67">
        <v>0</v>
      </c>
      <c r="DV336" s="67">
        <v>0</v>
      </c>
      <c r="DW336" s="67">
        <v>0</v>
      </c>
      <c r="DX336" s="67">
        <v>0</v>
      </c>
      <c r="DY336" s="67"/>
      <c r="DZ336" s="67">
        <v>0</v>
      </c>
      <c r="EA336" s="67"/>
      <c r="EB336" s="67">
        <v>0</v>
      </c>
      <c r="EC336" s="67"/>
      <c r="ED336" s="67">
        <v>0</v>
      </c>
      <c r="EE336" s="67"/>
      <c r="EF336" s="67">
        <v>0</v>
      </c>
      <c r="EG336" s="67"/>
      <c r="EH336" s="67"/>
      <c r="EI336" s="67"/>
      <c r="EJ336" s="67"/>
      <c r="EK336" s="67"/>
      <c r="EL336" s="67"/>
      <c r="EM336" s="67"/>
      <c r="EN336" s="67"/>
      <c r="EO336" s="67"/>
      <c r="EP336" s="67">
        <v>0</v>
      </c>
      <c r="EQ336" s="67">
        <v>0</v>
      </c>
      <c r="ER336" s="67">
        <v>0</v>
      </c>
      <c r="ES336" s="67"/>
      <c r="ET336">
        <v>0</v>
      </c>
      <c r="EX336" s="67"/>
      <c r="EY336" s="67"/>
      <c r="EZ336" s="67"/>
      <c r="FA336" s="67">
        <v>690</v>
      </c>
      <c r="FB336" s="67">
        <v>0</v>
      </c>
      <c r="FC336" s="67"/>
      <c r="FD336" s="67"/>
      <c r="FE336" s="67"/>
      <c r="FF336" s="67"/>
      <c r="FG336" s="67"/>
      <c r="FH336" s="67"/>
      <c r="FI336" s="67" t="s">
        <v>1734</v>
      </c>
    </row>
    <row r="337" spans="2:165" ht="24" x14ac:dyDescent="0.2">
      <c r="B337" s="67" t="s">
        <v>929</v>
      </c>
      <c r="C337" s="67"/>
      <c r="D337" s="67" t="s">
        <v>930</v>
      </c>
      <c r="E337" s="67" t="s">
        <v>13</v>
      </c>
      <c r="F337" s="67" t="s">
        <v>810</v>
      </c>
      <c r="G337" s="67" t="s">
        <v>694</v>
      </c>
      <c r="H337" s="67"/>
      <c r="I337" s="67" t="s">
        <v>41</v>
      </c>
      <c r="J337" s="67"/>
      <c r="K337" s="67"/>
      <c r="L337" s="67" t="s">
        <v>779</v>
      </c>
      <c r="M337" s="67" t="s">
        <v>752</v>
      </c>
      <c r="N337" s="67"/>
      <c r="O337" s="67" t="s">
        <v>1605</v>
      </c>
      <c r="P337" s="67"/>
      <c r="Q337" s="67">
        <v>0</v>
      </c>
      <c r="R337" s="67">
        <v>0</v>
      </c>
      <c r="S337" s="67">
        <v>0</v>
      </c>
      <c r="T337" s="67">
        <v>0</v>
      </c>
      <c r="U337" s="67">
        <v>0</v>
      </c>
      <c r="V337" s="67">
        <v>0</v>
      </c>
      <c r="W337" s="67">
        <v>0</v>
      </c>
      <c r="X337" s="67">
        <v>0</v>
      </c>
      <c r="Y337" s="67">
        <v>0</v>
      </c>
      <c r="Z337" s="67">
        <v>0</v>
      </c>
      <c r="AA337" s="67">
        <v>0</v>
      </c>
      <c r="AB337" s="67">
        <v>0</v>
      </c>
      <c r="AC337" s="67">
        <v>0</v>
      </c>
      <c r="AD337" s="67">
        <v>0</v>
      </c>
      <c r="AE337" s="67">
        <v>0</v>
      </c>
      <c r="AF337" s="67">
        <v>0</v>
      </c>
      <c r="AG337" s="67">
        <v>0</v>
      </c>
      <c r="AH337" s="67">
        <v>0</v>
      </c>
      <c r="AI337" s="67">
        <v>0</v>
      </c>
      <c r="AJ337" s="67">
        <v>0</v>
      </c>
      <c r="AK337" s="67">
        <v>0</v>
      </c>
      <c r="AL337" s="67">
        <v>0</v>
      </c>
      <c r="AM337" s="67">
        <v>0</v>
      </c>
      <c r="AN337" s="67">
        <v>0</v>
      </c>
      <c r="AO337" s="67">
        <v>0</v>
      </c>
      <c r="AP337" s="67">
        <v>0</v>
      </c>
      <c r="AQ337" s="67">
        <v>0</v>
      </c>
      <c r="AR337" s="67">
        <v>0</v>
      </c>
      <c r="AS337" s="67">
        <v>0</v>
      </c>
      <c r="AT337" s="67"/>
      <c r="AU337" s="67"/>
      <c r="AV337" s="67"/>
      <c r="AW337" s="67">
        <v>0</v>
      </c>
      <c r="AX337" s="67">
        <v>0</v>
      </c>
      <c r="AY337" s="67"/>
      <c r="AZ337" s="67"/>
      <c r="BA337" s="67"/>
      <c r="BB337" s="67"/>
      <c r="BC337" s="67"/>
      <c r="BD337" s="67"/>
      <c r="BE337" s="67"/>
      <c r="BG337" s="67"/>
      <c r="BH337" s="67"/>
      <c r="BI337" s="67"/>
      <c r="BJ337" s="67">
        <v>0</v>
      </c>
      <c r="BK337" s="67"/>
      <c r="BL337" s="67"/>
      <c r="BP337" s="67"/>
      <c r="BQ337" s="67">
        <v>0</v>
      </c>
      <c r="BR337" s="67"/>
      <c r="BS337" s="67"/>
      <c r="BT337" s="67">
        <v>0</v>
      </c>
      <c r="BU337" s="67">
        <v>0</v>
      </c>
      <c r="BV337" s="67"/>
      <c r="BW337" s="67"/>
      <c r="BX337" s="67">
        <v>0</v>
      </c>
      <c r="BY337" s="67">
        <v>0</v>
      </c>
      <c r="BZ337" s="67">
        <v>0</v>
      </c>
      <c r="CA337" s="67"/>
      <c r="CB337" s="67">
        <v>0</v>
      </c>
      <c r="CC337" s="67"/>
      <c r="CD337" s="67"/>
      <c r="CE337" s="67">
        <v>0</v>
      </c>
      <c r="CF337" s="67"/>
      <c r="CG337" s="67"/>
      <c r="CH337" s="67"/>
      <c r="CI337" s="67"/>
      <c r="CJ337" s="67"/>
      <c r="CK337" s="67">
        <v>0</v>
      </c>
      <c r="CL337" s="67"/>
      <c r="CM337" s="67"/>
      <c r="CN337" s="67"/>
      <c r="CO337" s="67">
        <v>0</v>
      </c>
      <c r="CP337" s="67"/>
      <c r="CQ337" s="67"/>
      <c r="CR337" s="67"/>
      <c r="CS337" s="67"/>
      <c r="CT337" s="67"/>
      <c r="CU337" s="67">
        <v>0</v>
      </c>
      <c r="CV337" s="67"/>
      <c r="CW337" s="67"/>
      <c r="CX337" s="67"/>
      <c r="CY337" s="67">
        <v>0</v>
      </c>
      <c r="CZ337" s="67"/>
      <c r="DA337" s="67"/>
      <c r="DB337" s="67"/>
      <c r="DC337" s="67"/>
      <c r="DF337" s="67"/>
      <c r="DG337" s="67">
        <v>0</v>
      </c>
      <c r="DH337" s="67">
        <v>0</v>
      </c>
      <c r="DI337" s="67">
        <v>0</v>
      </c>
      <c r="DJ337" s="67"/>
      <c r="DK337" s="67">
        <v>0</v>
      </c>
      <c r="DL337" s="67">
        <v>0</v>
      </c>
      <c r="DM337" s="67">
        <v>0</v>
      </c>
      <c r="DN337" s="67"/>
      <c r="DO337" s="67"/>
      <c r="DP337" s="67"/>
      <c r="DQ337" s="67">
        <v>0</v>
      </c>
      <c r="DR337" s="67">
        <v>0</v>
      </c>
      <c r="DS337" s="67"/>
      <c r="DT337" s="67"/>
      <c r="DU337" s="67">
        <v>0</v>
      </c>
      <c r="DV337" s="67">
        <v>0</v>
      </c>
      <c r="DW337" s="67">
        <v>0</v>
      </c>
      <c r="DX337" s="67">
        <v>0</v>
      </c>
      <c r="DY337" s="67"/>
      <c r="DZ337" s="67">
        <v>0</v>
      </c>
      <c r="EA337" s="67"/>
      <c r="EB337" s="67">
        <v>0</v>
      </c>
      <c r="EC337" s="67"/>
      <c r="ED337" s="67">
        <v>0</v>
      </c>
      <c r="EE337" s="67"/>
      <c r="EF337" s="67">
        <v>0</v>
      </c>
      <c r="EG337" s="67"/>
      <c r="EH337" s="67"/>
      <c r="EI337" s="67"/>
      <c r="EJ337" s="67"/>
      <c r="EK337" s="67"/>
      <c r="EL337" s="67"/>
      <c r="EM337" s="67"/>
      <c r="EN337" s="67"/>
      <c r="EO337" s="67"/>
      <c r="EP337" s="67">
        <v>0</v>
      </c>
      <c r="EQ337" s="67">
        <v>0</v>
      </c>
      <c r="ER337" s="67">
        <v>0</v>
      </c>
      <c r="ES337" s="67"/>
      <c r="ET337">
        <v>0</v>
      </c>
      <c r="EX337" s="67"/>
      <c r="EY337" s="67"/>
      <c r="EZ337" s="67"/>
      <c r="FA337" s="67">
        <v>0</v>
      </c>
      <c r="FB337" s="67">
        <v>0</v>
      </c>
      <c r="FC337" s="67"/>
      <c r="FD337" s="67"/>
      <c r="FE337" s="67"/>
      <c r="FF337" s="67"/>
      <c r="FG337" s="67"/>
      <c r="FH337" s="67"/>
      <c r="FI337" s="67" t="s">
        <v>1734</v>
      </c>
    </row>
    <row r="338" spans="2:165" x14ac:dyDescent="0.2">
      <c r="B338" s="67" t="s">
        <v>931</v>
      </c>
      <c r="C338" s="67"/>
      <c r="D338" s="67" t="s">
        <v>932</v>
      </c>
      <c r="E338" s="67" t="s">
        <v>23</v>
      </c>
      <c r="F338" s="67" t="s">
        <v>933</v>
      </c>
      <c r="G338" s="67" t="s">
        <v>694</v>
      </c>
      <c r="H338" s="67"/>
      <c r="I338" s="67" t="s">
        <v>43</v>
      </c>
      <c r="J338" s="67"/>
      <c r="K338" s="67"/>
      <c r="L338" s="67" t="s">
        <v>934</v>
      </c>
      <c r="M338" s="67" t="s">
        <v>752</v>
      </c>
      <c r="N338" s="67"/>
      <c r="O338" s="67" t="s">
        <v>1605</v>
      </c>
      <c r="P338" s="67"/>
      <c r="Q338" s="67">
        <v>0</v>
      </c>
      <c r="R338" s="67">
        <v>0</v>
      </c>
      <c r="S338" s="67">
        <v>0</v>
      </c>
      <c r="T338" s="67">
        <v>0</v>
      </c>
      <c r="U338" s="67">
        <v>0</v>
      </c>
      <c r="V338" s="67">
        <v>0</v>
      </c>
      <c r="W338" s="67">
        <v>0</v>
      </c>
      <c r="X338" s="67">
        <v>0</v>
      </c>
      <c r="Y338" s="67">
        <v>0</v>
      </c>
      <c r="Z338" s="67">
        <v>0</v>
      </c>
      <c r="AA338" s="67">
        <v>0</v>
      </c>
      <c r="AB338" s="67">
        <v>0</v>
      </c>
      <c r="AC338" s="67">
        <v>0</v>
      </c>
      <c r="AD338" s="67">
        <v>0</v>
      </c>
      <c r="AE338" s="67">
        <v>0</v>
      </c>
      <c r="AF338" s="67">
        <v>0</v>
      </c>
      <c r="AG338" s="67">
        <v>0</v>
      </c>
      <c r="AH338" s="67">
        <v>0</v>
      </c>
      <c r="AI338" s="67">
        <v>0</v>
      </c>
      <c r="AJ338" s="67">
        <v>0</v>
      </c>
      <c r="AK338" s="67">
        <v>0</v>
      </c>
      <c r="AL338" s="67">
        <v>0</v>
      </c>
      <c r="AM338" s="67">
        <v>0</v>
      </c>
      <c r="AN338" s="67">
        <v>0</v>
      </c>
      <c r="AO338" s="67">
        <v>0</v>
      </c>
      <c r="AP338" s="67">
        <v>0</v>
      </c>
      <c r="AQ338" s="67">
        <v>0</v>
      </c>
      <c r="AR338" s="67">
        <v>0</v>
      </c>
      <c r="AS338" s="67">
        <v>0</v>
      </c>
      <c r="AT338" s="67"/>
      <c r="AU338" s="67"/>
      <c r="AV338" s="67"/>
      <c r="AW338" s="67">
        <v>0</v>
      </c>
      <c r="AX338" s="67">
        <v>0</v>
      </c>
      <c r="AY338" s="67"/>
      <c r="AZ338" s="67"/>
      <c r="BA338" s="67"/>
      <c r="BB338" s="67"/>
      <c r="BC338" s="67"/>
      <c r="BD338" s="67"/>
      <c r="BE338" s="67"/>
      <c r="BG338" s="67"/>
      <c r="BH338" s="67"/>
      <c r="BI338" s="67"/>
      <c r="BJ338" s="67">
        <v>0</v>
      </c>
      <c r="BK338" s="67"/>
      <c r="BL338" s="67"/>
      <c r="BP338" s="67"/>
      <c r="BQ338" s="67">
        <v>0</v>
      </c>
      <c r="BR338" s="67"/>
      <c r="BS338" s="67"/>
      <c r="BT338" s="67">
        <v>0</v>
      </c>
      <c r="BU338" s="67">
        <v>0</v>
      </c>
      <c r="BV338" s="67"/>
      <c r="BW338" s="67"/>
      <c r="BX338" s="67">
        <v>0</v>
      </c>
      <c r="BY338" s="67">
        <v>0</v>
      </c>
      <c r="BZ338" s="67">
        <v>0</v>
      </c>
      <c r="CA338" s="67"/>
      <c r="CB338" s="67">
        <v>0</v>
      </c>
      <c r="CC338" s="67"/>
      <c r="CD338" s="67"/>
      <c r="CE338" s="67">
        <v>0</v>
      </c>
      <c r="CF338" s="67"/>
      <c r="CG338" s="67"/>
      <c r="CH338" s="67"/>
      <c r="CI338" s="67"/>
      <c r="CJ338" s="67"/>
      <c r="CK338" s="67">
        <v>0</v>
      </c>
      <c r="CL338" s="67"/>
      <c r="CM338" s="67"/>
      <c r="CN338" s="67"/>
      <c r="CO338" s="67">
        <v>0</v>
      </c>
      <c r="CP338" s="67"/>
      <c r="CQ338" s="67"/>
      <c r="CR338" s="67"/>
      <c r="CS338" s="67"/>
      <c r="CT338" s="67"/>
      <c r="CU338" s="67">
        <v>0</v>
      </c>
      <c r="CV338" s="67"/>
      <c r="CW338" s="67"/>
      <c r="CX338" s="67"/>
      <c r="CY338" s="67">
        <v>0</v>
      </c>
      <c r="CZ338" s="67"/>
      <c r="DA338" s="67"/>
      <c r="DB338" s="67"/>
      <c r="DC338" s="67"/>
      <c r="DF338" s="67"/>
      <c r="DG338" s="67">
        <v>0</v>
      </c>
      <c r="DH338" s="67">
        <v>0</v>
      </c>
      <c r="DI338" s="67">
        <v>0</v>
      </c>
      <c r="DJ338" s="67"/>
      <c r="DK338" s="67">
        <v>0</v>
      </c>
      <c r="DL338" s="67">
        <v>0</v>
      </c>
      <c r="DM338" s="67">
        <v>0</v>
      </c>
      <c r="DN338" s="67"/>
      <c r="DO338" s="67"/>
      <c r="DP338" s="67"/>
      <c r="DQ338" s="67">
        <v>0</v>
      </c>
      <c r="DR338" s="67">
        <v>0</v>
      </c>
      <c r="DS338" s="67"/>
      <c r="DT338" s="67"/>
      <c r="DU338" s="67">
        <v>0</v>
      </c>
      <c r="DV338" s="67">
        <v>0</v>
      </c>
      <c r="DW338" s="67">
        <v>0</v>
      </c>
      <c r="DX338" s="67">
        <v>0</v>
      </c>
      <c r="DY338" s="67"/>
      <c r="DZ338" s="67">
        <v>0</v>
      </c>
      <c r="EA338" s="67"/>
      <c r="EB338" s="67">
        <v>0</v>
      </c>
      <c r="EC338" s="67"/>
      <c r="ED338" s="67">
        <v>0</v>
      </c>
      <c r="EE338" s="67"/>
      <c r="EF338" s="67">
        <v>0</v>
      </c>
      <c r="EG338" s="67"/>
      <c r="EH338" s="67"/>
      <c r="EI338" s="67"/>
      <c r="EJ338" s="67"/>
      <c r="EK338" s="67"/>
      <c r="EL338" s="67"/>
      <c r="EM338" s="67"/>
      <c r="EN338" s="67"/>
      <c r="EO338" s="67"/>
      <c r="EP338" s="67">
        <v>0</v>
      </c>
      <c r="EQ338" s="67">
        <v>0</v>
      </c>
      <c r="ER338" s="67">
        <v>0</v>
      </c>
      <c r="ES338" s="67"/>
      <c r="ET338">
        <v>0</v>
      </c>
      <c r="EX338" s="67"/>
      <c r="EY338" s="67"/>
      <c r="EZ338" s="67"/>
      <c r="FA338" s="67">
        <v>0</v>
      </c>
      <c r="FB338" s="67">
        <v>0</v>
      </c>
      <c r="FC338" s="67"/>
      <c r="FD338" s="67"/>
      <c r="FE338" s="67"/>
      <c r="FF338" s="67"/>
      <c r="FG338" s="67"/>
      <c r="FH338" s="67"/>
      <c r="FI338" s="67" t="s">
        <v>1734</v>
      </c>
    </row>
    <row r="339" spans="2:165" x14ac:dyDescent="0.2">
      <c r="B339" s="67" t="s">
        <v>938</v>
      </c>
      <c r="C339" s="67"/>
      <c r="D339" s="67" t="s">
        <v>939</v>
      </c>
      <c r="E339" s="67" t="s">
        <v>23</v>
      </c>
      <c r="F339" s="67" t="s">
        <v>933</v>
      </c>
      <c r="G339" s="67" t="s">
        <v>694</v>
      </c>
      <c r="H339" s="67"/>
      <c r="I339" s="67" t="s">
        <v>43</v>
      </c>
      <c r="J339" s="67"/>
      <c r="K339" s="67"/>
      <c r="L339" s="67" t="s">
        <v>934</v>
      </c>
      <c r="M339" s="67" t="s">
        <v>752</v>
      </c>
      <c r="N339" s="67"/>
      <c r="O339" s="67" t="s">
        <v>1605</v>
      </c>
      <c r="P339" s="67"/>
      <c r="Q339" s="67">
        <v>0</v>
      </c>
      <c r="R339" s="67">
        <v>0</v>
      </c>
      <c r="S339" s="67">
        <v>0</v>
      </c>
      <c r="T339" s="67">
        <v>0</v>
      </c>
      <c r="U339" s="67">
        <v>0</v>
      </c>
      <c r="V339" s="67">
        <v>0</v>
      </c>
      <c r="W339" s="67">
        <v>0</v>
      </c>
      <c r="X339" s="67">
        <v>0</v>
      </c>
      <c r="Y339" s="67">
        <v>0</v>
      </c>
      <c r="Z339" s="67">
        <v>0</v>
      </c>
      <c r="AA339" s="67">
        <v>0</v>
      </c>
      <c r="AB339" s="67">
        <v>0</v>
      </c>
      <c r="AC339" s="67">
        <v>0</v>
      </c>
      <c r="AD339" s="67">
        <v>0</v>
      </c>
      <c r="AE339" s="67">
        <v>0</v>
      </c>
      <c r="AF339" s="67">
        <v>0</v>
      </c>
      <c r="AG339" s="67">
        <v>0</v>
      </c>
      <c r="AH339" s="67">
        <v>0</v>
      </c>
      <c r="AI339" s="67">
        <v>0</v>
      </c>
      <c r="AJ339" s="67">
        <v>0</v>
      </c>
      <c r="AK339" s="67">
        <v>0</v>
      </c>
      <c r="AL339" s="67">
        <v>0</v>
      </c>
      <c r="AM339" s="67">
        <v>0</v>
      </c>
      <c r="AN339" s="67">
        <v>0</v>
      </c>
      <c r="AO339" s="67">
        <v>0</v>
      </c>
      <c r="AP339" s="67">
        <v>0</v>
      </c>
      <c r="AQ339" s="67">
        <v>0</v>
      </c>
      <c r="AR339" s="67">
        <v>0</v>
      </c>
      <c r="AS339" s="67">
        <v>0</v>
      </c>
      <c r="AT339" s="67"/>
      <c r="AU339" s="67"/>
      <c r="AV339" s="67"/>
      <c r="AW339" s="67">
        <v>0</v>
      </c>
      <c r="AX339" s="67">
        <v>0</v>
      </c>
      <c r="AY339" s="67"/>
      <c r="AZ339" s="67"/>
      <c r="BA339" s="67"/>
      <c r="BB339" s="67"/>
      <c r="BC339" s="67"/>
      <c r="BD339" s="67"/>
      <c r="BE339" s="67"/>
      <c r="BG339" s="67"/>
      <c r="BH339" s="67"/>
      <c r="BI339" s="67"/>
      <c r="BJ339" s="67">
        <v>0</v>
      </c>
      <c r="BK339" s="67"/>
      <c r="BL339" s="67"/>
      <c r="BP339" s="67"/>
      <c r="BQ339" s="67">
        <v>0</v>
      </c>
      <c r="BR339" s="67"/>
      <c r="BS339" s="67"/>
      <c r="BT339" s="67">
        <v>0</v>
      </c>
      <c r="BU339" s="67">
        <v>0</v>
      </c>
      <c r="BV339" s="67"/>
      <c r="BW339" s="67"/>
      <c r="BX339" s="67">
        <v>0</v>
      </c>
      <c r="BY339" s="67">
        <v>0</v>
      </c>
      <c r="BZ339" s="67">
        <v>0</v>
      </c>
      <c r="CA339" s="67"/>
      <c r="CB339" s="67">
        <v>0</v>
      </c>
      <c r="CC339" s="67"/>
      <c r="CD339" s="67"/>
      <c r="CE339" s="67">
        <v>0</v>
      </c>
      <c r="CF339" s="67"/>
      <c r="CG339" s="67"/>
      <c r="CH339" s="67"/>
      <c r="CI339" s="67"/>
      <c r="CJ339" s="67"/>
      <c r="CK339" s="67">
        <v>0</v>
      </c>
      <c r="CL339" s="67"/>
      <c r="CM339" s="67"/>
      <c r="CN339" s="67"/>
      <c r="CO339" s="67">
        <v>0</v>
      </c>
      <c r="CP339" s="67"/>
      <c r="CQ339" s="67"/>
      <c r="CR339" s="67"/>
      <c r="CS339" s="67"/>
      <c r="CT339" s="67"/>
      <c r="CU339" s="67">
        <v>0</v>
      </c>
      <c r="CV339" s="67"/>
      <c r="CW339" s="67"/>
      <c r="CX339" s="67"/>
      <c r="CY339" s="67">
        <v>0</v>
      </c>
      <c r="CZ339" s="67"/>
      <c r="DA339" s="67"/>
      <c r="DB339" s="67"/>
      <c r="DC339" s="67"/>
      <c r="DF339" s="67"/>
      <c r="DG339" s="67">
        <v>0</v>
      </c>
      <c r="DH339" s="67">
        <v>0</v>
      </c>
      <c r="DI339" s="67">
        <v>0</v>
      </c>
      <c r="DJ339" s="67"/>
      <c r="DK339" s="67">
        <v>0</v>
      </c>
      <c r="DL339" s="67">
        <v>0</v>
      </c>
      <c r="DM339" s="67">
        <v>0</v>
      </c>
      <c r="DN339" s="67"/>
      <c r="DO339" s="67"/>
      <c r="DP339" s="67"/>
      <c r="DQ339" s="67">
        <v>0</v>
      </c>
      <c r="DR339" s="67">
        <v>0</v>
      </c>
      <c r="DS339" s="67"/>
      <c r="DT339" s="67"/>
      <c r="DU339" s="67">
        <v>0</v>
      </c>
      <c r="DV339" s="67">
        <v>0</v>
      </c>
      <c r="DW339" s="67">
        <v>0</v>
      </c>
      <c r="DX339" s="67">
        <v>0</v>
      </c>
      <c r="DY339" s="67"/>
      <c r="DZ339" s="67">
        <v>0</v>
      </c>
      <c r="EA339" s="67"/>
      <c r="EB339" s="67">
        <v>0</v>
      </c>
      <c r="EC339" s="67"/>
      <c r="ED339" s="67">
        <v>0</v>
      </c>
      <c r="EE339" s="67"/>
      <c r="EF339" s="67">
        <v>0</v>
      </c>
      <c r="EG339" s="67"/>
      <c r="EH339" s="67"/>
      <c r="EI339" s="67"/>
      <c r="EJ339" s="67"/>
      <c r="EK339" s="67"/>
      <c r="EL339" s="67"/>
      <c r="EM339" s="67"/>
      <c r="EN339" s="67"/>
      <c r="EO339" s="67"/>
      <c r="EP339" s="67">
        <v>0</v>
      </c>
      <c r="EQ339" s="67">
        <v>0</v>
      </c>
      <c r="ER339" s="67">
        <v>0</v>
      </c>
      <c r="ES339" s="67"/>
      <c r="ET339">
        <v>0</v>
      </c>
      <c r="EX339" s="67"/>
      <c r="EY339" s="67"/>
      <c r="EZ339" s="67"/>
      <c r="FA339" s="67">
        <v>0</v>
      </c>
      <c r="FB339" s="67">
        <v>0</v>
      </c>
      <c r="FC339" s="67"/>
      <c r="FD339" s="67"/>
      <c r="FE339" s="67"/>
      <c r="FF339" s="67"/>
      <c r="FG339" s="67"/>
      <c r="FH339" s="67"/>
      <c r="FI339" s="67" t="s">
        <v>1734</v>
      </c>
    </row>
    <row r="340" spans="2:165" ht="24" x14ac:dyDescent="0.2">
      <c r="B340" s="67" t="s">
        <v>940</v>
      </c>
      <c r="C340" s="67"/>
      <c r="D340" s="67" t="s">
        <v>941</v>
      </c>
      <c r="E340" s="67" t="s">
        <v>889</v>
      </c>
      <c r="F340" s="67" t="s">
        <v>933</v>
      </c>
      <c r="G340" s="67" t="s">
        <v>694</v>
      </c>
      <c r="H340" s="67"/>
      <c r="I340" s="67" t="s">
        <v>43</v>
      </c>
      <c r="J340" s="67"/>
      <c r="K340" s="67"/>
      <c r="L340" s="67" t="s">
        <v>934</v>
      </c>
      <c r="M340" s="67" t="s">
        <v>752</v>
      </c>
      <c r="N340" s="67"/>
      <c r="O340" s="67" t="s">
        <v>1605</v>
      </c>
      <c r="P340" s="67" t="s">
        <v>942</v>
      </c>
      <c r="Q340" s="67">
        <v>0</v>
      </c>
      <c r="R340" s="67">
        <v>0</v>
      </c>
      <c r="S340" s="67">
        <v>0</v>
      </c>
      <c r="T340" s="67">
        <v>0</v>
      </c>
      <c r="U340" s="67">
        <v>0</v>
      </c>
      <c r="V340" s="67">
        <v>0</v>
      </c>
      <c r="W340" s="67">
        <v>0</v>
      </c>
      <c r="X340" s="67">
        <v>0</v>
      </c>
      <c r="Y340" s="67">
        <v>0</v>
      </c>
      <c r="Z340" s="67">
        <v>0</v>
      </c>
      <c r="AA340" s="67">
        <v>0</v>
      </c>
      <c r="AB340" s="67">
        <v>0</v>
      </c>
      <c r="AC340" s="67">
        <v>0</v>
      </c>
      <c r="AD340" s="67">
        <v>0</v>
      </c>
      <c r="AE340" s="67">
        <v>0</v>
      </c>
      <c r="AF340" s="67">
        <v>0</v>
      </c>
      <c r="AG340" s="67">
        <v>0</v>
      </c>
      <c r="AH340" s="67">
        <v>0</v>
      </c>
      <c r="AI340" s="67">
        <v>0</v>
      </c>
      <c r="AJ340" s="67">
        <v>0</v>
      </c>
      <c r="AK340" s="67">
        <v>0</v>
      </c>
      <c r="AL340" s="67">
        <v>0</v>
      </c>
      <c r="AM340" s="67">
        <v>0</v>
      </c>
      <c r="AN340" s="67">
        <v>0</v>
      </c>
      <c r="AO340" s="67">
        <v>0</v>
      </c>
      <c r="AP340" s="67">
        <v>0</v>
      </c>
      <c r="AQ340" s="67">
        <v>0</v>
      </c>
      <c r="AR340" s="67">
        <v>0</v>
      </c>
      <c r="AS340" s="67">
        <v>0</v>
      </c>
      <c r="AT340" s="67"/>
      <c r="AU340" s="67"/>
      <c r="AV340" s="67"/>
      <c r="AW340" s="67">
        <v>0</v>
      </c>
      <c r="AX340" s="67">
        <v>0</v>
      </c>
      <c r="AY340" s="67"/>
      <c r="AZ340" s="67"/>
      <c r="BA340" s="67"/>
      <c r="BB340" s="67"/>
      <c r="BC340" s="67"/>
      <c r="BD340" s="67"/>
      <c r="BE340" s="67"/>
      <c r="BG340" s="67"/>
      <c r="BH340" s="67"/>
      <c r="BI340" s="67"/>
      <c r="BJ340" s="67">
        <v>0</v>
      </c>
      <c r="BK340" s="67"/>
      <c r="BL340" s="67"/>
      <c r="BP340" s="67"/>
      <c r="BQ340" s="67">
        <v>0</v>
      </c>
      <c r="BR340" s="67"/>
      <c r="BS340" s="67"/>
      <c r="BT340" s="67">
        <v>0</v>
      </c>
      <c r="BU340" s="67">
        <v>0</v>
      </c>
      <c r="BV340" s="67"/>
      <c r="BW340" s="67"/>
      <c r="BX340" s="67">
        <v>0</v>
      </c>
      <c r="BY340" s="67">
        <v>0</v>
      </c>
      <c r="BZ340" s="67">
        <v>0</v>
      </c>
      <c r="CA340" s="67"/>
      <c r="CB340" s="67">
        <v>0</v>
      </c>
      <c r="CC340" s="67"/>
      <c r="CD340" s="67"/>
      <c r="CE340" s="67">
        <v>0</v>
      </c>
      <c r="CF340" s="67"/>
      <c r="CG340" s="67"/>
      <c r="CH340" s="67"/>
      <c r="CI340" s="67"/>
      <c r="CJ340" s="67"/>
      <c r="CK340" s="67">
        <v>0</v>
      </c>
      <c r="CL340" s="67"/>
      <c r="CM340" s="67"/>
      <c r="CN340" s="67"/>
      <c r="CO340" s="67">
        <v>0</v>
      </c>
      <c r="CP340" s="67"/>
      <c r="CQ340" s="67"/>
      <c r="CR340" s="67"/>
      <c r="CS340" s="67"/>
      <c r="CT340" s="67"/>
      <c r="CU340" s="67">
        <v>0</v>
      </c>
      <c r="CV340" s="67"/>
      <c r="CW340" s="67"/>
      <c r="CX340" s="67"/>
      <c r="CY340" s="67">
        <v>0</v>
      </c>
      <c r="CZ340" s="67"/>
      <c r="DA340" s="67"/>
      <c r="DB340" s="67"/>
      <c r="DC340" s="67"/>
      <c r="DF340" s="67"/>
      <c r="DG340" s="67">
        <v>0</v>
      </c>
      <c r="DH340" s="67">
        <v>0</v>
      </c>
      <c r="DI340" s="67">
        <v>0</v>
      </c>
      <c r="DJ340" s="67"/>
      <c r="DK340" s="67">
        <v>0</v>
      </c>
      <c r="DL340" s="67">
        <v>0</v>
      </c>
      <c r="DM340" s="67">
        <v>0</v>
      </c>
      <c r="DN340" s="67"/>
      <c r="DO340" s="67"/>
      <c r="DP340" s="67"/>
      <c r="DQ340" s="67">
        <v>0</v>
      </c>
      <c r="DR340" s="67">
        <v>0</v>
      </c>
      <c r="DS340" s="67"/>
      <c r="DT340" s="67"/>
      <c r="DU340" s="67">
        <v>0</v>
      </c>
      <c r="DV340" s="67">
        <v>0</v>
      </c>
      <c r="DW340" s="67">
        <v>0</v>
      </c>
      <c r="DX340" s="67">
        <v>0</v>
      </c>
      <c r="DY340" s="67"/>
      <c r="DZ340" s="67">
        <v>0</v>
      </c>
      <c r="EA340" s="67"/>
      <c r="EB340" s="67">
        <v>0</v>
      </c>
      <c r="EC340" s="67"/>
      <c r="ED340" s="67">
        <v>0</v>
      </c>
      <c r="EE340" s="67"/>
      <c r="EF340" s="67">
        <v>0</v>
      </c>
      <c r="EG340" s="67"/>
      <c r="EH340" s="67"/>
      <c r="EI340" s="67"/>
      <c r="EJ340" s="67"/>
      <c r="EK340" s="67"/>
      <c r="EL340" s="67"/>
      <c r="EM340" s="67"/>
      <c r="EN340" s="67"/>
      <c r="EO340" s="67"/>
      <c r="EP340" s="67">
        <v>0</v>
      </c>
      <c r="EQ340" s="67">
        <v>0</v>
      </c>
      <c r="ER340" s="67">
        <v>0</v>
      </c>
      <c r="ES340" s="67"/>
      <c r="ET340">
        <v>0</v>
      </c>
      <c r="EX340" s="67"/>
      <c r="EY340" s="67"/>
      <c r="EZ340" s="67"/>
      <c r="FA340" s="67">
        <v>0</v>
      </c>
      <c r="FB340" s="67">
        <v>0</v>
      </c>
      <c r="FC340" s="67"/>
      <c r="FD340" s="67"/>
      <c r="FE340" s="67"/>
      <c r="FF340" s="67"/>
      <c r="FG340" s="67"/>
      <c r="FH340" s="67"/>
      <c r="FI340" s="67" t="s">
        <v>1734</v>
      </c>
    </row>
    <row r="341" spans="2:165" x14ac:dyDescent="0.2">
      <c r="B341" s="67" t="s">
        <v>943</v>
      </c>
      <c r="C341" s="67"/>
      <c r="D341" s="67" t="s">
        <v>944</v>
      </c>
      <c r="E341" s="67" t="s">
        <v>23</v>
      </c>
      <c r="F341" s="67" t="s">
        <v>933</v>
      </c>
      <c r="G341" s="67" t="s">
        <v>694</v>
      </c>
      <c r="H341" s="67"/>
      <c r="I341" s="67" t="s">
        <v>43</v>
      </c>
      <c r="J341" s="67"/>
      <c r="K341" s="67"/>
      <c r="L341" s="67" t="s">
        <v>934</v>
      </c>
      <c r="M341" s="67" t="s">
        <v>752</v>
      </c>
      <c r="N341" s="67"/>
      <c r="O341" s="67" t="s">
        <v>1605</v>
      </c>
      <c r="P341" s="67"/>
      <c r="Q341" s="67">
        <v>0</v>
      </c>
      <c r="R341" s="67">
        <v>0</v>
      </c>
      <c r="S341" s="67">
        <v>0</v>
      </c>
      <c r="T341" s="67">
        <v>0</v>
      </c>
      <c r="U341" s="67">
        <v>0</v>
      </c>
      <c r="V341" s="67">
        <v>0</v>
      </c>
      <c r="W341" s="67">
        <v>0</v>
      </c>
      <c r="X341" s="67">
        <v>0</v>
      </c>
      <c r="Y341" s="67">
        <v>0</v>
      </c>
      <c r="Z341" s="67">
        <v>0</v>
      </c>
      <c r="AA341" s="67">
        <v>0</v>
      </c>
      <c r="AB341" s="67">
        <v>0</v>
      </c>
      <c r="AC341" s="67">
        <v>0</v>
      </c>
      <c r="AD341" s="67">
        <v>0</v>
      </c>
      <c r="AE341" s="67">
        <v>0</v>
      </c>
      <c r="AF341" s="67">
        <v>0</v>
      </c>
      <c r="AG341" s="67">
        <v>0</v>
      </c>
      <c r="AH341" s="67">
        <v>0</v>
      </c>
      <c r="AI341" s="67">
        <v>0</v>
      </c>
      <c r="AJ341" s="67">
        <v>0</v>
      </c>
      <c r="AK341" s="67">
        <v>0</v>
      </c>
      <c r="AL341" s="67">
        <v>0</v>
      </c>
      <c r="AM341" s="67">
        <v>0</v>
      </c>
      <c r="AN341" s="67">
        <v>0</v>
      </c>
      <c r="AO341" s="67">
        <v>0</v>
      </c>
      <c r="AP341" s="67">
        <v>0</v>
      </c>
      <c r="AQ341" s="67">
        <v>0</v>
      </c>
      <c r="AR341" s="67">
        <v>0</v>
      </c>
      <c r="AS341" s="67">
        <v>0</v>
      </c>
      <c r="AT341" s="67"/>
      <c r="AU341" s="67"/>
      <c r="AV341" s="67"/>
      <c r="AW341" s="67">
        <v>0</v>
      </c>
      <c r="AX341" s="67">
        <v>0</v>
      </c>
      <c r="AY341" s="67"/>
      <c r="AZ341" s="67"/>
      <c r="BA341" s="67"/>
      <c r="BB341" s="67"/>
      <c r="BC341" s="67"/>
      <c r="BD341" s="67"/>
      <c r="BE341" s="67"/>
      <c r="BG341" s="67"/>
      <c r="BH341" s="67"/>
      <c r="BI341" s="67"/>
      <c r="BJ341" s="67">
        <v>0</v>
      </c>
      <c r="BK341" s="67"/>
      <c r="BL341" s="67"/>
      <c r="BP341" s="67"/>
      <c r="BQ341" s="67">
        <v>0</v>
      </c>
      <c r="BR341" s="67"/>
      <c r="BS341" s="67"/>
      <c r="BT341" s="67">
        <v>0</v>
      </c>
      <c r="BU341" s="67">
        <v>0</v>
      </c>
      <c r="BV341" s="67"/>
      <c r="BW341" s="67"/>
      <c r="BX341" s="67">
        <v>0</v>
      </c>
      <c r="BY341" s="67">
        <v>0</v>
      </c>
      <c r="BZ341" s="67">
        <v>0</v>
      </c>
      <c r="CA341" s="67"/>
      <c r="CB341" s="67">
        <v>0</v>
      </c>
      <c r="CC341" s="67"/>
      <c r="CD341" s="67"/>
      <c r="CE341" s="67">
        <v>0</v>
      </c>
      <c r="CF341" s="67"/>
      <c r="CG341" s="67"/>
      <c r="CH341" s="67"/>
      <c r="CI341" s="67"/>
      <c r="CJ341" s="67"/>
      <c r="CK341" s="67">
        <v>0</v>
      </c>
      <c r="CL341" s="67"/>
      <c r="CM341" s="67"/>
      <c r="CN341" s="67"/>
      <c r="CO341" s="67">
        <v>0</v>
      </c>
      <c r="CP341" s="67"/>
      <c r="CQ341" s="67"/>
      <c r="CR341" s="67"/>
      <c r="CS341" s="67"/>
      <c r="CT341" s="67"/>
      <c r="CU341" s="67">
        <v>0</v>
      </c>
      <c r="CV341" s="67"/>
      <c r="CW341" s="67"/>
      <c r="CX341" s="67"/>
      <c r="CY341" s="67">
        <v>0</v>
      </c>
      <c r="CZ341" s="67"/>
      <c r="DA341" s="67"/>
      <c r="DB341" s="67"/>
      <c r="DC341" s="67"/>
      <c r="DF341" s="67"/>
      <c r="DG341" s="67">
        <v>0</v>
      </c>
      <c r="DH341" s="67">
        <v>0</v>
      </c>
      <c r="DI341" s="67">
        <v>0</v>
      </c>
      <c r="DJ341" s="67"/>
      <c r="DK341" s="67">
        <v>0</v>
      </c>
      <c r="DL341" s="67">
        <v>0</v>
      </c>
      <c r="DM341" s="67">
        <v>0</v>
      </c>
      <c r="DN341" s="67"/>
      <c r="DO341" s="67"/>
      <c r="DP341" s="67"/>
      <c r="DQ341" s="67">
        <v>0</v>
      </c>
      <c r="DR341" s="67">
        <v>0</v>
      </c>
      <c r="DS341" s="67"/>
      <c r="DT341" s="67"/>
      <c r="DU341" s="67">
        <v>0</v>
      </c>
      <c r="DV341" s="67">
        <v>0</v>
      </c>
      <c r="DW341" s="67">
        <v>0</v>
      </c>
      <c r="DX341" s="67">
        <v>0</v>
      </c>
      <c r="DY341" s="67"/>
      <c r="DZ341" s="67">
        <v>0</v>
      </c>
      <c r="EA341" s="67"/>
      <c r="EB341" s="67">
        <v>0</v>
      </c>
      <c r="EC341" s="67"/>
      <c r="ED341" s="67">
        <v>0</v>
      </c>
      <c r="EE341" s="67"/>
      <c r="EF341" s="67">
        <v>0</v>
      </c>
      <c r="EG341" s="67"/>
      <c r="EH341" s="67"/>
      <c r="EI341" s="67"/>
      <c r="EJ341" s="67"/>
      <c r="EK341" s="67"/>
      <c r="EL341" s="67"/>
      <c r="EM341" s="67"/>
      <c r="EN341" s="67"/>
      <c r="EO341" s="67"/>
      <c r="EP341" s="67">
        <v>0</v>
      </c>
      <c r="EQ341" s="67">
        <v>0</v>
      </c>
      <c r="ER341" s="67">
        <v>0</v>
      </c>
      <c r="ES341" s="67"/>
      <c r="ET341">
        <v>0</v>
      </c>
      <c r="EX341" s="67"/>
      <c r="EY341" s="67"/>
      <c r="EZ341" s="67"/>
      <c r="FA341" s="67">
        <v>0</v>
      </c>
      <c r="FB341" s="67">
        <v>0</v>
      </c>
      <c r="FC341" s="67"/>
      <c r="FD341" s="67"/>
      <c r="FE341" s="67"/>
      <c r="FF341" s="67"/>
      <c r="FG341" s="67"/>
      <c r="FH341" s="67"/>
      <c r="FI341" s="67" t="s">
        <v>1734</v>
      </c>
    </row>
    <row r="342" spans="2:165" ht="24" x14ac:dyDescent="0.2">
      <c r="B342" s="67" t="s">
        <v>945</v>
      </c>
      <c r="C342" s="67"/>
      <c r="D342" s="67" t="s">
        <v>946</v>
      </c>
      <c r="E342" s="67" t="s">
        <v>889</v>
      </c>
      <c r="F342" s="67" t="s">
        <v>933</v>
      </c>
      <c r="G342" s="67" t="s">
        <v>694</v>
      </c>
      <c r="H342" s="67"/>
      <c r="I342" s="67" t="s">
        <v>43</v>
      </c>
      <c r="J342" s="67"/>
      <c r="K342" s="67"/>
      <c r="L342" s="67" t="s">
        <v>934</v>
      </c>
      <c r="M342" s="67" t="s">
        <v>752</v>
      </c>
      <c r="N342" s="67"/>
      <c r="O342" s="67" t="s">
        <v>1605</v>
      </c>
      <c r="P342" s="67" t="s">
        <v>942</v>
      </c>
      <c r="Q342" s="67">
        <v>0</v>
      </c>
      <c r="R342" s="67">
        <v>0</v>
      </c>
      <c r="S342" s="67">
        <v>0</v>
      </c>
      <c r="T342" s="67">
        <v>0</v>
      </c>
      <c r="U342" s="67">
        <v>0</v>
      </c>
      <c r="V342" s="67">
        <v>0</v>
      </c>
      <c r="W342" s="67">
        <v>0</v>
      </c>
      <c r="X342" s="67">
        <v>0</v>
      </c>
      <c r="Y342" s="67">
        <v>0</v>
      </c>
      <c r="Z342" s="67">
        <v>0</v>
      </c>
      <c r="AA342" s="67">
        <v>0</v>
      </c>
      <c r="AB342" s="67">
        <v>0</v>
      </c>
      <c r="AC342" s="67">
        <v>0</v>
      </c>
      <c r="AD342" s="67">
        <v>0</v>
      </c>
      <c r="AE342" s="67">
        <v>0</v>
      </c>
      <c r="AF342" s="67">
        <v>0</v>
      </c>
      <c r="AG342" s="67">
        <v>0</v>
      </c>
      <c r="AH342" s="67">
        <v>0</v>
      </c>
      <c r="AI342" s="67">
        <v>0</v>
      </c>
      <c r="AJ342" s="67">
        <v>0</v>
      </c>
      <c r="AK342" s="67">
        <v>0</v>
      </c>
      <c r="AL342" s="67">
        <v>0</v>
      </c>
      <c r="AM342" s="67">
        <v>0</v>
      </c>
      <c r="AN342" s="67">
        <v>0</v>
      </c>
      <c r="AO342" s="67">
        <v>0</v>
      </c>
      <c r="AP342" s="67">
        <v>0</v>
      </c>
      <c r="AQ342" s="67">
        <v>0</v>
      </c>
      <c r="AR342" s="67">
        <v>0</v>
      </c>
      <c r="AS342" s="67">
        <v>0</v>
      </c>
      <c r="AT342" s="67"/>
      <c r="AU342" s="67"/>
      <c r="AV342" s="67"/>
      <c r="AW342" s="67">
        <v>0</v>
      </c>
      <c r="AX342" s="67">
        <v>0</v>
      </c>
      <c r="AY342" s="67"/>
      <c r="AZ342" s="67"/>
      <c r="BA342" s="67"/>
      <c r="BB342" s="67"/>
      <c r="BC342" s="67"/>
      <c r="BD342" s="67"/>
      <c r="BE342" s="67"/>
      <c r="BG342" s="67"/>
      <c r="BH342" s="67"/>
      <c r="BI342" s="67"/>
      <c r="BJ342" s="67">
        <v>0</v>
      </c>
      <c r="BK342" s="67"/>
      <c r="BL342" s="67"/>
      <c r="BP342" s="67"/>
      <c r="BQ342" s="67">
        <v>0</v>
      </c>
      <c r="BR342" s="67"/>
      <c r="BS342" s="67"/>
      <c r="BT342" s="67">
        <v>0</v>
      </c>
      <c r="BU342" s="67">
        <v>0</v>
      </c>
      <c r="BV342" s="67"/>
      <c r="BW342" s="67"/>
      <c r="BX342" s="67">
        <v>0</v>
      </c>
      <c r="BY342" s="67">
        <v>0</v>
      </c>
      <c r="BZ342" s="67">
        <v>0</v>
      </c>
      <c r="CA342" s="67"/>
      <c r="CB342" s="67">
        <v>0</v>
      </c>
      <c r="CC342" s="67"/>
      <c r="CD342" s="67"/>
      <c r="CE342" s="67">
        <v>0</v>
      </c>
      <c r="CF342" s="67"/>
      <c r="CG342" s="67"/>
      <c r="CH342" s="67"/>
      <c r="CI342" s="67"/>
      <c r="CJ342" s="67"/>
      <c r="CK342" s="67">
        <v>0</v>
      </c>
      <c r="CL342" s="67"/>
      <c r="CM342" s="67"/>
      <c r="CN342" s="67"/>
      <c r="CO342" s="67">
        <v>0</v>
      </c>
      <c r="CP342" s="67"/>
      <c r="CQ342" s="67"/>
      <c r="CR342" s="67"/>
      <c r="CS342" s="67"/>
      <c r="CT342" s="67"/>
      <c r="CU342" s="67">
        <v>0</v>
      </c>
      <c r="CV342" s="67"/>
      <c r="CW342" s="67"/>
      <c r="CX342" s="67"/>
      <c r="CY342" s="67">
        <v>0</v>
      </c>
      <c r="CZ342" s="67"/>
      <c r="DA342" s="67"/>
      <c r="DB342" s="67"/>
      <c r="DC342" s="67"/>
      <c r="DF342" s="67"/>
      <c r="DG342" s="67">
        <v>0</v>
      </c>
      <c r="DH342" s="67">
        <v>0</v>
      </c>
      <c r="DI342" s="67">
        <v>0</v>
      </c>
      <c r="DJ342" s="67"/>
      <c r="DK342" s="67">
        <v>0</v>
      </c>
      <c r="DL342" s="67">
        <v>0</v>
      </c>
      <c r="DM342" s="67">
        <v>0</v>
      </c>
      <c r="DN342" s="67"/>
      <c r="DO342" s="67"/>
      <c r="DP342" s="67"/>
      <c r="DQ342" s="67">
        <v>0</v>
      </c>
      <c r="DR342" s="67">
        <v>0</v>
      </c>
      <c r="DS342" s="67"/>
      <c r="DT342" s="67"/>
      <c r="DU342" s="67">
        <v>0</v>
      </c>
      <c r="DV342" s="67">
        <v>0</v>
      </c>
      <c r="DW342" s="67">
        <v>0</v>
      </c>
      <c r="DX342" s="67">
        <v>0</v>
      </c>
      <c r="DY342" s="67"/>
      <c r="DZ342" s="67">
        <v>0</v>
      </c>
      <c r="EA342" s="67"/>
      <c r="EB342" s="67">
        <v>0</v>
      </c>
      <c r="EC342" s="67"/>
      <c r="ED342" s="67">
        <v>0</v>
      </c>
      <c r="EE342" s="67"/>
      <c r="EF342" s="67">
        <v>0</v>
      </c>
      <c r="EG342" s="67"/>
      <c r="EH342" s="67"/>
      <c r="EI342" s="67"/>
      <c r="EJ342" s="67"/>
      <c r="EK342" s="67"/>
      <c r="EL342" s="67"/>
      <c r="EM342" s="67"/>
      <c r="EN342" s="67"/>
      <c r="EO342" s="67"/>
      <c r="EP342" s="67">
        <v>0</v>
      </c>
      <c r="EQ342" s="67">
        <v>0</v>
      </c>
      <c r="ER342" s="67">
        <v>0</v>
      </c>
      <c r="ES342" s="67"/>
      <c r="ET342">
        <v>0</v>
      </c>
      <c r="EX342" s="67"/>
      <c r="EY342" s="67"/>
      <c r="EZ342" s="67"/>
      <c r="FA342" s="67">
        <v>0</v>
      </c>
      <c r="FB342" s="67">
        <v>0</v>
      </c>
      <c r="FC342" s="67"/>
      <c r="FD342" s="67"/>
      <c r="FE342" s="67"/>
      <c r="FF342" s="67"/>
      <c r="FG342" s="67"/>
      <c r="FH342" s="67"/>
      <c r="FI342" s="67" t="s">
        <v>1734</v>
      </c>
    </row>
    <row r="343" spans="2:165" ht="24" x14ac:dyDescent="0.2">
      <c r="B343" s="67" t="s">
        <v>947</v>
      </c>
      <c r="C343" s="67"/>
      <c r="D343" s="67" t="s">
        <v>948</v>
      </c>
      <c r="E343" s="67" t="s">
        <v>889</v>
      </c>
      <c r="F343" s="67" t="s">
        <v>933</v>
      </c>
      <c r="G343" s="67" t="s">
        <v>694</v>
      </c>
      <c r="H343" s="67"/>
      <c r="I343" s="67" t="s">
        <v>43</v>
      </c>
      <c r="J343" s="67"/>
      <c r="K343" s="67"/>
      <c r="L343" s="67" t="s">
        <v>934</v>
      </c>
      <c r="M343" s="67" t="s">
        <v>752</v>
      </c>
      <c r="N343" s="67"/>
      <c r="O343" s="67" t="s">
        <v>1605</v>
      </c>
      <c r="P343" s="67"/>
      <c r="Q343" s="67">
        <v>0</v>
      </c>
      <c r="R343" s="67">
        <v>0</v>
      </c>
      <c r="S343" s="67">
        <v>0</v>
      </c>
      <c r="T343" s="67">
        <v>0</v>
      </c>
      <c r="U343" s="67">
        <v>0</v>
      </c>
      <c r="V343" s="67">
        <v>0</v>
      </c>
      <c r="W343" s="67">
        <v>0</v>
      </c>
      <c r="X343" s="67">
        <v>0</v>
      </c>
      <c r="Y343" s="67">
        <v>0</v>
      </c>
      <c r="Z343" s="67">
        <v>0</v>
      </c>
      <c r="AA343" s="67">
        <v>0</v>
      </c>
      <c r="AB343" s="67">
        <v>0</v>
      </c>
      <c r="AC343" s="67">
        <v>0</v>
      </c>
      <c r="AD343" s="67">
        <v>0</v>
      </c>
      <c r="AE343" s="67">
        <v>0</v>
      </c>
      <c r="AF343" s="67">
        <v>0</v>
      </c>
      <c r="AG343" s="67">
        <v>0</v>
      </c>
      <c r="AH343" s="67">
        <v>0</v>
      </c>
      <c r="AI343" s="67">
        <v>0</v>
      </c>
      <c r="AJ343" s="67">
        <v>0</v>
      </c>
      <c r="AK343" s="67">
        <v>0</v>
      </c>
      <c r="AL343" s="67">
        <v>0</v>
      </c>
      <c r="AM343" s="67">
        <v>0</v>
      </c>
      <c r="AN343" s="67">
        <v>0</v>
      </c>
      <c r="AO343" s="67">
        <v>0</v>
      </c>
      <c r="AP343" s="67">
        <v>0</v>
      </c>
      <c r="AQ343" s="67">
        <v>0</v>
      </c>
      <c r="AR343" s="67">
        <v>0</v>
      </c>
      <c r="AS343" s="67">
        <v>0</v>
      </c>
      <c r="AT343" s="67"/>
      <c r="AU343" s="67"/>
      <c r="AV343" s="67"/>
      <c r="AW343" s="67">
        <v>0</v>
      </c>
      <c r="AX343" s="67">
        <v>0</v>
      </c>
      <c r="AY343" s="67"/>
      <c r="AZ343" s="67"/>
      <c r="BA343" s="67"/>
      <c r="BB343" s="67"/>
      <c r="BC343" s="67"/>
      <c r="BD343" s="67"/>
      <c r="BE343" s="67"/>
      <c r="BG343" s="67"/>
      <c r="BH343" s="67"/>
      <c r="BI343" s="67"/>
      <c r="BJ343" s="67">
        <v>0</v>
      </c>
      <c r="BK343" s="67"/>
      <c r="BL343" s="67"/>
      <c r="BP343" s="67"/>
      <c r="BQ343" s="67">
        <v>0</v>
      </c>
      <c r="BR343" s="67"/>
      <c r="BS343" s="67"/>
      <c r="BT343" s="67">
        <v>0</v>
      </c>
      <c r="BU343" s="67">
        <v>0</v>
      </c>
      <c r="BV343" s="67"/>
      <c r="BW343" s="67"/>
      <c r="BX343" s="67">
        <v>0</v>
      </c>
      <c r="BY343" s="67">
        <v>0</v>
      </c>
      <c r="BZ343" s="67">
        <v>0</v>
      </c>
      <c r="CA343" s="67"/>
      <c r="CB343" s="67">
        <v>0</v>
      </c>
      <c r="CC343" s="67"/>
      <c r="CD343" s="67"/>
      <c r="CE343" s="67">
        <v>0</v>
      </c>
      <c r="CF343" s="67"/>
      <c r="CG343" s="67"/>
      <c r="CH343" s="67"/>
      <c r="CI343" s="67"/>
      <c r="CJ343" s="67"/>
      <c r="CK343" s="67">
        <v>0</v>
      </c>
      <c r="CL343" s="67"/>
      <c r="CM343" s="67"/>
      <c r="CN343" s="67"/>
      <c r="CO343" s="67">
        <v>0</v>
      </c>
      <c r="CP343" s="67"/>
      <c r="CQ343" s="67"/>
      <c r="CR343" s="67"/>
      <c r="CS343" s="67"/>
      <c r="CT343" s="67"/>
      <c r="CU343" s="67">
        <v>0</v>
      </c>
      <c r="CV343" s="67"/>
      <c r="CW343" s="67"/>
      <c r="CX343" s="67"/>
      <c r="CY343" s="67">
        <v>0</v>
      </c>
      <c r="CZ343" s="67"/>
      <c r="DA343" s="67"/>
      <c r="DB343" s="67"/>
      <c r="DC343" s="67"/>
      <c r="DF343" s="67"/>
      <c r="DG343" s="67">
        <v>0</v>
      </c>
      <c r="DH343" s="67">
        <v>0</v>
      </c>
      <c r="DI343" s="67">
        <v>0</v>
      </c>
      <c r="DJ343" s="67"/>
      <c r="DK343" s="67">
        <v>0</v>
      </c>
      <c r="DL343" s="67">
        <v>0</v>
      </c>
      <c r="DM343" s="67">
        <v>0</v>
      </c>
      <c r="DN343" s="67"/>
      <c r="DO343" s="67"/>
      <c r="DP343" s="67"/>
      <c r="DQ343" s="67">
        <v>0</v>
      </c>
      <c r="DR343" s="67">
        <v>0</v>
      </c>
      <c r="DS343" s="67"/>
      <c r="DT343" s="67"/>
      <c r="DU343" s="67">
        <v>0</v>
      </c>
      <c r="DV343" s="67">
        <v>0</v>
      </c>
      <c r="DW343" s="67">
        <v>0</v>
      </c>
      <c r="DX343" s="67">
        <v>0</v>
      </c>
      <c r="DY343" s="67"/>
      <c r="DZ343" s="67">
        <v>0</v>
      </c>
      <c r="EA343" s="67"/>
      <c r="EB343" s="67">
        <v>0</v>
      </c>
      <c r="EC343" s="67"/>
      <c r="ED343" s="67">
        <v>0</v>
      </c>
      <c r="EE343" s="67"/>
      <c r="EF343" s="67">
        <v>0</v>
      </c>
      <c r="EG343" s="67"/>
      <c r="EH343" s="67"/>
      <c r="EI343" s="67"/>
      <c r="EJ343" s="67"/>
      <c r="EK343" s="67"/>
      <c r="EL343" s="67"/>
      <c r="EM343" s="67"/>
      <c r="EN343" s="67"/>
      <c r="EO343" s="67"/>
      <c r="EP343" s="67">
        <v>0</v>
      </c>
      <c r="EQ343" s="67">
        <v>0</v>
      </c>
      <c r="ER343" s="67">
        <v>0</v>
      </c>
      <c r="ES343" s="67"/>
      <c r="ET343">
        <v>0</v>
      </c>
      <c r="EX343" s="67"/>
      <c r="EY343" s="67"/>
      <c r="EZ343" s="67"/>
      <c r="FA343" s="67">
        <v>0</v>
      </c>
      <c r="FB343" s="67">
        <v>0</v>
      </c>
      <c r="FC343" s="67"/>
      <c r="FD343" s="67"/>
      <c r="FE343" s="67"/>
      <c r="FF343" s="67"/>
      <c r="FG343" s="67"/>
      <c r="FH343" s="67"/>
      <c r="FI343" s="67" t="s">
        <v>1734</v>
      </c>
    </row>
    <row r="344" spans="2:165" x14ac:dyDescent="0.2">
      <c r="B344" s="67" t="s">
        <v>949</v>
      </c>
      <c r="C344" s="67"/>
      <c r="D344" s="67" t="s">
        <v>950</v>
      </c>
      <c r="E344" s="67"/>
      <c r="F344" s="67" t="s">
        <v>898</v>
      </c>
      <c r="G344" s="67" t="s">
        <v>694</v>
      </c>
      <c r="H344" s="67"/>
      <c r="I344" s="67" t="s">
        <v>43</v>
      </c>
      <c r="J344" s="67"/>
      <c r="K344" s="67"/>
      <c r="L344" s="67" t="s">
        <v>779</v>
      </c>
      <c r="M344" s="67" t="s">
        <v>752</v>
      </c>
      <c r="N344" s="67"/>
      <c r="O344" s="67" t="s">
        <v>1605</v>
      </c>
      <c r="P344" s="67"/>
      <c r="Q344" s="67">
        <v>0</v>
      </c>
      <c r="R344" s="67">
        <v>0</v>
      </c>
      <c r="S344" s="67">
        <v>0</v>
      </c>
      <c r="T344" s="67">
        <v>0</v>
      </c>
      <c r="U344" s="67">
        <v>0</v>
      </c>
      <c r="V344" s="67">
        <v>0</v>
      </c>
      <c r="W344" s="67">
        <v>0</v>
      </c>
      <c r="X344" s="67">
        <v>0</v>
      </c>
      <c r="Y344" s="67">
        <v>0</v>
      </c>
      <c r="Z344" s="67">
        <v>0</v>
      </c>
      <c r="AA344" s="67">
        <v>0</v>
      </c>
      <c r="AB344" s="67">
        <v>0</v>
      </c>
      <c r="AC344" s="67">
        <v>0</v>
      </c>
      <c r="AD344" s="67">
        <v>0</v>
      </c>
      <c r="AE344" s="67">
        <v>0</v>
      </c>
      <c r="AF344" s="67">
        <v>0</v>
      </c>
      <c r="AG344" s="67">
        <v>0</v>
      </c>
      <c r="AH344" s="67">
        <v>0</v>
      </c>
      <c r="AI344" s="67">
        <v>0</v>
      </c>
      <c r="AJ344" s="67">
        <v>0</v>
      </c>
      <c r="AK344" s="67">
        <v>0</v>
      </c>
      <c r="AL344" s="67">
        <v>0</v>
      </c>
      <c r="AM344" s="67">
        <v>0</v>
      </c>
      <c r="AN344" s="67">
        <v>0</v>
      </c>
      <c r="AO344" s="67">
        <v>0</v>
      </c>
      <c r="AP344" s="67">
        <v>0</v>
      </c>
      <c r="AQ344" s="67">
        <v>0</v>
      </c>
      <c r="AR344" s="67">
        <v>0</v>
      </c>
      <c r="AS344" s="67">
        <v>0</v>
      </c>
      <c r="AT344" s="67"/>
      <c r="AU344" s="67"/>
      <c r="AV344" s="67"/>
      <c r="AW344" s="67">
        <v>0</v>
      </c>
      <c r="AX344" s="67">
        <v>0</v>
      </c>
      <c r="AY344" s="67"/>
      <c r="AZ344" s="67"/>
      <c r="BA344" s="67"/>
      <c r="BB344" s="67"/>
      <c r="BC344" s="67"/>
      <c r="BD344" s="67"/>
      <c r="BE344" s="67"/>
      <c r="BG344" s="67"/>
      <c r="BH344" s="67"/>
      <c r="BI344" s="67"/>
      <c r="BJ344" s="67">
        <v>0</v>
      </c>
      <c r="BK344" s="67"/>
      <c r="BL344" s="67"/>
      <c r="BP344" s="67"/>
      <c r="BQ344" s="67">
        <v>0</v>
      </c>
      <c r="BR344" s="67"/>
      <c r="BS344" s="67"/>
      <c r="BT344" s="67">
        <v>0</v>
      </c>
      <c r="BU344" s="67">
        <v>0</v>
      </c>
      <c r="BV344" s="67"/>
      <c r="BW344" s="67"/>
      <c r="BX344" s="67">
        <v>0</v>
      </c>
      <c r="BY344" s="67">
        <v>0</v>
      </c>
      <c r="BZ344" s="67">
        <v>0</v>
      </c>
      <c r="CA344" s="67"/>
      <c r="CB344" s="67">
        <v>0</v>
      </c>
      <c r="CC344" s="67"/>
      <c r="CD344" s="67"/>
      <c r="CE344" s="67">
        <v>0</v>
      </c>
      <c r="CF344" s="67"/>
      <c r="CG344" s="67"/>
      <c r="CH344" s="67"/>
      <c r="CI344" s="67"/>
      <c r="CJ344" s="67"/>
      <c r="CK344" s="67">
        <v>0</v>
      </c>
      <c r="CL344" s="67"/>
      <c r="CM344" s="67"/>
      <c r="CN344" s="67"/>
      <c r="CO344" s="67">
        <v>0</v>
      </c>
      <c r="CP344" s="67"/>
      <c r="CQ344" s="67"/>
      <c r="CR344" s="67"/>
      <c r="CS344" s="67"/>
      <c r="CT344" s="67"/>
      <c r="CU344" s="67">
        <v>0</v>
      </c>
      <c r="CV344" s="67"/>
      <c r="CW344" s="67"/>
      <c r="CX344" s="67"/>
      <c r="CY344" s="67">
        <v>0</v>
      </c>
      <c r="CZ344" s="67"/>
      <c r="DA344" s="67"/>
      <c r="DB344" s="67"/>
      <c r="DC344" s="67"/>
      <c r="DF344" s="67"/>
      <c r="DG344" s="67">
        <v>0</v>
      </c>
      <c r="DH344" s="67">
        <v>0</v>
      </c>
      <c r="DI344" s="67">
        <v>0</v>
      </c>
      <c r="DJ344" s="67"/>
      <c r="DK344" s="67">
        <v>0</v>
      </c>
      <c r="DL344" s="67">
        <v>0</v>
      </c>
      <c r="DM344" s="67">
        <v>0</v>
      </c>
      <c r="DN344" s="67"/>
      <c r="DO344" s="67"/>
      <c r="DP344" s="67"/>
      <c r="DQ344" s="67">
        <v>0</v>
      </c>
      <c r="DR344" s="67">
        <v>0</v>
      </c>
      <c r="DS344" s="67"/>
      <c r="DT344" s="67"/>
      <c r="DU344" s="67">
        <v>0</v>
      </c>
      <c r="DV344" s="67">
        <v>0</v>
      </c>
      <c r="DW344" s="67">
        <v>0</v>
      </c>
      <c r="DX344" s="67">
        <v>0</v>
      </c>
      <c r="DY344" s="67"/>
      <c r="DZ344" s="67">
        <v>0</v>
      </c>
      <c r="EA344" s="67"/>
      <c r="EB344" s="67">
        <v>0</v>
      </c>
      <c r="EC344" s="67"/>
      <c r="ED344" s="67">
        <v>0</v>
      </c>
      <c r="EE344" s="67"/>
      <c r="EF344" s="67">
        <v>0</v>
      </c>
      <c r="EG344" s="67"/>
      <c r="EH344" s="67"/>
      <c r="EI344" s="67"/>
      <c r="EJ344" s="67"/>
      <c r="EK344" s="67"/>
      <c r="EL344" s="67"/>
      <c r="EM344" s="67"/>
      <c r="EN344" s="67"/>
      <c r="EO344" s="67"/>
      <c r="EP344" s="67">
        <v>0</v>
      </c>
      <c r="EQ344" s="67">
        <v>0</v>
      </c>
      <c r="ER344" s="67">
        <v>0</v>
      </c>
      <c r="ES344" s="67"/>
      <c r="ET344">
        <v>0</v>
      </c>
      <c r="EX344" s="67"/>
      <c r="EY344" s="67"/>
      <c r="EZ344" s="67"/>
      <c r="FA344" s="67">
        <v>0</v>
      </c>
      <c r="FB344" s="67">
        <v>0</v>
      </c>
      <c r="FC344" s="67"/>
      <c r="FD344" s="67"/>
      <c r="FE344" s="67"/>
      <c r="FF344" s="67"/>
      <c r="FG344" s="67"/>
      <c r="FH344" s="67"/>
      <c r="FI344" s="67" t="s">
        <v>1734</v>
      </c>
    </row>
    <row r="345" spans="2:165" ht="24" x14ac:dyDescent="0.2">
      <c r="B345" s="67" t="s">
        <v>951</v>
      </c>
      <c r="C345" s="67"/>
      <c r="D345" s="67" t="s">
        <v>952</v>
      </c>
      <c r="E345" s="67" t="s">
        <v>13</v>
      </c>
      <c r="F345" s="67" t="s">
        <v>933</v>
      </c>
      <c r="G345" s="67" t="s">
        <v>694</v>
      </c>
      <c r="H345" s="67"/>
      <c r="I345" s="67" t="s">
        <v>41</v>
      </c>
      <c r="J345" s="67"/>
      <c r="K345" s="67"/>
      <c r="L345" s="67" t="s">
        <v>934</v>
      </c>
      <c r="M345" s="67" t="s">
        <v>752</v>
      </c>
      <c r="N345" s="67"/>
      <c r="O345" s="67" t="s">
        <v>1605</v>
      </c>
      <c r="P345" s="67"/>
      <c r="Q345" s="67">
        <v>0</v>
      </c>
      <c r="R345" s="67">
        <v>0</v>
      </c>
      <c r="S345" s="67">
        <v>0</v>
      </c>
      <c r="T345" s="67">
        <v>0</v>
      </c>
      <c r="U345" s="67">
        <v>0</v>
      </c>
      <c r="V345" s="67">
        <v>0</v>
      </c>
      <c r="W345" s="67">
        <v>0</v>
      </c>
      <c r="X345" s="67">
        <v>0</v>
      </c>
      <c r="Y345" s="67">
        <v>0</v>
      </c>
      <c r="Z345" s="67">
        <v>0</v>
      </c>
      <c r="AA345" s="67">
        <v>0</v>
      </c>
      <c r="AB345" s="67">
        <v>0</v>
      </c>
      <c r="AC345" s="67">
        <v>0</v>
      </c>
      <c r="AD345" s="67">
        <v>0</v>
      </c>
      <c r="AE345" s="67">
        <v>0</v>
      </c>
      <c r="AF345" s="67">
        <v>0</v>
      </c>
      <c r="AG345" s="67">
        <v>0</v>
      </c>
      <c r="AH345" s="67">
        <v>0</v>
      </c>
      <c r="AI345" s="67">
        <v>0</v>
      </c>
      <c r="AJ345" s="67">
        <v>0</v>
      </c>
      <c r="AK345" s="67">
        <v>0</v>
      </c>
      <c r="AL345" s="67">
        <v>0</v>
      </c>
      <c r="AM345" s="67">
        <v>0</v>
      </c>
      <c r="AN345" s="67">
        <v>0</v>
      </c>
      <c r="AO345" s="67">
        <v>0</v>
      </c>
      <c r="AP345" s="67">
        <v>0</v>
      </c>
      <c r="AQ345" s="67">
        <v>0</v>
      </c>
      <c r="AR345" s="67">
        <v>0</v>
      </c>
      <c r="AS345" s="67">
        <v>0</v>
      </c>
      <c r="AT345" s="67"/>
      <c r="AU345" s="67"/>
      <c r="AV345" s="67"/>
      <c r="AW345" s="67">
        <v>0</v>
      </c>
      <c r="AX345" s="67">
        <v>0</v>
      </c>
      <c r="AY345" s="67"/>
      <c r="AZ345" s="67"/>
      <c r="BA345" s="67"/>
      <c r="BB345" s="67"/>
      <c r="BC345" s="67"/>
      <c r="BD345" s="67"/>
      <c r="BE345" s="67"/>
      <c r="BG345" s="67"/>
      <c r="BH345" s="67"/>
      <c r="BI345" s="67"/>
      <c r="BJ345" s="67">
        <v>0</v>
      </c>
      <c r="BK345" s="67"/>
      <c r="BL345" s="67"/>
      <c r="BP345" s="67"/>
      <c r="BQ345" s="67">
        <v>0</v>
      </c>
      <c r="BR345" s="67"/>
      <c r="BS345" s="67"/>
      <c r="BT345" s="67">
        <v>0</v>
      </c>
      <c r="BU345" s="67">
        <v>0</v>
      </c>
      <c r="BV345" s="67"/>
      <c r="BW345" s="67"/>
      <c r="BX345" s="67">
        <v>0</v>
      </c>
      <c r="BY345" s="67">
        <v>0</v>
      </c>
      <c r="BZ345" s="67">
        <v>0</v>
      </c>
      <c r="CA345" s="67"/>
      <c r="CB345" s="67">
        <v>0</v>
      </c>
      <c r="CC345" s="67"/>
      <c r="CD345" s="67"/>
      <c r="CE345" s="67">
        <v>0</v>
      </c>
      <c r="CF345" s="67"/>
      <c r="CG345" s="67"/>
      <c r="CH345" s="67"/>
      <c r="CI345" s="67"/>
      <c r="CJ345" s="67"/>
      <c r="CK345" s="67">
        <v>0</v>
      </c>
      <c r="CL345" s="67"/>
      <c r="CM345" s="67"/>
      <c r="CN345" s="67"/>
      <c r="CO345" s="67">
        <v>0</v>
      </c>
      <c r="CP345" s="67"/>
      <c r="CQ345" s="67"/>
      <c r="CR345" s="67"/>
      <c r="CS345" s="67"/>
      <c r="CT345" s="67"/>
      <c r="CU345" s="67">
        <v>0</v>
      </c>
      <c r="CV345" s="67"/>
      <c r="CW345" s="67"/>
      <c r="CX345" s="67"/>
      <c r="CY345" s="67">
        <v>0</v>
      </c>
      <c r="CZ345" s="67"/>
      <c r="DA345" s="67"/>
      <c r="DB345" s="67"/>
      <c r="DC345" s="67"/>
      <c r="DF345" s="67"/>
      <c r="DG345" s="67">
        <v>0</v>
      </c>
      <c r="DH345" s="67">
        <v>0</v>
      </c>
      <c r="DI345" s="67">
        <v>0</v>
      </c>
      <c r="DJ345" s="67"/>
      <c r="DK345" s="67">
        <v>0</v>
      </c>
      <c r="DL345" s="67">
        <v>0</v>
      </c>
      <c r="DM345" s="67">
        <v>0</v>
      </c>
      <c r="DN345" s="67"/>
      <c r="DO345" s="67"/>
      <c r="DP345" s="67"/>
      <c r="DQ345" s="67">
        <v>0</v>
      </c>
      <c r="DR345" s="67">
        <v>0</v>
      </c>
      <c r="DS345" s="67"/>
      <c r="DT345" s="67"/>
      <c r="DU345" s="67">
        <v>0</v>
      </c>
      <c r="DV345" s="67">
        <v>0</v>
      </c>
      <c r="DW345" s="67">
        <v>0</v>
      </c>
      <c r="DX345" s="67">
        <v>0</v>
      </c>
      <c r="DY345" s="67"/>
      <c r="DZ345" s="67">
        <v>0</v>
      </c>
      <c r="EA345" s="67"/>
      <c r="EB345" s="67">
        <v>0</v>
      </c>
      <c r="EC345" s="67"/>
      <c r="ED345" s="67">
        <v>0</v>
      </c>
      <c r="EE345" s="67"/>
      <c r="EF345" s="67">
        <v>0</v>
      </c>
      <c r="EG345" s="67"/>
      <c r="EH345" s="67"/>
      <c r="EI345" s="67"/>
      <c r="EJ345" s="67"/>
      <c r="EK345" s="67"/>
      <c r="EL345" s="67"/>
      <c r="EM345" s="67"/>
      <c r="EN345" s="67"/>
      <c r="EO345" s="67"/>
      <c r="EP345" s="67">
        <v>0</v>
      </c>
      <c r="EQ345" s="67">
        <v>0</v>
      </c>
      <c r="ER345" s="67">
        <v>0</v>
      </c>
      <c r="ES345" s="67"/>
      <c r="ET345">
        <v>0</v>
      </c>
      <c r="EX345" s="67"/>
      <c r="EY345" s="67"/>
      <c r="EZ345" s="67"/>
      <c r="FA345" s="67">
        <v>0</v>
      </c>
      <c r="FB345" s="67">
        <v>0</v>
      </c>
      <c r="FC345" s="67"/>
      <c r="FD345" s="67"/>
      <c r="FE345" s="67"/>
      <c r="FF345" s="67"/>
      <c r="FG345" s="67"/>
      <c r="FH345" s="67"/>
      <c r="FI345" s="67" t="s">
        <v>1734</v>
      </c>
    </row>
    <row r="346" spans="2:165" x14ac:dyDescent="0.2">
      <c r="B346" s="67" t="s">
        <v>953</v>
      </c>
      <c r="C346" s="67"/>
      <c r="D346" s="67" t="s">
        <v>954</v>
      </c>
      <c r="E346" s="67" t="s">
        <v>23</v>
      </c>
      <c r="F346" s="67" t="s">
        <v>933</v>
      </c>
      <c r="G346" s="67" t="s">
        <v>694</v>
      </c>
      <c r="H346" s="67"/>
      <c r="I346" s="67" t="s">
        <v>43</v>
      </c>
      <c r="J346" s="67"/>
      <c r="K346" s="67"/>
      <c r="L346" s="67" t="s">
        <v>934</v>
      </c>
      <c r="M346" s="67" t="s">
        <v>752</v>
      </c>
      <c r="N346" s="67"/>
      <c r="O346" s="67" t="s">
        <v>1605</v>
      </c>
      <c r="P346" s="67"/>
      <c r="Q346" s="67">
        <v>0</v>
      </c>
      <c r="R346" s="67">
        <v>0</v>
      </c>
      <c r="S346" s="67">
        <v>0</v>
      </c>
      <c r="T346" s="67">
        <v>0</v>
      </c>
      <c r="U346" s="67">
        <v>0</v>
      </c>
      <c r="V346" s="67">
        <v>0</v>
      </c>
      <c r="W346" s="67">
        <v>0</v>
      </c>
      <c r="X346" s="67">
        <v>0</v>
      </c>
      <c r="Y346" s="67">
        <v>0</v>
      </c>
      <c r="Z346" s="67">
        <v>0</v>
      </c>
      <c r="AA346" s="67">
        <v>0</v>
      </c>
      <c r="AB346" s="67">
        <v>0</v>
      </c>
      <c r="AC346" s="67">
        <v>0</v>
      </c>
      <c r="AD346" s="67">
        <v>0</v>
      </c>
      <c r="AE346" s="67">
        <v>0</v>
      </c>
      <c r="AF346" s="67">
        <v>0</v>
      </c>
      <c r="AG346" s="67">
        <v>0</v>
      </c>
      <c r="AH346" s="67">
        <v>0</v>
      </c>
      <c r="AI346" s="67">
        <v>0</v>
      </c>
      <c r="AJ346" s="67">
        <v>0</v>
      </c>
      <c r="AK346" s="67">
        <v>0</v>
      </c>
      <c r="AL346" s="67">
        <v>0</v>
      </c>
      <c r="AM346" s="67">
        <v>0</v>
      </c>
      <c r="AN346" s="67">
        <v>0</v>
      </c>
      <c r="AO346" s="67">
        <v>0</v>
      </c>
      <c r="AP346" s="67">
        <v>0</v>
      </c>
      <c r="AQ346" s="67">
        <v>0</v>
      </c>
      <c r="AR346" s="67">
        <v>0</v>
      </c>
      <c r="AS346" s="67">
        <v>0</v>
      </c>
      <c r="AT346" s="67"/>
      <c r="AU346" s="67"/>
      <c r="AV346" s="67"/>
      <c r="AW346" s="67">
        <v>0</v>
      </c>
      <c r="AX346" s="67">
        <v>0</v>
      </c>
      <c r="AY346" s="67"/>
      <c r="AZ346" s="67"/>
      <c r="BA346" s="67"/>
      <c r="BB346" s="67"/>
      <c r="BC346" s="67"/>
      <c r="BD346" s="67"/>
      <c r="BE346" s="67"/>
      <c r="BG346" s="67"/>
      <c r="BH346" s="67"/>
      <c r="BI346" s="67"/>
      <c r="BJ346" s="67">
        <v>0</v>
      </c>
      <c r="BK346" s="67"/>
      <c r="BL346" s="67"/>
      <c r="BP346" s="67"/>
      <c r="BQ346" s="67">
        <v>0</v>
      </c>
      <c r="BR346" s="67"/>
      <c r="BS346" s="67"/>
      <c r="BT346" s="67">
        <v>0</v>
      </c>
      <c r="BU346" s="67">
        <v>0</v>
      </c>
      <c r="BV346" s="67"/>
      <c r="BW346" s="67"/>
      <c r="BX346" s="67">
        <v>0</v>
      </c>
      <c r="BY346" s="67">
        <v>0</v>
      </c>
      <c r="BZ346" s="67">
        <v>0</v>
      </c>
      <c r="CA346" s="67"/>
      <c r="CB346" s="67">
        <v>0</v>
      </c>
      <c r="CC346" s="67"/>
      <c r="CD346" s="67"/>
      <c r="CE346" s="67">
        <v>0</v>
      </c>
      <c r="CF346" s="67"/>
      <c r="CG346" s="67"/>
      <c r="CH346" s="67"/>
      <c r="CI346" s="67"/>
      <c r="CJ346" s="67"/>
      <c r="CK346" s="67">
        <v>0</v>
      </c>
      <c r="CL346" s="67"/>
      <c r="CM346" s="67"/>
      <c r="CN346" s="67"/>
      <c r="CO346" s="67">
        <v>0</v>
      </c>
      <c r="CP346" s="67"/>
      <c r="CQ346" s="67"/>
      <c r="CR346" s="67"/>
      <c r="CS346" s="67"/>
      <c r="CT346" s="67"/>
      <c r="CU346" s="67">
        <v>0</v>
      </c>
      <c r="CV346" s="67"/>
      <c r="CW346" s="67"/>
      <c r="CX346" s="67"/>
      <c r="CY346" s="67">
        <v>0</v>
      </c>
      <c r="CZ346" s="67"/>
      <c r="DA346" s="67"/>
      <c r="DB346" s="67"/>
      <c r="DC346" s="67"/>
      <c r="DF346" s="67"/>
      <c r="DG346" s="67">
        <v>0</v>
      </c>
      <c r="DH346" s="67">
        <v>0</v>
      </c>
      <c r="DI346" s="67">
        <v>0</v>
      </c>
      <c r="DJ346" s="67"/>
      <c r="DK346" s="67">
        <v>0</v>
      </c>
      <c r="DL346" s="67">
        <v>0</v>
      </c>
      <c r="DM346" s="67">
        <v>0</v>
      </c>
      <c r="DN346" s="67"/>
      <c r="DO346" s="67"/>
      <c r="DP346" s="67"/>
      <c r="DQ346" s="67">
        <v>0</v>
      </c>
      <c r="DR346" s="67">
        <v>0</v>
      </c>
      <c r="DS346" s="67"/>
      <c r="DT346" s="67"/>
      <c r="DU346" s="67">
        <v>0</v>
      </c>
      <c r="DV346" s="67">
        <v>0</v>
      </c>
      <c r="DW346" s="67">
        <v>0</v>
      </c>
      <c r="DX346" s="67">
        <v>0</v>
      </c>
      <c r="DY346" s="67"/>
      <c r="DZ346" s="67">
        <v>0</v>
      </c>
      <c r="EA346" s="67"/>
      <c r="EB346" s="67">
        <v>0</v>
      </c>
      <c r="EC346" s="67"/>
      <c r="ED346" s="67">
        <v>0</v>
      </c>
      <c r="EE346" s="67"/>
      <c r="EF346" s="67">
        <v>0</v>
      </c>
      <c r="EG346" s="67"/>
      <c r="EH346" s="67"/>
      <c r="EI346" s="67"/>
      <c r="EJ346" s="67"/>
      <c r="EK346" s="67"/>
      <c r="EL346" s="67"/>
      <c r="EM346" s="67"/>
      <c r="EN346" s="67"/>
      <c r="EO346" s="67"/>
      <c r="EP346" s="67">
        <v>0</v>
      </c>
      <c r="EQ346" s="67">
        <v>0</v>
      </c>
      <c r="ER346" s="67">
        <v>0</v>
      </c>
      <c r="ES346" s="67"/>
      <c r="ET346">
        <v>0</v>
      </c>
      <c r="EX346" s="67"/>
      <c r="EY346" s="67"/>
      <c r="EZ346" s="67"/>
      <c r="FA346" s="67">
        <v>0</v>
      </c>
      <c r="FB346" s="67">
        <v>0</v>
      </c>
      <c r="FC346" s="67"/>
      <c r="FD346" s="67"/>
      <c r="FE346" s="67"/>
      <c r="FF346" s="67"/>
      <c r="FG346" s="67"/>
      <c r="FH346" s="67"/>
      <c r="FI346" s="67" t="s">
        <v>1734</v>
      </c>
    </row>
    <row r="347" spans="2:165" ht="24" x14ac:dyDescent="0.2">
      <c r="B347" s="67" t="s">
        <v>955</v>
      </c>
      <c r="C347" s="67"/>
      <c r="D347" s="67" t="s">
        <v>956</v>
      </c>
      <c r="E347" s="67" t="s">
        <v>13</v>
      </c>
      <c r="F347" s="67" t="s">
        <v>933</v>
      </c>
      <c r="G347" s="67" t="s">
        <v>694</v>
      </c>
      <c r="H347" s="67"/>
      <c r="I347" s="67" t="s">
        <v>41</v>
      </c>
      <c r="J347" s="67"/>
      <c r="K347" s="67"/>
      <c r="L347" s="67" t="s">
        <v>787</v>
      </c>
      <c r="M347" s="67" t="s">
        <v>752</v>
      </c>
      <c r="N347" s="67"/>
      <c r="O347" s="67" t="s">
        <v>1605</v>
      </c>
      <c r="P347" s="67"/>
      <c r="Q347" s="67">
        <v>0</v>
      </c>
      <c r="R347" s="67">
        <v>0</v>
      </c>
      <c r="S347" s="67">
        <v>0</v>
      </c>
      <c r="T347" s="67">
        <v>0</v>
      </c>
      <c r="U347" s="67">
        <v>0</v>
      </c>
      <c r="V347" s="67">
        <v>0</v>
      </c>
      <c r="W347" s="67">
        <v>0</v>
      </c>
      <c r="X347" s="67">
        <v>0</v>
      </c>
      <c r="Y347" s="67">
        <v>0</v>
      </c>
      <c r="Z347" s="67">
        <v>0</v>
      </c>
      <c r="AA347" s="67">
        <v>0</v>
      </c>
      <c r="AB347" s="67">
        <v>0</v>
      </c>
      <c r="AC347" s="67">
        <v>0</v>
      </c>
      <c r="AD347" s="67">
        <v>0</v>
      </c>
      <c r="AE347" s="67">
        <v>0</v>
      </c>
      <c r="AF347" s="67">
        <v>0</v>
      </c>
      <c r="AG347" s="67">
        <v>0</v>
      </c>
      <c r="AH347" s="67">
        <v>0</v>
      </c>
      <c r="AI347" s="67">
        <v>0</v>
      </c>
      <c r="AJ347" s="67">
        <v>0</v>
      </c>
      <c r="AK347" s="67">
        <v>0</v>
      </c>
      <c r="AL347" s="67">
        <v>0</v>
      </c>
      <c r="AM347" s="67">
        <v>0</v>
      </c>
      <c r="AN347" s="67">
        <v>0</v>
      </c>
      <c r="AO347" s="67">
        <v>0</v>
      </c>
      <c r="AP347" s="67">
        <v>0</v>
      </c>
      <c r="AQ347" s="67">
        <v>0</v>
      </c>
      <c r="AR347" s="67">
        <v>0</v>
      </c>
      <c r="AS347" s="67">
        <v>0</v>
      </c>
      <c r="AT347" s="67"/>
      <c r="AU347" s="67"/>
      <c r="AV347" s="67"/>
      <c r="AW347" s="67">
        <v>0</v>
      </c>
      <c r="AX347" s="67">
        <v>0</v>
      </c>
      <c r="AY347" s="67"/>
      <c r="AZ347" s="67"/>
      <c r="BA347" s="67"/>
      <c r="BB347" s="67"/>
      <c r="BC347" s="67"/>
      <c r="BD347" s="67"/>
      <c r="BE347" s="67"/>
      <c r="BG347" s="67"/>
      <c r="BH347" s="67"/>
      <c r="BI347" s="67"/>
      <c r="BJ347" s="67">
        <v>0</v>
      </c>
      <c r="BK347" s="67"/>
      <c r="BL347" s="67"/>
      <c r="BP347" s="67"/>
      <c r="BQ347" s="67">
        <v>0</v>
      </c>
      <c r="BR347" s="67"/>
      <c r="BS347" s="67"/>
      <c r="BT347" s="67">
        <v>0</v>
      </c>
      <c r="BU347" s="67">
        <v>0</v>
      </c>
      <c r="BV347" s="67"/>
      <c r="BW347" s="67"/>
      <c r="BX347" s="67">
        <v>0</v>
      </c>
      <c r="BY347" s="67">
        <v>0</v>
      </c>
      <c r="BZ347" s="67">
        <v>0</v>
      </c>
      <c r="CA347" s="67"/>
      <c r="CB347" s="67">
        <v>0</v>
      </c>
      <c r="CC347" s="67"/>
      <c r="CD347" s="67"/>
      <c r="CE347" s="67">
        <v>0</v>
      </c>
      <c r="CF347" s="67"/>
      <c r="CG347" s="67"/>
      <c r="CH347" s="67"/>
      <c r="CI347" s="67"/>
      <c r="CJ347" s="67"/>
      <c r="CK347" s="67">
        <v>0</v>
      </c>
      <c r="CL347" s="67"/>
      <c r="CM347" s="67"/>
      <c r="CN347" s="67"/>
      <c r="CO347" s="67">
        <v>0</v>
      </c>
      <c r="CP347" s="67"/>
      <c r="CQ347" s="67"/>
      <c r="CR347" s="67"/>
      <c r="CS347" s="67"/>
      <c r="CT347" s="67"/>
      <c r="CU347" s="67">
        <v>0</v>
      </c>
      <c r="CV347" s="67"/>
      <c r="CW347" s="67"/>
      <c r="CX347" s="67"/>
      <c r="CY347" s="67">
        <v>0</v>
      </c>
      <c r="CZ347" s="67"/>
      <c r="DA347" s="67"/>
      <c r="DB347" s="67"/>
      <c r="DC347" s="67"/>
      <c r="DF347" s="67"/>
      <c r="DG347" s="67">
        <v>0</v>
      </c>
      <c r="DH347" s="67">
        <v>0</v>
      </c>
      <c r="DI347" s="67">
        <v>0</v>
      </c>
      <c r="DJ347" s="67"/>
      <c r="DK347" s="67">
        <v>0</v>
      </c>
      <c r="DL347" s="67">
        <v>0</v>
      </c>
      <c r="DM347" s="67">
        <v>0</v>
      </c>
      <c r="DN347" s="67"/>
      <c r="DO347" s="67"/>
      <c r="DP347" s="67"/>
      <c r="DQ347" s="67">
        <v>0</v>
      </c>
      <c r="DR347" s="67">
        <v>0</v>
      </c>
      <c r="DS347" s="67"/>
      <c r="DT347" s="67"/>
      <c r="DU347" s="67">
        <v>0</v>
      </c>
      <c r="DV347" s="67">
        <v>0</v>
      </c>
      <c r="DW347" s="67">
        <v>0</v>
      </c>
      <c r="DX347" s="67">
        <v>0</v>
      </c>
      <c r="DY347" s="67"/>
      <c r="DZ347" s="67">
        <v>0</v>
      </c>
      <c r="EA347" s="67"/>
      <c r="EB347" s="67">
        <v>0</v>
      </c>
      <c r="EC347" s="67"/>
      <c r="ED347" s="67">
        <v>0</v>
      </c>
      <c r="EE347" s="67"/>
      <c r="EF347" s="67">
        <v>0</v>
      </c>
      <c r="EG347" s="67"/>
      <c r="EH347" s="67"/>
      <c r="EI347" s="67"/>
      <c r="EJ347" s="67"/>
      <c r="EK347" s="67"/>
      <c r="EL347" s="67"/>
      <c r="EM347" s="67"/>
      <c r="EN347" s="67"/>
      <c r="EO347" s="67"/>
      <c r="EP347" s="67">
        <v>0</v>
      </c>
      <c r="EQ347" s="67">
        <v>0</v>
      </c>
      <c r="ER347" s="67">
        <v>0</v>
      </c>
      <c r="ES347" s="67"/>
      <c r="ET347">
        <v>0</v>
      </c>
      <c r="EX347" s="67"/>
      <c r="EY347" s="67"/>
      <c r="EZ347" s="67"/>
      <c r="FA347" s="67">
        <v>0</v>
      </c>
      <c r="FB347" s="67">
        <v>0</v>
      </c>
      <c r="FC347" s="67"/>
      <c r="FD347" s="67"/>
      <c r="FE347" s="67"/>
      <c r="FF347" s="67"/>
      <c r="FG347" s="67"/>
      <c r="FH347" s="67"/>
      <c r="FI347" s="67" t="s">
        <v>1734</v>
      </c>
    </row>
    <row r="348" spans="2:165" ht="24" x14ac:dyDescent="0.2">
      <c r="B348" s="67" t="s">
        <v>958</v>
      </c>
      <c r="C348" s="67"/>
      <c r="D348" s="67" t="s">
        <v>959</v>
      </c>
      <c r="E348" s="67" t="s">
        <v>13</v>
      </c>
      <c r="F348" s="67" t="s">
        <v>933</v>
      </c>
      <c r="G348" s="67" t="s">
        <v>694</v>
      </c>
      <c r="H348" s="67"/>
      <c r="I348" s="67" t="s">
        <v>41</v>
      </c>
      <c r="J348" s="67"/>
      <c r="K348" s="67"/>
      <c r="L348" s="67" t="s">
        <v>787</v>
      </c>
      <c r="M348" s="67" t="s">
        <v>752</v>
      </c>
      <c r="N348" s="67"/>
      <c r="O348" s="67" t="s">
        <v>1605</v>
      </c>
      <c r="P348" s="67"/>
      <c r="Q348" s="67">
        <v>0</v>
      </c>
      <c r="R348" s="67">
        <v>0</v>
      </c>
      <c r="S348" s="67">
        <v>0</v>
      </c>
      <c r="T348" s="67">
        <v>0</v>
      </c>
      <c r="U348" s="67">
        <v>0</v>
      </c>
      <c r="V348" s="67">
        <v>0</v>
      </c>
      <c r="W348" s="67">
        <v>0</v>
      </c>
      <c r="X348" s="67">
        <v>0</v>
      </c>
      <c r="Y348" s="67">
        <v>0</v>
      </c>
      <c r="Z348" s="67">
        <v>0</v>
      </c>
      <c r="AA348" s="67">
        <v>0</v>
      </c>
      <c r="AB348" s="67">
        <v>0</v>
      </c>
      <c r="AC348" s="67">
        <v>0</v>
      </c>
      <c r="AD348" s="67">
        <v>0</v>
      </c>
      <c r="AE348" s="67">
        <v>0</v>
      </c>
      <c r="AF348" s="67">
        <v>0</v>
      </c>
      <c r="AG348" s="67">
        <v>0</v>
      </c>
      <c r="AH348" s="67">
        <v>0</v>
      </c>
      <c r="AI348" s="67">
        <v>0</v>
      </c>
      <c r="AJ348" s="67">
        <v>0</v>
      </c>
      <c r="AK348" s="67">
        <v>0</v>
      </c>
      <c r="AL348" s="67">
        <v>0</v>
      </c>
      <c r="AM348" s="67">
        <v>0</v>
      </c>
      <c r="AN348" s="67">
        <v>0</v>
      </c>
      <c r="AO348" s="67">
        <v>0</v>
      </c>
      <c r="AP348" s="67">
        <v>0</v>
      </c>
      <c r="AQ348" s="67">
        <v>0</v>
      </c>
      <c r="AR348" s="67">
        <v>0</v>
      </c>
      <c r="AS348" s="67">
        <v>0</v>
      </c>
      <c r="AT348" s="67"/>
      <c r="AU348" s="67"/>
      <c r="AV348" s="67"/>
      <c r="AW348" s="67">
        <v>0</v>
      </c>
      <c r="AX348" s="67">
        <v>0</v>
      </c>
      <c r="AY348" s="67"/>
      <c r="AZ348" s="67"/>
      <c r="BA348" s="67"/>
      <c r="BB348" s="67"/>
      <c r="BC348" s="67"/>
      <c r="BD348" s="67"/>
      <c r="BE348" s="67"/>
      <c r="BG348" s="67"/>
      <c r="BH348" s="67"/>
      <c r="BI348" s="67"/>
      <c r="BJ348" s="67">
        <v>0</v>
      </c>
      <c r="BK348" s="67"/>
      <c r="BL348" s="67"/>
      <c r="BP348" s="67"/>
      <c r="BQ348" s="67">
        <v>0</v>
      </c>
      <c r="BR348" s="67"/>
      <c r="BS348" s="67"/>
      <c r="BT348" s="67">
        <v>0</v>
      </c>
      <c r="BU348" s="67">
        <v>0</v>
      </c>
      <c r="BV348" s="67"/>
      <c r="BW348" s="67"/>
      <c r="BX348" s="67">
        <v>0</v>
      </c>
      <c r="BY348" s="67">
        <v>0</v>
      </c>
      <c r="BZ348" s="67">
        <v>0</v>
      </c>
      <c r="CA348" s="67"/>
      <c r="CB348" s="67">
        <v>0</v>
      </c>
      <c r="CC348" s="67"/>
      <c r="CD348" s="67"/>
      <c r="CE348" s="67">
        <v>0</v>
      </c>
      <c r="CF348" s="67"/>
      <c r="CG348" s="67"/>
      <c r="CH348" s="67"/>
      <c r="CI348" s="67"/>
      <c r="CJ348" s="67"/>
      <c r="CK348" s="67">
        <v>0</v>
      </c>
      <c r="CL348" s="67"/>
      <c r="CM348" s="67"/>
      <c r="CN348" s="67"/>
      <c r="CO348" s="67">
        <v>0</v>
      </c>
      <c r="CP348" s="67"/>
      <c r="CQ348" s="67"/>
      <c r="CR348" s="67"/>
      <c r="CS348" s="67"/>
      <c r="CT348" s="67"/>
      <c r="CU348" s="67">
        <v>0</v>
      </c>
      <c r="CV348" s="67"/>
      <c r="CW348" s="67"/>
      <c r="CX348" s="67"/>
      <c r="CY348" s="67">
        <v>0</v>
      </c>
      <c r="CZ348" s="67"/>
      <c r="DA348" s="67"/>
      <c r="DB348" s="67"/>
      <c r="DC348" s="67"/>
      <c r="DF348" s="67"/>
      <c r="DG348" s="67">
        <v>0</v>
      </c>
      <c r="DH348" s="67">
        <v>0</v>
      </c>
      <c r="DI348" s="67">
        <v>0</v>
      </c>
      <c r="DJ348" s="67"/>
      <c r="DK348" s="67">
        <v>0</v>
      </c>
      <c r="DL348" s="67">
        <v>0</v>
      </c>
      <c r="DM348" s="67">
        <v>0</v>
      </c>
      <c r="DN348" s="67"/>
      <c r="DO348" s="67"/>
      <c r="DP348" s="67"/>
      <c r="DQ348" s="67">
        <v>0</v>
      </c>
      <c r="DR348" s="67">
        <v>0</v>
      </c>
      <c r="DS348" s="67"/>
      <c r="DT348" s="67"/>
      <c r="DU348" s="67">
        <v>0</v>
      </c>
      <c r="DV348" s="67">
        <v>0</v>
      </c>
      <c r="DW348" s="67">
        <v>0</v>
      </c>
      <c r="DX348" s="67">
        <v>0</v>
      </c>
      <c r="DY348" s="67"/>
      <c r="DZ348" s="67">
        <v>0</v>
      </c>
      <c r="EA348" s="67"/>
      <c r="EB348" s="67">
        <v>0</v>
      </c>
      <c r="EC348" s="67"/>
      <c r="ED348" s="67">
        <v>0</v>
      </c>
      <c r="EE348" s="67"/>
      <c r="EF348" s="67">
        <v>0</v>
      </c>
      <c r="EG348" s="67"/>
      <c r="EH348" s="67"/>
      <c r="EI348" s="67"/>
      <c r="EJ348" s="67"/>
      <c r="EK348" s="67"/>
      <c r="EL348" s="67"/>
      <c r="EM348" s="67"/>
      <c r="EN348" s="67"/>
      <c r="EO348" s="67"/>
      <c r="EP348" s="67">
        <v>0</v>
      </c>
      <c r="EQ348" s="67">
        <v>0</v>
      </c>
      <c r="ER348" s="67">
        <v>0</v>
      </c>
      <c r="ES348" s="67"/>
      <c r="ET348">
        <v>0</v>
      </c>
      <c r="EX348" s="67"/>
      <c r="EY348" s="67"/>
      <c r="EZ348" s="67"/>
      <c r="FA348" s="67">
        <v>0</v>
      </c>
      <c r="FB348" s="67">
        <v>0</v>
      </c>
      <c r="FC348" s="67"/>
      <c r="FD348" s="67"/>
      <c r="FE348" s="67"/>
      <c r="FF348" s="67"/>
      <c r="FG348" s="67"/>
      <c r="FH348" s="67"/>
      <c r="FI348" s="67" t="s">
        <v>1734</v>
      </c>
    </row>
    <row r="349" spans="2:165" x14ac:dyDescent="0.2">
      <c r="B349" s="67" t="s">
        <v>960</v>
      </c>
      <c r="C349" s="67"/>
      <c r="D349" s="67" t="s">
        <v>961</v>
      </c>
      <c r="E349" s="67"/>
      <c r="F349" s="67"/>
      <c r="G349" s="67" t="s">
        <v>694</v>
      </c>
      <c r="H349" s="67"/>
      <c r="I349" s="67"/>
      <c r="J349" s="67"/>
      <c r="K349" s="67"/>
      <c r="L349" s="67"/>
      <c r="M349" s="67"/>
      <c r="N349" s="67"/>
      <c r="O349" s="67" t="s">
        <v>1605</v>
      </c>
      <c r="P349" s="67"/>
      <c r="Q349" s="67">
        <v>0</v>
      </c>
      <c r="R349" s="67">
        <v>0</v>
      </c>
      <c r="S349" s="67">
        <v>0</v>
      </c>
      <c r="T349" s="67">
        <v>0</v>
      </c>
      <c r="U349" s="67">
        <v>0</v>
      </c>
      <c r="V349" s="67">
        <v>0</v>
      </c>
      <c r="W349" s="67">
        <v>0</v>
      </c>
      <c r="X349" s="67">
        <v>0</v>
      </c>
      <c r="Y349" s="67">
        <v>0</v>
      </c>
      <c r="Z349" s="67">
        <v>0</v>
      </c>
      <c r="AA349" s="67">
        <v>0</v>
      </c>
      <c r="AB349" s="67">
        <v>0</v>
      </c>
      <c r="AC349" s="67">
        <v>0</v>
      </c>
      <c r="AD349" s="67">
        <v>0</v>
      </c>
      <c r="AE349" s="67">
        <v>0</v>
      </c>
      <c r="AF349" s="67">
        <v>0</v>
      </c>
      <c r="AG349" s="67">
        <v>0</v>
      </c>
      <c r="AH349" s="67">
        <v>0</v>
      </c>
      <c r="AI349" s="67">
        <v>0</v>
      </c>
      <c r="AJ349" s="67">
        <v>0</v>
      </c>
      <c r="AK349" s="67">
        <v>0</v>
      </c>
      <c r="AL349" s="67">
        <v>0</v>
      </c>
      <c r="AM349" s="67">
        <v>0</v>
      </c>
      <c r="AN349" s="67">
        <v>0</v>
      </c>
      <c r="AO349" s="67">
        <v>0</v>
      </c>
      <c r="AP349" s="67">
        <v>0</v>
      </c>
      <c r="AQ349" s="67">
        <v>0</v>
      </c>
      <c r="AR349" s="67">
        <v>0</v>
      </c>
      <c r="AS349" s="67">
        <v>0</v>
      </c>
      <c r="AT349" s="67"/>
      <c r="AU349" s="67"/>
      <c r="AV349" s="67"/>
      <c r="AW349" s="67">
        <v>0</v>
      </c>
      <c r="AX349" s="67">
        <v>0</v>
      </c>
      <c r="AY349" s="67"/>
      <c r="AZ349" s="67"/>
      <c r="BA349" s="67"/>
      <c r="BB349" s="67"/>
      <c r="BC349" s="67"/>
      <c r="BD349" s="67"/>
      <c r="BE349" s="67"/>
      <c r="BG349" s="67"/>
      <c r="BH349" s="67"/>
      <c r="BI349" s="67"/>
      <c r="BJ349" s="67">
        <v>0</v>
      </c>
      <c r="BK349" s="67"/>
      <c r="BL349" s="67"/>
      <c r="BP349" s="67"/>
      <c r="BQ349" s="67">
        <v>0</v>
      </c>
      <c r="BR349" s="67"/>
      <c r="BS349" s="67"/>
      <c r="BT349" s="67">
        <v>0</v>
      </c>
      <c r="BU349" s="67">
        <v>0</v>
      </c>
      <c r="BV349" s="67"/>
      <c r="BW349" s="67"/>
      <c r="BX349" s="67">
        <v>0</v>
      </c>
      <c r="BY349" s="67">
        <v>0</v>
      </c>
      <c r="BZ349" s="67">
        <v>0</v>
      </c>
      <c r="CA349" s="67"/>
      <c r="CB349" s="67">
        <v>0</v>
      </c>
      <c r="CC349" s="67"/>
      <c r="CD349" s="67"/>
      <c r="CE349" s="67">
        <v>0</v>
      </c>
      <c r="CF349" s="67"/>
      <c r="CG349" s="67"/>
      <c r="CH349" s="67"/>
      <c r="CI349" s="67"/>
      <c r="CJ349" s="67"/>
      <c r="CK349" s="67">
        <v>0</v>
      </c>
      <c r="CL349" s="67"/>
      <c r="CM349" s="67"/>
      <c r="CN349" s="67"/>
      <c r="CO349" s="67">
        <v>0</v>
      </c>
      <c r="CP349" s="67"/>
      <c r="CQ349" s="67"/>
      <c r="CR349" s="67"/>
      <c r="CS349" s="67"/>
      <c r="CT349" s="67"/>
      <c r="CU349" s="67">
        <v>0</v>
      </c>
      <c r="CV349" s="67"/>
      <c r="CW349" s="67"/>
      <c r="CX349" s="67"/>
      <c r="CY349" s="67">
        <v>0</v>
      </c>
      <c r="CZ349" s="67"/>
      <c r="DA349" s="67"/>
      <c r="DB349" s="67"/>
      <c r="DC349" s="67"/>
      <c r="DF349" s="67"/>
      <c r="DG349" s="67">
        <v>0</v>
      </c>
      <c r="DH349" s="67">
        <v>0</v>
      </c>
      <c r="DI349" s="67">
        <v>0</v>
      </c>
      <c r="DJ349" s="67"/>
      <c r="DK349" s="67">
        <v>0</v>
      </c>
      <c r="DL349" s="67">
        <v>0</v>
      </c>
      <c r="DM349" s="67">
        <v>0</v>
      </c>
      <c r="DN349" s="67"/>
      <c r="DO349" s="67"/>
      <c r="DP349" s="67"/>
      <c r="DQ349" s="67">
        <v>0</v>
      </c>
      <c r="DR349" s="67">
        <v>0</v>
      </c>
      <c r="DS349" s="67"/>
      <c r="DT349" s="67"/>
      <c r="DU349" s="67">
        <v>0</v>
      </c>
      <c r="DV349" s="67">
        <v>0</v>
      </c>
      <c r="DW349" s="67">
        <v>0</v>
      </c>
      <c r="DX349" s="67">
        <v>0</v>
      </c>
      <c r="DY349" s="67"/>
      <c r="DZ349" s="67">
        <v>0</v>
      </c>
      <c r="EA349" s="67"/>
      <c r="EB349" s="67">
        <v>0</v>
      </c>
      <c r="EC349" s="67"/>
      <c r="ED349" s="67">
        <v>0</v>
      </c>
      <c r="EE349" s="67"/>
      <c r="EF349" s="67">
        <v>0</v>
      </c>
      <c r="EG349" s="67"/>
      <c r="EH349" s="67"/>
      <c r="EI349" s="67"/>
      <c r="EJ349" s="67"/>
      <c r="EK349" s="67"/>
      <c r="EL349" s="67"/>
      <c r="EM349" s="67"/>
      <c r="EN349" s="67"/>
      <c r="EO349" s="67"/>
      <c r="EP349" s="67">
        <v>0</v>
      </c>
      <c r="EQ349" s="67">
        <v>0</v>
      </c>
      <c r="ER349" s="67">
        <v>0</v>
      </c>
      <c r="ES349" s="67"/>
      <c r="ET349">
        <v>0</v>
      </c>
      <c r="EX349" s="67"/>
      <c r="EY349" s="67"/>
      <c r="EZ349" s="67"/>
      <c r="FA349" s="67">
        <v>0</v>
      </c>
      <c r="FB349" s="67">
        <v>0</v>
      </c>
      <c r="FC349" s="67"/>
      <c r="FD349" s="67"/>
      <c r="FE349" s="67"/>
      <c r="FF349" s="67"/>
      <c r="FG349" s="67"/>
      <c r="FH349" s="67"/>
      <c r="FI349" s="67" t="s">
        <v>1734</v>
      </c>
    </row>
    <row r="350" spans="2:165" x14ac:dyDescent="0.2">
      <c r="B350" s="67" t="s">
        <v>962</v>
      </c>
      <c r="C350" s="67"/>
      <c r="D350" s="67" t="s">
        <v>963</v>
      </c>
      <c r="E350" s="67"/>
      <c r="F350" s="67" t="s">
        <v>898</v>
      </c>
      <c r="G350" s="67" t="s">
        <v>694</v>
      </c>
      <c r="H350" s="67"/>
      <c r="I350" s="67" t="s">
        <v>43</v>
      </c>
      <c r="J350" s="67"/>
      <c r="K350" s="67"/>
      <c r="L350" s="67" t="s">
        <v>787</v>
      </c>
      <c r="M350" s="67" t="s">
        <v>752</v>
      </c>
      <c r="N350" s="67"/>
      <c r="O350" s="67" t="s">
        <v>1599</v>
      </c>
      <c r="P350" s="67"/>
      <c r="Q350" s="67">
        <v>1140</v>
      </c>
      <c r="R350" s="67">
        <v>0</v>
      </c>
      <c r="S350" s="67">
        <v>0</v>
      </c>
      <c r="T350" s="67">
        <v>0</v>
      </c>
      <c r="U350" s="67">
        <v>0</v>
      </c>
      <c r="V350" s="67">
        <v>0</v>
      </c>
      <c r="W350" s="67">
        <v>0</v>
      </c>
      <c r="X350" s="67">
        <v>0</v>
      </c>
      <c r="Y350" s="67">
        <v>0</v>
      </c>
      <c r="Z350" s="67">
        <v>0</v>
      </c>
      <c r="AA350" s="67">
        <v>0</v>
      </c>
      <c r="AB350" s="67">
        <v>0</v>
      </c>
      <c r="AC350" s="67">
        <v>0</v>
      </c>
      <c r="AD350" s="67">
        <v>0</v>
      </c>
      <c r="AE350" s="67">
        <v>0</v>
      </c>
      <c r="AF350" s="67">
        <v>0</v>
      </c>
      <c r="AG350" s="67">
        <v>0</v>
      </c>
      <c r="AH350" s="67">
        <v>0</v>
      </c>
      <c r="AI350" s="67">
        <v>1140</v>
      </c>
      <c r="AJ350" s="67">
        <v>0</v>
      </c>
      <c r="AK350" s="67">
        <v>0</v>
      </c>
      <c r="AL350" s="67">
        <v>0</v>
      </c>
      <c r="AM350" s="67">
        <v>0</v>
      </c>
      <c r="AN350" s="67">
        <v>0</v>
      </c>
      <c r="AO350" s="67">
        <v>0</v>
      </c>
      <c r="AP350" s="67">
        <v>0</v>
      </c>
      <c r="AQ350" s="67">
        <v>0</v>
      </c>
      <c r="AR350" s="67">
        <v>0</v>
      </c>
      <c r="AS350" s="67">
        <v>0</v>
      </c>
      <c r="AT350" s="67"/>
      <c r="AU350" s="67"/>
      <c r="AV350" s="67"/>
      <c r="AW350" s="67">
        <v>0</v>
      </c>
      <c r="AX350" s="67">
        <v>0</v>
      </c>
      <c r="AY350" s="67"/>
      <c r="AZ350" s="67"/>
      <c r="BA350" s="67"/>
      <c r="BB350" s="67"/>
      <c r="BC350" s="67"/>
      <c r="BD350" s="67"/>
      <c r="BE350" s="67"/>
      <c r="BG350" s="67"/>
      <c r="BH350" s="67"/>
      <c r="BI350" s="67"/>
      <c r="BJ350" s="67">
        <v>0</v>
      </c>
      <c r="BK350" s="67"/>
      <c r="BL350" s="67"/>
      <c r="BP350" s="67"/>
      <c r="BQ350" s="67">
        <v>0</v>
      </c>
      <c r="BR350" s="67"/>
      <c r="BS350" s="67"/>
      <c r="BT350" s="67">
        <v>0</v>
      </c>
      <c r="BU350" s="67">
        <v>0</v>
      </c>
      <c r="BV350" s="67"/>
      <c r="BW350" s="67"/>
      <c r="BX350" s="67">
        <v>0</v>
      </c>
      <c r="BY350" s="67">
        <v>0</v>
      </c>
      <c r="BZ350" s="67">
        <v>0</v>
      </c>
      <c r="CA350" s="67"/>
      <c r="CB350" s="67">
        <v>0</v>
      </c>
      <c r="CC350" s="67"/>
      <c r="CD350" s="67"/>
      <c r="CE350" s="67">
        <v>0</v>
      </c>
      <c r="CF350" s="67"/>
      <c r="CG350" s="67"/>
      <c r="CH350" s="67"/>
      <c r="CI350" s="67"/>
      <c r="CJ350" s="67"/>
      <c r="CK350" s="67">
        <v>0</v>
      </c>
      <c r="CL350" s="67"/>
      <c r="CM350" s="67"/>
      <c r="CN350" s="67"/>
      <c r="CO350" s="67">
        <v>0</v>
      </c>
      <c r="CP350" s="67"/>
      <c r="CQ350" s="67"/>
      <c r="CR350" s="67"/>
      <c r="CS350" s="67"/>
      <c r="CT350" s="67"/>
      <c r="CU350" s="67">
        <v>0</v>
      </c>
      <c r="CV350" s="67"/>
      <c r="CW350" s="67"/>
      <c r="CX350" s="67"/>
      <c r="CY350" s="67">
        <v>0</v>
      </c>
      <c r="CZ350" s="67"/>
      <c r="DA350" s="67"/>
      <c r="DB350" s="67"/>
      <c r="DC350" s="67"/>
      <c r="DF350" s="67"/>
      <c r="DG350" s="67">
        <v>0</v>
      </c>
      <c r="DH350" s="67">
        <v>0</v>
      </c>
      <c r="DI350" s="67">
        <v>0</v>
      </c>
      <c r="DJ350" s="67"/>
      <c r="DK350" s="67">
        <v>0</v>
      </c>
      <c r="DL350" s="67">
        <v>0</v>
      </c>
      <c r="DM350" s="67">
        <v>0</v>
      </c>
      <c r="DN350" s="67"/>
      <c r="DO350" s="67"/>
      <c r="DP350" s="67"/>
      <c r="DQ350" s="67">
        <v>0</v>
      </c>
      <c r="DR350" s="67">
        <v>0</v>
      </c>
      <c r="DS350" s="67"/>
      <c r="DT350" s="67"/>
      <c r="DU350" s="67">
        <v>0</v>
      </c>
      <c r="DV350" s="67">
        <v>0</v>
      </c>
      <c r="DW350" s="67">
        <v>0</v>
      </c>
      <c r="DX350" s="67">
        <v>0</v>
      </c>
      <c r="DY350" s="67"/>
      <c r="DZ350" s="67">
        <v>0</v>
      </c>
      <c r="EA350" s="67"/>
      <c r="EB350" s="67">
        <v>0</v>
      </c>
      <c r="EC350" s="67"/>
      <c r="ED350" s="67">
        <v>0</v>
      </c>
      <c r="EE350" s="67"/>
      <c r="EF350" s="67">
        <v>0</v>
      </c>
      <c r="EG350" s="67"/>
      <c r="EH350" s="67"/>
      <c r="EI350" s="67"/>
      <c r="EJ350" s="67"/>
      <c r="EK350" s="67"/>
      <c r="EL350" s="67"/>
      <c r="EM350" s="67"/>
      <c r="EN350" s="67"/>
      <c r="EO350" s="67"/>
      <c r="EP350" s="67">
        <v>0</v>
      </c>
      <c r="EQ350" s="67">
        <v>0</v>
      </c>
      <c r="ER350" s="67">
        <v>0</v>
      </c>
      <c r="ES350" s="67"/>
      <c r="ET350">
        <v>0</v>
      </c>
      <c r="EX350" s="67"/>
      <c r="EY350" s="67"/>
      <c r="EZ350" s="67"/>
      <c r="FA350" s="67">
        <v>1140</v>
      </c>
      <c r="FB350" s="67">
        <v>0</v>
      </c>
      <c r="FC350" s="67"/>
      <c r="FD350" s="67"/>
      <c r="FE350" s="67"/>
      <c r="FF350" s="67"/>
      <c r="FG350" s="67"/>
      <c r="FH350" s="67"/>
      <c r="FI350" s="67" t="s">
        <v>1734</v>
      </c>
    </row>
    <row r="351" spans="2:165" ht="24" x14ac:dyDescent="0.2">
      <c r="B351" s="67" t="s">
        <v>964</v>
      </c>
      <c r="C351" s="67"/>
      <c r="D351" s="67" t="s">
        <v>965</v>
      </c>
      <c r="E351" s="67" t="s">
        <v>13</v>
      </c>
      <c r="F351" s="67" t="s">
        <v>933</v>
      </c>
      <c r="G351" s="67" t="s">
        <v>694</v>
      </c>
      <c r="H351" s="67"/>
      <c r="I351" s="67" t="s">
        <v>41</v>
      </c>
      <c r="J351" s="67"/>
      <c r="K351" s="67"/>
      <c r="L351" s="67" t="s">
        <v>787</v>
      </c>
      <c r="M351" s="67" t="s">
        <v>752</v>
      </c>
      <c r="N351" s="67"/>
      <c r="O351" s="67" t="s">
        <v>1605</v>
      </c>
      <c r="P351" s="67" t="s">
        <v>942</v>
      </c>
      <c r="Q351" s="67">
        <v>0</v>
      </c>
      <c r="R351" s="67">
        <v>0</v>
      </c>
      <c r="S351" s="67">
        <v>0</v>
      </c>
      <c r="T351" s="67">
        <v>0</v>
      </c>
      <c r="U351" s="67">
        <v>0</v>
      </c>
      <c r="V351" s="67">
        <v>0</v>
      </c>
      <c r="W351" s="67">
        <v>0</v>
      </c>
      <c r="X351" s="67">
        <v>0</v>
      </c>
      <c r="Y351" s="67">
        <v>0</v>
      </c>
      <c r="Z351" s="67">
        <v>0</v>
      </c>
      <c r="AA351" s="67">
        <v>0</v>
      </c>
      <c r="AB351" s="67">
        <v>0</v>
      </c>
      <c r="AC351" s="67">
        <v>0</v>
      </c>
      <c r="AD351" s="67">
        <v>0</v>
      </c>
      <c r="AE351" s="67">
        <v>0</v>
      </c>
      <c r="AF351" s="67">
        <v>0</v>
      </c>
      <c r="AG351" s="67">
        <v>0</v>
      </c>
      <c r="AH351" s="67">
        <v>0</v>
      </c>
      <c r="AI351" s="67">
        <v>0</v>
      </c>
      <c r="AJ351" s="67">
        <v>0</v>
      </c>
      <c r="AK351" s="67">
        <v>0</v>
      </c>
      <c r="AL351" s="67">
        <v>0</v>
      </c>
      <c r="AM351" s="67">
        <v>0</v>
      </c>
      <c r="AN351" s="67">
        <v>0</v>
      </c>
      <c r="AO351" s="67">
        <v>0</v>
      </c>
      <c r="AP351" s="67">
        <v>0</v>
      </c>
      <c r="AQ351" s="67">
        <v>0</v>
      </c>
      <c r="AR351" s="67">
        <v>0</v>
      </c>
      <c r="AS351" s="67">
        <v>0</v>
      </c>
      <c r="AT351" s="67"/>
      <c r="AU351" s="67"/>
      <c r="AV351" s="67"/>
      <c r="AW351" s="67">
        <v>0</v>
      </c>
      <c r="AX351" s="67">
        <v>0</v>
      </c>
      <c r="AY351" s="67"/>
      <c r="AZ351" s="67"/>
      <c r="BA351" s="67"/>
      <c r="BB351" s="67"/>
      <c r="BC351" s="67"/>
      <c r="BD351" s="67"/>
      <c r="BE351" s="67"/>
      <c r="BG351" s="67"/>
      <c r="BH351" s="67"/>
      <c r="BI351" s="67"/>
      <c r="BJ351" s="67">
        <v>0</v>
      </c>
      <c r="BK351" s="67"/>
      <c r="BL351" s="67"/>
      <c r="BP351" s="67"/>
      <c r="BQ351" s="67">
        <v>0</v>
      </c>
      <c r="BR351" s="67"/>
      <c r="BS351" s="67"/>
      <c r="BT351" s="67">
        <v>0</v>
      </c>
      <c r="BU351" s="67">
        <v>0</v>
      </c>
      <c r="BV351" s="67"/>
      <c r="BW351" s="67"/>
      <c r="BX351" s="67">
        <v>0</v>
      </c>
      <c r="BY351" s="67">
        <v>0</v>
      </c>
      <c r="BZ351" s="67">
        <v>0</v>
      </c>
      <c r="CA351" s="67"/>
      <c r="CB351" s="67">
        <v>0</v>
      </c>
      <c r="CC351" s="67"/>
      <c r="CD351" s="67"/>
      <c r="CE351" s="67">
        <v>0</v>
      </c>
      <c r="CF351" s="67"/>
      <c r="CG351" s="67"/>
      <c r="CH351" s="67"/>
      <c r="CI351" s="67"/>
      <c r="CJ351" s="67"/>
      <c r="CK351" s="67">
        <v>0</v>
      </c>
      <c r="CL351" s="67"/>
      <c r="CM351" s="67"/>
      <c r="CN351" s="67"/>
      <c r="CO351" s="67">
        <v>0</v>
      </c>
      <c r="CP351" s="67"/>
      <c r="CQ351" s="67"/>
      <c r="CR351" s="67"/>
      <c r="CS351" s="67"/>
      <c r="CT351" s="67"/>
      <c r="CU351" s="67">
        <v>0</v>
      </c>
      <c r="CV351" s="67"/>
      <c r="CW351" s="67"/>
      <c r="CX351" s="67"/>
      <c r="CY351" s="67">
        <v>0</v>
      </c>
      <c r="CZ351" s="67"/>
      <c r="DA351" s="67"/>
      <c r="DB351" s="67"/>
      <c r="DC351" s="67"/>
      <c r="DF351" s="67"/>
      <c r="DG351" s="67">
        <v>0</v>
      </c>
      <c r="DH351" s="67">
        <v>0</v>
      </c>
      <c r="DI351" s="67">
        <v>0</v>
      </c>
      <c r="DJ351" s="67"/>
      <c r="DK351" s="67">
        <v>0</v>
      </c>
      <c r="DL351" s="67">
        <v>0</v>
      </c>
      <c r="DM351" s="67">
        <v>0</v>
      </c>
      <c r="DN351" s="67"/>
      <c r="DO351" s="67"/>
      <c r="DP351" s="67"/>
      <c r="DQ351" s="67">
        <v>0</v>
      </c>
      <c r="DR351" s="67">
        <v>0</v>
      </c>
      <c r="DS351" s="67"/>
      <c r="DT351" s="67"/>
      <c r="DU351" s="67">
        <v>0</v>
      </c>
      <c r="DV351" s="67">
        <v>0</v>
      </c>
      <c r="DW351" s="67">
        <v>0</v>
      </c>
      <c r="DX351" s="67">
        <v>0</v>
      </c>
      <c r="DY351" s="67"/>
      <c r="DZ351" s="67">
        <v>0</v>
      </c>
      <c r="EA351" s="67"/>
      <c r="EB351" s="67">
        <v>0</v>
      </c>
      <c r="EC351" s="67"/>
      <c r="ED351" s="67">
        <v>0</v>
      </c>
      <c r="EE351" s="67"/>
      <c r="EF351" s="67">
        <v>0</v>
      </c>
      <c r="EG351" s="67"/>
      <c r="EH351" s="67"/>
      <c r="EI351" s="67"/>
      <c r="EJ351" s="67"/>
      <c r="EK351" s="67"/>
      <c r="EL351" s="67"/>
      <c r="EM351" s="67"/>
      <c r="EN351" s="67"/>
      <c r="EO351" s="67"/>
      <c r="EP351" s="67">
        <v>0</v>
      </c>
      <c r="EQ351" s="67">
        <v>0</v>
      </c>
      <c r="ER351" s="67">
        <v>0</v>
      </c>
      <c r="ES351" s="67"/>
      <c r="ET351">
        <v>0</v>
      </c>
      <c r="EX351" s="67"/>
      <c r="EY351" s="67"/>
      <c r="EZ351" s="67"/>
      <c r="FA351" s="67">
        <v>0</v>
      </c>
      <c r="FB351" s="67">
        <v>0</v>
      </c>
      <c r="FC351" s="67"/>
      <c r="FD351" s="67"/>
      <c r="FE351" s="67"/>
      <c r="FF351" s="67"/>
      <c r="FG351" s="67"/>
      <c r="FH351" s="67"/>
      <c r="FI351" s="67" t="s">
        <v>1734</v>
      </c>
    </row>
    <row r="352" spans="2:165" ht="24" x14ac:dyDescent="0.2">
      <c r="B352" s="67" t="s">
        <v>966</v>
      </c>
      <c r="C352" s="67"/>
      <c r="D352" s="67" t="s">
        <v>967</v>
      </c>
      <c r="E352" s="67" t="s">
        <v>13</v>
      </c>
      <c r="F352" s="67" t="s">
        <v>933</v>
      </c>
      <c r="G352" s="67" t="s">
        <v>694</v>
      </c>
      <c r="H352" s="67"/>
      <c r="I352" s="67" t="s">
        <v>41</v>
      </c>
      <c r="J352" s="67"/>
      <c r="K352" s="67"/>
      <c r="L352" s="67" t="s">
        <v>787</v>
      </c>
      <c r="M352" s="67" t="s">
        <v>752</v>
      </c>
      <c r="N352" s="67"/>
      <c r="O352" s="67" t="s">
        <v>1605</v>
      </c>
      <c r="P352" s="67" t="s">
        <v>942</v>
      </c>
      <c r="Q352" s="67">
        <v>0</v>
      </c>
      <c r="R352" s="67">
        <v>0</v>
      </c>
      <c r="S352" s="67">
        <v>0</v>
      </c>
      <c r="T352" s="67">
        <v>0</v>
      </c>
      <c r="U352" s="67">
        <v>0</v>
      </c>
      <c r="V352" s="67">
        <v>0</v>
      </c>
      <c r="W352" s="67">
        <v>0</v>
      </c>
      <c r="X352" s="67">
        <v>0</v>
      </c>
      <c r="Y352" s="67">
        <v>0</v>
      </c>
      <c r="Z352" s="67">
        <v>0</v>
      </c>
      <c r="AA352" s="67">
        <v>0</v>
      </c>
      <c r="AB352" s="67">
        <v>0</v>
      </c>
      <c r="AC352" s="67">
        <v>0</v>
      </c>
      <c r="AD352" s="67">
        <v>0</v>
      </c>
      <c r="AE352" s="67">
        <v>0</v>
      </c>
      <c r="AF352" s="67">
        <v>0</v>
      </c>
      <c r="AG352" s="67">
        <v>0</v>
      </c>
      <c r="AH352" s="67">
        <v>0</v>
      </c>
      <c r="AI352" s="67">
        <v>0</v>
      </c>
      <c r="AJ352" s="67">
        <v>0</v>
      </c>
      <c r="AK352" s="67">
        <v>0</v>
      </c>
      <c r="AL352" s="67">
        <v>0</v>
      </c>
      <c r="AM352" s="67">
        <v>0</v>
      </c>
      <c r="AN352" s="67">
        <v>0</v>
      </c>
      <c r="AO352" s="67">
        <v>0</v>
      </c>
      <c r="AP352" s="67">
        <v>0</v>
      </c>
      <c r="AQ352" s="67">
        <v>0</v>
      </c>
      <c r="AR352" s="67">
        <v>0</v>
      </c>
      <c r="AS352" s="67">
        <v>0</v>
      </c>
      <c r="AT352" s="67"/>
      <c r="AU352" s="67"/>
      <c r="AV352" s="67"/>
      <c r="AW352" s="67">
        <v>0</v>
      </c>
      <c r="AX352" s="67">
        <v>0</v>
      </c>
      <c r="AY352" s="67"/>
      <c r="AZ352" s="67"/>
      <c r="BA352" s="67"/>
      <c r="BB352" s="67"/>
      <c r="BC352" s="67"/>
      <c r="BD352" s="67"/>
      <c r="BE352" s="67"/>
      <c r="BG352" s="67"/>
      <c r="BH352" s="67"/>
      <c r="BI352" s="67"/>
      <c r="BJ352" s="67">
        <v>0</v>
      </c>
      <c r="BK352" s="67"/>
      <c r="BL352" s="67"/>
      <c r="BP352" s="67"/>
      <c r="BQ352" s="67">
        <v>0</v>
      </c>
      <c r="BR352" s="67"/>
      <c r="BS352" s="67"/>
      <c r="BT352" s="67">
        <v>0</v>
      </c>
      <c r="BU352" s="67">
        <v>0</v>
      </c>
      <c r="BV352" s="67"/>
      <c r="BW352" s="67"/>
      <c r="BX352" s="67">
        <v>0</v>
      </c>
      <c r="BY352" s="67">
        <v>0</v>
      </c>
      <c r="BZ352" s="67">
        <v>0</v>
      </c>
      <c r="CA352" s="67"/>
      <c r="CB352" s="67">
        <v>0</v>
      </c>
      <c r="CC352" s="67"/>
      <c r="CD352" s="67"/>
      <c r="CE352" s="67">
        <v>0</v>
      </c>
      <c r="CF352" s="67"/>
      <c r="CG352" s="67"/>
      <c r="CH352" s="67"/>
      <c r="CI352" s="67"/>
      <c r="CJ352" s="67"/>
      <c r="CK352" s="67">
        <v>0</v>
      </c>
      <c r="CL352" s="67"/>
      <c r="CM352" s="67"/>
      <c r="CN352" s="67"/>
      <c r="CO352" s="67">
        <v>0</v>
      </c>
      <c r="CP352" s="67"/>
      <c r="CQ352" s="67"/>
      <c r="CR352" s="67"/>
      <c r="CS352" s="67"/>
      <c r="CT352" s="67"/>
      <c r="CU352" s="67">
        <v>0</v>
      </c>
      <c r="CV352" s="67"/>
      <c r="CW352" s="67"/>
      <c r="CX352" s="67"/>
      <c r="CY352" s="67">
        <v>0</v>
      </c>
      <c r="CZ352" s="67"/>
      <c r="DA352" s="67"/>
      <c r="DB352" s="67"/>
      <c r="DC352" s="67"/>
      <c r="DF352" s="67"/>
      <c r="DG352" s="67">
        <v>0</v>
      </c>
      <c r="DH352" s="67">
        <v>0</v>
      </c>
      <c r="DI352" s="67">
        <v>0</v>
      </c>
      <c r="DJ352" s="67"/>
      <c r="DK352" s="67">
        <v>0</v>
      </c>
      <c r="DL352" s="67">
        <v>0</v>
      </c>
      <c r="DM352" s="67">
        <v>0</v>
      </c>
      <c r="DN352" s="67"/>
      <c r="DO352" s="67"/>
      <c r="DP352" s="67"/>
      <c r="DQ352" s="67">
        <v>0</v>
      </c>
      <c r="DR352" s="67">
        <v>0</v>
      </c>
      <c r="DS352" s="67"/>
      <c r="DT352" s="67"/>
      <c r="DU352" s="67">
        <v>0</v>
      </c>
      <c r="DV352" s="67">
        <v>0</v>
      </c>
      <c r="DW352" s="67">
        <v>0</v>
      </c>
      <c r="DX352" s="67">
        <v>0</v>
      </c>
      <c r="DY352" s="67"/>
      <c r="DZ352" s="67">
        <v>0</v>
      </c>
      <c r="EA352" s="67"/>
      <c r="EB352" s="67">
        <v>0</v>
      </c>
      <c r="EC352" s="67"/>
      <c r="ED352" s="67">
        <v>0</v>
      </c>
      <c r="EE352" s="67"/>
      <c r="EF352" s="67">
        <v>0</v>
      </c>
      <c r="EG352" s="67"/>
      <c r="EH352" s="67"/>
      <c r="EI352" s="67"/>
      <c r="EJ352" s="67"/>
      <c r="EK352" s="67"/>
      <c r="EL352" s="67"/>
      <c r="EM352" s="67"/>
      <c r="EN352" s="67"/>
      <c r="EO352" s="67"/>
      <c r="EP352" s="67">
        <v>0</v>
      </c>
      <c r="EQ352" s="67">
        <v>0</v>
      </c>
      <c r="ER352" s="67">
        <v>0</v>
      </c>
      <c r="ES352" s="67"/>
      <c r="ET352">
        <v>0</v>
      </c>
      <c r="EX352" s="67"/>
      <c r="EY352" s="67"/>
      <c r="EZ352" s="67"/>
      <c r="FA352" s="67">
        <v>0</v>
      </c>
      <c r="FB352" s="67">
        <v>0</v>
      </c>
      <c r="FC352" s="67"/>
      <c r="FD352" s="67"/>
      <c r="FE352" s="67"/>
      <c r="FF352" s="67"/>
      <c r="FG352" s="67"/>
      <c r="FH352" s="67"/>
      <c r="FI352" s="67" t="s">
        <v>1734</v>
      </c>
    </row>
    <row r="353" spans="2:165" x14ac:dyDescent="0.2">
      <c r="B353" s="67" t="s">
        <v>968</v>
      </c>
      <c r="C353" s="67"/>
      <c r="D353" s="67" t="s">
        <v>969</v>
      </c>
      <c r="E353" s="67"/>
      <c r="F353" s="67"/>
      <c r="G353" s="67" t="s">
        <v>694</v>
      </c>
      <c r="H353" s="67"/>
      <c r="I353" s="67"/>
      <c r="J353" s="67"/>
      <c r="K353" s="67"/>
      <c r="L353" s="67"/>
      <c r="M353" s="67"/>
      <c r="N353" s="67"/>
      <c r="O353" s="67" t="s">
        <v>1605</v>
      </c>
      <c r="P353" s="67"/>
      <c r="Q353" s="67">
        <v>0</v>
      </c>
      <c r="R353" s="67">
        <v>0</v>
      </c>
      <c r="S353" s="67">
        <v>0</v>
      </c>
      <c r="T353" s="67">
        <v>0</v>
      </c>
      <c r="U353" s="67">
        <v>0</v>
      </c>
      <c r="V353" s="67">
        <v>0</v>
      </c>
      <c r="W353" s="67">
        <v>0</v>
      </c>
      <c r="X353" s="67">
        <v>0</v>
      </c>
      <c r="Y353" s="67">
        <v>0</v>
      </c>
      <c r="Z353" s="67">
        <v>0</v>
      </c>
      <c r="AA353" s="67">
        <v>0</v>
      </c>
      <c r="AB353" s="67">
        <v>0</v>
      </c>
      <c r="AC353" s="67">
        <v>0</v>
      </c>
      <c r="AD353" s="67">
        <v>0</v>
      </c>
      <c r="AE353" s="67">
        <v>0</v>
      </c>
      <c r="AF353" s="67">
        <v>0</v>
      </c>
      <c r="AG353" s="67">
        <v>0</v>
      </c>
      <c r="AH353" s="67">
        <v>0</v>
      </c>
      <c r="AI353" s="67">
        <v>0</v>
      </c>
      <c r="AJ353" s="67">
        <v>0</v>
      </c>
      <c r="AK353" s="67">
        <v>0</v>
      </c>
      <c r="AL353" s="67">
        <v>0</v>
      </c>
      <c r="AM353" s="67">
        <v>0</v>
      </c>
      <c r="AN353" s="67">
        <v>0</v>
      </c>
      <c r="AO353" s="67">
        <v>0</v>
      </c>
      <c r="AP353" s="67">
        <v>0</v>
      </c>
      <c r="AQ353" s="67">
        <v>0</v>
      </c>
      <c r="AR353" s="67">
        <v>0</v>
      </c>
      <c r="AS353" s="67">
        <v>0</v>
      </c>
      <c r="AT353" s="67"/>
      <c r="AU353" s="67"/>
      <c r="AV353" s="67"/>
      <c r="AW353" s="67">
        <v>0</v>
      </c>
      <c r="AX353" s="67">
        <v>0</v>
      </c>
      <c r="AY353" s="67"/>
      <c r="AZ353" s="67"/>
      <c r="BA353" s="67"/>
      <c r="BB353" s="67"/>
      <c r="BC353" s="67"/>
      <c r="BD353" s="67"/>
      <c r="BE353" s="67"/>
      <c r="BG353" s="67"/>
      <c r="BH353" s="67"/>
      <c r="BI353" s="67"/>
      <c r="BJ353" s="67">
        <v>0</v>
      </c>
      <c r="BK353" s="67"/>
      <c r="BL353" s="67"/>
      <c r="BP353" s="67"/>
      <c r="BQ353" s="67">
        <v>0</v>
      </c>
      <c r="BR353" s="67"/>
      <c r="BS353" s="67"/>
      <c r="BT353" s="67">
        <v>0</v>
      </c>
      <c r="BU353" s="67">
        <v>0</v>
      </c>
      <c r="BV353" s="67"/>
      <c r="BW353" s="67"/>
      <c r="BX353" s="67">
        <v>0</v>
      </c>
      <c r="BY353" s="67">
        <v>0</v>
      </c>
      <c r="BZ353" s="67">
        <v>0</v>
      </c>
      <c r="CA353" s="67"/>
      <c r="CB353" s="67">
        <v>0</v>
      </c>
      <c r="CC353" s="67"/>
      <c r="CD353" s="67"/>
      <c r="CE353" s="67">
        <v>0</v>
      </c>
      <c r="CF353" s="67"/>
      <c r="CG353" s="67"/>
      <c r="CH353" s="67"/>
      <c r="CI353" s="67"/>
      <c r="CJ353" s="67"/>
      <c r="CK353" s="67">
        <v>0</v>
      </c>
      <c r="CL353" s="67"/>
      <c r="CM353" s="67"/>
      <c r="CN353" s="67"/>
      <c r="CO353" s="67">
        <v>0</v>
      </c>
      <c r="CP353" s="67"/>
      <c r="CQ353" s="67"/>
      <c r="CR353" s="67"/>
      <c r="CS353" s="67"/>
      <c r="CT353" s="67"/>
      <c r="CU353" s="67">
        <v>0</v>
      </c>
      <c r="CV353" s="67"/>
      <c r="CW353" s="67"/>
      <c r="CX353" s="67"/>
      <c r="CY353" s="67">
        <v>0</v>
      </c>
      <c r="CZ353" s="67"/>
      <c r="DA353" s="67"/>
      <c r="DB353" s="67"/>
      <c r="DC353" s="67"/>
      <c r="DF353" s="67"/>
      <c r="DG353" s="67">
        <v>0</v>
      </c>
      <c r="DH353" s="67">
        <v>0</v>
      </c>
      <c r="DI353" s="67">
        <v>0</v>
      </c>
      <c r="DJ353" s="67"/>
      <c r="DK353" s="67">
        <v>0</v>
      </c>
      <c r="DL353" s="67">
        <v>0</v>
      </c>
      <c r="DM353" s="67">
        <v>0</v>
      </c>
      <c r="DN353" s="67"/>
      <c r="DO353" s="67"/>
      <c r="DP353" s="67"/>
      <c r="DQ353" s="67">
        <v>0</v>
      </c>
      <c r="DR353" s="67">
        <v>0</v>
      </c>
      <c r="DS353" s="67"/>
      <c r="DT353" s="67"/>
      <c r="DU353" s="67">
        <v>0</v>
      </c>
      <c r="DV353" s="67">
        <v>0</v>
      </c>
      <c r="DW353" s="67">
        <v>0</v>
      </c>
      <c r="DX353" s="67">
        <v>0</v>
      </c>
      <c r="DY353" s="67"/>
      <c r="DZ353" s="67">
        <v>0</v>
      </c>
      <c r="EA353" s="67"/>
      <c r="EB353" s="67">
        <v>0</v>
      </c>
      <c r="EC353" s="67"/>
      <c r="ED353" s="67">
        <v>0</v>
      </c>
      <c r="EE353" s="67"/>
      <c r="EF353" s="67">
        <v>0</v>
      </c>
      <c r="EG353" s="67"/>
      <c r="EH353" s="67"/>
      <c r="EI353" s="67"/>
      <c r="EJ353" s="67"/>
      <c r="EK353" s="67"/>
      <c r="EL353" s="67"/>
      <c r="EM353" s="67"/>
      <c r="EN353" s="67"/>
      <c r="EO353" s="67"/>
      <c r="EP353" s="67">
        <v>0</v>
      </c>
      <c r="EQ353" s="67">
        <v>0</v>
      </c>
      <c r="ER353" s="67">
        <v>0</v>
      </c>
      <c r="ES353" s="67"/>
      <c r="ET353">
        <v>0</v>
      </c>
      <c r="EX353" s="67"/>
      <c r="EY353" s="67"/>
      <c r="EZ353" s="67"/>
      <c r="FA353" s="67">
        <v>0</v>
      </c>
      <c r="FB353" s="67">
        <v>0</v>
      </c>
      <c r="FC353" s="67"/>
      <c r="FD353" s="67"/>
      <c r="FE353" s="67"/>
      <c r="FF353" s="67"/>
      <c r="FG353" s="67"/>
      <c r="FH353" s="67"/>
      <c r="FI353" s="67" t="s">
        <v>1734</v>
      </c>
    </row>
    <row r="354" spans="2:165" x14ac:dyDescent="0.2">
      <c r="B354" s="67" t="s">
        <v>970</v>
      </c>
      <c r="C354" s="67"/>
      <c r="D354" s="67" t="s">
        <v>971</v>
      </c>
      <c r="E354" s="67"/>
      <c r="F354" s="67"/>
      <c r="G354" s="67" t="s">
        <v>694</v>
      </c>
      <c r="H354" s="67"/>
      <c r="I354" s="67"/>
      <c r="J354" s="67"/>
      <c r="K354" s="67"/>
      <c r="L354" s="67"/>
      <c r="M354" s="67"/>
      <c r="N354" s="67"/>
      <c r="O354" s="67" t="s">
        <v>1605</v>
      </c>
      <c r="P354" s="67"/>
      <c r="Q354" s="67">
        <v>0</v>
      </c>
      <c r="R354" s="67">
        <v>0</v>
      </c>
      <c r="S354" s="67">
        <v>0</v>
      </c>
      <c r="T354" s="67">
        <v>0</v>
      </c>
      <c r="U354" s="67">
        <v>0</v>
      </c>
      <c r="V354" s="67">
        <v>0</v>
      </c>
      <c r="W354" s="67">
        <v>0</v>
      </c>
      <c r="X354" s="67">
        <v>0</v>
      </c>
      <c r="Y354" s="67">
        <v>0</v>
      </c>
      <c r="Z354" s="67">
        <v>0</v>
      </c>
      <c r="AA354" s="67">
        <v>0</v>
      </c>
      <c r="AB354" s="67">
        <v>0</v>
      </c>
      <c r="AC354" s="67">
        <v>0</v>
      </c>
      <c r="AD354" s="67">
        <v>0</v>
      </c>
      <c r="AE354" s="67">
        <v>0</v>
      </c>
      <c r="AF354" s="67">
        <v>0</v>
      </c>
      <c r="AG354" s="67">
        <v>0</v>
      </c>
      <c r="AH354" s="67">
        <v>0</v>
      </c>
      <c r="AI354" s="67">
        <v>0</v>
      </c>
      <c r="AJ354" s="67">
        <v>0</v>
      </c>
      <c r="AK354" s="67">
        <v>0</v>
      </c>
      <c r="AL354" s="67">
        <v>0</v>
      </c>
      <c r="AM354" s="67">
        <v>0</v>
      </c>
      <c r="AN354" s="67">
        <v>0</v>
      </c>
      <c r="AO354" s="67">
        <v>0</v>
      </c>
      <c r="AP354" s="67">
        <v>0</v>
      </c>
      <c r="AQ354" s="67">
        <v>0</v>
      </c>
      <c r="AR354" s="67">
        <v>0</v>
      </c>
      <c r="AS354" s="67">
        <v>0</v>
      </c>
      <c r="AT354" s="67"/>
      <c r="AU354" s="67"/>
      <c r="AV354" s="67"/>
      <c r="AW354" s="67">
        <v>0</v>
      </c>
      <c r="AX354" s="67">
        <v>0</v>
      </c>
      <c r="AY354" s="67"/>
      <c r="AZ354" s="67"/>
      <c r="BA354" s="67"/>
      <c r="BB354" s="67"/>
      <c r="BC354" s="67"/>
      <c r="BD354" s="67"/>
      <c r="BE354" s="67"/>
      <c r="BG354" s="67"/>
      <c r="BH354" s="67"/>
      <c r="BI354" s="67"/>
      <c r="BJ354" s="67">
        <v>0</v>
      </c>
      <c r="BK354" s="67"/>
      <c r="BL354" s="67"/>
      <c r="BP354" s="67"/>
      <c r="BQ354" s="67">
        <v>0</v>
      </c>
      <c r="BR354" s="67"/>
      <c r="BS354" s="67"/>
      <c r="BT354" s="67">
        <v>0</v>
      </c>
      <c r="BU354" s="67">
        <v>0</v>
      </c>
      <c r="BV354" s="67"/>
      <c r="BW354" s="67"/>
      <c r="BX354" s="67">
        <v>0</v>
      </c>
      <c r="BY354" s="67">
        <v>0</v>
      </c>
      <c r="BZ354" s="67">
        <v>0</v>
      </c>
      <c r="CA354" s="67"/>
      <c r="CB354" s="67">
        <v>0</v>
      </c>
      <c r="CC354" s="67"/>
      <c r="CD354" s="67"/>
      <c r="CE354" s="67">
        <v>0</v>
      </c>
      <c r="CF354" s="67"/>
      <c r="CG354" s="67"/>
      <c r="CH354" s="67"/>
      <c r="CI354" s="67"/>
      <c r="CJ354" s="67"/>
      <c r="CK354" s="67">
        <v>0</v>
      </c>
      <c r="CL354" s="67"/>
      <c r="CM354" s="67"/>
      <c r="CN354" s="67"/>
      <c r="CO354" s="67">
        <v>0</v>
      </c>
      <c r="CP354" s="67"/>
      <c r="CQ354" s="67"/>
      <c r="CR354" s="67"/>
      <c r="CS354" s="67"/>
      <c r="CT354" s="67"/>
      <c r="CU354" s="67">
        <v>0</v>
      </c>
      <c r="CV354" s="67"/>
      <c r="CW354" s="67"/>
      <c r="CX354" s="67"/>
      <c r="CY354" s="67">
        <v>0</v>
      </c>
      <c r="CZ354" s="67"/>
      <c r="DA354" s="67"/>
      <c r="DB354" s="67"/>
      <c r="DC354" s="67"/>
      <c r="DF354" s="67"/>
      <c r="DG354" s="67">
        <v>0</v>
      </c>
      <c r="DH354" s="67">
        <v>0</v>
      </c>
      <c r="DI354" s="67">
        <v>0</v>
      </c>
      <c r="DJ354" s="67"/>
      <c r="DK354" s="67">
        <v>0</v>
      </c>
      <c r="DL354" s="67">
        <v>0</v>
      </c>
      <c r="DM354" s="67">
        <v>0</v>
      </c>
      <c r="DN354" s="67"/>
      <c r="DO354" s="67"/>
      <c r="DP354" s="67"/>
      <c r="DQ354" s="67">
        <v>0</v>
      </c>
      <c r="DR354" s="67">
        <v>0</v>
      </c>
      <c r="DS354" s="67"/>
      <c r="DT354" s="67"/>
      <c r="DU354" s="67">
        <v>0</v>
      </c>
      <c r="DV354" s="67">
        <v>0</v>
      </c>
      <c r="DW354" s="67">
        <v>0</v>
      </c>
      <c r="DX354" s="67">
        <v>0</v>
      </c>
      <c r="DY354" s="67"/>
      <c r="DZ354" s="67">
        <v>0</v>
      </c>
      <c r="EA354" s="67"/>
      <c r="EB354" s="67">
        <v>0</v>
      </c>
      <c r="EC354" s="67"/>
      <c r="ED354" s="67">
        <v>0</v>
      </c>
      <c r="EE354" s="67"/>
      <c r="EF354" s="67">
        <v>0</v>
      </c>
      <c r="EG354" s="67"/>
      <c r="EH354" s="67"/>
      <c r="EI354" s="67"/>
      <c r="EJ354" s="67"/>
      <c r="EK354" s="67"/>
      <c r="EL354" s="67"/>
      <c r="EM354" s="67"/>
      <c r="EN354" s="67"/>
      <c r="EO354" s="67"/>
      <c r="EP354" s="67">
        <v>0</v>
      </c>
      <c r="EQ354" s="67">
        <v>0</v>
      </c>
      <c r="ER354" s="67">
        <v>0</v>
      </c>
      <c r="ES354" s="67"/>
      <c r="ET354">
        <v>0</v>
      </c>
      <c r="EX354" s="67"/>
      <c r="EY354" s="67"/>
      <c r="EZ354" s="67"/>
      <c r="FA354" s="67">
        <v>0</v>
      </c>
      <c r="FB354" s="67">
        <v>0</v>
      </c>
      <c r="FC354" s="67"/>
      <c r="FD354" s="67"/>
      <c r="FE354" s="67"/>
      <c r="FF354" s="67"/>
      <c r="FG354" s="67"/>
      <c r="FH354" s="67"/>
      <c r="FI354" s="67" t="s">
        <v>1734</v>
      </c>
    </row>
    <row r="355" spans="2:165" x14ac:dyDescent="0.2">
      <c r="B355" s="67" t="s">
        <v>972</v>
      </c>
      <c r="C355" s="67"/>
      <c r="D355" s="67" t="s">
        <v>973</v>
      </c>
      <c r="E355" s="67"/>
      <c r="F355" s="67"/>
      <c r="G355" s="67" t="s">
        <v>694</v>
      </c>
      <c r="H355" s="67"/>
      <c r="I355" s="67"/>
      <c r="J355" s="67"/>
      <c r="K355" s="67"/>
      <c r="L355" s="67"/>
      <c r="M355" s="67"/>
      <c r="N355" s="67"/>
      <c r="O355" s="67" t="s">
        <v>1605</v>
      </c>
      <c r="P355" s="67"/>
      <c r="Q355" s="67">
        <v>0</v>
      </c>
      <c r="R355" s="67">
        <v>0</v>
      </c>
      <c r="S355" s="67">
        <v>0</v>
      </c>
      <c r="T355" s="67">
        <v>0</v>
      </c>
      <c r="U355" s="67">
        <v>0</v>
      </c>
      <c r="V355" s="67">
        <v>0</v>
      </c>
      <c r="W355" s="67">
        <v>0</v>
      </c>
      <c r="X355" s="67">
        <v>0</v>
      </c>
      <c r="Y355" s="67">
        <v>0</v>
      </c>
      <c r="Z355" s="67">
        <v>0</v>
      </c>
      <c r="AA355" s="67">
        <v>0</v>
      </c>
      <c r="AB355" s="67">
        <v>0</v>
      </c>
      <c r="AC355" s="67">
        <v>0</v>
      </c>
      <c r="AD355" s="67">
        <v>0</v>
      </c>
      <c r="AE355" s="67">
        <v>0</v>
      </c>
      <c r="AF355" s="67">
        <v>0</v>
      </c>
      <c r="AG355" s="67">
        <v>0</v>
      </c>
      <c r="AH355" s="67">
        <v>0</v>
      </c>
      <c r="AI355" s="67">
        <v>0</v>
      </c>
      <c r="AJ355" s="67">
        <v>0</v>
      </c>
      <c r="AK355" s="67">
        <v>0</v>
      </c>
      <c r="AL355" s="67">
        <v>0</v>
      </c>
      <c r="AM355" s="67">
        <v>0</v>
      </c>
      <c r="AN355" s="67">
        <v>0</v>
      </c>
      <c r="AO355" s="67">
        <v>0</v>
      </c>
      <c r="AP355" s="67">
        <v>0</v>
      </c>
      <c r="AQ355" s="67">
        <v>0</v>
      </c>
      <c r="AR355" s="67">
        <v>0</v>
      </c>
      <c r="AS355" s="67">
        <v>0</v>
      </c>
      <c r="AT355" s="67"/>
      <c r="AU355" s="67"/>
      <c r="AV355" s="67"/>
      <c r="AW355" s="67">
        <v>0</v>
      </c>
      <c r="AX355" s="67">
        <v>0</v>
      </c>
      <c r="AY355" s="67"/>
      <c r="AZ355" s="67"/>
      <c r="BA355" s="67"/>
      <c r="BB355" s="67"/>
      <c r="BC355" s="67"/>
      <c r="BD355" s="67"/>
      <c r="BE355" s="67"/>
      <c r="BG355" s="67"/>
      <c r="BH355" s="67"/>
      <c r="BI355" s="67"/>
      <c r="BJ355" s="67">
        <v>0</v>
      </c>
      <c r="BK355" s="67"/>
      <c r="BL355" s="67"/>
      <c r="BP355" s="67"/>
      <c r="BQ355" s="67">
        <v>0</v>
      </c>
      <c r="BR355" s="67"/>
      <c r="BS355" s="67"/>
      <c r="BT355" s="67">
        <v>0</v>
      </c>
      <c r="BU355" s="67">
        <v>0</v>
      </c>
      <c r="BV355" s="67"/>
      <c r="BW355" s="67"/>
      <c r="BX355" s="67">
        <v>0</v>
      </c>
      <c r="BY355" s="67">
        <v>0</v>
      </c>
      <c r="BZ355" s="67">
        <v>0</v>
      </c>
      <c r="CA355" s="67"/>
      <c r="CB355" s="67">
        <v>0</v>
      </c>
      <c r="CC355" s="67"/>
      <c r="CD355" s="67"/>
      <c r="CE355" s="67">
        <v>0</v>
      </c>
      <c r="CF355" s="67"/>
      <c r="CG355" s="67"/>
      <c r="CH355" s="67"/>
      <c r="CI355" s="67"/>
      <c r="CJ355" s="67"/>
      <c r="CK355" s="67">
        <v>0</v>
      </c>
      <c r="CL355" s="67"/>
      <c r="CM355" s="67"/>
      <c r="CN355" s="67"/>
      <c r="CO355" s="67">
        <v>0</v>
      </c>
      <c r="CP355" s="67"/>
      <c r="CQ355" s="67"/>
      <c r="CR355" s="67"/>
      <c r="CS355" s="67"/>
      <c r="CT355" s="67"/>
      <c r="CU355" s="67">
        <v>0</v>
      </c>
      <c r="CV355" s="67"/>
      <c r="CW355" s="67"/>
      <c r="CX355" s="67"/>
      <c r="CY355" s="67">
        <v>0</v>
      </c>
      <c r="CZ355" s="67"/>
      <c r="DA355" s="67"/>
      <c r="DB355" s="67"/>
      <c r="DC355" s="67"/>
      <c r="DF355" s="67"/>
      <c r="DG355" s="67">
        <v>0</v>
      </c>
      <c r="DH355" s="67">
        <v>0</v>
      </c>
      <c r="DI355" s="67">
        <v>0</v>
      </c>
      <c r="DJ355" s="67"/>
      <c r="DK355" s="67">
        <v>0</v>
      </c>
      <c r="DL355" s="67">
        <v>0</v>
      </c>
      <c r="DM355" s="67">
        <v>0</v>
      </c>
      <c r="DN355" s="67"/>
      <c r="DO355" s="67"/>
      <c r="DP355" s="67"/>
      <c r="DQ355" s="67">
        <v>0</v>
      </c>
      <c r="DR355" s="67">
        <v>0</v>
      </c>
      <c r="DS355" s="67"/>
      <c r="DT355" s="67"/>
      <c r="DU355" s="67">
        <v>0</v>
      </c>
      <c r="DV355" s="67">
        <v>0</v>
      </c>
      <c r="DW355" s="67">
        <v>0</v>
      </c>
      <c r="DX355" s="67">
        <v>0</v>
      </c>
      <c r="DY355" s="67"/>
      <c r="DZ355" s="67">
        <v>0</v>
      </c>
      <c r="EA355" s="67"/>
      <c r="EB355" s="67">
        <v>0</v>
      </c>
      <c r="EC355" s="67"/>
      <c r="ED355" s="67">
        <v>0</v>
      </c>
      <c r="EE355" s="67"/>
      <c r="EF355" s="67">
        <v>0</v>
      </c>
      <c r="EG355" s="67"/>
      <c r="EH355" s="67"/>
      <c r="EI355" s="67"/>
      <c r="EJ355" s="67"/>
      <c r="EK355" s="67"/>
      <c r="EL355" s="67"/>
      <c r="EM355" s="67"/>
      <c r="EN355" s="67"/>
      <c r="EO355" s="67"/>
      <c r="EP355" s="67">
        <v>0</v>
      </c>
      <c r="EQ355" s="67">
        <v>0</v>
      </c>
      <c r="ER355" s="67">
        <v>0</v>
      </c>
      <c r="ES355" s="67"/>
      <c r="ET355">
        <v>0</v>
      </c>
      <c r="EX355" s="67"/>
      <c r="EY355" s="67"/>
      <c r="EZ355" s="67"/>
      <c r="FA355" s="67">
        <v>0</v>
      </c>
      <c r="FB355" s="67">
        <v>0</v>
      </c>
      <c r="FC355" s="67"/>
      <c r="FD355" s="67"/>
      <c r="FE355" s="67"/>
      <c r="FF355" s="67"/>
      <c r="FG355" s="67"/>
      <c r="FH355" s="67"/>
      <c r="FI355" s="67" t="s">
        <v>1734</v>
      </c>
    </row>
    <row r="356" spans="2:165" x14ac:dyDescent="0.2">
      <c r="B356" s="67" t="s">
        <v>974</v>
      </c>
      <c r="C356" s="67"/>
      <c r="D356" s="67" t="s">
        <v>975</v>
      </c>
      <c r="E356" s="67"/>
      <c r="F356" s="67"/>
      <c r="G356" s="67" t="s">
        <v>694</v>
      </c>
      <c r="H356" s="67"/>
      <c r="I356" s="67"/>
      <c r="J356" s="67"/>
      <c r="K356" s="67"/>
      <c r="L356" s="67"/>
      <c r="M356" s="67"/>
      <c r="N356" s="67"/>
      <c r="O356" s="67" t="s">
        <v>1605</v>
      </c>
      <c r="P356" s="67"/>
      <c r="Q356" s="67">
        <v>0</v>
      </c>
      <c r="R356" s="67">
        <v>0</v>
      </c>
      <c r="S356" s="67">
        <v>0</v>
      </c>
      <c r="T356" s="67">
        <v>0</v>
      </c>
      <c r="U356" s="67">
        <v>0</v>
      </c>
      <c r="V356" s="67">
        <v>0</v>
      </c>
      <c r="W356" s="67">
        <v>0</v>
      </c>
      <c r="X356" s="67">
        <v>0</v>
      </c>
      <c r="Y356" s="67">
        <v>0</v>
      </c>
      <c r="Z356" s="67">
        <v>0</v>
      </c>
      <c r="AA356" s="67">
        <v>0</v>
      </c>
      <c r="AB356" s="67">
        <v>0</v>
      </c>
      <c r="AC356" s="67">
        <v>0</v>
      </c>
      <c r="AD356" s="67">
        <v>0</v>
      </c>
      <c r="AE356" s="67">
        <v>0</v>
      </c>
      <c r="AF356" s="67">
        <v>0</v>
      </c>
      <c r="AG356" s="67">
        <v>0</v>
      </c>
      <c r="AH356" s="67">
        <v>0</v>
      </c>
      <c r="AI356" s="67">
        <v>0</v>
      </c>
      <c r="AJ356" s="67">
        <v>0</v>
      </c>
      <c r="AK356" s="67">
        <v>0</v>
      </c>
      <c r="AL356" s="67">
        <v>0</v>
      </c>
      <c r="AM356" s="67">
        <v>0</v>
      </c>
      <c r="AN356" s="67">
        <v>0</v>
      </c>
      <c r="AO356" s="67">
        <v>0</v>
      </c>
      <c r="AP356" s="67">
        <v>0</v>
      </c>
      <c r="AQ356" s="67">
        <v>0</v>
      </c>
      <c r="AR356" s="67">
        <v>0</v>
      </c>
      <c r="AS356" s="67">
        <v>0</v>
      </c>
      <c r="AT356" s="67"/>
      <c r="AU356" s="67"/>
      <c r="AV356" s="67"/>
      <c r="AW356" s="67">
        <v>0</v>
      </c>
      <c r="AX356" s="67">
        <v>0</v>
      </c>
      <c r="AY356" s="67"/>
      <c r="AZ356" s="67"/>
      <c r="BA356" s="67"/>
      <c r="BB356" s="67"/>
      <c r="BC356" s="67"/>
      <c r="BD356" s="67"/>
      <c r="BE356" s="67"/>
      <c r="BG356" s="67"/>
      <c r="BH356" s="67"/>
      <c r="BI356" s="67"/>
      <c r="BJ356" s="67">
        <v>0</v>
      </c>
      <c r="BK356" s="67"/>
      <c r="BL356" s="67"/>
      <c r="BP356" s="67"/>
      <c r="BQ356" s="67">
        <v>0</v>
      </c>
      <c r="BR356" s="67"/>
      <c r="BS356" s="67"/>
      <c r="BT356" s="67">
        <v>0</v>
      </c>
      <c r="BU356" s="67">
        <v>0</v>
      </c>
      <c r="BV356" s="67"/>
      <c r="BW356" s="67"/>
      <c r="BX356" s="67">
        <v>0</v>
      </c>
      <c r="BY356" s="67">
        <v>0</v>
      </c>
      <c r="BZ356" s="67">
        <v>0</v>
      </c>
      <c r="CA356" s="67"/>
      <c r="CB356" s="67">
        <v>0</v>
      </c>
      <c r="CC356" s="67"/>
      <c r="CD356" s="67"/>
      <c r="CE356" s="67">
        <v>0</v>
      </c>
      <c r="CF356" s="67"/>
      <c r="CG356" s="67"/>
      <c r="CH356" s="67"/>
      <c r="CI356" s="67"/>
      <c r="CJ356" s="67"/>
      <c r="CK356" s="67">
        <v>0</v>
      </c>
      <c r="CL356" s="67"/>
      <c r="CM356" s="67"/>
      <c r="CN356" s="67"/>
      <c r="CO356" s="67">
        <v>0</v>
      </c>
      <c r="CP356" s="67"/>
      <c r="CQ356" s="67"/>
      <c r="CR356" s="67"/>
      <c r="CS356" s="67"/>
      <c r="CT356" s="67"/>
      <c r="CU356" s="67">
        <v>0</v>
      </c>
      <c r="CV356" s="67"/>
      <c r="CW356" s="67"/>
      <c r="CX356" s="67"/>
      <c r="CY356" s="67">
        <v>0</v>
      </c>
      <c r="CZ356" s="67"/>
      <c r="DA356" s="67"/>
      <c r="DB356" s="67"/>
      <c r="DC356" s="67"/>
      <c r="DF356" s="67"/>
      <c r="DG356" s="67">
        <v>0</v>
      </c>
      <c r="DH356" s="67">
        <v>0</v>
      </c>
      <c r="DI356" s="67">
        <v>0</v>
      </c>
      <c r="DJ356" s="67"/>
      <c r="DK356" s="67">
        <v>0</v>
      </c>
      <c r="DL356" s="67">
        <v>0</v>
      </c>
      <c r="DM356" s="67">
        <v>0</v>
      </c>
      <c r="DN356" s="67"/>
      <c r="DO356" s="67"/>
      <c r="DP356" s="67"/>
      <c r="DQ356" s="67">
        <v>0</v>
      </c>
      <c r="DR356" s="67">
        <v>0</v>
      </c>
      <c r="DS356" s="67"/>
      <c r="DT356" s="67"/>
      <c r="DU356" s="67">
        <v>0</v>
      </c>
      <c r="DV356" s="67">
        <v>0</v>
      </c>
      <c r="DW356" s="67">
        <v>0</v>
      </c>
      <c r="DX356" s="67">
        <v>0</v>
      </c>
      <c r="DY356" s="67"/>
      <c r="DZ356" s="67">
        <v>0</v>
      </c>
      <c r="EA356" s="67"/>
      <c r="EB356" s="67">
        <v>0</v>
      </c>
      <c r="EC356" s="67"/>
      <c r="ED356" s="67">
        <v>0</v>
      </c>
      <c r="EE356" s="67"/>
      <c r="EF356" s="67">
        <v>0</v>
      </c>
      <c r="EG356" s="67"/>
      <c r="EH356" s="67"/>
      <c r="EI356" s="67"/>
      <c r="EJ356" s="67"/>
      <c r="EK356" s="67"/>
      <c r="EL356" s="67"/>
      <c r="EM356" s="67"/>
      <c r="EN356" s="67"/>
      <c r="EO356" s="67"/>
      <c r="EP356" s="67">
        <v>0</v>
      </c>
      <c r="EQ356" s="67">
        <v>0</v>
      </c>
      <c r="ER356" s="67">
        <v>0</v>
      </c>
      <c r="ES356" s="67"/>
      <c r="ET356">
        <v>0</v>
      </c>
      <c r="EX356" s="67"/>
      <c r="EY356" s="67"/>
      <c r="EZ356" s="67"/>
      <c r="FA356" s="67">
        <v>0</v>
      </c>
      <c r="FB356" s="67">
        <v>0</v>
      </c>
      <c r="FC356" s="67"/>
      <c r="FD356" s="67"/>
      <c r="FE356" s="67"/>
      <c r="FF356" s="67"/>
      <c r="FG356" s="67"/>
      <c r="FH356" s="67"/>
      <c r="FI356" s="67" t="s">
        <v>1734</v>
      </c>
    </row>
    <row r="357" spans="2:165" x14ac:dyDescent="0.2">
      <c r="B357" s="67" t="s">
        <v>976</v>
      </c>
      <c r="C357" s="67"/>
      <c r="D357" s="67" t="s">
        <v>977</v>
      </c>
      <c r="E357" s="67"/>
      <c r="F357" s="67" t="s">
        <v>810</v>
      </c>
      <c r="G357" s="67" t="s">
        <v>694</v>
      </c>
      <c r="H357" s="67"/>
      <c r="I357" s="67" t="s">
        <v>43</v>
      </c>
      <c r="J357" s="67"/>
      <c r="K357" s="67"/>
      <c r="L357" s="67" t="s">
        <v>779</v>
      </c>
      <c r="M357" s="67" t="s">
        <v>752</v>
      </c>
      <c r="N357" s="67"/>
      <c r="O357" s="67" t="s">
        <v>1605</v>
      </c>
      <c r="P357" s="67"/>
      <c r="Q357" s="67">
        <v>0</v>
      </c>
      <c r="R357" s="67">
        <v>0</v>
      </c>
      <c r="S357" s="67">
        <v>0</v>
      </c>
      <c r="T357" s="67">
        <v>0</v>
      </c>
      <c r="U357" s="67">
        <v>0</v>
      </c>
      <c r="V357" s="67">
        <v>0</v>
      </c>
      <c r="W357" s="67">
        <v>0</v>
      </c>
      <c r="X357" s="67">
        <v>0</v>
      </c>
      <c r="Y357" s="67">
        <v>0</v>
      </c>
      <c r="Z357" s="67">
        <v>0</v>
      </c>
      <c r="AA357" s="67">
        <v>0</v>
      </c>
      <c r="AB357" s="67">
        <v>0</v>
      </c>
      <c r="AC357" s="67">
        <v>0</v>
      </c>
      <c r="AD357" s="67">
        <v>0</v>
      </c>
      <c r="AE357" s="67">
        <v>0</v>
      </c>
      <c r="AF357" s="67">
        <v>0</v>
      </c>
      <c r="AG357" s="67">
        <v>0</v>
      </c>
      <c r="AH357" s="67">
        <v>0</v>
      </c>
      <c r="AI357" s="67">
        <v>0</v>
      </c>
      <c r="AJ357" s="67">
        <v>0</v>
      </c>
      <c r="AK357" s="67">
        <v>0</v>
      </c>
      <c r="AL357" s="67">
        <v>0</v>
      </c>
      <c r="AM357" s="67">
        <v>0</v>
      </c>
      <c r="AN357" s="67">
        <v>0</v>
      </c>
      <c r="AO357" s="67">
        <v>0</v>
      </c>
      <c r="AP357" s="67">
        <v>0</v>
      </c>
      <c r="AQ357" s="67">
        <v>0</v>
      </c>
      <c r="AR357" s="67">
        <v>0</v>
      </c>
      <c r="AS357" s="67">
        <v>0</v>
      </c>
      <c r="AT357" s="67"/>
      <c r="AU357" s="67"/>
      <c r="AV357" s="67"/>
      <c r="AW357" s="67">
        <v>0</v>
      </c>
      <c r="AX357" s="67">
        <v>0</v>
      </c>
      <c r="AY357" s="67"/>
      <c r="AZ357" s="67"/>
      <c r="BA357" s="67"/>
      <c r="BB357" s="67"/>
      <c r="BC357" s="67"/>
      <c r="BD357" s="67"/>
      <c r="BE357" s="67"/>
      <c r="BG357" s="67"/>
      <c r="BH357" s="67"/>
      <c r="BI357" s="67"/>
      <c r="BJ357" s="67">
        <v>0</v>
      </c>
      <c r="BK357" s="67"/>
      <c r="BL357" s="67"/>
      <c r="BP357" s="67"/>
      <c r="BQ357" s="67">
        <v>0</v>
      </c>
      <c r="BR357" s="67"/>
      <c r="BS357" s="67"/>
      <c r="BT357" s="67">
        <v>0</v>
      </c>
      <c r="BU357" s="67">
        <v>0</v>
      </c>
      <c r="BV357" s="67"/>
      <c r="BW357" s="67"/>
      <c r="BX357" s="67">
        <v>0</v>
      </c>
      <c r="BY357" s="67">
        <v>0</v>
      </c>
      <c r="BZ357" s="67">
        <v>0</v>
      </c>
      <c r="CA357" s="67"/>
      <c r="CB357" s="67">
        <v>0</v>
      </c>
      <c r="CC357" s="67"/>
      <c r="CD357" s="67"/>
      <c r="CE357" s="67">
        <v>0</v>
      </c>
      <c r="CF357" s="67"/>
      <c r="CG357" s="67"/>
      <c r="CH357" s="67"/>
      <c r="CI357" s="67"/>
      <c r="CJ357" s="67"/>
      <c r="CK357" s="67">
        <v>0</v>
      </c>
      <c r="CL357" s="67"/>
      <c r="CM357" s="67"/>
      <c r="CN357" s="67"/>
      <c r="CO357" s="67">
        <v>0</v>
      </c>
      <c r="CP357" s="67"/>
      <c r="CQ357" s="67"/>
      <c r="CR357" s="67"/>
      <c r="CS357" s="67"/>
      <c r="CT357" s="67"/>
      <c r="CU357" s="67">
        <v>0</v>
      </c>
      <c r="CV357" s="67"/>
      <c r="CW357" s="67"/>
      <c r="CX357" s="67"/>
      <c r="CY357" s="67">
        <v>0</v>
      </c>
      <c r="CZ357" s="67"/>
      <c r="DA357" s="67"/>
      <c r="DB357" s="67"/>
      <c r="DC357" s="67"/>
      <c r="DF357" s="67"/>
      <c r="DG357" s="67">
        <v>0</v>
      </c>
      <c r="DH357" s="67">
        <v>0</v>
      </c>
      <c r="DI357" s="67">
        <v>0</v>
      </c>
      <c r="DJ357" s="67"/>
      <c r="DK357" s="67">
        <v>0</v>
      </c>
      <c r="DL357" s="67">
        <v>0</v>
      </c>
      <c r="DM357" s="67">
        <v>0</v>
      </c>
      <c r="DN357" s="67"/>
      <c r="DO357" s="67"/>
      <c r="DP357" s="67"/>
      <c r="DQ357" s="67">
        <v>0</v>
      </c>
      <c r="DR357" s="67">
        <v>0</v>
      </c>
      <c r="DS357" s="67"/>
      <c r="DT357" s="67"/>
      <c r="DU357" s="67">
        <v>0</v>
      </c>
      <c r="DV357" s="67">
        <v>0</v>
      </c>
      <c r="DW357" s="67">
        <v>0</v>
      </c>
      <c r="DX357" s="67">
        <v>0</v>
      </c>
      <c r="DY357" s="67"/>
      <c r="DZ357" s="67">
        <v>0</v>
      </c>
      <c r="EA357" s="67"/>
      <c r="EB357" s="67">
        <v>0</v>
      </c>
      <c r="EC357" s="67"/>
      <c r="ED357" s="67">
        <v>0</v>
      </c>
      <c r="EE357" s="67"/>
      <c r="EF357" s="67">
        <v>0</v>
      </c>
      <c r="EG357" s="67"/>
      <c r="EH357" s="67"/>
      <c r="EI357" s="67"/>
      <c r="EJ357" s="67"/>
      <c r="EK357" s="67"/>
      <c r="EL357" s="67"/>
      <c r="EM357" s="67"/>
      <c r="EN357" s="67"/>
      <c r="EO357" s="67"/>
      <c r="EP357" s="67">
        <v>0</v>
      </c>
      <c r="EQ357" s="67">
        <v>0</v>
      </c>
      <c r="ER357" s="67">
        <v>0</v>
      </c>
      <c r="ES357" s="67"/>
      <c r="ET357">
        <v>0</v>
      </c>
      <c r="EX357" s="67"/>
      <c r="EY357" s="67"/>
      <c r="EZ357" s="67"/>
      <c r="FA357" s="67">
        <v>0</v>
      </c>
      <c r="FB357" s="67">
        <v>0</v>
      </c>
      <c r="FC357" s="67"/>
      <c r="FD357" s="67"/>
      <c r="FE357" s="67"/>
      <c r="FF357" s="67"/>
      <c r="FG357" s="67"/>
      <c r="FH357" s="67"/>
      <c r="FI357" s="67" t="s">
        <v>1734</v>
      </c>
    </row>
    <row r="358" spans="2:165" x14ac:dyDescent="0.2">
      <c r="B358" s="67" t="s">
        <v>978</v>
      </c>
      <c r="C358" s="67"/>
      <c r="D358" s="67" t="s">
        <v>979</v>
      </c>
      <c r="E358" s="67"/>
      <c r="F358" s="67"/>
      <c r="G358" s="67" t="s">
        <v>694</v>
      </c>
      <c r="H358" s="67"/>
      <c r="I358" s="67"/>
      <c r="J358" s="67"/>
      <c r="K358" s="67"/>
      <c r="L358" s="67" t="s">
        <v>779</v>
      </c>
      <c r="M358" s="67" t="s">
        <v>752</v>
      </c>
      <c r="N358" s="67"/>
      <c r="O358" s="67" t="s">
        <v>1599</v>
      </c>
      <c r="P358" s="67"/>
      <c r="Q358" s="67">
        <v>200</v>
      </c>
      <c r="R358" s="67">
        <v>0</v>
      </c>
      <c r="S358" s="67">
        <v>0</v>
      </c>
      <c r="T358" s="67">
        <v>0</v>
      </c>
      <c r="U358" s="67">
        <v>0</v>
      </c>
      <c r="V358" s="67">
        <v>0</v>
      </c>
      <c r="W358" s="67">
        <v>200</v>
      </c>
      <c r="X358" s="67">
        <v>0</v>
      </c>
      <c r="Y358" s="67">
        <v>0</v>
      </c>
      <c r="Z358" s="67">
        <v>0</v>
      </c>
      <c r="AA358" s="67">
        <v>0</v>
      </c>
      <c r="AB358" s="67">
        <v>0</v>
      </c>
      <c r="AC358" s="67">
        <v>0</v>
      </c>
      <c r="AD358" s="67">
        <v>0</v>
      </c>
      <c r="AE358" s="67">
        <v>0</v>
      </c>
      <c r="AF358" s="67">
        <v>0</v>
      </c>
      <c r="AG358" s="67">
        <v>0</v>
      </c>
      <c r="AH358" s="67">
        <v>0</v>
      </c>
      <c r="AI358" s="67">
        <v>0</v>
      </c>
      <c r="AJ358" s="67">
        <v>0</v>
      </c>
      <c r="AK358" s="67">
        <v>0</v>
      </c>
      <c r="AL358" s="67">
        <v>0</v>
      </c>
      <c r="AM358" s="67">
        <v>0</v>
      </c>
      <c r="AN358" s="67">
        <v>0</v>
      </c>
      <c r="AO358" s="67">
        <v>0</v>
      </c>
      <c r="AP358" s="67">
        <v>0</v>
      </c>
      <c r="AQ358" s="67">
        <v>0</v>
      </c>
      <c r="AR358" s="67">
        <v>0</v>
      </c>
      <c r="AS358" s="67">
        <v>0</v>
      </c>
      <c r="AT358" s="67"/>
      <c r="AU358" s="67"/>
      <c r="AV358" s="67"/>
      <c r="AW358" s="67">
        <v>0</v>
      </c>
      <c r="AX358" s="67">
        <v>0</v>
      </c>
      <c r="AY358" s="67"/>
      <c r="AZ358" s="67"/>
      <c r="BA358" s="67"/>
      <c r="BB358" s="67"/>
      <c r="BC358" s="67"/>
      <c r="BD358" s="67"/>
      <c r="BE358" s="67"/>
      <c r="BG358" s="67"/>
      <c r="BH358" s="67"/>
      <c r="BI358" s="67"/>
      <c r="BJ358" s="67">
        <v>0</v>
      </c>
      <c r="BK358" s="67"/>
      <c r="BL358" s="67"/>
      <c r="BP358" s="67"/>
      <c r="BQ358" s="67">
        <v>0</v>
      </c>
      <c r="BR358" s="67"/>
      <c r="BS358" s="67"/>
      <c r="BT358" s="67">
        <v>0</v>
      </c>
      <c r="BU358" s="67">
        <v>0</v>
      </c>
      <c r="BV358" s="67"/>
      <c r="BW358" s="67"/>
      <c r="BX358" s="67">
        <v>0</v>
      </c>
      <c r="BY358" s="67">
        <v>0</v>
      </c>
      <c r="BZ358" s="67">
        <v>0</v>
      </c>
      <c r="CA358" s="67"/>
      <c r="CB358" s="67">
        <v>0</v>
      </c>
      <c r="CC358" s="67"/>
      <c r="CD358" s="67"/>
      <c r="CE358" s="67">
        <v>0</v>
      </c>
      <c r="CF358" s="67"/>
      <c r="CG358" s="67"/>
      <c r="CH358" s="67"/>
      <c r="CI358" s="67"/>
      <c r="CJ358" s="67"/>
      <c r="CK358" s="67">
        <v>0</v>
      </c>
      <c r="CL358" s="67"/>
      <c r="CM358" s="67"/>
      <c r="CN358" s="67"/>
      <c r="CO358" s="67">
        <v>0</v>
      </c>
      <c r="CP358" s="67"/>
      <c r="CQ358" s="67"/>
      <c r="CR358" s="67"/>
      <c r="CS358" s="67"/>
      <c r="CT358" s="67"/>
      <c r="CU358" s="67">
        <v>0</v>
      </c>
      <c r="CV358" s="67"/>
      <c r="CW358" s="67"/>
      <c r="CX358" s="67"/>
      <c r="CY358" s="67">
        <v>0</v>
      </c>
      <c r="CZ358" s="67"/>
      <c r="DA358" s="67"/>
      <c r="DB358" s="67"/>
      <c r="DC358" s="67"/>
      <c r="DF358" s="67"/>
      <c r="DG358" s="67">
        <v>0</v>
      </c>
      <c r="DH358" s="67">
        <v>0</v>
      </c>
      <c r="DI358" s="67">
        <v>0</v>
      </c>
      <c r="DJ358" s="67"/>
      <c r="DK358" s="67">
        <v>0</v>
      </c>
      <c r="DL358" s="67">
        <v>0</v>
      </c>
      <c r="DM358" s="67">
        <v>0</v>
      </c>
      <c r="DN358" s="67"/>
      <c r="DO358" s="67"/>
      <c r="DP358" s="67"/>
      <c r="DQ358" s="67">
        <v>0</v>
      </c>
      <c r="DR358" s="67">
        <v>0</v>
      </c>
      <c r="DS358" s="67"/>
      <c r="DT358" s="67"/>
      <c r="DU358" s="67">
        <v>0</v>
      </c>
      <c r="DV358" s="67">
        <v>0</v>
      </c>
      <c r="DW358" s="67">
        <v>0</v>
      </c>
      <c r="DX358" s="67">
        <v>0</v>
      </c>
      <c r="DY358" s="67"/>
      <c r="DZ358" s="67">
        <v>0</v>
      </c>
      <c r="EA358" s="67"/>
      <c r="EB358" s="67">
        <v>0</v>
      </c>
      <c r="EC358" s="67"/>
      <c r="ED358" s="67">
        <v>0</v>
      </c>
      <c r="EE358" s="67"/>
      <c r="EF358" s="67">
        <v>0</v>
      </c>
      <c r="EG358" s="67"/>
      <c r="EH358" s="67"/>
      <c r="EI358" s="67"/>
      <c r="EJ358" s="67"/>
      <c r="EK358" s="67"/>
      <c r="EL358" s="67"/>
      <c r="EM358" s="67"/>
      <c r="EN358" s="67"/>
      <c r="EO358" s="67"/>
      <c r="EP358" s="67">
        <v>0</v>
      </c>
      <c r="EQ358" s="67">
        <v>0</v>
      </c>
      <c r="ER358" s="67">
        <v>0</v>
      </c>
      <c r="ES358" s="67"/>
      <c r="ET358">
        <v>0</v>
      </c>
      <c r="EX358" s="67"/>
      <c r="EY358" s="67"/>
      <c r="EZ358" s="67"/>
      <c r="FA358" s="67">
        <v>200</v>
      </c>
      <c r="FB358" s="67">
        <v>0</v>
      </c>
      <c r="FC358" s="67"/>
      <c r="FD358" s="67"/>
      <c r="FE358" s="67"/>
      <c r="FF358" s="67"/>
      <c r="FG358" s="67"/>
      <c r="FH358" s="67"/>
      <c r="FI358" s="67" t="s">
        <v>1734</v>
      </c>
    </row>
    <row r="359" spans="2:165" x14ac:dyDescent="0.2">
      <c r="B359" s="67" t="s">
        <v>980</v>
      </c>
      <c r="C359" s="67"/>
      <c r="D359" s="67" t="s">
        <v>981</v>
      </c>
      <c r="E359" s="67" t="s">
        <v>23</v>
      </c>
      <c r="F359" s="67" t="s">
        <v>933</v>
      </c>
      <c r="G359" s="67" t="s">
        <v>694</v>
      </c>
      <c r="H359" s="67"/>
      <c r="I359" s="67" t="s">
        <v>43</v>
      </c>
      <c r="J359" s="67"/>
      <c r="K359" s="67"/>
      <c r="L359" s="67" t="s">
        <v>787</v>
      </c>
      <c r="M359" s="67" t="s">
        <v>752</v>
      </c>
      <c r="N359" s="67"/>
      <c r="O359" s="67" t="s">
        <v>1605</v>
      </c>
      <c r="P359" s="67"/>
      <c r="Q359" s="67">
        <v>0</v>
      </c>
      <c r="R359" s="67">
        <v>0</v>
      </c>
      <c r="S359" s="67">
        <v>0</v>
      </c>
      <c r="T359" s="67">
        <v>0</v>
      </c>
      <c r="U359" s="67">
        <v>0</v>
      </c>
      <c r="V359" s="67">
        <v>0</v>
      </c>
      <c r="W359" s="67">
        <v>0</v>
      </c>
      <c r="X359" s="67">
        <v>0</v>
      </c>
      <c r="Y359" s="67">
        <v>0</v>
      </c>
      <c r="Z359" s="67">
        <v>0</v>
      </c>
      <c r="AA359" s="67">
        <v>0</v>
      </c>
      <c r="AB359" s="67">
        <v>0</v>
      </c>
      <c r="AC359" s="67">
        <v>0</v>
      </c>
      <c r="AD359" s="67">
        <v>0</v>
      </c>
      <c r="AE359" s="67">
        <v>0</v>
      </c>
      <c r="AF359" s="67">
        <v>0</v>
      </c>
      <c r="AG359" s="67">
        <v>0</v>
      </c>
      <c r="AH359" s="67">
        <v>0</v>
      </c>
      <c r="AI359" s="67">
        <v>0</v>
      </c>
      <c r="AJ359" s="67">
        <v>0</v>
      </c>
      <c r="AK359" s="67">
        <v>0</v>
      </c>
      <c r="AL359" s="67">
        <v>0</v>
      </c>
      <c r="AM359" s="67">
        <v>0</v>
      </c>
      <c r="AN359" s="67">
        <v>0</v>
      </c>
      <c r="AO359" s="67">
        <v>0</v>
      </c>
      <c r="AP359" s="67">
        <v>0</v>
      </c>
      <c r="AQ359" s="67">
        <v>0</v>
      </c>
      <c r="AR359" s="67">
        <v>0</v>
      </c>
      <c r="AS359" s="67">
        <v>0</v>
      </c>
      <c r="AT359" s="67"/>
      <c r="AU359" s="67"/>
      <c r="AV359" s="67"/>
      <c r="AW359" s="67">
        <v>0</v>
      </c>
      <c r="AX359" s="67">
        <v>0</v>
      </c>
      <c r="AY359" s="67"/>
      <c r="AZ359" s="67"/>
      <c r="BA359" s="67"/>
      <c r="BB359" s="67"/>
      <c r="BC359" s="67"/>
      <c r="BD359" s="67"/>
      <c r="BE359" s="67"/>
      <c r="BG359" s="67"/>
      <c r="BH359" s="67"/>
      <c r="BI359" s="67"/>
      <c r="BJ359" s="67">
        <v>0</v>
      </c>
      <c r="BK359" s="67"/>
      <c r="BL359" s="67"/>
      <c r="BP359" s="67"/>
      <c r="BQ359" s="67">
        <v>0</v>
      </c>
      <c r="BR359" s="67"/>
      <c r="BS359" s="67"/>
      <c r="BT359" s="67">
        <v>0</v>
      </c>
      <c r="BU359" s="67">
        <v>0</v>
      </c>
      <c r="BV359" s="67"/>
      <c r="BW359" s="67"/>
      <c r="BX359" s="67">
        <v>0</v>
      </c>
      <c r="BY359" s="67">
        <v>0</v>
      </c>
      <c r="BZ359" s="67">
        <v>0</v>
      </c>
      <c r="CA359" s="67"/>
      <c r="CB359" s="67">
        <v>0</v>
      </c>
      <c r="CC359" s="67"/>
      <c r="CD359" s="67"/>
      <c r="CE359" s="67">
        <v>0</v>
      </c>
      <c r="CF359" s="67"/>
      <c r="CG359" s="67"/>
      <c r="CH359" s="67"/>
      <c r="CI359" s="67"/>
      <c r="CJ359" s="67"/>
      <c r="CK359" s="67">
        <v>0</v>
      </c>
      <c r="CL359" s="67"/>
      <c r="CM359" s="67"/>
      <c r="CN359" s="67"/>
      <c r="CO359" s="67">
        <v>0</v>
      </c>
      <c r="CP359" s="67"/>
      <c r="CQ359" s="67"/>
      <c r="CR359" s="67"/>
      <c r="CS359" s="67"/>
      <c r="CT359" s="67"/>
      <c r="CU359" s="67">
        <v>0</v>
      </c>
      <c r="CV359" s="67"/>
      <c r="CW359" s="67"/>
      <c r="CX359" s="67"/>
      <c r="CY359" s="67">
        <v>0</v>
      </c>
      <c r="CZ359" s="67"/>
      <c r="DA359" s="67"/>
      <c r="DB359" s="67"/>
      <c r="DC359" s="67"/>
      <c r="DF359" s="67"/>
      <c r="DG359" s="67">
        <v>0</v>
      </c>
      <c r="DH359" s="67">
        <v>0</v>
      </c>
      <c r="DI359" s="67">
        <v>0</v>
      </c>
      <c r="DJ359" s="67"/>
      <c r="DK359" s="67">
        <v>0</v>
      </c>
      <c r="DL359" s="67">
        <v>0</v>
      </c>
      <c r="DM359" s="67">
        <v>0</v>
      </c>
      <c r="DN359" s="67"/>
      <c r="DO359" s="67"/>
      <c r="DP359" s="67"/>
      <c r="DQ359" s="67">
        <v>0</v>
      </c>
      <c r="DR359" s="67">
        <v>0</v>
      </c>
      <c r="DS359" s="67"/>
      <c r="DT359" s="67"/>
      <c r="DU359" s="67">
        <v>0</v>
      </c>
      <c r="DV359" s="67">
        <v>0</v>
      </c>
      <c r="DW359" s="67">
        <v>0</v>
      </c>
      <c r="DX359" s="67">
        <v>0</v>
      </c>
      <c r="DY359" s="67"/>
      <c r="DZ359" s="67">
        <v>0</v>
      </c>
      <c r="EA359" s="67"/>
      <c r="EB359" s="67">
        <v>0</v>
      </c>
      <c r="EC359" s="67"/>
      <c r="ED359" s="67">
        <v>0</v>
      </c>
      <c r="EE359" s="67"/>
      <c r="EF359" s="67">
        <v>0</v>
      </c>
      <c r="EG359" s="67"/>
      <c r="EH359" s="67"/>
      <c r="EI359" s="67"/>
      <c r="EJ359" s="67"/>
      <c r="EK359" s="67"/>
      <c r="EL359" s="67"/>
      <c r="EM359" s="67"/>
      <c r="EN359" s="67"/>
      <c r="EO359" s="67"/>
      <c r="EP359" s="67">
        <v>0</v>
      </c>
      <c r="EQ359" s="67">
        <v>0</v>
      </c>
      <c r="ER359" s="67">
        <v>0</v>
      </c>
      <c r="ES359" s="67"/>
      <c r="ET359">
        <v>0</v>
      </c>
      <c r="EX359" s="67"/>
      <c r="EY359" s="67"/>
      <c r="EZ359" s="67"/>
      <c r="FA359" s="67">
        <v>0</v>
      </c>
      <c r="FB359" s="67">
        <v>0</v>
      </c>
      <c r="FC359" s="67"/>
      <c r="FD359" s="67"/>
      <c r="FE359" s="67"/>
      <c r="FF359" s="67"/>
      <c r="FG359" s="67"/>
      <c r="FH359" s="67"/>
      <c r="FI359" s="67" t="s">
        <v>1734</v>
      </c>
    </row>
    <row r="360" spans="2:165" ht="24" x14ac:dyDescent="0.2">
      <c r="B360" s="67" t="s">
        <v>982</v>
      </c>
      <c r="C360" s="67"/>
      <c r="D360" s="67" t="s">
        <v>983</v>
      </c>
      <c r="E360" s="67" t="s">
        <v>13</v>
      </c>
      <c r="F360" s="67" t="s">
        <v>984</v>
      </c>
      <c r="G360" s="67" t="s">
        <v>694</v>
      </c>
      <c r="H360" s="67"/>
      <c r="I360" s="67" t="s">
        <v>41</v>
      </c>
      <c r="J360" s="67"/>
      <c r="K360" s="67"/>
      <c r="L360" s="67" t="s">
        <v>934</v>
      </c>
      <c r="M360" s="67" t="s">
        <v>752</v>
      </c>
      <c r="N360" s="67"/>
      <c r="O360" s="67" t="s">
        <v>1599</v>
      </c>
      <c r="P360" s="67"/>
      <c r="Q360" s="67">
        <v>1250</v>
      </c>
      <c r="R360" s="67">
        <v>0</v>
      </c>
      <c r="S360" s="67">
        <v>1250</v>
      </c>
      <c r="T360" s="67">
        <v>0</v>
      </c>
      <c r="U360" s="67">
        <v>0</v>
      </c>
      <c r="V360" s="67">
        <v>0</v>
      </c>
      <c r="W360" s="67">
        <v>0</v>
      </c>
      <c r="X360" s="67">
        <v>0</v>
      </c>
      <c r="Y360" s="67">
        <v>0</v>
      </c>
      <c r="Z360" s="67">
        <v>0</v>
      </c>
      <c r="AA360" s="67">
        <v>0</v>
      </c>
      <c r="AB360" s="67">
        <v>0</v>
      </c>
      <c r="AC360" s="67">
        <v>0</v>
      </c>
      <c r="AD360" s="67">
        <v>0</v>
      </c>
      <c r="AE360" s="67">
        <v>0</v>
      </c>
      <c r="AF360" s="67">
        <v>0</v>
      </c>
      <c r="AG360" s="67">
        <v>0</v>
      </c>
      <c r="AH360" s="67">
        <v>0</v>
      </c>
      <c r="AI360" s="67">
        <v>0</v>
      </c>
      <c r="AJ360" s="67">
        <v>0</v>
      </c>
      <c r="AK360" s="67">
        <v>0</v>
      </c>
      <c r="AL360" s="67">
        <v>0</v>
      </c>
      <c r="AM360" s="67">
        <v>0</v>
      </c>
      <c r="AN360" s="67">
        <v>0</v>
      </c>
      <c r="AO360" s="67">
        <v>0</v>
      </c>
      <c r="AP360" s="67">
        <v>0</v>
      </c>
      <c r="AQ360" s="67">
        <v>0</v>
      </c>
      <c r="AR360" s="67">
        <v>0</v>
      </c>
      <c r="AS360" s="67">
        <v>0</v>
      </c>
      <c r="AT360" s="67"/>
      <c r="AU360" s="67"/>
      <c r="AV360" s="67"/>
      <c r="AW360" s="67">
        <v>0</v>
      </c>
      <c r="AX360" s="67">
        <v>0</v>
      </c>
      <c r="AY360" s="67"/>
      <c r="AZ360" s="67"/>
      <c r="BA360" s="67"/>
      <c r="BB360" s="67"/>
      <c r="BC360" s="67"/>
      <c r="BD360" s="67"/>
      <c r="BE360" s="67"/>
      <c r="BG360" s="67"/>
      <c r="BH360" s="67"/>
      <c r="BI360" s="67"/>
      <c r="BJ360" s="67">
        <v>0</v>
      </c>
      <c r="BK360" s="67"/>
      <c r="BL360" s="67"/>
      <c r="BP360" s="67"/>
      <c r="BQ360" s="67">
        <v>0</v>
      </c>
      <c r="BR360" s="67"/>
      <c r="BS360" s="67"/>
      <c r="BT360" s="67">
        <v>0</v>
      </c>
      <c r="BU360" s="67">
        <v>0</v>
      </c>
      <c r="BV360" s="67"/>
      <c r="BW360" s="67"/>
      <c r="BX360" s="67">
        <v>0</v>
      </c>
      <c r="BY360" s="67">
        <v>0</v>
      </c>
      <c r="BZ360" s="67">
        <v>0</v>
      </c>
      <c r="CA360" s="67"/>
      <c r="CB360" s="67">
        <v>0</v>
      </c>
      <c r="CC360" s="67"/>
      <c r="CD360" s="67"/>
      <c r="CE360" s="67">
        <v>0</v>
      </c>
      <c r="CF360" s="67"/>
      <c r="CG360" s="67"/>
      <c r="CH360" s="67"/>
      <c r="CI360" s="67"/>
      <c r="CJ360" s="67"/>
      <c r="CK360" s="67">
        <v>0</v>
      </c>
      <c r="CL360" s="67"/>
      <c r="CM360" s="67"/>
      <c r="CN360" s="67"/>
      <c r="CO360" s="67">
        <v>0</v>
      </c>
      <c r="CP360" s="67"/>
      <c r="CQ360" s="67"/>
      <c r="CR360" s="67"/>
      <c r="CS360" s="67"/>
      <c r="CT360" s="67"/>
      <c r="CU360" s="67">
        <v>0</v>
      </c>
      <c r="CV360" s="67"/>
      <c r="CW360" s="67"/>
      <c r="CX360" s="67"/>
      <c r="CY360" s="67">
        <v>0</v>
      </c>
      <c r="CZ360" s="67"/>
      <c r="DA360" s="67"/>
      <c r="DB360" s="67"/>
      <c r="DC360" s="67"/>
      <c r="DF360" s="67"/>
      <c r="DG360" s="67">
        <v>0</v>
      </c>
      <c r="DH360" s="67">
        <v>0</v>
      </c>
      <c r="DI360" s="67">
        <v>0</v>
      </c>
      <c r="DJ360" s="67"/>
      <c r="DK360" s="67">
        <v>0</v>
      </c>
      <c r="DL360" s="67">
        <v>0</v>
      </c>
      <c r="DM360" s="67">
        <v>0</v>
      </c>
      <c r="DN360" s="67"/>
      <c r="DO360" s="67"/>
      <c r="DP360" s="67"/>
      <c r="DQ360" s="67">
        <v>0</v>
      </c>
      <c r="DR360" s="67">
        <v>0</v>
      </c>
      <c r="DS360" s="67"/>
      <c r="DT360" s="67"/>
      <c r="DU360" s="67">
        <v>0</v>
      </c>
      <c r="DV360" s="67">
        <v>0</v>
      </c>
      <c r="DW360" s="67">
        <v>0</v>
      </c>
      <c r="DX360" s="67">
        <v>0</v>
      </c>
      <c r="DY360" s="67"/>
      <c r="DZ360" s="67">
        <v>0</v>
      </c>
      <c r="EA360" s="67"/>
      <c r="EB360" s="67">
        <v>0</v>
      </c>
      <c r="EC360" s="67"/>
      <c r="ED360" s="67">
        <v>0</v>
      </c>
      <c r="EE360" s="67"/>
      <c r="EF360" s="67">
        <v>0</v>
      </c>
      <c r="EG360" s="67"/>
      <c r="EH360" s="67"/>
      <c r="EI360" s="67"/>
      <c r="EJ360" s="67"/>
      <c r="EK360" s="67"/>
      <c r="EL360" s="67"/>
      <c r="EM360" s="67"/>
      <c r="EN360" s="67"/>
      <c r="EO360" s="67"/>
      <c r="EP360" s="67">
        <v>0</v>
      </c>
      <c r="EQ360" s="67">
        <v>0</v>
      </c>
      <c r="ER360" s="67">
        <v>0</v>
      </c>
      <c r="ES360" s="67"/>
      <c r="ET360">
        <v>0</v>
      </c>
      <c r="EX360" s="67"/>
      <c r="EY360" s="67"/>
      <c r="EZ360" s="67"/>
      <c r="FA360" s="67">
        <v>1250</v>
      </c>
      <c r="FB360" s="67">
        <v>0</v>
      </c>
      <c r="FC360" s="67"/>
      <c r="FD360" s="67"/>
      <c r="FE360" s="67"/>
      <c r="FF360" s="67"/>
      <c r="FG360" s="67"/>
      <c r="FH360" s="67"/>
      <c r="FI360" s="67" t="s">
        <v>1734</v>
      </c>
    </row>
    <row r="361" spans="2:165" ht="24" x14ac:dyDescent="0.2">
      <c r="B361" s="67" t="s">
        <v>986</v>
      </c>
      <c r="C361" s="67"/>
      <c r="D361" s="67" t="s">
        <v>987</v>
      </c>
      <c r="E361" s="67" t="s">
        <v>13</v>
      </c>
      <c r="F361" s="67" t="s">
        <v>984</v>
      </c>
      <c r="G361" s="67" t="s">
        <v>694</v>
      </c>
      <c r="H361" s="67"/>
      <c r="I361" s="67" t="s">
        <v>41</v>
      </c>
      <c r="J361" s="67"/>
      <c r="K361" s="67"/>
      <c r="L361" s="67" t="s">
        <v>934</v>
      </c>
      <c r="M361" s="67" t="s">
        <v>752</v>
      </c>
      <c r="N361" s="67"/>
      <c r="O361" s="67" t="s">
        <v>1605</v>
      </c>
      <c r="P361" s="67"/>
      <c r="Q361" s="67">
        <v>0</v>
      </c>
      <c r="R361" s="67">
        <v>0</v>
      </c>
      <c r="S361" s="67">
        <v>0</v>
      </c>
      <c r="T361" s="67">
        <v>0</v>
      </c>
      <c r="U361" s="67">
        <v>0</v>
      </c>
      <c r="V361" s="67">
        <v>0</v>
      </c>
      <c r="W361" s="67">
        <v>0</v>
      </c>
      <c r="X361" s="67">
        <v>0</v>
      </c>
      <c r="Y361" s="67">
        <v>0</v>
      </c>
      <c r="Z361" s="67">
        <v>0</v>
      </c>
      <c r="AA361" s="67">
        <v>0</v>
      </c>
      <c r="AB361" s="67">
        <v>0</v>
      </c>
      <c r="AC361" s="67">
        <v>0</v>
      </c>
      <c r="AD361" s="67">
        <v>0</v>
      </c>
      <c r="AE361" s="67">
        <v>0</v>
      </c>
      <c r="AF361" s="67">
        <v>0</v>
      </c>
      <c r="AG361" s="67">
        <v>0</v>
      </c>
      <c r="AH361" s="67">
        <v>0</v>
      </c>
      <c r="AI361" s="67">
        <v>0</v>
      </c>
      <c r="AJ361" s="67">
        <v>0</v>
      </c>
      <c r="AK361" s="67">
        <v>0</v>
      </c>
      <c r="AL361" s="67">
        <v>0</v>
      </c>
      <c r="AM361" s="67">
        <v>0</v>
      </c>
      <c r="AN361" s="67">
        <v>0</v>
      </c>
      <c r="AO361" s="67">
        <v>0</v>
      </c>
      <c r="AP361" s="67">
        <v>0</v>
      </c>
      <c r="AQ361" s="67">
        <v>0</v>
      </c>
      <c r="AR361" s="67">
        <v>0</v>
      </c>
      <c r="AS361" s="67">
        <v>0</v>
      </c>
      <c r="AT361" s="67"/>
      <c r="AU361" s="67"/>
      <c r="AV361" s="67"/>
      <c r="AW361" s="67">
        <v>0</v>
      </c>
      <c r="AX361" s="67">
        <v>0</v>
      </c>
      <c r="AY361" s="67"/>
      <c r="AZ361" s="67"/>
      <c r="BA361" s="67"/>
      <c r="BB361" s="67"/>
      <c r="BC361" s="67"/>
      <c r="BD361" s="67"/>
      <c r="BE361" s="67"/>
      <c r="BG361" s="67"/>
      <c r="BH361" s="67"/>
      <c r="BI361" s="67"/>
      <c r="BJ361" s="67">
        <v>0</v>
      </c>
      <c r="BK361" s="67"/>
      <c r="BL361" s="67"/>
      <c r="BP361" s="67"/>
      <c r="BQ361" s="67">
        <v>0</v>
      </c>
      <c r="BR361" s="67"/>
      <c r="BS361" s="67"/>
      <c r="BT361" s="67">
        <v>0</v>
      </c>
      <c r="BU361" s="67">
        <v>0</v>
      </c>
      <c r="BV361" s="67"/>
      <c r="BW361" s="67"/>
      <c r="BX361" s="67">
        <v>0</v>
      </c>
      <c r="BY361" s="67">
        <v>0</v>
      </c>
      <c r="BZ361" s="67">
        <v>0</v>
      </c>
      <c r="CA361" s="67"/>
      <c r="CB361" s="67">
        <v>0</v>
      </c>
      <c r="CC361" s="67"/>
      <c r="CD361" s="67"/>
      <c r="CE361" s="67">
        <v>0</v>
      </c>
      <c r="CF361" s="67"/>
      <c r="CG361" s="67"/>
      <c r="CH361" s="67"/>
      <c r="CI361" s="67"/>
      <c r="CJ361" s="67"/>
      <c r="CK361" s="67">
        <v>0</v>
      </c>
      <c r="CL361" s="67"/>
      <c r="CM361" s="67"/>
      <c r="CN361" s="67"/>
      <c r="CO361" s="67">
        <v>0</v>
      </c>
      <c r="CP361" s="67"/>
      <c r="CQ361" s="67"/>
      <c r="CR361" s="67"/>
      <c r="CS361" s="67"/>
      <c r="CT361" s="67"/>
      <c r="CU361" s="67">
        <v>0</v>
      </c>
      <c r="CV361" s="67"/>
      <c r="CW361" s="67"/>
      <c r="CX361" s="67"/>
      <c r="CY361" s="67">
        <v>0</v>
      </c>
      <c r="CZ361" s="67"/>
      <c r="DA361" s="67"/>
      <c r="DB361" s="67"/>
      <c r="DC361" s="67"/>
      <c r="DF361" s="67"/>
      <c r="DG361" s="67">
        <v>0</v>
      </c>
      <c r="DH361" s="67">
        <v>0</v>
      </c>
      <c r="DI361" s="67">
        <v>0</v>
      </c>
      <c r="DJ361" s="67"/>
      <c r="DK361" s="67">
        <v>0</v>
      </c>
      <c r="DL361" s="67">
        <v>0</v>
      </c>
      <c r="DM361" s="67">
        <v>0</v>
      </c>
      <c r="DN361" s="67"/>
      <c r="DO361" s="67"/>
      <c r="DP361" s="67"/>
      <c r="DQ361" s="67">
        <v>0</v>
      </c>
      <c r="DR361" s="67">
        <v>0</v>
      </c>
      <c r="DS361" s="67"/>
      <c r="DT361" s="67"/>
      <c r="DU361" s="67">
        <v>0</v>
      </c>
      <c r="DV361" s="67">
        <v>0</v>
      </c>
      <c r="DW361" s="67">
        <v>0</v>
      </c>
      <c r="DX361" s="67">
        <v>0</v>
      </c>
      <c r="DY361" s="67"/>
      <c r="DZ361" s="67">
        <v>0</v>
      </c>
      <c r="EA361" s="67"/>
      <c r="EB361" s="67">
        <v>0</v>
      </c>
      <c r="EC361" s="67"/>
      <c r="ED361" s="67">
        <v>0</v>
      </c>
      <c r="EE361" s="67"/>
      <c r="EF361" s="67">
        <v>0</v>
      </c>
      <c r="EG361" s="67"/>
      <c r="EH361" s="67"/>
      <c r="EI361" s="67"/>
      <c r="EJ361" s="67"/>
      <c r="EK361" s="67"/>
      <c r="EL361" s="67"/>
      <c r="EM361" s="67"/>
      <c r="EN361" s="67"/>
      <c r="EO361" s="67"/>
      <c r="EP361" s="67">
        <v>0</v>
      </c>
      <c r="EQ361" s="67">
        <v>0</v>
      </c>
      <c r="ER361" s="67">
        <v>0</v>
      </c>
      <c r="ES361" s="67"/>
      <c r="ET361">
        <v>0</v>
      </c>
      <c r="EX361" s="67"/>
      <c r="EY361" s="67"/>
      <c r="EZ361" s="67"/>
      <c r="FA361" s="67">
        <v>0</v>
      </c>
      <c r="FB361" s="67">
        <v>0</v>
      </c>
      <c r="FC361" s="67"/>
      <c r="FD361" s="67"/>
      <c r="FE361" s="67"/>
      <c r="FF361" s="67"/>
      <c r="FG361" s="67"/>
      <c r="FH361" s="67"/>
      <c r="FI361" s="67" t="s">
        <v>1734</v>
      </c>
    </row>
    <row r="362" spans="2:165" x14ac:dyDescent="0.2">
      <c r="B362" s="67" t="s">
        <v>988</v>
      </c>
      <c r="C362" s="67"/>
      <c r="D362" s="67" t="s">
        <v>989</v>
      </c>
      <c r="E362" s="67"/>
      <c r="F362" s="67"/>
      <c r="G362" s="67" t="s">
        <v>694</v>
      </c>
      <c r="H362" s="67"/>
      <c r="I362" s="67"/>
      <c r="J362" s="67"/>
      <c r="K362" s="67"/>
      <c r="L362" s="67"/>
      <c r="M362" s="67"/>
      <c r="N362" s="67"/>
      <c r="O362" s="67" t="s">
        <v>1605</v>
      </c>
      <c r="P362" s="67"/>
      <c r="Q362" s="67">
        <v>0</v>
      </c>
      <c r="R362" s="67">
        <v>0</v>
      </c>
      <c r="S362" s="67">
        <v>0</v>
      </c>
      <c r="T362" s="67">
        <v>0</v>
      </c>
      <c r="U362" s="67">
        <v>0</v>
      </c>
      <c r="V362" s="67">
        <v>0</v>
      </c>
      <c r="W362" s="67">
        <v>0</v>
      </c>
      <c r="X362" s="67">
        <v>0</v>
      </c>
      <c r="Y362" s="67">
        <v>0</v>
      </c>
      <c r="Z362" s="67">
        <v>0</v>
      </c>
      <c r="AA362" s="67">
        <v>0</v>
      </c>
      <c r="AB362" s="67">
        <v>0</v>
      </c>
      <c r="AC362" s="67">
        <v>0</v>
      </c>
      <c r="AD362" s="67">
        <v>0</v>
      </c>
      <c r="AE362" s="67">
        <v>0</v>
      </c>
      <c r="AF362" s="67">
        <v>0</v>
      </c>
      <c r="AG362" s="67">
        <v>0</v>
      </c>
      <c r="AH362" s="67">
        <v>0</v>
      </c>
      <c r="AI362" s="67">
        <v>0</v>
      </c>
      <c r="AJ362" s="67">
        <v>0</v>
      </c>
      <c r="AK362" s="67">
        <v>0</v>
      </c>
      <c r="AL362" s="67">
        <v>0</v>
      </c>
      <c r="AM362" s="67">
        <v>0</v>
      </c>
      <c r="AN362" s="67">
        <v>0</v>
      </c>
      <c r="AO362" s="67">
        <v>0</v>
      </c>
      <c r="AP362" s="67">
        <v>0</v>
      </c>
      <c r="AQ362" s="67">
        <v>0</v>
      </c>
      <c r="AR362" s="67">
        <v>0</v>
      </c>
      <c r="AS362" s="67">
        <v>0</v>
      </c>
      <c r="AT362" s="67"/>
      <c r="AU362" s="67"/>
      <c r="AV362" s="67"/>
      <c r="AW362" s="67">
        <v>0</v>
      </c>
      <c r="AX362" s="67">
        <v>0</v>
      </c>
      <c r="AY362" s="67"/>
      <c r="AZ362" s="67"/>
      <c r="BA362" s="67"/>
      <c r="BB362" s="67"/>
      <c r="BC362" s="67"/>
      <c r="BD362" s="67"/>
      <c r="BE362" s="67"/>
      <c r="BG362" s="67"/>
      <c r="BH362" s="67"/>
      <c r="BI362" s="67"/>
      <c r="BJ362" s="67">
        <v>0</v>
      </c>
      <c r="BK362" s="67"/>
      <c r="BL362" s="67"/>
      <c r="BP362" s="67"/>
      <c r="BQ362" s="67">
        <v>0</v>
      </c>
      <c r="BR362" s="67"/>
      <c r="BS362" s="67"/>
      <c r="BT362" s="67">
        <v>0</v>
      </c>
      <c r="BU362" s="67">
        <v>0</v>
      </c>
      <c r="BV362" s="67"/>
      <c r="BW362" s="67"/>
      <c r="BX362" s="67">
        <v>0</v>
      </c>
      <c r="BY362" s="67">
        <v>0</v>
      </c>
      <c r="BZ362" s="67">
        <v>0</v>
      </c>
      <c r="CA362" s="67"/>
      <c r="CB362" s="67">
        <v>0</v>
      </c>
      <c r="CC362" s="67"/>
      <c r="CD362" s="67"/>
      <c r="CE362" s="67">
        <v>0</v>
      </c>
      <c r="CF362" s="67"/>
      <c r="CG362" s="67"/>
      <c r="CH362" s="67"/>
      <c r="CI362" s="67"/>
      <c r="CJ362" s="67"/>
      <c r="CK362" s="67">
        <v>0</v>
      </c>
      <c r="CL362" s="67"/>
      <c r="CM362" s="67"/>
      <c r="CN362" s="67"/>
      <c r="CO362" s="67">
        <v>0</v>
      </c>
      <c r="CP362" s="67"/>
      <c r="CQ362" s="67"/>
      <c r="CR362" s="67"/>
      <c r="CS362" s="67"/>
      <c r="CT362" s="67"/>
      <c r="CU362" s="67">
        <v>0</v>
      </c>
      <c r="CV362" s="67"/>
      <c r="CW362" s="67"/>
      <c r="CX362" s="67"/>
      <c r="CY362" s="67">
        <v>0</v>
      </c>
      <c r="CZ362" s="67"/>
      <c r="DA362" s="67"/>
      <c r="DB362" s="67"/>
      <c r="DC362" s="67"/>
      <c r="DF362" s="67"/>
      <c r="DG362" s="67">
        <v>0</v>
      </c>
      <c r="DH362" s="67">
        <v>0</v>
      </c>
      <c r="DI362" s="67">
        <v>0</v>
      </c>
      <c r="DJ362" s="67"/>
      <c r="DK362" s="67">
        <v>0</v>
      </c>
      <c r="DL362" s="67">
        <v>0</v>
      </c>
      <c r="DM362" s="67">
        <v>0</v>
      </c>
      <c r="DN362" s="67"/>
      <c r="DO362" s="67"/>
      <c r="DP362" s="67"/>
      <c r="DQ362" s="67">
        <v>0</v>
      </c>
      <c r="DR362" s="67">
        <v>0</v>
      </c>
      <c r="DS362" s="67"/>
      <c r="DT362" s="67"/>
      <c r="DU362" s="67">
        <v>0</v>
      </c>
      <c r="DV362" s="67">
        <v>0</v>
      </c>
      <c r="DW362" s="67">
        <v>0</v>
      </c>
      <c r="DX362" s="67">
        <v>0</v>
      </c>
      <c r="DY362" s="67"/>
      <c r="DZ362" s="67">
        <v>0</v>
      </c>
      <c r="EA362" s="67"/>
      <c r="EB362" s="67">
        <v>0</v>
      </c>
      <c r="EC362" s="67"/>
      <c r="ED362" s="67">
        <v>0</v>
      </c>
      <c r="EE362" s="67"/>
      <c r="EF362" s="67">
        <v>0</v>
      </c>
      <c r="EG362" s="67"/>
      <c r="EH362" s="67"/>
      <c r="EI362" s="67"/>
      <c r="EJ362" s="67"/>
      <c r="EK362" s="67"/>
      <c r="EL362" s="67"/>
      <c r="EM362" s="67"/>
      <c r="EN362" s="67"/>
      <c r="EO362" s="67"/>
      <c r="EP362" s="67">
        <v>0</v>
      </c>
      <c r="EQ362" s="67">
        <v>0</v>
      </c>
      <c r="ER362" s="67">
        <v>0</v>
      </c>
      <c r="ES362" s="67"/>
      <c r="ET362">
        <v>0</v>
      </c>
      <c r="EX362" s="67"/>
      <c r="EY362" s="67"/>
      <c r="EZ362" s="67"/>
      <c r="FA362" s="67">
        <v>0</v>
      </c>
      <c r="FB362" s="67">
        <v>0</v>
      </c>
      <c r="FC362" s="67"/>
      <c r="FD362" s="67"/>
      <c r="FE362" s="67"/>
      <c r="FF362" s="67"/>
      <c r="FG362" s="67"/>
      <c r="FH362" s="67"/>
      <c r="FI362" s="67" t="s">
        <v>1734</v>
      </c>
    </row>
    <row r="363" spans="2:165" ht="24" x14ac:dyDescent="0.2">
      <c r="B363" s="67" t="s">
        <v>990</v>
      </c>
      <c r="C363" s="67"/>
      <c r="D363" s="67" t="s">
        <v>991</v>
      </c>
      <c r="E363" s="67" t="s">
        <v>13</v>
      </c>
      <c r="F363" s="67" t="s">
        <v>984</v>
      </c>
      <c r="G363" s="67" t="s">
        <v>694</v>
      </c>
      <c r="H363" s="67"/>
      <c r="I363" s="67" t="s">
        <v>41</v>
      </c>
      <c r="J363" s="67"/>
      <c r="K363" s="67"/>
      <c r="L363" s="67" t="s">
        <v>934</v>
      </c>
      <c r="M363" s="67" t="s">
        <v>752</v>
      </c>
      <c r="N363" s="67"/>
      <c r="O363" s="67" t="s">
        <v>1605</v>
      </c>
      <c r="P363" s="67"/>
      <c r="Q363" s="67">
        <v>0</v>
      </c>
      <c r="R363" s="67">
        <v>0</v>
      </c>
      <c r="S363" s="67">
        <v>0</v>
      </c>
      <c r="T363" s="67">
        <v>0</v>
      </c>
      <c r="U363" s="67">
        <v>0</v>
      </c>
      <c r="V363" s="67">
        <v>0</v>
      </c>
      <c r="W363" s="67">
        <v>0</v>
      </c>
      <c r="X363" s="67">
        <v>0</v>
      </c>
      <c r="Y363" s="67">
        <v>0</v>
      </c>
      <c r="Z363" s="67">
        <v>0</v>
      </c>
      <c r="AA363" s="67">
        <v>0</v>
      </c>
      <c r="AB363" s="67">
        <v>0</v>
      </c>
      <c r="AC363" s="67">
        <v>0</v>
      </c>
      <c r="AD363" s="67">
        <v>0</v>
      </c>
      <c r="AE363" s="67">
        <v>0</v>
      </c>
      <c r="AF363" s="67">
        <v>0</v>
      </c>
      <c r="AG363" s="67">
        <v>0</v>
      </c>
      <c r="AH363" s="67">
        <v>0</v>
      </c>
      <c r="AI363" s="67">
        <v>0</v>
      </c>
      <c r="AJ363" s="67">
        <v>0</v>
      </c>
      <c r="AK363" s="67">
        <v>0</v>
      </c>
      <c r="AL363" s="67">
        <v>0</v>
      </c>
      <c r="AM363" s="67">
        <v>0</v>
      </c>
      <c r="AN363" s="67">
        <v>0</v>
      </c>
      <c r="AO363" s="67">
        <v>0</v>
      </c>
      <c r="AP363" s="67">
        <v>0</v>
      </c>
      <c r="AQ363" s="67">
        <v>0</v>
      </c>
      <c r="AR363" s="67">
        <v>0</v>
      </c>
      <c r="AS363" s="67">
        <v>0</v>
      </c>
      <c r="AT363" s="67"/>
      <c r="AU363" s="67"/>
      <c r="AV363" s="67"/>
      <c r="AW363" s="67">
        <v>0</v>
      </c>
      <c r="AX363" s="67">
        <v>0</v>
      </c>
      <c r="AY363" s="67"/>
      <c r="AZ363" s="67"/>
      <c r="BA363" s="67"/>
      <c r="BB363" s="67"/>
      <c r="BC363" s="67"/>
      <c r="BD363" s="67"/>
      <c r="BE363" s="67"/>
      <c r="BG363" s="67"/>
      <c r="BH363" s="67"/>
      <c r="BI363" s="67"/>
      <c r="BJ363" s="67">
        <v>0</v>
      </c>
      <c r="BK363" s="67"/>
      <c r="BL363" s="67"/>
      <c r="BP363" s="67"/>
      <c r="BQ363" s="67">
        <v>0</v>
      </c>
      <c r="BR363" s="67"/>
      <c r="BS363" s="67"/>
      <c r="BT363" s="67">
        <v>0</v>
      </c>
      <c r="BU363" s="67">
        <v>0</v>
      </c>
      <c r="BV363" s="67"/>
      <c r="BW363" s="67"/>
      <c r="BX363" s="67">
        <v>0</v>
      </c>
      <c r="BY363" s="67">
        <v>0</v>
      </c>
      <c r="BZ363" s="67">
        <v>0</v>
      </c>
      <c r="CA363" s="67"/>
      <c r="CB363" s="67">
        <v>0</v>
      </c>
      <c r="CC363" s="67"/>
      <c r="CD363" s="67"/>
      <c r="CE363" s="67">
        <v>0</v>
      </c>
      <c r="CF363" s="67"/>
      <c r="CG363" s="67"/>
      <c r="CH363" s="67"/>
      <c r="CI363" s="67"/>
      <c r="CJ363" s="67"/>
      <c r="CK363" s="67">
        <v>0</v>
      </c>
      <c r="CL363" s="67"/>
      <c r="CM363" s="67"/>
      <c r="CN363" s="67"/>
      <c r="CO363" s="67">
        <v>0</v>
      </c>
      <c r="CP363" s="67"/>
      <c r="CQ363" s="67"/>
      <c r="CR363" s="67"/>
      <c r="CS363" s="67"/>
      <c r="CT363" s="67"/>
      <c r="CU363" s="67">
        <v>0</v>
      </c>
      <c r="CV363" s="67"/>
      <c r="CW363" s="67"/>
      <c r="CX363" s="67"/>
      <c r="CY363" s="67">
        <v>0</v>
      </c>
      <c r="CZ363" s="67"/>
      <c r="DA363" s="67"/>
      <c r="DB363" s="67"/>
      <c r="DC363" s="67"/>
      <c r="DF363" s="67"/>
      <c r="DG363" s="67">
        <v>0</v>
      </c>
      <c r="DH363" s="67">
        <v>0</v>
      </c>
      <c r="DI363" s="67">
        <v>0</v>
      </c>
      <c r="DJ363" s="67"/>
      <c r="DK363" s="67">
        <v>0</v>
      </c>
      <c r="DL363" s="67">
        <v>0</v>
      </c>
      <c r="DM363" s="67">
        <v>0</v>
      </c>
      <c r="DN363" s="67"/>
      <c r="DO363" s="67"/>
      <c r="DP363" s="67"/>
      <c r="DQ363" s="67">
        <v>0</v>
      </c>
      <c r="DR363" s="67">
        <v>0</v>
      </c>
      <c r="DS363" s="67"/>
      <c r="DT363" s="67"/>
      <c r="DU363" s="67">
        <v>0</v>
      </c>
      <c r="DV363" s="67">
        <v>0</v>
      </c>
      <c r="DW363" s="67">
        <v>0</v>
      </c>
      <c r="DX363" s="67">
        <v>0</v>
      </c>
      <c r="DY363" s="67"/>
      <c r="DZ363" s="67">
        <v>0</v>
      </c>
      <c r="EA363" s="67"/>
      <c r="EB363" s="67">
        <v>0</v>
      </c>
      <c r="EC363" s="67"/>
      <c r="ED363" s="67">
        <v>0</v>
      </c>
      <c r="EE363" s="67"/>
      <c r="EF363" s="67">
        <v>0</v>
      </c>
      <c r="EG363" s="67"/>
      <c r="EH363" s="67"/>
      <c r="EI363" s="67"/>
      <c r="EJ363" s="67"/>
      <c r="EK363" s="67"/>
      <c r="EL363" s="67"/>
      <c r="EM363" s="67"/>
      <c r="EN363" s="67"/>
      <c r="EO363" s="67"/>
      <c r="EP363" s="67">
        <v>0</v>
      </c>
      <c r="EQ363" s="67">
        <v>0</v>
      </c>
      <c r="ER363" s="67">
        <v>0</v>
      </c>
      <c r="ES363" s="67"/>
      <c r="ET363">
        <v>0</v>
      </c>
      <c r="EX363" s="67"/>
      <c r="EY363" s="67"/>
      <c r="EZ363" s="67"/>
      <c r="FA363" s="67">
        <v>0</v>
      </c>
      <c r="FB363" s="67">
        <v>0</v>
      </c>
      <c r="FC363" s="67"/>
      <c r="FD363" s="67"/>
      <c r="FE363" s="67"/>
      <c r="FF363" s="67"/>
      <c r="FG363" s="67"/>
      <c r="FH363" s="67"/>
      <c r="FI363" s="67" t="s">
        <v>1734</v>
      </c>
    </row>
    <row r="364" spans="2:165" x14ac:dyDescent="0.2">
      <c r="B364" s="67" t="s">
        <v>992</v>
      </c>
      <c r="C364" s="67"/>
      <c r="D364" s="67" t="s">
        <v>993</v>
      </c>
      <c r="E364" s="67"/>
      <c r="F364" s="67"/>
      <c r="G364" s="67" t="s">
        <v>694</v>
      </c>
      <c r="H364" s="67"/>
      <c r="I364" s="67"/>
      <c r="J364" s="67"/>
      <c r="K364" s="67"/>
      <c r="L364" s="67"/>
      <c r="M364" s="67"/>
      <c r="N364" s="67"/>
      <c r="O364" s="67" t="s">
        <v>1605</v>
      </c>
      <c r="P364" s="67"/>
      <c r="Q364" s="67">
        <v>0</v>
      </c>
      <c r="R364" s="67">
        <v>0</v>
      </c>
      <c r="S364" s="67">
        <v>0</v>
      </c>
      <c r="T364" s="67">
        <v>0</v>
      </c>
      <c r="U364" s="67">
        <v>0</v>
      </c>
      <c r="V364" s="67">
        <v>0</v>
      </c>
      <c r="W364" s="67">
        <v>0</v>
      </c>
      <c r="X364" s="67">
        <v>0</v>
      </c>
      <c r="Y364" s="67">
        <v>0</v>
      </c>
      <c r="Z364" s="67">
        <v>0</v>
      </c>
      <c r="AA364" s="67">
        <v>0</v>
      </c>
      <c r="AB364" s="67">
        <v>0</v>
      </c>
      <c r="AC364" s="67">
        <v>0</v>
      </c>
      <c r="AD364" s="67">
        <v>0</v>
      </c>
      <c r="AE364" s="67">
        <v>0</v>
      </c>
      <c r="AF364" s="67">
        <v>0</v>
      </c>
      <c r="AG364" s="67">
        <v>0</v>
      </c>
      <c r="AH364" s="67">
        <v>0</v>
      </c>
      <c r="AI364" s="67">
        <v>0</v>
      </c>
      <c r="AJ364" s="67">
        <v>0</v>
      </c>
      <c r="AK364" s="67">
        <v>0</v>
      </c>
      <c r="AL364" s="67">
        <v>0</v>
      </c>
      <c r="AM364" s="67">
        <v>0</v>
      </c>
      <c r="AN364" s="67">
        <v>0</v>
      </c>
      <c r="AO364" s="67">
        <v>0</v>
      </c>
      <c r="AP364" s="67">
        <v>0</v>
      </c>
      <c r="AQ364" s="67">
        <v>0</v>
      </c>
      <c r="AR364" s="67">
        <v>0</v>
      </c>
      <c r="AS364" s="67">
        <v>0</v>
      </c>
      <c r="AT364" s="67"/>
      <c r="AU364" s="67"/>
      <c r="AV364" s="67"/>
      <c r="AW364" s="67">
        <v>0</v>
      </c>
      <c r="AX364" s="67">
        <v>0</v>
      </c>
      <c r="AY364" s="67"/>
      <c r="AZ364" s="67"/>
      <c r="BA364" s="67"/>
      <c r="BB364" s="67"/>
      <c r="BC364" s="67"/>
      <c r="BD364" s="67"/>
      <c r="BE364" s="67"/>
      <c r="BG364" s="67"/>
      <c r="BH364" s="67"/>
      <c r="BI364" s="67"/>
      <c r="BJ364" s="67">
        <v>0</v>
      </c>
      <c r="BK364" s="67"/>
      <c r="BL364" s="67"/>
      <c r="BP364" s="67"/>
      <c r="BQ364" s="67">
        <v>0</v>
      </c>
      <c r="BR364" s="67"/>
      <c r="BS364" s="67"/>
      <c r="BT364" s="67">
        <v>0</v>
      </c>
      <c r="BU364" s="67">
        <v>0</v>
      </c>
      <c r="BV364" s="67"/>
      <c r="BW364" s="67"/>
      <c r="BX364" s="67">
        <v>0</v>
      </c>
      <c r="BY364" s="67">
        <v>0</v>
      </c>
      <c r="BZ364" s="67">
        <v>0</v>
      </c>
      <c r="CA364" s="67"/>
      <c r="CB364" s="67">
        <v>0</v>
      </c>
      <c r="CC364" s="67"/>
      <c r="CD364" s="67"/>
      <c r="CE364" s="67">
        <v>0</v>
      </c>
      <c r="CF364" s="67"/>
      <c r="CG364" s="67"/>
      <c r="CH364" s="67"/>
      <c r="CI364" s="67"/>
      <c r="CJ364" s="67"/>
      <c r="CK364" s="67">
        <v>0</v>
      </c>
      <c r="CL364" s="67"/>
      <c r="CM364" s="67"/>
      <c r="CN364" s="67"/>
      <c r="CO364" s="67">
        <v>0</v>
      </c>
      <c r="CP364" s="67"/>
      <c r="CQ364" s="67"/>
      <c r="CR364" s="67"/>
      <c r="CS364" s="67"/>
      <c r="CT364" s="67"/>
      <c r="CU364" s="67">
        <v>0</v>
      </c>
      <c r="CV364" s="67"/>
      <c r="CW364" s="67"/>
      <c r="CX364" s="67"/>
      <c r="CY364" s="67">
        <v>0</v>
      </c>
      <c r="CZ364" s="67"/>
      <c r="DA364" s="67"/>
      <c r="DB364" s="67"/>
      <c r="DC364" s="67"/>
      <c r="DF364" s="67"/>
      <c r="DG364" s="67">
        <v>0</v>
      </c>
      <c r="DH364" s="67">
        <v>0</v>
      </c>
      <c r="DI364" s="67">
        <v>0</v>
      </c>
      <c r="DJ364" s="67"/>
      <c r="DK364" s="67">
        <v>0</v>
      </c>
      <c r="DL364" s="67">
        <v>0</v>
      </c>
      <c r="DM364" s="67">
        <v>0</v>
      </c>
      <c r="DN364" s="67"/>
      <c r="DO364" s="67"/>
      <c r="DP364" s="67"/>
      <c r="DQ364" s="67">
        <v>0</v>
      </c>
      <c r="DR364" s="67">
        <v>0</v>
      </c>
      <c r="DS364" s="67"/>
      <c r="DT364" s="67"/>
      <c r="DU364" s="67">
        <v>0</v>
      </c>
      <c r="DV364" s="67">
        <v>0</v>
      </c>
      <c r="DW364" s="67">
        <v>0</v>
      </c>
      <c r="DX364" s="67">
        <v>0</v>
      </c>
      <c r="DY364" s="67"/>
      <c r="DZ364" s="67">
        <v>0</v>
      </c>
      <c r="EA364" s="67"/>
      <c r="EB364" s="67">
        <v>0</v>
      </c>
      <c r="EC364" s="67"/>
      <c r="ED364" s="67">
        <v>0</v>
      </c>
      <c r="EE364" s="67"/>
      <c r="EF364" s="67">
        <v>0</v>
      </c>
      <c r="EG364" s="67"/>
      <c r="EH364" s="67"/>
      <c r="EI364" s="67"/>
      <c r="EJ364" s="67"/>
      <c r="EK364" s="67"/>
      <c r="EL364" s="67"/>
      <c r="EM364" s="67"/>
      <c r="EN364" s="67"/>
      <c r="EO364" s="67"/>
      <c r="EP364" s="67">
        <v>0</v>
      </c>
      <c r="EQ364" s="67">
        <v>0</v>
      </c>
      <c r="ER364" s="67">
        <v>0</v>
      </c>
      <c r="ES364" s="67"/>
      <c r="ET364">
        <v>0</v>
      </c>
      <c r="EX364" s="67"/>
      <c r="EY364" s="67"/>
      <c r="EZ364" s="67"/>
      <c r="FA364" s="67">
        <v>0</v>
      </c>
      <c r="FB364" s="67">
        <v>0</v>
      </c>
      <c r="FC364" s="67"/>
      <c r="FD364" s="67"/>
      <c r="FE364" s="67"/>
      <c r="FF364" s="67"/>
      <c r="FG364" s="67"/>
      <c r="FH364" s="67"/>
      <c r="FI364" s="67" t="s">
        <v>1734</v>
      </c>
    </row>
    <row r="365" spans="2:165" x14ac:dyDescent="0.2">
      <c r="B365" s="67" t="s">
        <v>994</v>
      </c>
      <c r="C365" s="67"/>
      <c r="D365" s="67" t="s">
        <v>995</v>
      </c>
      <c r="E365" s="67"/>
      <c r="F365" s="67" t="s">
        <v>810</v>
      </c>
      <c r="G365" s="67" t="s">
        <v>694</v>
      </c>
      <c r="H365" s="67"/>
      <c r="I365" s="67" t="s">
        <v>43</v>
      </c>
      <c r="J365" s="67"/>
      <c r="K365" s="67"/>
      <c r="L365" s="67" t="s">
        <v>779</v>
      </c>
      <c r="M365" s="67" t="s">
        <v>752</v>
      </c>
      <c r="N365" s="67"/>
      <c r="O365" s="67" t="s">
        <v>1608</v>
      </c>
      <c r="P365" s="67"/>
      <c r="Q365" s="67">
        <v>250</v>
      </c>
      <c r="R365" s="67">
        <v>0</v>
      </c>
      <c r="S365" s="67">
        <v>0</v>
      </c>
      <c r="T365" s="67">
        <v>0</v>
      </c>
      <c r="U365" s="67">
        <v>0</v>
      </c>
      <c r="V365" s="67">
        <v>0</v>
      </c>
      <c r="W365" s="67">
        <v>250</v>
      </c>
      <c r="X365" s="67">
        <v>0</v>
      </c>
      <c r="Y365" s="67">
        <v>0</v>
      </c>
      <c r="Z365" s="67">
        <v>0</v>
      </c>
      <c r="AA365" s="67">
        <v>0</v>
      </c>
      <c r="AB365" s="67">
        <v>0</v>
      </c>
      <c r="AC365" s="67">
        <v>0</v>
      </c>
      <c r="AD365" s="67">
        <v>0</v>
      </c>
      <c r="AE365" s="67">
        <v>0</v>
      </c>
      <c r="AF365" s="67">
        <v>0</v>
      </c>
      <c r="AG365" s="67">
        <v>0</v>
      </c>
      <c r="AH365" s="67">
        <v>0</v>
      </c>
      <c r="AI365" s="67">
        <v>0</v>
      </c>
      <c r="AJ365" s="67">
        <v>0</v>
      </c>
      <c r="AK365" s="67">
        <v>0</v>
      </c>
      <c r="AL365" s="67">
        <v>0</v>
      </c>
      <c r="AM365" s="67">
        <v>0</v>
      </c>
      <c r="AN365" s="67">
        <v>0</v>
      </c>
      <c r="AO365" s="67">
        <v>0</v>
      </c>
      <c r="AP365" s="67">
        <v>0</v>
      </c>
      <c r="AQ365" s="67">
        <v>0</v>
      </c>
      <c r="AR365" s="67">
        <v>0</v>
      </c>
      <c r="AS365" s="67">
        <v>0</v>
      </c>
      <c r="AT365" s="67"/>
      <c r="AU365" s="67"/>
      <c r="AV365" s="67"/>
      <c r="AW365" s="67">
        <v>0</v>
      </c>
      <c r="AX365" s="67">
        <v>0</v>
      </c>
      <c r="AY365" s="67"/>
      <c r="AZ365" s="67"/>
      <c r="BA365" s="67"/>
      <c r="BB365" s="67"/>
      <c r="BC365" s="67"/>
      <c r="BD365" s="67"/>
      <c r="BE365" s="67"/>
      <c r="BG365" s="67"/>
      <c r="BH365" s="67"/>
      <c r="BI365" s="67"/>
      <c r="BJ365" s="67">
        <v>0</v>
      </c>
      <c r="BK365" s="67"/>
      <c r="BL365" s="67"/>
      <c r="BP365" s="67"/>
      <c r="BQ365" s="67">
        <v>0</v>
      </c>
      <c r="BR365" s="67"/>
      <c r="BS365" s="67"/>
      <c r="BT365" s="67">
        <v>0</v>
      </c>
      <c r="BU365" s="67">
        <v>0</v>
      </c>
      <c r="BV365" s="67"/>
      <c r="BW365" s="67"/>
      <c r="BX365" s="67">
        <v>0</v>
      </c>
      <c r="BY365" s="67">
        <v>0</v>
      </c>
      <c r="BZ365" s="67">
        <v>0</v>
      </c>
      <c r="CA365" s="67"/>
      <c r="CB365" s="67">
        <v>0</v>
      </c>
      <c r="CC365" s="67"/>
      <c r="CD365" s="67"/>
      <c r="CE365" s="67">
        <v>0</v>
      </c>
      <c r="CF365" s="67"/>
      <c r="CG365" s="67"/>
      <c r="CH365" s="67"/>
      <c r="CI365" s="67"/>
      <c r="CJ365" s="67"/>
      <c r="CK365" s="67">
        <v>0</v>
      </c>
      <c r="CL365" s="67"/>
      <c r="CM365" s="67"/>
      <c r="CN365" s="67"/>
      <c r="CO365" s="67">
        <v>0</v>
      </c>
      <c r="CP365" s="67"/>
      <c r="CQ365" s="67"/>
      <c r="CR365" s="67"/>
      <c r="CS365" s="67"/>
      <c r="CT365" s="67"/>
      <c r="CU365" s="67">
        <v>0</v>
      </c>
      <c r="CV365" s="67"/>
      <c r="CW365" s="67"/>
      <c r="CX365" s="67"/>
      <c r="CY365" s="67">
        <v>0</v>
      </c>
      <c r="CZ365" s="67"/>
      <c r="DA365" s="67"/>
      <c r="DB365" s="67"/>
      <c r="DC365" s="67"/>
      <c r="DF365" s="67"/>
      <c r="DG365" s="67">
        <v>0</v>
      </c>
      <c r="DH365" s="67">
        <v>0</v>
      </c>
      <c r="DI365" s="67">
        <v>0</v>
      </c>
      <c r="DJ365" s="67"/>
      <c r="DK365" s="67">
        <v>0</v>
      </c>
      <c r="DL365" s="67">
        <v>0</v>
      </c>
      <c r="DM365" s="67">
        <v>0</v>
      </c>
      <c r="DN365" s="67"/>
      <c r="DO365" s="67"/>
      <c r="DP365" s="67"/>
      <c r="DQ365" s="67">
        <v>0</v>
      </c>
      <c r="DR365" s="67">
        <v>0</v>
      </c>
      <c r="DS365" s="67"/>
      <c r="DT365" s="67"/>
      <c r="DU365" s="67">
        <v>0</v>
      </c>
      <c r="DV365" s="67">
        <v>0</v>
      </c>
      <c r="DW365" s="67">
        <v>0</v>
      </c>
      <c r="DX365" s="67">
        <v>0</v>
      </c>
      <c r="DY365" s="67"/>
      <c r="DZ365" s="67">
        <v>0</v>
      </c>
      <c r="EA365" s="67"/>
      <c r="EB365" s="67">
        <v>0</v>
      </c>
      <c r="EC365" s="67"/>
      <c r="ED365" s="67">
        <v>0</v>
      </c>
      <c r="EE365" s="67"/>
      <c r="EF365" s="67">
        <v>0</v>
      </c>
      <c r="EG365" s="67"/>
      <c r="EH365" s="67"/>
      <c r="EI365" s="67"/>
      <c r="EJ365" s="67"/>
      <c r="EK365" s="67"/>
      <c r="EL365" s="67"/>
      <c r="EM365" s="67"/>
      <c r="EN365" s="67"/>
      <c r="EO365" s="67"/>
      <c r="EP365" s="67">
        <v>0</v>
      </c>
      <c r="EQ365" s="67">
        <v>0</v>
      </c>
      <c r="ER365" s="67">
        <v>0</v>
      </c>
      <c r="ES365" s="67"/>
      <c r="ET365">
        <v>0</v>
      </c>
      <c r="EX365" s="67"/>
      <c r="EY365" s="67"/>
      <c r="EZ365" s="67"/>
      <c r="FA365" s="67">
        <v>250</v>
      </c>
      <c r="FB365" s="67">
        <v>0</v>
      </c>
      <c r="FC365" s="67"/>
      <c r="FD365" s="67"/>
      <c r="FE365" s="67"/>
      <c r="FF365" s="67"/>
      <c r="FG365" s="67"/>
      <c r="FH365" s="67"/>
      <c r="FI365" s="67" t="s">
        <v>1734</v>
      </c>
    </row>
    <row r="366" spans="2:165" ht="24" x14ac:dyDescent="0.2">
      <c r="B366" s="67" t="s">
        <v>996</v>
      </c>
      <c r="C366" s="67"/>
      <c r="D366" s="67" t="s">
        <v>997</v>
      </c>
      <c r="E366" s="67" t="s">
        <v>13</v>
      </c>
      <c r="F366" s="67" t="s">
        <v>810</v>
      </c>
      <c r="G366" s="67" t="s">
        <v>694</v>
      </c>
      <c r="H366" s="67"/>
      <c r="I366" s="67" t="s">
        <v>41</v>
      </c>
      <c r="J366" s="67"/>
      <c r="K366" s="67"/>
      <c r="L366" s="67" t="s">
        <v>779</v>
      </c>
      <c r="M366" s="67" t="s">
        <v>752</v>
      </c>
      <c r="N366" s="67"/>
      <c r="O366" s="67" t="s">
        <v>1605</v>
      </c>
      <c r="P366" s="67"/>
      <c r="Q366" s="67">
        <v>0</v>
      </c>
      <c r="R366" s="67">
        <v>0</v>
      </c>
      <c r="S366" s="67">
        <v>0</v>
      </c>
      <c r="T366" s="67">
        <v>0</v>
      </c>
      <c r="U366" s="67">
        <v>0</v>
      </c>
      <c r="V366" s="67">
        <v>0</v>
      </c>
      <c r="W366" s="67">
        <v>0</v>
      </c>
      <c r="X366" s="67">
        <v>0</v>
      </c>
      <c r="Y366" s="67">
        <v>0</v>
      </c>
      <c r="Z366" s="67">
        <v>0</v>
      </c>
      <c r="AA366" s="67">
        <v>0</v>
      </c>
      <c r="AB366" s="67">
        <v>0</v>
      </c>
      <c r="AC366" s="67">
        <v>0</v>
      </c>
      <c r="AD366" s="67">
        <v>0</v>
      </c>
      <c r="AE366" s="67">
        <v>0</v>
      </c>
      <c r="AF366" s="67">
        <v>0</v>
      </c>
      <c r="AG366" s="67">
        <v>0</v>
      </c>
      <c r="AH366" s="67">
        <v>0</v>
      </c>
      <c r="AI366" s="67">
        <v>0</v>
      </c>
      <c r="AJ366" s="67">
        <v>0</v>
      </c>
      <c r="AK366" s="67">
        <v>0</v>
      </c>
      <c r="AL366" s="67">
        <v>0</v>
      </c>
      <c r="AM366" s="67">
        <v>0</v>
      </c>
      <c r="AN366" s="67">
        <v>0</v>
      </c>
      <c r="AO366" s="67">
        <v>0</v>
      </c>
      <c r="AP366" s="67">
        <v>0</v>
      </c>
      <c r="AQ366" s="67">
        <v>0</v>
      </c>
      <c r="AR366" s="67">
        <v>0</v>
      </c>
      <c r="AS366" s="67">
        <v>0</v>
      </c>
      <c r="AT366" s="67"/>
      <c r="AU366" s="67"/>
      <c r="AV366" s="67"/>
      <c r="AW366" s="67">
        <v>0</v>
      </c>
      <c r="AX366" s="67">
        <v>0</v>
      </c>
      <c r="AY366" s="67"/>
      <c r="AZ366" s="67"/>
      <c r="BA366" s="67"/>
      <c r="BB366" s="67"/>
      <c r="BC366" s="67"/>
      <c r="BD366" s="67"/>
      <c r="BE366" s="67"/>
      <c r="BG366" s="67"/>
      <c r="BH366" s="67"/>
      <c r="BI366" s="67"/>
      <c r="BJ366" s="67">
        <v>0</v>
      </c>
      <c r="BK366" s="67"/>
      <c r="BL366" s="67"/>
      <c r="BP366" s="67"/>
      <c r="BQ366" s="67">
        <v>0</v>
      </c>
      <c r="BR366" s="67"/>
      <c r="BS366" s="67"/>
      <c r="BT366" s="67">
        <v>0</v>
      </c>
      <c r="BU366" s="67">
        <v>0</v>
      </c>
      <c r="BV366" s="67"/>
      <c r="BW366" s="67"/>
      <c r="BX366" s="67">
        <v>0</v>
      </c>
      <c r="BY366" s="67">
        <v>0</v>
      </c>
      <c r="BZ366" s="67">
        <v>0</v>
      </c>
      <c r="CA366" s="67"/>
      <c r="CB366" s="67">
        <v>0</v>
      </c>
      <c r="CC366" s="67"/>
      <c r="CD366" s="67"/>
      <c r="CE366" s="67">
        <v>0</v>
      </c>
      <c r="CF366" s="67"/>
      <c r="CG366" s="67"/>
      <c r="CH366" s="67"/>
      <c r="CI366" s="67"/>
      <c r="CJ366" s="67"/>
      <c r="CK366" s="67">
        <v>0</v>
      </c>
      <c r="CL366" s="67"/>
      <c r="CM366" s="67"/>
      <c r="CN366" s="67"/>
      <c r="CO366" s="67">
        <v>0</v>
      </c>
      <c r="CP366" s="67"/>
      <c r="CQ366" s="67"/>
      <c r="CR366" s="67"/>
      <c r="CS366" s="67"/>
      <c r="CT366" s="67"/>
      <c r="CU366" s="67">
        <v>0</v>
      </c>
      <c r="CV366" s="67"/>
      <c r="CW366" s="67"/>
      <c r="CX366" s="67"/>
      <c r="CY366" s="67">
        <v>0</v>
      </c>
      <c r="CZ366" s="67"/>
      <c r="DA366" s="67"/>
      <c r="DB366" s="67"/>
      <c r="DC366" s="67"/>
      <c r="DF366" s="67"/>
      <c r="DG366" s="67">
        <v>0</v>
      </c>
      <c r="DH366" s="67">
        <v>0</v>
      </c>
      <c r="DI366" s="67">
        <v>0</v>
      </c>
      <c r="DJ366" s="67"/>
      <c r="DK366" s="67">
        <v>0</v>
      </c>
      <c r="DL366" s="67">
        <v>0</v>
      </c>
      <c r="DM366" s="67">
        <v>0</v>
      </c>
      <c r="DN366" s="67"/>
      <c r="DO366" s="67"/>
      <c r="DP366" s="67"/>
      <c r="DQ366" s="67">
        <v>0</v>
      </c>
      <c r="DR366" s="67">
        <v>0</v>
      </c>
      <c r="DS366" s="67"/>
      <c r="DT366" s="67"/>
      <c r="DU366" s="67">
        <v>0</v>
      </c>
      <c r="DV366" s="67">
        <v>0</v>
      </c>
      <c r="DW366" s="67">
        <v>0</v>
      </c>
      <c r="DX366" s="67">
        <v>0</v>
      </c>
      <c r="DY366" s="67"/>
      <c r="DZ366" s="67">
        <v>0</v>
      </c>
      <c r="EA366" s="67"/>
      <c r="EB366" s="67">
        <v>0</v>
      </c>
      <c r="EC366" s="67"/>
      <c r="ED366" s="67">
        <v>0</v>
      </c>
      <c r="EE366" s="67"/>
      <c r="EF366" s="67">
        <v>0</v>
      </c>
      <c r="EG366" s="67"/>
      <c r="EH366" s="67"/>
      <c r="EI366" s="67"/>
      <c r="EJ366" s="67"/>
      <c r="EK366" s="67"/>
      <c r="EL366" s="67"/>
      <c r="EM366" s="67"/>
      <c r="EN366" s="67"/>
      <c r="EO366" s="67"/>
      <c r="EP366" s="67">
        <v>0</v>
      </c>
      <c r="EQ366" s="67">
        <v>0</v>
      </c>
      <c r="ER366" s="67">
        <v>0</v>
      </c>
      <c r="ES366" s="67"/>
      <c r="ET366">
        <v>0</v>
      </c>
      <c r="EX366" s="67"/>
      <c r="EY366" s="67"/>
      <c r="EZ366" s="67"/>
      <c r="FA366" s="67">
        <v>0</v>
      </c>
      <c r="FB366" s="67">
        <v>0</v>
      </c>
      <c r="FC366" s="67"/>
      <c r="FD366" s="67"/>
      <c r="FE366" s="67"/>
      <c r="FF366" s="67"/>
      <c r="FG366" s="67"/>
      <c r="FH366" s="67"/>
      <c r="FI366" s="67" t="s">
        <v>1734</v>
      </c>
    </row>
    <row r="367" spans="2:165" ht="24" x14ac:dyDescent="0.2">
      <c r="B367" s="67" t="s">
        <v>998</v>
      </c>
      <c r="C367" s="67"/>
      <c r="D367" s="67" t="s">
        <v>999</v>
      </c>
      <c r="E367" s="67" t="s">
        <v>13</v>
      </c>
      <c r="F367" s="67" t="s">
        <v>984</v>
      </c>
      <c r="G367" s="67" t="s">
        <v>694</v>
      </c>
      <c r="H367" s="67"/>
      <c r="I367" s="67" t="s">
        <v>41</v>
      </c>
      <c r="J367" s="67"/>
      <c r="K367" s="67"/>
      <c r="L367" s="67" t="s">
        <v>934</v>
      </c>
      <c r="M367" s="67" t="s">
        <v>752</v>
      </c>
      <c r="N367" s="67"/>
      <c r="O367" s="67" t="s">
        <v>1605</v>
      </c>
      <c r="P367" s="67"/>
      <c r="Q367" s="67">
        <v>0</v>
      </c>
      <c r="R367" s="67">
        <v>0</v>
      </c>
      <c r="S367" s="67">
        <v>0</v>
      </c>
      <c r="T367" s="67">
        <v>0</v>
      </c>
      <c r="U367" s="67">
        <v>0</v>
      </c>
      <c r="V367" s="67">
        <v>0</v>
      </c>
      <c r="W367" s="67">
        <v>0</v>
      </c>
      <c r="X367" s="67">
        <v>0</v>
      </c>
      <c r="Y367" s="67">
        <v>0</v>
      </c>
      <c r="Z367" s="67">
        <v>0</v>
      </c>
      <c r="AA367" s="67">
        <v>0</v>
      </c>
      <c r="AB367" s="67">
        <v>0</v>
      </c>
      <c r="AC367" s="67">
        <v>0</v>
      </c>
      <c r="AD367" s="67">
        <v>0</v>
      </c>
      <c r="AE367" s="67">
        <v>0</v>
      </c>
      <c r="AF367" s="67">
        <v>0</v>
      </c>
      <c r="AG367" s="67">
        <v>0</v>
      </c>
      <c r="AH367" s="67">
        <v>0</v>
      </c>
      <c r="AI367" s="67">
        <v>0</v>
      </c>
      <c r="AJ367" s="67">
        <v>0</v>
      </c>
      <c r="AK367" s="67">
        <v>0</v>
      </c>
      <c r="AL367" s="67">
        <v>0</v>
      </c>
      <c r="AM367" s="67">
        <v>0</v>
      </c>
      <c r="AN367" s="67">
        <v>0</v>
      </c>
      <c r="AO367" s="67">
        <v>0</v>
      </c>
      <c r="AP367" s="67">
        <v>0</v>
      </c>
      <c r="AQ367" s="67">
        <v>0</v>
      </c>
      <c r="AR367" s="67">
        <v>0</v>
      </c>
      <c r="AS367" s="67">
        <v>0</v>
      </c>
      <c r="AT367" s="67"/>
      <c r="AU367" s="67"/>
      <c r="AV367" s="67"/>
      <c r="AW367" s="67">
        <v>0</v>
      </c>
      <c r="AX367" s="67">
        <v>0</v>
      </c>
      <c r="AY367" s="67"/>
      <c r="AZ367" s="67"/>
      <c r="BA367" s="67"/>
      <c r="BB367" s="67"/>
      <c r="BC367" s="67"/>
      <c r="BD367" s="67"/>
      <c r="BE367" s="67"/>
      <c r="BG367" s="67"/>
      <c r="BH367" s="67"/>
      <c r="BI367" s="67"/>
      <c r="BJ367" s="67">
        <v>0</v>
      </c>
      <c r="BK367" s="67"/>
      <c r="BL367" s="67"/>
      <c r="BP367" s="67"/>
      <c r="BQ367" s="67">
        <v>0</v>
      </c>
      <c r="BR367" s="67"/>
      <c r="BS367" s="67"/>
      <c r="BT367" s="67">
        <v>0</v>
      </c>
      <c r="BU367" s="67">
        <v>0</v>
      </c>
      <c r="BV367" s="67"/>
      <c r="BW367" s="67"/>
      <c r="BX367" s="67">
        <v>0</v>
      </c>
      <c r="BY367" s="67">
        <v>0</v>
      </c>
      <c r="BZ367" s="67">
        <v>0</v>
      </c>
      <c r="CA367" s="67"/>
      <c r="CB367" s="67">
        <v>0</v>
      </c>
      <c r="CC367" s="67"/>
      <c r="CD367" s="67"/>
      <c r="CE367" s="67">
        <v>0</v>
      </c>
      <c r="CF367" s="67"/>
      <c r="CG367" s="67"/>
      <c r="CH367" s="67"/>
      <c r="CI367" s="67"/>
      <c r="CJ367" s="67"/>
      <c r="CK367" s="67">
        <v>0</v>
      </c>
      <c r="CL367" s="67"/>
      <c r="CM367" s="67"/>
      <c r="CN367" s="67"/>
      <c r="CO367" s="67">
        <v>0</v>
      </c>
      <c r="CP367" s="67"/>
      <c r="CQ367" s="67"/>
      <c r="CR367" s="67"/>
      <c r="CS367" s="67"/>
      <c r="CT367" s="67"/>
      <c r="CU367" s="67">
        <v>0</v>
      </c>
      <c r="CV367" s="67"/>
      <c r="CW367" s="67"/>
      <c r="CX367" s="67"/>
      <c r="CY367" s="67">
        <v>0</v>
      </c>
      <c r="CZ367" s="67"/>
      <c r="DA367" s="67"/>
      <c r="DB367" s="67"/>
      <c r="DC367" s="67"/>
      <c r="DF367" s="67"/>
      <c r="DG367" s="67">
        <v>0</v>
      </c>
      <c r="DH367" s="67">
        <v>0</v>
      </c>
      <c r="DI367" s="67">
        <v>0</v>
      </c>
      <c r="DJ367" s="67"/>
      <c r="DK367" s="67">
        <v>0</v>
      </c>
      <c r="DL367" s="67">
        <v>0</v>
      </c>
      <c r="DM367" s="67">
        <v>0</v>
      </c>
      <c r="DN367" s="67"/>
      <c r="DO367" s="67"/>
      <c r="DP367" s="67"/>
      <c r="DQ367" s="67">
        <v>0</v>
      </c>
      <c r="DR367" s="67">
        <v>0</v>
      </c>
      <c r="DS367" s="67"/>
      <c r="DT367" s="67"/>
      <c r="DU367" s="67">
        <v>0</v>
      </c>
      <c r="DV367" s="67">
        <v>0</v>
      </c>
      <c r="DW367" s="67">
        <v>0</v>
      </c>
      <c r="DX367" s="67">
        <v>0</v>
      </c>
      <c r="DY367" s="67"/>
      <c r="DZ367" s="67">
        <v>0</v>
      </c>
      <c r="EA367" s="67"/>
      <c r="EB367" s="67">
        <v>0</v>
      </c>
      <c r="EC367" s="67"/>
      <c r="ED367" s="67">
        <v>0</v>
      </c>
      <c r="EE367" s="67"/>
      <c r="EF367" s="67">
        <v>0</v>
      </c>
      <c r="EG367" s="67"/>
      <c r="EH367" s="67"/>
      <c r="EI367" s="67"/>
      <c r="EJ367" s="67"/>
      <c r="EK367" s="67"/>
      <c r="EL367" s="67"/>
      <c r="EM367" s="67"/>
      <c r="EN367" s="67"/>
      <c r="EO367" s="67"/>
      <c r="EP367" s="67">
        <v>0</v>
      </c>
      <c r="EQ367" s="67">
        <v>0</v>
      </c>
      <c r="ER367" s="67">
        <v>0</v>
      </c>
      <c r="ES367" s="67"/>
      <c r="ET367">
        <v>0</v>
      </c>
      <c r="EX367" s="67"/>
      <c r="EY367" s="67"/>
      <c r="EZ367" s="67"/>
      <c r="FA367" s="67">
        <v>0</v>
      </c>
      <c r="FB367" s="67">
        <v>0</v>
      </c>
      <c r="FC367" s="67"/>
      <c r="FD367" s="67"/>
      <c r="FE367" s="67"/>
      <c r="FF367" s="67"/>
      <c r="FG367" s="67"/>
      <c r="FH367" s="67"/>
      <c r="FI367" s="67" t="s">
        <v>1734</v>
      </c>
    </row>
    <row r="368" spans="2:165" ht="24" x14ac:dyDescent="0.2">
      <c r="B368" s="67" t="s">
        <v>1000</v>
      </c>
      <c r="C368" s="67"/>
      <c r="D368" s="67" t="s">
        <v>1001</v>
      </c>
      <c r="E368" s="67" t="s">
        <v>13</v>
      </c>
      <c r="F368" s="67" t="s">
        <v>984</v>
      </c>
      <c r="G368" s="67" t="s">
        <v>694</v>
      </c>
      <c r="H368" s="67"/>
      <c r="I368" s="67" t="s">
        <v>41</v>
      </c>
      <c r="J368" s="67"/>
      <c r="K368" s="67"/>
      <c r="L368" s="67" t="s">
        <v>934</v>
      </c>
      <c r="M368" s="67" t="s">
        <v>752</v>
      </c>
      <c r="N368" s="67"/>
      <c r="O368" s="67" t="s">
        <v>1605</v>
      </c>
      <c r="P368" s="67"/>
      <c r="Q368" s="67">
        <v>0</v>
      </c>
      <c r="R368" s="67">
        <v>0</v>
      </c>
      <c r="S368" s="67">
        <v>0</v>
      </c>
      <c r="T368" s="67">
        <v>0</v>
      </c>
      <c r="U368" s="67">
        <v>0</v>
      </c>
      <c r="V368" s="67">
        <v>0</v>
      </c>
      <c r="W368" s="67">
        <v>0</v>
      </c>
      <c r="X368" s="67">
        <v>0</v>
      </c>
      <c r="Y368" s="67">
        <v>0</v>
      </c>
      <c r="Z368" s="67">
        <v>0</v>
      </c>
      <c r="AA368" s="67">
        <v>0</v>
      </c>
      <c r="AB368" s="67">
        <v>0</v>
      </c>
      <c r="AC368" s="67">
        <v>0</v>
      </c>
      <c r="AD368" s="67">
        <v>0</v>
      </c>
      <c r="AE368" s="67">
        <v>0</v>
      </c>
      <c r="AF368" s="67">
        <v>0</v>
      </c>
      <c r="AG368" s="67">
        <v>0</v>
      </c>
      <c r="AH368" s="67">
        <v>0</v>
      </c>
      <c r="AI368" s="67">
        <v>0</v>
      </c>
      <c r="AJ368" s="67">
        <v>0</v>
      </c>
      <c r="AK368" s="67">
        <v>0</v>
      </c>
      <c r="AL368" s="67">
        <v>0</v>
      </c>
      <c r="AM368" s="67">
        <v>0</v>
      </c>
      <c r="AN368" s="67">
        <v>0</v>
      </c>
      <c r="AO368" s="67">
        <v>0</v>
      </c>
      <c r="AP368" s="67">
        <v>0</v>
      </c>
      <c r="AQ368" s="67">
        <v>0</v>
      </c>
      <c r="AR368" s="67">
        <v>0</v>
      </c>
      <c r="AS368" s="67">
        <v>0</v>
      </c>
      <c r="AT368" s="67"/>
      <c r="AU368" s="67"/>
      <c r="AV368" s="67"/>
      <c r="AW368" s="67">
        <v>0</v>
      </c>
      <c r="AX368" s="67">
        <v>0</v>
      </c>
      <c r="AY368" s="67"/>
      <c r="AZ368" s="67"/>
      <c r="BA368" s="67"/>
      <c r="BB368" s="67"/>
      <c r="BC368" s="67"/>
      <c r="BD368" s="67"/>
      <c r="BE368" s="67"/>
      <c r="BG368" s="67"/>
      <c r="BH368" s="67"/>
      <c r="BI368" s="67"/>
      <c r="BJ368" s="67">
        <v>0</v>
      </c>
      <c r="BK368" s="67"/>
      <c r="BL368" s="67"/>
      <c r="BP368" s="67"/>
      <c r="BQ368" s="67">
        <v>0</v>
      </c>
      <c r="BR368" s="67"/>
      <c r="BS368" s="67"/>
      <c r="BT368" s="67">
        <v>0</v>
      </c>
      <c r="BU368" s="67">
        <v>0</v>
      </c>
      <c r="BV368" s="67"/>
      <c r="BW368" s="67"/>
      <c r="BX368" s="67">
        <v>0</v>
      </c>
      <c r="BY368" s="67">
        <v>0</v>
      </c>
      <c r="BZ368" s="67">
        <v>0</v>
      </c>
      <c r="CA368" s="67"/>
      <c r="CB368" s="67">
        <v>0</v>
      </c>
      <c r="CC368" s="67"/>
      <c r="CD368" s="67"/>
      <c r="CE368" s="67">
        <v>0</v>
      </c>
      <c r="CF368" s="67"/>
      <c r="CG368" s="67"/>
      <c r="CH368" s="67"/>
      <c r="CI368" s="67"/>
      <c r="CJ368" s="67"/>
      <c r="CK368" s="67">
        <v>0</v>
      </c>
      <c r="CL368" s="67"/>
      <c r="CM368" s="67"/>
      <c r="CN368" s="67"/>
      <c r="CO368" s="67">
        <v>0</v>
      </c>
      <c r="CP368" s="67"/>
      <c r="CQ368" s="67"/>
      <c r="CR368" s="67"/>
      <c r="CS368" s="67"/>
      <c r="CT368" s="67"/>
      <c r="CU368" s="67">
        <v>0</v>
      </c>
      <c r="CV368" s="67"/>
      <c r="CW368" s="67"/>
      <c r="CX368" s="67"/>
      <c r="CY368" s="67">
        <v>0</v>
      </c>
      <c r="CZ368" s="67"/>
      <c r="DA368" s="67"/>
      <c r="DB368" s="67"/>
      <c r="DC368" s="67"/>
      <c r="DF368" s="67"/>
      <c r="DG368" s="67">
        <v>0</v>
      </c>
      <c r="DH368" s="67">
        <v>0</v>
      </c>
      <c r="DI368" s="67">
        <v>0</v>
      </c>
      <c r="DJ368" s="67"/>
      <c r="DK368" s="67">
        <v>0</v>
      </c>
      <c r="DL368" s="67">
        <v>0</v>
      </c>
      <c r="DM368" s="67">
        <v>0</v>
      </c>
      <c r="DN368" s="67"/>
      <c r="DO368" s="67"/>
      <c r="DP368" s="67"/>
      <c r="DQ368" s="67">
        <v>0</v>
      </c>
      <c r="DR368" s="67">
        <v>0</v>
      </c>
      <c r="DS368" s="67"/>
      <c r="DT368" s="67"/>
      <c r="DU368" s="67">
        <v>0</v>
      </c>
      <c r="DV368" s="67">
        <v>0</v>
      </c>
      <c r="DW368" s="67">
        <v>0</v>
      </c>
      <c r="DX368" s="67">
        <v>0</v>
      </c>
      <c r="DY368" s="67"/>
      <c r="DZ368" s="67">
        <v>0</v>
      </c>
      <c r="EA368" s="67"/>
      <c r="EB368" s="67">
        <v>0</v>
      </c>
      <c r="EC368" s="67"/>
      <c r="ED368" s="67">
        <v>0</v>
      </c>
      <c r="EE368" s="67"/>
      <c r="EF368" s="67">
        <v>0</v>
      </c>
      <c r="EG368" s="67"/>
      <c r="EH368" s="67"/>
      <c r="EI368" s="67"/>
      <c r="EJ368" s="67"/>
      <c r="EK368" s="67"/>
      <c r="EL368" s="67"/>
      <c r="EM368" s="67"/>
      <c r="EN368" s="67"/>
      <c r="EO368" s="67"/>
      <c r="EP368" s="67">
        <v>0</v>
      </c>
      <c r="EQ368" s="67">
        <v>0</v>
      </c>
      <c r="ER368" s="67">
        <v>0</v>
      </c>
      <c r="ES368" s="67"/>
      <c r="ET368">
        <v>0</v>
      </c>
      <c r="EX368" s="67"/>
      <c r="EY368" s="67"/>
      <c r="EZ368" s="67"/>
      <c r="FA368" s="67">
        <v>0</v>
      </c>
      <c r="FB368" s="67">
        <v>0</v>
      </c>
      <c r="FC368" s="67"/>
      <c r="FD368" s="67"/>
      <c r="FE368" s="67"/>
      <c r="FF368" s="67"/>
      <c r="FG368" s="67"/>
      <c r="FH368" s="67"/>
      <c r="FI368" s="67" t="s">
        <v>1734</v>
      </c>
    </row>
    <row r="369" spans="2:165" ht="24" x14ac:dyDescent="0.2">
      <c r="B369" s="67" t="s">
        <v>1002</v>
      </c>
      <c r="C369" s="67"/>
      <c r="D369" s="67" t="s">
        <v>1003</v>
      </c>
      <c r="E369" s="67" t="s">
        <v>13</v>
      </c>
      <c r="F369" s="67" t="s">
        <v>766</v>
      </c>
      <c r="G369" s="67" t="s">
        <v>694</v>
      </c>
      <c r="H369" s="67"/>
      <c r="I369" s="67" t="s">
        <v>41</v>
      </c>
      <c r="J369" s="67"/>
      <c r="K369" s="67"/>
      <c r="L369" s="67" t="s">
        <v>787</v>
      </c>
      <c r="M369" s="67" t="s">
        <v>752</v>
      </c>
      <c r="N369" s="67"/>
      <c r="O369" s="67" t="s">
        <v>1605</v>
      </c>
      <c r="P369" s="67" t="s">
        <v>942</v>
      </c>
      <c r="Q369" s="67">
        <v>0</v>
      </c>
      <c r="R369" s="67">
        <v>0</v>
      </c>
      <c r="S369" s="67">
        <v>0</v>
      </c>
      <c r="T369" s="67">
        <v>0</v>
      </c>
      <c r="U369" s="67">
        <v>0</v>
      </c>
      <c r="V369" s="67">
        <v>0</v>
      </c>
      <c r="W369" s="67">
        <v>0</v>
      </c>
      <c r="X369" s="67">
        <v>0</v>
      </c>
      <c r="Y369" s="67">
        <v>0</v>
      </c>
      <c r="Z369" s="67">
        <v>0</v>
      </c>
      <c r="AA369" s="67">
        <v>0</v>
      </c>
      <c r="AB369" s="67">
        <v>0</v>
      </c>
      <c r="AC369" s="67">
        <v>0</v>
      </c>
      <c r="AD369" s="67">
        <v>0</v>
      </c>
      <c r="AE369" s="67">
        <v>0</v>
      </c>
      <c r="AF369" s="67">
        <v>0</v>
      </c>
      <c r="AG369" s="67">
        <v>0</v>
      </c>
      <c r="AH369" s="67">
        <v>0</v>
      </c>
      <c r="AI369" s="67">
        <v>0</v>
      </c>
      <c r="AJ369" s="67">
        <v>0</v>
      </c>
      <c r="AK369" s="67">
        <v>0</v>
      </c>
      <c r="AL369" s="67">
        <v>0</v>
      </c>
      <c r="AM369" s="67">
        <v>0</v>
      </c>
      <c r="AN369" s="67">
        <v>0</v>
      </c>
      <c r="AO369" s="67">
        <v>0</v>
      </c>
      <c r="AP369" s="67">
        <v>0</v>
      </c>
      <c r="AQ369" s="67">
        <v>0</v>
      </c>
      <c r="AR369" s="67">
        <v>0</v>
      </c>
      <c r="AS369" s="67">
        <v>0</v>
      </c>
      <c r="AT369" s="67"/>
      <c r="AU369" s="67"/>
      <c r="AV369" s="67"/>
      <c r="AW369" s="67">
        <v>0</v>
      </c>
      <c r="AX369" s="67">
        <v>0</v>
      </c>
      <c r="AY369" s="67"/>
      <c r="AZ369" s="67"/>
      <c r="BA369" s="67"/>
      <c r="BB369" s="67"/>
      <c r="BC369" s="67"/>
      <c r="BD369" s="67"/>
      <c r="BE369" s="67"/>
      <c r="BG369" s="67"/>
      <c r="BH369" s="67"/>
      <c r="BI369" s="67"/>
      <c r="BJ369" s="67">
        <v>0</v>
      </c>
      <c r="BK369" s="67"/>
      <c r="BL369" s="67"/>
      <c r="BP369" s="67"/>
      <c r="BQ369" s="67">
        <v>0</v>
      </c>
      <c r="BR369" s="67"/>
      <c r="BS369" s="67"/>
      <c r="BT369" s="67">
        <v>0</v>
      </c>
      <c r="BU369" s="67">
        <v>0</v>
      </c>
      <c r="BV369" s="67"/>
      <c r="BW369" s="67"/>
      <c r="BX369" s="67">
        <v>0</v>
      </c>
      <c r="BY369" s="67">
        <v>0</v>
      </c>
      <c r="BZ369" s="67">
        <v>0</v>
      </c>
      <c r="CA369" s="67"/>
      <c r="CB369" s="67">
        <v>0</v>
      </c>
      <c r="CC369" s="67"/>
      <c r="CD369" s="67"/>
      <c r="CE369" s="67">
        <v>0</v>
      </c>
      <c r="CF369" s="67"/>
      <c r="CG369" s="67"/>
      <c r="CH369" s="67"/>
      <c r="CI369" s="67"/>
      <c r="CJ369" s="67"/>
      <c r="CK369" s="67">
        <v>0</v>
      </c>
      <c r="CL369" s="67"/>
      <c r="CM369" s="67"/>
      <c r="CN369" s="67"/>
      <c r="CO369" s="67">
        <v>0</v>
      </c>
      <c r="CP369" s="67"/>
      <c r="CQ369" s="67"/>
      <c r="CR369" s="67"/>
      <c r="CS369" s="67"/>
      <c r="CT369" s="67"/>
      <c r="CU369" s="67">
        <v>0</v>
      </c>
      <c r="CV369" s="67"/>
      <c r="CW369" s="67"/>
      <c r="CX369" s="67"/>
      <c r="CY369" s="67">
        <v>0</v>
      </c>
      <c r="CZ369" s="67"/>
      <c r="DA369" s="67"/>
      <c r="DB369" s="67"/>
      <c r="DC369" s="67"/>
      <c r="DF369" s="67"/>
      <c r="DG369" s="67">
        <v>0</v>
      </c>
      <c r="DH369" s="67">
        <v>0</v>
      </c>
      <c r="DI369" s="67">
        <v>0</v>
      </c>
      <c r="DJ369" s="67"/>
      <c r="DK369" s="67">
        <v>0</v>
      </c>
      <c r="DL369" s="67">
        <v>0</v>
      </c>
      <c r="DM369" s="67">
        <v>0</v>
      </c>
      <c r="DN369" s="67"/>
      <c r="DO369" s="67"/>
      <c r="DP369" s="67"/>
      <c r="DQ369" s="67">
        <v>0</v>
      </c>
      <c r="DR369" s="67">
        <v>0</v>
      </c>
      <c r="DS369" s="67"/>
      <c r="DT369" s="67"/>
      <c r="DU369" s="67">
        <v>0</v>
      </c>
      <c r="DV369" s="67">
        <v>0</v>
      </c>
      <c r="DW369" s="67">
        <v>0</v>
      </c>
      <c r="DX369" s="67">
        <v>0</v>
      </c>
      <c r="DY369" s="67"/>
      <c r="DZ369" s="67">
        <v>0</v>
      </c>
      <c r="EA369" s="67"/>
      <c r="EB369" s="67">
        <v>0</v>
      </c>
      <c r="EC369" s="67"/>
      <c r="ED369" s="67">
        <v>0</v>
      </c>
      <c r="EE369" s="67"/>
      <c r="EF369" s="67">
        <v>0</v>
      </c>
      <c r="EG369" s="67"/>
      <c r="EH369" s="67"/>
      <c r="EI369" s="67"/>
      <c r="EJ369" s="67"/>
      <c r="EK369" s="67"/>
      <c r="EL369" s="67"/>
      <c r="EM369" s="67"/>
      <c r="EN369" s="67"/>
      <c r="EO369" s="67"/>
      <c r="EP369" s="67">
        <v>0</v>
      </c>
      <c r="EQ369" s="67">
        <v>0</v>
      </c>
      <c r="ER369" s="67">
        <v>0</v>
      </c>
      <c r="ES369" s="67"/>
      <c r="ET369">
        <v>0</v>
      </c>
      <c r="EX369" s="67"/>
      <c r="EY369" s="67"/>
      <c r="EZ369" s="67"/>
      <c r="FA369" s="67">
        <v>0</v>
      </c>
      <c r="FB369" s="67">
        <v>0</v>
      </c>
      <c r="FC369" s="67"/>
      <c r="FD369" s="67"/>
      <c r="FE369" s="67"/>
      <c r="FF369" s="67"/>
      <c r="FG369" s="67"/>
      <c r="FH369" s="67"/>
      <c r="FI369" s="67" t="s">
        <v>1734</v>
      </c>
    </row>
    <row r="370" spans="2:165" x14ac:dyDescent="0.2">
      <c r="B370" s="67" t="s">
        <v>1004</v>
      </c>
      <c r="C370" s="67"/>
      <c r="D370" s="67" t="s">
        <v>1003</v>
      </c>
      <c r="E370" s="67" t="s">
        <v>23</v>
      </c>
      <c r="F370" s="67" t="s">
        <v>766</v>
      </c>
      <c r="G370" s="67" t="s">
        <v>694</v>
      </c>
      <c r="H370" s="67"/>
      <c r="I370" s="67" t="s">
        <v>41</v>
      </c>
      <c r="J370" s="67"/>
      <c r="K370" s="67"/>
      <c r="L370" s="67" t="s">
        <v>767</v>
      </c>
      <c r="M370" s="67" t="s">
        <v>752</v>
      </c>
      <c r="N370" s="67"/>
      <c r="O370" s="67" t="s">
        <v>1605</v>
      </c>
      <c r="P370" s="67" t="s">
        <v>942</v>
      </c>
      <c r="Q370" s="67">
        <v>0</v>
      </c>
      <c r="R370" s="67">
        <v>0</v>
      </c>
      <c r="S370" s="67">
        <v>0</v>
      </c>
      <c r="T370" s="67">
        <v>0</v>
      </c>
      <c r="U370" s="67">
        <v>0</v>
      </c>
      <c r="V370" s="67">
        <v>0</v>
      </c>
      <c r="W370" s="67">
        <v>0</v>
      </c>
      <c r="X370" s="67">
        <v>0</v>
      </c>
      <c r="Y370" s="67">
        <v>0</v>
      </c>
      <c r="Z370" s="67">
        <v>0</v>
      </c>
      <c r="AA370" s="67">
        <v>0</v>
      </c>
      <c r="AB370" s="67">
        <v>0</v>
      </c>
      <c r="AC370" s="67">
        <v>0</v>
      </c>
      <c r="AD370" s="67">
        <v>0</v>
      </c>
      <c r="AE370" s="67">
        <v>0</v>
      </c>
      <c r="AF370" s="67">
        <v>0</v>
      </c>
      <c r="AG370" s="67">
        <v>0</v>
      </c>
      <c r="AH370" s="67">
        <v>0</v>
      </c>
      <c r="AI370" s="67">
        <v>0</v>
      </c>
      <c r="AJ370" s="67">
        <v>0</v>
      </c>
      <c r="AK370" s="67">
        <v>0</v>
      </c>
      <c r="AL370" s="67">
        <v>0</v>
      </c>
      <c r="AM370" s="67">
        <v>0</v>
      </c>
      <c r="AN370" s="67">
        <v>0</v>
      </c>
      <c r="AO370" s="67">
        <v>0</v>
      </c>
      <c r="AP370" s="67">
        <v>0</v>
      </c>
      <c r="AQ370" s="67">
        <v>0</v>
      </c>
      <c r="AR370" s="67">
        <v>0</v>
      </c>
      <c r="AS370" s="67">
        <v>0</v>
      </c>
      <c r="AT370" s="67"/>
      <c r="AU370" s="67"/>
      <c r="AV370" s="67"/>
      <c r="AW370" s="67">
        <v>0</v>
      </c>
      <c r="AX370" s="67">
        <v>0</v>
      </c>
      <c r="AY370" s="67"/>
      <c r="AZ370" s="67"/>
      <c r="BA370" s="67"/>
      <c r="BB370" s="67"/>
      <c r="BC370" s="67"/>
      <c r="BD370" s="67"/>
      <c r="BE370" s="67"/>
      <c r="BG370" s="67"/>
      <c r="BH370" s="67"/>
      <c r="BI370" s="67"/>
      <c r="BJ370" s="67">
        <v>0</v>
      </c>
      <c r="BK370" s="67"/>
      <c r="BL370" s="67"/>
      <c r="BP370" s="67"/>
      <c r="BQ370" s="67">
        <v>0</v>
      </c>
      <c r="BR370" s="67"/>
      <c r="BS370" s="67"/>
      <c r="BT370" s="67">
        <v>0</v>
      </c>
      <c r="BU370" s="67">
        <v>0</v>
      </c>
      <c r="BV370" s="67"/>
      <c r="BW370" s="67"/>
      <c r="BX370" s="67">
        <v>0</v>
      </c>
      <c r="BY370" s="67">
        <v>0</v>
      </c>
      <c r="BZ370" s="67">
        <v>0</v>
      </c>
      <c r="CA370" s="67"/>
      <c r="CB370" s="67">
        <v>0</v>
      </c>
      <c r="CC370" s="67"/>
      <c r="CD370" s="67"/>
      <c r="CE370" s="67">
        <v>0</v>
      </c>
      <c r="CF370" s="67"/>
      <c r="CG370" s="67"/>
      <c r="CH370" s="67"/>
      <c r="CI370" s="67"/>
      <c r="CJ370" s="67"/>
      <c r="CK370" s="67">
        <v>0</v>
      </c>
      <c r="CL370" s="67"/>
      <c r="CM370" s="67"/>
      <c r="CN370" s="67"/>
      <c r="CO370" s="67">
        <v>0</v>
      </c>
      <c r="CP370" s="67"/>
      <c r="CQ370" s="67"/>
      <c r="CR370" s="67"/>
      <c r="CS370" s="67"/>
      <c r="CT370" s="67"/>
      <c r="CU370" s="67">
        <v>0</v>
      </c>
      <c r="CV370" s="67"/>
      <c r="CW370" s="67"/>
      <c r="CX370" s="67"/>
      <c r="CY370" s="67">
        <v>0</v>
      </c>
      <c r="CZ370" s="67"/>
      <c r="DA370" s="67"/>
      <c r="DB370" s="67"/>
      <c r="DC370" s="67"/>
      <c r="DF370" s="67"/>
      <c r="DG370" s="67">
        <v>0</v>
      </c>
      <c r="DH370" s="67">
        <v>0</v>
      </c>
      <c r="DI370" s="67">
        <v>0</v>
      </c>
      <c r="DJ370" s="67"/>
      <c r="DK370" s="67">
        <v>0</v>
      </c>
      <c r="DL370" s="67">
        <v>0</v>
      </c>
      <c r="DM370" s="67">
        <v>0</v>
      </c>
      <c r="DN370" s="67"/>
      <c r="DO370" s="67"/>
      <c r="DP370" s="67"/>
      <c r="DQ370" s="67">
        <v>0</v>
      </c>
      <c r="DR370" s="67">
        <v>0</v>
      </c>
      <c r="DS370" s="67"/>
      <c r="DT370" s="67"/>
      <c r="DU370" s="67">
        <v>0</v>
      </c>
      <c r="DV370" s="67">
        <v>0</v>
      </c>
      <c r="DW370" s="67">
        <v>0</v>
      </c>
      <c r="DX370" s="67">
        <v>0</v>
      </c>
      <c r="DY370" s="67"/>
      <c r="DZ370" s="67">
        <v>0</v>
      </c>
      <c r="EA370" s="67"/>
      <c r="EB370" s="67">
        <v>0</v>
      </c>
      <c r="EC370" s="67"/>
      <c r="ED370" s="67">
        <v>0</v>
      </c>
      <c r="EE370" s="67"/>
      <c r="EF370" s="67">
        <v>0</v>
      </c>
      <c r="EG370" s="67"/>
      <c r="EH370" s="67"/>
      <c r="EI370" s="67"/>
      <c r="EJ370" s="67"/>
      <c r="EK370" s="67"/>
      <c r="EL370" s="67"/>
      <c r="EM370" s="67"/>
      <c r="EN370" s="67"/>
      <c r="EO370" s="67"/>
      <c r="EP370" s="67">
        <v>0</v>
      </c>
      <c r="EQ370" s="67">
        <v>0</v>
      </c>
      <c r="ER370" s="67">
        <v>0</v>
      </c>
      <c r="ES370" s="67"/>
      <c r="ET370">
        <v>0</v>
      </c>
      <c r="EX370" s="67"/>
      <c r="EY370" s="67"/>
      <c r="EZ370" s="67"/>
      <c r="FA370" s="67">
        <v>0</v>
      </c>
      <c r="FB370" s="67">
        <v>0</v>
      </c>
      <c r="FC370" s="67"/>
      <c r="FD370" s="67"/>
      <c r="FE370" s="67"/>
      <c r="FF370" s="67"/>
      <c r="FG370" s="67"/>
      <c r="FH370" s="67"/>
      <c r="FI370" s="67" t="s">
        <v>1734</v>
      </c>
    </row>
    <row r="371" spans="2:165" x14ac:dyDescent="0.2">
      <c r="B371" s="67" t="s">
        <v>1005</v>
      </c>
      <c r="C371" s="67"/>
      <c r="D371" s="67" t="s">
        <v>1006</v>
      </c>
      <c r="E371" s="67"/>
      <c r="F371" s="67" t="s">
        <v>766</v>
      </c>
      <c r="G371" s="67" t="s">
        <v>694</v>
      </c>
      <c r="H371" s="67"/>
      <c r="I371" s="67" t="s">
        <v>41</v>
      </c>
      <c r="J371" s="67"/>
      <c r="K371" s="67"/>
      <c r="L371" s="67" t="s">
        <v>767</v>
      </c>
      <c r="M371" s="67" t="s">
        <v>752</v>
      </c>
      <c r="N371" s="67"/>
      <c r="O371" s="67" t="s">
        <v>1605</v>
      </c>
      <c r="P371" s="67"/>
      <c r="Q371" s="67">
        <v>0</v>
      </c>
      <c r="R371" s="67">
        <v>0</v>
      </c>
      <c r="S371" s="67">
        <v>0</v>
      </c>
      <c r="T371" s="67">
        <v>0</v>
      </c>
      <c r="U371" s="67">
        <v>0</v>
      </c>
      <c r="V371" s="67">
        <v>0</v>
      </c>
      <c r="W371" s="67">
        <v>0</v>
      </c>
      <c r="X371" s="67">
        <v>0</v>
      </c>
      <c r="Y371" s="67">
        <v>0</v>
      </c>
      <c r="Z371" s="67">
        <v>0</v>
      </c>
      <c r="AA371" s="67">
        <v>0</v>
      </c>
      <c r="AB371" s="67">
        <v>0</v>
      </c>
      <c r="AC371" s="67">
        <v>0</v>
      </c>
      <c r="AD371" s="67">
        <v>0</v>
      </c>
      <c r="AE371" s="67">
        <v>0</v>
      </c>
      <c r="AF371" s="67">
        <v>0</v>
      </c>
      <c r="AG371" s="67">
        <v>0</v>
      </c>
      <c r="AH371" s="67">
        <v>0</v>
      </c>
      <c r="AI371" s="67">
        <v>0</v>
      </c>
      <c r="AJ371" s="67">
        <v>0</v>
      </c>
      <c r="AK371" s="67">
        <v>0</v>
      </c>
      <c r="AL371" s="67">
        <v>0</v>
      </c>
      <c r="AM371" s="67">
        <v>0</v>
      </c>
      <c r="AN371" s="67">
        <v>0</v>
      </c>
      <c r="AO371" s="67">
        <v>0</v>
      </c>
      <c r="AP371" s="67">
        <v>0</v>
      </c>
      <c r="AQ371" s="67">
        <v>0</v>
      </c>
      <c r="AR371" s="67">
        <v>0</v>
      </c>
      <c r="AS371" s="67">
        <v>0</v>
      </c>
      <c r="AT371" s="67"/>
      <c r="AU371" s="67"/>
      <c r="AV371" s="67"/>
      <c r="AW371" s="67">
        <v>0</v>
      </c>
      <c r="AX371" s="67">
        <v>0</v>
      </c>
      <c r="AY371" s="67"/>
      <c r="AZ371" s="67"/>
      <c r="BA371" s="67"/>
      <c r="BB371" s="67"/>
      <c r="BC371" s="67"/>
      <c r="BD371" s="67"/>
      <c r="BE371" s="67"/>
      <c r="BG371" s="67"/>
      <c r="BH371" s="67"/>
      <c r="BI371" s="67"/>
      <c r="BJ371" s="67">
        <v>0</v>
      </c>
      <c r="BK371" s="67"/>
      <c r="BL371" s="67"/>
      <c r="BP371" s="67"/>
      <c r="BQ371" s="67">
        <v>0</v>
      </c>
      <c r="BR371" s="67"/>
      <c r="BS371" s="67"/>
      <c r="BT371" s="67">
        <v>0</v>
      </c>
      <c r="BU371" s="67">
        <v>0</v>
      </c>
      <c r="BV371" s="67"/>
      <c r="BW371" s="67"/>
      <c r="BX371" s="67">
        <v>0</v>
      </c>
      <c r="BY371" s="67">
        <v>0</v>
      </c>
      <c r="BZ371" s="67">
        <v>0</v>
      </c>
      <c r="CA371" s="67"/>
      <c r="CB371" s="67">
        <v>0</v>
      </c>
      <c r="CC371" s="67"/>
      <c r="CD371" s="67"/>
      <c r="CE371" s="67">
        <v>0</v>
      </c>
      <c r="CF371" s="67"/>
      <c r="CG371" s="67"/>
      <c r="CH371" s="67"/>
      <c r="CI371" s="67"/>
      <c r="CJ371" s="67"/>
      <c r="CK371" s="67">
        <v>0</v>
      </c>
      <c r="CL371" s="67"/>
      <c r="CM371" s="67"/>
      <c r="CN371" s="67"/>
      <c r="CO371" s="67">
        <v>0</v>
      </c>
      <c r="CP371" s="67"/>
      <c r="CQ371" s="67"/>
      <c r="CR371" s="67"/>
      <c r="CS371" s="67"/>
      <c r="CT371" s="67"/>
      <c r="CU371" s="67">
        <v>0</v>
      </c>
      <c r="CV371" s="67"/>
      <c r="CW371" s="67"/>
      <c r="CX371" s="67"/>
      <c r="CY371" s="67">
        <v>0</v>
      </c>
      <c r="CZ371" s="67"/>
      <c r="DA371" s="67"/>
      <c r="DB371" s="67"/>
      <c r="DC371" s="67"/>
      <c r="DF371" s="67"/>
      <c r="DG371" s="67">
        <v>0</v>
      </c>
      <c r="DH371" s="67">
        <v>0</v>
      </c>
      <c r="DI371" s="67">
        <v>0</v>
      </c>
      <c r="DJ371" s="67"/>
      <c r="DK371" s="67">
        <v>0</v>
      </c>
      <c r="DL371" s="67">
        <v>0</v>
      </c>
      <c r="DM371" s="67">
        <v>0</v>
      </c>
      <c r="DN371" s="67"/>
      <c r="DO371" s="67"/>
      <c r="DP371" s="67"/>
      <c r="DQ371" s="67">
        <v>0</v>
      </c>
      <c r="DR371" s="67">
        <v>0</v>
      </c>
      <c r="DS371" s="67"/>
      <c r="DT371" s="67"/>
      <c r="DU371" s="67">
        <v>0</v>
      </c>
      <c r="DV371" s="67">
        <v>0</v>
      </c>
      <c r="DW371" s="67">
        <v>0</v>
      </c>
      <c r="DX371" s="67">
        <v>0</v>
      </c>
      <c r="DY371" s="67"/>
      <c r="DZ371" s="67">
        <v>0</v>
      </c>
      <c r="EA371" s="67"/>
      <c r="EB371" s="67">
        <v>0</v>
      </c>
      <c r="EC371" s="67"/>
      <c r="ED371" s="67">
        <v>0</v>
      </c>
      <c r="EE371" s="67"/>
      <c r="EF371" s="67">
        <v>0</v>
      </c>
      <c r="EG371" s="67"/>
      <c r="EH371" s="67"/>
      <c r="EI371" s="67"/>
      <c r="EJ371" s="67"/>
      <c r="EK371" s="67"/>
      <c r="EL371" s="67"/>
      <c r="EM371" s="67"/>
      <c r="EN371" s="67"/>
      <c r="EO371" s="67"/>
      <c r="EP371" s="67">
        <v>0</v>
      </c>
      <c r="EQ371" s="67">
        <v>0</v>
      </c>
      <c r="ER371" s="67">
        <v>0</v>
      </c>
      <c r="ES371" s="67"/>
      <c r="ET371">
        <v>0</v>
      </c>
      <c r="EX371" s="67"/>
      <c r="EY371" s="67"/>
      <c r="EZ371" s="67"/>
      <c r="FA371" s="67">
        <v>0</v>
      </c>
      <c r="FB371" s="67">
        <v>0</v>
      </c>
      <c r="FC371" s="67"/>
      <c r="FD371" s="67"/>
      <c r="FE371" s="67"/>
      <c r="FF371" s="67"/>
      <c r="FG371" s="67"/>
      <c r="FH371" s="67"/>
      <c r="FI371" s="67" t="s">
        <v>1734</v>
      </c>
    </row>
    <row r="372" spans="2:165" x14ac:dyDescent="0.2">
      <c r="B372" s="67" t="s">
        <v>1007</v>
      </c>
      <c r="C372" s="67"/>
      <c r="D372" s="67" t="s">
        <v>1008</v>
      </c>
      <c r="E372" s="67"/>
      <c r="F372" s="67" t="s">
        <v>810</v>
      </c>
      <c r="G372" s="67" t="s">
        <v>694</v>
      </c>
      <c r="H372" s="67"/>
      <c r="I372" s="67" t="s">
        <v>43</v>
      </c>
      <c r="J372" s="67"/>
      <c r="K372" s="67"/>
      <c r="L372" s="67" t="s">
        <v>779</v>
      </c>
      <c r="M372" s="67" t="s">
        <v>752</v>
      </c>
      <c r="N372" s="67"/>
      <c r="O372" s="67" t="s">
        <v>1599</v>
      </c>
      <c r="P372" s="67"/>
      <c r="Q372" s="67">
        <v>100</v>
      </c>
      <c r="R372" s="67">
        <v>0</v>
      </c>
      <c r="S372" s="67">
        <v>0</v>
      </c>
      <c r="T372" s="67">
        <v>0</v>
      </c>
      <c r="U372" s="67">
        <v>0</v>
      </c>
      <c r="V372" s="67">
        <v>0</v>
      </c>
      <c r="W372" s="67">
        <v>100</v>
      </c>
      <c r="X372" s="67">
        <v>0</v>
      </c>
      <c r="Y372" s="67">
        <v>0</v>
      </c>
      <c r="Z372" s="67">
        <v>0</v>
      </c>
      <c r="AA372" s="67">
        <v>0</v>
      </c>
      <c r="AB372" s="67">
        <v>0</v>
      </c>
      <c r="AC372" s="67">
        <v>0</v>
      </c>
      <c r="AD372" s="67">
        <v>0</v>
      </c>
      <c r="AE372" s="67">
        <v>0</v>
      </c>
      <c r="AF372" s="67">
        <v>0</v>
      </c>
      <c r="AG372" s="67">
        <v>0</v>
      </c>
      <c r="AH372" s="67">
        <v>0</v>
      </c>
      <c r="AI372" s="67">
        <v>0</v>
      </c>
      <c r="AJ372" s="67">
        <v>0</v>
      </c>
      <c r="AK372" s="67">
        <v>0</v>
      </c>
      <c r="AL372" s="67">
        <v>0</v>
      </c>
      <c r="AM372" s="67">
        <v>0</v>
      </c>
      <c r="AN372" s="67">
        <v>0</v>
      </c>
      <c r="AO372" s="67">
        <v>0</v>
      </c>
      <c r="AP372" s="67">
        <v>0</v>
      </c>
      <c r="AQ372" s="67">
        <v>0</v>
      </c>
      <c r="AR372" s="67">
        <v>0</v>
      </c>
      <c r="AS372" s="67">
        <v>0</v>
      </c>
      <c r="AT372" s="67"/>
      <c r="AU372" s="67"/>
      <c r="AV372" s="67"/>
      <c r="AW372" s="67">
        <v>0</v>
      </c>
      <c r="AX372" s="67">
        <v>0</v>
      </c>
      <c r="AY372" s="67"/>
      <c r="AZ372" s="67"/>
      <c r="BA372" s="67"/>
      <c r="BB372" s="67"/>
      <c r="BC372" s="67"/>
      <c r="BD372" s="67"/>
      <c r="BE372" s="67"/>
      <c r="BG372" s="67"/>
      <c r="BH372" s="67"/>
      <c r="BI372" s="67"/>
      <c r="BJ372" s="67">
        <v>0</v>
      </c>
      <c r="BK372" s="67"/>
      <c r="BL372" s="67"/>
      <c r="BP372" s="67"/>
      <c r="BQ372" s="67">
        <v>0</v>
      </c>
      <c r="BR372" s="67"/>
      <c r="BS372" s="67"/>
      <c r="BT372" s="67">
        <v>0</v>
      </c>
      <c r="BU372" s="67">
        <v>0</v>
      </c>
      <c r="BV372" s="67"/>
      <c r="BW372" s="67"/>
      <c r="BX372" s="67">
        <v>0</v>
      </c>
      <c r="BY372" s="67">
        <v>0</v>
      </c>
      <c r="BZ372" s="67">
        <v>0</v>
      </c>
      <c r="CA372" s="67"/>
      <c r="CB372" s="67">
        <v>0</v>
      </c>
      <c r="CC372" s="67"/>
      <c r="CD372" s="67"/>
      <c r="CE372" s="67">
        <v>0</v>
      </c>
      <c r="CF372" s="67"/>
      <c r="CG372" s="67"/>
      <c r="CH372" s="67"/>
      <c r="CI372" s="67"/>
      <c r="CJ372" s="67"/>
      <c r="CK372" s="67">
        <v>0</v>
      </c>
      <c r="CL372" s="67"/>
      <c r="CM372" s="67"/>
      <c r="CN372" s="67"/>
      <c r="CO372" s="67">
        <v>0</v>
      </c>
      <c r="CP372" s="67"/>
      <c r="CQ372" s="67"/>
      <c r="CR372" s="67"/>
      <c r="CS372" s="67"/>
      <c r="CT372" s="67"/>
      <c r="CU372" s="67">
        <v>0</v>
      </c>
      <c r="CV372" s="67"/>
      <c r="CW372" s="67"/>
      <c r="CX372" s="67"/>
      <c r="CY372" s="67">
        <v>0</v>
      </c>
      <c r="CZ372" s="67"/>
      <c r="DA372" s="67"/>
      <c r="DB372" s="67"/>
      <c r="DC372" s="67"/>
      <c r="DF372" s="67"/>
      <c r="DG372" s="67">
        <v>0</v>
      </c>
      <c r="DH372" s="67">
        <v>0</v>
      </c>
      <c r="DI372" s="67">
        <v>0</v>
      </c>
      <c r="DJ372" s="67"/>
      <c r="DK372" s="67">
        <v>0</v>
      </c>
      <c r="DL372" s="67">
        <v>0</v>
      </c>
      <c r="DM372" s="67">
        <v>0</v>
      </c>
      <c r="DN372" s="67"/>
      <c r="DO372" s="67"/>
      <c r="DP372" s="67"/>
      <c r="DQ372" s="67">
        <v>0</v>
      </c>
      <c r="DR372" s="67">
        <v>0</v>
      </c>
      <c r="DS372" s="67"/>
      <c r="DT372" s="67"/>
      <c r="DU372" s="67">
        <v>0</v>
      </c>
      <c r="DV372" s="67">
        <v>0</v>
      </c>
      <c r="DW372" s="67">
        <v>0</v>
      </c>
      <c r="DX372" s="67">
        <v>0</v>
      </c>
      <c r="DY372" s="67"/>
      <c r="DZ372" s="67">
        <v>0</v>
      </c>
      <c r="EA372" s="67"/>
      <c r="EB372" s="67">
        <v>0</v>
      </c>
      <c r="EC372" s="67"/>
      <c r="ED372" s="67">
        <v>0</v>
      </c>
      <c r="EE372" s="67"/>
      <c r="EF372" s="67">
        <v>0</v>
      </c>
      <c r="EG372" s="67"/>
      <c r="EH372" s="67"/>
      <c r="EI372" s="67"/>
      <c r="EJ372" s="67"/>
      <c r="EK372" s="67"/>
      <c r="EL372" s="67"/>
      <c r="EM372" s="67"/>
      <c r="EN372" s="67"/>
      <c r="EO372" s="67"/>
      <c r="EP372" s="67">
        <v>0</v>
      </c>
      <c r="EQ372" s="67">
        <v>0</v>
      </c>
      <c r="ER372" s="67">
        <v>0</v>
      </c>
      <c r="ES372" s="67"/>
      <c r="ET372">
        <v>0</v>
      </c>
      <c r="EX372" s="67"/>
      <c r="EY372" s="67"/>
      <c r="EZ372" s="67"/>
      <c r="FA372" s="67">
        <v>100</v>
      </c>
      <c r="FB372" s="67">
        <v>0</v>
      </c>
      <c r="FC372" s="67"/>
      <c r="FD372" s="67"/>
      <c r="FE372" s="67"/>
      <c r="FF372" s="67"/>
      <c r="FG372" s="67"/>
      <c r="FH372" s="67"/>
      <c r="FI372" s="67" t="s">
        <v>1734</v>
      </c>
    </row>
    <row r="373" spans="2:165" ht="24" x14ac:dyDescent="0.2">
      <c r="B373" s="67" t="s">
        <v>1009</v>
      </c>
      <c r="C373" s="67"/>
      <c r="D373" s="67" t="s">
        <v>1010</v>
      </c>
      <c r="E373" s="67" t="s">
        <v>13</v>
      </c>
      <c r="F373" s="67" t="s">
        <v>810</v>
      </c>
      <c r="G373" s="67" t="s">
        <v>694</v>
      </c>
      <c r="H373" s="67"/>
      <c r="I373" s="67" t="s">
        <v>41</v>
      </c>
      <c r="J373" s="67"/>
      <c r="K373" s="67"/>
      <c r="L373" s="67" t="s">
        <v>779</v>
      </c>
      <c r="M373" s="67" t="s">
        <v>752</v>
      </c>
      <c r="N373" s="67"/>
      <c r="O373" s="67" t="s">
        <v>1605</v>
      </c>
      <c r="P373" s="67"/>
      <c r="Q373" s="67">
        <v>0</v>
      </c>
      <c r="R373" s="67">
        <v>0</v>
      </c>
      <c r="S373" s="67">
        <v>0</v>
      </c>
      <c r="T373" s="67">
        <v>0</v>
      </c>
      <c r="U373" s="67">
        <v>0</v>
      </c>
      <c r="V373" s="67">
        <v>0</v>
      </c>
      <c r="W373" s="67">
        <v>0</v>
      </c>
      <c r="X373" s="67">
        <v>0</v>
      </c>
      <c r="Y373" s="67">
        <v>0</v>
      </c>
      <c r="Z373" s="67">
        <v>0</v>
      </c>
      <c r="AA373" s="67">
        <v>0</v>
      </c>
      <c r="AB373" s="67">
        <v>0</v>
      </c>
      <c r="AC373" s="67">
        <v>0</v>
      </c>
      <c r="AD373" s="67">
        <v>0</v>
      </c>
      <c r="AE373" s="67">
        <v>0</v>
      </c>
      <c r="AF373" s="67">
        <v>0</v>
      </c>
      <c r="AG373" s="67">
        <v>0</v>
      </c>
      <c r="AH373" s="67">
        <v>0</v>
      </c>
      <c r="AI373" s="67">
        <v>0</v>
      </c>
      <c r="AJ373" s="67">
        <v>0</v>
      </c>
      <c r="AK373" s="67">
        <v>0</v>
      </c>
      <c r="AL373" s="67">
        <v>0</v>
      </c>
      <c r="AM373" s="67">
        <v>0</v>
      </c>
      <c r="AN373" s="67">
        <v>0</v>
      </c>
      <c r="AO373" s="67">
        <v>0</v>
      </c>
      <c r="AP373" s="67">
        <v>0</v>
      </c>
      <c r="AQ373" s="67">
        <v>0</v>
      </c>
      <c r="AR373" s="67">
        <v>0</v>
      </c>
      <c r="AS373" s="67">
        <v>0</v>
      </c>
      <c r="AT373" s="67"/>
      <c r="AU373" s="67"/>
      <c r="AV373" s="67"/>
      <c r="AW373" s="67">
        <v>0</v>
      </c>
      <c r="AX373" s="67">
        <v>0</v>
      </c>
      <c r="AY373" s="67"/>
      <c r="AZ373" s="67"/>
      <c r="BA373" s="67"/>
      <c r="BB373" s="67"/>
      <c r="BC373" s="67"/>
      <c r="BD373" s="67"/>
      <c r="BE373" s="67"/>
      <c r="BG373" s="67"/>
      <c r="BH373" s="67"/>
      <c r="BI373" s="67"/>
      <c r="BJ373" s="67">
        <v>0</v>
      </c>
      <c r="BK373" s="67"/>
      <c r="BL373" s="67"/>
      <c r="BP373" s="67"/>
      <c r="BQ373" s="67">
        <v>0</v>
      </c>
      <c r="BR373" s="67"/>
      <c r="BS373" s="67"/>
      <c r="BT373" s="67">
        <v>0</v>
      </c>
      <c r="BU373" s="67">
        <v>0</v>
      </c>
      <c r="BV373" s="67"/>
      <c r="BW373" s="67"/>
      <c r="BX373" s="67">
        <v>0</v>
      </c>
      <c r="BY373" s="67">
        <v>0</v>
      </c>
      <c r="BZ373" s="67">
        <v>0</v>
      </c>
      <c r="CA373" s="67"/>
      <c r="CB373" s="67">
        <v>0</v>
      </c>
      <c r="CC373" s="67"/>
      <c r="CD373" s="67"/>
      <c r="CE373" s="67">
        <v>0</v>
      </c>
      <c r="CF373" s="67"/>
      <c r="CG373" s="67"/>
      <c r="CH373" s="67"/>
      <c r="CI373" s="67"/>
      <c r="CJ373" s="67"/>
      <c r="CK373" s="67">
        <v>0</v>
      </c>
      <c r="CL373" s="67"/>
      <c r="CM373" s="67"/>
      <c r="CN373" s="67"/>
      <c r="CO373" s="67">
        <v>0</v>
      </c>
      <c r="CP373" s="67"/>
      <c r="CQ373" s="67"/>
      <c r="CR373" s="67"/>
      <c r="CS373" s="67"/>
      <c r="CT373" s="67"/>
      <c r="CU373" s="67">
        <v>0</v>
      </c>
      <c r="CV373" s="67"/>
      <c r="CW373" s="67"/>
      <c r="CX373" s="67"/>
      <c r="CY373" s="67">
        <v>0</v>
      </c>
      <c r="CZ373" s="67"/>
      <c r="DA373" s="67"/>
      <c r="DB373" s="67"/>
      <c r="DC373" s="67"/>
      <c r="DF373" s="67"/>
      <c r="DG373" s="67">
        <v>0</v>
      </c>
      <c r="DH373" s="67">
        <v>0</v>
      </c>
      <c r="DI373" s="67">
        <v>0</v>
      </c>
      <c r="DJ373" s="67"/>
      <c r="DK373" s="67">
        <v>0</v>
      </c>
      <c r="DL373" s="67">
        <v>0</v>
      </c>
      <c r="DM373" s="67">
        <v>0</v>
      </c>
      <c r="DN373" s="67"/>
      <c r="DO373" s="67"/>
      <c r="DP373" s="67"/>
      <c r="DQ373" s="67">
        <v>0</v>
      </c>
      <c r="DR373" s="67">
        <v>0</v>
      </c>
      <c r="DS373" s="67"/>
      <c r="DT373" s="67"/>
      <c r="DU373" s="67">
        <v>0</v>
      </c>
      <c r="DV373" s="67">
        <v>0</v>
      </c>
      <c r="DW373" s="67">
        <v>0</v>
      </c>
      <c r="DX373" s="67">
        <v>0</v>
      </c>
      <c r="DY373" s="67"/>
      <c r="DZ373" s="67">
        <v>0</v>
      </c>
      <c r="EA373" s="67"/>
      <c r="EB373" s="67">
        <v>0</v>
      </c>
      <c r="EC373" s="67"/>
      <c r="ED373" s="67">
        <v>0</v>
      </c>
      <c r="EE373" s="67"/>
      <c r="EF373" s="67">
        <v>0</v>
      </c>
      <c r="EG373" s="67"/>
      <c r="EH373" s="67"/>
      <c r="EI373" s="67"/>
      <c r="EJ373" s="67"/>
      <c r="EK373" s="67"/>
      <c r="EL373" s="67"/>
      <c r="EM373" s="67"/>
      <c r="EN373" s="67"/>
      <c r="EO373" s="67"/>
      <c r="EP373" s="67">
        <v>0</v>
      </c>
      <c r="EQ373" s="67">
        <v>0</v>
      </c>
      <c r="ER373" s="67">
        <v>0</v>
      </c>
      <c r="ES373" s="67"/>
      <c r="ET373">
        <v>0</v>
      </c>
      <c r="EX373" s="67"/>
      <c r="EY373" s="67"/>
      <c r="EZ373" s="67"/>
      <c r="FA373" s="67">
        <v>0</v>
      </c>
      <c r="FB373" s="67">
        <v>0</v>
      </c>
      <c r="FC373" s="67"/>
      <c r="FD373" s="67"/>
      <c r="FE373" s="67"/>
      <c r="FF373" s="67"/>
      <c r="FG373" s="67"/>
      <c r="FH373" s="67"/>
      <c r="FI373" s="67" t="s">
        <v>1734</v>
      </c>
    </row>
    <row r="374" spans="2:165" ht="24" x14ac:dyDescent="0.2">
      <c r="B374" s="67" t="s">
        <v>1011</v>
      </c>
      <c r="C374" s="67"/>
      <c r="D374" s="67" t="s">
        <v>1012</v>
      </c>
      <c r="E374" s="67" t="s">
        <v>13</v>
      </c>
      <c r="F374" s="67" t="s">
        <v>766</v>
      </c>
      <c r="G374" s="67" t="s">
        <v>694</v>
      </c>
      <c r="H374" s="67"/>
      <c r="I374" s="67" t="s">
        <v>41</v>
      </c>
      <c r="J374" s="67"/>
      <c r="K374" s="67"/>
      <c r="L374" s="67" t="s">
        <v>767</v>
      </c>
      <c r="M374" s="67" t="s">
        <v>752</v>
      </c>
      <c r="N374" s="67"/>
      <c r="O374" s="67" t="s">
        <v>1606</v>
      </c>
      <c r="P374" s="67" t="s">
        <v>942</v>
      </c>
      <c r="Q374" s="67">
        <v>100</v>
      </c>
      <c r="R374" s="67">
        <v>0</v>
      </c>
      <c r="S374" s="67">
        <v>0</v>
      </c>
      <c r="T374" s="67">
        <v>0</v>
      </c>
      <c r="U374" s="67">
        <v>0</v>
      </c>
      <c r="V374" s="67">
        <v>0</v>
      </c>
      <c r="W374" s="67">
        <v>0</v>
      </c>
      <c r="X374" s="67">
        <v>0</v>
      </c>
      <c r="Y374" s="67">
        <v>0</v>
      </c>
      <c r="Z374" s="67">
        <v>0</v>
      </c>
      <c r="AA374" s="67">
        <v>0</v>
      </c>
      <c r="AB374" s="67">
        <v>0</v>
      </c>
      <c r="AC374" s="67">
        <v>0</v>
      </c>
      <c r="AD374" s="67">
        <v>0</v>
      </c>
      <c r="AE374" s="67">
        <v>0</v>
      </c>
      <c r="AF374" s="67">
        <v>0</v>
      </c>
      <c r="AG374" s="67">
        <v>100</v>
      </c>
      <c r="AH374" s="67">
        <v>0</v>
      </c>
      <c r="AI374" s="67">
        <v>0</v>
      </c>
      <c r="AJ374" s="67">
        <v>0</v>
      </c>
      <c r="AK374" s="67">
        <v>0</v>
      </c>
      <c r="AL374" s="67">
        <v>0</v>
      </c>
      <c r="AM374" s="67">
        <v>0</v>
      </c>
      <c r="AN374" s="67">
        <v>0</v>
      </c>
      <c r="AO374" s="67">
        <v>0</v>
      </c>
      <c r="AP374" s="67">
        <v>0</v>
      </c>
      <c r="AQ374" s="67">
        <v>0</v>
      </c>
      <c r="AR374" s="67">
        <v>0</v>
      </c>
      <c r="AS374" s="67">
        <v>0</v>
      </c>
      <c r="AT374" s="67"/>
      <c r="AU374" s="67"/>
      <c r="AV374" s="67"/>
      <c r="AW374" s="67">
        <v>0</v>
      </c>
      <c r="AX374" s="67">
        <v>0</v>
      </c>
      <c r="AY374" s="67"/>
      <c r="AZ374" s="67"/>
      <c r="BA374" s="67"/>
      <c r="BB374" s="67"/>
      <c r="BC374" s="67"/>
      <c r="BD374" s="67"/>
      <c r="BE374" s="67"/>
      <c r="BG374" s="67"/>
      <c r="BH374" s="67"/>
      <c r="BI374" s="67"/>
      <c r="BJ374" s="67">
        <v>0</v>
      </c>
      <c r="BK374" s="67"/>
      <c r="BL374" s="67"/>
      <c r="BP374" s="67"/>
      <c r="BQ374" s="67">
        <v>0</v>
      </c>
      <c r="BR374" s="67"/>
      <c r="BS374" s="67"/>
      <c r="BT374" s="67">
        <v>0</v>
      </c>
      <c r="BU374" s="67">
        <v>0</v>
      </c>
      <c r="BV374" s="67"/>
      <c r="BW374" s="67"/>
      <c r="BX374" s="67">
        <v>0</v>
      </c>
      <c r="BY374" s="67">
        <v>0</v>
      </c>
      <c r="BZ374" s="67">
        <v>0</v>
      </c>
      <c r="CA374" s="67"/>
      <c r="CB374" s="67">
        <v>0</v>
      </c>
      <c r="CC374" s="67"/>
      <c r="CD374" s="67"/>
      <c r="CE374" s="67">
        <v>0</v>
      </c>
      <c r="CF374" s="67"/>
      <c r="CG374" s="67"/>
      <c r="CH374" s="67"/>
      <c r="CI374" s="67"/>
      <c r="CJ374" s="67"/>
      <c r="CK374" s="67">
        <v>0</v>
      </c>
      <c r="CL374" s="67"/>
      <c r="CM374" s="67"/>
      <c r="CN374" s="67"/>
      <c r="CO374" s="67">
        <v>0</v>
      </c>
      <c r="CP374" s="67"/>
      <c r="CQ374" s="67"/>
      <c r="CR374" s="67"/>
      <c r="CS374" s="67"/>
      <c r="CT374" s="67"/>
      <c r="CU374" s="67">
        <v>0</v>
      </c>
      <c r="CV374" s="67"/>
      <c r="CW374" s="67"/>
      <c r="CX374" s="67"/>
      <c r="CY374" s="67">
        <v>0</v>
      </c>
      <c r="CZ374" s="67"/>
      <c r="DA374" s="67"/>
      <c r="DB374" s="67"/>
      <c r="DC374" s="67"/>
      <c r="DF374" s="67"/>
      <c r="DG374" s="67">
        <v>0</v>
      </c>
      <c r="DH374" s="67">
        <v>0</v>
      </c>
      <c r="DI374" s="67">
        <v>0</v>
      </c>
      <c r="DJ374" s="67"/>
      <c r="DK374" s="67">
        <v>0</v>
      </c>
      <c r="DL374" s="67">
        <v>0</v>
      </c>
      <c r="DM374" s="67">
        <v>0</v>
      </c>
      <c r="DN374" s="67"/>
      <c r="DO374" s="67"/>
      <c r="DP374" s="67"/>
      <c r="DQ374" s="67">
        <v>0</v>
      </c>
      <c r="DR374" s="67">
        <v>0</v>
      </c>
      <c r="DS374" s="67"/>
      <c r="DT374" s="67"/>
      <c r="DU374" s="67">
        <v>0</v>
      </c>
      <c r="DV374" s="67">
        <v>0</v>
      </c>
      <c r="DW374" s="67">
        <v>0</v>
      </c>
      <c r="DX374" s="67">
        <v>0</v>
      </c>
      <c r="DY374" s="67"/>
      <c r="DZ374" s="67">
        <v>0</v>
      </c>
      <c r="EA374" s="67"/>
      <c r="EB374" s="67">
        <v>0</v>
      </c>
      <c r="EC374" s="67"/>
      <c r="ED374" s="67">
        <v>0</v>
      </c>
      <c r="EE374" s="67"/>
      <c r="EF374" s="67">
        <v>0</v>
      </c>
      <c r="EG374" s="67"/>
      <c r="EH374" s="67"/>
      <c r="EI374" s="67"/>
      <c r="EJ374" s="67"/>
      <c r="EK374" s="67"/>
      <c r="EL374" s="67"/>
      <c r="EM374" s="67"/>
      <c r="EN374" s="67"/>
      <c r="EO374" s="67"/>
      <c r="EP374" s="67">
        <v>0</v>
      </c>
      <c r="EQ374" s="67">
        <v>0</v>
      </c>
      <c r="ER374" s="67">
        <v>0</v>
      </c>
      <c r="ES374" s="67"/>
      <c r="ET374">
        <v>0</v>
      </c>
      <c r="EX374" s="67"/>
      <c r="EY374" s="67"/>
      <c r="EZ374" s="67"/>
      <c r="FA374" s="67">
        <v>100</v>
      </c>
      <c r="FB374" s="67">
        <v>0</v>
      </c>
      <c r="FC374" s="67"/>
      <c r="FD374" s="67"/>
      <c r="FE374" s="67"/>
      <c r="FF374" s="67"/>
      <c r="FG374" s="67"/>
      <c r="FH374" s="67"/>
      <c r="FI374" s="67" t="s">
        <v>1734</v>
      </c>
    </row>
    <row r="375" spans="2:165" ht="24" x14ac:dyDescent="0.2">
      <c r="B375" s="67" t="s">
        <v>1013</v>
      </c>
      <c r="C375" s="67"/>
      <c r="D375" s="67" t="s">
        <v>1014</v>
      </c>
      <c r="E375" s="67" t="s">
        <v>13</v>
      </c>
      <c r="F375" s="67" t="s">
        <v>766</v>
      </c>
      <c r="G375" s="67" t="s">
        <v>694</v>
      </c>
      <c r="H375" s="67"/>
      <c r="I375" s="67" t="s">
        <v>41</v>
      </c>
      <c r="J375" s="67"/>
      <c r="K375" s="67"/>
      <c r="L375" s="67" t="s">
        <v>767</v>
      </c>
      <c r="M375" s="67" t="s">
        <v>752</v>
      </c>
      <c r="N375" s="67"/>
      <c r="O375" s="67" t="s">
        <v>1606</v>
      </c>
      <c r="P375" s="67"/>
      <c r="Q375" s="67">
        <v>150</v>
      </c>
      <c r="R375" s="67">
        <v>0</v>
      </c>
      <c r="S375" s="67">
        <v>0</v>
      </c>
      <c r="T375" s="67">
        <v>0</v>
      </c>
      <c r="U375" s="67">
        <v>0</v>
      </c>
      <c r="V375" s="67">
        <v>0</v>
      </c>
      <c r="W375" s="67">
        <v>0</v>
      </c>
      <c r="X375" s="67">
        <v>0</v>
      </c>
      <c r="Y375" s="67">
        <v>0</v>
      </c>
      <c r="Z375" s="67">
        <v>0</v>
      </c>
      <c r="AA375" s="67">
        <v>0</v>
      </c>
      <c r="AB375" s="67">
        <v>0</v>
      </c>
      <c r="AC375" s="67">
        <v>0</v>
      </c>
      <c r="AD375" s="67">
        <v>0</v>
      </c>
      <c r="AE375" s="67">
        <v>0</v>
      </c>
      <c r="AF375" s="67">
        <v>0</v>
      </c>
      <c r="AG375" s="67">
        <v>0</v>
      </c>
      <c r="AH375" s="67">
        <v>0</v>
      </c>
      <c r="AI375" s="67">
        <v>0</v>
      </c>
      <c r="AJ375" s="67">
        <v>0</v>
      </c>
      <c r="AK375" s="67">
        <v>0</v>
      </c>
      <c r="AL375" s="67">
        <v>0</v>
      </c>
      <c r="AM375" s="67">
        <v>0</v>
      </c>
      <c r="AN375" s="67">
        <v>150</v>
      </c>
      <c r="AO375" s="67">
        <v>0</v>
      </c>
      <c r="AP375" s="67">
        <v>0</v>
      </c>
      <c r="AQ375" s="67">
        <v>0</v>
      </c>
      <c r="AR375" s="67">
        <v>0</v>
      </c>
      <c r="AS375" s="67">
        <v>0</v>
      </c>
      <c r="AT375" s="67"/>
      <c r="AU375" s="67"/>
      <c r="AV375" s="67"/>
      <c r="AW375" s="67">
        <v>0</v>
      </c>
      <c r="AX375" s="67">
        <v>0</v>
      </c>
      <c r="AY375" s="67"/>
      <c r="AZ375" s="67"/>
      <c r="BA375" s="67"/>
      <c r="BB375" s="67"/>
      <c r="BC375" s="67"/>
      <c r="BD375" s="67"/>
      <c r="BE375" s="67"/>
      <c r="BG375" s="67"/>
      <c r="BH375" s="67"/>
      <c r="BI375" s="67"/>
      <c r="BJ375" s="67">
        <v>0</v>
      </c>
      <c r="BK375" s="67"/>
      <c r="BL375" s="67"/>
      <c r="BP375" s="67"/>
      <c r="BQ375" s="67">
        <v>0</v>
      </c>
      <c r="BR375" s="67"/>
      <c r="BS375" s="67"/>
      <c r="BT375" s="67">
        <v>0</v>
      </c>
      <c r="BU375" s="67">
        <v>0</v>
      </c>
      <c r="BV375" s="67"/>
      <c r="BW375" s="67"/>
      <c r="BX375" s="67">
        <v>0</v>
      </c>
      <c r="BY375" s="67">
        <v>0</v>
      </c>
      <c r="BZ375" s="67">
        <v>0</v>
      </c>
      <c r="CA375" s="67"/>
      <c r="CB375" s="67">
        <v>0</v>
      </c>
      <c r="CC375" s="67"/>
      <c r="CD375" s="67"/>
      <c r="CE375" s="67">
        <v>0</v>
      </c>
      <c r="CF375" s="67"/>
      <c r="CG375" s="67"/>
      <c r="CH375" s="67"/>
      <c r="CI375" s="67"/>
      <c r="CJ375" s="67"/>
      <c r="CK375" s="67">
        <v>0</v>
      </c>
      <c r="CL375" s="67"/>
      <c r="CM375" s="67"/>
      <c r="CN375" s="67"/>
      <c r="CO375" s="67">
        <v>0</v>
      </c>
      <c r="CP375" s="67"/>
      <c r="CQ375" s="67"/>
      <c r="CR375" s="67"/>
      <c r="CS375" s="67"/>
      <c r="CT375" s="67"/>
      <c r="CU375" s="67">
        <v>0</v>
      </c>
      <c r="CV375" s="67"/>
      <c r="CW375" s="67"/>
      <c r="CX375" s="67"/>
      <c r="CY375" s="67">
        <v>0</v>
      </c>
      <c r="CZ375" s="67"/>
      <c r="DA375" s="67"/>
      <c r="DB375" s="67"/>
      <c r="DC375" s="67"/>
      <c r="DF375" s="67"/>
      <c r="DG375" s="67">
        <v>0</v>
      </c>
      <c r="DH375" s="67">
        <v>0</v>
      </c>
      <c r="DI375" s="67">
        <v>0</v>
      </c>
      <c r="DJ375" s="67"/>
      <c r="DK375" s="67">
        <v>0</v>
      </c>
      <c r="DL375" s="67">
        <v>0</v>
      </c>
      <c r="DM375" s="67">
        <v>0</v>
      </c>
      <c r="DN375" s="67"/>
      <c r="DO375" s="67"/>
      <c r="DP375" s="67"/>
      <c r="DQ375" s="67">
        <v>0</v>
      </c>
      <c r="DR375" s="67">
        <v>0</v>
      </c>
      <c r="DS375" s="67"/>
      <c r="DT375" s="67"/>
      <c r="DU375" s="67">
        <v>0</v>
      </c>
      <c r="DV375" s="67">
        <v>0</v>
      </c>
      <c r="DW375" s="67">
        <v>0</v>
      </c>
      <c r="DX375" s="67">
        <v>0</v>
      </c>
      <c r="DY375" s="67"/>
      <c r="DZ375" s="67">
        <v>0</v>
      </c>
      <c r="EA375" s="67"/>
      <c r="EB375" s="67">
        <v>0</v>
      </c>
      <c r="EC375" s="67"/>
      <c r="ED375" s="67">
        <v>0</v>
      </c>
      <c r="EE375" s="67"/>
      <c r="EF375" s="67">
        <v>0</v>
      </c>
      <c r="EG375" s="67"/>
      <c r="EH375" s="67"/>
      <c r="EI375" s="67"/>
      <c r="EJ375" s="67"/>
      <c r="EK375" s="67"/>
      <c r="EL375" s="67"/>
      <c r="EM375" s="67"/>
      <c r="EN375" s="67"/>
      <c r="EO375" s="67"/>
      <c r="EP375" s="67">
        <v>0</v>
      </c>
      <c r="EQ375" s="67">
        <v>0</v>
      </c>
      <c r="ER375" s="67">
        <v>0</v>
      </c>
      <c r="ES375" s="67"/>
      <c r="ET375">
        <v>0</v>
      </c>
      <c r="EX375" s="67"/>
      <c r="EY375" s="67"/>
      <c r="EZ375" s="67"/>
      <c r="FA375" s="67">
        <v>150</v>
      </c>
      <c r="FB375" s="67">
        <v>0</v>
      </c>
      <c r="FC375" s="67"/>
      <c r="FD375" s="67"/>
      <c r="FE375" s="67"/>
      <c r="FF375" s="67"/>
      <c r="FG375" s="67"/>
      <c r="FH375" s="67"/>
      <c r="FI375" s="67" t="s">
        <v>1734</v>
      </c>
    </row>
    <row r="376" spans="2:165" ht="24" x14ac:dyDescent="0.2">
      <c r="B376" s="67" t="s">
        <v>1015</v>
      </c>
      <c r="C376" s="67"/>
      <c r="D376" s="67" t="s">
        <v>1016</v>
      </c>
      <c r="E376" s="67" t="s">
        <v>889</v>
      </c>
      <c r="F376" s="67" t="s">
        <v>766</v>
      </c>
      <c r="G376" s="67" t="s">
        <v>694</v>
      </c>
      <c r="H376" s="67"/>
      <c r="I376" s="67" t="s">
        <v>41</v>
      </c>
      <c r="J376" s="67"/>
      <c r="K376" s="67"/>
      <c r="L376" s="67" t="s">
        <v>767</v>
      </c>
      <c r="M376" s="67" t="s">
        <v>752</v>
      </c>
      <c r="N376" s="67"/>
      <c r="O376" s="67" t="s">
        <v>1606</v>
      </c>
      <c r="P376" s="67"/>
      <c r="Q376" s="67">
        <v>70</v>
      </c>
      <c r="R376" s="67">
        <v>0</v>
      </c>
      <c r="S376" s="67">
        <v>0</v>
      </c>
      <c r="T376" s="67">
        <v>0</v>
      </c>
      <c r="U376" s="67">
        <v>0</v>
      </c>
      <c r="V376" s="67">
        <v>0</v>
      </c>
      <c r="W376" s="67">
        <v>0</v>
      </c>
      <c r="X376" s="67">
        <v>0</v>
      </c>
      <c r="Y376" s="67">
        <v>0</v>
      </c>
      <c r="Z376" s="67">
        <v>0</v>
      </c>
      <c r="AA376" s="67">
        <v>0</v>
      </c>
      <c r="AB376" s="67">
        <v>0</v>
      </c>
      <c r="AC376" s="67">
        <v>0</v>
      </c>
      <c r="AD376" s="67">
        <v>0</v>
      </c>
      <c r="AE376" s="67">
        <v>0</v>
      </c>
      <c r="AF376" s="67">
        <v>0</v>
      </c>
      <c r="AG376" s="67">
        <v>70</v>
      </c>
      <c r="AH376" s="67">
        <v>0</v>
      </c>
      <c r="AI376" s="67">
        <v>0</v>
      </c>
      <c r="AJ376" s="67">
        <v>0</v>
      </c>
      <c r="AK376" s="67">
        <v>0</v>
      </c>
      <c r="AL376" s="67">
        <v>0</v>
      </c>
      <c r="AM376" s="67">
        <v>0</v>
      </c>
      <c r="AN376" s="67">
        <v>0</v>
      </c>
      <c r="AO376" s="67">
        <v>0</v>
      </c>
      <c r="AP376" s="67">
        <v>0</v>
      </c>
      <c r="AQ376" s="67">
        <v>0</v>
      </c>
      <c r="AR376" s="67">
        <v>0</v>
      </c>
      <c r="AS376" s="67">
        <v>0</v>
      </c>
      <c r="AT376" s="67"/>
      <c r="AU376" s="67"/>
      <c r="AV376" s="67"/>
      <c r="AW376" s="67">
        <v>0</v>
      </c>
      <c r="AX376" s="67">
        <v>0</v>
      </c>
      <c r="AY376" s="67"/>
      <c r="AZ376" s="67"/>
      <c r="BA376" s="67"/>
      <c r="BB376" s="67"/>
      <c r="BC376" s="67"/>
      <c r="BD376" s="67"/>
      <c r="BE376" s="67"/>
      <c r="BG376" s="67"/>
      <c r="BH376" s="67"/>
      <c r="BI376" s="67"/>
      <c r="BJ376" s="67">
        <v>0</v>
      </c>
      <c r="BK376" s="67"/>
      <c r="BL376" s="67"/>
      <c r="BP376" s="67"/>
      <c r="BQ376" s="67">
        <v>0</v>
      </c>
      <c r="BR376" s="67"/>
      <c r="BS376" s="67"/>
      <c r="BT376" s="67">
        <v>0</v>
      </c>
      <c r="BU376" s="67">
        <v>0</v>
      </c>
      <c r="BV376" s="67"/>
      <c r="BW376" s="67"/>
      <c r="BX376" s="67">
        <v>0</v>
      </c>
      <c r="BY376" s="67">
        <v>0</v>
      </c>
      <c r="BZ376" s="67">
        <v>0</v>
      </c>
      <c r="CA376" s="67"/>
      <c r="CB376" s="67">
        <v>0</v>
      </c>
      <c r="CC376" s="67"/>
      <c r="CD376" s="67"/>
      <c r="CE376" s="67">
        <v>0</v>
      </c>
      <c r="CF376" s="67"/>
      <c r="CG376" s="67"/>
      <c r="CH376" s="67"/>
      <c r="CI376" s="67"/>
      <c r="CJ376" s="67"/>
      <c r="CK376" s="67">
        <v>0</v>
      </c>
      <c r="CL376" s="67"/>
      <c r="CM376" s="67"/>
      <c r="CN376" s="67"/>
      <c r="CO376" s="67">
        <v>0</v>
      </c>
      <c r="CP376" s="67"/>
      <c r="CQ376" s="67"/>
      <c r="CR376" s="67"/>
      <c r="CS376" s="67"/>
      <c r="CT376" s="67"/>
      <c r="CU376" s="67">
        <v>0</v>
      </c>
      <c r="CV376" s="67"/>
      <c r="CW376" s="67"/>
      <c r="CX376" s="67"/>
      <c r="CY376" s="67">
        <v>0</v>
      </c>
      <c r="CZ376" s="67"/>
      <c r="DA376" s="67"/>
      <c r="DB376" s="67"/>
      <c r="DC376" s="67"/>
      <c r="DF376" s="67"/>
      <c r="DG376" s="67">
        <v>0</v>
      </c>
      <c r="DH376" s="67">
        <v>0</v>
      </c>
      <c r="DI376" s="67">
        <v>0</v>
      </c>
      <c r="DJ376" s="67"/>
      <c r="DK376" s="67">
        <v>0</v>
      </c>
      <c r="DL376" s="67">
        <v>0</v>
      </c>
      <c r="DM376" s="67">
        <v>0</v>
      </c>
      <c r="DN376" s="67"/>
      <c r="DO376" s="67"/>
      <c r="DP376" s="67"/>
      <c r="DQ376" s="67">
        <v>0</v>
      </c>
      <c r="DR376" s="67">
        <v>0</v>
      </c>
      <c r="DS376" s="67"/>
      <c r="DT376" s="67"/>
      <c r="DU376" s="67">
        <v>0</v>
      </c>
      <c r="DV376" s="67">
        <v>0</v>
      </c>
      <c r="DW376" s="67">
        <v>0</v>
      </c>
      <c r="DX376" s="67">
        <v>0</v>
      </c>
      <c r="DY376" s="67"/>
      <c r="DZ376" s="67">
        <v>0</v>
      </c>
      <c r="EA376" s="67"/>
      <c r="EB376" s="67">
        <v>0</v>
      </c>
      <c r="EC376" s="67"/>
      <c r="ED376" s="67">
        <v>0</v>
      </c>
      <c r="EE376" s="67"/>
      <c r="EF376" s="67">
        <v>0</v>
      </c>
      <c r="EG376" s="67"/>
      <c r="EH376" s="67"/>
      <c r="EI376" s="67"/>
      <c r="EJ376" s="67"/>
      <c r="EK376" s="67"/>
      <c r="EL376" s="67"/>
      <c r="EM376" s="67"/>
      <c r="EN376" s="67"/>
      <c r="EO376" s="67"/>
      <c r="EP376" s="67">
        <v>0</v>
      </c>
      <c r="EQ376" s="67">
        <v>0</v>
      </c>
      <c r="ER376" s="67">
        <v>0</v>
      </c>
      <c r="ES376" s="67"/>
      <c r="ET376">
        <v>0</v>
      </c>
      <c r="EX376" s="67"/>
      <c r="EY376" s="67"/>
      <c r="EZ376" s="67"/>
      <c r="FA376" s="67">
        <v>70</v>
      </c>
      <c r="FB376" s="67">
        <v>0</v>
      </c>
      <c r="FC376" s="67"/>
      <c r="FD376" s="67"/>
      <c r="FE376" s="67"/>
      <c r="FF376" s="67"/>
      <c r="FG376" s="67"/>
      <c r="FH376" s="67"/>
      <c r="FI376" s="67" t="s">
        <v>1734</v>
      </c>
    </row>
    <row r="377" spans="2:165" ht="24" x14ac:dyDescent="0.2">
      <c r="B377" s="67" t="s">
        <v>1017</v>
      </c>
      <c r="C377" s="67"/>
      <c r="D377" s="67" t="s">
        <v>1018</v>
      </c>
      <c r="E377" s="67" t="s">
        <v>13</v>
      </c>
      <c r="F377" s="67" t="s">
        <v>766</v>
      </c>
      <c r="G377" s="67" t="s">
        <v>694</v>
      </c>
      <c r="H377" s="67"/>
      <c r="I377" s="67" t="s">
        <v>41</v>
      </c>
      <c r="J377" s="67"/>
      <c r="K377" s="67"/>
      <c r="L377" s="67" t="s">
        <v>767</v>
      </c>
      <c r="M377" s="67" t="s">
        <v>752</v>
      </c>
      <c r="N377" s="67"/>
      <c r="O377" s="67" t="s">
        <v>1605</v>
      </c>
      <c r="P377" s="67" t="s">
        <v>942</v>
      </c>
      <c r="Q377" s="67">
        <v>0</v>
      </c>
      <c r="R377" s="67">
        <v>0</v>
      </c>
      <c r="S377" s="67">
        <v>0</v>
      </c>
      <c r="T377" s="67">
        <v>0</v>
      </c>
      <c r="U377" s="67">
        <v>0</v>
      </c>
      <c r="V377" s="67">
        <v>0</v>
      </c>
      <c r="W377" s="67">
        <v>0</v>
      </c>
      <c r="X377" s="67">
        <v>0</v>
      </c>
      <c r="Y377" s="67">
        <v>0</v>
      </c>
      <c r="Z377" s="67">
        <v>0</v>
      </c>
      <c r="AA377" s="67">
        <v>0</v>
      </c>
      <c r="AB377" s="67">
        <v>0</v>
      </c>
      <c r="AC377" s="67">
        <v>0</v>
      </c>
      <c r="AD377" s="67">
        <v>0</v>
      </c>
      <c r="AE377" s="67">
        <v>0</v>
      </c>
      <c r="AF377" s="67">
        <v>0</v>
      </c>
      <c r="AG377" s="67">
        <v>0</v>
      </c>
      <c r="AH377" s="67">
        <v>0</v>
      </c>
      <c r="AI377" s="67">
        <v>0</v>
      </c>
      <c r="AJ377" s="67">
        <v>0</v>
      </c>
      <c r="AK377" s="67">
        <v>0</v>
      </c>
      <c r="AL377" s="67">
        <v>0</v>
      </c>
      <c r="AM377" s="67">
        <v>0</v>
      </c>
      <c r="AN377" s="67">
        <v>0</v>
      </c>
      <c r="AO377" s="67">
        <v>0</v>
      </c>
      <c r="AP377" s="67">
        <v>0</v>
      </c>
      <c r="AQ377" s="67">
        <v>0</v>
      </c>
      <c r="AR377" s="67">
        <v>0</v>
      </c>
      <c r="AS377" s="67">
        <v>0</v>
      </c>
      <c r="AT377" s="67"/>
      <c r="AU377" s="67"/>
      <c r="AV377" s="67"/>
      <c r="AW377" s="67">
        <v>0</v>
      </c>
      <c r="AX377" s="67">
        <v>0</v>
      </c>
      <c r="AY377" s="67"/>
      <c r="AZ377" s="67"/>
      <c r="BA377" s="67"/>
      <c r="BB377" s="67"/>
      <c r="BC377" s="67"/>
      <c r="BD377" s="67"/>
      <c r="BE377" s="67"/>
      <c r="BG377" s="67"/>
      <c r="BH377" s="67"/>
      <c r="BI377" s="67"/>
      <c r="BJ377" s="67">
        <v>0</v>
      </c>
      <c r="BK377" s="67"/>
      <c r="BL377" s="67"/>
      <c r="BP377" s="67"/>
      <c r="BQ377" s="67">
        <v>0</v>
      </c>
      <c r="BR377" s="67"/>
      <c r="BS377" s="67"/>
      <c r="BT377" s="67">
        <v>0</v>
      </c>
      <c r="BU377" s="67">
        <v>0</v>
      </c>
      <c r="BV377" s="67"/>
      <c r="BW377" s="67"/>
      <c r="BX377" s="67">
        <v>0</v>
      </c>
      <c r="BY377" s="67">
        <v>0</v>
      </c>
      <c r="BZ377" s="67">
        <v>0</v>
      </c>
      <c r="CA377" s="67"/>
      <c r="CB377" s="67">
        <v>0</v>
      </c>
      <c r="CC377" s="67"/>
      <c r="CD377" s="67"/>
      <c r="CE377" s="67">
        <v>0</v>
      </c>
      <c r="CF377" s="67"/>
      <c r="CG377" s="67"/>
      <c r="CH377" s="67"/>
      <c r="CI377" s="67"/>
      <c r="CJ377" s="67"/>
      <c r="CK377" s="67">
        <v>0</v>
      </c>
      <c r="CL377" s="67"/>
      <c r="CM377" s="67"/>
      <c r="CN377" s="67"/>
      <c r="CO377" s="67">
        <v>0</v>
      </c>
      <c r="CP377" s="67"/>
      <c r="CQ377" s="67"/>
      <c r="CR377" s="67"/>
      <c r="CS377" s="67"/>
      <c r="CT377" s="67"/>
      <c r="CU377" s="67">
        <v>0</v>
      </c>
      <c r="CV377" s="67"/>
      <c r="CW377" s="67"/>
      <c r="CX377" s="67"/>
      <c r="CY377" s="67">
        <v>0</v>
      </c>
      <c r="CZ377" s="67"/>
      <c r="DA377" s="67"/>
      <c r="DB377" s="67"/>
      <c r="DC377" s="67"/>
      <c r="DF377" s="67"/>
      <c r="DG377" s="67">
        <v>0</v>
      </c>
      <c r="DH377" s="67">
        <v>0</v>
      </c>
      <c r="DI377" s="67">
        <v>0</v>
      </c>
      <c r="DJ377" s="67"/>
      <c r="DK377" s="67">
        <v>0</v>
      </c>
      <c r="DL377" s="67">
        <v>0</v>
      </c>
      <c r="DM377" s="67">
        <v>0</v>
      </c>
      <c r="DN377" s="67"/>
      <c r="DO377" s="67"/>
      <c r="DP377" s="67"/>
      <c r="DQ377" s="67">
        <v>0</v>
      </c>
      <c r="DR377" s="67">
        <v>0</v>
      </c>
      <c r="DS377" s="67"/>
      <c r="DT377" s="67"/>
      <c r="DU377" s="67">
        <v>0</v>
      </c>
      <c r="DV377" s="67">
        <v>0</v>
      </c>
      <c r="DW377" s="67">
        <v>0</v>
      </c>
      <c r="DX377" s="67">
        <v>0</v>
      </c>
      <c r="DY377" s="67"/>
      <c r="DZ377" s="67">
        <v>0</v>
      </c>
      <c r="EA377" s="67"/>
      <c r="EB377" s="67">
        <v>0</v>
      </c>
      <c r="EC377" s="67"/>
      <c r="ED377" s="67">
        <v>0</v>
      </c>
      <c r="EE377" s="67"/>
      <c r="EF377" s="67">
        <v>0</v>
      </c>
      <c r="EG377" s="67"/>
      <c r="EH377" s="67"/>
      <c r="EI377" s="67"/>
      <c r="EJ377" s="67"/>
      <c r="EK377" s="67"/>
      <c r="EL377" s="67"/>
      <c r="EM377" s="67"/>
      <c r="EN377" s="67"/>
      <c r="EO377" s="67"/>
      <c r="EP377" s="67">
        <v>0</v>
      </c>
      <c r="EQ377" s="67">
        <v>0</v>
      </c>
      <c r="ER377" s="67">
        <v>0</v>
      </c>
      <c r="ES377" s="67"/>
      <c r="ET377">
        <v>0</v>
      </c>
      <c r="EX377" s="67"/>
      <c r="EY377" s="67"/>
      <c r="EZ377" s="67"/>
      <c r="FA377" s="67">
        <v>0</v>
      </c>
      <c r="FB377" s="67">
        <v>0</v>
      </c>
      <c r="FC377" s="67"/>
      <c r="FD377" s="67"/>
      <c r="FE377" s="67"/>
      <c r="FF377" s="67"/>
      <c r="FG377" s="67"/>
      <c r="FH377" s="67"/>
      <c r="FI377" s="67" t="s">
        <v>1734</v>
      </c>
    </row>
    <row r="378" spans="2:165" x14ac:dyDescent="0.2">
      <c r="B378" s="67" t="s">
        <v>1019</v>
      </c>
      <c r="C378" s="67"/>
      <c r="D378" s="67" t="s">
        <v>1020</v>
      </c>
      <c r="E378" s="67"/>
      <c r="F378" s="67" t="s">
        <v>810</v>
      </c>
      <c r="G378" s="67" t="s">
        <v>694</v>
      </c>
      <c r="H378" s="67"/>
      <c r="I378" s="67" t="s">
        <v>43</v>
      </c>
      <c r="J378" s="67"/>
      <c r="K378" s="67"/>
      <c r="L378" s="67" t="s">
        <v>779</v>
      </c>
      <c r="M378" s="67" t="s">
        <v>752</v>
      </c>
      <c r="N378" s="67"/>
      <c r="O378" s="67" t="s">
        <v>1605</v>
      </c>
      <c r="P378" s="67"/>
      <c r="Q378" s="67">
        <v>0</v>
      </c>
      <c r="R378" s="67">
        <v>0</v>
      </c>
      <c r="S378" s="67">
        <v>0</v>
      </c>
      <c r="T378" s="67">
        <v>0</v>
      </c>
      <c r="U378" s="67">
        <v>0</v>
      </c>
      <c r="V378" s="67">
        <v>0</v>
      </c>
      <c r="W378" s="67">
        <v>0</v>
      </c>
      <c r="X378" s="67">
        <v>0</v>
      </c>
      <c r="Y378" s="67">
        <v>0</v>
      </c>
      <c r="Z378" s="67">
        <v>0</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67">
        <v>0</v>
      </c>
      <c r="AQ378" s="67">
        <v>0</v>
      </c>
      <c r="AR378" s="67">
        <v>0</v>
      </c>
      <c r="AS378" s="67">
        <v>0</v>
      </c>
      <c r="AT378" s="67"/>
      <c r="AU378" s="67"/>
      <c r="AV378" s="67"/>
      <c r="AW378" s="67">
        <v>0</v>
      </c>
      <c r="AX378" s="67">
        <v>0</v>
      </c>
      <c r="AY378" s="67"/>
      <c r="AZ378" s="67"/>
      <c r="BA378" s="67"/>
      <c r="BB378" s="67"/>
      <c r="BC378" s="67"/>
      <c r="BD378" s="67"/>
      <c r="BE378" s="67"/>
      <c r="BG378" s="67"/>
      <c r="BH378" s="67"/>
      <c r="BI378" s="67"/>
      <c r="BJ378" s="67">
        <v>0</v>
      </c>
      <c r="BK378" s="67"/>
      <c r="BL378" s="67"/>
      <c r="BP378" s="67"/>
      <c r="BQ378" s="67">
        <v>0</v>
      </c>
      <c r="BR378" s="67"/>
      <c r="BS378" s="67"/>
      <c r="BT378" s="67">
        <v>0</v>
      </c>
      <c r="BU378" s="67">
        <v>0</v>
      </c>
      <c r="BV378" s="67"/>
      <c r="BW378" s="67"/>
      <c r="BX378" s="67">
        <v>0</v>
      </c>
      <c r="BY378" s="67">
        <v>0</v>
      </c>
      <c r="BZ378" s="67">
        <v>0</v>
      </c>
      <c r="CA378" s="67"/>
      <c r="CB378" s="67">
        <v>0</v>
      </c>
      <c r="CC378" s="67"/>
      <c r="CD378" s="67"/>
      <c r="CE378" s="67">
        <v>0</v>
      </c>
      <c r="CF378" s="67"/>
      <c r="CG378" s="67"/>
      <c r="CH378" s="67"/>
      <c r="CI378" s="67"/>
      <c r="CJ378" s="67"/>
      <c r="CK378" s="67">
        <v>0</v>
      </c>
      <c r="CL378" s="67"/>
      <c r="CM378" s="67"/>
      <c r="CN378" s="67"/>
      <c r="CO378" s="67">
        <v>0</v>
      </c>
      <c r="CP378" s="67"/>
      <c r="CQ378" s="67"/>
      <c r="CR378" s="67"/>
      <c r="CS378" s="67"/>
      <c r="CT378" s="67"/>
      <c r="CU378" s="67">
        <v>0</v>
      </c>
      <c r="CV378" s="67"/>
      <c r="CW378" s="67"/>
      <c r="CX378" s="67"/>
      <c r="CY378" s="67">
        <v>0</v>
      </c>
      <c r="CZ378" s="67"/>
      <c r="DA378" s="67"/>
      <c r="DB378" s="67"/>
      <c r="DC378" s="67"/>
      <c r="DF378" s="67"/>
      <c r="DG378" s="67">
        <v>0</v>
      </c>
      <c r="DH378" s="67">
        <v>0</v>
      </c>
      <c r="DI378" s="67">
        <v>0</v>
      </c>
      <c r="DJ378" s="67"/>
      <c r="DK378" s="67">
        <v>0</v>
      </c>
      <c r="DL378" s="67">
        <v>0</v>
      </c>
      <c r="DM378" s="67">
        <v>0</v>
      </c>
      <c r="DN378" s="67"/>
      <c r="DO378" s="67"/>
      <c r="DP378" s="67"/>
      <c r="DQ378" s="67">
        <v>0</v>
      </c>
      <c r="DR378" s="67">
        <v>0</v>
      </c>
      <c r="DS378" s="67"/>
      <c r="DT378" s="67"/>
      <c r="DU378" s="67">
        <v>0</v>
      </c>
      <c r="DV378" s="67">
        <v>0</v>
      </c>
      <c r="DW378" s="67">
        <v>0</v>
      </c>
      <c r="DX378" s="67">
        <v>0</v>
      </c>
      <c r="DY378" s="67"/>
      <c r="DZ378" s="67">
        <v>0</v>
      </c>
      <c r="EA378" s="67"/>
      <c r="EB378" s="67">
        <v>0</v>
      </c>
      <c r="EC378" s="67"/>
      <c r="ED378" s="67">
        <v>0</v>
      </c>
      <c r="EE378" s="67"/>
      <c r="EF378" s="67">
        <v>0</v>
      </c>
      <c r="EG378" s="67"/>
      <c r="EH378" s="67"/>
      <c r="EI378" s="67"/>
      <c r="EJ378" s="67"/>
      <c r="EK378" s="67"/>
      <c r="EL378" s="67"/>
      <c r="EM378" s="67"/>
      <c r="EN378" s="67"/>
      <c r="EO378" s="67"/>
      <c r="EP378" s="67">
        <v>0</v>
      </c>
      <c r="EQ378" s="67">
        <v>0</v>
      </c>
      <c r="ER378" s="67">
        <v>0</v>
      </c>
      <c r="ES378" s="67"/>
      <c r="ET378">
        <v>0</v>
      </c>
      <c r="EX378" s="67"/>
      <c r="EY378" s="67"/>
      <c r="EZ378" s="67"/>
      <c r="FA378" s="67">
        <v>0</v>
      </c>
      <c r="FB378" s="67">
        <v>0</v>
      </c>
      <c r="FC378" s="67"/>
      <c r="FD378" s="67"/>
      <c r="FE378" s="67"/>
      <c r="FF378" s="67"/>
      <c r="FG378" s="67"/>
      <c r="FH378" s="67"/>
      <c r="FI378" s="67" t="s">
        <v>1734</v>
      </c>
    </row>
    <row r="379" spans="2:165" ht="24" x14ac:dyDescent="0.2">
      <c r="B379" s="67" t="s">
        <v>1021</v>
      </c>
      <c r="C379" s="67"/>
      <c r="D379" s="67" t="s">
        <v>1022</v>
      </c>
      <c r="E379" s="67" t="s">
        <v>13</v>
      </c>
      <c r="F379" s="67" t="s">
        <v>810</v>
      </c>
      <c r="G379" s="67" t="s">
        <v>694</v>
      </c>
      <c r="H379" s="67"/>
      <c r="I379" s="67" t="s">
        <v>41</v>
      </c>
      <c r="J379" s="67"/>
      <c r="K379" s="67"/>
      <c r="L379" s="67" t="s">
        <v>779</v>
      </c>
      <c r="M379" s="67" t="s">
        <v>752</v>
      </c>
      <c r="N379" s="67"/>
      <c r="O379" s="67" t="s">
        <v>1599</v>
      </c>
      <c r="P379" s="67"/>
      <c r="Q379" s="67">
        <v>270</v>
      </c>
      <c r="R379" s="67">
        <v>0</v>
      </c>
      <c r="S379" s="67">
        <v>0</v>
      </c>
      <c r="T379" s="67">
        <v>0</v>
      </c>
      <c r="U379" s="67">
        <v>0</v>
      </c>
      <c r="V379" s="67">
        <v>0</v>
      </c>
      <c r="W379" s="67">
        <v>270</v>
      </c>
      <c r="X379" s="67">
        <v>0</v>
      </c>
      <c r="Y379" s="67">
        <v>0</v>
      </c>
      <c r="Z379" s="67">
        <v>0</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67">
        <v>0</v>
      </c>
      <c r="AQ379" s="67">
        <v>0</v>
      </c>
      <c r="AR379" s="67">
        <v>0</v>
      </c>
      <c r="AS379" s="67">
        <v>0</v>
      </c>
      <c r="AT379" s="67"/>
      <c r="AU379" s="67"/>
      <c r="AV379" s="67"/>
      <c r="AW379" s="67">
        <v>0</v>
      </c>
      <c r="AX379" s="67">
        <v>0</v>
      </c>
      <c r="AY379" s="67"/>
      <c r="AZ379" s="67"/>
      <c r="BA379" s="67"/>
      <c r="BB379" s="67"/>
      <c r="BC379" s="67"/>
      <c r="BD379" s="67"/>
      <c r="BE379" s="67"/>
      <c r="BG379" s="67"/>
      <c r="BH379" s="67"/>
      <c r="BI379" s="67"/>
      <c r="BJ379" s="67">
        <v>0</v>
      </c>
      <c r="BK379" s="67"/>
      <c r="BL379" s="67"/>
      <c r="BP379" s="67"/>
      <c r="BQ379" s="67">
        <v>0</v>
      </c>
      <c r="BR379" s="67"/>
      <c r="BS379" s="67"/>
      <c r="BT379" s="67">
        <v>0</v>
      </c>
      <c r="BU379" s="67">
        <v>0</v>
      </c>
      <c r="BV379" s="67"/>
      <c r="BW379" s="67"/>
      <c r="BX379" s="67">
        <v>0</v>
      </c>
      <c r="BY379" s="67">
        <v>0</v>
      </c>
      <c r="BZ379" s="67">
        <v>0</v>
      </c>
      <c r="CA379" s="67"/>
      <c r="CB379" s="67">
        <v>0</v>
      </c>
      <c r="CC379" s="67"/>
      <c r="CD379" s="67"/>
      <c r="CE379" s="67">
        <v>0</v>
      </c>
      <c r="CF379" s="67"/>
      <c r="CG379" s="67"/>
      <c r="CH379" s="67"/>
      <c r="CI379" s="67"/>
      <c r="CJ379" s="67"/>
      <c r="CK379" s="67">
        <v>0</v>
      </c>
      <c r="CL379" s="67"/>
      <c r="CM379" s="67"/>
      <c r="CN379" s="67"/>
      <c r="CO379" s="67">
        <v>0</v>
      </c>
      <c r="CP379" s="67"/>
      <c r="CQ379" s="67"/>
      <c r="CR379" s="67"/>
      <c r="CS379" s="67"/>
      <c r="CT379" s="67"/>
      <c r="CU379" s="67">
        <v>0</v>
      </c>
      <c r="CV379" s="67"/>
      <c r="CW379" s="67"/>
      <c r="CX379" s="67"/>
      <c r="CY379" s="67">
        <v>0</v>
      </c>
      <c r="CZ379" s="67"/>
      <c r="DA379" s="67"/>
      <c r="DB379" s="67"/>
      <c r="DC379" s="67"/>
      <c r="DF379" s="67"/>
      <c r="DG379" s="67">
        <v>0</v>
      </c>
      <c r="DH379" s="67">
        <v>0</v>
      </c>
      <c r="DI379" s="67">
        <v>0</v>
      </c>
      <c r="DJ379" s="67"/>
      <c r="DK379" s="67">
        <v>0</v>
      </c>
      <c r="DL379" s="67">
        <v>0</v>
      </c>
      <c r="DM379" s="67">
        <v>0</v>
      </c>
      <c r="DN379" s="67"/>
      <c r="DO379" s="67"/>
      <c r="DP379" s="67"/>
      <c r="DQ379" s="67">
        <v>0</v>
      </c>
      <c r="DR379" s="67">
        <v>0</v>
      </c>
      <c r="DS379" s="67"/>
      <c r="DT379" s="67"/>
      <c r="DU379" s="67">
        <v>0</v>
      </c>
      <c r="DV379" s="67">
        <v>0</v>
      </c>
      <c r="DW379" s="67">
        <v>0</v>
      </c>
      <c r="DX379" s="67">
        <v>0</v>
      </c>
      <c r="DY379" s="67"/>
      <c r="DZ379" s="67">
        <v>0</v>
      </c>
      <c r="EA379" s="67"/>
      <c r="EB379" s="67">
        <v>0</v>
      </c>
      <c r="EC379" s="67"/>
      <c r="ED379" s="67">
        <v>0</v>
      </c>
      <c r="EE379" s="67"/>
      <c r="EF379" s="67">
        <v>0</v>
      </c>
      <c r="EG379" s="67"/>
      <c r="EH379" s="67"/>
      <c r="EI379" s="67"/>
      <c r="EJ379" s="67"/>
      <c r="EK379" s="67"/>
      <c r="EL379" s="67"/>
      <c r="EM379" s="67"/>
      <c r="EN379" s="67"/>
      <c r="EO379" s="67"/>
      <c r="EP379" s="67">
        <v>0</v>
      </c>
      <c r="EQ379" s="67">
        <v>0</v>
      </c>
      <c r="ER379" s="67">
        <v>0</v>
      </c>
      <c r="ES379" s="67"/>
      <c r="ET379">
        <v>0</v>
      </c>
      <c r="EX379" s="67"/>
      <c r="EY379" s="67"/>
      <c r="EZ379" s="67"/>
      <c r="FA379" s="67">
        <v>270</v>
      </c>
      <c r="FB379" s="67">
        <v>0</v>
      </c>
      <c r="FC379" s="67"/>
      <c r="FD379" s="67"/>
      <c r="FE379" s="67"/>
      <c r="FF379" s="67"/>
      <c r="FG379" s="67"/>
      <c r="FH379" s="67"/>
      <c r="FI379" s="67" t="s">
        <v>1734</v>
      </c>
    </row>
    <row r="380" spans="2:165" ht="24" x14ac:dyDescent="0.2">
      <c r="B380" s="67" t="s">
        <v>1023</v>
      </c>
      <c r="C380" s="67"/>
      <c r="D380" s="67" t="s">
        <v>1024</v>
      </c>
      <c r="E380" s="67" t="s">
        <v>13</v>
      </c>
      <c r="F380" s="67" t="s">
        <v>766</v>
      </c>
      <c r="G380" s="67" t="s">
        <v>694</v>
      </c>
      <c r="H380" s="67"/>
      <c r="I380" s="67" t="s">
        <v>41</v>
      </c>
      <c r="J380" s="67"/>
      <c r="K380" s="67"/>
      <c r="L380" s="67" t="s">
        <v>767</v>
      </c>
      <c r="M380" s="67" t="s">
        <v>752</v>
      </c>
      <c r="N380" s="67"/>
      <c r="O380" s="67" t="s">
        <v>1605</v>
      </c>
      <c r="P380" s="67" t="s">
        <v>942</v>
      </c>
      <c r="Q380" s="67">
        <v>0</v>
      </c>
      <c r="R380" s="67">
        <v>0</v>
      </c>
      <c r="S380" s="67">
        <v>0</v>
      </c>
      <c r="T380" s="67">
        <v>0</v>
      </c>
      <c r="U380" s="67">
        <v>0</v>
      </c>
      <c r="V380" s="67">
        <v>0</v>
      </c>
      <c r="W380" s="67">
        <v>0</v>
      </c>
      <c r="X380" s="67">
        <v>0</v>
      </c>
      <c r="Y380" s="67">
        <v>0</v>
      </c>
      <c r="Z380" s="67">
        <v>0</v>
      </c>
      <c r="AA380" s="67">
        <v>0</v>
      </c>
      <c r="AB380" s="67">
        <v>0</v>
      </c>
      <c r="AC380" s="67">
        <v>0</v>
      </c>
      <c r="AD380" s="67">
        <v>0</v>
      </c>
      <c r="AE380" s="67">
        <v>0</v>
      </c>
      <c r="AF380" s="67">
        <v>0</v>
      </c>
      <c r="AG380" s="67">
        <v>0</v>
      </c>
      <c r="AH380" s="67">
        <v>0</v>
      </c>
      <c r="AI380" s="67">
        <v>0</v>
      </c>
      <c r="AJ380" s="67">
        <v>0</v>
      </c>
      <c r="AK380" s="67">
        <v>0</v>
      </c>
      <c r="AL380" s="67">
        <v>0</v>
      </c>
      <c r="AM380" s="67">
        <v>0</v>
      </c>
      <c r="AN380" s="67">
        <v>0</v>
      </c>
      <c r="AO380" s="67">
        <v>0</v>
      </c>
      <c r="AP380" s="67">
        <v>0</v>
      </c>
      <c r="AQ380" s="67">
        <v>0</v>
      </c>
      <c r="AR380" s="67">
        <v>0</v>
      </c>
      <c r="AS380" s="67">
        <v>0</v>
      </c>
      <c r="AT380" s="67"/>
      <c r="AU380" s="67"/>
      <c r="AV380" s="67"/>
      <c r="AW380" s="67">
        <v>0</v>
      </c>
      <c r="AX380" s="67">
        <v>0</v>
      </c>
      <c r="AY380" s="67"/>
      <c r="AZ380" s="67"/>
      <c r="BA380" s="67"/>
      <c r="BB380" s="67"/>
      <c r="BC380" s="67"/>
      <c r="BD380" s="67"/>
      <c r="BE380" s="67"/>
      <c r="BG380" s="67"/>
      <c r="BH380" s="67"/>
      <c r="BI380" s="67"/>
      <c r="BJ380" s="67">
        <v>0</v>
      </c>
      <c r="BK380" s="67"/>
      <c r="BL380" s="67"/>
      <c r="BP380" s="67"/>
      <c r="BQ380" s="67">
        <v>0</v>
      </c>
      <c r="BR380" s="67"/>
      <c r="BS380" s="67"/>
      <c r="BT380" s="67">
        <v>0</v>
      </c>
      <c r="BU380" s="67">
        <v>0</v>
      </c>
      <c r="BV380" s="67"/>
      <c r="BW380" s="67"/>
      <c r="BX380" s="67">
        <v>0</v>
      </c>
      <c r="BY380" s="67">
        <v>0</v>
      </c>
      <c r="BZ380" s="67">
        <v>0</v>
      </c>
      <c r="CA380" s="67"/>
      <c r="CB380" s="67">
        <v>0</v>
      </c>
      <c r="CC380" s="67"/>
      <c r="CD380" s="67"/>
      <c r="CE380" s="67">
        <v>0</v>
      </c>
      <c r="CF380" s="67"/>
      <c r="CG380" s="67"/>
      <c r="CH380" s="67"/>
      <c r="CI380" s="67"/>
      <c r="CJ380" s="67"/>
      <c r="CK380" s="67">
        <v>0</v>
      </c>
      <c r="CL380" s="67"/>
      <c r="CM380" s="67"/>
      <c r="CN380" s="67"/>
      <c r="CO380" s="67">
        <v>0</v>
      </c>
      <c r="CP380" s="67"/>
      <c r="CQ380" s="67"/>
      <c r="CR380" s="67"/>
      <c r="CS380" s="67"/>
      <c r="CT380" s="67"/>
      <c r="CU380" s="67">
        <v>0</v>
      </c>
      <c r="CV380" s="67"/>
      <c r="CW380" s="67"/>
      <c r="CX380" s="67"/>
      <c r="CY380" s="67">
        <v>0</v>
      </c>
      <c r="CZ380" s="67"/>
      <c r="DA380" s="67"/>
      <c r="DB380" s="67"/>
      <c r="DC380" s="67"/>
      <c r="DF380" s="67"/>
      <c r="DG380" s="67">
        <v>0</v>
      </c>
      <c r="DH380" s="67">
        <v>0</v>
      </c>
      <c r="DI380" s="67">
        <v>0</v>
      </c>
      <c r="DJ380" s="67"/>
      <c r="DK380" s="67">
        <v>0</v>
      </c>
      <c r="DL380" s="67">
        <v>0</v>
      </c>
      <c r="DM380" s="67">
        <v>0</v>
      </c>
      <c r="DN380" s="67"/>
      <c r="DO380" s="67"/>
      <c r="DP380" s="67"/>
      <c r="DQ380" s="67">
        <v>0</v>
      </c>
      <c r="DR380" s="67">
        <v>0</v>
      </c>
      <c r="DS380" s="67"/>
      <c r="DT380" s="67"/>
      <c r="DU380" s="67">
        <v>0</v>
      </c>
      <c r="DV380" s="67">
        <v>0</v>
      </c>
      <c r="DW380" s="67">
        <v>0</v>
      </c>
      <c r="DX380" s="67">
        <v>0</v>
      </c>
      <c r="DY380" s="67"/>
      <c r="DZ380" s="67">
        <v>0</v>
      </c>
      <c r="EA380" s="67"/>
      <c r="EB380" s="67">
        <v>0</v>
      </c>
      <c r="EC380" s="67"/>
      <c r="ED380" s="67">
        <v>0</v>
      </c>
      <c r="EE380" s="67"/>
      <c r="EF380" s="67">
        <v>0</v>
      </c>
      <c r="EG380" s="67"/>
      <c r="EH380" s="67"/>
      <c r="EI380" s="67"/>
      <c r="EJ380" s="67"/>
      <c r="EK380" s="67"/>
      <c r="EL380" s="67"/>
      <c r="EM380" s="67"/>
      <c r="EN380" s="67"/>
      <c r="EO380" s="67"/>
      <c r="EP380" s="67">
        <v>0</v>
      </c>
      <c r="EQ380" s="67">
        <v>0</v>
      </c>
      <c r="ER380" s="67">
        <v>0</v>
      </c>
      <c r="ES380" s="67"/>
      <c r="ET380">
        <v>0</v>
      </c>
      <c r="EX380" s="67"/>
      <c r="EY380" s="67"/>
      <c r="EZ380" s="67"/>
      <c r="FA380" s="67">
        <v>0</v>
      </c>
      <c r="FB380" s="67">
        <v>0</v>
      </c>
      <c r="FC380" s="67"/>
      <c r="FD380" s="67"/>
      <c r="FE380" s="67"/>
      <c r="FF380" s="67"/>
      <c r="FG380" s="67"/>
      <c r="FH380" s="67"/>
      <c r="FI380" s="67" t="s">
        <v>1734</v>
      </c>
    </row>
    <row r="381" spans="2:165" ht="24" x14ac:dyDescent="0.2">
      <c r="B381" s="67" t="s">
        <v>1025</v>
      </c>
      <c r="C381" s="67"/>
      <c r="D381" s="67" t="s">
        <v>1026</v>
      </c>
      <c r="E381" s="67" t="s">
        <v>13</v>
      </c>
      <c r="F381" s="67" t="s">
        <v>766</v>
      </c>
      <c r="G381" s="67" t="s">
        <v>694</v>
      </c>
      <c r="H381" s="67"/>
      <c r="I381" s="67" t="s">
        <v>41</v>
      </c>
      <c r="J381" s="67"/>
      <c r="K381" s="67"/>
      <c r="L381" s="67" t="s">
        <v>767</v>
      </c>
      <c r="M381" s="67" t="s">
        <v>752</v>
      </c>
      <c r="N381" s="67"/>
      <c r="O381" s="67" t="s">
        <v>1605</v>
      </c>
      <c r="P381" s="67"/>
      <c r="Q381" s="67">
        <v>0</v>
      </c>
      <c r="R381" s="67">
        <v>0</v>
      </c>
      <c r="S381" s="67">
        <v>0</v>
      </c>
      <c r="T381" s="67">
        <v>0</v>
      </c>
      <c r="U381" s="67">
        <v>0</v>
      </c>
      <c r="V381" s="67">
        <v>0</v>
      </c>
      <c r="W381" s="67">
        <v>0</v>
      </c>
      <c r="X381" s="67">
        <v>0</v>
      </c>
      <c r="Y381" s="67">
        <v>0</v>
      </c>
      <c r="Z381" s="67">
        <v>0</v>
      </c>
      <c r="AA381" s="67">
        <v>0</v>
      </c>
      <c r="AB381" s="67">
        <v>0</v>
      </c>
      <c r="AC381" s="67">
        <v>0</v>
      </c>
      <c r="AD381" s="67">
        <v>0</v>
      </c>
      <c r="AE381" s="67">
        <v>0</v>
      </c>
      <c r="AF381" s="67">
        <v>0</v>
      </c>
      <c r="AG381" s="67">
        <v>0</v>
      </c>
      <c r="AH381" s="67">
        <v>0</v>
      </c>
      <c r="AI381" s="67">
        <v>0</v>
      </c>
      <c r="AJ381" s="67">
        <v>0</v>
      </c>
      <c r="AK381" s="67">
        <v>0</v>
      </c>
      <c r="AL381" s="67">
        <v>0</v>
      </c>
      <c r="AM381" s="67">
        <v>0</v>
      </c>
      <c r="AN381" s="67">
        <v>0</v>
      </c>
      <c r="AO381" s="67">
        <v>0</v>
      </c>
      <c r="AP381" s="67">
        <v>0</v>
      </c>
      <c r="AQ381" s="67">
        <v>0</v>
      </c>
      <c r="AR381" s="67">
        <v>0</v>
      </c>
      <c r="AS381" s="67">
        <v>0</v>
      </c>
      <c r="AT381" s="67"/>
      <c r="AU381" s="67"/>
      <c r="AV381" s="67"/>
      <c r="AW381" s="67">
        <v>0</v>
      </c>
      <c r="AX381" s="67">
        <v>0</v>
      </c>
      <c r="AY381" s="67"/>
      <c r="AZ381" s="67"/>
      <c r="BA381" s="67"/>
      <c r="BB381" s="67"/>
      <c r="BC381" s="67"/>
      <c r="BD381" s="67"/>
      <c r="BE381" s="67"/>
      <c r="BG381" s="67"/>
      <c r="BH381" s="67"/>
      <c r="BI381" s="67"/>
      <c r="BJ381" s="67">
        <v>0</v>
      </c>
      <c r="BK381" s="67"/>
      <c r="BL381" s="67"/>
      <c r="BP381" s="67"/>
      <c r="BQ381" s="67">
        <v>0</v>
      </c>
      <c r="BR381" s="67"/>
      <c r="BS381" s="67"/>
      <c r="BT381" s="67">
        <v>0</v>
      </c>
      <c r="BU381" s="67">
        <v>0</v>
      </c>
      <c r="BV381" s="67"/>
      <c r="BW381" s="67"/>
      <c r="BX381" s="67">
        <v>0</v>
      </c>
      <c r="BY381" s="67">
        <v>0</v>
      </c>
      <c r="BZ381" s="67">
        <v>0</v>
      </c>
      <c r="CA381" s="67"/>
      <c r="CB381" s="67">
        <v>0</v>
      </c>
      <c r="CC381" s="67"/>
      <c r="CD381" s="67"/>
      <c r="CE381" s="67">
        <v>0</v>
      </c>
      <c r="CF381" s="67"/>
      <c r="CG381" s="67"/>
      <c r="CH381" s="67"/>
      <c r="CI381" s="67"/>
      <c r="CJ381" s="67"/>
      <c r="CK381" s="67">
        <v>0</v>
      </c>
      <c r="CL381" s="67"/>
      <c r="CM381" s="67"/>
      <c r="CN381" s="67"/>
      <c r="CO381" s="67">
        <v>0</v>
      </c>
      <c r="CP381" s="67"/>
      <c r="CQ381" s="67"/>
      <c r="CR381" s="67"/>
      <c r="CS381" s="67"/>
      <c r="CT381" s="67"/>
      <c r="CU381" s="67">
        <v>0</v>
      </c>
      <c r="CV381" s="67"/>
      <c r="CW381" s="67"/>
      <c r="CX381" s="67"/>
      <c r="CY381" s="67">
        <v>0</v>
      </c>
      <c r="CZ381" s="67"/>
      <c r="DA381" s="67"/>
      <c r="DB381" s="67"/>
      <c r="DC381" s="67"/>
      <c r="DF381" s="67"/>
      <c r="DG381" s="67">
        <v>0</v>
      </c>
      <c r="DH381" s="67">
        <v>0</v>
      </c>
      <c r="DI381" s="67">
        <v>0</v>
      </c>
      <c r="DJ381" s="67"/>
      <c r="DK381" s="67">
        <v>0</v>
      </c>
      <c r="DL381" s="67">
        <v>0</v>
      </c>
      <c r="DM381" s="67">
        <v>0</v>
      </c>
      <c r="DN381" s="67"/>
      <c r="DO381" s="67"/>
      <c r="DP381" s="67"/>
      <c r="DQ381" s="67">
        <v>0</v>
      </c>
      <c r="DR381" s="67">
        <v>0</v>
      </c>
      <c r="DS381" s="67"/>
      <c r="DT381" s="67"/>
      <c r="DU381" s="67">
        <v>0</v>
      </c>
      <c r="DV381" s="67">
        <v>0</v>
      </c>
      <c r="DW381" s="67">
        <v>0</v>
      </c>
      <c r="DX381" s="67">
        <v>0</v>
      </c>
      <c r="DY381" s="67"/>
      <c r="DZ381" s="67">
        <v>0</v>
      </c>
      <c r="EA381" s="67"/>
      <c r="EB381" s="67">
        <v>0</v>
      </c>
      <c r="EC381" s="67"/>
      <c r="ED381" s="67">
        <v>0</v>
      </c>
      <c r="EE381" s="67"/>
      <c r="EF381" s="67">
        <v>0</v>
      </c>
      <c r="EG381" s="67"/>
      <c r="EH381" s="67"/>
      <c r="EI381" s="67"/>
      <c r="EJ381" s="67"/>
      <c r="EK381" s="67"/>
      <c r="EL381" s="67"/>
      <c r="EM381" s="67"/>
      <c r="EN381" s="67"/>
      <c r="EO381" s="67"/>
      <c r="EP381" s="67">
        <v>0</v>
      </c>
      <c r="EQ381" s="67">
        <v>0</v>
      </c>
      <c r="ER381" s="67">
        <v>0</v>
      </c>
      <c r="ES381" s="67"/>
      <c r="ET381">
        <v>0</v>
      </c>
      <c r="EX381" s="67"/>
      <c r="EY381" s="67"/>
      <c r="EZ381" s="67"/>
      <c r="FA381" s="67">
        <v>0</v>
      </c>
      <c r="FB381" s="67">
        <v>0</v>
      </c>
      <c r="FC381" s="67"/>
      <c r="FD381" s="67"/>
      <c r="FE381" s="67"/>
      <c r="FF381" s="67"/>
      <c r="FG381" s="67"/>
      <c r="FH381" s="67"/>
      <c r="FI381" s="67" t="s">
        <v>1734</v>
      </c>
    </row>
    <row r="382" spans="2:165" ht="24" x14ac:dyDescent="0.2">
      <c r="B382" s="67" t="s">
        <v>1027</v>
      </c>
      <c r="C382" s="67"/>
      <c r="D382" s="67" t="s">
        <v>1028</v>
      </c>
      <c r="E382" s="67" t="s">
        <v>13</v>
      </c>
      <c r="F382" s="67" t="s">
        <v>766</v>
      </c>
      <c r="G382" s="67" t="s">
        <v>694</v>
      </c>
      <c r="H382" s="67"/>
      <c r="I382" s="67" t="s">
        <v>41</v>
      </c>
      <c r="J382" s="67"/>
      <c r="K382" s="67"/>
      <c r="L382" s="67" t="s">
        <v>767</v>
      </c>
      <c r="M382" s="67" t="s">
        <v>752</v>
      </c>
      <c r="N382" s="67"/>
      <c r="O382" s="67" t="s">
        <v>1605</v>
      </c>
      <c r="P382" s="67"/>
      <c r="Q382" s="67">
        <v>0</v>
      </c>
      <c r="R382" s="67">
        <v>0</v>
      </c>
      <c r="S382" s="67">
        <v>0</v>
      </c>
      <c r="T382" s="67">
        <v>0</v>
      </c>
      <c r="U382" s="67">
        <v>0</v>
      </c>
      <c r="V382" s="67">
        <v>0</v>
      </c>
      <c r="W382" s="67">
        <v>0</v>
      </c>
      <c r="X382" s="67">
        <v>0</v>
      </c>
      <c r="Y382" s="67">
        <v>0</v>
      </c>
      <c r="Z382" s="67">
        <v>0</v>
      </c>
      <c r="AA382" s="67">
        <v>0</v>
      </c>
      <c r="AB382" s="67">
        <v>0</v>
      </c>
      <c r="AC382" s="67">
        <v>0</v>
      </c>
      <c r="AD382" s="67">
        <v>0</v>
      </c>
      <c r="AE382" s="67">
        <v>0</v>
      </c>
      <c r="AF382" s="67">
        <v>0</v>
      </c>
      <c r="AG382" s="67">
        <v>0</v>
      </c>
      <c r="AH382" s="67">
        <v>0</v>
      </c>
      <c r="AI382" s="67">
        <v>0</v>
      </c>
      <c r="AJ382" s="67">
        <v>0</v>
      </c>
      <c r="AK382" s="67">
        <v>0</v>
      </c>
      <c r="AL382" s="67">
        <v>0</v>
      </c>
      <c r="AM382" s="67">
        <v>0</v>
      </c>
      <c r="AN382" s="67">
        <v>0</v>
      </c>
      <c r="AO382" s="67">
        <v>0</v>
      </c>
      <c r="AP382" s="67">
        <v>0</v>
      </c>
      <c r="AQ382" s="67">
        <v>0</v>
      </c>
      <c r="AR382" s="67">
        <v>0</v>
      </c>
      <c r="AS382" s="67">
        <v>0</v>
      </c>
      <c r="AT382" s="67"/>
      <c r="AU382" s="67"/>
      <c r="AV382" s="67"/>
      <c r="AW382" s="67">
        <v>0</v>
      </c>
      <c r="AX382" s="67">
        <v>0</v>
      </c>
      <c r="AY382" s="67"/>
      <c r="AZ382" s="67"/>
      <c r="BA382" s="67"/>
      <c r="BB382" s="67"/>
      <c r="BC382" s="67"/>
      <c r="BD382" s="67"/>
      <c r="BE382" s="67"/>
      <c r="BG382" s="67"/>
      <c r="BH382" s="67"/>
      <c r="BI382" s="67"/>
      <c r="BJ382" s="67">
        <v>0</v>
      </c>
      <c r="BK382" s="67"/>
      <c r="BL382" s="67"/>
      <c r="BP382" s="67"/>
      <c r="BQ382" s="67">
        <v>0</v>
      </c>
      <c r="BR382" s="67"/>
      <c r="BS382" s="67"/>
      <c r="BT382" s="67">
        <v>0</v>
      </c>
      <c r="BU382" s="67">
        <v>0</v>
      </c>
      <c r="BV382" s="67"/>
      <c r="BW382" s="67"/>
      <c r="BX382" s="67">
        <v>0</v>
      </c>
      <c r="BY382" s="67">
        <v>0</v>
      </c>
      <c r="BZ382" s="67">
        <v>0</v>
      </c>
      <c r="CA382" s="67"/>
      <c r="CB382" s="67">
        <v>0</v>
      </c>
      <c r="CC382" s="67"/>
      <c r="CD382" s="67"/>
      <c r="CE382" s="67">
        <v>0</v>
      </c>
      <c r="CF382" s="67"/>
      <c r="CG382" s="67"/>
      <c r="CH382" s="67"/>
      <c r="CI382" s="67"/>
      <c r="CJ382" s="67"/>
      <c r="CK382" s="67">
        <v>0</v>
      </c>
      <c r="CL382" s="67"/>
      <c r="CM382" s="67"/>
      <c r="CN382" s="67"/>
      <c r="CO382" s="67">
        <v>0</v>
      </c>
      <c r="CP382" s="67"/>
      <c r="CQ382" s="67"/>
      <c r="CR382" s="67"/>
      <c r="CS382" s="67"/>
      <c r="CT382" s="67"/>
      <c r="CU382" s="67">
        <v>0</v>
      </c>
      <c r="CV382" s="67"/>
      <c r="CW382" s="67"/>
      <c r="CX382" s="67"/>
      <c r="CY382" s="67">
        <v>0</v>
      </c>
      <c r="CZ382" s="67"/>
      <c r="DA382" s="67"/>
      <c r="DB382" s="67"/>
      <c r="DC382" s="67"/>
      <c r="DF382" s="67"/>
      <c r="DG382" s="67">
        <v>0</v>
      </c>
      <c r="DH382" s="67">
        <v>0</v>
      </c>
      <c r="DI382" s="67">
        <v>0</v>
      </c>
      <c r="DJ382" s="67"/>
      <c r="DK382" s="67">
        <v>0</v>
      </c>
      <c r="DL382" s="67">
        <v>0</v>
      </c>
      <c r="DM382" s="67">
        <v>0</v>
      </c>
      <c r="DN382" s="67"/>
      <c r="DO382" s="67"/>
      <c r="DP382" s="67"/>
      <c r="DQ382" s="67">
        <v>0</v>
      </c>
      <c r="DR382" s="67">
        <v>0</v>
      </c>
      <c r="DS382" s="67"/>
      <c r="DT382" s="67"/>
      <c r="DU382" s="67">
        <v>0</v>
      </c>
      <c r="DV382" s="67">
        <v>0</v>
      </c>
      <c r="DW382" s="67">
        <v>0</v>
      </c>
      <c r="DX382" s="67">
        <v>0</v>
      </c>
      <c r="DY382" s="67"/>
      <c r="DZ382" s="67">
        <v>0</v>
      </c>
      <c r="EA382" s="67"/>
      <c r="EB382" s="67">
        <v>0</v>
      </c>
      <c r="EC382" s="67"/>
      <c r="ED382" s="67">
        <v>0</v>
      </c>
      <c r="EE382" s="67"/>
      <c r="EF382" s="67">
        <v>0</v>
      </c>
      <c r="EG382" s="67"/>
      <c r="EH382" s="67"/>
      <c r="EI382" s="67"/>
      <c r="EJ382" s="67"/>
      <c r="EK382" s="67"/>
      <c r="EL382" s="67"/>
      <c r="EM382" s="67"/>
      <c r="EN382" s="67"/>
      <c r="EO382" s="67"/>
      <c r="EP382" s="67">
        <v>0</v>
      </c>
      <c r="EQ382" s="67">
        <v>0</v>
      </c>
      <c r="ER382" s="67">
        <v>0</v>
      </c>
      <c r="ES382" s="67"/>
      <c r="ET382">
        <v>0</v>
      </c>
      <c r="EX382" s="67"/>
      <c r="EY382" s="67"/>
      <c r="EZ382" s="67"/>
      <c r="FA382" s="67">
        <v>0</v>
      </c>
      <c r="FB382" s="67">
        <v>0</v>
      </c>
      <c r="FC382" s="67"/>
      <c r="FD382" s="67"/>
      <c r="FE382" s="67"/>
      <c r="FF382" s="67"/>
      <c r="FG382" s="67"/>
      <c r="FH382" s="67"/>
      <c r="FI382" s="67" t="s">
        <v>1734</v>
      </c>
    </row>
    <row r="383" spans="2:165" ht="24" x14ac:dyDescent="0.2">
      <c r="B383" s="67" t="s">
        <v>1029</v>
      </c>
      <c r="C383" s="67"/>
      <c r="D383" s="67" t="s">
        <v>1030</v>
      </c>
      <c r="E383" s="67" t="s">
        <v>889</v>
      </c>
      <c r="F383" s="67" t="s">
        <v>766</v>
      </c>
      <c r="G383" s="67" t="s">
        <v>694</v>
      </c>
      <c r="H383" s="67"/>
      <c r="I383" s="67" t="s">
        <v>41</v>
      </c>
      <c r="J383" s="67"/>
      <c r="K383" s="67"/>
      <c r="L383" s="67" t="s">
        <v>767</v>
      </c>
      <c r="M383" s="67" t="s">
        <v>752</v>
      </c>
      <c r="N383" s="67"/>
      <c r="O383" s="67" t="s">
        <v>1605</v>
      </c>
      <c r="P383" s="67"/>
      <c r="Q383" s="67">
        <v>0</v>
      </c>
      <c r="R383" s="67">
        <v>0</v>
      </c>
      <c r="S383" s="67">
        <v>0</v>
      </c>
      <c r="T383" s="67">
        <v>0</v>
      </c>
      <c r="U383" s="67">
        <v>0</v>
      </c>
      <c r="V383" s="67">
        <v>0</v>
      </c>
      <c r="W383" s="67">
        <v>0</v>
      </c>
      <c r="X383" s="67">
        <v>0</v>
      </c>
      <c r="Y383" s="67">
        <v>0</v>
      </c>
      <c r="Z383" s="67">
        <v>0</v>
      </c>
      <c r="AA383" s="67">
        <v>0</v>
      </c>
      <c r="AB383" s="67">
        <v>0</v>
      </c>
      <c r="AC383" s="67">
        <v>0</v>
      </c>
      <c r="AD383" s="67">
        <v>0</v>
      </c>
      <c r="AE383" s="67">
        <v>0</v>
      </c>
      <c r="AF383" s="67">
        <v>0</v>
      </c>
      <c r="AG383" s="67">
        <v>0</v>
      </c>
      <c r="AH383" s="67">
        <v>0</v>
      </c>
      <c r="AI383" s="67">
        <v>0</v>
      </c>
      <c r="AJ383" s="67">
        <v>0</v>
      </c>
      <c r="AK383" s="67">
        <v>0</v>
      </c>
      <c r="AL383" s="67">
        <v>0</v>
      </c>
      <c r="AM383" s="67">
        <v>0</v>
      </c>
      <c r="AN383" s="67">
        <v>0</v>
      </c>
      <c r="AO383" s="67">
        <v>0</v>
      </c>
      <c r="AP383" s="67">
        <v>0</v>
      </c>
      <c r="AQ383" s="67">
        <v>0</v>
      </c>
      <c r="AR383" s="67">
        <v>0</v>
      </c>
      <c r="AS383" s="67">
        <v>0</v>
      </c>
      <c r="AT383" s="67"/>
      <c r="AU383" s="67"/>
      <c r="AV383" s="67"/>
      <c r="AW383" s="67">
        <v>0</v>
      </c>
      <c r="AX383" s="67">
        <v>0</v>
      </c>
      <c r="AY383" s="67"/>
      <c r="AZ383" s="67"/>
      <c r="BA383" s="67"/>
      <c r="BB383" s="67"/>
      <c r="BC383" s="67"/>
      <c r="BD383" s="67"/>
      <c r="BE383" s="67"/>
      <c r="BG383" s="67"/>
      <c r="BH383" s="67"/>
      <c r="BI383" s="67"/>
      <c r="BJ383" s="67">
        <v>0</v>
      </c>
      <c r="BK383" s="67"/>
      <c r="BL383" s="67"/>
      <c r="BP383" s="67"/>
      <c r="BQ383" s="67">
        <v>0</v>
      </c>
      <c r="BR383" s="67"/>
      <c r="BS383" s="67"/>
      <c r="BT383" s="67">
        <v>0</v>
      </c>
      <c r="BU383" s="67">
        <v>0</v>
      </c>
      <c r="BV383" s="67"/>
      <c r="BW383" s="67"/>
      <c r="BX383" s="67">
        <v>0</v>
      </c>
      <c r="BY383" s="67">
        <v>0</v>
      </c>
      <c r="BZ383" s="67">
        <v>0</v>
      </c>
      <c r="CA383" s="67"/>
      <c r="CB383" s="67">
        <v>0</v>
      </c>
      <c r="CC383" s="67"/>
      <c r="CD383" s="67"/>
      <c r="CE383" s="67">
        <v>0</v>
      </c>
      <c r="CF383" s="67"/>
      <c r="CG383" s="67"/>
      <c r="CH383" s="67"/>
      <c r="CI383" s="67"/>
      <c r="CJ383" s="67"/>
      <c r="CK383" s="67">
        <v>0</v>
      </c>
      <c r="CL383" s="67"/>
      <c r="CM383" s="67"/>
      <c r="CN383" s="67"/>
      <c r="CO383" s="67">
        <v>0</v>
      </c>
      <c r="CP383" s="67"/>
      <c r="CQ383" s="67"/>
      <c r="CR383" s="67"/>
      <c r="CS383" s="67"/>
      <c r="CT383" s="67"/>
      <c r="CU383" s="67">
        <v>0</v>
      </c>
      <c r="CV383" s="67"/>
      <c r="CW383" s="67"/>
      <c r="CX383" s="67"/>
      <c r="CY383" s="67">
        <v>0</v>
      </c>
      <c r="CZ383" s="67"/>
      <c r="DA383" s="67"/>
      <c r="DB383" s="67"/>
      <c r="DC383" s="67"/>
      <c r="DF383" s="67"/>
      <c r="DG383" s="67">
        <v>0</v>
      </c>
      <c r="DH383" s="67">
        <v>0</v>
      </c>
      <c r="DI383" s="67">
        <v>0</v>
      </c>
      <c r="DJ383" s="67"/>
      <c r="DK383" s="67">
        <v>0</v>
      </c>
      <c r="DL383" s="67">
        <v>0</v>
      </c>
      <c r="DM383" s="67">
        <v>0</v>
      </c>
      <c r="DN383" s="67"/>
      <c r="DO383" s="67"/>
      <c r="DP383" s="67"/>
      <c r="DQ383" s="67">
        <v>0</v>
      </c>
      <c r="DR383" s="67">
        <v>0</v>
      </c>
      <c r="DS383" s="67"/>
      <c r="DT383" s="67"/>
      <c r="DU383" s="67">
        <v>0</v>
      </c>
      <c r="DV383" s="67">
        <v>0</v>
      </c>
      <c r="DW383" s="67">
        <v>0</v>
      </c>
      <c r="DX383" s="67">
        <v>0</v>
      </c>
      <c r="DY383" s="67"/>
      <c r="DZ383" s="67">
        <v>0</v>
      </c>
      <c r="EA383" s="67"/>
      <c r="EB383" s="67">
        <v>0</v>
      </c>
      <c r="EC383" s="67"/>
      <c r="ED383" s="67">
        <v>0</v>
      </c>
      <c r="EE383" s="67"/>
      <c r="EF383" s="67">
        <v>0</v>
      </c>
      <c r="EG383" s="67"/>
      <c r="EH383" s="67"/>
      <c r="EI383" s="67"/>
      <c r="EJ383" s="67"/>
      <c r="EK383" s="67"/>
      <c r="EL383" s="67"/>
      <c r="EM383" s="67"/>
      <c r="EN383" s="67"/>
      <c r="EO383" s="67"/>
      <c r="EP383" s="67">
        <v>0</v>
      </c>
      <c r="EQ383" s="67">
        <v>0</v>
      </c>
      <c r="ER383" s="67">
        <v>0</v>
      </c>
      <c r="ES383" s="67"/>
      <c r="ET383">
        <v>0</v>
      </c>
      <c r="EX383" s="67"/>
      <c r="EY383" s="67"/>
      <c r="EZ383" s="67"/>
      <c r="FA383" s="67">
        <v>0</v>
      </c>
      <c r="FB383" s="67">
        <v>0</v>
      </c>
      <c r="FC383" s="67"/>
      <c r="FD383" s="67"/>
      <c r="FE383" s="67"/>
      <c r="FF383" s="67"/>
      <c r="FG383" s="67"/>
      <c r="FH383" s="67"/>
      <c r="FI383" s="67" t="s">
        <v>1734</v>
      </c>
    </row>
    <row r="384" spans="2:165" ht="24" x14ac:dyDescent="0.2">
      <c r="B384" s="67" t="s">
        <v>1031</v>
      </c>
      <c r="C384" s="67"/>
      <c r="D384" s="67" t="s">
        <v>1032</v>
      </c>
      <c r="E384" s="67" t="s">
        <v>13</v>
      </c>
      <c r="F384" s="67" t="s">
        <v>766</v>
      </c>
      <c r="G384" s="67" t="s">
        <v>694</v>
      </c>
      <c r="H384" s="67"/>
      <c r="I384" s="67" t="s">
        <v>41</v>
      </c>
      <c r="J384" s="67"/>
      <c r="K384" s="67"/>
      <c r="L384" s="67" t="s">
        <v>767</v>
      </c>
      <c r="M384" s="67" t="s">
        <v>752</v>
      </c>
      <c r="N384" s="67"/>
      <c r="O384" s="67" t="s">
        <v>1605</v>
      </c>
      <c r="P384" s="67" t="s">
        <v>942</v>
      </c>
      <c r="Q384" s="67">
        <v>0</v>
      </c>
      <c r="R384" s="67">
        <v>0</v>
      </c>
      <c r="S384" s="67">
        <v>0</v>
      </c>
      <c r="T384" s="67">
        <v>0</v>
      </c>
      <c r="U384" s="67">
        <v>0</v>
      </c>
      <c r="V384" s="67">
        <v>0</v>
      </c>
      <c r="W384" s="67">
        <v>0</v>
      </c>
      <c r="X384" s="67">
        <v>0</v>
      </c>
      <c r="Y384" s="67">
        <v>0</v>
      </c>
      <c r="Z384" s="67">
        <v>0</v>
      </c>
      <c r="AA384" s="67">
        <v>0</v>
      </c>
      <c r="AB384" s="67">
        <v>0</v>
      </c>
      <c r="AC384" s="67">
        <v>0</v>
      </c>
      <c r="AD384" s="67">
        <v>0</v>
      </c>
      <c r="AE384" s="67">
        <v>0</v>
      </c>
      <c r="AF384" s="67">
        <v>0</v>
      </c>
      <c r="AG384" s="67">
        <v>0</v>
      </c>
      <c r="AH384" s="67">
        <v>0</v>
      </c>
      <c r="AI384" s="67">
        <v>0</v>
      </c>
      <c r="AJ384" s="67">
        <v>0</v>
      </c>
      <c r="AK384" s="67">
        <v>0</v>
      </c>
      <c r="AL384" s="67">
        <v>0</v>
      </c>
      <c r="AM384" s="67">
        <v>0</v>
      </c>
      <c r="AN384" s="67">
        <v>0</v>
      </c>
      <c r="AO384" s="67">
        <v>0</v>
      </c>
      <c r="AP384" s="67">
        <v>0</v>
      </c>
      <c r="AQ384" s="67">
        <v>0</v>
      </c>
      <c r="AR384" s="67">
        <v>0</v>
      </c>
      <c r="AS384" s="67">
        <v>0</v>
      </c>
      <c r="AT384" s="67"/>
      <c r="AU384" s="67"/>
      <c r="AV384" s="67"/>
      <c r="AW384" s="67">
        <v>0</v>
      </c>
      <c r="AX384" s="67">
        <v>0</v>
      </c>
      <c r="AY384" s="67"/>
      <c r="AZ384" s="67"/>
      <c r="BA384" s="67"/>
      <c r="BB384" s="67"/>
      <c r="BC384" s="67"/>
      <c r="BD384" s="67"/>
      <c r="BE384" s="67"/>
      <c r="BG384" s="67"/>
      <c r="BH384" s="67"/>
      <c r="BI384" s="67"/>
      <c r="BJ384" s="67">
        <v>0</v>
      </c>
      <c r="BK384" s="67"/>
      <c r="BL384" s="67"/>
      <c r="BP384" s="67"/>
      <c r="BQ384" s="67">
        <v>0</v>
      </c>
      <c r="BR384" s="67"/>
      <c r="BS384" s="67"/>
      <c r="BT384" s="67">
        <v>0</v>
      </c>
      <c r="BU384" s="67">
        <v>0</v>
      </c>
      <c r="BV384" s="67"/>
      <c r="BW384" s="67"/>
      <c r="BX384" s="67">
        <v>0</v>
      </c>
      <c r="BY384" s="67">
        <v>0</v>
      </c>
      <c r="BZ384" s="67">
        <v>0</v>
      </c>
      <c r="CA384" s="67"/>
      <c r="CB384" s="67">
        <v>0</v>
      </c>
      <c r="CC384" s="67"/>
      <c r="CD384" s="67"/>
      <c r="CE384" s="67">
        <v>0</v>
      </c>
      <c r="CF384" s="67"/>
      <c r="CG384" s="67"/>
      <c r="CH384" s="67"/>
      <c r="CI384" s="67"/>
      <c r="CJ384" s="67"/>
      <c r="CK384" s="67">
        <v>0</v>
      </c>
      <c r="CL384" s="67"/>
      <c r="CM384" s="67"/>
      <c r="CN384" s="67"/>
      <c r="CO384" s="67">
        <v>0</v>
      </c>
      <c r="CP384" s="67"/>
      <c r="CQ384" s="67"/>
      <c r="CR384" s="67"/>
      <c r="CS384" s="67"/>
      <c r="CT384" s="67"/>
      <c r="CU384" s="67">
        <v>0</v>
      </c>
      <c r="CV384" s="67"/>
      <c r="CW384" s="67"/>
      <c r="CX384" s="67"/>
      <c r="CY384" s="67">
        <v>0</v>
      </c>
      <c r="CZ384" s="67"/>
      <c r="DA384" s="67"/>
      <c r="DB384" s="67"/>
      <c r="DC384" s="67"/>
      <c r="DF384" s="67"/>
      <c r="DG384" s="67">
        <v>0</v>
      </c>
      <c r="DH384" s="67">
        <v>0</v>
      </c>
      <c r="DI384" s="67">
        <v>0</v>
      </c>
      <c r="DJ384" s="67"/>
      <c r="DK384" s="67">
        <v>0</v>
      </c>
      <c r="DL384" s="67">
        <v>0</v>
      </c>
      <c r="DM384" s="67">
        <v>0</v>
      </c>
      <c r="DN384" s="67"/>
      <c r="DO384" s="67"/>
      <c r="DP384" s="67"/>
      <c r="DQ384" s="67">
        <v>0</v>
      </c>
      <c r="DR384" s="67">
        <v>0</v>
      </c>
      <c r="DS384" s="67"/>
      <c r="DT384" s="67"/>
      <c r="DU384" s="67">
        <v>0</v>
      </c>
      <c r="DV384" s="67">
        <v>0</v>
      </c>
      <c r="DW384" s="67">
        <v>0</v>
      </c>
      <c r="DX384" s="67">
        <v>0</v>
      </c>
      <c r="DY384" s="67"/>
      <c r="DZ384" s="67">
        <v>0</v>
      </c>
      <c r="EA384" s="67"/>
      <c r="EB384" s="67">
        <v>0</v>
      </c>
      <c r="EC384" s="67"/>
      <c r="ED384" s="67">
        <v>0</v>
      </c>
      <c r="EE384" s="67"/>
      <c r="EF384" s="67">
        <v>0</v>
      </c>
      <c r="EG384" s="67"/>
      <c r="EH384" s="67"/>
      <c r="EI384" s="67"/>
      <c r="EJ384" s="67"/>
      <c r="EK384" s="67"/>
      <c r="EL384" s="67"/>
      <c r="EM384" s="67"/>
      <c r="EN384" s="67"/>
      <c r="EO384" s="67"/>
      <c r="EP384" s="67">
        <v>0</v>
      </c>
      <c r="EQ384" s="67">
        <v>470</v>
      </c>
      <c r="ER384" s="67">
        <v>470</v>
      </c>
      <c r="ES384" s="67"/>
      <c r="ET384">
        <v>0</v>
      </c>
      <c r="EX384" s="67"/>
      <c r="EY384" s="67"/>
      <c r="EZ384" s="67"/>
      <c r="FA384" s="67">
        <v>0</v>
      </c>
      <c r="FB384" s="67">
        <v>0</v>
      </c>
      <c r="FC384" s="67"/>
      <c r="FD384" s="67"/>
      <c r="FE384" s="67"/>
      <c r="FF384" s="67"/>
      <c r="FG384" s="67"/>
      <c r="FH384" s="67"/>
      <c r="FI384" s="67" t="s">
        <v>1734</v>
      </c>
    </row>
    <row r="385" spans="2:165" x14ac:dyDescent="0.2">
      <c r="B385" s="67" t="s">
        <v>1033</v>
      </c>
      <c r="C385" s="67"/>
      <c r="D385" s="67" t="s">
        <v>1034</v>
      </c>
      <c r="E385" s="67"/>
      <c r="F385" s="67"/>
      <c r="G385" s="67" t="s">
        <v>694</v>
      </c>
      <c r="H385" s="67"/>
      <c r="I385" s="67"/>
      <c r="J385" s="67"/>
      <c r="K385" s="67"/>
      <c r="L385" s="67" t="s">
        <v>767</v>
      </c>
      <c r="M385" s="67" t="s">
        <v>752</v>
      </c>
      <c r="N385" s="67"/>
      <c r="O385" s="67" t="s">
        <v>1608</v>
      </c>
      <c r="P385" s="67"/>
      <c r="Q385" s="67">
        <v>500</v>
      </c>
      <c r="R385" s="67">
        <v>0</v>
      </c>
      <c r="S385" s="67">
        <v>0</v>
      </c>
      <c r="T385" s="67">
        <v>0</v>
      </c>
      <c r="U385" s="67">
        <v>0</v>
      </c>
      <c r="V385" s="67">
        <v>0</v>
      </c>
      <c r="W385" s="67">
        <v>0</v>
      </c>
      <c r="X385" s="67">
        <v>0</v>
      </c>
      <c r="Y385" s="67">
        <v>0</v>
      </c>
      <c r="Z385" s="67">
        <v>0</v>
      </c>
      <c r="AA385" s="67">
        <v>0</v>
      </c>
      <c r="AB385" s="67">
        <v>0</v>
      </c>
      <c r="AC385" s="67">
        <v>0</v>
      </c>
      <c r="AD385" s="67">
        <v>0</v>
      </c>
      <c r="AE385" s="67">
        <v>0</v>
      </c>
      <c r="AF385" s="67">
        <v>0</v>
      </c>
      <c r="AG385" s="67">
        <v>500</v>
      </c>
      <c r="AH385" s="67">
        <v>0</v>
      </c>
      <c r="AI385" s="67">
        <v>0</v>
      </c>
      <c r="AJ385" s="67">
        <v>0</v>
      </c>
      <c r="AK385" s="67">
        <v>0</v>
      </c>
      <c r="AL385" s="67">
        <v>0</v>
      </c>
      <c r="AM385" s="67">
        <v>0</v>
      </c>
      <c r="AN385" s="67">
        <v>0</v>
      </c>
      <c r="AO385" s="67">
        <v>0</v>
      </c>
      <c r="AP385" s="67">
        <v>0</v>
      </c>
      <c r="AQ385" s="67">
        <v>0</v>
      </c>
      <c r="AR385" s="67">
        <v>0</v>
      </c>
      <c r="AS385" s="67">
        <v>0</v>
      </c>
      <c r="AT385" s="67"/>
      <c r="AU385" s="67"/>
      <c r="AV385" s="67"/>
      <c r="AW385" s="67">
        <v>0</v>
      </c>
      <c r="AX385" s="67">
        <v>0</v>
      </c>
      <c r="AY385" s="67"/>
      <c r="AZ385" s="67"/>
      <c r="BA385" s="67"/>
      <c r="BB385" s="67"/>
      <c r="BC385" s="67"/>
      <c r="BD385" s="67"/>
      <c r="BE385" s="67"/>
      <c r="BG385" s="67"/>
      <c r="BH385" s="67"/>
      <c r="BI385" s="67"/>
      <c r="BJ385" s="67">
        <v>0</v>
      </c>
      <c r="BK385" s="67"/>
      <c r="BL385" s="67"/>
      <c r="BP385" s="67"/>
      <c r="BQ385" s="67">
        <v>0</v>
      </c>
      <c r="BR385" s="67"/>
      <c r="BS385" s="67"/>
      <c r="BT385" s="67">
        <v>0</v>
      </c>
      <c r="BU385" s="67">
        <v>0</v>
      </c>
      <c r="BV385" s="67"/>
      <c r="BW385" s="67"/>
      <c r="BX385" s="67">
        <v>0</v>
      </c>
      <c r="BY385" s="67">
        <v>0</v>
      </c>
      <c r="BZ385" s="67">
        <v>0</v>
      </c>
      <c r="CA385" s="67"/>
      <c r="CB385" s="67">
        <v>0</v>
      </c>
      <c r="CC385" s="67"/>
      <c r="CD385" s="67"/>
      <c r="CE385" s="67">
        <v>0</v>
      </c>
      <c r="CF385" s="67"/>
      <c r="CG385" s="67"/>
      <c r="CH385" s="67"/>
      <c r="CI385" s="67"/>
      <c r="CJ385" s="67"/>
      <c r="CK385" s="67">
        <v>0</v>
      </c>
      <c r="CL385" s="67"/>
      <c r="CM385" s="67"/>
      <c r="CN385" s="67"/>
      <c r="CO385" s="67">
        <v>0</v>
      </c>
      <c r="CP385" s="67"/>
      <c r="CQ385" s="67"/>
      <c r="CR385" s="67"/>
      <c r="CS385" s="67"/>
      <c r="CT385" s="67"/>
      <c r="CU385" s="67">
        <v>0</v>
      </c>
      <c r="CV385" s="67"/>
      <c r="CW385" s="67"/>
      <c r="CX385" s="67"/>
      <c r="CY385" s="67">
        <v>0</v>
      </c>
      <c r="CZ385" s="67"/>
      <c r="DA385" s="67"/>
      <c r="DB385" s="67"/>
      <c r="DC385" s="67"/>
      <c r="DF385" s="67"/>
      <c r="DG385" s="67">
        <v>0</v>
      </c>
      <c r="DH385" s="67">
        <v>0</v>
      </c>
      <c r="DI385" s="67">
        <v>0</v>
      </c>
      <c r="DJ385" s="67"/>
      <c r="DK385" s="67">
        <v>0</v>
      </c>
      <c r="DL385" s="67">
        <v>0</v>
      </c>
      <c r="DM385" s="67">
        <v>0</v>
      </c>
      <c r="DN385" s="67"/>
      <c r="DO385" s="67"/>
      <c r="DP385" s="67"/>
      <c r="DQ385" s="67">
        <v>0</v>
      </c>
      <c r="DR385" s="67">
        <v>0</v>
      </c>
      <c r="DS385" s="67"/>
      <c r="DT385" s="67"/>
      <c r="DU385" s="67">
        <v>0</v>
      </c>
      <c r="DV385" s="67">
        <v>0</v>
      </c>
      <c r="DW385" s="67">
        <v>0</v>
      </c>
      <c r="DX385" s="67">
        <v>0</v>
      </c>
      <c r="DY385" s="67"/>
      <c r="DZ385" s="67">
        <v>0</v>
      </c>
      <c r="EA385" s="67"/>
      <c r="EB385" s="67">
        <v>0</v>
      </c>
      <c r="EC385" s="67"/>
      <c r="ED385" s="67">
        <v>0</v>
      </c>
      <c r="EE385" s="67"/>
      <c r="EF385" s="67">
        <v>0</v>
      </c>
      <c r="EG385" s="67"/>
      <c r="EH385" s="67"/>
      <c r="EI385" s="67"/>
      <c r="EJ385" s="67"/>
      <c r="EK385" s="67"/>
      <c r="EL385" s="67"/>
      <c r="EM385" s="67"/>
      <c r="EN385" s="67"/>
      <c r="EO385" s="67"/>
      <c r="EP385" s="67">
        <v>0</v>
      </c>
      <c r="EQ385" s="67">
        <v>0</v>
      </c>
      <c r="ER385" s="67">
        <v>0</v>
      </c>
      <c r="ES385" s="67"/>
      <c r="ET385">
        <v>0</v>
      </c>
      <c r="EX385" s="67"/>
      <c r="EY385" s="67"/>
      <c r="EZ385" s="67"/>
      <c r="FA385" s="67">
        <v>500</v>
      </c>
      <c r="FB385" s="67">
        <v>0</v>
      </c>
      <c r="FC385" s="67"/>
      <c r="FD385" s="67"/>
      <c r="FE385" s="67"/>
      <c r="FF385" s="67"/>
      <c r="FG385" s="67"/>
      <c r="FH385" s="67"/>
      <c r="FI385" s="67" t="s">
        <v>1734</v>
      </c>
    </row>
    <row r="386" spans="2:165" x14ac:dyDescent="0.2">
      <c r="B386" s="67" t="s">
        <v>1035</v>
      </c>
      <c r="C386" s="67"/>
      <c r="D386" s="67" t="s">
        <v>1036</v>
      </c>
      <c r="E386" s="67" t="s">
        <v>23</v>
      </c>
      <c r="F386" s="67" t="s">
        <v>766</v>
      </c>
      <c r="G386" s="67" t="s">
        <v>694</v>
      </c>
      <c r="H386" s="67"/>
      <c r="I386" s="67" t="s">
        <v>41</v>
      </c>
      <c r="J386" s="67"/>
      <c r="K386" s="67"/>
      <c r="L386" s="67" t="s">
        <v>767</v>
      </c>
      <c r="M386" s="67" t="s">
        <v>752</v>
      </c>
      <c r="N386" s="67"/>
      <c r="O386" s="67" t="s">
        <v>1605</v>
      </c>
      <c r="P386" s="67" t="s">
        <v>942</v>
      </c>
      <c r="Q386" s="67">
        <v>0</v>
      </c>
      <c r="R386" s="67">
        <v>0</v>
      </c>
      <c r="S386" s="67">
        <v>0</v>
      </c>
      <c r="T386" s="67">
        <v>0</v>
      </c>
      <c r="U386" s="67">
        <v>0</v>
      </c>
      <c r="V386" s="67">
        <v>0</v>
      </c>
      <c r="W386" s="67">
        <v>0</v>
      </c>
      <c r="X386" s="67">
        <v>0</v>
      </c>
      <c r="Y386" s="67">
        <v>0</v>
      </c>
      <c r="Z386" s="67">
        <v>0</v>
      </c>
      <c r="AA386" s="67">
        <v>0</v>
      </c>
      <c r="AB386" s="67">
        <v>0</v>
      </c>
      <c r="AC386" s="67">
        <v>0</v>
      </c>
      <c r="AD386" s="67">
        <v>0</v>
      </c>
      <c r="AE386" s="67">
        <v>0</v>
      </c>
      <c r="AF386" s="67">
        <v>0</v>
      </c>
      <c r="AG386" s="67">
        <v>0</v>
      </c>
      <c r="AH386" s="67">
        <v>0</v>
      </c>
      <c r="AI386" s="67">
        <v>0</v>
      </c>
      <c r="AJ386" s="67">
        <v>0</v>
      </c>
      <c r="AK386" s="67">
        <v>0</v>
      </c>
      <c r="AL386" s="67">
        <v>0</v>
      </c>
      <c r="AM386" s="67">
        <v>0</v>
      </c>
      <c r="AN386" s="67">
        <v>0</v>
      </c>
      <c r="AO386" s="67">
        <v>0</v>
      </c>
      <c r="AP386" s="67">
        <v>0</v>
      </c>
      <c r="AQ386" s="67">
        <v>0</v>
      </c>
      <c r="AR386" s="67">
        <v>0</v>
      </c>
      <c r="AS386" s="67">
        <v>0</v>
      </c>
      <c r="AT386" s="67"/>
      <c r="AU386" s="67"/>
      <c r="AV386" s="67"/>
      <c r="AW386" s="67">
        <v>0</v>
      </c>
      <c r="AX386" s="67">
        <v>0</v>
      </c>
      <c r="AY386" s="67"/>
      <c r="AZ386" s="67"/>
      <c r="BA386" s="67"/>
      <c r="BB386" s="67"/>
      <c r="BC386" s="67"/>
      <c r="BD386" s="67"/>
      <c r="BE386" s="67"/>
      <c r="BG386" s="67"/>
      <c r="BH386" s="67"/>
      <c r="BI386" s="67"/>
      <c r="BJ386" s="67">
        <v>0</v>
      </c>
      <c r="BK386" s="67"/>
      <c r="BL386" s="67"/>
      <c r="BP386" s="67"/>
      <c r="BQ386" s="67">
        <v>0</v>
      </c>
      <c r="BR386" s="67"/>
      <c r="BS386" s="67"/>
      <c r="BT386" s="67">
        <v>0</v>
      </c>
      <c r="BU386" s="67">
        <v>0</v>
      </c>
      <c r="BV386" s="67"/>
      <c r="BW386" s="67"/>
      <c r="BX386" s="67">
        <v>0</v>
      </c>
      <c r="BY386" s="67">
        <v>0</v>
      </c>
      <c r="BZ386" s="67">
        <v>0</v>
      </c>
      <c r="CA386" s="67"/>
      <c r="CB386" s="67">
        <v>0</v>
      </c>
      <c r="CC386" s="67"/>
      <c r="CD386" s="67"/>
      <c r="CE386" s="67">
        <v>0</v>
      </c>
      <c r="CF386" s="67"/>
      <c r="CG386" s="67"/>
      <c r="CH386" s="67"/>
      <c r="CI386" s="67"/>
      <c r="CJ386" s="67"/>
      <c r="CK386" s="67">
        <v>0</v>
      </c>
      <c r="CL386" s="67"/>
      <c r="CM386" s="67"/>
      <c r="CN386" s="67"/>
      <c r="CO386" s="67">
        <v>0</v>
      </c>
      <c r="CP386" s="67"/>
      <c r="CQ386" s="67"/>
      <c r="CR386" s="67"/>
      <c r="CS386" s="67"/>
      <c r="CT386" s="67"/>
      <c r="CU386" s="67">
        <v>0</v>
      </c>
      <c r="CV386" s="67"/>
      <c r="CW386" s="67"/>
      <c r="CX386" s="67"/>
      <c r="CY386" s="67">
        <v>0</v>
      </c>
      <c r="CZ386" s="67"/>
      <c r="DA386" s="67"/>
      <c r="DB386" s="67"/>
      <c r="DC386" s="67"/>
      <c r="DF386" s="67"/>
      <c r="DG386" s="67">
        <v>0</v>
      </c>
      <c r="DH386" s="67">
        <v>0</v>
      </c>
      <c r="DI386" s="67">
        <v>0</v>
      </c>
      <c r="DJ386" s="67"/>
      <c r="DK386" s="67">
        <v>0</v>
      </c>
      <c r="DL386" s="67">
        <v>0</v>
      </c>
      <c r="DM386" s="67">
        <v>0</v>
      </c>
      <c r="DN386" s="67"/>
      <c r="DO386" s="67"/>
      <c r="DP386" s="67"/>
      <c r="DQ386" s="67">
        <v>0</v>
      </c>
      <c r="DR386" s="67">
        <v>0</v>
      </c>
      <c r="DS386" s="67"/>
      <c r="DT386" s="67"/>
      <c r="DU386" s="67">
        <v>0</v>
      </c>
      <c r="DV386" s="67">
        <v>0</v>
      </c>
      <c r="DW386" s="67">
        <v>0</v>
      </c>
      <c r="DX386" s="67">
        <v>0</v>
      </c>
      <c r="DY386" s="67"/>
      <c r="DZ386" s="67">
        <v>0</v>
      </c>
      <c r="EA386" s="67"/>
      <c r="EB386" s="67">
        <v>0</v>
      </c>
      <c r="EC386" s="67"/>
      <c r="ED386" s="67">
        <v>0</v>
      </c>
      <c r="EE386" s="67"/>
      <c r="EF386" s="67">
        <v>0</v>
      </c>
      <c r="EG386" s="67"/>
      <c r="EH386" s="67"/>
      <c r="EI386" s="67"/>
      <c r="EJ386" s="67"/>
      <c r="EK386" s="67"/>
      <c r="EL386" s="67"/>
      <c r="EM386" s="67"/>
      <c r="EN386" s="67"/>
      <c r="EO386" s="67"/>
      <c r="EP386" s="67">
        <v>0</v>
      </c>
      <c r="EQ386" s="67">
        <v>0</v>
      </c>
      <c r="ER386" s="67">
        <v>0</v>
      </c>
      <c r="ES386" s="67"/>
      <c r="ET386">
        <v>0</v>
      </c>
      <c r="EX386" s="67"/>
      <c r="EY386" s="67"/>
      <c r="EZ386" s="67"/>
      <c r="FA386" s="67">
        <v>0</v>
      </c>
      <c r="FB386" s="67">
        <v>0</v>
      </c>
      <c r="FC386" s="67"/>
      <c r="FD386" s="67"/>
      <c r="FE386" s="67"/>
      <c r="FF386" s="67"/>
      <c r="FG386" s="67"/>
      <c r="FH386" s="67"/>
      <c r="FI386" s="67" t="s">
        <v>1734</v>
      </c>
    </row>
    <row r="387" spans="2:165" ht="24" x14ac:dyDescent="0.2">
      <c r="B387" s="67" t="s">
        <v>1037</v>
      </c>
      <c r="C387" s="67"/>
      <c r="D387" s="67" t="s">
        <v>1038</v>
      </c>
      <c r="E387" s="67" t="s">
        <v>13</v>
      </c>
      <c r="F387" s="67" t="s">
        <v>766</v>
      </c>
      <c r="G387" s="67" t="s">
        <v>694</v>
      </c>
      <c r="H387" s="67"/>
      <c r="I387" s="67" t="s">
        <v>41</v>
      </c>
      <c r="J387" s="67"/>
      <c r="K387" s="67"/>
      <c r="L387" s="67" t="s">
        <v>767</v>
      </c>
      <c r="M387" s="67" t="s">
        <v>752</v>
      </c>
      <c r="N387" s="67"/>
      <c r="O387" s="67" t="s">
        <v>1599</v>
      </c>
      <c r="P387" s="67"/>
      <c r="Q387" s="67">
        <v>390</v>
      </c>
      <c r="R387" s="67">
        <v>0</v>
      </c>
      <c r="S387" s="67">
        <v>0</v>
      </c>
      <c r="T387" s="67">
        <v>0</v>
      </c>
      <c r="U387" s="67">
        <v>0</v>
      </c>
      <c r="V387" s="67">
        <v>0</v>
      </c>
      <c r="W387" s="67">
        <v>0</v>
      </c>
      <c r="X387" s="67">
        <v>0</v>
      </c>
      <c r="Y387" s="67">
        <v>0</v>
      </c>
      <c r="Z387" s="67">
        <v>0</v>
      </c>
      <c r="AA387" s="67">
        <v>0</v>
      </c>
      <c r="AB387" s="67">
        <v>0</v>
      </c>
      <c r="AC387" s="67">
        <v>0</v>
      </c>
      <c r="AD387" s="67">
        <v>0</v>
      </c>
      <c r="AE387" s="67">
        <v>0</v>
      </c>
      <c r="AF387" s="67">
        <v>0</v>
      </c>
      <c r="AG387" s="67">
        <v>390</v>
      </c>
      <c r="AH387" s="67">
        <v>0</v>
      </c>
      <c r="AI387" s="67">
        <v>0</v>
      </c>
      <c r="AJ387" s="67">
        <v>0</v>
      </c>
      <c r="AK387" s="67">
        <v>0</v>
      </c>
      <c r="AL387" s="67">
        <v>0</v>
      </c>
      <c r="AM387" s="67">
        <v>0</v>
      </c>
      <c r="AN387" s="67">
        <v>0</v>
      </c>
      <c r="AO387" s="67">
        <v>0</v>
      </c>
      <c r="AP387" s="67">
        <v>0</v>
      </c>
      <c r="AQ387" s="67">
        <v>0</v>
      </c>
      <c r="AR387" s="67">
        <v>0</v>
      </c>
      <c r="AS387" s="67">
        <v>0</v>
      </c>
      <c r="AT387" s="67"/>
      <c r="AU387" s="67"/>
      <c r="AV387" s="67"/>
      <c r="AW387" s="67">
        <v>0</v>
      </c>
      <c r="AX387" s="67">
        <v>0</v>
      </c>
      <c r="AY387" s="67"/>
      <c r="AZ387" s="67"/>
      <c r="BA387" s="67"/>
      <c r="BB387" s="67"/>
      <c r="BC387" s="67"/>
      <c r="BD387" s="67"/>
      <c r="BE387" s="67"/>
      <c r="BG387" s="67"/>
      <c r="BH387" s="67"/>
      <c r="BI387" s="67"/>
      <c r="BJ387" s="67">
        <v>0</v>
      </c>
      <c r="BK387" s="67"/>
      <c r="BL387" s="67"/>
      <c r="BP387" s="67"/>
      <c r="BQ387" s="67">
        <v>0</v>
      </c>
      <c r="BR387" s="67"/>
      <c r="BS387" s="67"/>
      <c r="BT387" s="67">
        <v>0</v>
      </c>
      <c r="BU387" s="67">
        <v>0</v>
      </c>
      <c r="BV387" s="67"/>
      <c r="BW387" s="67"/>
      <c r="BX387" s="67">
        <v>0</v>
      </c>
      <c r="BY387" s="67">
        <v>0</v>
      </c>
      <c r="BZ387" s="67">
        <v>0</v>
      </c>
      <c r="CA387" s="67"/>
      <c r="CB387" s="67">
        <v>0</v>
      </c>
      <c r="CC387" s="67"/>
      <c r="CD387" s="67"/>
      <c r="CE387" s="67">
        <v>0</v>
      </c>
      <c r="CF387" s="67"/>
      <c r="CG387" s="67"/>
      <c r="CH387" s="67"/>
      <c r="CI387" s="67"/>
      <c r="CJ387" s="67"/>
      <c r="CK387" s="67">
        <v>0</v>
      </c>
      <c r="CL387" s="67"/>
      <c r="CM387" s="67"/>
      <c r="CN387" s="67"/>
      <c r="CO387" s="67">
        <v>0</v>
      </c>
      <c r="CP387" s="67"/>
      <c r="CQ387" s="67"/>
      <c r="CR387" s="67"/>
      <c r="CS387" s="67"/>
      <c r="CT387" s="67"/>
      <c r="CU387" s="67">
        <v>0</v>
      </c>
      <c r="CV387" s="67"/>
      <c r="CW387" s="67"/>
      <c r="CX387" s="67"/>
      <c r="CY387" s="67">
        <v>0</v>
      </c>
      <c r="CZ387" s="67"/>
      <c r="DA387" s="67"/>
      <c r="DB387" s="67"/>
      <c r="DC387" s="67"/>
      <c r="DF387" s="67"/>
      <c r="DG387" s="67">
        <v>10</v>
      </c>
      <c r="DH387" s="67">
        <v>10</v>
      </c>
      <c r="DI387" s="67">
        <v>0</v>
      </c>
      <c r="DJ387" s="67"/>
      <c r="DK387" s="67">
        <v>0</v>
      </c>
      <c r="DL387" s="67">
        <v>0</v>
      </c>
      <c r="DM387" s="67">
        <v>0</v>
      </c>
      <c r="DN387" s="67"/>
      <c r="DO387" s="67"/>
      <c r="DP387" s="67"/>
      <c r="DQ387" s="67">
        <v>0</v>
      </c>
      <c r="DR387" s="67">
        <v>0</v>
      </c>
      <c r="DS387" s="67"/>
      <c r="DT387" s="67"/>
      <c r="DU387" s="67">
        <v>0</v>
      </c>
      <c r="DV387" s="67">
        <v>0</v>
      </c>
      <c r="DW387" s="67">
        <v>0</v>
      </c>
      <c r="DX387" s="67">
        <v>0</v>
      </c>
      <c r="DY387" s="67"/>
      <c r="DZ387" s="67">
        <v>0</v>
      </c>
      <c r="EA387" s="67"/>
      <c r="EB387" s="67">
        <v>0</v>
      </c>
      <c r="EC387" s="67"/>
      <c r="ED387" s="67">
        <v>0</v>
      </c>
      <c r="EE387" s="67"/>
      <c r="EF387" s="67">
        <v>0</v>
      </c>
      <c r="EG387" s="67"/>
      <c r="EH387" s="67"/>
      <c r="EI387" s="67"/>
      <c r="EJ387" s="67"/>
      <c r="EK387" s="67"/>
      <c r="EL387" s="67"/>
      <c r="EM387" s="67"/>
      <c r="EN387" s="67"/>
      <c r="EO387" s="67"/>
      <c r="EP387" s="67">
        <v>0</v>
      </c>
      <c r="EQ387" s="67">
        <v>0</v>
      </c>
      <c r="ER387" s="67">
        <v>0</v>
      </c>
      <c r="ES387" s="67"/>
      <c r="ET387">
        <v>0</v>
      </c>
      <c r="EX387" s="67"/>
      <c r="EY387" s="67"/>
      <c r="EZ387" s="67"/>
      <c r="FA387" s="67">
        <v>400</v>
      </c>
      <c r="FB387" s="67">
        <v>0</v>
      </c>
      <c r="FC387" s="67"/>
      <c r="FD387" s="67"/>
      <c r="FE387" s="67"/>
      <c r="FF387" s="67"/>
      <c r="FG387" s="67"/>
      <c r="FH387" s="67"/>
      <c r="FI387" s="67" t="s">
        <v>1734</v>
      </c>
    </row>
    <row r="388" spans="2:165" ht="24" x14ac:dyDescent="0.2">
      <c r="B388" s="67" t="s">
        <v>1039</v>
      </c>
      <c r="C388" s="67"/>
      <c r="D388" s="67" t="s">
        <v>1040</v>
      </c>
      <c r="E388" s="67" t="s">
        <v>889</v>
      </c>
      <c r="F388" s="67" t="s">
        <v>766</v>
      </c>
      <c r="G388" s="67" t="s">
        <v>694</v>
      </c>
      <c r="H388" s="67"/>
      <c r="I388" s="67" t="s">
        <v>41</v>
      </c>
      <c r="J388" s="67"/>
      <c r="K388" s="67"/>
      <c r="L388" s="67" t="s">
        <v>767</v>
      </c>
      <c r="M388" s="67" t="s">
        <v>752</v>
      </c>
      <c r="N388" s="67"/>
      <c r="O388" s="67" t="s">
        <v>1599</v>
      </c>
      <c r="P388" s="67"/>
      <c r="Q388" s="67">
        <v>625</v>
      </c>
      <c r="R388" s="67">
        <v>0</v>
      </c>
      <c r="S388" s="67">
        <v>0</v>
      </c>
      <c r="T388" s="67">
        <v>0</v>
      </c>
      <c r="U388" s="67">
        <v>0</v>
      </c>
      <c r="V388" s="67">
        <v>0</v>
      </c>
      <c r="W388" s="67">
        <v>0</v>
      </c>
      <c r="X388" s="67">
        <v>0</v>
      </c>
      <c r="Y388" s="67">
        <v>0</v>
      </c>
      <c r="Z388" s="67">
        <v>0</v>
      </c>
      <c r="AA388" s="67">
        <v>0</v>
      </c>
      <c r="AB388" s="67">
        <v>0</v>
      </c>
      <c r="AC388" s="67">
        <v>0</v>
      </c>
      <c r="AD388" s="67">
        <v>0</v>
      </c>
      <c r="AE388" s="67">
        <v>0</v>
      </c>
      <c r="AF388" s="67">
        <v>0</v>
      </c>
      <c r="AG388" s="67">
        <v>625</v>
      </c>
      <c r="AH388" s="67">
        <v>0</v>
      </c>
      <c r="AI388" s="67">
        <v>0</v>
      </c>
      <c r="AJ388" s="67">
        <v>0</v>
      </c>
      <c r="AK388" s="67">
        <v>0</v>
      </c>
      <c r="AL388" s="67">
        <v>0</v>
      </c>
      <c r="AM388" s="67">
        <v>0</v>
      </c>
      <c r="AN388" s="67">
        <v>0</v>
      </c>
      <c r="AO388" s="67">
        <v>0</v>
      </c>
      <c r="AP388" s="67">
        <v>0</v>
      </c>
      <c r="AQ388" s="67">
        <v>0</v>
      </c>
      <c r="AR388" s="67">
        <v>0</v>
      </c>
      <c r="AS388" s="67">
        <v>0</v>
      </c>
      <c r="AT388" s="67"/>
      <c r="AU388" s="67"/>
      <c r="AV388" s="67"/>
      <c r="AW388" s="67">
        <v>0</v>
      </c>
      <c r="AX388" s="67">
        <v>0</v>
      </c>
      <c r="AY388" s="67"/>
      <c r="AZ388" s="67"/>
      <c r="BA388" s="67"/>
      <c r="BB388" s="67"/>
      <c r="BC388" s="67"/>
      <c r="BD388" s="67"/>
      <c r="BE388" s="67"/>
      <c r="BG388" s="67"/>
      <c r="BH388" s="67"/>
      <c r="BI388" s="67"/>
      <c r="BJ388" s="67">
        <v>0</v>
      </c>
      <c r="BK388" s="67"/>
      <c r="BL388" s="67"/>
      <c r="BP388" s="67"/>
      <c r="BQ388" s="67">
        <v>0</v>
      </c>
      <c r="BR388" s="67"/>
      <c r="BS388" s="67"/>
      <c r="BT388" s="67">
        <v>0</v>
      </c>
      <c r="BU388" s="67">
        <v>0</v>
      </c>
      <c r="BV388" s="67"/>
      <c r="BW388" s="67"/>
      <c r="BX388" s="67">
        <v>0</v>
      </c>
      <c r="BY388" s="67">
        <v>0</v>
      </c>
      <c r="BZ388" s="67">
        <v>0</v>
      </c>
      <c r="CA388" s="67"/>
      <c r="CB388" s="67">
        <v>0</v>
      </c>
      <c r="CC388" s="67"/>
      <c r="CD388" s="67"/>
      <c r="CE388" s="67">
        <v>0</v>
      </c>
      <c r="CF388" s="67"/>
      <c r="CG388" s="67"/>
      <c r="CH388" s="67"/>
      <c r="CI388" s="67"/>
      <c r="CJ388" s="67"/>
      <c r="CK388" s="67">
        <v>0</v>
      </c>
      <c r="CL388" s="67"/>
      <c r="CM388" s="67"/>
      <c r="CN388" s="67"/>
      <c r="CO388" s="67">
        <v>0</v>
      </c>
      <c r="CP388" s="67"/>
      <c r="CQ388" s="67"/>
      <c r="CR388" s="67"/>
      <c r="CS388" s="67"/>
      <c r="CT388" s="67"/>
      <c r="CU388" s="67">
        <v>0</v>
      </c>
      <c r="CV388" s="67"/>
      <c r="CW388" s="67"/>
      <c r="CX388" s="67"/>
      <c r="CY388" s="67">
        <v>0</v>
      </c>
      <c r="CZ388" s="67"/>
      <c r="DA388" s="67"/>
      <c r="DB388" s="67"/>
      <c r="DC388" s="67"/>
      <c r="DF388" s="67"/>
      <c r="DG388" s="67">
        <v>0</v>
      </c>
      <c r="DH388" s="67">
        <v>0</v>
      </c>
      <c r="DI388" s="67">
        <v>0</v>
      </c>
      <c r="DJ388" s="67"/>
      <c r="DK388" s="67">
        <v>0</v>
      </c>
      <c r="DL388" s="67">
        <v>0</v>
      </c>
      <c r="DM388" s="67">
        <v>0</v>
      </c>
      <c r="DN388" s="67"/>
      <c r="DO388" s="67"/>
      <c r="DP388" s="67"/>
      <c r="DQ388" s="67">
        <v>0</v>
      </c>
      <c r="DR388" s="67">
        <v>0</v>
      </c>
      <c r="DS388" s="67"/>
      <c r="DT388" s="67"/>
      <c r="DU388" s="67">
        <v>0</v>
      </c>
      <c r="DV388" s="67">
        <v>0</v>
      </c>
      <c r="DW388" s="67">
        <v>0</v>
      </c>
      <c r="DX388" s="67">
        <v>0</v>
      </c>
      <c r="DY388" s="67"/>
      <c r="DZ388" s="67">
        <v>0</v>
      </c>
      <c r="EA388" s="67"/>
      <c r="EB388" s="67">
        <v>0</v>
      </c>
      <c r="EC388" s="67"/>
      <c r="ED388" s="67">
        <v>0</v>
      </c>
      <c r="EE388" s="67"/>
      <c r="EF388" s="67">
        <v>0</v>
      </c>
      <c r="EG388" s="67"/>
      <c r="EH388" s="67"/>
      <c r="EI388" s="67"/>
      <c r="EJ388" s="67"/>
      <c r="EK388" s="67"/>
      <c r="EL388" s="67"/>
      <c r="EM388" s="67"/>
      <c r="EN388" s="67"/>
      <c r="EO388" s="67"/>
      <c r="EP388" s="67">
        <v>0</v>
      </c>
      <c r="EQ388" s="67">
        <v>0</v>
      </c>
      <c r="ER388" s="67">
        <v>0</v>
      </c>
      <c r="ES388" s="67"/>
      <c r="ET388">
        <v>0</v>
      </c>
      <c r="EX388" s="67"/>
      <c r="EY388" s="67"/>
      <c r="EZ388" s="67"/>
      <c r="FA388" s="67">
        <v>625</v>
      </c>
      <c r="FB388" s="67">
        <v>0</v>
      </c>
      <c r="FC388" s="67"/>
      <c r="FD388" s="67"/>
      <c r="FE388" s="67"/>
      <c r="FF388" s="67"/>
      <c r="FG388" s="67"/>
      <c r="FH388" s="67"/>
      <c r="FI388" s="67" t="s">
        <v>1734</v>
      </c>
    </row>
    <row r="389" spans="2:165" ht="24" x14ac:dyDescent="0.2">
      <c r="B389" s="67" t="s">
        <v>1041</v>
      </c>
      <c r="C389" s="67"/>
      <c r="D389" s="67" t="s">
        <v>1042</v>
      </c>
      <c r="E389" s="67" t="s">
        <v>889</v>
      </c>
      <c r="F389" s="67" t="s">
        <v>766</v>
      </c>
      <c r="G389" s="67" t="s">
        <v>694</v>
      </c>
      <c r="H389" s="67"/>
      <c r="I389" s="67" t="s">
        <v>41</v>
      </c>
      <c r="J389" s="67"/>
      <c r="K389" s="67"/>
      <c r="L389" s="67" t="s">
        <v>767</v>
      </c>
      <c r="M389" s="67" t="s">
        <v>752</v>
      </c>
      <c r="N389" s="67"/>
      <c r="O389" s="67" t="s">
        <v>1605</v>
      </c>
      <c r="P389" s="67" t="s">
        <v>942</v>
      </c>
      <c r="Q389" s="67">
        <v>0</v>
      </c>
      <c r="R389" s="67">
        <v>0</v>
      </c>
      <c r="S389" s="67">
        <v>0</v>
      </c>
      <c r="T389" s="67">
        <v>0</v>
      </c>
      <c r="U389" s="67">
        <v>0</v>
      </c>
      <c r="V389" s="67">
        <v>0</v>
      </c>
      <c r="W389" s="67">
        <v>0</v>
      </c>
      <c r="X389" s="67">
        <v>0</v>
      </c>
      <c r="Y389" s="67">
        <v>0</v>
      </c>
      <c r="Z389" s="67">
        <v>0</v>
      </c>
      <c r="AA389" s="67">
        <v>0</v>
      </c>
      <c r="AB389" s="67">
        <v>0</v>
      </c>
      <c r="AC389" s="67">
        <v>0</v>
      </c>
      <c r="AD389" s="67">
        <v>0</v>
      </c>
      <c r="AE389" s="67">
        <v>0</v>
      </c>
      <c r="AF389" s="67">
        <v>0</v>
      </c>
      <c r="AG389" s="67">
        <v>0</v>
      </c>
      <c r="AH389" s="67">
        <v>0</v>
      </c>
      <c r="AI389" s="67">
        <v>0</v>
      </c>
      <c r="AJ389" s="67">
        <v>0</v>
      </c>
      <c r="AK389" s="67">
        <v>0</v>
      </c>
      <c r="AL389" s="67">
        <v>0</v>
      </c>
      <c r="AM389" s="67">
        <v>0</v>
      </c>
      <c r="AN389" s="67">
        <v>0</v>
      </c>
      <c r="AO389" s="67">
        <v>0</v>
      </c>
      <c r="AP389" s="67">
        <v>0</v>
      </c>
      <c r="AQ389" s="67">
        <v>0</v>
      </c>
      <c r="AR389" s="67">
        <v>0</v>
      </c>
      <c r="AS389" s="67">
        <v>0</v>
      </c>
      <c r="AT389" s="67"/>
      <c r="AU389" s="67"/>
      <c r="AV389" s="67"/>
      <c r="AW389" s="67">
        <v>0</v>
      </c>
      <c r="AX389" s="67">
        <v>0</v>
      </c>
      <c r="AY389" s="67"/>
      <c r="AZ389" s="67"/>
      <c r="BA389" s="67"/>
      <c r="BB389" s="67"/>
      <c r="BC389" s="67"/>
      <c r="BD389" s="67"/>
      <c r="BE389" s="67"/>
      <c r="BG389" s="67"/>
      <c r="BH389" s="67"/>
      <c r="BI389" s="67"/>
      <c r="BJ389" s="67">
        <v>0</v>
      </c>
      <c r="BK389" s="67"/>
      <c r="BL389" s="67"/>
      <c r="BP389" s="67"/>
      <c r="BQ389" s="67">
        <v>0</v>
      </c>
      <c r="BR389" s="67"/>
      <c r="BS389" s="67"/>
      <c r="BT389" s="67">
        <v>0</v>
      </c>
      <c r="BU389" s="67">
        <v>0</v>
      </c>
      <c r="BV389" s="67"/>
      <c r="BW389" s="67"/>
      <c r="BX389" s="67">
        <v>0</v>
      </c>
      <c r="BY389" s="67">
        <v>0</v>
      </c>
      <c r="BZ389" s="67">
        <v>0</v>
      </c>
      <c r="CA389" s="67"/>
      <c r="CB389" s="67">
        <v>0</v>
      </c>
      <c r="CC389" s="67"/>
      <c r="CD389" s="67"/>
      <c r="CE389" s="67">
        <v>0</v>
      </c>
      <c r="CF389" s="67"/>
      <c r="CG389" s="67"/>
      <c r="CH389" s="67"/>
      <c r="CI389" s="67"/>
      <c r="CJ389" s="67"/>
      <c r="CK389" s="67">
        <v>0</v>
      </c>
      <c r="CL389" s="67"/>
      <c r="CM389" s="67"/>
      <c r="CN389" s="67"/>
      <c r="CO389" s="67">
        <v>0</v>
      </c>
      <c r="CP389" s="67"/>
      <c r="CQ389" s="67"/>
      <c r="CR389" s="67"/>
      <c r="CS389" s="67"/>
      <c r="CT389" s="67"/>
      <c r="CU389" s="67">
        <v>0</v>
      </c>
      <c r="CV389" s="67"/>
      <c r="CW389" s="67"/>
      <c r="CX389" s="67"/>
      <c r="CY389" s="67">
        <v>0</v>
      </c>
      <c r="CZ389" s="67"/>
      <c r="DA389" s="67"/>
      <c r="DB389" s="67"/>
      <c r="DC389" s="67"/>
      <c r="DF389" s="67"/>
      <c r="DG389" s="67">
        <v>0</v>
      </c>
      <c r="DH389" s="67">
        <v>0</v>
      </c>
      <c r="DI389" s="67">
        <v>0</v>
      </c>
      <c r="DJ389" s="67"/>
      <c r="DK389" s="67">
        <v>0</v>
      </c>
      <c r="DL389" s="67">
        <v>0</v>
      </c>
      <c r="DM389" s="67">
        <v>0</v>
      </c>
      <c r="DN389" s="67"/>
      <c r="DO389" s="67"/>
      <c r="DP389" s="67"/>
      <c r="DQ389" s="67">
        <v>0</v>
      </c>
      <c r="DR389" s="67">
        <v>0</v>
      </c>
      <c r="DS389" s="67"/>
      <c r="DT389" s="67"/>
      <c r="DU389" s="67">
        <v>0</v>
      </c>
      <c r="DV389" s="67">
        <v>0</v>
      </c>
      <c r="DW389" s="67">
        <v>0</v>
      </c>
      <c r="DX389" s="67">
        <v>0</v>
      </c>
      <c r="DY389" s="67"/>
      <c r="DZ389" s="67">
        <v>0</v>
      </c>
      <c r="EA389" s="67"/>
      <c r="EB389" s="67">
        <v>0</v>
      </c>
      <c r="EC389" s="67"/>
      <c r="ED389" s="67">
        <v>0</v>
      </c>
      <c r="EE389" s="67"/>
      <c r="EF389" s="67">
        <v>0</v>
      </c>
      <c r="EG389" s="67"/>
      <c r="EH389" s="67"/>
      <c r="EI389" s="67"/>
      <c r="EJ389" s="67"/>
      <c r="EK389" s="67"/>
      <c r="EL389" s="67"/>
      <c r="EM389" s="67"/>
      <c r="EN389" s="67"/>
      <c r="EO389" s="67"/>
      <c r="EP389" s="67">
        <v>0</v>
      </c>
      <c r="EQ389" s="67">
        <v>0</v>
      </c>
      <c r="ER389" s="67">
        <v>0</v>
      </c>
      <c r="ES389" s="67"/>
      <c r="ET389">
        <v>0</v>
      </c>
      <c r="EX389" s="67"/>
      <c r="EY389" s="67"/>
      <c r="EZ389" s="67"/>
      <c r="FA389" s="67">
        <v>0</v>
      </c>
      <c r="FB389" s="67">
        <v>0</v>
      </c>
      <c r="FC389" s="67"/>
      <c r="FD389" s="67"/>
      <c r="FE389" s="67"/>
      <c r="FF389" s="67"/>
      <c r="FG389" s="67"/>
      <c r="FH389" s="67"/>
      <c r="FI389" s="67" t="s">
        <v>1734</v>
      </c>
    </row>
    <row r="390" spans="2:165" ht="24" x14ac:dyDescent="0.2">
      <c r="B390" s="67" t="s">
        <v>1043</v>
      </c>
      <c r="C390" s="67"/>
      <c r="D390" s="67" t="s">
        <v>1044</v>
      </c>
      <c r="E390" s="67" t="s">
        <v>13</v>
      </c>
      <c r="F390" s="67" t="s">
        <v>766</v>
      </c>
      <c r="G390" s="67" t="s">
        <v>694</v>
      </c>
      <c r="H390" s="67"/>
      <c r="I390" s="67" t="s">
        <v>41</v>
      </c>
      <c r="J390" s="67"/>
      <c r="K390" s="67"/>
      <c r="L390" s="67" t="s">
        <v>767</v>
      </c>
      <c r="M390" s="67" t="s">
        <v>752</v>
      </c>
      <c r="N390" s="67"/>
      <c r="O390" s="67" t="s">
        <v>1605</v>
      </c>
      <c r="P390" s="67"/>
      <c r="Q390" s="67">
        <v>0</v>
      </c>
      <c r="R390" s="67">
        <v>0</v>
      </c>
      <c r="S390" s="67">
        <v>0</v>
      </c>
      <c r="T390" s="67">
        <v>0</v>
      </c>
      <c r="U390" s="67">
        <v>0</v>
      </c>
      <c r="V390" s="67">
        <v>0</v>
      </c>
      <c r="W390" s="67">
        <v>0</v>
      </c>
      <c r="X390" s="67">
        <v>0</v>
      </c>
      <c r="Y390" s="67">
        <v>0</v>
      </c>
      <c r="Z390" s="67">
        <v>0</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67">
        <v>0</v>
      </c>
      <c r="AQ390" s="67">
        <v>0</v>
      </c>
      <c r="AR390" s="67">
        <v>0</v>
      </c>
      <c r="AS390" s="67">
        <v>0</v>
      </c>
      <c r="AT390" s="67"/>
      <c r="AU390" s="67"/>
      <c r="AV390" s="67"/>
      <c r="AW390" s="67">
        <v>0</v>
      </c>
      <c r="AX390" s="67">
        <v>0</v>
      </c>
      <c r="AY390" s="67"/>
      <c r="AZ390" s="67"/>
      <c r="BA390" s="67"/>
      <c r="BB390" s="67"/>
      <c r="BC390" s="67"/>
      <c r="BD390" s="67"/>
      <c r="BE390" s="67"/>
      <c r="BG390" s="67"/>
      <c r="BH390" s="67"/>
      <c r="BI390" s="67"/>
      <c r="BJ390" s="67">
        <v>0</v>
      </c>
      <c r="BK390" s="67"/>
      <c r="BL390" s="67"/>
      <c r="BP390" s="67"/>
      <c r="BQ390" s="67">
        <v>0</v>
      </c>
      <c r="BR390" s="67"/>
      <c r="BS390" s="67"/>
      <c r="BT390" s="67">
        <v>0</v>
      </c>
      <c r="BU390" s="67">
        <v>0</v>
      </c>
      <c r="BV390" s="67"/>
      <c r="BW390" s="67"/>
      <c r="BX390" s="67">
        <v>0</v>
      </c>
      <c r="BY390" s="67">
        <v>0</v>
      </c>
      <c r="BZ390" s="67">
        <v>0</v>
      </c>
      <c r="CA390" s="67"/>
      <c r="CB390" s="67">
        <v>0</v>
      </c>
      <c r="CC390" s="67"/>
      <c r="CD390" s="67"/>
      <c r="CE390" s="67">
        <v>0</v>
      </c>
      <c r="CF390" s="67"/>
      <c r="CG390" s="67"/>
      <c r="CH390" s="67"/>
      <c r="CI390" s="67"/>
      <c r="CJ390" s="67"/>
      <c r="CK390" s="67">
        <v>0</v>
      </c>
      <c r="CL390" s="67"/>
      <c r="CM390" s="67"/>
      <c r="CN390" s="67"/>
      <c r="CO390" s="67">
        <v>0</v>
      </c>
      <c r="CP390" s="67"/>
      <c r="CQ390" s="67"/>
      <c r="CR390" s="67"/>
      <c r="CS390" s="67"/>
      <c r="CT390" s="67"/>
      <c r="CU390" s="67">
        <v>0</v>
      </c>
      <c r="CV390" s="67"/>
      <c r="CW390" s="67"/>
      <c r="CX390" s="67"/>
      <c r="CY390" s="67">
        <v>0</v>
      </c>
      <c r="CZ390" s="67"/>
      <c r="DA390" s="67"/>
      <c r="DB390" s="67"/>
      <c r="DC390" s="67"/>
      <c r="DF390" s="67"/>
      <c r="DG390" s="67">
        <v>0</v>
      </c>
      <c r="DH390" s="67">
        <v>0</v>
      </c>
      <c r="DI390" s="67">
        <v>0</v>
      </c>
      <c r="DJ390" s="67"/>
      <c r="DK390" s="67">
        <v>0</v>
      </c>
      <c r="DL390" s="67">
        <v>0</v>
      </c>
      <c r="DM390" s="67">
        <v>0</v>
      </c>
      <c r="DN390" s="67"/>
      <c r="DO390" s="67"/>
      <c r="DP390" s="67"/>
      <c r="DQ390" s="67">
        <v>0</v>
      </c>
      <c r="DR390" s="67">
        <v>0</v>
      </c>
      <c r="DS390" s="67"/>
      <c r="DT390" s="67"/>
      <c r="DU390" s="67">
        <v>0</v>
      </c>
      <c r="DV390" s="67">
        <v>0</v>
      </c>
      <c r="DW390" s="67">
        <v>0</v>
      </c>
      <c r="DX390" s="67">
        <v>0</v>
      </c>
      <c r="DY390" s="67"/>
      <c r="DZ390" s="67">
        <v>0</v>
      </c>
      <c r="EA390" s="67"/>
      <c r="EB390" s="67">
        <v>0</v>
      </c>
      <c r="EC390" s="67"/>
      <c r="ED390" s="67">
        <v>0</v>
      </c>
      <c r="EE390" s="67"/>
      <c r="EF390" s="67">
        <v>0</v>
      </c>
      <c r="EG390" s="67"/>
      <c r="EH390" s="67"/>
      <c r="EI390" s="67"/>
      <c r="EJ390" s="67"/>
      <c r="EK390" s="67"/>
      <c r="EL390" s="67"/>
      <c r="EM390" s="67"/>
      <c r="EN390" s="67"/>
      <c r="EO390" s="67"/>
      <c r="EP390" s="67">
        <v>0</v>
      </c>
      <c r="EQ390" s="67">
        <v>0</v>
      </c>
      <c r="ER390" s="67">
        <v>0</v>
      </c>
      <c r="ES390" s="67"/>
      <c r="ET390">
        <v>0</v>
      </c>
      <c r="EX390" s="67"/>
      <c r="EY390" s="67"/>
      <c r="EZ390" s="67"/>
      <c r="FA390" s="67">
        <v>0</v>
      </c>
      <c r="FB390" s="67">
        <v>0</v>
      </c>
      <c r="FC390" s="67"/>
      <c r="FD390" s="67"/>
      <c r="FE390" s="67"/>
      <c r="FF390" s="67"/>
      <c r="FG390" s="67"/>
      <c r="FH390" s="67"/>
      <c r="FI390" s="67" t="s">
        <v>1734</v>
      </c>
    </row>
    <row r="391" spans="2:165" x14ac:dyDescent="0.2">
      <c r="B391" s="67" t="s">
        <v>1045</v>
      </c>
      <c r="C391" s="67"/>
      <c r="D391" s="67" t="s">
        <v>1046</v>
      </c>
      <c r="E391" s="67"/>
      <c r="F391" s="67" t="s">
        <v>766</v>
      </c>
      <c r="G391" s="67" t="s">
        <v>694</v>
      </c>
      <c r="H391" s="67"/>
      <c r="I391" s="67" t="s">
        <v>786</v>
      </c>
      <c r="J391" s="67"/>
      <c r="K391" s="67" t="s">
        <v>733</v>
      </c>
      <c r="L391" s="67"/>
      <c r="M391" s="67" t="s">
        <v>752</v>
      </c>
      <c r="N391" s="67"/>
      <c r="O391" s="67" t="s">
        <v>1605</v>
      </c>
      <c r="P391" s="67"/>
      <c r="Q391" s="67">
        <v>0</v>
      </c>
      <c r="R391" s="67">
        <v>0</v>
      </c>
      <c r="S391" s="67">
        <v>0</v>
      </c>
      <c r="T391" s="67">
        <v>0</v>
      </c>
      <c r="U391" s="67">
        <v>0</v>
      </c>
      <c r="V391" s="67">
        <v>0</v>
      </c>
      <c r="W391" s="67">
        <v>0</v>
      </c>
      <c r="X391" s="67">
        <v>0</v>
      </c>
      <c r="Y391" s="67">
        <v>0</v>
      </c>
      <c r="Z391" s="67">
        <v>0</v>
      </c>
      <c r="AA391" s="67">
        <v>0</v>
      </c>
      <c r="AB391" s="67">
        <v>0</v>
      </c>
      <c r="AC391" s="67">
        <v>0</v>
      </c>
      <c r="AD391" s="67">
        <v>0</v>
      </c>
      <c r="AE391" s="67">
        <v>0</v>
      </c>
      <c r="AF391" s="67">
        <v>0</v>
      </c>
      <c r="AG391" s="67">
        <v>0</v>
      </c>
      <c r="AH391" s="67">
        <v>0</v>
      </c>
      <c r="AI391" s="67">
        <v>0</v>
      </c>
      <c r="AJ391" s="67">
        <v>0</v>
      </c>
      <c r="AK391" s="67">
        <v>0</v>
      </c>
      <c r="AL391" s="67">
        <v>0</v>
      </c>
      <c r="AM391" s="67">
        <v>0</v>
      </c>
      <c r="AN391" s="67">
        <v>0</v>
      </c>
      <c r="AO391" s="67">
        <v>0</v>
      </c>
      <c r="AP391" s="67">
        <v>0</v>
      </c>
      <c r="AQ391" s="67">
        <v>0</v>
      </c>
      <c r="AR391" s="67">
        <v>0</v>
      </c>
      <c r="AS391" s="67">
        <v>0</v>
      </c>
      <c r="AT391" s="67"/>
      <c r="AU391" s="67"/>
      <c r="AV391" s="67"/>
      <c r="AW391" s="67">
        <v>0</v>
      </c>
      <c r="AX391" s="67">
        <v>0</v>
      </c>
      <c r="AY391" s="67"/>
      <c r="AZ391" s="67"/>
      <c r="BA391" s="67"/>
      <c r="BB391" s="67"/>
      <c r="BC391" s="67"/>
      <c r="BD391" s="67"/>
      <c r="BE391" s="67"/>
      <c r="BG391" s="67"/>
      <c r="BH391" s="67"/>
      <c r="BI391" s="67"/>
      <c r="BJ391" s="67">
        <v>0</v>
      </c>
      <c r="BK391" s="67"/>
      <c r="BL391" s="67"/>
      <c r="BP391" s="67"/>
      <c r="BQ391" s="67">
        <v>0</v>
      </c>
      <c r="BR391" s="67"/>
      <c r="BS391" s="67"/>
      <c r="BT391" s="67">
        <v>0</v>
      </c>
      <c r="BU391" s="67">
        <v>0</v>
      </c>
      <c r="BV391" s="67"/>
      <c r="BW391" s="67"/>
      <c r="BX391" s="67">
        <v>0</v>
      </c>
      <c r="BY391" s="67">
        <v>0</v>
      </c>
      <c r="BZ391" s="67">
        <v>0</v>
      </c>
      <c r="CA391" s="67"/>
      <c r="CB391" s="67">
        <v>0</v>
      </c>
      <c r="CC391" s="67"/>
      <c r="CD391" s="67"/>
      <c r="CE391" s="67">
        <v>0</v>
      </c>
      <c r="CF391" s="67"/>
      <c r="CG391" s="67"/>
      <c r="CH391" s="67"/>
      <c r="CI391" s="67"/>
      <c r="CJ391" s="67"/>
      <c r="CK391" s="67">
        <v>0</v>
      </c>
      <c r="CL391" s="67"/>
      <c r="CM391" s="67"/>
      <c r="CN391" s="67"/>
      <c r="CO391" s="67">
        <v>0</v>
      </c>
      <c r="CP391" s="67"/>
      <c r="CQ391" s="67"/>
      <c r="CR391" s="67"/>
      <c r="CS391" s="67"/>
      <c r="CT391" s="67"/>
      <c r="CU391" s="67">
        <v>0</v>
      </c>
      <c r="CV391" s="67"/>
      <c r="CW391" s="67"/>
      <c r="CX391" s="67"/>
      <c r="CY391" s="67">
        <v>0</v>
      </c>
      <c r="CZ391" s="67"/>
      <c r="DA391" s="67"/>
      <c r="DB391" s="67"/>
      <c r="DC391" s="67"/>
      <c r="DF391" s="67"/>
      <c r="DG391" s="67">
        <v>0</v>
      </c>
      <c r="DH391" s="67">
        <v>0</v>
      </c>
      <c r="DI391" s="67">
        <v>0</v>
      </c>
      <c r="DJ391" s="67"/>
      <c r="DK391" s="67">
        <v>0</v>
      </c>
      <c r="DL391" s="67">
        <v>0</v>
      </c>
      <c r="DM391" s="67">
        <v>0</v>
      </c>
      <c r="DN391" s="67"/>
      <c r="DO391" s="67"/>
      <c r="DP391" s="67"/>
      <c r="DQ391" s="67">
        <v>0</v>
      </c>
      <c r="DR391" s="67">
        <v>0</v>
      </c>
      <c r="DS391" s="67"/>
      <c r="DT391" s="67"/>
      <c r="DU391" s="67">
        <v>0</v>
      </c>
      <c r="DV391" s="67">
        <v>0</v>
      </c>
      <c r="DW391" s="67">
        <v>0</v>
      </c>
      <c r="DX391" s="67">
        <v>0</v>
      </c>
      <c r="DY391" s="67"/>
      <c r="DZ391" s="67">
        <v>0</v>
      </c>
      <c r="EA391" s="67"/>
      <c r="EB391" s="67">
        <v>0</v>
      </c>
      <c r="EC391" s="67"/>
      <c r="ED391" s="67">
        <v>0</v>
      </c>
      <c r="EE391" s="67"/>
      <c r="EF391" s="67">
        <v>0</v>
      </c>
      <c r="EG391" s="67"/>
      <c r="EH391" s="67"/>
      <c r="EI391" s="67"/>
      <c r="EJ391" s="67"/>
      <c r="EK391" s="67"/>
      <c r="EL391" s="67"/>
      <c r="EM391" s="67"/>
      <c r="EN391" s="67"/>
      <c r="EO391" s="67"/>
      <c r="EP391" s="67">
        <v>0</v>
      </c>
      <c r="EQ391" s="67">
        <v>0</v>
      </c>
      <c r="ER391" s="67">
        <v>0</v>
      </c>
      <c r="ES391" s="67"/>
      <c r="ET391">
        <v>0</v>
      </c>
      <c r="EX391" s="67"/>
      <c r="EY391" s="67"/>
      <c r="EZ391" s="67"/>
      <c r="FA391" s="67">
        <v>0</v>
      </c>
      <c r="FB391" s="67">
        <v>0</v>
      </c>
      <c r="FC391" s="67"/>
      <c r="FD391" s="67"/>
      <c r="FE391" s="67"/>
      <c r="FF391" s="67"/>
      <c r="FG391" s="67"/>
      <c r="FH391" s="67"/>
      <c r="FI391" s="67" t="s">
        <v>1734</v>
      </c>
    </row>
    <row r="392" spans="2:165" ht="24" x14ac:dyDescent="0.2">
      <c r="B392" s="67" t="s">
        <v>1049</v>
      </c>
      <c r="C392" s="67"/>
      <c r="D392" s="67" t="s">
        <v>1050</v>
      </c>
      <c r="E392" s="67" t="s">
        <v>13</v>
      </c>
      <c r="F392" s="67"/>
      <c r="G392" s="67" t="s">
        <v>694</v>
      </c>
      <c r="H392" s="67"/>
      <c r="I392" s="67" t="s">
        <v>41</v>
      </c>
      <c r="J392" s="67"/>
      <c r="K392" s="67"/>
      <c r="L392" s="67" t="s">
        <v>751</v>
      </c>
      <c r="M392" s="67" t="s">
        <v>752</v>
      </c>
      <c r="N392" s="67"/>
      <c r="O392" s="67" t="s">
        <v>1605</v>
      </c>
      <c r="P392" s="67"/>
      <c r="Q392" s="67">
        <v>0</v>
      </c>
      <c r="R392" s="67">
        <v>0</v>
      </c>
      <c r="S392" s="67">
        <v>0</v>
      </c>
      <c r="T392" s="67">
        <v>0</v>
      </c>
      <c r="U392" s="67">
        <v>0</v>
      </c>
      <c r="V392" s="67">
        <v>0</v>
      </c>
      <c r="W392" s="67">
        <v>0</v>
      </c>
      <c r="X392" s="67">
        <v>0</v>
      </c>
      <c r="Y392" s="67">
        <v>0</v>
      </c>
      <c r="Z392" s="67">
        <v>0</v>
      </c>
      <c r="AA392" s="67">
        <v>0</v>
      </c>
      <c r="AB392" s="67">
        <v>0</v>
      </c>
      <c r="AC392" s="67">
        <v>0</v>
      </c>
      <c r="AD392" s="67">
        <v>0</v>
      </c>
      <c r="AE392" s="67">
        <v>0</v>
      </c>
      <c r="AF392" s="67">
        <v>0</v>
      </c>
      <c r="AG392" s="67">
        <v>0</v>
      </c>
      <c r="AH392" s="67">
        <v>0</v>
      </c>
      <c r="AI392" s="67">
        <v>0</v>
      </c>
      <c r="AJ392" s="67">
        <v>0</v>
      </c>
      <c r="AK392" s="67">
        <v>0</v>
      </c>
      <c r="AL392" s="67">
        <v>0</v>
      </c>
      <c r="AM392" s="67">
        <v>0</v>
      </c>
      <c r="AN392" s="67">
        <v>0</v>
      </c>
      <c r="AO392" s="67">
        <v>0</v>
      </c>
      <c r="AP392" s="67">
        <v>0</v>
      </c>
      <c r="AQ392" s="67">
        <v>0</v>
      </c>
      <c r="AR392" s="67">
        <v>0</v>
      </c>
      <c r="AS392" s="67">
        <v>0</v>
      </c>
      <c r="AT392" s="67"/>
      <c r="AU392" s="67"/>
      <c r="AV392" s="67"/>
      <c r="AW392" s="67">
        <v>0</v>
      </c>
      <c r="AX392" s="67">
        <v>0</v>
      </c>
      <c r="AY392" s="67"/>
      <c r="AZ392" s="67"/>
      <c r="BA392" s="67"/>
      <c r="BB392" s="67"/>
      <c r="BC392" s="67"/>
      <c r="BD392" s="67"/>
      <c r="BE392" s="67"/>
      <c r="BG392" s="67"/>
      <c r="BH392" s="67"/>
      <c r="BI392" s="67"/>
      <c r="BJ392" s="67">
        <v>0</v>
      </c>
      <c r="BK392" s="67"/>
      <c r="BL392" s="67"/>
      <c r="BP392" s="67"/>
      <c r="BQ392" s="67">
        <v>0</v>
      </c>
      <c r="BR392" s="67"/>
      <c r="BS392" s="67"/>
      <c r="BT392" s="67">
        <v>0</v>
      </c>
      <c r="BU392" s="67">
        <v>0</v>
      </c>
      <c r="BV392" s="67"/>
      <c r="BW392" s="67"/>
      <c r="BX392" s="67">
        <v>0</v>
      </c>
      <c r="BY392" s="67">
        <v>0</v>
      </c>
      <c r="BZ392" s="67">
        <v>0</v>
      </c>
      <c r="CA392" s="67"/>
      <c r="CB392" s="67">
        <v>0</v>
      </c>
      <c r="CC392" s="67"/>
      <c r="CD392" s="67"/>
      <c r="CE392" s="67">
        <v>0</v>
      </c>
      <c r="CF392" s="67"/>
      <c r="CG392" s="67"/>
      <c r="CH392" s="67"/>
      <c r="CI392" s="67"/>
      <c r="CJ392" s="67"/>
      <c r="CK392" s="67">
        <v>0</v>
      </c>
      <c r="CL392" s="67"/>
      <c r="CM392" s="67"/>
      <c r="CN392" s="67"/>
      <c r="CO392" s="67">
        <v>0</v>
      </c>
      <c r="CP392" s="67"/>
      <c r="CQ392" s="67"/>
      <c r="CR392" s="67"/>
      <c r="CS392" s="67"/>
      <c r="CT392" s="67"/>
      <c r="CU392" s="67">
        <v>0</v>
      </c>
      <c r="CV392" s="67"/>
      <c r="CW392" s="67"/>
      <c r="CX392" s="67"/>
      <c r="CY392" s="67">
        <v>0</v>
      </c>
      <c r="CZ392" s="67"/>
      <c r="DA392" s="67"/>
      <c r="DB392" s="67"/>
      <c r="DC392" s="67"/>
      <c r="DF392" s="67"/>
      <c r="DG392" s="67">
        <v>0</v>
      </c>
      <c r="DH392" s="67">
        <v>0</v>
      </c>
      <c r="DI392" s="67">
        <v>0</v>
      </c>
      <c r="DJ392" s="67"/>
      <c r="DK392" s="67">
        <v>0</v>
      </c>
      <c r="DL392" s="67">
        <v>0</v>
      </c>
      <c r="DM392" s="67">
        <v>0</v>
      </c>
      <c r="DN392" s="67"/>
      <c r="DO392" s="67"/>
      <c r="DP392" s="67"/>
      <c r="DQ392" s="67">
        <v>0</v>
      </c>
      <c r="DR392" s="67">
        <v>0</v>
      </c>
      <c r="DS392" s="67"/>
      <c r="DT392" s="67"/>
      <c r="DU392" s="67">
        <v>0</v>
      </c>
      <c r="DV392" s="67">
        <v>0</v>
      </c>
      <c r="DW392" s="67">
        <v>0</v>
      </c>
      <c r="DX392" s="67">
        <v>0</v>
      </c>
      <c r="DY392" s="67"/>
      <c r="DZ392" s="67">
        <v>0</v>
      </c>
      <c r="EA392" s="67"/>
      <c r="EB392" s="67">
        <v>0</v>
      </c>
      <c r="EC392" s="67"/>
      <c r="ED392" s="67">
        <v>0</v>
      </c>
      <c r="EE392" s="67"/>
      <c r="EF392" s="67">
        <v>0</v>
      </c>
      <c r="EG392" s="67"/>
      <c r="EH392" s="67"/>
      <c r="EI392" s="67"/>
      <c r="EJ392" s="67"/>
      <c r="EK392" s="67"/>
      <c r="EL392" s="67"/>
      <c r="EM392" s="67"/>
      <c r="EN392" s="67"/>
      <c r="EO392" s="67"/>
      <c r="EP392" s="67">
        <v>0</v>
      </c>
      <c r="EQ392" s="67">
        <v>0</v>
      </c>
      <c r="ER392" s="67">
        <v>0</v>
      </c>
      <c r="ES392" s="67"/>
      <c r="ET392">
        <v>0</v>
      </c>
      <c r="EX392" s="67"/>
      <c r="EY392" s="67"/>
      <c r="EZ392" s="67"/>
      <c r="FA392" s="67">
        <v>0</v>
      </c>
      <c r="FB392" s="67">
        <v>0</v>
      </c>
      <c r="FC392" s="67"/>
      <c r="FD392" s="67"/>
      <c r="FE392" s="67"/>
      <c r="FF392" s="67"/>
      <c r="FG392" s="67"/>
      <c r="FH392" s="67"/>
      <c r="FI392" s="67" t="s">
        <v>1734</v>
      </c>
    </row>
    <row r="393" spans="2:165" x14ac:dyDescent="0.2">
      <c r="B393" s="67" t="s">
        <v>1051</v>
      </c>
      <c r="C393" s="67"/>
      <c r="D393" s="67" t="s">
        <v>1052</v>
      </c>
      <c r="E393" s="67"/>
      <c r="F393" s="67"/>
      <c r="G393" s="67" t="s">
        <v>694</v>
      </c>
      <c r="H393" s="67"/>
      <c r="I393" s="67"/>
      <c r="J393" s="67"/>
      <c r="K393" s="67"/>
      <c r="L393" s="67"/>
      <c r="M393" s="67"/>
      <c r="N393" s="67"/>
      <c r="O393" s="67" t="s">
        <v>1605</v>
      </c>
      <c r="P393" s="67"/>
      <c r="Q393" s="67">
        <v>0</v>
      </c>
      <c r="R393" s="67">
        <v>0</v>
      </c>
      <c r="S393" s="67">
        <v>0</v>
      </c>
      <c r="T393" s="67">
        <v>0</v>
      </c>
      <c r="U393" s="67">
        <v>0</v>
      </c>
      <c r="V393" s="67">
        <v>0</v>
      </c>
      <c r="W393" s="67">
        <v>0</v>
      </c>
      <c r="X393" s="67">
        <v>0</v>
      </c>
      <c r="Y393" s="67">
        <v>0</v>
      </c>
      <c r="Z393" s="67">
        <v>0</v>
      </c>
      <c r="AA393" s="67">
        <v>0</v>
      </c>
      <c r="AB393" s="67">
        <v>0</v>
      </c>
      <c r="AC393" s="67">
        <v>0</v>
      </c>
      <c r="AD393" s="67">
        <v>0</v>
      </c>
      <c r="AE393" s="67">
        <v>0</v>
      </c>
      <c r="AF393" s="67">
        <v>0</v>
      </c>
      <c r="AG393" s="67">
        <v>0</v>
      </c>
      <c r="AH393" s="67">
        <v>0</v>
      </c>
      <c r="AI393" s="67">
        <v>0</v>
      </c>
      <c r="AJ393" s="67">
        <v>0</v>
      </c>
      <c r="AK393" s="67">
        <v>0</v>
      </c>
      <c r="AL393" s="67">
        <v>0</v>
      </c>
      <c r="AM393" s="67">
        <v>0</v>
      </c>
      <c r="AN393" s="67">
        <v>0</v>
      </c>
      <c r="AO393" s="67">
        <v>0</v>
      </c>
      <c r="AP393" s="67">
        <v>0</v>
      </c>
      <c r="AQ393" s="67">
        <v>0</v>
      </c>
      <c r="AR393" s="67">
        <v>0</v>
      </c>
      <c r="AS393" s="67">
        <v>0</v>
      </c>
      <c r="AT393" s="67"/>
      <c r="AU393" s="67"/>
      <c r="AV393" s="67"/>
      <c r="AW393" s="67">
        <v>0</v>
      </c>
      <c r="AX393" s="67">
        <v>0</v>
      </c>
      <c r="AY393" s="67"/>
      <c r="AZ393" s="67"/>
      <c r="BA393" s="67"/>
      <c r="BB393" s="67"/>
      <c r="BC393" s="67"/>
      <c r="BD393" s="67"/>
      <c r="BE393" s="67"/>
      <c r="BG393" s="67"/>
      <c r="BH393" s="67"/>
      <c r="BI393" s="67"/>
      <c r="BJ393" s="67">
        <v>0</v>
      </c>
      <c r="BK393" s="67"/>
      <c r="BL393" s="67"/>
      <c r="BP393" s="67"/>
      <c r="BQ393" s="67">
        <v>0</v>
      </c>
      <c r="BR393" s="67"/>
      <c r="BS393" s="67"/>
      <c r="BT393" s="67">
        <v>0</v>
      </c>
      <c r="BU393" s="67">
        <v>0</v>
      </c>
      <c r="BV393" s="67"/>
      <c r="BW393" s="67"/>
      <c r="BX393" s="67">
        <v>0</v>
      </c>
      <c r="BY393" s="67">
        <v>0</v>
      </c>
      <c r="BZ393" s="67">
        <v>0</v>
      </c>
      <c r="CA393" s="67"/>
      <c r="CB393" s="67">
        <v>0</v>
      </c>
      <c r="CC393" s="67"/>
      <c r="CD393" s="67"/>
      <c r="CE393" s="67">
        <v>0</v>
      </c>
      <c r="CF393" s="67"/>
      <c r="CG393" s="67"/>
      <c r="CH393" s="67"/>
      <c r="CI393" s="67"/>
      <c r="CJ393" s="67"/>
      <c r="CK393" s="67">
        <v>0</v>
      </c>
      <c r="CL393" s="67"/>
      <c r="CM393" s="67"/>
      <c r="CN393" s="67"/>
      <c r="CO393" s="67">
        <v>0</v>
      </c>
      <c r="CP393" s="67"/>
      <c r="CQ393" s="67"/>
      <c r="CR393" s="67"/>
      <c r="CS393" s="67"/>
      <c r="CT393" s="67"/>
      <c r="CU393" s="67">
        <v>0</v>
      </c>
      <c r="CV393" s="67"/>
      <c r="CW393" s="67"/>
      <c r="CX393" s="67"/>
      <c r="CY393" s="67">
        <v>0</v>
      </c>
      <c r="CZ393" s="67"/>
      <c r="DA393" s="67"/>
      <c r="DB393" s="67"/>
      <c r="DC393" s="67"/>
      <c r="DF393" s="67"/>
      <c r="DG393" s="67">
        <v>0</v>
      </c>
      <c r="DH393" s="67">
        <v>0</v>
      </c>
      <c r="DI393" s="67">
        <v>0</v>
      </c>
      <c r="DJ393" s="67"/>
      <c r="DK393" s="67">
        <v>0</v>
      </c>
      <c r="DL393" s="67">
        <v>0</v>
      </c>
      <c r="DM393" s="67">
        <v>0</v>
      </c>
      <c r="DN393" s="67"/>
      <c r="DO393" s="67"/>
      <c r="DP393" s="67"/>
      <c r="DQ393" s="67">
        <v>0</v>
      </c>
      <c r="DR393" s="67">
        <v>0</v>
      </c>
      <c r="DS393" s="67"/>
      <c r="DT393" s="67"/>
      <c r="DU393" s="67">
        <v>0</v>
      </c>
      <c r="DV393" s="67">
        <v>0</v>
      </c>
      <c r="DW393" s="67">
        <v>0</v>
      </c>
      <c r="DX393" s="67">
        <v>0</v>
      </c>
      <c r="DY393" s="67"/>
      <c r="DZ393" s="67">
        <v>0</v>
      </c>
      <c r="EA393" s="67"/>
      <c r="EB393" s="67">
        <v>0</v>
      </c>
      <c r="EC393" s="67"/>
      <c r="ED393" s="67">
        <v>0</v>
      </c>
      <c r="EE393" s="67"/>
      <c r="EF393" s="67">
        <v>0</v>
      </c>
      <c r="EG393" s="67"/>
      <c r="EH393" s="67"/>
      <c r="EI393" s="67"/>
      <c r="EJ393" s="67"/>
      <c r="EK393" s="67"/>
      <c r="EL393" s="67"/>
      <c r="EM393" s="67"/>
      <c r="EN393" s="67"/>
      <c r="EO393" s="67"/>
      <c r="EP393" s="67">
        <v>0</v>
      </c>
      <c r="EQ393" s="67">
        <v>0</v>
      </c>
      <c r="ER393" s="67">
        <v>0</v>
      </c>
      <c r="ES393" s="67"/>
      <c r="ET393">
        <v>0</v>
      </c>
      <c r="EX393" s="67"/>
      <c r="EY393" s="67"/>
      <c r="EZ393" s="67"/>
      <c r="FA393" s="67">
        <v>0</v>
      </c>
      <c r="FB393" s="67">
        <v>0</v>
      </c>
      <c r="FC393" s="67"/>
      <c r="FD393" s="67"/>
      <c r="FE393" s="67"/>
      <c r="FF393" s="67"/>
      <c r="FG393" s="67"/>
      <c r="FH393" s="67"/>
      <c r="FI393" s="67" t="s">
        <v>1734</v>
      </c>
    </row>
    <row r="394" spans="2:165" ht="24" x14ac:dyDescent="0.2">
      <c r="B394" s="67" t="s">
        <v>1053</v>
      </c>
      <c r="C394" s="67"/>
      <c r="D394" s="67" t="s">
        <v>1054</v>
      </c>
      <c r="E394" s="67" t="s">
        <v>13</v>
      </c>
      <c r="F394" s="67"/>
      <c r="G394" s="67" t="s">
        <v>694</v>
      </c>
      <c r="H394" s="67"/>
      <c r="I394" s="67" t="s">
        <v>41</v>
      </c>
      <c r="J394" s="67"/>
      <c r="K394" s="67"/>
      <c r="L394" s="67" t="s">
        <v>751</v>
      </c>
      <c r="M394" s="67" t="s">
        <v>752</v>
      </c>
      <c r="N394" s="67"/>
      <c r="O394" s="67" t="s">
        <v>1605</v>
      </c>
      <c r="P394" s="67"/>
      <c r="Q394" s="67">
        <v>0</v>
      </c>
      <c r="R394" s="67">
        <v>0</v>
      </c>
      <c r="S394" s="67">
        <v>0</v>
      </c>
      <c r="T394" s="67">
        <v>0</v>
      </c>
      <c r="U394" s="67">
        <v>0</v>
      </c>
      <c r="V394" s="67">
        <v>0</v>
      </c>
      <c r="W394" s="67">
        <v>0</v>
      </c>
      <c r="X394" s="67">
        <v>0</v>
      </c>
      <c r="Y394" s="67">
        <v>0</v>
      </c>
      <c r="Z394" s="67">
        <v>0</v>
      </c>
      <c r="AA394" s="67">
        <v>0</v>
      </c>
      <c r="AB394" s="67">
        <v>0</v>
      </c>
      <c r="AC394" s="67">
        <v>0</v>
      </c>
      <c r="AD394" s="67">
        <v>0</v>
      </c>
      <c r="AE394" s="67">
        <v>0</v>
      </c>
      <c r="AF394" s="67">
        <v>0</v>
      </c>
      <c r="AG394" s="67">
        <v>0</v>
      </c>
      <c r="AH394" s="67">
        <v>0</v>
      </c>
      <c r="AI394" s="67">
        <v>0</v>
      </c>
      <c r="AJ394" s="67">
        <v>0</v>
      </c>
      <c r="AK394" s="67">
        <v>0</v>
      </c>
      <c r="AL394" s="67">
        <v>0</v>
      </c>
      <c r="AM394" s="67">
        <v>0</v>
      </c>
      <c r="AN394" s="67">
        <v>0</v>
      </c>
      <c r="AO394" s="67">
        <v>0</v>
      </c>
      <c r="AP394" s="67">
        <v>0</v>
      </c>
      <c r="AQ394" s="67">
        <v>0</v>
      </c>
      <c r="AR394" s="67">
        <v>0</v>
      </c>
      <c r="AS394" s="67">
        <v>0</v>
      </c>
      <c r="AT394" s="67"/>
      <c r="AU394" s="67"/>
      <c r="AV394" s="67"/>
      <c r="AW394" s="67">
        <v>0</v>
      </c>
      <c r="AX394" s="67">
        <v>0</v>
      </c>
      <c r="AY394" s="67"/>
      <c r="AZ394" s="67"/>
      <c r="BA394" s="67"/>
      <c r="BB394" s="67"/>
      <c r="BC394" s="67"/>
      <c r="BD394" s="67"/>
      <c r="BE394" s="67"/>
      <c r="BG394" s="67"/>
      <c r="BH394" s="67"/>
      <c r="BI394" s="67"/>
      <c r="BJ394" s="67">
        <v>0</v>
      </c>
      <c r="BK394" s="67"/>
      <c r="BL394" s="67"/>
      <c r="BP394" s="67"/>
      <c r="BQ394" s="67">
        <v>0</v>
      </c>
      <c r="BR394" s="67"/>
      <c r="BS394" s="67"/>
      <c r="BT394" s="67">
        <v>0</v>
      </c>
      <c r="BU394" s="67">
        <v>0</v>
      </c>
      <c r="BV394" s="67"/>
      <c r="BW394" s="67"/>
      <c r="BX394" s="67">
        <v>0</v>
      </c>
      <c r="BY394" s="67">
        <v>0</v>
      </c>
      <c r="BZ394" s="67">
        <v>0</v>
      </c>
      <c r="CA394" s="67"/>
      <c r="CB394" s="67">
        <v>0</v>
      </c>
      <c r="CC394" s="67"/>
      <c r="CD394" s="67"/>
      <c r="CE394" s="67">
        <v>0</v>
      </c>
      <c r="CF394" s="67"/>
      <c r="CG394" s="67"/>
      <c r="CH394" s="67"/>
      <c r="CI394" s="67"/>
      <c r="CJ394" s="67"/>
      <c r="CK394" s="67">
        <v>0</v>
      </c>
      <c r="CL394" s="67"/>
      <c r="CM394" s="67"/>
      <c r="CN394" s="67"/>
      <c r="CO394" s="67">
        <v>0</v>
      </c>
      <c r="CP394" s="67"/>
      <c r="CQ394" s="67"/>
      <c r="CR394" s="67"/>
      <c r="CS394" s="67"/>
      <c r="CT394" s="67"/>
      <c r="CU394" s="67">
        <v>0</v>
      </c>
      <c r="CV394" s="67"/>
      <c r="CW394" s="67"/>
      <c r="CX394" s="67"/>
      <c r="CY394" s="67">
        <v>0</v>
      </c>
      <c r="CZ394" s="67"/>
      <c r="DA394" s="67"/>
      <c r="DB394" s="67"/>
      <c r="DC394" s="67"/>
      <c r="DF394" s="67"/>
      <c r="DG394" s="67">
        <v>0</v>
      </c>
      <c r="DH394" s="67">
        <v>0</v>
      </c>
      <c r="DI394" s="67">
        <v>0</v>
      </c>
      <c r="DJ394" s="67"/>
      <c r="DK394" s="67">
        <v>0</v>
      </c>
      <c r="DL394" s="67">
        <v>0</v>
      </c>
      <c r="DM394" s="67">
        <v>0</v>
      </c>
      <c r="DN394" s="67"/>
      <c r="DO394" s="67"/>
      <c r="DP394" s="67"/>
      <c r="DQ394" s="67">
        <v>0</v>
      </c>
      <c r="DR394" s="67">
        <v>0</v>
      </c>
      <c r="DS394" s="67"/>
      <c r="DT394" s="67"/>
      <c r="DU394" s="67">
        <v>0</v>
      </c>
      <c r="DV394" s="67">
        <v>0</v>
      </c>
      <c r="DW394" s="67">
        <v>0</v>
      </c>
      <c r="DX394" s="67">
        <v>0</v>
      </c>
      <c r="DY394" s="67"/>
      <c r="DZ394" s="67">
        <v>0</v>
      </c>
      <c r="EA394" s="67"/>
      <c r="EB394" s="67">
        <v>0</v>
      </c>
      <c r="EC394" s="67"/>
      <c r="ED394" s="67">
        <v>0</v>
      </c>
      <c r="EE394" s="67"/>
      <c r="EF394" s="67">
        <v>0</v>
      </c>
      <c r="EG394" s="67"/>
      <c r="EH394" s="67"/>
      <c r="EI394" s="67"/>
      <c r="EJ394" s="67"/>
      <c r="EK394" s="67"/>
      <c r="EL394" s="67"/>
      <c r="EM394" s="67"/>
      <c r="EN394" s="67"/>
      <c r="EO394" s="67"/>
      <c r="EP394" s="67">
        <v>0</v>
      </c>
      <c r="EQ394" s="67">
        <v>0</v>
      </c>
      <c r="ER394" s="67">
        <v>0</v>
      </c>
      <c r="ES394" s="67"/>
      <c r="ET394">
        <v>0</v>
      </c>
      <c r="EX394" s="67"/>
      <c r="EY394" s="67"/>
      <c r="EZ394" s="67"/>
      <c r="FA394" s="67">
        <v>0</v>
      </c>
      <c r="FB394" s="67">
        <v>0</v>
      </c>
      <c r="FC394" s="67"/>
      <c r="FD394" s="67"/>
      <c r="FE394" s="67"/>
      <c r="FF394" s="67"/>
      <c r="FG394" s="67"/>
      <c r="FH394" s="67"/>
      <c r="FI394" s="67" t="s">
        <v>1734</v>
      </c>
    </row>
    <row r="395" spans="2:165" ht="24" x14ac:dyDescent="0.2">
      <c r="B395" s="67" t="s">
        <v>1055</v>
      </c>
      <c r="C395" s="67"/>
      <c r="D395" s="67" t="s">
        <v>1056</v>
      </c>
      <c r="E395" s="67" t="s">
        <v>13</v>
      </c>
      <c r="F395" s="67"/>
      <c r="G395" s="67" t="s">
        <v>694</v>
      </c>
      <c r="H395" s="67"/>
      <c r="I395" s="67" t="s">
        <v>41</v>
      </c>
      <c r="J395" s="67"/>
      <c r="K395" s="67"/>
      <c r="L395" s="67" t="s">
        <v>751</v>
      </c>
      <c r="M395" s="67" t="s">
        <v>752</v>
      </c>
      <c r="N395" s="67"/>
      <c r="O395" s="67" t="s">
        <v>1605</v>
      </c>
      <c r="P395" s="67"/>
      <c r="Q395" s="67">
        <v>0</v>
      </c>
      <c r="R395" s="67">
        <v>0</v>
      </c>
      <c r="S395" s="67">
        <v>0</v>
      </c>
      <c r="T395" s="67">
        <v>0</v>
      </c>
      <c r="U395" s="67">
        <v>0</v>
      </c>
      <c r="V395" s="67">
        <v>0</v>
      </c>
      <c r="W395" s="67">
        <v>0</v>
      </c>
      <c r="X395" s="67">
        <v>0</v>
      </c>
      <c r="Y395" s="67">
        <v>0</v>
      </c>
      <c r="Z395" s="67">
        <v>0</v>
      </c>
      <c r="AA395" s="67">
        <v>0</v>
      </c>
      <c r="AB395" s="67">
        <v>0</v>
      </c>
      <c r="AC395" s="67">
        <v>0</v>
      </c>
      <c r="AD395" s="67">
        <v>0</v>
      </c>
      <c r="AE395" s="67">
        <v>0</v>
      </c>
      <c r="AF395" s="67">
        <v>0</v>
      </c>
      <c r="AG395" s="67">
        <v>0</v>
      </c>
      <c r="AH395" s="67">
        <v>0</v>
      </c>
      <c r="AI395" s="67">
        <v>0</v>
      </c>
      <c r="AJ395" s="67">
        <v>0</v>
      </c>
      <c r="AK395" s="67">
        <v>0</v>
      </c>
      <c r="AL395" s="67">
        <v>0</v>
      </c>
      <c r="AM395" s="67">
        <v>0</v>
      </c>
      <c r="AN395" s="67">
        <v>0</v>
      </c>
      <c r="AO395" s="67">
        <v>0</v>
      </c>
      <c r="AP395" s="67">
        <v>0</v>
      </c>
      <c r="AQ395" s="67">
        <v>0</v>
      </c>
      <c r="AR395" s="67">
        <v>0</v>
      </c>
      <c r="AS395" s="67">
        <v>0</v>
      </c>
      <c r="AT395" s="67"/>
      <c r="AU395" s="67"/>
      <c r="AV395" s="67"/>
      <c r="AW395" s="67">
        <v>0</v>
      </c>
      <c r="AX395" s="67">
        <v>0</v>
      </c>
      <c r="AY395" s="67"/>
      <c r="AZ395" s="67"/>
      <c r="BA395" s="67"/>
      <c r="BB395" s="67"/>
      <c r="BC395" s="67"/>
      <c r="BD395" s="67"/>
      <c r="BE395" s="67"/>
      <c r="BG395" s="67"/>
      <c r="BH395" s="67"/>
      <c r="BI395" s="67"/>
      <c r="BJ395" s="67">
        <v>0</v>
      </c>
      <c r="BK395" s="67"/>
      <c r="BL395" s="67"/>
      <c r="BP395" s="67"/>
      <c r="BQ395" s="67">
        <v>0</v>
      </c>
      <c r="BR395" s="67"/>
      <c r="BS395" s="67"/>
      <c r="BT395" s="67">
        <v>0</v>
      </c>
      <c r="BU395" s="67">
        <v>0</v>
      </c>
      <c r="BV395" s="67"/>
      <c r="BW395" s="67"/>
      <c r="BX395" s="67">
        <v>0</v>
      </c>
      <c r="BY395" s="67">
        <v>0</v>
      </c>
      <c r="BZ395" s="67">
        <v>0</v>
      </c>
      <c r="CA395" s="67"/>
      <c r="CB395" s="67">
        <v>0</v>
      </c>
      <c r="CC395" s="67"/>
      <c r="CD395" s="67"/>
      <c r="CE395" s="67">
        <v>0</v>
      </c>
      <c r="CF395" s="67"/>
      <c r="CG395" s="67"/>
      <c r="CH395" s="67"/>
      <c r="CI395" s="67"/>
      <c r="CJ395" s="67"/>
      <c r="CK395" s="67">
        <v>0</v>
      </c>
      <c r="CL395" s="67"/>
      <c r="CM395" s="67"/>
      <c r="CN395" s="67"/>
      <c r="CO395" s="67">
        <v>0</v>
      </c>
      <c r="CP395" s="67"/>
      <c r="CQ395" s="67"/>
      <c r="CR395" s="67"/>
      <c r="CS395" s="67"/>
      <c r="CT395" s="67"/>
      <c r="CU395" s="67">
        <v>0</v>
      </c>
      <c r="CV395" s="67"/>
      <c r="CW395" s="67"/>
      <c r="CX395" s="67"/>
      <c r="CY395" s="67">
        <v>0</v>
      </c>
      <c r="CZ395" s="67"/>
      <c r="DA395" s="67"/>
      <c r="DB395" s="67"/>
      <c r="DC395" s="67"/>
      <c r="DF395" s="67"/>
      <c r="DG395" s="67">
        <v>0</v>
      </c>
      <c r="DH395" s="67">
        <v>0</v>
      </c>
      <c r="DI395" s="67">
        <v>0</v>
      </c>
      <c r="DJ395" s="67"/>
      <c r="DK395" s="67">
        <v>0</v>
      </c>
      <c r="DL395" s="67">
        <v>0</v>
      </c>
      <c r="DM395" s="67">
        <v>0</v>
      </c>
      <c r="DN395" s="67"/>
      <c r="DO395" s="67"/>
      <c r="DP395" s="67"/>
      <c r="DQ395" s="67">
        <v>0</v>
      </c>
      <c r="DR395" s="67">
        <v>0</v>
      </c>
      <c r="DS395" s="67"/>
      <c r="DT395" s="67"/>
      <c r="DU395" s="67">
        <v>0</v>
      </c>
      <c r="DV395" s="67">
        <v>0</v>
      </c>
      <c r="DW395" s="67">
        <v>0</v>
      </c>
      <c r="DX395" s="67">
        <v>0</v>
      </c>
      <c r="DY395" s="67"/>
      <c r="DZ395" s="67">
        <v>0</v>
      </c>
      <c r="EA395" s="67"/>
      <c r="EB395" s="67">
        <v>0</v>
      </c>
      <c r="EC395" s="67"/>
      <c r="ED395" s="67">
        <v>0</v>
      </c>
      <c r="EE395" s="67"/>
      <c r="EF395" s="67">
        <v>0</v>
      </c>
      <c r="EG395" s="67"/>
      <c r="EH395" s="67"/>
      <c r="EI395" s="67"/>
      <c r="EJ395" s="67"/>
      <c r="EK395" s="67"/>
      <c r="EL395" s="67"/>
      <c r="EM395" s="67"/>
      <c r="EN395" s="67"/>
      <c r="EO395" s="67"/>
      <c r="EP395" s="67">
        <v>0</v>
      </c>
      <c r="EQ395" s="67">
        <v>0</v>
      </c>
      <c r="ER395" s="67">
        <v>0</v>
      </c>
      <c r="ES395" s="67"/>
      <c r="ET395">
        <v>0</v>
      </c>
      <c r="EX395" s="67"/>
      <c r="EY395" s="67"/>
      <c r="EZ395" s="67"/>
      <c r="FA395" s="67">
        <v>0</v>
      </c>
      <c r="FB395" s="67">
        <v>0</v>
      </c>
      <c r="FC395" s="67"/>
      <c r="FD395" s="67"/>
      <c r="FE395" s="67"/>
      <c r="FF395" s="67"/>
      <c r="FG395" s="67"/>
      <c r="FH395" s="67"/>
      <c r="FI395" s="67" t="s">
        <v>1734</v>
      </c>
    </row>
    <row r="396" spans="2:165" ht="24" x14ac:dyDescent="0.2">
      <c r="B396" s="67" t="s">
        <v>1057</v>
      </c>
      <c r="C396" s="67"/>
      <c r="D396" s="67" t="s">
        <v>1058</v>
      </c>
      <c r="E396" s="67" t="s">
        <v>13</v>
      </c>
      <c r="F396" s="67" t="s">
        <v>766</v>
      </c>
      <c r="G396" s="67" t="s">
        <v>694</v>
      </c>
      <c r="H396" s="67"/>
      <c r="I396" s="67" t="s">
        <v>41</v>
      </c>
      <c r="J396" s="67"/>
      <c r="K396" s="67"/>
      <c r="L396" s="67" t="s">
        <v>767</v>
      </c>
      <c r="M396" s="67" t="s">
        <v>752</v>
      </c>
      <c r="N396" s="67"/>
      <c r="O396" s="67" t="s">
        <v>1605</v>
      </c>
      <c r="P396" s="67" t="s">
        <v>942</v>
      </c>
      <c r="Q396" s="67">
        <v>0</v>
      </c>
      <c r="R396" s="67">
        <v>0</v>
      </c>
      <c r="S396" s="67">
        <v>0</v>
      </c>
      <c r="T396" s="67">
        <v>0</v>
      </c>
      <c r="U396" s="67">
        <v>0</v>
      </c>
      <c r="V396" s="67">
        <v>0</v>
      </c>
      <c r="W396" s="67">
        <v>0</v>
      </c>
      <c r="X396" s="67">
        <v>0</v>
      </c>
      <c r="Y396" s="67">
        <v>0</v>
      </c>
      <c r="Z396" s="67">
        <v>0</v>
      </c>
      <c r="AA396" s="67">
        <v>0</v>
      </c>
      <c r="AB396" s="67">
        <v>0</v>
      </c>
      <c r="AC396" s="67">
        <v>0</v>
      </c>
      <c r="AD396" s="67">
        <v>0</v>
      </c>
      <c r="AE396" s="67">
        <v>0</v>
      </c>
      <c r="AF396" s="67">
        <v>0</v>
      </c>
      <c r="AG396" s="67">
        <v>0</v>
      </c>
      <c r="AH396" s="67">
        <v>0</v>
      </c>
      <c r="AI396" s="67">
        <v>0</v>
      </c>
      <c r="AJ396" s="67">
        <v>0</v>
      </c>
      <c r="AK396" s="67">
        <v>0</v>
      </c>
      <c r="AL396" s="67">
        <v>0</v>
      </c>
      <c r="AM396" s="67">
        <v>0</v>
      </c>
      <c r="AN396" s="67">
        <v>0</v>
      </c>
      <c r="AO396" s="67">
        <v>0</v>
      </c>
      <c r="AP396" s="67">
        <v>0</v>
      </c>
      <c r="AQ396" s="67">
        <v>0</v>
      </c>
      <c r="AR396" s="67">
        <v>0</v>
      </c>
      <c r="AS396" s="67">
        <v>0</v>
      </c>
      <c r="AT396" s="67"/>
      <c r="AU396" s="67"/>
      <c r="AV396" s="67"/>
      <c r="AW396" s="67">
        <v>0</v>
      </c>
      <c r="AX396" s="67">
        <v>0</v>
      </c>
      <c r="AY396" s="67"/>
      <c r="AZ396" s="67"/>
      <c r="BA396" s="67"/>
      <c r="BB396" s="67"/>
      <c r="BC396" s="67"/>
      <c r="BD396" s="67"/>
      <c r="BE396" s="67"/>
      <c r="BG396" s="67"/>
      <c r="BH396" s="67"/>
      <c r="BI396" s="67"/>
      <c r="BJ396" s="67">
        <v>0</v>
      </c>
      <c r="BK396" s="67"/>
      <c r="BL396" s="67"/>
      <c r="BP396" s="67"/>
      <c r="BQ396" s="67">
        <v>0</v>
      </c>
      <c r="BR396" s="67"/>
      <c r="BS396" s="67"/>
      <c r="BT396" s="67">
        <v>0</v>
      </c>
      <c r="BU396" s="67">
        <v>0</v>
      </c>
      <c r="BV396" s="67"/>
      <c r="BW396" s="67"/>
      <c r="BX396" s="67">
        <v>0</v>
      </c>
      <c r="BY396" s="67">
        <v>0</v>
      </c>
      <c r="BZ396" s="67">
        <v>0</v>
      </c>
      <c r="CA396" s="67"/>
      <c r="CB396" s="67">
        <v>0</v>
      </c>
      <c r="CC396" s="67"/>
      <c r="CD396" s="67"/>
      <c r="CE396" s="67">
        <v>0</v>
      </c>
      <c r="CF396" s="67"/>
      <c r="CG396" s="67"/>
      <c r="CH396" s="67"/>
      <c r="CI396" s="67"/>
      <c r="CJ396" s="67"/>
      <c r="CK396" s="67">
        <v>0</v>
      </c>
      <c r="CL396" s="67"/>
      <c r="CM396" s="67"/>
      <c r="CN396" s="67"/>
      <c r="CO396" s="67">
        <v>0</v>
      </c>
      <c r="CP396" s="67"/>
      <c r="CQ396" s="67"/>
      <c r="CR396" s="67"/>
      <c r="CS396" s="67"/>
      <c r="CT396" s="67"/>
      <c r="CU396" s="67">
        <v>0</v>
      </c>
      <c r="CV396" s="67"/>
      <c r="CW396" s="67"/>
      <c r="CX396" s="67"/>
      <c r="CY396" s="67">
        <v>0</v>
      </c>
      <c r="CZ396" s="67"/>
      <c r="DA396" s="67"/>
      <c r="DB396" s="67"/>
      <c r="DC396" s="67"/>
      <c r="DF396" s="67"/>
      <c r="DG396" s="67">
        <v>0</v>
      </c>
      <c r="DH396" s="67">
        <v>0</v>
      </c>
      <c r="DI396" s="67">
        <v>0</v>
      </c>
      <c r="DJ396" s="67"/>
      <c r="DK396" s="67">
        <v>0</v>
      </c>
      <c r="DL396" s="67">
        <v>0</v>
      </c>
      <c r="DM396" s="67">
        <v>0</v>
      </c>
      <c r="DN396" s="67"/>
      <c r="DO396" s="67"/>
      <c r="DP396" s="67"/>
      <c r="DQ396" s="67">
        <v>0</v>
      </c>
      <c r="DR396" s="67">
        <v>0</v>
      </c>
      <c r="DS396" s="67"/>
      <c r="DT396" s="67"/>
      <c r="DU396" s="67">
        <v>0</v>
      </c>
      <c r="DV396" s="67">
        <v>0</v>
      </c>
      <c r="DW396" s="67">
        <v>0</v>
      </c>
      <c r="DX396" s="67">
        <v>0</v>
      </c>
      <c r="DY396" s="67"/>
      <c r="DZ396" s="67">
        <v>0</v>
      </c>
      <c r="EA396" s="67"/>
      <c r="EB396" s="67">
        <v>0</v>
      </c>
      <c r="EC396" s="67"/>
      <c r="ED396" s="67">
        <v>0</v>
      </c>
      <c r="EE396" s="67"/>
      <c r="EF396" s="67">
        <v>0</v>
      </c>
      <c r="EG396" s="67"/>
      <c r="EH396" s="67"/>
      <c r="EI396" s="67"/>
      <c r="EJ396" s="67"/>
      <c r="EK396" s="67"/>
      <c r="EL396" s="67"/>
      <c r="EM396" s="67"/>
      <c r="EN396" s="67"/>
      <c r="EO396" s="67"/>
      <c r="EP396" s="67">
        <v>0</v>
      </c>
      <c r="EQ396" s="67">
        <v>0</v>
      </c>
      <c r="ER396" s="67">
        <v>0</v>
      </c>
      <c r="ES396" s="67"/>
      <c r="ET396">
        <v>0</v>
      </c>
      <c r="EX396" s="67"/>
      <c r="EY396" s="67"/>
      <c r="EZ396" s="67"/>
      <c r="FA396" s="67">
        <v>0</v>
      </c>
      <c r="FB396" s="67">
        <v>0</v>
      </c>
      <c r="FC396" s="67"/>
      <c r="FD396" s="67"/>
      <c r="FE396" s="67"/>
      <c r="FF396" s="67"/>
      <c r="FG396" s="67"/>
      <c r="FH396" s="67"/>
      <c r="FI396" s="67" t="s">
        <v>1734</v>
      </c>
    </row>
    <row r="397" spans="2:165" x14ac:dyDescent="0.2">
      <c r="B397" s="67" t="s">
        <v>1060</v>
      </c>
      <c r="C397" s="67"/>
      <c r="D397" s="67" t="s">
        <v>1061</v>
      </c>
      <c r="E397" s="67" t="s">
        <v>23</v>
      </c>
      <c r="F397" s="67"/>
      <c r="G397" s="67" t="s">
        <v>694</v>
      </c>
      <c r="H397" s="67"/>
      <c r="I397" s="67" t="s">
        <v>43</v>
      </c>
      <c r="J397" s="67"/>
      <c r="K397" s="67"/>
      <c r="L397" s="67" t="s">
        <v>751</v>
      </c>
      <c r="M397" s="67" t="s">
        <v>752</v>
      </c>
      <c r="N397" s="67"/>
      <c r="O397" s="67" t="s">
        <v>1605</v>
      </c>
      <c r="P397" s="67"/>
      <c r="Q397" s="67">
        <v>0</v>
      </c>
      <c r="R397" s="67">
        <v>0</v>
      </c>
      <c r="S397" s="67">
        <v>0</v>
      </c>
      <c r="T397" s="67">
        <v>0</v>
      </c>
      <c r="U397" s="67">
        <v>0</v>
      </c>
      <c r="V397" s="67">
        <v>0</v>
      </c>
      <c r="W397" s="67">
        <v>0</v>
      </c>
      <c r="X397" s="67">
        <v>0</v>
      </c>
      <c r="Y397" s="67">
        <v>0</v>
      </c>
      <c r="Z397" s="67">
        <v>0</v>
      </c>
      <c r="AA397" s="67">
        <v>0</v>
      </c>
      <c r="AB397" s="67">
        <v>0</v>
      </c>
      <c r="AC397" s="67">
        <v>0</v>
      </c>
      <c r="AD397" s="67">
        <v>0</v>
      </c>
      <c r="AE397" s="67">
        <v>0</v>
      </c>
      <c r="AF397" s="67">
        <v>0</v>
      </c>
      <c r="AG397" s="67">
        <v>0</v>
      </c>
      <c r="AH397" s="67">
        <v>0</v>
      </c>
      <c r="AI397" s="67">
        <v>0</v>
      </c>
      <c r="AJ397" s="67">
        <v>0</v>
      </c>
      <c r="AK397" s="67">
        <v>0</v>
      </c>
      <c r="AL397" s="67">
        <v>0</v>
      </c>
      <c r="AM397" s="67">
        <v>0</v>
      </c>
      <c r="AN397" s="67">
        <v>0</v>
      </c>
      <c r="AO397" s="67">
        <v>0</v>
      </c>
      <c r="AP397" s="67">
        <v>0</v>
      </c>
      <c r="AQ397" s="67">
        <v>0</v>
      </c>
      <c r="AR397" s="67">
        <v>0</v>
      </c>
      <c r="AS397" s="67">
        <v>0</v>
      </c>
      <c r="AT397" s="67"/>
      <c r="AU397" s="67"/>
      <c r="AV397" s="67"/>
      <c r="AW397" s="67">
        <v>0</v>
      </c>
      <c r="AX397" s="67">
        <v>0</v>
      </c>
      <c r="AY397" s="67"/>
      <c r="AZ397" s="67"/>
      <c r="BA397" s="67"/>
      <c r="BB397" s="67"/>
      <c r="BC397" s="67"/>
      <c r="BD397" s="67"/>
      <c r="BE397" s="67"/>
      <c r="BG397" s="67"/>
      <c r="BH397" s="67"/>
      <c r="BI397" s="67"/>
      <c r="BJ397" s="67">
        <v>0</v>
      </c>
      <c r="BK397" s="67"/>
      <c r="BL397" s="67"/>
      <c r="BP397" s="67"/>
      <c r="BQ397" s="67">
        <v>0</v>
      </c>
      <c r="BR397" s="67"/>
      <c r="BS397" s="67"/>
      <c r="BT397" s="67">
        <v>0</v>
      </c>
      <c r="BU397" s="67">
        <v>0</v>
      </c>
      <c r="BV397" s="67"/>
      <c r="BW397" s="67"/>
      <c r="BX397" s="67">
        <v>0</v>
      </c>
      <c r="BY397" s="67">
        <v>0</v>
      </c>
      <c r="BZ397" s="67">
        <v>0</v>
      </c>
      <c r="CA397" s="67"/>
      <c r="CB397" s="67">
        <v>0</v>
      </c>
      <c r="CC397" s="67"/>
      <c r="CD397" s="67"/>
      <c r="CE397" s="67">
        <v>0</v>
      </c>
      <c r="CF397" s="67"/>
      <c r="CG397" s="67"/>
      <c r="CH397" s="67"/>
      <c r="CI397" s="67"/>
      <c r="CJ397" s="67"/>
      <c r="CK397" s="67">
        <v>0</v>
      </c>
      <c r="CL397" s="67"/>
      <c r="CM397" s="67"/>
      <c r="CN397" s="67"/>
      <c r="CO397" s="67">
        <v>0</v>
      </c>
      <c r="CP397" s="67"/>
      <c r="CQ397" s="67"/>
      <c r="CR397" s="67"/>
      <c r="CS397" s="67"/>
      <c r="CT397" s="67"/>
      <c r="CU397" s="67">
        <v>0</v>
      </c>
      <c r="CV397" s="67"/>
      <c r="CW397" s="67"/>
      <c r="CX397" s="67"/>
      <c r="CY397" s="67">
        <v>0</v>
      </c>
      <c r="CZ397" s="67"/>
      <c r="DA397" s="67"/>
      <c r="DB397" s="67"/>
      <c r="DC397" s="67"/>
      <c r="DF397" s="67"/>
      <c r="DG397" s="67">
        <v>0</v>
      </c>
      <c r="DH397" s="67">
        <v>0</v>
      </c>
      <c r="DI397" s="67">
        <v>0</v>
      </c>
      <c r="DJ397" s="67"/>
      <c r="DK397" s="67">
        <v>0</v>
      </c>
      <c r="DL397" s="67">
        <v>0</v>
      </c>
      <c r="DM397" s="67">
        <v>0</v>
      </c>
      <c r="DN397" s="67"/>
      <c r="DO397" s="67"/>
      <c r="DP397" s="67"/>
      <c r="DQ397" s="67">
        <v>0</v>
      </c>
      <c r="DR397" s="67">
        <v>0</v>
      </c>
      <c r="DS397" s="67"/>
      <c r="DT397" s="67"/>
      <c r="DU397" s="67">
        <v>0</v>
      </c>
      <c r="DV397" s="67">
        <v>0</v>
      </c>
      <c r="DW397" s="67">
        <v>0</v>
      </c>
      <c r="DX397" s="67">
        <v>0</v>
      </c>
      <c r="DY397" s="67"/>
      <c r="DZ397" s="67">
        <v>0</v>
      </c>
      <c r="EA397" s="67"/>
      <c r="EB397" s="67">
        <v>0</v>
      </c>
      <c r="EC397" s="67"/>
      <c r="ED397" s="67">
        <v>0</v>
      </c>
      <c r="EE397" s="67"/>
      <c r="EF397" s="67">
        <v>0</v>
      </c>
      <c r="EG397" s="67"/>
      <c r="EH397" s="67"/>
      <c r="EI397" s="67"/>
      <c r="EJ397" s="67"/>
      <c r="EK397" s="67"/>
      <c r="EL397" s="67"/>
      <c r="EM397" s="67"/>
      <c r="EN397" s="67"/>
      <c r="EO397" s="67"/>
      <c r="EP397" s="67">
        <v>0</v>
      </c>
      <c r="EQ397" s="67">
        <v>0</v>
      </c>
      <c r="ER397" s="67">
        <v>0</v>
      </c>
      <c r="ES397" s="67"/>
      <c r="ET397">
        <v>0</v>
      </c>
      <c r="EX397" s="67"/>
      <c r="EY397" s="67"/>
      <c r="EZ397" s="67"/>
      <c r="FA397" s="67">
        <v>0</v>
      </c>
      <c r="FB397" s="67">
        <v>0</v>
      </c>
      <c r="FC397" s="67"/>
      <c r="FD397" s="67"/>
      <c r="FE397" s="67"/>
      <c r="FF397" s="67"/>
      <c r="FG397" s="67"/>
      <c r="FH397" s="67"/>
      <c r="FI397" s="67" t="s">
        <v>1734</v>
      </c>
    </row>
    <row r="398" spans="2:165" ht="24" x14ac:dyDescent="0.2">
      <c r="B398" s="67" t="s">
        <v>1062</v>
      </c>
      <c r="C398" s="67"/>
      <c r="D398" s="67" t="s">
        <v>1063</v>
      </c>
      <c r="E398" s="67" t="s">
        <v>889</v>
      </c>
      <c r="F398" s="67" t="s">
        <v>766</v>
      </c>
      <c r="G398" s="67" t="s">
        <v>694</v>
      </c>
      <c r="H398" s="67"/>
      <c r="I398" s="67" t="s">
        <v>41</v>
      </c>
      <c r="J398" s="67"/>
      <c r="K398" s="67"/>
      <c r="L398" s="67" t="s">
        <v>767</v>
      </c>
      <c r="M398" s="67" t="s">
        <v>752</v>
      </c>
      <c r="N398" s="67"/>
      <c r="O398" s="67" t="s">
        <v>1599</v>
      </c>
      <c r="P398" s="67"/>
      <c r="Q398" s="67">
        <v>2100</v>
      </c>
      <c r="R398" s="67">
        <v>0</v>
      </c>
      <c r="S398" s="67">
        <v>0</v>
      </c>
      <c r="T398" s="67">
        <v>0</v>
      </c>
      <c r="U398" s="67">
        <v>0</v>
      </c>
      <c r="V398" s="67">
        <v>0</v>
      </c>
      <c r="W398" s="67">
        <v>0</v>
      </c>
      <c r="X398" s="67">
        <v>0</v>
      </c>
      <c r="Y398" s="67">
        <v>0</v>
      </c>
      <c r="Z398" s="67">
        <v>0</v>
      </c>
      <c r="AA398" s="67">
        <v>0</v>
      </c>
      <c r="AB398" s="67">
        <v>0</v>
      </c>
      <c r="AC398" s="67">
        <v>0</v>
      </c>
      <c r="AD398" s="67">
        <v>0</v>
      </c>
      <c r="AE398" s="67">
        <v>0</v>
      </c>
      <c r="AF398" s="67">
        <v>0</v>
      </c>
      <c r="AG398" s="67">
        <v>2100</v>
      </c>
      <c r="AH398" s="67">
        <v>0</v>
      </c>
      <c r="AI398" s="67">
        <v>0</v>
      </c>
      <c r="AJ398" s="67">
        <v>0</v>
      </c>
      <c r="AK398" s="67">
        <v>0</v>
      </c>
      <c r="AL398" s="67">
        <v>0</v>
      </c>
      <c r="AM398" s="67">
        <v>0</v>
      </c>
      <c r="AN398" s="67">
        <v>0</v>
      </c>
      <c r="AO398" s="67">
        <v>0</v>
      </c>
      <c r="AP398" s="67">
        <v>0</v>
      </c>
      <c r="AQ398" s="67">
        <v>0</v>
      </c>
      <c r="AR398" s="67">
        <v>0</v>
      </c>
      <c r="AS398" s="67">
        <v>0</v>
      </c>
      <c r="AT398" s="67"/>
      <c r="AU398" s="67"/>
      <c r="AV398" s="67"/>
      <c r="AW398" s="67">
        <v>0</v>
      </c>
      <c r="AX398" s="67">
        <v>0</v>
      </c>
      <c r="AY398" s="67"/>
      <c r="AZ398" s="67"/>
      <c r="BA398" s="67"/>
      <c r="BB398" s="67"/>
      <c r="BC398" s="67"/>
      <c r="BD398" s="67"/>
      <c r="BE398" s="67"/>
      <c r="BG398" s="67"/>
      <c r="BH398" s="67"/>
      <c r="BI398" s="67"/>
      <c r="BJ398" s="67">
        <v>0</v>
      </c>
      <c r="BK398" s="67"/>
      <c r="BL398" s="67"/>
      <c r="BP398" s="67"/>
      <c r="BQ398" s="67">
        <v>0</v>
      </c>
      <c r="BR398" s="67"/>
      <c r="BS398" s="67"/>
      <c r="BT398" s="67">
        <v>0</v>
      </c>
      <c r="BU398" s="67">
        <v>0</v>
      </c>
      <c r="BV398" s="67"/>
      <c r="BW398" s="67"/>
      <c r="BX398" s="67">
        <v>0</v>
      </c>
      <c r="BY398" s="67">
        <v>0</v>
      </c>
      <c r="BZ398" s="67">
        <v>0</v>
      </c>
      <c r="CA398" s="67"/>
      <c r="CB398" s="67">
        <v>0</v>
      </c>
      <c r="CC398" s="67"/>
      <c r="CD398" s="67"/>
      <c r="CE398" s="67">
        <v>0</v>
      </c>
      <c r="CF398" s="67"/>
      <c r="CG398" s="67"/>
      <c r="CH398" s="67"/>
      <c r="CI398" s="67"/>
      <c r="CJ398" s="67"/>
      <c r="CK398" s="67">
        <v>0</v>
      </c>
      <c r="CL398" s="67"/>
      <c r="CM398" s="67"/>
      <c r="CN398" s="67"/>
      <c r="CO398" s="67">
        <v>0</v>
      </c>
      <c r="CP398" s="67"/>
      <c r="CQ398" s="67"/>
      <c r="CR398" s="67"/>
      <c r="CS398" s="67"/>
      <c r="CT398" s="67"/>
      <c r="CU398" s="67">
        <v>0</v>
      </c>
      <c r="CV398" s="67"/>
      <c r="CW398" s="67"/>
      <c r="CX398" s="67"/>
      <c r="CY398" s="67">
        <v>0</v>
      </c>
      <c r="CZ398" s="67"/>
      <c r="DA398" s="67"/>
      <c r="DB398" s="67"/>
      <c r="DC398" s="67"/>
      <c r="DF398" s="67"/>
      <c r="DG398" s="67">
        <v>0</v>
      </c>
      <c r="DH398" s="67">
        <v>0</v>
      </c>
      <c r="DI398" s="67">
        <v>0</v>
      </c>
      <c r="DJ398" s="67"/>
      <c r="DK398" s="67">
        <v>0</v>
      </c>
      <c r="DL398" s="67">
        <v>0</v>
      </c>
      <c r="DM398" s="67">
        <v>0</v>
      </c>
      <c r="DN398" s="67"/>
      <c r="DO398" s="67"/>
      <c r="DP398" s="67"/>
      <c r="DQ398" s="67">
        <v>0</v>
      </c>
      <c r="DR398" s="67">
        <v>0</v>
      </c>
      <c r="DS398" s="67"/>
      <c r="DT398" s="67"/>
      <c r="DU398" s="67">
        <v>0</v>
      </c>
      <c r="DV398" s="67">
        <v>0</v>
      </c>
      <c r="DW398" s="67">
        <v>0</v>
      </c>
      <c r="DX398" s="67">
        <v>0</v>
      </c>
      <c r="DY398" s="67"/>
      <c r="DZ398" s="67">
        <v>0</v>
      </c>
      <c r="EA398" s="67"/>
      <c r="EB398" s="67">
        <v>0</v>
      </c>
      <c r="EC398" s="67"/>
      <c r="ED398" s="67">
        <v>0</v>
      </c>
      <c r="EE398" s="67"/>
      <c r="EF398" s="67">
        <v>0</v>
      </c>
      <c r="EG398" s="67"/>
      <c r="EH398" s="67"/>
      <c r="EI398" s="67"/>
      <c r="EJ398" s="67"/>
      <c r="EK398" s="67"/>
      <c r="EL398" s="67"/>
      <c r="EM398" s="67"/>
      <c r="EN398" s="67"/>
      <c r="EO398" s="67"/>
      <c r="EP398" s="67">
        <v>0</v>
      </c>
      <c r="EQ398" s="67">
        <v>0</v>
      </c>
      <c r="ER398" s="67">
        <v>0</v>
      </c>
      <c r="ES398" s="67"/>
      <c r="ET398">
        <v>0</v>
      </c>
      <c r="EX398" s="67"/>
      <c r="EY398" s="67"/>
      <c r="EZ398" s="67"/>
      <c r="FA398" s="67">
        <v>2100</v>
      </c>
      <c r="FB398" s="67">
        <v>0</v>
      </c>
      <c r="FC398" s="67"/>
      <c r="FD398" s="67"/>
      <c r="FE398" s="67"/>
      <c r="FF398" s="67"/>
      <c r="FG398" s="67"/>
      <c r="FH398" s="67"/>
      <c r="FI398" s="67" t="s">
        <v>1734</v>
      </c>
    </row>
    <row r="399" spans="2:165" ht="24" x14ac:dyDescent="0.2">
      <c r="B399" s="67" t="s">
        <v>1064</v>
      </c>
      <c r="C399" s="67"/>
      <c r="D399" s="67" t="s">
        <v>1065</v>
      </c>
      <c r="E399" s="67" t="s">
        <v>889</v>
      </c>
      <c r="F399" s="67" t="s">
        <v>766</v>
      </c>
      <c r="G399" s="67" t="s">
        <v>694</v>
      </c>
      <c r="H399" s="67"/>
      <c r="I399" s="67" t="s">
        <v>41</v>
      </c>
      <c r="J399" s="67"/>
      <c r="K399" s="67"/>
      <c r="L399" s="67" t="s">
        <v>767</v>
      </c>
      <c r="M399" s="67" t="s">
        <v>752</v>
      </c>
      <c r="N399" s="67"/>
      <c r="O399" s="67" t="s">
        <v>1605</v>
      </c>
      <c r="P399" s="67" t="s">
        <v>942</v>
      </c>
      <c r="Q399" s="67">
        <v>0</v>
      </c>
      <c r="R399" s="67">
        <v>0</v>
      </c>
      <c r="S399" s="67">
        <v>0</v>
      </c>
      <c r="T399" s="67">
        <v>0</v>
      </c>
      <c r="U399" s="67">
        <v>0</v>
      </c>
      <c r="V399" s="67">
        <v>0</v>
      </c>
      <c r="W399" s="67">
        <v>0</v>
      </c>
      <c r="X399" s="67">
        <v>0</v>
      </c>
      <c r="Y399" s="67">
        <v>0</v>
      </c>
      <c r="Z399" s="67">
        <v>0</v>
      </c>
      <c r="AA399" s="67">
        <v>0</v>
      </c>
      <c r="AB399" s="67">
        <v>0</v>
      </c>
      <c r="AC399" s="67">
        <v>0</v>
      </c>
      <c r="AD399" s="67">
        <v>0</v>
      </c>
      <c r="AE399" s="67">
        <v>0</v>
      </c>
      <c r="AF399" s="67">
        <v>0</v>
      </c>
      <c r="AG399" s="67">
        <v>0</v>
      </c>
      <c r="AH399" s="67">
        <v>0</v>
      </c>
      <c r="AI399" s="67">
        <v>0</v>
      </c>
      <c r="AJ399" s="67">
        <v>0</v>
      </c>
      <c r="AK399" s="67">
        <v>0</v>
      </c>
      <c r="AL399" s="67">
        <v>0</v>
      </c>
      <c r="AM399" s="67">
        <v>0</v>
      </c>
      <c r="AN399" s="67">
        <v>0</v>
      </c>
      <c r="AO399" s="67">
        <v>0</v>
      </c>
      <c r="AP399" s="67">
        <v>0</v>
      </c>
      <c r="AQ399" s="67">
        <v>0</v>
      </c>
      <c r="AR399" s="67">
        <v>0</v>
      </c>
      <c r="AS399" s="67">
        <v>0</v>
      </c>
      <c r="AT399" s="67"/>
      <c r="AU399" s="67"/>
      <c r="AV399" s="67"/>
      <c r="AW399" s="67">
        <v>0</v>
      </c>
      <c r="AX399" s="67">
        <v>0</v>
      </c>
      <c r="AY399" s="67"/>
      <c r="AZ399" s="67"/>
      <c r="BA399" s="67"/>
      <c r="BB399" s="67"/>
      <c r="BC399" s="67"/>
      <c r="BD399" s="67"/>
      <c r="BE399" s="67"/>
      <c r="BG399" s="67"/>
      <c r="BH399" s="67"/>
      <c r="BI399" s="67"/>
      <c r="BJ399" s="67">
        <v>0</v>
      </c>
      <c r="BK399" s="67"/>
      <c r="BL399" s="67"/>
      <c r="BP399" s="67"/>
      <c r="BQ399" s="67">
        <v>0</v>
      </c>
      <c r="BR399" s="67"/>
      <c r="BS399" s="67"/>
      <c r="BT399" s="67">
        <v>0</v>
      </c>
      <c r="BU399" s="67">
        <v>0</v>
      </c>
      <c r="BV399" s="67"/>
      <c r="BW399" s="67"/>
      <c r="BX399" s="67">
        <v>0</v>
      </c>
      <c r="BY399" s="67">
        <v>0</v>
      </c>
      <c r="BZ399" s="67">
        <v>0</v>
      </c>
      <c r="CA399" s="67"/>
      <c r="CB399" s="67">
        <v>0</v>
      </c>
      <c r="CC399" s="67"/>
      <c r="CD399" s="67"/>
      <c r="CE399" s="67">
        <v>0</v>
      </c>
      <c r="CF399" s="67"/>
      <c r="CG399" s="67"/>
      <c r="CH399" s="67"/>
      <c r="CI399" s="67"/>
      <c r="CJ399" s="67"/>
      <c r="CK399" s="67">
        <v>0</v>
      </c>
      <c r="CL399" s="67"/>
      <c r="CM399" s="67"/>
      <c r="CN399" s="67"/>
      <c r="CO399" s="67">
        <v>0</v>
      </c>
      <c r="CP399" s="67"/>
      <c r="CQ399" s="67"/>
      <c r="CR399" s="67"/>
      <c r="CS399" s="67"/>
      <c r="CT399" s="67"/>
      <c r="CU399" s="67">
        <v>0</v>
      </c>
      <c r="CV399" s="67"/>
      <c r="CW399" s="67"/>
      <c r="CX399" s="67"/>
      <c r="CY399" s="67">
        <v>0</v>
      </c>
      <c r="CZ399" s="67"/>
      <c r="DA399" s="67"/>
      <c r="DB399" s="67"/>
      <c r="DC399" s="67"/>
      <c r="DF399" s="67"/>
      <c r="DG399" s="67">
        <v>0</v>
      </c>
      <c r="DH399" s="67">
        <v>0</v>
      </c>
      <c r="DI399" s="67">
        <v>0</v>
      </c>
      <c r="DJ399" s="67"/>
      <c r="DK399" s="67">
        <v>0</v>
      </c>
      <c r="DL399" s="67">
        <v>0</v>
      </c>
      <c r="DM399" s="67">
        <v>0</v>
      </c>
      <c r="DN399" s="67"/>
      <c r="DO399" s="67"/>
      <c r="DP399" s="67"/>
      <c r="DQ399" s="67">
        <v>0</v>
      </c>
      <c r="DR399" s="67">
        <v>0</v>
      </c>
      <c r="DS399" s="67"/>
      <c r="DT399" s="67"/>
      <c r="DU399" s="67">
        <v>0</v>
      </c>
      <c r="DV399" s="67">
        <v>0</v>
      </c>
      <c r="DW399" s="67">
        <v>0</v>
      </c>
      <c r="DX399" s="67">
        <v>0</v>
      </c>
      <c r="DY399" s="67"/>
      <c r="DZ399" s="67">
        <v>0</v>
      </c>
      <c r="EA399" s="67"/>
      <c r="EB399" s="67">
        <v>0</v>
      </c>
      <c r="EC399" s="67"/>
      <c r="ED399" s="67">
        <v>0</v>
      </c>
      <c r="EE399" s="67"/>
      <c r="EF399" s="67">
        <v>0</v>
      </c>
      <c r="EG399" s="67"/>
      <c r="EH399" s="67"/>
      <c r="EI399" s="67"/>
      <c r="EJ399" s="67"/>
      <c r="EK399" s="67"/>
      <c r="EL399" s="67"/>
      <c r="EM399" s="67"/>
      <c r="EN399" s="67"/>
      <c r="EO399" s="67"/>
      <c r="EP399" s="67">
        <v>0</v>
      </c>
      <c r="EQ399" s="67">
        <v>0</v>
      </c>
      <c r="ER399" s="67">
        <v>0</v>
      </c>
      <c r="ES399" s="67"/>
      <c r="ET399">
        <v>0</v>
      </c>
      <c r="EX399" s="67"/>
      <c r="EY399" s="67"/>
      <c r="EZ399" s="67"/>
      <c r="FA399" s="67">
        <v>0</v>
      </c>
      <c r="FB399" s="67">
        <v>0</v>
      </c>
      <c r="FC399" s="67"/>
      <c r="FD399" s="67"/>
      <c r="FE399" s="67"/>
      <c r="FF399" s="67"/>
      <c r="FG399" s="67"/>
      <c r="FH399" s="67"/>
      <c r="FI399" s="67" t="s">
        <v>1734</v>
      </c>
    </row>
    <row r="400" spans="2:165" ht="24" x14ac:dyDescent="0.2">
      <c r="B400" s="67" t="s">
        <v>1066</v>
      </c>
      <c r="C400" s="67"/>
      <c r="D400" s="67" t="s">
        <v>1067</v>
      </c>
      <c r="E400" s="67" t="s">
        <v>13</v>
      </c>
      <c r="F400" s="67" t="s">
        <v>766</v>
      </c>
      <c r="G400" s="67" t="s">
        <v>694</v>
      </c>
      <c r="H400" s="67"/>
      <c r="I400" s="67" t="s">
        <v>41</v>
      </c>
      <c r="J400" s="67"/>
      <c r="K400" s="67"/>
      <c r="L400" s="67" t="s">
        <v>767</v>
      </c>
      <c r="M400" s="67" t="s">
        <v>752</v>
      </c>
      <c r="N400" s="67"/>
      <c r="O400" s="67" t="s">
        <v>1605</v>
      </c>
      <c r="P400" s="67"/>
      <c r="Q400" s="67">
        <v>0</v>
      </c>
      <c r="R400" s="67">
        <v>0</v>
      </c>
      <c r="S400" s="67">
        <v>0</v>
      </c>
      <c r="T400" s="67">
        <v>0</v>
      </c>
      <c r="U400" s="67">
        <v>0</v>
      </c>
      <c r="V400" s="67">
        <v>0</v>
      </c>
      <c r="W400" s="67">
        <v>0</v>
      </c>
      <c r="X400" s="67">
        <v>0</v>
      </c>
      <c r="Y400" s="67">
        <v>0</v>
      </c>
      <c r="Z400" s="67">
        <v>0</v>
      </c>
      <c r="AA400" s="67">
        <v>0</v>
      </c>
      <c r="AB400" s="67">
        <v>0</v>
      </c>
      <c r="AC400" s="67">
        <v>0</v>
      </c>
      <c r="AD400" s="67">
        <v>0</v>
      </c>
      <c r="AE400" s="67">
        <v>0</v>
      </c>
      <c r="AF400" s="67">
        <v>0</v>
      </c>
      <c r="AG400" s="67">
        <v>0</v>
      </c>
      <c r="AH400" s="67">
        <v>0</v>
      </c>
      <c r="AI400" s="67">
        <v>0</v>
      </c>
      <c r="AJ400" s="67">
        <v>0</v>
      </c>
      <c r="AK400" s="67">
        <v>0</v>
      </c>
      <c r="AL400" s="67">
        <v>0</v>
      </c>
      <c r="AM400" s="67">
        <v>0</v>
      </c>
      <c r="AN400" s="67">
        <v>0</v>
      </c>
      <c r="AO400" s="67">
        <v>0</v>
      </c>
      <c r="AP400" s="67">
        <v>0</v>
      </c>
      <c r="AQ400" s="67">
        <v>0</v>
      </c>
      <c r="AR400" s="67">
        <v>0</v>
      </c>
      <c r="AS400" s="67">
        <v>0</v>
      </c>
      <c r="AT400" s="67"/>
      <c r="AU400" s="67"/>
      <c r="AV400" s="67"/>
      <c r="AW400" s="67">
        <v>0</v>
      </c>
      <c r="AX400" s="67">
        <v>0</v>
      </c>
      <c r="AY400" s="67"/>
      <c r="AZ400" s="67"/>
      <c r="BA400" s="67"/>
      <c r="BB400" s="67"/>
      <c r="BC400" s="67"/>
      <c r="BD400" s="67"/>
      <c r="BE400" s="67"/>
      <c r="BG400" s="67"/>
      <c r="BH400" s="67"/>
      <c r="BI400" s="67"/>
      <c r="BJ400" s="67">
        <v>0</v>
      </c>
      <c r="BK400" s="67"/>
      <c r="BL400" s="67"/>
      <c r="BP400" s="67"/>
      <c r="BQ400" s="67">
        <v>0</v>
      </c>
      <c r="BR400" s="67"/>
      <c r="BS400" s="67"/>
      <c r="BT400" s="67">
        <v>0</v>
      </c>
      <c r="BU400" s="67">
        <v>0</v>
      </c>
      <c r="BV400" s="67"/>
      <c r="BW400" s="67"/>
      <c r="BX400" s="67">
        <v>0</v>
      </c>
      <c r="BY400" s="67">
        <v>0</v>
      </c>
      <c r="BZ400" s="67">
        <v>0</v>
      </c>
      <c r="CA400" s="67"/>
      <c r="CB400" s="67">
        <v>0</v>
      </c>
      <c r="CC400" s="67"/>
      <c r="CD400" s="67"/>
      <c r="CE400" s="67">
        <v>0</v>
      </c>
      <c r="CF400" s="67"/>
      <c r="CG400" s="67"/>
      <c r="CH400" s="67"/>
      <c r="CI400" s="67"/>
      <c r="CJ400" s="67"/>
      <c r="CK400" s="67">
        <v>0</v>
      </c>
      <c r="CL400" s="67"/>
      <c r="CM400" s="67"/>
      <c r="CN400" s="67"/>
      <c r="CO400" s="67">
        <v>0</v>
      </c>
      <c r="CP400" s="67"/>
      <c r="CQ400" s="67"/>
      <c r="CR400" s="67"/>
      <c r="CS400" s="67"/>
      <c r="CT400" s="67"/>
      <c r="CU400" s="67">
        <v>0</v>
      </c>
      <c r="CV400" s="67"/>
      <c r="CW400" s="67"/>
      <c r="CX400" s="67"/>
      <c r="CY400" s="67">
        <v>0</v>
      </c>
      <c r="CZ400" s="67"/>
      <c r="DA400" s="67"/>
      <c r="DB400" s="67"/>
      <c r="DC400" s="67"/>
      <c r="DF400" s="67"/>
      <c r="DG400" s="67">
        <v>0</v>
      </c>
      <c r="DH400" s="67">
        <v>0</v>
      </c>
      <c r="DI400" s="67">
        <v>0</v>
      </c>
      <c r="DJ400" s="67"/>
      <c r="DK400" s="67">
        <v>0</v>
      </c>
      <c r="DL400" s="67">
        <v>0</v>
      </c>
      <c r="DM400" s="67">
        <v>0</v>
      </c>
      <c r="DN400" s="67"/>
      <c r="DO400" s="67"/>
      <c r="DP400" s="67"/>
      <c r="DQ400" s="67">
        <v>0</v>
      </c>
      <c r="DR400" s="67">
        <v>0</v>
      </c>
      <c r="DS400" s="67"/>
      <c r="DT400" s="67"/>
      <c r="DU400" s="67">
        <v>0</v>
      </c>
      <c r="DV400" s="67">
        <v>0</v>
      </c>
      <c r="DW400" s="67">
        <v>0</v>
      </c>
      <c r="DX400" s="67">
        <v>0</v>
      </c>
      <c r="DY400" s="67"/>
      <c r="DZ400" s="67">
        <v>0</v>
      </c>
      <c r="EA400" s="67"/>
      <c r="EB400" s="67">
        <v>0</v>
      </c>
      <c r="EC400" s="67"/>
      <c r="ED400" s="67">
        <v>0</v>
      </c>
      <c r="EE400" s="67"/>
      <c r="EF400" s="67">
        <v>0</v>
      </c>
      <c r="EG400" s="67"/>
      <c r="EH400" s="67"/>
      <c r="EI400" s="67"/>
      <c r="EJ400" s="67"/>
      <c r="EK400" s="67"/>
      <c r="EL400" s="67"/>
      <c r="EM400" s="67"/>
      <c r="EN400" s="67"/>
      <c r="EO400" s="67"/>
      <c r="EP400" s="67">
        <v>0</v>
      </c>
      <c r="EQ400" s="67">
        <v>0</v>
      </c>
      <c r="ER400" s="67">
        <v>0</v>
      </c>
      <c r="ES400" s="67"/>
      <c r="ET400">
        <v>0</v>
      </c>
      <c r="EX400" s="67"/>
      <c r="EY400" s="67"/>
      <c r="EZ400" s="67"/>
      <c r="FA400" s="67">
        <v>0</v>
      </c>
      <c r="FB400" s="67">
        <v>0</v>
      </c>
      <c r="FC400" s="67"/>
      <c r="FD400" s="67"/>
      <c r="FE400" s="67"/>
      <c r="FF400" s="67"/>
      <c r="FG400" s="67"/>
      <c r="FH400" s="67"/>
      <c r="FI400" s="67" t="s">
        <v>1734</v>
      </c>
    </row>
    <row r="401" spans="2:165" ht="24" x14ac:dyDescent="0.2">
      <c r="B401" s="67" t="s">
        <v>1068</v>
      </c>
      <c r="C401" s="67"/>
      <c r="D401" s="67" t="s">
        <v>1069</v>
      </c>
      <c r="E401" s="67" t="s">
        <v>13</v>
      </c>
      <c r="F401" s="67" t="s">
        <v>766</v>
      </c>
      <c r="G401" s="67" t="s">
        <v>694</v>
      </c>
      <c r="H401" s="67"/>
      <c r="I401" s="67" t="s">
        <v>41</v>
      </c>
      <c r="J401" s="67"/>
      <c r="K401" s="67"/>
      <c r="L401" s="67" t="s">
        <v>767</v>
      </c>
      <c r="M401" s="67" t="s">
        <v>752</v>
      </c>
      <c r="N401" s="67"/>
      <c r="O401" s="67" t="s">
        <v>1605</v>
      </c>
      <c r="P401" s="67"/>
      <c r="Q401" s="67">
        <v>0</v>
      </c>
      <c r="R401" s="67">
        <v>0</v>
      </c>
      <c r="S401" s="67">
        <v>0</v>
      </c>
      <c r="T401" s="67">
        <v>0</v>
      </c>
      <c r="U401" s="67">
        <v>0</v>
      </c>
      <c r="V401" s="67">
        <v>0</v>
      </c>
      <c r="W401" s="67">
        <v>0</v>
      </c>
      <c r="X401" s="67">
        <v>0</v>
      </c>
      <c r="Y401" s="67">
        <v>0</v>
      </c>
      <c r="Z401" s="67">
        <v>0</v>
      </c>
      <c r="AA401" s="67">
        <v>0</v>
      </c>
      <c r="AB401" s="67">
        <v>0</v>
      </c>
      <c r="AC401" s="67">
        <v>0</v>
      </c>
      <c r="AD401" s="67">
        <v>0</v>
      </c>
      <c r="AE401" s="67">
        <v>0</v>
      </c>
      <c r="AF401" s="67">
        <v>0</v>
      </c>
      <c r="AG401" s="67">
        <v>0</v>
      </c>
      <c r="AH401" s="67">
        <v>0</v>
      </c>
      <c r="AI401" s="67">
        <v>0</v>
      </c>
      <c r="AJ401" s="67">
        <v>0</v>
      </c>
      <c r="AK401" s="67">
        <v>0</v>
      </c>
      <c r="AL401" s="67">
        <v>0</v>
      </c>
      <c r="AM401" s="67">
        <v>0</v>
      </c>
      <c r="AN401" s="67">
        <v>0</v>
      </c>
      <c r="AO401" s="67">
        <v>0</v>
      </c>
      <c r="AP401" s="67">
        <v>0</v>
      </c>
      <c r="AQ401" s="67">
        <v>0</v>
      </c>
      <c r="AR401" s="67">
        <v>0</v>
      </c>
      <c r="AS401" s="67">
        <v>0</v>
      </c>
      <c r="AT401" s="67"/>
      <c r="AU401" s="67"/>
      <c r="AV401" s="67"/>
      <c r="AW401" s="67">
        <v>0</v>
      </c>
      <c r="AX401" s="67">
        <v>0</v>
      </c>
      <c r="AY401" s="67"/>
      <c r="AZ401" s="67"/>
      <c r="BA401" s="67"/>
      <c r="BB401" s="67"/>
      <c r="BC401" s="67"/>
      <c r="BD401" s="67"/>
      <c r="BE401" s="67"/>
      <c r="BG401" s="67"/>
      <c r="BH401" s="67"/>
      <c r="BI401" s="67"/>
      <c r="BJ401" s="67">
        <v>0</v>
      </c>
      <c r="BK401" s="67"/>
      <c r="BL401" s="67"/>
      <c r="BP401" s="67"/>
      <c r="BQ401" s="67">
        <v>0</v>
      </c>
      <c r="BR401" s="67"/>
      <c r="BS401" s="67"/>
      <c r="BT401" s="67">
        <v>0</v>
      </c>
      <c r="BU401" s="67">
        <v>0</v>
      </c>
      <c r="BV401" s="67"/>
      <c r="BW401" s="67"/>
      <c r="BX401" s="67">
        <v>0</v>
      </c>
      <c r="BY401" s="67">
        <v>0</v>
      </c>
      <c r="BZ401" s="67">
        <v>0</v>
      </c>
      <c r="CA401" s="67"/>
      <c r="CB401" s="67">
        <v>0</v>
      </c>
      <c r="CC401" s="67"/>
      <c r="CD401" s="67"/>
      <c r="CE401" s="67">
        <v>0</v>
      </c>
      <c r="CF401" s="67"/>
      <c r="CG401" s="67"/>
      <c r="CH401" s="67"/>
      <c r="CI401" s="67"/>
      <c r="CJ401" s="67"/>
      <c r="CK401" s="67">
        <v>0</v>
      </c>
      <c r="CL401" s="67"/>
      <c r="CM401" s="67"/>
      <c r="CN401" s="67"/>
      <c r="CO401" s="67">
        <v>0</v>
      </c>
      <c r="CP401" s="67"/>
      <c r="CQ401" s="67"/>
      <c r="CR401" s="67"/>
      <c r="CS401" s="67"/>
      <c r="CT401" s="67"/>
      <c r="CU401" s="67">
        <v>0</v>
      </c>
      <c r="CV401" s="67"/>
      <c r="CW401" s="67"/>
      <c r="CX401" s="67"/>
      <c r="CY401" s="67">
        <v>0</v>
      </c>
      <c r="CZ401" s="67"/>
      <c r="DA401" s="67"/>
      <c r="DB401" s="67"/>
      <c r="DC401" s="67"/>
      <c r="DF401" s="67"/>
      <c r="DG401" s="67">
        <v>0</v>
      </c>
      <c r="DH401" s="67">
        <v>0</v>
      </c>
      <c r="DI401" s="67">
        <v>0</v>
      </c>
      <c r="DJ401" s="67"/>
      <c r="DK401" s="67">
        <v>0</v>
      </c>
      <c r="DL401" s="67">
        <v>0</v>
      </c>
      <c r="DM401" s="67">
        <v>0</v>
      </c>
      <c r="DN401" s="67"/>
      <c r="DO401" s="67"/>
      <c r="DP401" s="67"/>
      <c r="DQ401" s="67">
        <v>0</v>
      </c>
      <c r="DR401" s="67">
        <v>0</v>
      </c>
      <c r="DS401" s="67"/>
      <c r="DT401" s="67"/>
      <c r="DU401" s="67">
        <v>0</v>
      </c>
      <c r="DV401" s="67">
        <v>0</v>
      </c>
      <c r="DW401" s="67">
        <v>0</v>
      </c>
      <c r="DX401" s="67">
        <v>0</v>
      </c>
      <c r="DY401" s="67"/>
      <c r="DZ401" s="67">
        <v>0</v>
      </c>
      <c r="EA401" s="67"/>
      <c r="EB401" s="67">
        <v>0</v>
      </c>
      <c r="EC401" s="67"/>
      <c r="ED401" s="67">
        <v>0</v>
      </c>
      <c r="EE401" s="67"/>
      <c r="EF401" s="67">
        <v>0</v>
      </c>
      <c r="EG401" s="67"/>
      <c r="EH401" s="67"/>
      <c r="EI401" s="67"/>
      <c r="EJ401" s="67"/>
      <c r="EK401" s="67"/>
      <c r="EL401" s="67"/>
      <c r="EM401" s="67"/>
      <c r="EN401" s="67"/>
      <c r="EO401" s="67"/>
      <c r="EP401" s="67">
        <v>0</v>
      </c>
      <c r="EQ401" s="67">
        <v>0</v>
      </c>
      <c r="ER401" s="67">
        <v>0</v>
      </c>
      <c r="ES401" s="67"/>
      <c r="ET401">
        <v>0</v>
      </c>
      <c r="EX401" s="67"/>
      <c r="EY401" s="67"/>
      <c r="EZ401" s="67"/>
      <c r="FA401" s="67">
        <v>0</v>
      </c>
      <c r="FB401" s="67">
        <v>0</v>
      </c>
      <c r="FC401" s="67"/>
      <c r="FD401" s="67"/>
      <c r="FE401" s="67"/>
      <c r="FF401" s="67"/>
      <c r="FG401" s="67"/>
      <c r="FH401" s="67"/>
      <c r="FI401" s="67" t="s">
        <v>1734</v>
      </c>
    </row>
    <row r="402" spans="2:165" ht="24" x14ac:dyDescent="0.2">
      <c r="B402" s="67" t="s">
        <v>1070</v>
      </c>
      <c r="C402" s="67"/>
      <c r="D402" s="67" t="s">
        <v>1071</v>
      </c>
      <c r="E402" s="67" t="s">
        <v>13</v>
      </c>
      <c r="F402" s="67" t="s">
        <v>766</v>
      </c>
      <c r="G402" s="67" t="s">
        <v>694</v>
      </c>
      <c r="H402" s="67"/>
      <c r="I402" s="67" t="s">
        <v>41</v>
      </c>
      <c r="J402" s="67"/>
      <c r="K402" s="67"/>
      <c r="L402" s="67" t="s">
        <v>767</v>
      </c>
      <c r="M402" s="67" t="s">
        <v>752</v>
      </c>
      <c r="N402" s="67"/>
      <c r="O402" s="67" t="s">
        <v>1605</v>
      </c>
      <c r="P402" s="67"/>
      <c r="Q402" s="67">
        <v>0</v>
      </c>
      <c r="R402" s="67">
        <v>0</v>
      </c>
      <c r="S402" s="67">
        <v>0</v>
      </c>
      <c r="T402" s="67">
        <v>0</v>
      </c>
      <c r="U402" s="67">
        <v>0</v>
      </c>
      <c r="V402" s="67">
        <v>0</v>
      </c>
      <c r="W402" s="67">
        <v>0</v>
      </c>
      <c r="X402" s="67">
        <v>0</v>
      </c>
      <c r="Y402" s="67">
        <v>0</v>
      </c>
      <c r="Z402" s="67">
        <v>0</v>
      </c>
      <c r="AA402" s="67">
        <v>0</v>
      </c>
      <c r="AB402" s="67">
        <v>0</v>
      </c>
      <c r="AC402" s="67">
        <v>0</v>
      </c>
      <c r="AD402" s="67">
        <v>0</v>
      </c>
      <c r="AE402" s="67">
        <v>0</v>
      </c>
      <c r="AF402" s="67">
        <v>0</v>
      </c>
      <c r="AG402" s="67">
        <v>0</v>
      </c>
      <c r="AH402" s="67">
        <v>0</v>
      </c>
      <c r="AI402" s="67">
        <v>0</v>
      </c>
      <c r="AJ402" s="67">
        <v>0</v>
      </c>
      <c r="AK402" s="67">
        <v>0</v>
      </c>
      <c r="AL402" s="67">
        <v>0</v>
      </c>
      <c r="AM402" s="67">
        <v>0</v>
      </c>
      <c r="AN402" s="67">
        <v>0</v>
      </c>
      <c r="AO402" s="67">
        <v>0</v>
      </c>
      <c r="AP402" s="67">
        <v>0</v>
      </c>
      <c r="AQ402" s="67">
        <v>0</v>
      </c>
      <c r="AR402" s="67">
        <v>0</v>
      </c>
      <c r="AS402" s="67">
        <v>0</v>
      </c>
      <c r="AT402" s="67"/>
      <c r="AU402" s="67"/>
      <c r="AV402" s="67"/>
      <c r="AW402" s="67">
        <v>0</v>
      </c>
      <c r="AX402" s="67">
        <v>0</v>
      </c>
      <c r="AY402" s="67"/>
      <c r="AZ402" s="67"/>
      <c r="BA402" s="67"/>
      <c r="BB402" s="67"/>
      <c r="BC402" s="67"/>
      <c r="BD402" s="67"/>
      <c r="BE402" s="67"/>
      <c r="BG402" s="67"/>
      <c r="BH402" s="67"/>
      <c r="BI402" s="67"/>
      <c r="BJ402" s="67">
        <v>0</v>
      </c>
      <c r="BK402" s="67"/>
      <c r="BL402" s="67"/>
      <c r="BP402" s="67"/>
      <c r="BQ402" s="67">
        <v>0</v>
      </c>
      <c r="BR402" s="67"/>
      <c r="BS402" s="67"/>
      <c r="BT402" s="67">
        <v>0</v>
      </c>
      <c r="BU402" s="67">
        <v>0</v>
      </c>
      <c r="BV402" s="67"/>
      <c r="BW402" s="67"/>
      <c r="BX402" s="67">
        <v>0</v>
      </c>
      <c r="BY402" s="67">
        <v>0</v>
      </c>
      <c r="BZ402" s="67">
        <v>0</v>
      </c>
      <c r="CA402" s="67"/>
      <c r="CB402" s="67">
        <v>0</v>
      </c>
      <c r="CC402" s="67"/>
      <c r="CD402" s="67"/>
      <c r="CE402" s="67">
        <v>0</v>
      </c>
      <c r="CF402" s="67"/>
      <c r="CG402" s="67"/>
      <c r="CH402" s="67"/>
      <c r="CI402" s="67"/>
      <c r="CJ402" s="67"/>
      <c r="CK402" s="67">
        <v>0</v>
      </c>
      <c r="CL402" s="67"/>
      <c r="CM402" s="67"/>
      <c r="CN402" s="67"/>
      <c r="CO402" s="67">
        <v>0</v>
      </c>
      <c r="CP402" s="67"/>
      <c r="CQ402" s="67"/>
      <c r="CR402" s="67"/>
      <c r="CS402" s="67"/>
      <c r="CT402" s="67"/>
      <c r="CU402" s="67">
        <v>0</v>
      </c>
      <c r="CV402" s="67"/>
      <c r="CW402" s="67"/>
      <c r="CX402" s="67"/>
      <c r="CY402" s="67">
        <v>0</v>
      </c>
      <c r="CZ402" s="67"/>
      <c r="DA402" s="67"/>
      <c r="DB402" s="67"/>
      <c r="DC402" s="67"/>
      <c r="DF402" s="67"/>
      <c r="DG402" s="67">
        <v>0</v>
      </c>
      <c r="DH402" s="67">
        <v>0</v>
      </c>
      <c r="DI402" s="67">
        <v>0</v>
      </c>
      <c r="DJ402" s="67"/>
      <c r="DK402" s="67">
        <v>0</v>
      </c>
      <c r="DL402" s="67">
        <v>0</v>
      </c>
      <c r="DM402" s="67">
        <v>0</v>
      </c>
      <c r="DN402" s="67"/>
      <c r="DO402" s="67"/>
      <c r="DP402" s="67"/>
      <c r="DQ402" s="67">
        <v>0</v>
      </c>
      <c r="DR402" s="67">
        <v>0</v>
      </c>
      <c r="DS402" s="67"/>
      <c r="DT402" s="67"/>
      <c r="DU402" s="67">
        <v>0</v>
      </c>
      <c r="DV402" s="67">
        <v>0</v>
      </c>
      <c r="DW402" s="67">
        <v>0</v>
      </c>
      <c r="DX402" s="67">
        <v>0</v>
      </c>
      <c r="DY402" s="67"/>
      <c r="DZ402" s="67">
        <v>0</v>
      </c>
      <c r="EA402" s="67"/>
      <c r="EB402" s="67">
        <v>0</v>
      </c>
      <c r="EC402" s="67"/>
      <c r="ED402" s="67">
        <v>0</v>
      </c>
      <c r="EE402" s="67"/>
      <c r="EF402" s="67">
        <v>0</v>
      </c>
      <c r="EG402" s="67"/>
      <c r="EH402" s="67"/>
      <c r="EI402" s="67"/>
      <c r="EJ402" s="67"/>
      <c r="EK402" s="67"/>
      <c r="EL402" s="67"/>
      <c r="EM402" s="67"/>
      <c r="EN402" s="67"/>
      <c r="EO402" s="67"/>
      <c r="EP402" s="67">
        <v>0</v>
      </c>
      <c r="EQ402" s="67">
        <v>0</v>
      </c>
      <c r="ER402" s="67">
        <v>0</v>
      </c>
      <c r="ES402" s="67"/>
      <c r="ET402">
        <v>0</v>
      </c>
      <c r="EX402" s="67"/>
      <c r="EY402" s="67"/>
      <c r="EZ402" s="67"/>
      <c r="FA402" s="67">
        <v>0</v>
      </c>
      <c r="FB402" s="67">
        <v>0</v>
      </c>
      <c r="FC402" s="67"/>
      <c r="FD402" s="67"/>
      <c r="FE402" s="67"/>
      <c r="FF402" s="67"/>
      <c r="FG402" s="67"/>
      <c r="FH402" s="67"/>
      <c r="FI402" s="67" t="s">
        <v>1734</v>
      </c>
    </row>
    <row r="403" spans="2:165" ht="24" x14ac:dyDescent="0.2">
      <c r="B403" s="67" t="s">
        <v>1072</v>
      </c>
      <c r="C403" s="67"/>
      <c r="D403" s="67" t="s">
        <v>1073</v>
      </c>
      <c r="E403" s="67" t="s">
        <v>13</v>
      </c>
      <c r="F403" s="67" t="s">
        <v>766</v>
      </c>
      <c r="G403" s="67" t="s">
        <v>694</v>
      </c>
      <c r="H403" s="67"/>
      <c r="I403" s="67" t="s">
        <v>41</v>
      </c>
      <c r="J403" s="67"/>
      <c r="K403" s="67"/>
      <c r="L403" s="67" t="s">
        <v>767</v>
      </c>
      <c r="M403" s="67" t="s">
        <v>752</v>
      </c>
      <c r="N403" s="67"/>
      <c r="O403" s="67" t="s">
        <v>1605</v>
      </c>
      <c r="P403" s="67"/>
      <c r="Q403" s="67">
        <v>0</v>
      </c>
      <c r="R403" s="67">
        <v>0</v>
      </c>
      <c r="S403" s="67">
        <v>0</v>
      </c>
      <c r="T403" s="67">
        <v>0</v>
      </c>
      <c r="U403" s="67">
        <v>0</v>
      </c>
      <c r="V403" s="67">
        <v>0</v>
      </c>
      <c r="W403" s="67">
        <v>0</v>
      </c>
      <c r="X403" s="67">
        <v>0</v>
      </c>
      <c r="Y403" s="67">
        <v>0</v>
      </c>
      <c r="Z403" s="67">
        <v>0</v>
      </c>
      <c r="AA403" s="67">
        <v>0</v>
      </c>
      <c r="AB403" s="67">
        <v>0</v>
      </c>
      <c r="AC403" s="67">
        <v>0</v>
      </c>
      <c r="AD403" s="67">
        <v>0</v>
      </c>
      <c r="AE403" s="67">
        <v>0</v>
      </c>
      <c r="AF403" s="67">
        <v>0</v>
      </c>
      <c r="AG403" s="67">
        <v>0</v>
      </c>
      <c r="AH403" s="67">
        <v>0</v>
      </c>
      <c r="AI403" s="67">
        <v>0</v>
      </c>
      <c r="AJ403" s="67">
        <v>0</v>
      </c>
      <c r="AK403" s="67">
        <v>0</v>
      </c>
      <c r="AL403" s="67">
        <v>0</v>
      </c>
      <c r="AM403" s="67">
        <v>0</v>
      </c>
      <c r="AN403" s="67">
        <v>0</v>
      </c>
      <c r="AO403" s="67">
        <v>0</v>
      </c>
      <c r="AP403" s="67">
        <v>0</v>
      </c>
      <c r="AQ403" s="67">
        <v>0</v>
      </c>
      <c r="AR403" s="67">
        <v>0</v>
      </c>
      <c r="AS403" s="67">
        <v>0</v>
      </c>
      <c r="AT403" s="67"/>
      <c r="AU403" s="67"/>
      <c r="AV403" s="67"/>
      <c r="AW403" s="67">
        <v>0</v>
      </c>
      <c r="AX403" s="67">
        <v>0</v>
      </c>
      <c r="AY403" s="67"/>
      <c r="AZ403" s="67"/>
      <c r="BA403" s="67"/>
      <c r="BB403" s="67"/>
      <c r="BC403" s="67"/>
      <c r="BD403" s="67"/>
      <c r="BE403" s="67"/>
      <c r="BG403" s="67"/>
      <c r="BH403" s="67"/>
      <c r="BI403" s="67"/>
      <c r="BJ403" s="67">
        <v>0</v>
      </c>
      <c r="BK403" s="67"/>
      <c r="BL403" s="67"/>
      <c r="BP403" s="67"/>
      <c r="BQ403" s="67">
        <v>0</v>
      </c>
      <c r="BR403" s="67"/>
      <c r="BS403" s="67"/>
      <c r="BT403" s="67">
        <v>0</v>
      </c>
      <c r="BU403" s="67">
        <v>0</v>
      </c>
      <c r="BV403" s="67"/>
      <c r="BW403" s="67"/>
      <c r="BX403" s="67">
        <v>0</v>
      </c>
      <c r="BY403" s="67">
        <v>0</v>
      </c>
      <c r="BZ403" s="67">
        <v>0</v>
      </c>
      <c r="CA403" s="67"/>
      <c r="CB403" s="67">
        <v>0</v>
      </c>
      <c r="CC403" s="67"/>
      <c r="CD403" s="67"/>
      <c r="CE403" s="67">
        <v>0</v>
      </c>
      <c r="CF403" s="67"/>
      <c r="CG403" s="67"/>
      <c r="CH403" s="67"/>
      <c r="CI403" s="67"/>
      <c r="CJ403" s="67"/>
      <c r="CK403" s="67">
        <v>0</v>
      </c>
      <c r="CL403" s="67"/>
      <c r="CM403" s="67"/>
      <c r="CN403" s="67"/>
      <c r="CO403" s="67">
        <v>0</v>
      </c>
      <c r="CP403" s="67"/>
      <c r="CQ403" s="67"/>
      <c r="CR403" s="67"/>
      <c r="CS403" s="67"/>
      <c r="CT403" s="67"/>
      <c r="CU403" s="67">
        <v>0</v>
      </c>
      <c r="CV403" s="67"/>
      <c r="CW403" s="67"/>
      <c r="CX403" s="67"/>
      <c r="CY403" s="67">
        <v>0</v>
      </c>
      <c r="CZ403" s="67"/>
      <c r="DA403" s="67"/>
      <c r="DB403" s="67"/>
      <c r="DC403" s="67"/>
      <c r="DF403" s="67"/>
      <c r="DG403" s="67">
        <v>0</v>
      </c>
      <c r="DH403" s="67">
        <v>0</v>
      </c>
      <c r="DI403" s="67">
        <v>0</v>
      </c>
      <c r="DJ403" s="67"/>
      <c r="DK403" s="67">
        <v>0</v>
      </c>
      <c r="DL403" s="67">
        <v>0</v>
      </c>
      <c r="DM403" s="67">
        <v>0</v>
      </c>
      <c r="DN403" s="67"/>
      <c r="DO403" s="67"/>
      <c r="DP403" s="67"/>
      <c r="DQ403" s="67">
        <v>0</v>
      </c>
      <c r="DR403" s="67">
        <v>0</v>
      </c>
      <c r="DS403" s="67"/>
      <c r="DT403" s="67"/>
      <c r="DU403" s="67">
        <v>0</v>
      </c>
      <c r="DV403" s="67">
        <v>0</v>
      </c>
      <c r="DW403" s="67">
        <v>0</v>
      </c>
      <c r="DX403" s="67">
        <v>0</v>
      </c>
      <c r="DY403" s="67"/>
      <c r="DZ403" s="67">
        <v>0</v>
      </c>
      <c r="EA403" s="67"/>
      <c r="EB403" s="67">
        <v>0</v>
      </c>
      <c r="EC403" s="67"/>
      <c r="ED403" s="67">
        <v>0</v>
      </c>
      <c r="EE403" s="67"/>
      <c r="EF403" s="67">
        <v>0</v>
      </c>
      <c r="EG403" s="67"/>
      <c r="EH403" s="67"/>
      <c r="EI403" s="67"/>
      <c r="EJ403" s="67"/>
      <c r="EK403" s="67"/>
      <c r="EL403" s="67"/>
      <c r="EM403" s="67"/>
      <c r="EN403" s="67"/>
      <c r="EO403" s="67"/>
      <c r="EP403" s="67">
        <v>0</v>
      </c>
      <c r="EQ403" s="67">
        <v>0</v>
      </c>
      <c r="ER403" s="67">
        <v>0</v>
      </c>
      <c r="ES403" s="67"/>
      <c r="ET403">
        <v>0</v>
      </c>
      <c r="EX403" s="67"/>
      <c r="EY403" s="67"/>
      <c r="EZ403" s="67"/>
      <c r="FA403" s="67">
        <v>0</v>
      </c>
      <c r="FB403" s="67">
        <v>0</v>
      </c>
      <c r="FC403" s="67"/>
      <c r="FD403" s="67"/>
      <c r="FE403" s="67"/>
      <c r="FF403" s="67"/>
      <c r="FG403" s="67"/>
      <c r="FH403" s="67"/>
      <c r="FI403" s="67" t="s">
        <v>1734</v>
      </c>
    </row>
    <row r="404" spans="2:165" ht="24" x14ac:dyDescent="0.2">
      <c r="B404" s="67" t="s">
        <v>1074</v>
      </c>
      <c r="C404" s="67"/>
      <c r="D404" s="67" t="s">
        <v>1075</v>
      </c>
      <c r="E404" s="67" t="s">
        <v>13</v>
      </c>
      <c r="F404" s="67" t="s">
        <v>766</v>
      </c>
      <c r="G404" s="67" t="s">
        <v>694</v>
      </c>
      <c r="H404" s="67"/>
      <c r="I404" s="67" t="s">
        <v>41</v>
      </c>
      <c r="J404" s="67"/>
      <c r="K404" s="67"/>
      <c r="L404" s="67" t="s">
        <v>767</v>
      </c>
      <c r="M404" s="67" t="s">
        <v>752</v>
      </c>
      <c r="N404" s="67"/>
      <c r="O404" s="67" t="s">
        <v>1605</v>
      </c>
      <c r="P404" s="67"/>
      <c r="Q404" s="67">
        <v>0</v>
      </c>
      <c r="R404" s="67">
        <v>0</v>
      </c>
      <c r="S404" s="67">
        <v>0</v>
      </c>
      <c r="T404" s="67">
        <v>0</v>
      </c>
      <c r="U404" s="67">
        <v>0</v>
      </c>
      <c r="V404" s="67">
        <v>0</v>
      </c>
      <c r="W404" s="67">
        <v>0</v>
      </c>
      <c r="X404" s="67">
        <v>0</v>
      </c>
      <c r="Y404" s="67">
        <v>0</v>
      </c>
      <c r="Z404" s="67">
        <v>0</v>
      </c>
      <c r="AA404" s="67">
        <v>0</v>
      </c>
      <c r="AB404" s="67">
        <v>0</v>
      </c>
      <c r="AC404" s="67">
        <v>0</v>
      </c>
      <c r="AD404" s="67">
        <v>0</v>
      </c>
      <c r="AE404" s="67">
        <v>0</v>
      </c>
      <c r="AF404" s="67">
        <v>0</v>
      </c>
      <c r="AG404" s="67">
        <v>0</v>
      </c>
      <c r="AH404" s="67">
        <v>0</v>
      </c>
      <c r="AI404" s="67">
        <v>0</v>
      </c>
      <c r="AJ404" s="67">
        <v>0</v>
      </c>
      <c r="AK404" s="67">
        <v>0</v>
      </c>
      <c r="AL404" s="67">
        <v>0</v>
      </c>
      <c r="AM404" s="67">
        <v>0</v>
      </c>
      <c r="AN404" s="67">
        <v>0</v>
      </c>
      <c r="AO404" s="67">
        <v>0</v>
      </c>
      <c r="AP404" s="67">
        <v>0</v>
      </c>
      <c r="AQ404" s="67">
        <v>0</v>
      </c>
      <c r="AR404" s="67">
        <v>0</v>
      </c>
      <c r="AS404" s="67">
        <v>0</v>
      </c>
      <c r="AT404" s="67"/>
      <c r="AU404" s="67"/>
      <c r="AV404" s="67"/>
      <c r="AW404" s="67">
        <v>0</v>
      </c>
      <c r="AX404" s="67">
        <v>0</v>
      </c>
      <c r="AY404" s="67"/>
      <c r="AZ404" s="67"/>
      <c r="BA404" s="67"/>
      <c r="BB404" s="67"/>
      <c r="BC404" s="67"/>
      <c r="BD404" s="67"/>
      <c r="BE404" s="67"/>
      <c r="BG404" s="67"/>
      <c r="BH404" s="67"/>
      <c r="BI404" s="67"/>
      <c r="BJ404" s="67">
        <v>0</v>
      </c>
      <c r="BK404" s="67"/>
      <c r="BL404" s="67"/>
      <c r="BP404" s="67"/>
      <c r="BQ404" s="67">
        <v>0</v>
      </c>
      <c r="BR404" s="67"/>
      <c r="BS404" s="67"/>
      <c r="BT404" s="67">
        <v>0</v>
      </c>
      <c r="BU404" s="67">
        <v>0</v>
      </c>
      <c r="BV404" s="67"/>
      <c r="BW404" s="67"/>
      <c r="BX404" s="67">
        <v>0</v>
      </c>
      <c r="BY404" s="67">
        <v>0</v>
      </c>
      <c r="BZ404" s="67">
        <v>0</v>
      </c>
      <c r="CA404" s="67"/>
      <c r="CB404" s="67">
        <v>0</v>
      </c>
      <c r="CC404" s="67"/>
      <c r="CD404" s="67"/>
      <c r="CE404" s="67">
        <v>0</v>
      </c>
      <c r="CF404" s="67"/>
      <c r="CG404" s="67"/>
      <c r="CH404" s="67"/>
      <c r="CI404" s="67"/>
      <c r="CJ404" s="67"/>
      <c r="CK404" s="67">
        <v>0</v>
      </c>
      <c r="CL404" s="67"/>
      <c r="CM404" s="67"/>
      <c r="CN404" s="67"/>
      <c r="CO404" s="67">
        <v>0</v>
      </c>
      <c r="CP404" s="67"/>
      <c r="CQ404" s="67"/>
      <c r="CR404" s="67"/>
      <c r="CS404" s="67"/>
      <c r="CT404" s="67"/>
      <c r="CU404" s="67">
        <v>0</v>
      </c>
      <c r="CV404" s="67"/>
      <c r="CW404" s="67"/>
      <c r="CX404" s="67"/>
      <c r="CY404" s="67">
        <v>0</v>
      </c>
      <c r="CZ404" s="67"/>
      <c r="DA404" s="67"/>
      <c r="DB404" s="67"/>
      <c r="DC404" s="67"/>
      <c r="DF404" s="67"/>
      <c r="DG404" s="67">
        <v>0</v>
      </c>
      <c r="DH404" s="67">
        <v>0</v>
      </c>
      <c r="DI404" s="67">
        <v>0</v>
      </c>
      <c r="DJ404" s="67"/>
      <c r="DK404" s="67">
        <v>0</v>
      </c>
      <c r="DL404" s="67">
        <v>0</v>
      </c>
      <c r="DM404" s="67">
        <v>0</v>
      </c>
      <c r="DN404" s="67"/>
      <c r="DO404" s="67"/>
      <c r="DP404" s="67"/>
      <c r="DQ404" s="67">
        <v>0</v>
      </c>
      <c r="DR404" s="67">
        <v>0</v>
      </c>
      <c r="DS404" s="67"/>
      <c r="DT404" s="67"/>
      <c r="DU404" s="67">
        <v>0</v>
      </c>
      <c r="DV404" s="67">
        <v>0</v>
      </c>
      <c r="DW404" s="67">
        <v>0</v>
      </c>
      <c r="DX404" s="67">
        <v>0</v>
      </c>
      <c r="DY404" s="67"/>
      <c r="DZ404" s="67">
        <v>0</v>
      </c>
      <c r="EA404" s="67"/>
      <c r="EB404" s="67">
        <v>0</v>
      </c>
      <c r="EC404" s="67"/>
      <c r="ED404" s="67">
        <v>0</v>
      </c>
      <c r="EE404" s="67"/>
      <c r="EF404" s="67">
        <v>0</v>
      </c>
      <c r="EG404" s="67"/>
      <c r="EH404" s="67"/>
      <c r="EI404" s="67"/>
      <c r="EJ404" s="67"/>
      <c r="EK404" s="67"/>
      <c r="EL404" s="67"/>
      <c r="EM404" s="67"/>
      <c r="EN404" s="67"/>
      <c r="EO404" s="67"/>
      <c r="EP404" s="67">
        <v>0</v>
      </c>
      <c r="EQ404" s="67">
        <v>0</v>
      </c>
      <c r="ER404" s="67">
        <v>0</v>
      </c>
      <c r="ES404" s="67"/>
      <c r="ET404">
        <v>0</v>
      </c>
      <c r="EX404" s="67"/>
      <c r="EY404" s="67"/>
      <c r="EZ404" s="67"/>
      <c r="FA404" s="67">
        <v>0</v>
      </c>
      <c r="FB404" s="67">
        <v>0</v>
      </c>
      <c r="FC404" s="67"/>
      <c r="FD404" s="67"/>
      <c r="FE404" s="67"/>
      <c r="FF404" s="67"/>
      <c r="FG404" s="67"/>
      <c r="FH404" s="67"/>
      <c r="FI404" s="67" t="s">
        <v>1734</v>
      </c>
    </row>
    <row r="405" spans="2:165" ht="24" x14ac:dyDescent="0.2">
      <c r="B405" s="67" t="s">
        <v>1076</v>
      </c>
      <c r="C405" s="67"/>
      <c r="D405" s="67" t="s">
        <v>1077</v>
      </c>
      <c r="E405" s="67" t="s">
        <v>889</v>
      </c>
      <c r="F405" s="67" t="s">
        <v>766</v>
      </c>
      <c r="G405" s="67" t="s">
        <v>694</v>
      </c>
      <c r="H405" s="67"/>
      <c r="I405" s="67" t="s">
        <v>41</v>
      </c>
      <c r="J405" s="67"/>
      <c r="K405" s="67"/>
      <c r="L405" s="67" t="s">
        <v>767</v>
      </c>
      <c r="M405" s="67" t="s">
        <v>752</v>
      </c>
      <c r="N405" s="67"/>
      <c r="O405" s="67" t="s">
        <v>1605</v>
      </c>
      <c r="P405" s="67"/>
      <c r="Q405" s="67">
        <v>0</v>
      </c>
      <c r="R405" s="67">
        <v>0</v>
      </c>
      <c r="S405" s="67">
        <v>0</v>
      </c>
      <c r="T405" s="67">
        <v>0</v>
      </c>
      <c r="U405" s="67">
        <v>0</v>
      </c>
      <c r="V405" s="67">
        <v>0</v>
      </c>
      <c r="W405" s="67">
        <v>0</v>
      </c>
      <c r="X405" s="67">
        <v>0</v>
      </c>
      <c r="Y405" s="67">
        <v>0</v>
      </c>
      <c r="Z405" s="67">
        <v>0</v>
      </c>
      <c r="AA405" s="67">
        <v>0</v>
      </c>
      <c r="AB405" s="67">
        <v>0</v>
      </c>
      <c r="AC405" s="67">
        <v>0</v>
      </c>
      <c r="AD405" s="67">
        <v>0</v>
      </c>
      <c r="AE405" s="67">
        <v>0</v>
      </c>
      <c r="AF405" s="67">
        <v>0</v>
      </c>
      <c r="AG405" s="67">
        <v>0</v>
      </c>
      <c r="AH405" s="67">
        <v>0</v>
      </c>
      <c r="AI405" s="67">
        <v>0</v>
      </c>
      <c r="AJ405" s="67">
        <v>0</v>
      </c>
      <c r="AK405" s="67">
        <v>0</v>
      </c>
      <c r="AL405" s="67">
        <v>0</v>
      </c>
      <c r="AM405" s="67">
        <v>0</v>
      </c>
      <c r="AN405" s="67">
        <v>0</v>
      </c>
      <c r="AO405" s="67">
        <v>0</v>
      </c>
      <c r="AP405" s="67">
        <v>0</v>
      </c>
      <c r="AQ405" s="67">
        <v>0</v>
      </c>
      <c r="AR405" s="67">
        <v>0</v>
      </c>
      <c r="AS405" s="67">
        <v>0</v>
      </c>
      <c r="AT405" s="67"/>
      <c r="AU405" s="67"/>
      <c r="AV405" s="67"/>
      <c r="AW405" s="67">
        <v>0</v>
      </c>
      <c r="AX405" s="67">
        <v>0</v>
      </c>
      <c r="AY405" s="67"/>
      <c r="AZ405" s="67"/>
      <c r="BA405" s="67"/>
      <c r="BB405" s="67"/>
      <c r="BC405" s="67"/>
      <c r="BD405" s="67"/>
      <c r="BE405" s="67"/>
      <c r="BG405" s="67"/>
      <c r="BH405" s="67"/>
      <c r="BI405" s="67"/>
      <c r="BJ405" s="67">
        <v>0</v>
      </c>
      <c r="BK405" s="67"/>
      <c r="BL405" s="67"/>
      <c r="BP405" s="67"/>
      <c r="BQ405" s="67">
        <v>0</v>
      </c>
      <c r="BR405" s="67"/>
      <c r="BS405" s="67"/>
      <c r="BT405" s="67">
        <v>0</v>
      </c>
      <c r="BU405" s="67">
        <v>0</v>
      </c>
      <c r="BV405" s="67"/>
      <c r="BW405" s="67"/>
      <c r="BX405" s="67">
        <v>0</v>
      </c>
      <c r="BY405" s="67">
        <v>0</v>
      </c>
      <c r="BZ405" s="67">
        <v>0</v>
      </c>
      <c r="CA405" s="67"/>
      <c r="CB405" s="67">
        <v>0</v>
      </c>
      <c r="CC405" s="67"/>
      <c r="CD405" s="67"/>
      <c r="CE405" s="67">
        <v>0</v>
      </c>
      <c r="CF405" s="67"/>
      <c r="CG405" s="67"/>
      <c r="CH405" s="67"/>
      <c r="CI405" s="67"/>
      <c r="CJ405" s="67"/>
      <c r="CK405" s="67">
        <v>0</v>
      </c>
      <c r="CL405" s="67"/>
      <c r="CM405" s="67"/>
      <c r="CN405" s="67"/>
      <c r="CO405" s="67">
        <v>0</v>
      </c>
      <c r="CP405" s="67"/>
      <c r="CQ405" s="67"/>
      <c r="CR405" s="67"/>
      <c r="CS405" s="67"/>
      <c r="CT405" s="67"/>
      <c r="CU405" s="67">
        <v>0</v>
      </c>
      <c r="CV405" s="67"/>
      <c r="CW405" s="67"/>
      <c r="CX405" s="67"/>
      <c r="CY405" s="67">
        <v>0</v>
      </c>
      <c r="CZ405" s="67"/>
      <c r="DA405" s="67"/>
      <c r="DB405" s="67"/>
      <c r="DC405" s="67"/>
      <c r="DF405" s="67"/>
      <c r="DG405" s="67">
        <v>0</v>
      </c>
      <c r="DH405" s="67">
        <v>0</v>
      </c>
      <c r="DI405" s="67">
        <v>0</v>
      </c>
      <c r="DJ405" s="67"/>
      <c r="DK405" s="67">
        <v>0</v>
      </c>
      <c r="DL405" s="67">
        <v>0</v>
      </c>
      <c r="DM405" s="67">
        <v>0</v>
      </c>
      <c r="DN405" s="67"/>
      <c r="DO405" s="67"/>
      <c r="DP405" s="67"/>
      <c r="DQ405" s="67">
        <v>0</v>
      </c>
      <c r="DR405" s="67">
        <v>0</v>
      </c>
      <c r="DS405" s="67"/>
      <c r="DT405" s="67"/>
      <c r="DU405" s="67">
        <v>0</v>
      </c>
      <c r="DV405" s="67">
        <v>0</v>
      </c>
      <c r="DW405" s="67">
        <v>0</v>
      </c>
      <c r="DX405" s="67">
        <v>0</v>
      </c>
      <c r="DY405" s="67"/>
      <c r="DZ405" s="67">
        <v>0</v>
      </c>
      <c r="EA405" s="67"/>
      <c r="EB405" s="67">
        <v>0</v>
      </c>
      <c r="EC405" s="67"/>
      <c r="ED405" s="67">
        <v>0</v>
      </c>
      <c r="EE405" s="67"/>
      <c r="EF405" s="67">
        <v>0</v>
      </c>
      <c r="EG405" s="67"/>
      <c r="EH405" s="67"/>
      <c r="EI405" s="67"/>
      <c r="EJ405" s="67"/>
      <c r="EK405" s="67"/>
      <c r="EL405" s="67"/>
      <c r="EM405" s="67"/>
      <c r="EN405" s="67"/>
      <c r="EO405" s="67"/>
      <c r="EP405" s="67">
        <v>0</v>
      </c>
      <c r="EQ405" s="67">
        <v>0</v>
      </c>
      <c r="ER405" s="67">
        <v>0</v>
      </c>
      <c r="ES405" s="67"/>
      <c r="ET405">
        <v>0</v>
      </c>
      <c r="EX405" s="67"/>
      <c r="EY405" s="67"/>
      <c r="EZ405" s="67"/>
      <c r="FA405" s="67">
        <v>0</v>
      </c>
      <c r="FB405" s="67">
        <v>0</v>
      </c>
      <c r="FC405" s="67"/>
      <c r="FD405" s="67"/>
      <c r="FE405" s="67"/>
      <c r="FF405" s="67"/>
      <c r="FG405" s="67"/>
      <c r="FH405" s="67"/>
      <c r="FI405" s="67" t="s">
        <v>1734</v>
      </c>
    </row>
    <row r="406" spans="2:165" ht="24" x14ac:dyDescent="0.2">
      <c r="B406" s="67" t="s">
        <v>1078</v>
      </c>
      <c r="C406" s="67"/>
      <c r="D406" s="67" t="s">
        <v>1079</v>
      </c>
      <c r="E406" s="67" t="s">
        <v>13</v>
      </c>
      <c r="F406" s="67" t="s">
        <v>766</v>
      </c>
      <c r="G406" s="67" t="s">
        <v>694</v>
      </c>
      <c r="H406" s="67"/>
      <c r="I406" s="67" t="s">
        <v>41</v>
      </c>
      <c r="J406" s="67"/>
      <c r="K406" s="67"/>
      <c r="L406" s="67" t="s">
        <v>767</v>
      </c>
      <c r="M406" s="67" t="s">
        <v>752</v>
      </c>
      <c r="N406" s="67"/>
      <c r="O406" s="67" t="s">
        <v>1605</v>
      </c>
      <c r="P406" s="67"/>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67">
        <v>0</v>
      </c>
      <c r="AQ406" s="67">
        <v>0</v>
      </c>
      <c r="AR406" s="67">
        <v>0</v>
      </c>
      <c r="AS406" s="67">
        <v>0</v>
      </c>
      <c r="AT406" s="67"/>
      <c r="AU406" s="67"/>
      <c r="AV406" s="67"/>
      <c r="AW406" s="67">
        <v>0</v>
      </c>
      <c r="AX406" s="67">
        <v>0</v>
      </c>
      <c r="AY406" s="67"/>
      <c r="AZ406" s="67"/>
      <c r="BA406" s="67"/>
      <c r="BB406" s="67"/>
      <c r="BC406" s="67"/>
      <c r="BD406" s="67"/>
      <c r="BE406" s="67"/>
      <c r="BG406" s="67"/>
      <c r="BH406" s="67"/>
      <c r="BI406" s="67"/>
      <c r="BJ406" s="67">
        <v>0</v>
      </c>
      <c r="BK406" s="67"/>
      <c r="BL406" s="67"/>
      <c r="BP406" s="67"/>
      <c r="BQ406" s="67">
        <v>0</v>
      </c>
      <c r="BR406" s="67"/>
      <c r="BS406" s="67"/>
      <c r="BT406" s="67">
        <v>0</v>
      </c>
      <c r="BU406" s="67">
        <v>0</v>
      </c>
      <c r="BV406" s="67"/>
      <c r="BW406" s="67"/>
      <c r="BX406" s="67">
        <v>0</v>
      </c>
      <c r="BY406" s="67">
        <v>0</v>
      </c>
      <c r="BZ406" s="67">
        <v>0</v>
      </c>
      <c r="CA406" s="67"/>
      <c r="CB406" s="67">
        <v>0</v>
      </c>
      <c r="CC406" s="67"/>
      <c r="CD406" s="67"/>
      <c r="CE406" s="67">
        <v>0</v>
      </c>
      <c r="CF406" s="67"/>
      <c r="CG406" s="67"/>
      <c r="CH406" s="67"/>
      <c r="CI406" s="67"/>
      <c r="CJ406" s="67"/>
      <c r="CK406" s="67">
        <v>0</v>
      </c>
      <c r="CL406" s="67"/>
      <c r="CM406" s="67"/>
      <c r="CN406" s="67"/>
      <c r="CO406" s="67">
        <v>0</v>
      </c>
      <c r="CP406" s="67"/>
      <c r="CQ406" s="67"/>
      <c r="CR406" s="67"/>
      <c r="CS406" s="67"/>
      <c r="CT406" s="67"/>
      <c r="CU406" s="67">
        <v>0</v>
      </c>
      <c r="CV406" s="67"/>
      <c r="CW406" s="67"/>
      <c r="CX406" s="67"/>
      <c r="CY406" s="67">
        <v>0</v>
      </c>
      <c r="CZ406" s="67"/>
      <c r="DA406" s="67"/>
      <c r="DB406" s="67"/>
      <c r="DC406" s="67"/>
      <c r="DF406" s="67"/>
      <c r="DG406" s="67">
        <v>0</v>
      </c>
      <c r="DH406" s="67">
        <v>0</v>
      </c>
      <c r="DI406" s="67">
        <v>0</v>
      </c>
      <c r="DJ406" s="67"/>
      <c r="DK406" s="67">
        <v>0</v>
      </c>
      <c r="DL406" s="67">
        <v>0</v>
      </c>
      <c r="DM406" s="67">
        <v>0</v>
      </c>
      <c r="DN406" s="67"/>
      <c r="DO406" s="67"/>
      <c r="DP406" s="67"/>
      <c r="DQ406" s="67">
        <v>0</v>
      </c>
      <c r="DR406" s="67">
        <v>0</v>
      </c>
      <c r="DS406" s="67"/>
      <c r="DT406" s="67"/>
      <c r="DU406" s="67">
        <v>0</v>
      </c>
      <c r="DV406" s="67">
        <v>0</v>
      </c>
      <c r="DW406" s="67">
        <v>0</v>
      </c>
      <c r="DX406" s="67">
        <v>0</v>
      </c>
      <c r="DY406" s="67"/>
      <c r="DZ406" s="67">
        <v>0</v>
      </c>
      <c r="EA406" s="67"/>
      <c r="EB406" s="67">
        <v>0</v>
      </c>
      <c r="EC406" s="67"/>
      <c r="ED406" s="67">
        <v>0</v>
      </c>
      <c r="EE406" s="67"/>
      <c r="EF406" s="67">
        <v>0</v>
      </c>
      <c r="EG406" s="67"/>
      <c r="EH406" s="67"/>
      <c r="EI406" s="67"/>
      <c r="EJ406" s="67"/>
      <c r="EK406" s="67"/>
      <c r="EL406" s="67"/>
      <c r="EM406" s="67"/>
      <c r="EN406" s="67"/>
      <c r="EO406" s="67"/>
      <c r="EP406" s="67">
        <v>0</v>
      </c>
      <c r="EQ406" s="67">
        <v>0</v>
      </c>
      <c r="ER406" s="67">
        <v>0</v>
      </c>
      <c r="ES406" s="67"/>
      <c r="ET406">
        <v>0</v>
      </c>
      <c r="EX406" s="67"/>
      <c r="EY406" s="67"/>
      <c r="EZ406" s="67"/>
      <c r="FA406" s="67">
        <v>0</v>
      </c>
      <c r="FB406" s="67">
        <v>0</v>
      </c>
      <c r="FC406" s="67"/>
      <c r="FD406" s="67"/>
      <c r="FE406" s="67"/>
      <c r="FF406" s="67"/>
      <c r="FG406" s="67"/>
      <c r="FH406" s="67"/>
      <c r="FI406" s="67" t="s">
        <v>1734</v>
      </c>
    </row>
    <row r="407" spans="2:165" ht="24" x14ac:dyDescent="0.2">
      <c r="B407" s="67" t="s">
        <v>1080</v>
      </c>
      <c r="C407" s="67"/>
      <c r="D407" s="67" t="s">
        <v>1081</v>
      </c>
      <c r="E407" s="67" t="s">
        <v>889</v>
      </c>
      <c r="F407" s="67" t="s">
        <v>766</v>
      </c>
      <c r="G407" s="67" t="s">
        <v>694</v>
      </c>
      <c r="H407" s="67"/>
      <c r="I407" s="67" t="s">
        <v>41</v>
      </c>
      <c r="J407" s="67"/>
      <c r="K407" s="67"/>
      <c r="L407" s="67" t="s">
        <v>767</v>
      </c>
      <c r="M407" s="67" t="s">
        <v>752</v>
      </c>
      <c r="N407" s="67"/>
      <c r="O407" s="67" t="s">
        <v>1605</v>
      </c>
      <c r="P407" s="67"/>
      <c r="Q407" s="67">
        <v>0</v>
      </c>
      <c r="R407" s="67">
        <v>0</v>
      </c>
      <c r="S407" s="67">
        <v>0</v>
      </c>
      <c r="T407" s="67">
        <v>0</v>
      </c>
      <c r="U407" s="67">
        <v>0</v>
      </c>
      <c r="V407" s="67">
        <v>0</v>
      </c>
      <c r="W407" s="67">
        <v>0</v>
      </c>
      <c r="X407" s="67">
        <v>0</v>
      </c>
      <c r="Y407" s="67">
        <v>0</v>
      </c>
      <c r="Z407" s="67">
        <v>0</v>
      </c>
      <c r="AA407" s="67">
        <v>0</v>
      </c>
      <c r="AB407" s="67">
        <v>0</v>
      </c>
      <c r="AC407" s="67">
        <v>0</v>
      </c>
      <c r="AD407" s="67">
        <v>0</v>
      </c>
      <c r="AE407" s="67">
        <v>0</v>
      </c>
      <c r="AF407" s="67">
        <v>0</v>
      </c>
      <c r="AG407" s="67">
        <v>0</v>
      </c>
      <c r="AH407" s="67">
        <v>0</v>
      </c>
      <c r="AI407" s="67">
        <v>0</v>
      </c>
      <c r="AJ407" s="67">
        <v>0</v>
      </c>
      <c r="AK407" s="67">
        <v>0</v>
      </c>
      <c r="AL407" s="67">
        <v>0</v>
      </c>
      <c r="AM407" s="67">
        <v>0</v>
      </c>
      <c r="AN407" s="67">
        <v>0</v>
      </c>
      <c r="AO407" s="67">
        <v>0</v>
      </c>
      <c r="AP407" s="67">
        <v>0</v>
      </c>
      <c r="AQ407" s="67">
        <v>0</v>
      </c>
      <c r="AR407" s="67">
        <v>0</v>
      </c>
      <c r="AS407" s="67">
        <v>0</v>
      </c>
      <c r="AT407" s="67"/>
      <c r="AU407" s="67"/>
      <c r="AV407" s="67"/>
      <c r="AW407" s="67">
        <v>0</v>
      </c>
      <c r="AX407" s="67">
        <v>0</v>
      </c>
      <c r="AY407" s="67"/>
      <c r="AZ407" s="67"/>
      <c r="BA407" s="67"/>
      <c r="BB407" s="67"/>
      <c r="BC407" s="67"/>
      <c r="BD407" s="67"/>
      <c r="BE407" s="67"/>
      <c r="BG407" s="67"/>
      <c r="BH407" s="67"/>
      <c r="BI407" s="67"/>
      <c r="BJ407" s="67">
        <v>0</v>
      </c>
      <c r="BK407" s="67"/>
      <c r="BL407" s="67"/>
      <c r="BP407" s="67"/>
      <c r="BQ407" s="67">
        <v>0</v>
      </c>
      <c r="BR407" s="67"/>
      <c r="BS407" s="67"/>
      <c r="BT407" s="67">
        <v>0</v>
      </c>
      <c r="BU407" s="67">
        <v>0</v>
      </c>
      <c r="BV407" s="67"/>
      <c r="BW407" s="67"/>
      <c r="BX407" s="67">
        <v>0</v>
      </c>
      <c r="BY407" s="67">
        <v>0</v>
      </c>
      <c r="BZ407" s="67">
        <v>0</v>
      </c>
      <c r="CA407" s="67"/>
      <c r="CB407" s="67">
        <v>0</v>
      </c>
      <c r="CC407" s="67"/>
      <c r="CD407" s="67"/>
      <c r="CE407" s="67">
        <v>0</v>
      </c>
      <c r="CF407" s="67"/>
      <c r="CG407" s="67"/>
      <c r="CH407" s="67"/>
      <c r="CI407" s="67"/>
      <c r="CJ407" s="67"/>
      <c r="CK407" s="67">
        <v>0</v>
      </c>
      <c r="CL407" s="67"/>
      <c r="CM407" s="67"/>
      <c r="CN407" s="67"/>
      <c r="CO407" s="67">
        <v>0</v>
      </c>
      <c r="CP407" s="67"/>
      <c r="CQ407" s="67"/>
      <c r="CR407" s="67"/>
      <c r="CS407" s="67"/>
      <c r="CT407" s="67"/>
      <c r="CU407" s="67">
        <v>0</v>
      </c>
      <c r="CV407" s="67"/>
      <c r="CW407" s="67"/>
      <c r="CX407" s="67"/>
      <c r="CY407" s="67">
        <v>0</v>
      </c>
      <c r="CZ407" s="67"/>
      <c r="DA407" s="67"/>
      <c r="DB407" s="67"/>
      <c r="DC407" s="67"/>
      <c r="DF407" s="67"/>
      <c r="DG407" s="67">
        <v>0</v>
      </c>
      <c r="DH407" s="67">
        <v>0</v>
      </c>
      <c r="DI407" s="67">
        <v>0</v>
      </c>
      <c r="DJ407" s="67"/>
      <c r="DK407" s="67">
        <v>0</v>
      </c>
      <c r="DL407" s="67">
        <v>0</v>
      </c>
      <c r="DM407" s="67">
        <v>0</v>
      </c>
      <c r="DN407" s="67"/>
      <c r="DO407" s="67"/>
      <c r="DP407" s="67"/>
      <c r="DQ407" s="67">
        <v>0</v>
      </c>
      <c r="DR407" s="67">
        <v>0</v>
      </c>
      <c r="DS407" s="67"/>
      <c r="DT407" s="67"/>
      <c r="DU407" s="67">
        <v>0</v>
      </c>
      <c r="DV407" s="67">
        <v>0</v>
      </c>
      <c r="DW407" s="67">
        <v>0</v>
      </c>
      <c r="DX407" s="67">
        <v>0</v>
      </c>
      <c r="DY407" s="67"/>
      <c r="DZ407" s="67">
        <v>0</v>
      </c>
      <c r="EA407" s="67"/>
      <c r="EB407" s="67">
        <v>0</v>
      </c>
      <c r="EC407" s="67"/>
      <c r="ED407" s="67">
        <v>0</v>
      </c>
      <c r="EE407" s="67"/>
      <c r="EF407" s="67">
        <v>0</v>
      </c>
      <c r="EG407" s="67"/>
      <c r="EH407" s="67"/>
      <c r="EI407" s="67"/>
      <c r="EJ407" s="67"/>
      <c r="EK407" s="67"/>
      <c r="EL407" s="67"/>
      <c r="EM407" s="67"/>
      <c r="EN407" s="67"/>
      <c r="EO407" s="67"/>
      <c r="EP407" s="67">
        <v>0</v>
      </c>
      <c r="EQ407" s="67">
        <v>0</v>
      </c>
      <c r="ER407" s="67">
        <v>0</v>
      </c>
      <c r="ES407" s="67"/>
      <c r="ET407">
        <v>0</v>
      </c>
      <c r="EX407" s="67"/>
      <c r="EY407" s="67"/>
      <c r="EZ407" s="67"/>
      <c r="FA407" s="67">
        <v>0</v>
      </c>
      <c r="FB407" s="67">
        <v>0</v>
      </c>
      <c r="FC407" s="67"/>
      <c r="FD407" s="67"/>
      <c r="FE407" s="67"/>
      <c r="FF407" s="67"/>
      <c r="FG407" s="67"/>
      <c r="FH407" s="67"/>
      <c r="FI407" s="67" t="s">
        <v>1734</v>
      </c>
    </row>
    <row r="408" spans="2:165" ht="24" x14ac:dyDescent="0.2">
      <c r="B408" s="67" t="s">
        <v>1082</v>
      </c>
      <c r="C408" s="67"/>
      <c r="D408" s="67" t="s">
        <v>1083</v>
      </c>
      <c r="E408" s="67" t="s">
        <v>13</v>
      </c>
      <c r="F408" s="67"/>
      <c r="G408" s="67" t="s">
        <v>694</v>
      </c>
      <c r="H408" s="67"/>
      <c r="I408" s="67" t="s">
        <v>41</v>
      </c>
      <c r="J408" s="67"/>
      <c r="K408" s="67"/>
      <c r="L408" s="67" t="s">
        <v>751</v>
      </c>
      <c r="M408" s="67" t="s">
        <v>752</v>
      </c>
      <c r="N408" s="67"/>
      <c r="O408" s="67" t="s">
        <v>1605</v>
      </c>
      <c r="P408" s="67"/>
      <c r="Q408" s="67">
        <v>0</v>
      </c>
      <c r="R408" s="67">
        <v>0</v>
      </c>
      <c r="S408" s="67">
        <v>0</v>
      </c>
      <c r="T408" s="67">
        <v>0</v>
      </c>
      <c r="U408" s="67">
        <v>0</v>
      </c>
      <c r="V408" s="67">
        <v>0</v>
      </c>
      <c r="W408" s="67">
        <v>0</v>
      </c>
      <c r="X408" s="67">
        <v>0</v>
      </c>
      <c r="Y408" s="67">
        <v>0</v>
      </c>
      <c r="Z408" s="67">
        <v>0</v>
      </c>
      <c r="AA408" s="67">
        <v>0</v>
      </c>
      <c r="AB408" s="67">
        <v>0</v>
      </c>
      <c r="AC408" s="67">
        <v>0</v>
      </c>
      <c r="AD408" s="67">
        <v>0</v>
      </c>
      <c r="AE408" s="67">
        <v>0</v>
      </c>
      <c r="AF408" s="67">
        <v>0</v>
      </c>
      <c r="AG408" s="67">
        <v>0</v>
      </c>
      <c r="AH408" s="67">
        <v>0</v>
      </c>
      <c r="AI408" s="67">
        <v>0</v>
      </c>
      <c r="AJ408" s="67">
        <v>0</v>
      </c>
      <c r="AK408" s="67">
        <v>0</v>
      </c>
      <c r="AL408" s="67">
        <v>0</v>
      </c>
      <c r="AM408" s="67">
        <v>0</v>
      </c>
      <c r="AN408" s="67">
        <v>0</v>
      </c>
      <c r="AO408" s="67">
        <v>0</v>
      </c>
      <c r="AP408" s="67">
        <v>0</v>
      </c>
      <c r="AQ408" s="67">
        <v>0</v>
      </c>
      <c r="AR408" s="67">
        <v>0</v>
      </c>
      <c r="AS408" s="67">
        <v>0</v>
      </c>
      <c r="AT408" s="67"/>
      <c r="AU408" s="67"/>
      <c r="AV408" s="67"/>
      <c r="AW408" s="67">
        <v>0</v>
      </c>
      <c r="AX408" s="67">
        <v>0</v>
      </c>
      <c r="AY408" s="67"/>
      <c r="AZ408" s="67"/>
      <c r="BA408" s="67"/>
      <c r="BB408" s="67"/>
      <c r="BC408" s="67"/>
      <c r="BD408" s="67"/>
      <c r="BE408" s="67"/>
      <c r="BG408" s="67"/>
      <c r="BH408" s="67"/>
      <c r="BI408" s="67"/>
      <c r="BJ408" s="67">
        <v>0</v>
      </c>
      <c r="BK408" s="67"/>
      <c r="BL408" s="67"/>
      <c r="BP408" s="67"/>
      <c r="BQ408" s="67">
        <v>0</v>
      </c>
      <c r="BR408" s="67"/>
      <c r="BS408" s="67"/>
      <c r="BT408" s="67">
        <v>0</v>
      </c>
      <c r="BU408" s="67">
        <v>0</v>
      </c>
      <c r="BV408" s="67"/>
      <c r="BW408" s="67"/>
      <c r="BX408" s="67">
        <v>0</v>
      </c>
      <c r="BY408" s="67">
        <v>0</v>
      </c>
      <c r="BZ408" s="67">
        <v>0</v>
      </c>
      <c r="CA408" s="67"/>
      <c r="CB408" s="67">
        <v>0</v>
      </c>
      <c r="CC408" s="67"/>
      <c r="CD408" s="67"/>
      <c r="CE408" s="67">
        <v>0</v>
      </c>
      <c r="CF408" s="67"/>
      <c r="CG408" s="67"/>
      <c r="CH408" s="67"/>
      <c r="CI408" s="67"/>
      <c r="CJ408" s="67"/>
      <c r="CK408" s="67">
        <v>0</v>
      </c>
      <c r="CL408" s="67"/>
      <c r="CM408" s="67"/>
      <c r="CN408" s="67"/>
      <c r="CO408" s="67">
        <v>0</v>
      </c>
      <c r="CP408" s="67"/>
      <c r="CQ408" s="67"/>
      <c r="CR408" s="67"/>
      <c r="CS408" s="67"/>
      <c r="CT408" s="67"/>
      <c r="CU408" s="67">
        <v>0</v>
      </c>
      <c r="CV408" s="67"/>
      <c r="CW408" s="67"/>
      <c r="CX408" s="67"/>
      <c r="CY408" s="67">
        <v>0</v>
      </c>
      <c r="CZ408" s="67"/>
      <c r="DA408" s="67"/>
      <c r="DB408" s="67"/>
      <c r="DC408" s="67"/>
      <c r="DF408" s="67"/>
      <c r="DG408" s="67">
        <v>0</v>
      </c>
      <c r="DH408" s="67">
        <v>0</v>
      </c>
      <c r="DI408" s="67">
        <v>0</v>
      </c>
      <c r="DJ408" s="67"/>
      <c r="DK408" s="67">
        <v>0</v>
      </c>
      <c r="DL408" s="67">
        <v>0</v>
      </c>
      <c r="DM408" s="67">
        <v>0</v>
      </c>
      <c r="DN408" s="67"/>
      <c r="DO408" s="67"/>
      <c r="DP408" s="67"/>
      <c r="DQ408" s="67">
        <v>0</v>
      </c>
      <c r="DR408" s="67">
        <v>0</v>
      </c>
      <c r="DS408" s="67"/>
      <c r="DT408" s="67"/>
      <c r="DU408" s="67">
        <v>0</v>
      </c>
      <c r="DV408" s="67">
        <v>0</v>
      </c>
      <c r="DW408" s="67">
        <v>0</v>
      </c>
      <c r="DX408" s="67">
        <v>0</v>
      </c>
      <c r="DY408" s="67"/>
      <c r="DZ408" s="67">
        <v>0</v>
      </c>
      <c r="EA408" s="67"/>
      <c r="EB408" s="67">
        <v>0</v>
      </c>
      <c r="EC408" s="67"/>
      <c r="ED408" s="67">
        <v>0</v>
      </c>
      <c r="EE408" s="67"/>
      <c r="EF408" s="67">
        <v>0</v>
      </c>
      <c r="EG408" s="67"/>
      <c r="EH408" s="67"/>
      <c r="EI408" s="67"/>
      <c r="EJ408" s="67"/>
      <c r="EK408" s="67"/>
      <c r="EL408" s="67"/>
      <c r="EM408" s="67"/>
      <c r="EN408" s="67"/>
      <c r="EO408" s="67"/>
      <c r="EP408" s="67">
        <v>0</v>
      </c>
      <c r="EQ408" s="67">
        <v>0</v>
      </c>
      <c r="ER408" s="67">
        <v>0</v>
      </c>
      <c r="ES408" s="67"/>
      <c r="ET408">
        <v>0</v>
      </c>
      <c r="EX408" s="67"/>
      <c r="EY408" s="67"/>
      <c r="EZ408" s="67"/>
      <c r="FA408" s="67">
        <v>0</v>
      </c>
      <c r="FB408" s="67">
        <v>0</v>
      </c>
      <c r="FC408" s="67"/>
      <c r="FD408" s="67"/>
      <c r="FE408" s="67"/>
      <c r="FF408" s="67"/>
      <c r="FG408" s="67"/>
      <c r="FH408" s="67"/>
      <c r="FI408" s="67" t="s">
        <v>1734</v>
      </c>
    </row>
    <row r="409" spans="2:165" ht="24" x14ac:dyDescent="0.2">
      <c r="B409" s="67" t="s">
        <v>1084</v>
      </c>
      <c r="C409" s="67"/>
      <c r="D409" s="67" t="s">
        <v>1085</v>
      </c>
      <c r="E409" s="67" t="s">
        <v>13</v>
      </c>
      <c r="F409" s="67" t="s">
        <v>766</v>
      </c>
      <c r="G409" s="67" t="s">
        <v>694</v>
      </c>
      <c r="H409" s="67"/>
      <c r="I409" s="67" t="s">
        <v>41</v>
      </c>
      <c r="J409" s="67"/>
      <c r="K409" s="67"/>
      <c r="L409" s="67" t="s">
        <v>767</v>
      </c>
      <c r="M409" s="67" t="s">
        <v>752</v>
      </c>
      <c r="N409" s="67"/>
      <c r="O409" s="67" t="s">
        <v>1599</v>
      </c>
      <c r="P409" s="67"/>
      <c r="Q409" s="67">
        <v>900</v>
      </c>
      <c r="R409" s="67">
        <v>0</v>
      </c>
      <c r="S409" s="67">
        <v>0</v>
      </c>
      <c r="T409" s="67">
        <v>0</v>
      </c>
      <c r="U409" s="67">
        <v>0</v>
      </c>
      <c r="V409" s="67">
        <v>0</v>
      </c>
      <c r="W409" s="67">
        <v>0</v>
      </c>
      <c r="X409" s="67">
        <v>0</v>
      </c>
      <c r="Y409" s="67">
        <v>0</v>
      </c>
      <c r="Z409" s="67">
        <v>0</v>
      </c>
      <c r="AA409" s="67">
        <v>0</v>
      </c>
      <c r="AB409" s="67">
        <v>0</v>
      </c>
      <c r="AC409" s="67">
        <v>0</v>
      </c>
      <c r="AD409" s="67">
        <v>0</v>
      </c>
      <c r="AE409" s="67">
        <v>0</v>
      </c>
      <c r="AF409" s="67">
        <v>0</v>
      </c>
      <c r="AG409" s="67">
        <v>900</v>
      </c>
      <c r="AH409" s="67">
        <v>0</v>
      </c>
      <c r="AI409" s="67">
        <v>0</v>
      </c>
      <c r="AJ409" s="67">
        <v>0</v>
      </c>
      <c r="AK409" s="67">
        <v>0</v>
      </c>
      <c r="AL409" s="67">
        <v>0</v>
      </c>
      <c r="AM409" s="67">
        <v>0</v>
      </c>
      <c r="AN409" s="67">
        <v>0</v>
      </c>
      <c r="AO409" s="67">
        <v>0</v>
      </c>
      <c r="AP409" s="67">
        <v>0</v>
      </c>
      <c r="AQ409" s="67">
        <v>0</v>
      </c>
      <c r="AR409" s="67">
        <v>0</v>
      </c>
      <c r="AS409" s="67">
        <v>0</v>
      </c>
      <c r="AT409" s="67"/>
      <c r="AU409" s="67"/>
      <c r="AV409" s="67"/>
      <c r="AW409" s="67">
        <v>0</v>
      </c>
      <c r="AX409" s="67">
        <v>0</v>
      </c>
      <c r="AY409" s="67"/>
      <c r="AZ409" s="67"/>
      <c r="BA409" s="67"/>
      <c r="BB409" s="67"/>
      <c r="BC409" s="67"/>
      <c r="BD409" s="67"/>
      <c r="BE409" s="67"/>
      <c r="BG409" s="67"/>
      <c r="BH409" s="67"/>
      <c r="BI409" s="67"/>
      <c r="BJ409" s="67">
        <v>0</v>
      </c>
      <c r="BK409" s="67"/>
      <c r="BL409" s="67"/>
      <c r="BP409" s="67"/>
      <c r="BQ409" s="67">
        <v>0</v>
      </c>
      <c r="BR409" s="67"/>
      <c r="BS409" s="67"/>
      <c r="BT409" s="67">
        <v>0</v>
      </c>
      <c r="BU409" s="67">
        <v>0</v>
      </c>
      <c r="BV409" s="67"/>
      <c r="BW409" s="67"/>
      <c r="BX409" s="67">
        <v>0</v>
      </c>
      <c r="BY409" s="67">
        <v>0</v>
      </c>
      <c r="BZ409" s="67">
        <v>0</v>
      </c>
      <c r="CA409" s="67"/>
      <c r="CB409" s="67">
        <v>0</v>
      </c>
      <c r="CC409" s="67"/>
      <c r="CD409" s="67"/>
      <c r="CE409" s="67">
        <v>0</v>
      </c>
      <c r="CF409" s="67"/>
      <c r="CG409" s="67"/>
      <c r="CH409" s="67"/>
      <c r="CI409" s="67"/>
      <c r="CJ409" s="67"/>
      <c r="CK409" s="67">
        <v>0</v>
      </c>
      <c r="CL409" s="67"/>
      <c r="CM409" s="67"/>
      <c r="CN409" s="67"/>
      <c r="CO409" s="67">
        <v>0</v>
      </c>
      <c r="CP409" s="67"/>
      <c r="CQ409" s="67"/>
      <c r="CR409" s="67"/>
      <c r="CS409" s="67"/>
      <c r="CT409" s="67"/>
      <c r="CU409" s="67">
        <v>0</v>
      </c>
      <c r="CV409" s="67"/>
      <c r="CW409" s="67"/>
      <c r="CX409" s="67"/>
      <c r="CY409" s="67">
        <v>0</v>
      </c>
      <c r="CZ409" s="67"/>
      <c r="DA409" s="67"/>
      <c r="DB409" s="67"/>
      <c r="DC409" s="67"/>
      <c r="DF409" s="67"/>
      <c r="DG409" s="67">
        <v>0</v>
      </c>
      <c r="DH409" s="67">
        <v>0</v>
      </c>
      <c r="DI409" s="67">
        <v>0</v>
      </c>
      <c r="DJ409" s="67"/>
      <c r="DK409" s="67">
        <v>0</v>
      </c>
      <c r="DL409" s="67">
        <v>0</v>
      </c>
      <c r="DM409" s="67">
        <v>0</v>
      </c>
      <c r="DN409" s="67"/>
      <c r="DO409" s="67"/>
      <c r="DP409" s="67"/>
      <c r="DQ409" s="67">
        <v>0</v>
      </c>
      <c r="DR409" s="67">
        <v>0</v>
      </c>
      <c r="DS409" s="67"/>
      <c r="DT409" s="67"/>
      <c r="DU409" s="67">
        <v>0</v>
      </c>
      <c r="DV409" s="67">
        <v>0</v>
      </c>
      <c r="DW409" s="67">
        <v>0</v>
      </c>
      <c r="DX409" s="67">
        <v>0</v>
      </c>
      <c r="DY409" s="67"/>
      <c r="DZ409" s="67">
        <v>0</v>
      </c>
      <c r="EA409" s="67"/>
      <c r="EB409" s="67">
        <v>0</v>
      </c>
      <c r="EC409" s="67"/>
      <c r="ED409" s="67">
        <v>0</v>
      </c>
      <c r="EE409" s="67"/>
      <c r="EF409" s="67">
        <v>0</v>
      </c>
      <c r="EG409" s="67"/>
      <c r="EH409" s="67"/>
      <c r="EI409" s="67"/>
      <c r="EJ409" s="67"/>
      <c r="EK409" s="67"/>
      <c r="EL409" s="67"/>
      <c r="EM409" s="67"/>
      <c r="EN409" s="67"/>
      <c r="EO409" s="67"/>
      <c r="EP409" s="67">
        <v>0</v>
      </c>
      <c r="EQ409" s="67">
        <v>0</v>
      </c>
      <c r="ER409" s="67">
        <v>0</v>
      </c>
      <c r="ES409" s="67"/>
      <c r="ET409">
        <v>0</v>
      </c>
      <c r="EX409" s="67"/>
      <c r="EY409" s="67"/>
      <c r="EZ409" s="67"/>
      <c r="FA409" s="67">
        <v>900</v>
      </c>
      <c r="FB409" s="67">
        <v>0</v>
      </c>
      <c r="FC409" s="67"/>
      <c r="FD409" s="67"/>
      <c r="FE409" s="67"/>
      <c r="FF409" s="67"/>
      <c r="FG409" s="67"/>
      <c r="FH409" s="67"/>
      <c r="FI409" s="67" t="s">
        <v>1734</v>
      </c>
    </row>
    <row r="410" spans="2:165" ht="24" x14ac:dyDescent="0.2">
      <c r="B410" s="67" t="s">
        <v>1086</v>
      </c>
      <c r="C410" s="67"/>
      <c r="D410" s="67" t="s">
        <v>1087</v>
      </c>
      <c r="E410" s="67" t="s">
        <v>13</v>
      </c>
      <c r="F410" s="67" t="s">
        <v>766</v>
      </c>
      <c r="G410" s="67" t="s">
        <v>694</v>
      </c>
      <c r="H410" s="67"/>
      <c r="I410" s="67" t="s">
        <v>41</v>
      </c>
      <c r="J410" s="67"/>
      <c r="K410" s="67"/>
      <c r="L410" s="67" t="s">
        <v>767</v>
      </c>
      <c r="M410" s="67" t="s">
        <v>752</v>
      </c>
      <c r="N410" s="67"/>
      <c r="O410" s="67" t="s">
        <v>1599</v>
      </c>
      <c r="P410" s="67"/>
      <c r="Q410" s="67">
        <v>760</v>
      </c>
      <c r="R410" s="67">
        <v>0</v>
      </c>
      <c r="S410" s="67">
        <v>0</v>
      </c>
      <c r="T410" s="67">
        <v>0</v>
      </c>
      <c r="U410" s="67">
        <v>0</v>
      </c>
      <c r="V410" s="67">
        <v>0</v>
      </c>
      <c r="W410" s="67">
        <v>0</v>
      </c>
      <c r="X410" s="67">
        <v>0</v>
      </c>
      <c r="Y410" s="67">
        <v>0</v>
      </c>
      <c r="Z410" s="67">
        <v>0</v>
      </c>
      <c r="AA410" s="67">
        <v>0</v>
      </c>
      <c r="AB410" s="67">
        <v>0</v>
      </c>
      <c r="AC410" s="67">
        <v>0</v>
      </c>
      <c r="AD410" s="67">
        <v>0</v>
      </c>
      <c r="AE410" s="67">
        <v>0</v>
      </c>
      <c r="AF410" s="67">
        <v>0</v>
      </c>
      <c r="AG410" s="67">
        <v>760</v>
      </c>
      <c r="AH410" s="67">
        <v>0</v>
      </c>
      <c r="AI410" s="67">
        <v>0</v>
      </c>
      <c r="AJ410" s="67">
        <v>0</v>
      </c>
      <c r="AK410" s="67">
        <v>0</v>
      </c>
      <c r="AL410" s="67">
        <v>0</v>
      </c>
      <c r="AM410" s="67">
        <v>0</v>
      </c>
      <c r="AN410" s="67">
        <v>0</v>
      </c>
      <c r="AO410" s="67">
        <v>0</v>
      </c>
      <c r="AP410" s="67">
        <v>0</v>
      </c>
      <c r="AQ410" s="67">
        <v>0</v>
      </c>
      <c r="AR410" s="67">
        <v>0</v>
      </c>
      <c r="AS410" s="67">
        <v>0</v>
      </c>
      <c r="AT410" s="67"/>
      <c r="AU410" s="67"/>
      <c r="AV410" s="67"/>
      <c r="AW410" s="67">
        <v>0</v>
      </c>
      <c r="AX410" s="67">
        <v>0</v>
      </c>
      <c r="AY410" s="67"/>
      <c r="AZ410" s="67"/>
      <c r="BA410" s="67"/>
      <c r="BB410" s="67"/>
      <c r="BC410" s="67"/>
      <c r="BD410" s="67"/>
      <c r="BE410" s="67"/>
      <c r="BG410" s="67"/>
      <c r="BH410" s="67"/>
      <c r="BI410" s="67"/>
      <c r="BJ410" s="67">
        <v>0</v>
      </c>
      <c r="BK410" s="67"/>
      <c r="BL410" s="67"/>
      <c r="BP410" s="67"/>
      <c r="BQ410" s="67">
        <v>0</v>
      </c>
      <c r="BR410" s="67"/>
      <c r="BS410" s="67"/>
      <c r="BT410" s="67">
        <v>0</v>
      </c>
      <c r="BU410" s="67">
        <v>0</v>
      </c>
      <c r="BV410" s="67"/>
      <c r="BW410" s="67"/>
      <c r="BX410" s="67">
        <v>0</v>
      </c>
      <c r="BY410" s="67">
        <v>0</v>
      </c>
      <c r="BZ410" s="67">
        <v>0</v>
      </c>
      <c r="CA410" s="67"/>
      <c r="CB410" s="67">
        <v>0</v>
      </c>
      <c r="CC410" s="67"/>
      <c r="CD410" s="67"/>
      <c r="CE410" s="67">
        <v>0</v>
      </c>
      <c r="CF410" s="67"/>
      <c r="CG410" s="67"/>
      <c r="CH410" s="67"/>
      <c r="CI410" s="67"/>
      <c r="CJ410" s="67"/>
      <c r="CK410" s="67">
        <v>0</v>
      </c>
      <c r="CL410" s="67"/>
      <c r="CM410" s="67"/>
      <c r="CN410" s="67"/>
      <c r="CO410" s="67">
        <v>0</v>
      </c>
      <c r="CP410" s="67"/>
      <c r="CQ410" s="67"/>
      <c r="CR410" s="67"/>
      <c r="CS410" s="67"/>
      <c r="CT410" s="67"/>
      <c r="CU410" s="67">
        <v>0</v>
      </c>
      <c r="CV410" s="67"/>
      <c r="CW410" s="67"/>
      <c r="CX410" s="67"/>
      <c r="CY410" s="67">
        <v>0</v>
      </c>
      <c r="CZ410" s="67"/>
      <c r="DA410" s="67"/>
      <c r="DB410" s="67"/>
      <c r="DC410" s="67"/>
      <c r="DF410" s="67"/>
      <c r="DG410" s="67">
        <v>0</v>
      </c>
      <c r="DH410" s="67">
        <v>0</v>
      </c>
      <c r="DI410" s="67">
        <v>0</v>
      </c>
      <c r="DJ410" s="67"/>
      <c r="DK410" s="67">
        <v>0</v>
      </c>
      <c r="DL410" s="67">
        <v>0</v>
      </c>
      <c r="DM410" s="67">
        <v>0</v>
      </c>
      <c r="DN410" s="67"/>
      <c r="DO410" s="67"/>
      <c r="DP410" s="67"/>
      <c r="DQ410" s="67">
        <v>0</v>
      </c>
      <c r="DR410" s="67">
        <v>0</v>
      </c>
      <c r="DS410" s="67"/>
      <c r="DT410" s="67"/>
      <c r="DU410" s="67">
        <v>0</v>
      </c>
      <c r="DV410" s="67">
        <v>0</v>
      </c>
      <c r="DW410" s="67">
        <v>0</v>
      </c>
      <c r="DX410" s="67">
        <v>0</v>
      </c>
      <c r="DY410" s="67"/>
      <c r="DZ410" s="67">
        <v>0</v>
      </c>
      <c r="EA410" s="67"/>
      <c r="EB410" s="67">
        <v>0</v>
      </c>
      <c r="EC410" s="67"/>
      <c r="ED410" s="67">
        <v>0</v>
      </c>
      <c r="EE410" s="67"/>
      <c r="EF410" s="67">
        <v>0</v>
      </c>
      <c r="EG410" s="67"/>
      <c r="EH410" s="67"/>
      <c r="EI410" s="67"/>
      <c r="EJ410" s="67"/>
      <c r="EK410" s="67"/>
      <c r="EL410" s="67"/>
      <c r="EM410" s="67"/>
      <c r="EN410" s="67"/>
      <c r="EO410" s="67"/>
      <c r="EP410" s="67">
        <v>0</v>
      </c>
      <c r="EQ410" s="67">
        <v>0</v>
      </c>
      <c r="ER410" s="67">
        <v>0</v>
      </c>
      <c r="ES410" s="67"/>
      <c r="ET410">
        <v>0</v>
      </c>
      <c r="EX410" s="67"/>
      <c r="EY410" s="67"/>
      <c r="EZ410" s="67"/>
      <c r="FA410" s="67">
        <v>760</v>
      </c>
      <c r="FB410" s="67">
        <v>0</v>
      </c>
      <c r="FC410" s="67"/>
      <c r="FD410" s="67"/>
      <c r="FE410" s="67"/>
      <c r="FF410" s="67"/>
      <c r="FG410" s="67"/>
      <c r="FH410" s="67"/>
      <c r="FI410" s="67" t="s">
        <v>1734</v>
      </c>
    </row>
    <row r="411" spans="2:165" ht="24" x14ac:dyDescent="0.2">
      <c r="B411" s="67" t="s">
        <v>1088</v>
      </c>
      <c r="C411" s="67"/>
      <c r="D411" s="67" t="s">
        <v>1089</v>
      </c>
      <c r="E411" s="67" t="s">
        <v>13</v>
      </c>
      <c r="F411" s="67"/>
      <c r="G411" s="67" t="s">
        <v>694</v>
      </c>
      <c r="H411" s="67"/>
      <c r="I411" s="67" t="s">
        <v>41</v>
      </c>
      <c r="J411" s="67"/>
      <c r="K411" s="67"/>
      <c r="L411" s="67" t="s">
        <v>751</v>
      </c>
      <c r="M411" s="67" t="s">
        <v>752</v>
      </c>
      <c r="N411" s="67"/>
      <c r="O411" s="67" t="s">
        <v>1599</v>
      </c>
      <c r="P411" s="67"/>
      <c r="Q411" s="67">
        <v>300</v>
      </c>
      <c r="R411" s="67">
        <v>0</v>
      </c>
      <c r="S411" s="67">
        <v>0</v>
      </c>
      <c r="T411" s="67">
        <v>300</v>
      </c>
      <c r="U411" s="67">
        <v>0</v>
      </c>
      <c r="V411" s="67">
        <v>0</v>
      </c>
      <c r="W411" s="67">
        <v>0</v>
      </c>
      <c r="X411" s="67">
        <v>0</v>
      </c>
      <c r="Y411" s="67">
        <v>0</v>
      </c>
      <c r="Z411" s="67">
        <v>0</v>
      </c>
      <c r="AA411" s="67">
        <v>0</v>
      </c>
      <c r="AB411" s="67">
        <v>0</v>
      </c>
      <c r="AC411" s="67">
        <v>0</v>
      </c>
      <c r="AD411" s="67">
        <v>0</v>
      </c>
      <c r="AE411" s="67">
        <v>0</v>
      </c>
      <c r="AF411" s="67">
        <v>0</v>
      </c>
      <c r="AG411" s="67">
        <v>0</v>
      </c>
      <c r="AH411" s="67">
        <v>0</v>
      </c>
      <c r="AI411" s="67">
        <v>0</v>
      </c>
      <c r="AJ411" s="67">
        <v>0</v>
      </c>
      <c r="AK411" s="67">
        <v>0</v>
      </c>
      <c r="AL411" s="67">
        <v>0</v>
      </c>
      <c r="AM411" s="67">
        <v>0</v>
      </c>
      <c r="AN411" s="67">
        <v>0</v>
      </c>
      <c r="AO411" s="67">
        <v>0</v>
      </c>
      <c r="AP411" s="67">
        <v>0</v>
      </c>
      <c r="AQ411" s="67">
        <v>0</v>
      </c>
      <c r="AR411" s="67">
        <v>0</v>
      </c>
      <c r="AS411" s="67">
        <v>0</v>
      </c>
      <c r="AT411" s="67"/>
      <c r="AU411" s="67"/>
      <c r="AV411" s="67"/>
      <c r="AW411" s="67">
        <v>0</v>
      </c>
      <c r="AX411" s="67">
        <v>0</v>
      </c>
      <c r="AY411" s="67"/>
      <c r="AZ411" s="67"/>
      <c r="BA411" s="67"/>
      <c r="BB411" s="67"/>
      <c r="BC411" s="67"/>
      <c r="BD411" s="67"/>
      <c r="BE411" s="67"/>
      <c r="BG411" s="67"/>
      <c r="BH411" s="67"/>
      <c r="BI411" s="67"/>
      <c r="BJ411" s="67">
        <v>0</v>
      </c>
      <c r="BK411" s="67"/>
      <c r="BL411" s="67"/>
      <c r="BP411" s="67"/>
      <c r="BQ411" s="67">
        <v>0</v>
      </c>
      <c r="BR411" s="67"/>
      <c r="BS411" s="67"/>
      <c r="BT411" s="67">
        <v>0</v>
      </c>
      <c r="BU411" s="67">
        <v>0</v>
      </c>
      <c r="BV411" s="67"/>
      <c r="BW411" s="67"/>
      <c r="BX411" s="67">
        <v>0</v>
      </c>
      <c r="BY411" s="67">
        <v>0</v>
      </c>
      <c r="BZ411" s="67">
        <v>0</v>
      </c>
      <c r="CA411" s="67"/>
      <c r="CB411" s="67">
        <v>0</v>
      </c>
      <c r="CC411" s="67"/>
      <c r="CD411" s="67"/>
      <c r="CE411" s="67">
        <v>0</v>
      </c>
      <c r="CF411" s="67"/>
      <c r="CG411" s="67"/>
      <c r="CH411" s="67"/>
      <c r="CI411" s="67"/>
      <c r="CJ411" s="67"/>
      <c r="CK411" s="67">
        <v>0</v>
      </c>
      <c r="CL411" s="67"/>
      <c r="CM411" s="67"/>
      <c r="CN411" s="67"/>
      <c r="CO411" s="67">
        <v>0</v>
      </c>
      <c r="CP411" s="67"/>
      <c r="CQ411" s="67"/>
      <c r="CR411" s="67"/>
      <c r="CS411" s="67"/>
      <c r="CT411" s="67"/>
      <c r="CU411" s="67">
        <v>0</v>
      </c>
      <c r="CV411" s="67"/>
      <c r="CW411" s="67"/>
      <c r="CX411" s="67"/>
      <c r="CY411" s="67">
        <v>0</v>
      </c>
      <c r="CZ411" s="67"/>
      <c r="DA411" s="67"/>
      <c r="DB411" s="67"/>
      <c r="DC411" s="67"/>
      <c r="DF411" s="67"/>
      <c r="DG411" s="67">
        <v>22.5</v>
      </c>
      <c r="DH411" s="67">
        <v>22.5</v>
      </c>
      <c r="DI411" s="67">
        <v>0</v>
      </c>
      <c r="DJ411" s="67"/>
      <c r="DK411" s="67">
        <v>0</v>
      </c>
      <c r="DL411" s="67">
        <v>0</v>
      </c>
      <c r="DM411" s="67">
        <v>0</v>
      </c>
      <c r="DN411" s="67"/>
      <c r="DO411" s="67"/>
      <c r="DP411" s="67"/>
      <c r="DQ411" s="67">
        <v>0</v>
      </c>
      <c r="DR411" s="67">
        <v>0</v>
      </c>
      <c r="DS411" s="67"/>
      <c r="DT411" s="67"/>
      <c r="DU411" s="67">
        <v>0</v>
      </c>
      <c r="DV411" s="67">
        <v>0</v>
      </c>
      <c r="DW411" s="67">
        <v>0</v>
      </c>
      <c r="DX411" s="67">
        <v>0</v>
      </c>
      <c r="DY411" s="67"/>
      <c r="DZ411" s="67">
        <v>0</v>
      </c>
      <c r="EA411" s="67"/>
      <c r="EB411" s="67">
        <v>0</v>
      </c>
      <c r="EC411" s="67"/>
      <c r="ED411" s="67">
        <v>0</v>
      </c>
      <c r="EE411" s="67"/>
      <c r="EF411" s="67">
        <v>0</v>
      </c>
      <c r="EG411" s="67"/>
      <c r="EH411" s="67"/>
      <c r="EI411" s="67"/>
      <c r="EJ411" s="67"/>
      <c r="EK411" s="67"/>
      <c r="EL411" s="67"/>
      <c r="EM411" s="67"/>
      <c r="EN411" s="67"/>
      <c r="EO411" s="67"/>
      <c r="EP411" s="67">
        <v>0</v>
      </c>
      <c r="EQ411" s="67">
        <v>0</v>
      </c>
      <c r="ER411" s="67">
        <v>0</v>
      </c>
      <c r="ES411" s="67"/>
      <c r="ET411">
        <v>0</v>
      </c>
      <c r="EX411" s="67"/>
      <c r="EY411" s="67"/>
      <c r="EZ411" s="67"/>
      <c r="FA411" s="67">
        <v>322.5</v>
      </c>
      <c r="FB411" s="67">
        <v>0</v>
      </c>
      <c r="FC411" s="67"/>
      <c r="FD411" s="67"/>
      <c r="FE411" s="67"/>
      <c r="FF411" s="67"/>
      <c r="FG411" s="67"/>
      <c r="FH411" s="67"/>
      <c r="FI411" s="67" t="s">
        <v>1734</v>
      </c>
    </row>
    <row r="412" spans="2:165" ht="24" x14ac:dyDescent="0.2">
      <c r="B412" s="67" t="s">
        <v>1090</v>
      </c>
      <c r="C412" s="67"/>
      <c r="D412" s="67" t="s">
        <v>1091</v>
      </c>
      <c r="E412" s="67" t="s">
        <v>13</v>
      </c>
      <c r="F412" s="67" t="s">
        <v>766</v>
      </c>
      <c r="G412" s="67" t="s">
        <v>694</v>
      </c>
      <c r="H412" s="67"/>
      <c r="I412" s="67" t="s">
        <v>41</v>
      </c>
      <c r="J412" s="67"/>
      <c r="K412" s="67"/>
      <c r="L412" s="67" t="s">
        <v>767</v>
      </c>
      <c r="M412" s="67" t="s">
        <v>752</v>
      </c>
      <c r="N412" s="67"/>
      <c r="O412" s="67" t="s">
        <v>1605</v>
      </c>
      <c r="P412" s="67"/>
      <c r="Q412" s="67">
        <v>0</v>
      </c>
      <c r="R412" s="67">
        <v>0</v>
      </c>
      <c r="S412" s="67">
        <v>0</v>
      </c>
      <c r="T412" s="67">
        <v>0</v>
      </c>
      <c r="U412" s="67">
        <v>0</v>
      </c>
      <c r="V412" s="67">
        <v>0</v>
      </c>
      <c r="W412" s="67">
        <v>0</v>
      </c>
      <c r="X412" s="67">
        <v>0</v>
      </c>
      <c r="Y412" s="67">
        <v>0</v>
      </c>
      <c r="Z412" s="67">
        <v>0</v>
      </c>
      <c r="AA412" s="67">
        <v>0</v>
      </c>
      <c r="AB412" s="67">
        <v>0</v>
      </c>
      <c r="AC412" s="67">
        <v>0</v>
      </c>
      <c r="AD412" s="67">
        <v>0</v>
      </c>
      <c r="AE412" s="67">
        <v>0</v>
      </c>
      <c r="AF412" s="67">
        <v>0</v>
      </c>
      <c r="AG412" s="67">
        <v>0</v>
      </c>
      <c r="AH412" s="67">
        <v>0</v>
      </c>
      <c r="AI412" s="67">
        <v>0</v>
      </c>
      <c r="AJ412" s="67">
        <v>0</v>
      </c>
      <c r="AK412" s="67">
        <v>0</v>
      </c>
      <c r="AL412" s="67">
        <v>0</v>
      </c>
      <c r="AM412" s="67">
        <v>0</v>
      </c>
      <c r="AN412" s="67">
        <v>0</v>
      </c>
      <c r="AO412" s="67">
        <v>0</v>
      </c>
      <c r="AP412" s="67">
        <v>0</v>
      </c>
      <c r="AQ412" s="67">
        <v>0</v>
      </c>
      <c r="AR412" s="67">
        <v>0</v>
      </c>
      <c r="AS412" s="67">
        <v>0</v>
      </c>
      <c r="AT412" s="67"/>
      <c r="AU412" s="67"/>
      <c r="AV412" s="67"/>
      <c r="AW412" s="67">
        <v>0</v>
      </c>
      <c r="AX412" s="67">
        <v>0</v>
      </c>
      <c r="AY412" s="67"/>
      <c r="AZ412" s="67"/>
      <c r="BA412" s="67"/>
      <c r="BB412" s="67"/>
      <c r="BC412" s="67"/>
      <c r="BD412" s="67"/>
      <c r="BE412" s="67"/>
      <c r="BG412" s="67"/>
      <c r="BH412" s="67"/>
      <c r="BI412" s="67"/>
      <c r="BJ412" s="67">
        <v>0</v>
      </c>
      <c r="BK412" s="67"/>
      <c r="BL412" s="67"/>
      <c r="BP412" s="67"/>
      <c r="BQ412" s="67">
        <v>0</v>
      </c>
      <c r="BR412" s="67"/>
      <c r="BS412" s="67"/>
      <c r="BT412" s="67">
        <v>0</v>
      </c>
      <c r="BU412" s="67">
        <v>0</v>
      </c>
      <c r="BV412" s="67"/>
      <c r="BW412" s="67"/>
      <c r="BX412" s="67">
        <v>0</v>
      </c>
      <c r="BY412" s="67">
        <v>0</v>
      </c>
      <c r="BZ412" s="67">
        <v>0</v>
      </c>
      <c r="CA412" s="67"/>
      <c r="CB412" s="67">
        <v>0</v>
      </c>
      <c r="CC412" s="67"/>
      <c r="CD412" s="67"/>
      <c r="CE412" s="67">
        <v>0</v>
      </c>
      <c r="CF412" s="67"/>
      <c r="CG412" s="67"/>
      <c r="CH412" s="67"/>
      <c r="CI412" s="67"/>
      <c r="CJ412" s="67"/>
      <c r="CK412" s="67">
        <v>0</v>
      </c>
      <c r="CL412" s="67"/>
      <c r="CM412" s="67"/>
      <c r="CN412" s="67"/>
      <c r="CO412" s="67">
        <v>0</v>
      </c>
      <c r="CP412" s="67"/>
      <c r="CQ412" s="67"/>
      <c r="CR412" s="67"/>
      <c r="CS412" s="67"/>
      <c r="CT412" s="67"/>
      <c r="CU412" s="67">
        <v>0</v>
      </c>
      <c r="CV412" s="67"/>
      <c r="CW412" s="67"/>
      <c r="CX412" s="67"/>
      <c r="CY412" s="67">
        <v>0</v>
      </c>
      <c r="CZ412" s="67"/>
      <c r="DA412" s="67"/>
      <c r="DB412" s="67"/>
      <c r="DC412" s="67"/>
      <c r="DF412" s="67"/>
      <c r="DG412" s="67">
        <v>0</v>
      </c>
      <c r="DH412" s="67">
        <v>0</v>
      </c>
      <c r="DI412" s="67">
        <v>0</v>
      </c>
      <c r="DJ412" s="67"/>
      <c r="DK412" s="67">
        <v>0</v>
      </c>
      <c r="DL412" s="67">
        <v>0</v>
      </c>
      <c r="DM412" s="67">
        <v>0</v>
      </c>
      <c r="DN412" s="67"/>
      <c r="DO412" s="67"/>
      <c r="DP412" s="67"/>
      <c r="DQ412" s="67">
        <v>0</v>
      </c>
      <c r="DR412" s="67">
        <v>0</v>
      </c>
      <c r="DS412" s="67"/>
      <c r="DT412" s="67"/>
      <c r="DU412" s="67">
        <v>0</v>
      </c>
      <c r="DV412" s="67">
        <v>0</v>
      </c>
      <c r="DW412" s="67">
        <v>0</v>
      </c>
      <c r="DX412" s="67">
        <v>0</v>
      </c>
      <c r="DY412" s="67"/>
      <c r="DZ412" s="67">
        <v>0</v>
      </c>
      <c r="EA412" s="67"/>
      <c r="EB412" s="67">
        <v>0</v>
      </c>
      <c r="EC412" s="67"/>
      <c r="ED412" s="67">
        <v>0</v>
      </c>
      <c r="EE412" s="67"/>
      <c r="EF412" s="67">
        <v>0</v>
      </c>
      <c r="EG412" s="67"/>
      <c r="EH412" s="67"/>
      <c r="EI412" s="67"/>
      <c r="EJ412" s="67"/>
      <c r="EK412" s="67"/>
      <c r="EL412" s="67"/>
      <c r="EM412" s="67"/>
      <c r="EN412" s="67"/>
      <c r="EO412" s="67"/>
      <c r="EP412" s="67">
        <v>0</v>
      </c>
      <c r="EQ412" s="67">
        <v>0</v>
      </c>
      <c r="ER412" s="67">
        <v>0</v>
      </c>
      <c r="ES412" s="67"/>
      <c r="ET412">
        <v>0</v>
      </c>
      <c r="EX412" s="67"/>
      <c r="EY412" s="67"/>
      <c r="EZ412" s="67"/>
      <c r="FA412" s="67">
        <v>0</v>
      </c>
      <c r="FB412" s="67">
        <v>0</v>
      </c>
      <c r="FC412" s="67"/>
      <c r="FD412" s="67"/>
      <c r="FE412" s="67"/>
      <c r="FF412" s="67"/>
      <c r="FG412" s="67"/>
      <c r="FH412" s="67"/>
      <c r="FI412" s="67" t="s">
        <v>1734</v>
      </c>
    </row>
    <row r="413" spans="2:165" ht="24" x14ac:dyDescent="0.2">
      <c r="B413" s="67" t="s">
        <v>1092</v>
      </c>
      <c r="C413" s="67"/>
      <c r="D413" s="67" t="s">
        <v>1093</v>
      </c>
      <c r="E413" s="67" t="s">
        <v>13</v>
      </c>
      <c r="F413" s="67"/>
      <c r="G413" s="67" t="s">
        <v>694</v>
      </c>
      <c r="H413" s="67"/>
      <c r="I413" s="67" t="s">
        <v>41</v>
      </c>
      <c r="J413" s="67"/>
      <c r="K413" s="67"/>
      <c r="L413" s="67" t="s">
        <v>751</v>
      </c>
      <c r="M413" s="67" t="s">
        <v>752</v>
      </c>
      <c r="N413" s="67"/>
      <c r="O413" s="67" t="s">
        <v>1605</v>
      </c>
      <c r="P413" s="67"/>
      <c r="Q413" s="67">
        <v>0</v>
      </c>
      <c r="R413" s="67">
        <v>0</v>
      </c>
      <c r="S413" s="67">
        <v>0</v>
      </c>
      <c r="T413" s="67">
        <v>0</v>
      </c>
      <c r="U413" s="67">
        <v>0</v>
      </c>
      <c r="V413" s="67">
        <v>0</v>
      </c>
      <c r="W413" s="67">
        <v>0</v>
      </c>
      <c r="X413" s="67">
        <v>0</v>
      </c>
      <c r="Y413" s="67">
        <v>0</v>
      </c>
      <c r="Z413" s="67">
        <v>0</v>
      </c>
      <c r="AA413" s="67">
        <v>0</v>
      </c>
      <c r="AB413" s="67">
        <v>0</v>
      </c>
      <c r="AC413" s="67">
        <v>0</v>
      </c>
      <c r="AD413" s="67">
        <v>0</v>
      </c>
      <c r="AE413" s="67">
        <v>0</v>
      </c>
      <c r="AF413" s="67">
        <v>0</v>
      </c>
      <c r="AG413" s="67">
        <v>0</v>
      </c>
      <c r="AH413" s="67">
        <v>0</v>
      </c>
      <c r="AI413" s="67">
        <v>0</v>
      </c>
      <c r="AJ413" s="67">
        <v>0</v>
      </c>
      <c r="AK413" s="67">
        <v>0</v>
      </c>
      <c r="AL413" s="67">
        <v>0</v>
      </c>
      <c r="AM413" s="67">
        <v>0</v>
      </c>
      <c r="AN413" s="67">
        <v>0</v>
      </c>
      <c r="AO413" s="67">
        <v>0</v>
      </c>
      <c r="AP413" s="67">
        <v>0</v>
      </c>
      <c r="AQ413" s="67">
        <v>0</v>
      </c>
      <c r="AR413" s="67">
        <v>0</v>
      </c>
      <c r="AS413" s="67">
        <v>0</v>
      </c>
      <c r="AT413" s="67"/>
      <c r="AU413" s="67"/>
      <c r="AV413" s="67"/>
      <c r="AW413" s="67">
        <v>0</v>
      </c>
      <c r="AX413" s="67">
        <v>0</v>
      </c>
      <c r="AY413" s="67"/>
      <c r="AZ413" s="67"/>
      <c r="BA413" s="67"/>
      <c r="BB413" s="67"/>
      <c r="BC413" s="67"/>
      <c r="BD413" s="67"/>
      <c r="BE413" s="67"/>
      <c r="BG413" s="67"/>
      <c r="BH413" s="67"/>
      <c r="BI413" s="67"/>
      <c r="BJ413" s="67">
        <v>0</v>
      </c>
      <c r="BK413" s="67"/>
      <c r="BL413" s="67"/>
      <c r="BP413" s="67"/>
      <c r="BQ413" s="67">
        <v>0</v>
      </c>
      <c r="BR413" s="67"/>
      <c r="BS413" s="67"/>
      <c r="BT413" s="67">
        <v>0</v>
      </c>
      <c r="BU413" s="67">
        <v>0</v>
      </c>
      <c r="BV413" s="67"/>
      <c r="BW413" s="67"/>
      <c r="BX413" s="67">
        <v>0</v>
      </c>
      <c r="BY413" s="67">
        <v>0</v>
      </c>
      <c r="BZ413" s="67">
        <v>0</v>
      </c>
      <c r="CA413" s="67"/>
      <c r="CB413" s="67">
        <v>0</v>
      </c>
      <c r="CC413" s="67"/>
      <c r="CD413" s="67"/>
      <c r="CE413" s="67">
        <v>0</v>
      </c>
      <c r="CF413" s="67"/>
      <c r="CG413" s="67"/>
      <c r="CH413" s="67"/>
      <c r="CI413" s="67"/>
      <c r="CJ413" s="67"/>
      <c r="CK413" s="67">
        <v>0</v>
      </c>
      <c r="CL413" s="67"/>
      <c r="CM413" s="67"/>
      <c r="CN413" s="67"/>
      <c r="CO413" s="67">
        <v>0</v>
      </c>
      <c r="CP413" s="67"/>
      <c r="CQ413" s="67"/>
      <c r="CR413" s="67"/>
      <c r="CS413" s="67"/>
      <c r="CT413" s="67"/>
      <c r="CU413" s="67">
        <v>0</v>
      </c>
      <c r="CV413" s="67"/>
      <c r="CW413" s="67"/>
      <c r="CX413" s="67"/>
      <c r="CY413" s="67">
        <v>0</v>
      </c>
      <c r="CZ413" s="67"/>
      <c r="DA413" s="67"/>
      <c r="DB413" s="67"/>
      <c r="DC413" s="67"/>
      <c r="DF413" s="67"/>
      <c r="DG413" s="67">
        <v>0</v>
      </c>
      <c r="DH413" s="67">
        <v>0</v>
      </c>
      <c r="DI413" s="67">
        <v>0</v>
      </c>
      <c r="DJ413" s="67"/>
      <c r="DK413" s="67">
        <v>0</v>
      </c>
      <c r="DL413" s="67">
        <v>0</v>
      </c>
      <c r="DM413" s="67">
        <v>0</v>
      </c>
      <c r="DN413" s="67"/>
      <c r="DO413" s="67"/>
      <c r="DP413" s="67"/>
      <c r="DQ413" s="67">
        <v>0</v>
      </c>
      <c r="DR413" s="67">
        <v>0</v>
      </c>
      <c r="DS413" s="67"/>
      <c r="DT413" s="67"/>
      <c r="DU413" s="67">
        <v>0</v>
      </c>
      <c r="DV413" s="67">
        <v>0</v>
      </c>
      <c r="DW413" s="67">
        <v>0</v>
      </c>
      <c r="DX413" s="67">
        <v>0</v>
      </c>
      <c r="DY413" s="67"/>
      <c r="DZ413" s="67">
        <v>0</v>
      </c>
      <c r="EA413" s="67"/>
      <c r="EB413" s="67">
        <v>0</v>
      </c>
      <c r="EC413" s="67"/>
      <c r="ED413" s="67">
        <v>0</v>
      </c>
      <c r="EE413" s="67"/>
      <c r="EF413" s="67">
        <v>0</v>
      </c>
      <c r="EG413" s="67"/>
      <c r="EH413" s="67"/>
      <c r="EI413" s="67"/>
      <c r="EJ413" s="67"/>
      <c r="EK413" s="67"/>
      <c r="EL413" s="67"/>
      <c r="EM413" s="67"/>
      <c r="EN413" s="67"/>
      <c r="EO413" s="67"/>
      <c r="EP413" s="67">
        <v>0</v>
      </c>
      <c r="EQ413" s="67">
        <v>0</v>
      </c>
      <c r="ER413" s="67">
        <v>0</v>
      </c>
      <c r="ES413" s="67"/>
      <c r="ET413">
        <v>0</v>
      </c>
      <c r="EX413" s="67"/>
      <c r="EY413" s="67"/>
      <c r="EZ413" s="67"/>
      <c r="FA413" s="67">
        <v>0</v>
      </c>
      <c r="FB413" s="67">
        <v>0</v>
      </c>
      <c r="FC413" s="67"/>
      <c r="FD413" s="67"/>
      <c r="FE413" s="67"/>
      <c r="FF413" s="67"/>
      <c r="FG413" s="67"/>
      <c r="FH413" s="67"/>
      <c r="FI413" s="67" t="s">
        <v>1734</v>
      </c>
    </row>
    <row r="414" spans="2:165" ht="24" x14ac:dyDescent="0.2">
      <c r="B414" s="67" t="s">
        <v>1094</v>
      </c>
      <c r="C414" s="67"/>
      <c r="D414" s="67" t="s">
        <v>1095</v>
      </c>
      <c r="E414" s="67" t="s">
        <v>13</v>
      </c>
      <c r="F414" s="67"/>
      <c r="G414" s="67" t="s">
        <v>694</v>
      </c>
      <c r="H414" s="67"/>
      <c r="I414" s="67" t="s">
        <v>41</v>
      </c>
      <c r="J414" s="67"/>
      <c r="K414" s="67"/>
      <c r="L414" s="67" t="s">
        <v>751</v>
      </c>
      <c r="M414" s="67" t="s">
        <v>752</v>
      </c>
      <c r="N414" s="67"/>
      <c r="O414" s="67" t="s">
        <v>1605</v>
      </c>
      <c r="P414" s="67"/>
      <c r="Q414" s="67">
        <v>0</v>
      </c>
      <c r="R414" s="67">
        <v>0</v>
      </c>
      <c r="S414" s="67">
        <v>0</v>
      </c>
      <c r="T414" s="67">
        <v>0</v>
      </c>
      <c r="U414" s="67">
        <v>0</v>
      </c>
      <c r="V414" s="67">
        <v>0</v>
      </c>
      <c r="W414" s="67">
        <v>0</v>
      </c>
      <c r="X414" s="67">
        <v>0</v>
      </c>
      <c r="Y414" s="67">
        <v>0</v>
      </c>
      <c r="Z414" s="67">
        <v>0</v>
      </c>
      <c r="AA414" s="67">
        <v>0</v>
      </c>
      <c r="AB414" s="67">
        <v>0</v>
      </c>
      <c r="AC414" s="67">
        <v>0</v>
      </c>
      <c r="AD414" s="67">
        <v>0</v>
      </c>
      <c r="AE414" s="67">
        <v>0</v>
      </c>
      <c r="AF414" s="67">
        <v>0</v>
      </c>
      <c r="AG414" s="67">
        <v>0</v>
      </c>
      <c r="AH414" s="67">
        <v>0</v>
      </c>
      <c r="AI414" s="67">
        <v>0</v>
      </c>
      <c r="AJ414" s="67">
        <v>0</v>
      </c>
      <c r="AK414" s="67">
        <v>0</v>
      </c>
      <c r="AL414" s="67">
        <v>0</v>
      </c>
      <c r="AM414" s="67">
        <v>0</v>
      </c>
      <c r="AN414" s="67">
        <v>0</v>
      </c>
      <c r="AO414" s="67">
        <v>0</v>
      </c>
      <c r="AP414" s="67">
        <v>0</v>
      </c>
      <c r="AQ414" s="67">
        <v>0</v>
      </c>
      <c r="AR414" s="67">
        <v>0</v>
      </c>
      <c r="AS414" s="67">
        <v>0</v>
      </c>
      <c r="AT414" s="67"/>
      <c r="AU414" s="67"/>
      <c r="AV414" s="67"/>
      <c r="AW414" s="67">
        <v>0</v>
      </c>
      <c r="AX414" s="67">
        <v>0</v>
      </c>
      <c r="AY414" s="67"/>
      <c r="AZ414" s="67"/>
      <c r="BA414" s="67"/>
      <c r="BB414" s="67"/>
      <c r="BC414" s="67"/>
      <c r="BD414" s="67"/>
      <c r="BE414" s="67"/>
      <c r="BG414" s="67"/>
      <c r="BH414" s="67"/>
      <c r="BI414" s="67"/>
      <c r="BJ414" s="67">
        <v>0</v>
      </c>
      <c r="BK414" s="67"/>
      <c r="BL414" s="67"/>
      <c r="BP414" s="67"/>
      <c r="BQ414" s="67">
        <v>0</v>
      </c>
      <c r="BR414" s="67"/>
      <c r="BS414" s="67"/>
      <c r="BT414" s="67">
        <v>0</v>
      </c>
      <c r="BU414" s="67">
        <v>0</v>
      </c>
      <c r="BV414" s="67"/>
      <c r="BW414" s="67"/>
      <c r="BX414" s="67">
        <v>0</v>
      </c>
      <c r="BY414" s="67">
        <v>0</v>
      </c>
      <c r="BZ414" s="67">
        <v>0</v>
      </c>
      <c r="CA414" s="67"/>
      <c r="CB414" s="67">
        <v>0</v>
      </c>
      <c r="CC414" s="67"/>
      <c r="CD414" s="67"/>
      <c r="CE414" s="67">
        <v>0</v>
      </c>
      <c r="CF414" s="67"/>
      <c r="CG414" s="67"/>
      <c r="CH414" s="67"/>
      <c r="CI414" s="67"/>
      <c r="CJ414" s="67"/>
      <c r="CK414" s="67">
        <v>0</v>
      </c>
      <c r="CL414" s="67"/>
      <c r="CM414" s="67"/>
      <c r="CN414" s="67"/>
      <c r="CO414" s="67">
        <v>0</v>
      </c>
      <c r="CP414" s="67"/>
      <c r="CQ414" s="67"/>
      <c r="CR414" s="67"/>
      <c r="CS414" s="67"/>
      <c r="CT414" s="67"/>
      <c r="CU414" s="67">
        <v>0</v>
      </c>
      <c r="CV414" s="67"/>
      <c r="CW414" s="67"/>
      <c r="CX414" s="67"/>
      <c r="CY414" s="67">
        <v>0</v>
      </c>
      <c r="CZ414" s="67"/>
      <c r="DA414" s="67"/>
      <c r="DB414" s="67"/>
      <c r="DC414" s="67"/>
      <c r="DF414" s="67"/>
      <c r="DG414" s="67">
        <v>0</v>
      </c>
      <c r="DH414" s="67">
        <v>0</v>
      </c>
      <c r="DI414" s="67">
        <v>0</v>
      </c>
      <c r="DJ414" s="67"/>
      <c r="DK414" s="67">
        <v>0</v>
      </c>
      <c r="DL414" s="67">
        <v>0</v>
      </c>
      <c r="DM414" s="67">
        <v>0</v>
      </c>
      <c r="DN414" s="67"/>
      <c r="DO414" s="67"/>
      <c r="DP414" s="67"/>
      <c r="DQ414" s="67">
        <v>0</v>
      </c>
      <c r="DR414" s="67">
        <v>0</v>
      </c>
      <c r="DS414" s="67"/>
      <c r="DT414" s="67"/>
      <c r="DU414" s="67">
        <v>0</v>
      </c>
      <c r="DV414" s="67">
        <v>0</v>
      </c>
      <c r="DW414" s="67">
        <v>0</v>
      </c>
      <c r="DX414" s="67">
        <v>0</v>
      </c>
      <c r="DY414" s="67"/>
      <c r="DZ414" s="67">
        <v>0</v>
      </c>
      <c r="EA414" s="67"/>
      <c r="EB414" s="67">
        <v>0</v>
      </c>
      <c r="EC414" s="67"/>
      <c r="ED414" s="67">
        <v>0</v>
      </c>
      <c r="EE414" s="67"/>
      <c r="EF414" s="67">
        <v>0</v>
      </c>
      <c r="EG414" s="67"/>
      <c r="EH414" s="67"/>
      <c r="EI414" s="67"/>
      <c r="EJ414" s="67"/>
      <c r="EK414" s="67"/>
      <c r="EL414" s="67"/>
      <c r="EM414" s="67"/>
      <c r="EN414" s="67"/>
      <c r="EO414" s="67"/>
      <c r="EP414" s="67">
        <v>0</v>
      </c>
      <c r="EQ414" s="67">
        <v>0</v>
      </c>
      <c r="ER414" s="67">
        <v>0</v>
      </c>
      <c r="ES414" s="67"/>
      <c r="ET414">
        <v>0</v>
      </c>
      <c r="EX414" s="67"/>
      <c r="EY414" s="67"/>
      <c r="EZ414" s="67"/>
      <c r="FA414" s="67">
        <v>0</v>
      </c>
      <c r="FB414" s="67">
        <v>0</v>
      </c>
      <c r="FC414" s="67"/>
      <c r="FD414" s="67"/>
      <c r="FE414" s="67"/>
      <c r="FF414" s="67"/>
      <c r="FG414" s="67"/>
      <c r="FH414" s="67"/>
      <c r="FI414" s="67" t="s">
        <v>1734</v>
      </c>
    </row>
    <row r="415" spans="2:165" ht="24" x14ac:dyDescent="0.2">
      <c r="B415" s="67" t="s">
        <v>1096</v>
      </c>
      <c r="C415" s="67"/>
      <c r="D415" s="67" t="s">
        <v>1097</v>
      </c>
      <c r="E415" s="67" t="s">
        <v>13</v>
      </c>
      <c r="F415" s="67" t="s">
        <v>766</v>
      </c>
      <c r="G415" s="67" t="s">
        <v>694</v>
      </c>
      <c r="H415" s="67"/>
      <c r="I415" s="67" t="s">
        <v>41</v>
      </c>
      <c r="J415" s="67"/>
      <c r="K415" s="67"/>
      <c r="L415" s="67" t="s">
        <v>767</v>
      </c>
      <c r="M415" s="67" t="s">
        <v>752</v>
      </c>
      <c r="N415" s="67"/>
      <c r="O415" s="67" t="s">
        <v>1599</v>
      </c>
      <c r="P415" s="67"/>
      <c r="Q415" s="67">
        <v>240</v>
      </c>
      <c r="R415" s="67">
        <v>0</v>
      </c>
      <c r="S415" s="67">
        <v>0</v>
      </c>
      <c r="T415" s="67">
        <v>0</v>
      </c>
      <c r="U415" s="67">
        <v>0</v>
      </c>
      <c r="V415" s="67">
        <v>0</v>
      </c>
      <c r="W415" s="67">
        <v>0</v>
      </c>
      <c r="X415" s="67">
        <v>0</v>
      </c>
      <c r="Y415" s="67">
        <v>0</v>
      </c>
      <c r="Z415" s="67">
        <v>0</v>
      </c>
      <c r="AA415" s="67">
        <v>0</v>
      </c>
      <c r="AB415" s="67">
        <v>0</v>
      </c>
      <c r="AC415" s="67">
        <v>0</v>
      </c>
      <c r="AD415" s="67">
        <v>0</v>
      </c>
      <c r="AE415" s="67">
        <v>0</v>
      </c>
      <c r="AF415" s="67">
        <v>0</v>
      </c>
      <c r="AG415" s="67">
        <v>240</v>
      </c>
      <c r="AH415" s="67">
        <v>0</v>
      </c>
      <c r="AI415" s="67">
        <v>0</v>
      </c>
      <c r="AJ415" s="67">
        <v>0</v>
      </c>
      <c r="AK415" s="67">
        <v>0</v>
      </c>
      <c r="AL415" s="67">
        <v>0</v>
      </c>
      <c r="AM415" s="67">
        <v>0</v>
      </c>
      <c r="AN415" s="67">
        <v>0</v>
      </c>
      <c r="AO415" s="67">
        <v>0</v>
      </c>
      <c r="AP415" s="67">
        <v>0</v>
      </c>
      <c r="AQ415" s="67">
        <v>0</v>
      </c>
      <c r="AR415" s="67">
        <v>0</v>
      </c>
      <c r="AS415" s="67">
        <v>0</v>
      </c>
      <c r="AT415" s="67"/>
      <c r="AU415" s="67"/>
      <c r="AV415" s="67"/>
      <c r="AW415" s="67">
        <v>0</v>
      </c>
      <c r="AX415" s="67">
        <v>0</v>
      </c>
      <c r="AY415" s="67"/>
      <c r="AZ415" s="67"/>
      <c r="BA415" s="67"/>
      <c r="BB415" s="67"/>
      <c r="BC415" s="67"/>
      <c r="BD415" s="67"/>
      <c r="BE415" s="67"/>
      <c r="BG415" s="67"/>
      <c r="BH415" s="67"/>
      <c r="BI415" s="67"/>
      <c r="BJ415" s="67">
        <v>0</v>
      </c>
      <c r="BK415" s="67"/>
      <c r="BL415" s="67"/>
      <c r="BP415" s="67"/>
      <c r="BQ415" s="67">
        <v>0</v>
      </c>
      <c r="BR415" s="67"/>
      <c r="BS415" s="67"/>
      <c r="BT415" s="67">
        <v>0</v>
      </c>
      <c r="BU415" s="67">
        <v>0</v>
      </c>
      <c r="BV415" s="67"/>
      <c r="BW415" s="67"/>
      <c r="BX415" s="67">
        <v>0</v>
      </c>
      <c r="BY415" s="67">
        <v>0</v>
      </c>
      <c r="BZ415" s="67">
        <v>0</v>
      </c>
      <c r="CA415" s="67"/>
      <c r="CB415" s="67">
        <v>0</v>
      </c>
      <c r="CC415" s="67"/>
      <c r="CD415" s="67"/>
      <c r="CE415" s="67">
        <v>0</v>
      </c>
      <c r="CF415" s="67"/>
      <c r="CG415" s="67"/>
      <c r="CH415" s="67"/>
      <c r="CI415" s="67"/>
      <c r="CJ415" s="67"/>
      <c r="CK415" s="67">
        <v>0</v>
      </c>
      <c r="CL415" s="67"/>
      <c r="CM415" s="67"/>
      <c r="CN415" s="67"/>
      <c r="CO415" s="67">
        <v>0</v>
      </c>
      <c r="CP415" s="67"/>
      <c r="CQ415" s="67"/>
      <c r="CR415" s="67"/>
      <c r="CS415" s="67"/>
      <c r="CT415" s="67"/>
      <c r="CU415" s="67">
        <v>0</v>
      </c>
      <c r="CV415" s="67"/>
      <c r="CW415" s="67"/>
      <c r="CX415" s="67"/>
      <c r="CY415" s="67">
        <v>0</v>
      </c>
      <c r="CZ415" s="67"/>
      <c r="DA415" s="67"/>
      <c r="DB415" s="67"/>
      <c r="DC415" s="67"/>
      <c r="DF415" s="67"/>
      <c r="DG415" s="67">
        <v>384</v>
      </c>
      <c r="DH415" s="67">
        <v>384</v>
      </c>
      <c r="DI415" s="67">
        <v>0</v>
      </c>
      <c r="DJ415" s="67"/>
      <c r="DK415" s="67">
        <v>0</v>
      </c>
      <c r="DL415" s="67">
        <v>0</v>
      </c>
      <c r="DM415" s="67">
        <v>0</v>
      </c>
      <c r="DN415" s="67"/>
      <c r="DO415" s="67"/>
      <c r="DP415" s="67"/>
      <c r="DQ415" s="67">
        <v>0</v>
      </c>
      <c r="DR415" s="67">
        <v>0</v>
      </c>
      <c r="DS415" s="67"/>
      <c r="DT415" s="67"/>
      <c r="DU415" s="67">
        <v>0</v>
      </c>
      <c r="DV415" s="67">
        <v>0</v>
      </c>
      <c r="DW415" s="67">
        <v>0</v>
      </c>
      <c r="DX415" s="67">
        <v>0</v>
      </c>
      <c r="DY415" s="67"/>
      <c r="DZ415" s="67">
        <v>0</v>
      </c>
      <c r="EA415" s="67"/>
      <c r="EB415" s="67">
        <v>0</v>
      </c>
      <c r="EC415" s="67"/>
      <c r="ED415" s="67">
        <v>0</v>
      </c>
      <c r="EE415" s="67"/>
      <c r="EF415" s="67">
        <v>0</v>
      </c>
      <c r="EG415" s="67"/>
      <c r="EH415" s="67"/>
      <c r="EI415" s="67"/>
      <c r="EJ415" s="67"/>
      <c r="EK415" s="67"/>
      <c r="EL415" s="67"/>
      <c r="EM415" s="67"/>
      <c r="EN415" s="67"/>
      <c r="EO415" s="67"/>
      <c r="EP415" s="67">
        <v>0</v>
      </c>
      <c r="EQ415" s="67">
        <v>0</v>
      </c>
      <c r="ER415" s="67">
        <v>0</v>
      </c>
      <c r="ES415" s="67"/>
      <c r="ET415">
        <v>0</v>
      </c>
      <c r="EX415" s="67"/>
      <c r="EY415" s="67"/>
      <c r="EZ415" s="67"/>
      <c r="FA415" s="67">
        <v>624</v>
      </c>
      <c r="FB415" s="67">
        <v>0</v>
      </c>
      <c r="FC415" s="67"/>
      <c r="FD415" s="67"/>
      <c r="FE415" s="67"/>
      <c r="FF415" s="67"/>
      <c r="FG415" s="67"/>
      <c r="FH415" s="67"/>
      <c r="FI415" s="67" t="s">
        <v>1734</v>
      </c>
    </row>
    <row r="416" spans="2:165" ht="24" x14ac:dyDescent="0.2">
      <c r="B416" s="67" t="s">
        <v>1098</v>
      </c>
      <c r="C416" s="67"/>
      <c r="D416" s="67" t="s">
        <v>1099</v>
      </c>
      <c r="E416" s="67" t="s">
        <v>13</v>
      </c>
      <c r="F416" s="67" t="s">
        <v>766</v>
      </c>
      <c r="G416" s="67" t="s">
        <v>694</v>
      </c>
      <c r="H416" s="67"/>
      <c r="I416" s="67" t="s">
        <v>41</v>
      </c>
      <c r="J416" s="67"/>
      <c r="K416" s="67"/>
      <c r="L416" s="67" t="s">
        <v>767</v>
      </c>
      <c r="M416" s="67" t="s">
        <v>752</v>
      </c>
      <c r="N416" s="67"/>
      <c r="O416" s="67" t="s">
        <v>1605</v>
      </c>
      <c r="P416" s="67"/>
      <c r="Q416" s="67">
        <v>0</v>
      </c>
      <c r="R416" s="67">
        <v>0</v>
      </c>
      <c r="S416" s="67">
        <v>0</v>
      </c>
      <c r="T416" s="67">
        <v>0</v>
      </c>
      <c r="U416" s="67">
        <v>0</v>
      </c>
      <c r="V416" s="67">
        <v>0</v>
      </c>
      <c r="W416" s="67">
        <v>0</v>
      </c>
      <c r="X416" s="67">
        <v>0</v>
      </c>
      <c r="Y416" s="67">
        <v>0</v>
      </c>
      <c r="Z416" s="67">
        <v>0</v>
      </c>
      <c r="AA416" s="67">
        <v>0</v>
      </c>
      <c r="AB416" s="67">
        <v>0</v>
      </c>
      <c r="AC416" s="67">
        <v>0</v>
      </c>
      <c r="AD416" s="67">
        <v>0</v>
      </c>
      <c r="AE416" s="67">
        <v>0</v>
      </c>
      <c r="AF416" s="67">
        <v>0</v>
      </c>
      <c r="AG416" s="67">
        <v>0</v>
      </c>
      <c r="AH416" s="67">
        <v>0</v>
      </c>
      <c r="AI416" s="67">
        <v>0</v>
      </c>
      <c r="AJ416" s="67">
        <v>0</v>
      </c>
      <c r="AK416" s="67">
        <v>0</v>
      </c>
      <c r="AL416" s="67">
        <v>0</v>
      </c>
      <c r="AM416" s="67">
        <v>0</v>
      </c>
      <c r="AN416" s="67">
        <v>0</v>
      </c>
      <c r="AO416" s="67">
        <v>0</v>
      </c>
      <c r="AP416" s="67">
        <v>0</v>
      </c>
      <c r="AQ416" s="67">
        <v>0</v>
      </c>
      <c r="AR416" s="67">
        <v>0</v>
      </c>
      <c r="AS416" s="67">
        <v>0</v>
      </c>
      <c r="AT416" s="67"/>
      <c r="AU416" s="67"/>
      <c r="AV416" s="67"/>
      <c r="AW416" s="67">
        <v>0</v>
      </c>
      <c r="AX416" s="67">
        <v>0</v>
      </c>
      <c r="AY416" s="67"/>
      <c r="AZ416" s="67"/>
      <c r="BA416" s="67"/>
      <c r="BB416" s="67"/>
      <c r="BC416" s="67"/>
      <c r="BD416" s="67"/>
      <c r="BE416" s="67"/>
      <c r="BG416" s="67"/>
      <c r="BH416" s="67"/>
      <c r="BI416" s="67"/>
      <c r="BJ416" s="67">
        <v>0</v>
      </c>
      <c r="BK416" s="67"/>
      <c r="BL416" s="67"/>
      <c r="BP416" s="67"/>
      <c r="BQ416" s="67">
        <v>0</v>
      </c>
      <c r="BR416" s="67"/>
      <c r="BS416" s="67"/>
      <c r="BT416" s="67">
        <v>0</v>
      </c>
      <c r="BU416" s="67">
        <v>0</v>
      </c>
      <c r="BV416" s="67"/>
      <c r="BW416" s="67"/>
      <c r="BX416" s="67">
        <v>0</v>
      </c>
      <c r="BY416" s="67">
        <v>0</v>
      </c>
      <c r="BZ416" s="67">
        <v>0</v>
      </c>
      <c r="CA416" s="67"/>
      <c r="CB416" s="67">
        <v>0</v>
      </c>
      <c r="CC416" s="67"/>
      <c r="CD416" s="67"/>
      <c r="CE416" s="67">
        <v>0</v>
      </c>
      <c r="CF416" s="67"/>
      <c r="CG416" s="67"/>
      <c r="CH416" s="67"/>
      <c r="CI416" s="67"/>
      <c r="CJ416" s="67"/>
      <c r="CK416" s="67">
        <v>0</v>
      </c>
      <c r="CL416" s="67"/>
      <c r="CM416" s="67"/>
      <c r="CN416" s="67"/>
      <c r="CO416" s="67">
        <v>0</v>
      </c>
      <c r="CP416" s="67"/>
      <c r="CQ416" s="67"/>
      <c r="CR416" s="67"/>
      <c r="CS416" s="67"/>
      <c r="CT416" s="67"/>
      <c r="CU416" s="67">
        <v>0</v>
      </c>
      <c r="CV416" s="67"/>
      <c r="CW416" s="67"/>
      <c r="CX416" s="67"/>
      <c r="CY416" s="67">
        <v>0</v>
      </c>
      <c r="CZ416" s="67"/>
      <c r="DA416" s="67"/>
      <c r="DB416" s="67"/>
      <c r="DC416" s="67"/>
      <c r="DF416" s="67"/>
      <c r="DG416" s="67">
        <v>0</v>
      </c>
      <c r="DH416" s="67">
        <v>0</v>
      </c>
      <c r="DI416" s="67">
        <v>0</v>
      </c>
      <c r="DJ416" s="67"/>
      <c r="DK416" s="67">
        <v>0</v>
      </c>
      <c r="DL416" s="67">
        <v>0</v>
      </c>
      <c r="DM416" s="67">
        <v>0</v>
      </c>
      <c r="DN416" s="67"/>
      <c r="DO416" s="67"/>
      <c r="DP416" s="67"/>
      <c r="DQ416" s="67">
        <v>0</v>
      </c>
      <c r="DR416" s="67">
        <v>0</v>
      </c>
      <c r="DS416" s="67"/>
      <c r="DT416" s="67"/>
      <c r="DU416" s="67">
        <v>0</v>
      </c>
      <c r="DV416" s="67">
        <v>0</v>
      </c>
      <c r="DW416" s="67">
        <v>0</v>
      </c>
      <c r="DX416" s="67">
        <v>0</v>
      </c>
      <c r="DY416" s="67"/>
      <c r="DZ416" s="67">
        <v>0</v>
      </c>
      <c r="EA416" s="67"/>
      <c r="EB416" s="67">
        <v>0</v>
      </c>
      <c r="EC416" s="67"/>
      <c r="ED416" s="67">
        <v>0</v>
      </c>
      <c r="EE416" s="67"/>
      <c r="EF416" s="67">
        <v>0</v>
      </c>
      <c r="EG416" s="67"/>
      <c r="EH416" s="67"/>
      <c r="EI416" s="67"/>
      <c r="EJ416" s="67"/>
      <c r="EK416" s="67"/>
      <c r="EL416" s="67"/>
      <c r="EM416" s="67"/>
      <c r="EN416" s="67"/>
      <c r="EO416" s="67"/>
      <c r="EP416" s="67">
        <v>0</v>
      </c>
      <c r="EQ416" s="67">
        <v>0</v>
      </c>
      <c r="ER416" s="67">
        <v>0</v>
      </c>
      <c r="ES416" s="67"/>
      <c r="ET416">
        <v>0</v>
      </c>
      <c r="EX416" s="67"/>
      <c r="EY416" s="67"/>
      <c r="EZ416" s="67"/>
      <c r="FA416" s="67">
        <v>0</v>
      </c>
      <c r="FB416" s="67">
        <v>0</v>
      </c>
      <c r="FC416" s="67"/>
      <c r="FD416" s="67"/>
      <c r="FE416" s="67"/>
      <c r="FF416" s="67"/>
      <c r="FG416" s="67"/>
      <c r="FH416" s="67"/>
      <c r="FI416" s="67" t="s">
        <v>1734</v>
      </c>
    </row>
    <row r="417" spans="2:165" ht="24" x14ac:dyDescent="0.2">
      <c r="B417" s="67" t="s">
        <v>1100</v>
      </c>
      <c r="C417" s="67"/>
      <c r="D417" s="67" t="s">
        <v>1101</v>
      </c>
      <c r="E417" s="67" t="s">
        <v>13</v>
      </c>
      <c r="F417" s="67" t="s">
        <v>766</v>
      </c>
      <c r="G417" s="67" t="s">
        <v>694</v>
      </c>
      <c r="H417" s="67"/>
      <c r="I417" s="67" t="s">
        <v>41</v>
      </c>
      <c r="J417" s="67"/>
      <c r="K417" s="67"/>
      <c r="L417" s="67" t="s">
        <v>767</v>
      </c>
      <c r="M417" s="67" t="s">
        <v>752</v>
      </c>
      <c r="N417" s="67"/>
      <c r="O417" s="67" t="s">
        <v>1605</v>
      </c>
      <c r="P417" s="67"/>
      <c r="Q417" s="67">
        <v>0</v>
      </c>
      <c r="R417" s="67">
        <v>0</v>
      </c>
      <c r="S417" s="67">
        <v>0</v>
      </c>
      <c r="T417" s="67">
        <v>0</v>
      </c>
      <c r="U417" s="67">
        <v>0</v>
      </c>
      <c r="V417" s="67">
        <v>0</v>
      </c>
      <c r="W417" s="67">
        <v>0</v>
      </c>
      <c r="X417" s="67">
        <v>0</v>
      </c>
      <c r="Y417" s="67">
        <v>0</v>
      </c>
      <c r="Z417" s="67">
        <v>0</v>
      </c>
      <c r="AA417" s="67">
        <v>0</v>
      </c>
      <c r="AB417" s="67">
        <v>0</v>
      </c>
      <c r="AC417" s="67">
        <v>0</v>
      </c>
      <c r="AD417" s="67">
        <v>0</v>
      </c>
      <c r="AE417" s="67">
        <v>0</v>
      </c>
      <c r="AF417" s="67">
        <v>0</v>
      </c>
      <c r="AG417" s="67">
        <v>0</v>
      </c>
      <c r="AH417" s="67">
        <v>0</v>
      </c>
      <c r="AI417" s="67">
        <v>0</v>
      </c>
      <c r="AJ417" s="67">
        <v>0</v>
      </c>
      <c r="AK417" s="67">
        <v>0</v>
      </c>
      <c r="AL417" s="67">
        <v>0</v>
      </c>
      <c r="AM417" s="67">
        <v>0</v>
      </c>
      <c r="AN417" s="67">
        <v>0</v>
      </c>
      <c r="AO417" s="67">
        <v>0</v>
      </c>
      <c r="AP417" s="67">
        <v>0</v>
      </c>
      <c r="AQ417" s="67">
        <v>0</v>
      </c>
      <c r="AR417" s="67">
        <v>0</v>
      </c>
      <c r="AS417" s="67">
        <v>0</v>
      </c>
      <c r="AT417" s="67"/>
      <c r="AU417" s="67"/>
      <c r="AV417" s="67"/>
      <c r="AW417" s="67">
        <v>0</v>
      </c>
      <c r="AX417" s="67">
        <v>0</v>
      </c>
      <c r="AY417" s="67"/>
      <c r="AZ417" s="67"/>
      <c r="BA417" s="67"/>
      <c r="BB417" s="67"/>
      <c r="BC417" s="67"/>
      <c r="BD417" s="67"/>
      <c r="BE417" s="67"/>
      <c r="BG417" s="67"/>
      <c r="BH417" s="67"/>
      <c r="BI417" s="67"/>
      <c r="BJ417" s="67">
        <v>0</v>
      </c>
      <c r="BK417" s="67"/>
      <c r="BL417" s="67"/>
      <c r="BP417" s="67"/>
      <c r="BQ417" s="67">
        <v>0</v>
      </c>
      <c r="BR417" s="67"/>
      <c r="BS417" s="67"/>
      <c r="BT417" s="67">
        <v>0</v>
      </c>
      <c r="BU417" s="67">
        <v>0</v>
      </c>
      <c r="BV417" s="67"/>
      <c r="BW417" s="67"/>
      <c r="BX417" s="67">
        <v>0</v>
      </c>
      <c r="BY417" s="67">
        <v>0</v>
      </c>
      <c r="BZ417" s="67">
        <v>0</v>
      </c>
      <c r="CA417" s="67"/>
      <c r="CB417" s="67">
        <v>0</v>
      </c>
      <c r="CC417" s="67"/>
      <c r="CD417" s="67"/>
      <c r="CE417" s="67">
        <v>0</v>
      </c>
      <c r="CF417" s="67"/>
      <c r="CG417" s="67"/>
      <c r="CH417" s="67"/>
      <c r="CI417" s="67"/>
      <c r="CJ417" s="67"/>
      <c r="CK417" s="67">
        <v>0</v>
      </c>
      <c r="CL417" s="67"/>
      <c r="CM417" s="67"/>
      <c r="CN417" s="67"/>
      <c r="CO417" s="67">
        <v>0</v>
      </c>
      <c r="CP417" s="67"/>
      <c r="CQ417" s="67"/>
      <c r="CR417" s="67"/>
      <c r="CS417" s="67"/>
      <c r="CT417" s="67"/>
      <c r="CU417" s="67">
        <v>0</v>
      </c>
      <c r="CV417" s="67"/>
      <c r="CW417" s="67"/>
      <c r="CX417" s="67"/>
      <c r="CY417" s="67">
        <v>0</v>
      </c>
      <c r="CZ417" s="67"/>
      <c r="DA417" s="67"/>
      <c r="DB417" s="67"/>
      <c r="DC417" s="67"/>
      <c r="DF417" s="67"/>
      <c r="DG417" s="67">
        <v>0</v>
      </c>
      <c r="DH417" s="67">
        <v>0</v>
      </c>
      <c r="DI417" s="67">
        <v>0</v>
      </c>
      <c r="DJ417" s="67"/>
      <c r="DK417" s="67">
        <v>0</v>
      </c>
      <c r="DL417" s="67">
        <v>0</v>
      </c>
      <c r="DM417" s="67">
        <v>0</v>
      </c>
      <c r="DN417" s="67"/>
      <c r="DO417" s="67"/>
      <c r="DP417" s="67"/>
      <c r="DQ417" s="67">
        <v>0</v>
      </c>
      <c r="DR417" s="67">
        <v>0</v>
      </c>
      <c r="DS417" s="67"/>
      <c r="DT417" s="67"/>
      <c r="DU417" s="67">
        <v>0</v>
      </c>
      <c r="DV417" s="67">
        <v>0</v>
      </c>
      <c r="DW417" s="67">
        <v>0</v>
      </c>
      <c r="DX417" s="67">
        <v>0</v>
      </c>
      <c r="DY417" s="67"/>
      <c r="DZ417" s="67">
        <v>0</v>
      </c>
      <c r="EA417" s="67"/>
      <c r="EB417" s="67">
        <v>0</v>
      </c>
      <c r="EC417" s="67"/>
      <c r="ED417" s="67">
        <v>0</v>
      </c>
      <c r="EE417" s="67"/>
      <c r="EF417" s="67">
        <v>0</v>
      </c>
      <c r="EG417" s="67"/>
      <c r="EH417" s="67"/>
      <c r="EI417" s="67"/>
      <c r="EJ417" s="67"/>
      <c r="EK417" s="67"/>
      <c r="EL417" s="67"/>
      <c r="EM417" s="67"/>
      <c r="EN417" s="67"/>
      <c r="EO417" s="67"/>
      <c r="EP417" s="67">
        <v>0</v>
      </c>
      <c r="EQ417" s="67">
        <v>0</v>
      </c>
      <c r="ER417" s="67">
        <v>0</v>
      </c>
      <c r="ES417" s="67"/>
      <c r="ET417">
        <v>0</v>
      </c>
      <c r="EX417" s="67"/>
      <c r="EY417" s="67"/>
      <c r="EZ417" s="67"/>
      <c r="FA417" s="67">
        <v>0</v>
      </c>
      <c r="FB417" s="67">
        <v>0</v>
      </c>
      <c r="FC417" s="67"/>
      <c r="FD417" s="67"/>
      <c r="FE417" s="67"/>
      <c r="FF417" s="67"/>
      <c r="FG417" s="67"/>
      <c r="FH417" s="67"/>
      <c r="FI417" s="67" t="s">
        <v>1734</v>
      </c>
    </row>
    <row r="418" spans="2:165" ht="24" x14ac:dyDescent="0.2">
      <c r="B418" s="67" t="s">
        <v>1102</v>
      </c>
      <c r="C418" s="67"/>
      <c r="D418" s="67" t="s">
        <v>1103</v>
      </c>
      <c r="E418" s="67" t="s">
        <v>889</v>
      </c>
      <c r="F418" s="67" t="s">
        <v>766</v>
      </c>
      <c r="G418" s="67" t="s">
        <v>694</v>
      </c>
      <c r="H418" s="67"/>
      <c r="I418" s="67" t="s">
        <v>41</v>
      </c>
      <c r="J418" s="67"/>
      <c r="K418" s="67"/>
      <c r="L418" s="67" t="s">
        <v>767</v>
      </c>
      <c r="M418" s="67" t="s">
        <v>752</v>
      </c>
      <c r="N418" s="67"/>
      <c r="O418" s="67" t="s">
        <v>1599</v>
      </c>
      <c r="P418" s="67"/>
      <c r="Q418" s="67">
        <v>660</v>
      </c>
      <c r="R418" s="67">
        <v>0</v>
      </c>
      <c r="S418" s="67">
        <v>0</v>
      </c>
      <c r="T418" s="67">
        <v>0</v>
      </c>
      <c r="U418" s="67">
        <v>0</v>
      </c>
      <c r="V418" s="67">
        <v>0</v>
      </c>
      <c r="W418" s="67">
        <v>0</v>
      </c>
      <c r="X418" s="67">
        <v>0</v>
      </c>
      <c r="Y418" s="67">
        <v>0</v>
      </c>
      <c r="Z418" s="67">
        <v>0</v>
      </c>
      <c r="AA418" s="67">
        <v>0</v>
      </c>
      <c r="AB418" s="67">
        <v>0</v>
      </c>
      <c r="AC418" s="67">
        <v>0</v>
      </c>
      <c r="AD418" s="67">
        <v>0</v>
      </c>
      <c r="AE418" s="67">
        <v>0</v>
      </c>
      <c r="AF418" s="67">
        <v>0</v>
      </c>
      <c r="AG418" s="67">
        <v>660</v>
      </c>
      <c r="AH418" s="67">
        <v>0</v>
      </c>
      <c r="AI418" s="67">
        <v>0</v>
      </c>
      <c r="AJ418" s="67">
        <v>0</v>
      </c>
      <c r="AK418" s="67">
        <v>0</v>
      </c>
      <c r="AL418" s="67">
        <v>0</v>
      </c>
      <c r="AM418" s="67">
        <v>0</v>
      </c>
      <c r="AN418" s="67">
        <v>0</v>
      </c>
      <c r="AO418" s="67">
        <v>0</v>
      </c>
      <c r="AP418" s="67">
        <v>0</v>
      </c>
      <c r="AQ418" s="67">
        <v>0</v>
      </c>
      <c r="AR418" s="67">
        <v>0</v>
      </c>
      <c r="AS418" s="67">
        <v>0</v>
      </c>
      <c r="AT418" s="67"/>
      <c r="AU418" s="67"/>
      <c r="AV418" s="67"/>
      <c r="AW418" s="67">
        <v>0</v>
      </c>
      <c r="AX418" s="67">
        <v>0</v>
      </c>
      <c r="AY418" s="67"/>
      <c r="AZ418" s="67"/>
      <c r="BA418" s="67"/>
      <c r="BB418" s="67"/>
      <c r="BC418" s="67"/>
      <c r="BD418" s="67"/>
      <c r="BE418" s="67"/>
      <c r="BG418" s="67"/>
      <c r="BH418" s="67"/>
      <c r="BI418" s="67"/>
      <c r="BJ418" s="67">
        <v>0</v>
      </c>
      <c r="BK418" s="67"/>
      <c r="BL418" s="67"/>
      <c r="BP418" s="67"/>
      <c r="BQ418" s="67">
        <v>0</v>
      </c>
      <c r="BR418" s="67"/>
      <c r="BS418" s="67"/>
      <c r="BT418" s="67">
        <v>0</v>
      </c>
      <c r="BU418" s="67">
        <v>0</v>
      </c>
      <c r="BV418" s="67"/>
      <c r="BW418" s="67"/>
      <c r="BX418" s="67">
        <v>0</v>
      </c>
      <c r="BY418" s="67">
        <v>0</v>
      </c>
      <c r="BZ418" s="67">
        <v>0</v>
      </c>
      <c r="CA418" s="67"/>
      <c r="CB418" s="67">
        <v>0</v>
      </c>
      <c r="CC418" s="67"/>
      <c r="CD418" s="67"/>
      <c r="CE418" s="67">
        <v>0</v>
      </c>
      <c r="CF418" s="67"/>
      <c r="CG418" s="67"/>
      <c r="CH418" s="67"/>
      <c r="CI418" s="67"/>
      <c r="CJ418" s="67"/>
      <c r="CK418" s="67">
        <v>0</v>
      </c>
      <c r="CL418" s="67"/>
      <c r="CM418" s="67"/>
      <c r="CN418" s="67"/>
      <c r="CO418" s="67">
        <v>0</v>
      </c>
      <c r="CP418" s="67"/>
      <c r="CQ418" s="67"/>
      <c r="CR418" s="67"/>
      <c r="CS418" s="67"/>
      <c r="CT418" s="67"/>
      <c r="CU418" s="67">
        <v>0</v>
      </c>
      <c r="CV418" s="67"/>
      <c r="CW418" s="67"/>
      <c r="CX418" s="67"/>
      <c r="CY418" s="67">
        <v>0</v>
      </c>
      <c r="CZ418" s="67"/>
      <c r="DA418" s="67"/>
      <c r="DB418" s="67"/>
      <c r="DC418" s="67"/>
      <c r="DF418" s="67"/>
      <c r="DG418" s="67">
        <v>0</v>
      </c>
      <c r="DH418" s="67">
        <v>0</v>
      </c>
      <c r="DI418" s="67">
        <v>0</v>
      </c>
      <c r="DJ418" s="67"/>
      <c r="DK418" s="67">
        <v>0</v>
      </c>
      <c r="DL418" s="67">
        <v>0</v>
      </c>
      <c r="DM418" s="67">
        <v>0</v>
      </c>
      <c r="DN418" s="67"/>
      <c r="DO418" s="67"/>
      <c r="DP418" s="67"/>
      <c r="DQ418" s="67">
        <v>0</v>
      </c>
      <c r="DR418" s="67">
        <v>0</v>
      </c>
      <c r="DS418" s="67"/>
      <c r="DT418" s="67"/>
      <c r="DU418" s="67">
        <v>0</v>
      </c>
      <c r="DV418" s="67">
        <v>0</v>
      </c>
      <c r="DW418" s="67">
        <v>0</v>
      </c>
      <c r="DX418" s="67">
        <v>0</v>
      </c>
      <c r="DY418" s="67"/>
      <c r="DZ418" s="67">
        <v>0</v>
      </c>
      <c r="EA418" s="67"/>
      <c r="EB418" s="67">
        <v>0</v>
      </c>
      <c r="EC418" s="67"/>
      <c r="ED418" s="67">
        <v>0</v>
      </c>
      <c r="EE418" s="67"/>
      <c r="EF418" s="67">
        <v>0</v>
      </c>
      <c r="EG418" s="67"/>
      <c r="EH418" s="67"/>
      <c r="EI418" s="67"/>
      <c r="EJ418" s="67"/>
      <c r="EK418" s="67"/>
      <c r="EL418" s="67"/>
      <c r="EM418" s="67"/>
      <c r="EN418" s="67"/>
      <c r="EO418" s="67"/>
      <c r="EP418" s="67">
        <v>0</v>
      </c>
      <c r="EQ418" s="67">
        <v>0</v>
      </c>
      <c r="ER418" s="67">
        <v>0</v>
      </c>
      <c r="ES418" s="67"/>
      <c r="ET418">
        <v>0</v>
      </c>
      <c r="EX418" s="67"/>
      <c r="EY418" s="67"/>
      <c r="EZ418" s="67"/>
      <c r="FA418" s="67">
        <v>660</v>
      </c>
      <c r="FB418" s="67">
        <v>0</v>
      </c>
      <c r="FC418" s="67"/>
      <c r="FD418" s="67"/>
      <c r="FE418" s="67"/>
      <c r="FF418" s="67"/>
      <c r="FG418" s="67"/>
      <c r="FH418" s="67"/>
      <c r="FI418" s="67" t="s">
        <v>1734</v>
      </c>
    </row>
    <row r="419" spans="2:165" ht="24" x14ac:dyDescent="0.2">
      <c r="B419" s="67" t="s">
        <v>1104</v>
      </c>
      <c r="C419" s="67"/>
      <c r="D419" s="67" t="s">
        <v>1105</v>
      </c>
      <c r="E419" s="67" t="s">
        <v>13</v>
      </c>
      <c r="F419" s="67"/>
      <c r="G419" s="67" t="s">
        <v>694</v>
      </c>
      <c r="H419" s="67"/>
      <c r="I419" s="67" t="s">
        <v>41</v>
      </c>
      <c r="J419" s="67"/>
      <c r="K419" s="67"/>
      <c r="L419" s="67" t="s">
        <v>751</v>
      </c>
      <c r="M419" s="67" t="s">
        <v>752</v>
      </c>
      <c r="N419" s="67"/>
      <c r="O419" s="67" t="s">
        <v>1605</v>
      </c>
      <c r="P419" s="67"/>
      <c r="Q419" s="67">
        <v>0</v>
      </c>
      <c r="R419" s="67">
        <v>0</v>
      </c>
      <c r="S419" s="67">
        <v>0</v>
      </c>
      <c r="T419" s="67">
        <v>0</v>
      </c>
      <c r="U419" s="67">
        <v>0</v>
      </c>
      <c r="V419" s="67">
        <v>0</v>
      </c>
      <c r="W419" s="67">
        <v>0</v>
      </c>
      <c r="X419" s="67">
        <v>0</v>
      </c>
      <c r="Y419" s="67">
        <v>0</v>
      </c>
      <c r="Z419" s="67">
        <v>0</v>
      </c>
      <c r="AA419" s="67">
        <v>0</v>
      </c>
      <c r="AB419" s="67">
        <v>0</v>
      </c>
      <c r="AC419" s="67">
        <v>0</v>
      </c>
      <c r="AD419" s="67">
        <v>0</v>
      </c>
      <c r="AE419" s="67">
        <v>0</v>
      </c>
      <c r="AF419" s="67">
        <v>0</v>
      </c>
      <c r="AG419" s="67">
        <v>0</v>
      </c>
      <c r="AH419" s="67">
        <v>0</v>
      </c>
      <c r="AI419" s="67">
        <v>0</v>
      </c>
      <c r="AJ419" s="67">
        <v>0</v>
      </c>
      <c r="AK419" s="67">
        <v>0</v>
      </c>
      <c r="AL419" s="67">
        <v>0</v>
      </c>
      <c r="AM419" s="67">
        <v>0</v>
      </c>
      <c r="AN419" s="67">
        <v>0</v>
      </c>
      <c r="AO419" s="67">
        <v>0</v>
      </c>
      <c r="AP419" s="67">
        <v>0</v>
      </c>
      <c r="AQ419" s="67">
        <v>0</v>
      </c>
      <c r="AR419" s="67">
        <v>0</v>
      </c>
      <c r="AS419" s="67">
        <v>0</v>
      </c>
      <c r="AT419" s="67"/>
      <c r="AU419" s="67"/>
      <c r="AV419" s="67"/>
      <c r="AW419" s="67">
        <v>0</v>
      </c>
      <c r="AX419" s="67">
        <v>0</v>
      </c>
      <c r="AY419" s="67"/>
      <c r="AZ419" s="67"/>
      <c r="BA419" s="67"/>
      <c r="BB419" s="67"/>
      <c r="BC419" s="67"/>
      <c r="BD419" s="67"/>
      <c r="BE419" s="67"/>
      <c r="BG419" s="67"/>
      <c r="BH419" s="67"/>
      <c r="BI419" s="67"/>
      <c r="BJ419" s="67">
        <v>0</v>
      </c>
      <c r="BK419" s="67"/>
      <c r="BL419" s="67"/>
      <c r="BP419" s="67"/>
      <c r="BQ419" s="67">
        <v>0</v>
      </c>
      <c r="BR419" s="67"/>
      <c r="BS419" s="67"/>
      <c r="BT419" s="67">
        <v>0</v>
      </c>
      <c r="BU419" s="67">
        <v>0</v>
      </c>
      <c r="BV419" s="67"/>
      <c r="BW419" s="67"/>
      <c r="BX419" s="67">
        <v>0</v>
      </c>
      <c r="BY419" s="67">
        <v>0</v>
      </c>
      <c r="BZ419" s="67">
        <v>0</v>
      </c>
      <c r="CA419" s="67"/>
      <c r="CB419" s="67">
        <v>0</v>
      </c>
      <c r="CC419" s="67"/>
      <c r="CD419" s="67"/>
      <c r="CE419" s="67">
        <v>0</v>
      </c>
      <c r="CF419" s="67"/>
      <c r="CG419" s="67"/>
      <c r="CH419" s="67"/>
      <c r="CI419" s="67"/>
      <c r="CJ419" s="67"/>
      <c r="CK419" s="67">
        <v>0</v>
      </c>
      <c r="CL419" s="67"/>
      <c r="CM419" s="67"/>
      <c r="CN419" s="67"/>
      <c r="CO419" s="67">
        <v>0</v>
      </c>
      <c r="CP419" s="67"/>
      <c r="CQ419" s="67"/>
      <c r="CR419" s="67"/>
      <c r="CS419" s="67"/>
      <c r="CT419" s="67"/>
      <c r="CU419" s="67">
        <v>0</v>
      </c>
      <c r="CV419" s="67"/>
      <c r="CW419" s="67"/>
      <c r="CX419" s="67"/>
      <c r="CY419" s="67">
        <v>0</v>
      </c>
      <c r="CZ419" s="67"/>
      <c r="DA419" s="67"/>
      <c r="DB419" s="67"/>
      <c r="DC419" s="67"/>
      <c r="DF419" s="67"/>
      <c r="DG419" s="67">
        <v>0</v>
      </c>
      <c r="DH419" s="67">
        <v>0</v>
      </c>
      <c r="DI419" s="67">
        <v>0</v>
      </c>
      <c r="DJ419" s="67"/>
      <c r="DK419" s="67">
        <v>0</v>
      </c>
      <c r="DL419" s="67">
        <v>0</v>
      </c>
      <c r="DM419" s="67">
        <v>0</v>
      </c>
      <c r="DN419" s="67"/>
      <c r="DO419" s="67"/>
      <c r="DP419" s="67"/>
      <c r="DQ419" s="67">
        <v>0</v>
      </c>
      <c r="DR419" s="67">
        <v>0</v>
      </c>
      <c r="DS419" s="67"/>
      <c r="DT419" s="67"/>
      <c r="DU419" s="67">
        <v>0</v>
      </c>
      <c r="DV419" s="67">
        <v>0</v>
      </c>
      <c r="DW419" s="67">
        <v>0</v>
      </c>
      <c r="DX419" s="67">
        <v>0</v>
      </c>
      <c r="DY419" s="67"/>
      <c r="DZ419" s="67">
        <v>0</v>
      </c>
      <c r="EA419" s="67"/>
      <c r="EB419" s="67">
        <v>0</v>
      </c>
      <c r="EC419" s="67"/>
      <c r="ED419" s="67">
        <v>0</v>
      </c>
      <c r="EE419" s="67"/>
      <c r="EF419" s="67">
        <v>0</v>
      </c>
      <c r="EG419" s="67"/>
      <c r="EH419" s="67"/>
      <c r="EI419" s="67"/>
      <c r="EJ419" s="67"/>
      <c r="EK419" s="67"/>
      <c r="EL419" s="67"/>
      <c r="EM419" s="67"/>
      <c r="EN419" s="67"/>
      <c r="EO419" s="67"/>
      <c r="EP419" s="67">
        <v>0</v>
      </c>
      <c r="EQ419" s="67">
        <v>0</v>
      </c>
      <c r="ER419" s="67">
        <v>0</v>
      </c>
      <c r="ES419" s="67"/>
      <c r="ET419">
        <v>0</v>
      </c>
      <c r="EX419" s="67"/>
      <c r="EY419" s="67"/>
      <c r="EZ419" s="67"/>
      <c r="FA419" s="67">
        <v>0</v>
      </c>
      <c r="FB419" s="67">
        <v>0</v>
      </c>
      <c r="FC419" s="67"/>
      <c r="FD419" s="67"/>
      <c r="FE419" s="67"/>
      <c r="FF419" s="67"/>
      <c r="FG419" s="67"/>
      <c r="FH419" s="67"/>
      <c r="FI419" s="67" t="s">
        <v>1734</v>
      </c>
    </row>
    <row r="420" spans="2:165" x14ac:dyDescent="0.2">
      <c r="B420" s="67" t="s">
        <v>1106</v>
      </c>
      <c r="C420" s="67"/>
      <c r="D420" s="67" t="s">
        <v>1107</v>
      </c>
      <c r="E420" s="67"/>
      <c r="F420" s="67"/>
      <c r="G420" s="67" t="s">
        <v>694</v>
      </c>
      <c r="H420" s="67"/>
      <c r="I420" s="67"/>
      <c r="J420" s="67"/>
      <c r="K420" s="67"/>
      <c r="L420" s="67"/>
      <c r="M420" s="67"/>
      <c r="N420" s="67"/>
      <c r="O420" s="67" t="s">
        <v>1599</v>
      </c>
      <c r="P420" s="67"/>
      <c r="Q420" s="67">
        <v>0</v>
      </c>
      <c r="R420" s="67">
        <v>0</v>
      </c>
      <c r="S420" s="67">
        <v>0</v>
      </c>
      <c r="T420" s="67">
        <v>0</v>
      </c>
      <c r="U420" s="67">
        <v>0</v>
      </c>
      <c r="V420" s="67">
        <v>0</v>
      </c>
      <c r="W420" s="67">
        <v>0</v>
      </c>
      <c r="X420" s="67">
        <v>0</v>
      </c>
      <c r="Y420" s="67">
        <v>0</v>
      </c>
      <c r="Z420" s="67">
        <v>0</v>
      </c>
      <c r="AA420" s="67">
        <v>0</v>
      </c>
      <c r="AB420" s="67">
        <v>0</v>
      </c>
      <c r="AC420" s="67">
        <v>0</v>
      </c>
      <c r="AD420" s="67">
        <v>0</v>
      </c>
      <c r="AE420" s="67">
        <v>0</v>
      </c>
      <c r="AF420" s="67">
        <v>0</v>
      </c>
      <c r="AG420" s="67">
        <v>0</v>
      </c>
      <c r="AH420" s="67">
        <v>0</v>
      </c>
      <c r="AI420" s="67">
        <v>0</v>
      </c>
      <c r="AJ420" s="67">
        <v>0</v>
      </c>
      <c r="AK420" s="67">
        <v>0</v>
      </c>
      <c r="AL420" s="67">
        <v>0</v>
      </c>
      <c r="AM420" s="67">
        <v>0</v>
      </c>
      <c r="AN420" s="67">
        <v>0</v>
      </c>
      <c r="AO420" s="67">
        <v>0</v>
      </c>
      <c r="AP420" s="67">
        <v>0</v>
      </c>
      <c r="AQ420" s="67">
        <v>0</v>
      </c>
      <c r="AR420" s="67">
        <v>0</v>
      </c>
      <c r="AS420" s="67">
        <v>0</v>
      </c>
      <c r="AT420" s="67"/>
      <c r="AU420" s="67"/>
      <c r="AV420" s="67"/>
      <c r="AW420" s="67">
        <v>0</v>
      </c>
      <c r="AX420" s="67">
        <v>0</v>
      </c>
      <c r="AY420" s="67"/>
      <c r="AZ420" s="67"/>
      <c r="BA420" s="67"/>
      <c r="BB420" s="67"/>
      <c r="BC420" s="67"/>
      <c r="BD420" s="67"/>
      <c r="BE420" s="67"/>
      <c r="BG420" s="67"/>
      <c r="BH420" s="67"/>
      <c r="BI420" s="67"/>
      <c r="BJ420" s="67">
        <v>0</v>
      </c>
      <c r="BK420" s="67"/>
      <c r="BL420" s="67"/>
      <c r="BP420" s="67"/>
      <c r="BQ420" s="67">
        <v>0</v>
      </c>
      <c r="BR420" s="67"/>
      <c r="BS420" s="67"/>
      <c r="BT420" s="67">
        <v>0</v>
      </c>
      <c r="BU420" s="67">
        <v>0</v>
      </c>
      <c r="BV420" s="67"/>
      <c r="BW420" s="67"/>
      <c r="BX420" s="67">
        <v>0</v>
      </c>
      <c r="BY420" s="67">
        <v>0</v>
      </c>
      <c r="BZ420" s="67">
        <v>0</v>
      </c>
      <c r="CA420" s="67"/>
      <c r="CB420" s="67">
        <v>0</v>
      </c>
      <c r="CC420" s="67"/>
      <c r="CD420" s="67"/>
      <c r="CE420" s="67">
        <v>0</v>
      </c>
      <c r="CF420" s="67"/>
      <c r="CG420" s="67"/>
      <c r="CH420" s="67"/>
      <c r="CI420" s="67"/>
      <c r="CJ420" s="67"/>
      <c r="CK420" s="67">
        <v>0</v>
      </c>
      <c r="CL420" s="67"/>
      <c r="CM420" s="67"/>
      <c r="CN420" s="67"/>
      <c r="CO420" s="67">
        <v>0</v>
      </c>
      <c r="CP420" s="67"/>
      <c r="CQ420" s="67"/>
      <c r="CR420" s="67"/>
      <c r="CS420" s="67"/>
      <c r="CT420" s="67"/>
      <c r="CU420" s="67">
        <v>0</v>
      </c>
      <c r="CV420" s="67"/>
      <c r="CW420" s="67"/>
      <c r="CX420" s="67"/>
      <c r="CY420" s="67">
        <v>0</v>
      </c>
      <c r="CZ420" s="67"/>
      <c r="DA420" s="67"/>
      <c r="DB420" s="67"/>
      <c r="DC420" s="67"/>
      <c r="DF420" s="67"/>
      <c r="DG420" s="67">
        <v>0</v>
      </c>
      <c r="DH420" s="67">
        <v>0</v>
      </c>
      <c r="DI420" s="67">
        <v>0</v>
      </c>
      <c r="DJ420" s="67"/>
      <c r="DK420" s="67">
        <v>0</v>
      </c>
      <c r="DL420" s="67">
        <v>0</v>
      </c>
      <c r="DM420" s="67">
        <v>0</v>
      </c>
      <c r="DN420" s="67"/>
      <c r="DO420" s="67"/>
      <c r="DP420" s="67"/>
      <c r="DQ420" s="67">
        <v>0</v>
      </c>
      <c r="DR420" s="67">
        <v>0</v>
      </c>
      <c r="DS420" s="67"/>
      <c r="DT420" s="67"/>
      <c r="DU420" s="67">
        <v>0</v>
      </c>
      <c r="DV420" s="67">
        <v>0</v>
      </c>
      <c r="DW420" s="67">
        <v>0</v>
      </c>
      <c r="DX420" s="67">
        <v>0</v>
      </c>
      <c r="DY420" s="67"/>
      <c r="DZ420" s="67">
        <v>0</v>
      </c>
      <c r="EA420" s="67"/>
      <c r="EB420" s="67">
        <v>0</v>
      </c>
      <c r="EC420" s="67"/>
      <c r="ED420" s="67">
        <v>0</v>
      </c>
      <c r="EE420" s="67"/>
      <c r="EF420" s="67">
        <v>0</v>
      </c>
      <c r="EG420" s="67"/>
      <c r="EH420" s="67"/>
      <c r="EI420" s="67"/>
      <c r="EJ420" s="67"/>
      <c r="EK420" s="67"/>
      <c r="EL420" s="67"/>
      <c r="EM420" s="67"/>
      <c r="EN420" s="67"/>
      <c r="EO420" s="67"/>
      <c r="EP420" s="67">
        <v>0</v>
      </c>
      <c r="EQ420" s="67">
        <v>0</v>
      </c>
      <c r="ER420" s="67">
        <v>0</v>
      </c>
      <c r="ES420" s="67"/>
      <c r="ET420">
        <v>0</v>
      </c>
      <c r="EX420" s="67"/>
      <c r="EY420" s="67"/>
      <c r="EZ420" s="67"/>
      <c r="FA420" s="67">
        <v>0</v>
      </c>
      <c r="FB420" s="67">
        <v>0</v>
      </c>
      <c r="FC420" s="67"/>
      <c r="FD420" s="67"/>
      <c r="FE420" s="67"/>
      <c r="FF420" s="67"/>
      <c r="FG420" s="67"/>
      <c r="FH420" s="67"/>
      <c r="FI420" s="67" t="s">
        <v>1734</v>
      </c>
    </row>
    <row r="421" spans="2:165" ht="24" x14ac:dyDescent="0.2">
      <c r="B421" s="67" t="s">
        <v>1108</v>
      </c>
      <c r="C421" s="67"/>
      <c r="D421" s="67" t="s">
        <v>384</v>
      </c>
      <c r="E421" s="67" t="s">
        <v>13</v>
      </c>
      <c r="F421" s="67" t="s">
        <v>1109</v>
      </c>
      <c r="G421" s="67" t="s">
        <v>694</v>
      </c>
      <c r="H421" s="67"/>
      <c r="I421" s="67" t="s">
        <v>41</v>
      </c>
      <c r="J421" s="67"/>
      <c r="K421" s="67"/>
      <c r="L421" s="67" t="s">
        <v>787</v>
      </c>
      <c r="M421" s="67" t="s">
        <v>752</v>
      </c>
      <c r="N421" s="67"/>
      <c r="O421" s="67" t="s">
        <v>1605</v>
      </c>
      <c r="P421" s="67" t="s">
        <v>942</v>
      </c>
      <c r="Q421" s="67">
        <v>0</v>
      </c>
      <c r="R421" s="67">
        <v>0</v>
      </c>
      <c r="S421" s="67">
        <v>0</v>
      </c>
      <c r="T421" s="67">
        <v>0</v>
      </c>
      <c r="U421" s="67">
        <v>0</v>
      </c>
      <c r="V421" s="67">
        <v>0</v>
      </c>
      <c r="W421" s="67">
        <v>0</v>
      </c>
      <c r="X421" s="67">
        <v>0</v>
      </c>
      <c r="Y421" s="67">
        <v>0</v>
      </c>
      <c r="Z421" s="67">
        <v>0</v>
      </c>
      <c r="AA421" s="67">
        <v>0</v>
      </c>
      <c r="AB421" s="67">
        <v>0</v>
      </c>
      <c r="AC421" s="67">
        <v>0</v>
      </c>
      <c r="AD421" s="67">
        <v>0</v>
      </c>
      <c r="AE421" s="67">
        <v>0</v>
      </c>
      <c r="AF421" s="67">
        <v>0</v>
      </c>
      <c r="AG421" s="67">
        <v>0</v>
      </c>
      <c r="AH421" s="67">
        <v>0</v>
      </c>
      <c r="AI421" s="67">
        <v>0</v>
      </c>
      <c r="AJ421" s="67">
        <v>0</v>
      </c>
      <c r="AK421" s="67">
        <v>0</v>
      </c>
      <c r="AL421" s="67">
        <v>0</v>
      </c>
      <c r="AM421" s="67">
        <v>0</v>
      </c>
      <c r="AN421" s="67">
        <v>0</v>
      </c>
      <c r="AO421" s="67">
        <v>0</v>
      </c>
      <c r="AP421" s="67">
        <v>0</v>
      </c>
      <c r="AQ421" s="67">
        <v>0</v>
      </c>
      <c r="AR421" s="67">
        <v>0</v>
      </c>
      <c r="AS421" s="67">
        <v>0</v>
      </c>
      <c r="AT421" s="67"/>
      <c r="AU421" s="67"/>
      <c r="AV421" s="67"/>
      <c r="AW421" s="67">
        <v>0</v>
      </c>
      <c r="AX421" s="67">
        <v>0</v>
      </c>
      <c r="AY421" s="67"/>
      <c r="AZ421" s="67"/>
      <c r="BA421" s="67"/>
      <c r="BB421" s="67"/>
      <c r="BC421" s="67"/>
      <c r="BD421" s="67"/>
      <c r="BE421" s="67"/>
      <c r="BG421" s="67"/>
      <c r="BH421" s="67"/>
      <c r="BI421" s="67"/>
      <c r="BJ421" s="67">
        <v>0</v>
      </c>
      <c r="BK421" s="67"/>
      <c r="BL421" s="67"/>
      <c r="BP421" s="67"/>
      <c r="BQ421" s="67">
        <v>0</v>
      </c>
      <c r="BR421" s="67"/>
      <c r="BS421" s="67"/>
      <c r="BT421" s="67">
        <v>0</v>
      </c>
      <c r="BU421" s="67">
        <v>0</v>
      </c>
      <c r="BV421" s="67"/>
      <c r="BW421" s="67"/>
      <c r="BX421" s="67">
        <v>0</v>
      </c>
      <c r="BY421" s="67">
        <v>0</v>
      </c>
      <c r="BZ421" s="67">
        <v>0</v>
      </c>
      <c r="CA421" s="67"/>
      <c r="CB421" s="67">
        <v>0</v>
      </c>
      <c r="CC421" s="67"/>
      <c r="CD421" s="67"/>
      <c r="CE421" s="67">
        <v>0</v>
      </c>
      <c r="CF421" s="67"/>
      <c r="CG421" s="67"/>
      <c r="CH421" s="67"/>
      <c r="CI421" s="67"/>
      <c r="CJ421" s="67"/>
      <c r="CK421" s="67">
        <v>0</v>
      </c>
      <c r="CL421" s="67"/>
      <c r="CM421" s="67"/>
      <c r="CN421" s="67"/>
      <c r="CO421" s="67">
        <v>0</v>
      </c>
      <c r="CP421" s="67"/>
      <c r="CQ421" s="67"/>
      <c r="CR421" s="67"/>
      <c r="CS421" s="67"/>
      <c r="CT421" s="67"/>
      <c r="CU421" s="67">
        <v>0</v>
      </c>
      <c r="CV421" s="67"/>
      <c r="CW421" s="67"/>
      <c r="CX421" s="67"/>
      <c r="CY421" s="67">
        <v>0</v>
      </c>
      <c r="CZ421" s="67"/>
      <c r="DA421" s="67"/>
      <c r="DB421" s="67"/>
      <c r="DC421" s="67"/>
      <c r="DF421" s="67"/>
      <c r="DG421" s="67">
        <v>0</v>
      </c>
      <c r="DH421" s="67">
        <v>0</v>
      </c>
      <c r="DI421" s="67">
        <v>0</v>
      </c>
      <c r="DJ421" s="67"/>
      <c r="DK421" s="67">
        <v>0</v>
      </c>
      <c r="DL421" s="67">
        <v>0</v>
      </c>
      <c r="DM421" s="67">
        <v>0</v>
      </c>
      <c r="DN421" s="67"/>
      <c r="DO421" s="67"/>
      <c r="DP421" s="67"/>
      <c r="DQ421" s="67">
        <v>0</v>
      </c>
      <c r="DR421" s="67">
        <v>0</v>
      </c>
      <c r="DS421" s="67"/>
      <c r="DT421" s="67"/>
      <c r="DU421" s="67">
        <v>0</v>
      </c>
      <c r="DV421" s="67">
        <v>0</v>
      </c>
      <c r="DW421" s="67">
        <v>0</v>
      </c>
      <c r="DX421" s="67">
        <v>0</v>
      </c>
      <c r="DY421" s="67"/>
      <c r="DZ421" s="67">
        <v>0</v>
      </c>
      <c r="EA421" s="67"/>
      <c r="EB421" s="67">
        <v>0</v>
      </c>
      <c r="EC421" s="67"/>
      <c r="ED421" s="67">
        <v>0</v>
      </c>
      <c r="EE421" s="67"/>
      <c r="EF421" s="67">
        <v>0</v>
      </c>
      <c r="EG421" s="67"/>
      <c r="EH421" s="67"/>
      <c r="EI421" s="67"/>
      <c r="EJ421" s="67"/>
      <c r="EK421" s="67"/>
      <c r="EL421" s="67"/>
      <c r="EM421" s="67"/>
      <c r="EN421" s="67"/>
      <c r="EO421" s="67"/>
      <c r="EP421" s="67">
        <v>0</v>
      </c>
      <c r="EQ421" s="67">
        <v>0</v>
      </c>
      <c r="ER421" s="67">
        <v>0</v>
      </c>
      <c r="ES421" s="67"/>
      <c r="ET421">
        <v>0</v>
      </c>
      <c r="EX421" s="67"/>
      <c r="EY421" s="67"/>
      <c r="EZ421" s="67"/>
      <c r="FA421" s="67">
        <v>0</v>
      </c>
      <c r="FB421" s="67">
        <v>0</v>
      </c>
      <c r="FC421" s="67"/>
      <c r="FD421" s="67"/>
      <c r="FE421" s="67"/>
      <c r="FF421" s="67"/>
      <c r="FG421" s="67"/>
      <c r="FH421" s="67"/>
      <c r="FI421" s="67" t="s">
        <v>1734</v>
      </c>
    </row>
    <row r="422" spans="2:165" ht="24" x14ac:dyDescent="0.2">
      <c r="B422" s="67" t="s">
        <v>1112</v>
      </c>
      <c r="C422" s="67"/>
      <c r="D422" s="67" t="s">
        <v>1113</v>
      </c>
      <c r="E422" s="67" t="s">
        <v>13</v>
      </c>
      <c r="F422" s="67"/>
      <c r="G422" s="67" t="s">
        <v>694</v>
      </c>
      <c r="H422" s="67"/>
      <c r="I422" s="67" t="s">
        <v>41</v>
      </c>
      <c r="J422" s="67"/>
      <c r="K422" s="67"/>
      <c r="L422" s="67" t="s">
        <v>751</v>
      </c>
      <c r="M422" s="67" t="s">
        <v>752</v>
      </c>
      <c r="N422" s="67"/>
      <c r="O422" s="67" t="s">
        <v>1605</v>
      </c>
      <c r="P422" s="67"/>
      <c r="Q422" s="67">
        <v>0</v>
      </c>
      <c r="R422" s="67">
        <v>0</v>
      </c>
      <c r="S422" s="67">
        <v>0</v>
      </c>
      <c r="T422" s="67">
        <v>0</v>
      </c>
      <c r="U422" s="67">
        <v>0</v>
      </c>
      <c r="V422" s="67">
        <v>0</v>
      </c>
      <c r="W422" s="67">
        <v>0</v>
      </c>
      <c r="X422" s="67">
        <v>0</v>
      </c>
      <c r="Y422" s="67">
        <v>0</v>
      </c>
      <c r="Z422" s="67">
        <v>0</v>
      </c>
      <c r="AA422" s="67">
        <v>0</v>
      </c>
      <c r="AB422" s="67">
        <v>0</v>
      </c>
      <c r="AC422" s="67">
        <v>0</v>
      </c>
      <c r="AD422" s="67">
        <v>0</v>
      </c>
      <c r="AE422" s="67">
        <v>0</v>
      </c>
      <c r="AF422" s="67">
        <v>0</v>
      </c>
      <c r="AG422" s="67">
        <v>0</v>
      </c>
      <c r="AH422" s="67">
        <v>0</v>
      </c>
      <c r="AI422" s="67">
        <v>0</v>
      </c>
      <c r="AJ422" s="67">
        <v>0</v>
      </c>
      <c r="AK422" s="67">
        <v>0</v>
      </c>
      <c r="AL422" s="67">
        <v>0</v>
      </c>
      <c r="AM422" s="67">
        <v>0</v>
      </c>
      <c r="AN422" s="67">
        <v>0</v>
      </c>
      <c r="AO422" s="67">
        <v>0</v>
      </c>
      <c r="AP422" s="67">
        <v>0</v>
      </c>
      <c r="AQ422" s="67">
        <v>0</v>
      </c>
      <c r="AR422" s="67">
        <v>0</v>
      </c>
      <c r="AS422" s="67">
        <v>0</v>
      </c>
      <c r="AT422" s="67"/>
      <c r="AU422" s="67"/>
      <c r="AV422" s="67"/>
      <c r="AW422" s="67">
        <v>0</v>
      </c>
      <c r="AX422" s="67">
        <v>0</v>
      </c>
      <c r="AY422" s="67"/>
      <c r="AZ422" s="67"/>
      <c r="BA422" s="67"/>
      <c r="BB422" s="67"/>
      <c r="BC422" s="67"/>
      <c r="BD422" s="67"/>
      <c r="BE422" s="67"/>
      <c r="BG422" s="67"/>
      <c r="BH422" s="67"/>
      <c r="BI422" s="67"/>
      <c r="BJ422" s="67">
        <v>0</v>
      </c>
      <c r="BK422" s="67"/>
      <c r="BL422" s="67"/>
      <c r="BP422" s="67"/>
      <c r="BQ422" s="67">
        <v>0</v>
      </c>
      <c r="BR422" s="67"/>
      <c r="BS422" s="67"/>
      <c r="BT422" s="67">
        <v>0</v>
      </c>
      <c r="BU422" s="67">
        <v>0</v>
      </c>
      <c r="BV422" s="67"/>
      <c r="BW422" s="67"/>
      <c r="BX422" s="67">
        <v>0</v>
      </c>
      <c r="BY422" s="67">
        <v>0</v>
      </c>
      <c r="BZ422" s="67">
        <v>0</v>
      </c>
      <c r="CA422" s="67"/>
      <c r="CB422" s="67">
        <v>0</v>
      </c>
      <c r="CC422" s="67"/>
      <c r="CD422" s="67"/>
      <c r="CE422" s="67">
        <v>0</v>
      </c>
      <c r="CF422" s="67"/>
      <c r="CG422" s="67"/>
      <c r="CH422" s="67"/>
      <c r="CI422" s="67"/>
      <c r="CJ422" s="67"/>
      <c r="CK422" s="67">
        <v>0</v>
      </c>
      <c r="CL422" s="67"/>
      <c r="CM422" s="67"/>
      <c r="CN422" s="67"/>
      <c r="CO422" s="67">
        <v>0</v>
      </c>
      <c r="CP422" s="67"/>
      <c r="CQ422" s="67"/>
      <c r="CR422" s="67"/>
      <c r="CS422" s="67"/>
      <c r="CT422" s="67"/>
      <c r="CU422" s="67">
        <v>0</v>
      </c>
      <c r="CV422" s="67"/>
      <c r="CW422" s="67"/>
      <c r="CX422" s="67"/>
      <c r="CY422" s="67">
        <v>0</v>
      </c>
      <c r="CZ422" s="67"/>
      <c r="DA422" s="67"/>
      <c r="DB422" s="67"/>
      <c r="DC422" s="67"/>
      <c r="DF422" s="67"/>
      <c r="DG422" s="67">
        <v>0</v>
      </c>
      <c r="DH422" s="67">
        <v>0</v>
      </c>
      <c r="DI422" s="67">
        <v>0</v>
      </c>
      <c r="DJ422" s="67"/>
      <c r="DK422" s="67">
        <v>0</v>
      </c>
      <c r="DL422" s="67">
        <v>0</v>
      </c>
      <c r="DM422" s="67">
        <v>0</v>
      </c>
      <c r="DN422" s="67"/>
      <c r="DO422" s="67"/>
      <c r="DP422" s="67"/>
      <c r="DQ422" s="67">
        <v>0</v>
      </c>
      <c r="DR422" s="67">
        <v>0</v>
      </c>
      <c r="DS422" s="67"/>
      <c r="DT422" s="67"/>
      <c r="DU422" s="67">
        <v>0</v>
      </c>
      <c r="DV422" s="67">
        <v>0</v>
      </c>
      <c r="DW422" s="67">
        <v>0</v>
      </c>
      <c r="DX422" s="67">
        <v>0</v>
      </c>
      <c r="DY422" s="67"/>
      <c r="DZ422" s="67">
        <v>0</v>
      </c>
      <c r="EA422" s="67"/>
      <c r="EB422" s="67">
        <v>0</v>
      </c>
      <c r="EC422" s="67"/>
      <c r="ED422" s="67">
        <v>0</v>
      </c>
      <c r="EE422" s="67"/>
      <c r="EF422" s="67">
        <v>0</v>
      </c>
      <c r="EG422" s="67"/>
      <c r="EH422" s="67"/>
      <c r="EI422" s="67"/>
      <c r="EJ422" s="67"/>
      <c r="EK422" s="67"/>
      <c r="EL422" s="67"/>
      <c r="EM422" s="67"/>
      <c r="EN422" s="67"/>
      <c r="EO422" s="67"/>
      <c r="EP422" s="67">
        <v>0</v>
      </c>
      <c r="EQ422" s="67">
        <v>0</v>
      </c>
      <c r="ER422" s="67">
        <v>0</v>
      </c>
      <c r="ES422" s="67"/>
      <c r="ET422">
        <v>0</v>
      </c>
      <c r="EX422" s="67"/>
      <c r="EY422" s="67"/>
      <c r="EZ422" s="67"/>
      <c r="FA422" s="67">
        <v>0</v>
      </c>
      <c r="FB422" s="67">
        <v>0</v>
      </c>
      <c r="FC422" s="67"/>
      <c r="FD422" s="67"/>
      <c r="FE422" s="67"/>
      <c r="FF422" s="67"/>
      <c r="FG422" s="67"/>
      <c r="FH422" s="67"/>
      <c r="FI422" s="67" t="s">
        <v>1734</v>
      </c>
    </row>
    <row r="423" spans="2:165" ht="24" x14ac:dyDescent="0.2">
      <c r="B423" s="67" t="s">
        <v>1114</v>
      </c>
      <c r="C423" s="67"/>
      <c r="D423" s="67" t="s">
        <v>1115</v>
      </c>
      <c r="E423" s="67" t="s">
        <v>13</v>
      </c>
      <c r="F423" s="67" t="s">
        <v>1116</v>
      </c>
      <c r="G423" s="67" t="s">
        <v>694</v>
      </c>
      <c r="H423" s="67"/>
      <c r="I423" s="67" t="s">
        <v>41</v>
      </c>
      <c r="J423" s="67"/>
      <c r="K423" s="67"/>
      <c r="L423" s="67" t="s">
        <v>787</v>
      </c>
      <c r="M423" s="67" t="s">
        <v>752</v>
      </c>
      <c r="N423" s="67"/>
      <c r="O423" s="67" t="s">
        <v>1599</v>
      </c>
      <c r="P423" s="67" t="s">
        <v>942</v>
      </c>
      <c r="Q423" s="67">
        <v>176</v>
      </c>
      <c r="R423" s="67">
        <v>176</v>
      </c>
      <c r="S423" s="67">
        <v>0</v>
      </c>
      <c r="T423" s="67">
        <v>0</v>
      </c>
      <c r="U423" s="67">
        <v>0</v>
      </c>
      <c r="V423" s="67">
        <v>0</v>
      </c>
      <c r="W423" s="67">
        <v>0</v>
      </c>
      <c r="X423" s="67">
        <v>0</v>
      </c>
      <c r="Y423" s="67">
        <v>0</v>
      </c>
      <c r="Z423" s="67">
        <v>0</v>
      </c>
      <c r="AA423" s="67">
        <v>0</v>
      </c>
      <c r="AB423" s="67">
        <v>0</v>
      </c>
      <c r="AC423" s="67">
        <v>0</v>
      </c>
      <c r="AD423" s="67">
        <v>0</v>
      </c>
      <c r="AE423" s="67">
        <v>0</v>
      </c>
      <c r="AF423" s="67">
        <v>0</v>
      </c>
      <c r="AG423" s="67">
        <v>0</v>
      </c>
      <c r="AH423" s="67">
        <v>0</v>
      </c>
      <c r="AI423" s="67">
        <v>0</v>
      </c>
      <c r="AJ423" s="67">
        <v>0</v>
      </c>
      <c r="AK423" s="67">
        <v>0</v>
      </c>
      <c r="AL423" s="67">
        <v>0</v>
      </c>
      <c r="AM423" s="67">
        <v>0</v>
      </c>
      <c r="AN423" s="67">
        <v>0</v>
      </c>
      <c r="AO423" s="67">
        <v>0</v>
      </c>
      <c r="AP423" s="67">
        <v>0</v>
      </c>
      <c r="AQ423" s="67">
        <v>0</v>
      </c>
      <c r="AR423" s="67">
        <v>0</v>
      </c>
      <c r="AS423" s="67">
        <v>0</v>
      </c>
      <c r="AT423" s="67"/>
      <c r="AU423" s="67"/>
      <c r="AV423" s="67"/>
      <c r="AW423" s="67">
        <v>0</v>
      </c>
      <c r="AX423" s="67">
        <v>0</v>
      </c>
      <c r="AY423" s="67"/>
      <c r="AZ423" s="67"/>
      <c r="BA423" s="67"/>
      <c r="BB423" s="67"/>
      <c r="BC423" s="67"/>
      <c r="BD423" s="67"/>
      <c r="BE423" s="67"/>
      <c r="BG423" s="67"/>
      <c r="BH423" s="67"/>
      <c r="BI423" s="67"/>
      <c r="BJ423" s="67">
        <v>0</v>
      </c>
      <c r="BK423" s="67"/>
      <c r="BL423" s="67"/>
      <c r="BP423" s="67"/>
      <c r="BQ423" s="67">
        <v>0</v>
      </c>
      <c r="BR423" s="67"/>
      <c r="BS423" s="67"/>
      <c r="BT423" s="67">
        <v>0</v>
      </c>
      <c r="BU423" s="67">
        <v>0</v>
      </c>
      <c r="BV423" s="67"/>
      <c r="BW423" s="67"/>
      <c r="BX423" s="67">
        <v>0</v>
      </c>
      <c r="BY423" s="67">
        <v>0</v>
      </c>
      <c r="BZ423" s="67">
        <v>0</v>
      </c>
      <c r="CA423" s="67"/>
      <c r="CB423" s="67">
        <v>0</v>
      </c>
      <c r="CC423" s="67"/>
      <c r="CD423" s="67"/>
      <c r="CE423" s="67">
        <v>0</v>
      </c>
      <c r="CF423" s="67"/>
      <c r="CG423" s="67"/>
      <c r="CH423" s="67"/>
      <c r="CI423" s="67"/>
      <c r="CJ423" s="67"/>
      <c r="CK423" s="67">
        <v>0</v>
      </c>
      <c r="CL423" s="67"/>
      <c r="CM423" s="67"/>
      <c r="CN423" s="67"/>
      <c r="CO423" s="67">
        <v>0</v>
      </c>
      <c r="CP423" s="67"/>
      <c r="CQ423" s="67"/>
      <c r="CR423" s="67"/>
      <c r="CS423" s="67"/>
      <c r="CT423" s="67"/>
      <c r="CU423" s="67">
        <v>0</v>
      </c>
      <c r="CV423" s="67"/>
      <c r="CW423" s="67"/>
      <c r="CX423" s="67"/>
      <c r="CY423" s="67">
        <v>0</v>
      </c>
      <c r="CZ423" s="67"/>
      <c r="DA423" s="67"/>
      <c r="DB423" s="67"/>
      <c r="DC423" s="67"/>
      <c r="DF423" s="67"/>
      <c r="DG423" s="67">
        <v>0</v>
      </c>
      <c r="DH423" s="67">
        <v>0</v>
      </c>
      <c r="DI423" s="67">
        <v>0</v>
      </c>
      <c r="DJ423" s="67"/>
      <c r="DK423" s="67">
        <v>0</v>
      </c>
      <c r="DL423" s="67">
        <v>0</v>
      </c>
      <c r="DM423" s="67">
        <v>0</v>
      </c>
      <c r="DN423" s="67"/>
      <c r="DO423" s="67"/>
      <c r="DP423" s="67"/>
      <c r="DQ423" s="67">
        <v>0</v>
      </c>
      <c r="DR423" s="67">
        <v>0</v>
      </c>
      <c r="DS423" s="67"/>
      <c r="DT423" s="67"/>
      <c r="DU423" s="67">
        <v>0</v>
      </c>
      <c r="DV423" s="67">
        <v>0</v>
      </c>
      <c r="DW423" s="67">
        <v>0</v>
      </c>
      <c r="DX423" s="67">
        <v>0</v>
      </c>
      <c r="DY423" s="67"/>
      <c r="DZ423" s="67">
        <v>0</v>
      </c>
      <c r="EA423" s="67"/>
      <c r="EB423" s="67">
        <v>0</v>
      </c>
      <c r="EC423" s="67"/>
      <c r="ED423" s="67">
        <v>0</v>
      </c>
      <c r="EE423" s="67"/>
      <c r="EF423" s="67">
        <v>0</v>
      </c>
      <c r="EG423" s="67"/>
      <c r="EH423" s="67"/>
      <c r="EI423" s="67"/>
      <c r="EJ423" s="67"/>
      <c r="EK423" s="67"/>
      <c r="EL423" s="67"/>
      <c r="EM423" s="67"/>
      <c r="EN423" s="67"/>
      <c r="EO423" s="67"/>
      <c r="EP423" s="67">
        <v>0</v>
      </c>
      <c r="EQ423" s="67">
        <v>0</v>
      </c>
      <c r="ER423" s="67">
        <v>0</v>
      </c>
      <c r="ES423" s="67"/>
      <c r="ET423">
        <v>0</v>
      </c>
      <c r="EX423" s="67"/>
      <c r="EY423" s="67"/>
      <c r="EZ423" s="67"/>
      <c r="FA423" s="67">
        <v>176</v>
      </c>
      <c r="FB423" s="67">
        <v>0</v>
      </c>
      <c r="FC423" s="67"/>
      <c r="FD423" s="67"/>
      <c r="FE423" s="67"/>
      <c r="FF423" s="67"/>
      <c r="FG423" s="67"/>
      <c r="FH423" s="67"/>
      <c r="FI423" s="67" t="s">
        <v>1734</v>
      </c>
    </row>
    <row r="424" spans="2:165" ht="24" x14ac:dyDescent="0.2">
      <c r="B424" s="67" t="s">
        <v>1119</v>
      </c>
      <c r="C424" s="67"/>
      <c r="D424" s="67" t="s">
        <v>1120</v>
      </c>
      <c r="E424" s="67" t="s">
        <v>889</v>
      </c>
      <c r="F424" s="67" t="s">
        <v>1116</v>
      </c>
      <c r="G424" s="67" t="s">
        <v>694</v>
      </c>
      <c r="H424" s="67"/>
      <c r="I424" s="67" t="s">
        <v>41</v>
      </c>
      <c r="J424" s="67"/>
      <c r="K424" s="67"/>
      <c r="L424" s="67" t="s">
        <v>787</v>
      </c>
      <c r="M424" s="67" t="s">
        <v>752</v>
      </c>
      <c r="N424" s="67"/>
      <c r="O424" s="67" t="s">
        <v>1599</v>
      </c>
      <c r="P424" s="67" t="s">
        <v>942</v>
      </c>
      <c r="Q424" s="67">
        <v>528</v>
      </c>
      <c r="R424" s="67">
        <v>528</v>
      </c>
      <c r="S424" s="67">
        <v>0</v>
      </c>
      <c r="T424" s="67">
        <v>0</v>
      </c>
      <c r="U424" s="67">
        <v>0</v>
      </c>
      <c r="V424" s="67">
        <v>0</v>
      </c>
      <c r="W424" s="67">
        <v>0</v>
      </c>
      <c r="X424" s="67">
        <v>0</v>
      </c>
      <c r="Y424" s="67">
        <v>0</v>
      </c>
      <c r="Z424" s="67">
        <v>0</v>
      </c>
      <c r="AA424" s="67">
        <v>0</v>
      </c>
      <c r="AB424" s="67">
        <v>0</v>
      </c>
      <c r="AC424" s="67">
        <v>0</v>
      </c>
      <c r="AD424" s="67">
        <v>0</v>
      </c>
      <c r="AE424" s="67">
        <v>0</v>
      </c>
      <c r="AF424" s="67">
        <v>0</v>
      </c>
      <c r="AG424" s="67">
        <v>0</v>
      </c>
      <c r="AH424" s="67">
        <v>0</v>
      </c>
      <c r="AI424" s="67">
        <v>0</v>
      </c>
      <c r="AJ424" s="67">
        <v>0</v>
      </c>
      <c r="AK424" s="67">
        <v>0</v>
      </c>
      <c r="AL424" s="67">
        <v>0</v>
      </c>
      <c r="AM424" s="67">
        <v>0</v>
      </c>
      <c r="AN424" s="67">
        <v>0</v>
      </c>
      <c r="AO424" s="67">
        <v>0</v>
      </c>
      <c r="AP424" s="67">
        <v>0</v>
      </c>
      <c r="AQ424" s="67">
        <v>0</v>
      </c>
      <c r="AR424" s="67">
        <v>0</v>
      </c>
      <c r="AS424" s="67">
        <v>0</v>
      </c>
      <c r="AT424" s="67"/>
      <c r="AU424" s="67"/>
      <c r="AV424" s="67"/>
      <c r="AW424" s="67">
        <v>0</v>
      </c>
      <c r="AX424" s="67">
        <v>0</v>
      </c>
      <c r="AY424" s="67"/>
      <c r="AZ424" s="67"/>
      <c r="BA424" s="67"/>
      <c r="BB424" s="67"/>
      <c r="BC424" s="67"/>
      <c r="BD424" s="67"/>
      <c r="BE424" s="67"/>
      <c r="BG424" s="67"/>
      <c r="BH424" s="67"/>
      <c r="BI424" s="67"/>
      <c r="BJ424" s="67">
        <v>0</v>
      </c>
      <c r="BK424" s="67"/>
      <c r="BL424" s="67"/>
      <c r="BP424" s="67"/>
      <c r="BQ424" s="67">
        <v>0</v>
      </c>
      <c r="BR424" s="67"/>
      <c r="BS424" s="67"/>
      <c r="BT424" s="67">
        <v>0</v>
      </c>
      <c r="BU424" s="67">
        <v>0</v>
      </c>
      <c r="BV424" s="67"/>
      <c r="BW424" s="67"/>
      <c r="BX424" s="67">
        <v>0</v>
      </c>
      <c r="BY424" s="67">
        <v>0</v>
      </c>
      <c r="BZ424" s="67">
        <v>0</v>
      </c>
      <c r="CA424" s="67"/>
      <c r="CB424" s="67">
        <v>0</v>
      </c>
      <c r="CC424" s="67"/>
      <c r="CD424" s="67"/>
      <c r="CE424" s="67">
        <v>0</v>
      </c>
      <c r="CF424" s="67"/>
      <c r="CG424" s="67"/>
      <c r="CH424" s="67"/>
      <c r="CI424" s="67"/>
      <c r="CJ424" s="67"/>
      <c r="CK424" s="67">
        <v>0</v>
      </c>
      <c r="CL424" s="67"/>
      <c r="CM424" s="67"/>
      <c r="CN424" s="67"/>
      <c r="CO424" s="67">
        <v>0</v>
      </c>
      <c r="CP424" s="67"/>
      <c r="CQ424" s="67"/>
      <c r="CR424" s="67"/>
      <c r="CS424" s="67"/>
      <c r="CT424" s="67"/>
      <c r="CU424" s="67">
        <v>0</v>
      </c>
      <c r="CV424" s="67"/>
      <c r="CW424" s="67"/>
      <c r="CX424" s="67"/>
      <c r="CY424" s="67">
        <v>0</v>
      </c>
      <c r="CZ424" s="67"/>
      <c r="DA424" s="67"/>
      <c r="DB424" s="67"/>
      <c r="DC424" s="67"/>
      <c r="DF424" s="67"/>
      <c r="DG424" s="67">
        <v>0</v>
      </c>
      <c r="DH424" s="67">
        <v>0</v>
      </c>
      <c r="DI424" s="67">
        <v>0</v>
      </c>
      <c r="DJ424" s="67"/>
      <c r="DK424" s="67">
        <v>0</v>
      </c>
      <c r="DL424" s="67">
        <v>0</v>
      </c>
      <c r="DM424" s="67">
        <v>0</v>
      </c>
      <c r="DN424" s="67"/>
      <c r="DO424" s="67"/>
      <c r="DP424" s="67"/>
      <c r="DQ424" s="67">
        <v>0</v>
      </c>
      <c r="DR424" s="67">
        <v>0</v>
      </c>
      <c r="DS424" s="67"/>
      <c r="DT424" s="67"/>
      <c r="DU424" s="67">
        <v>0</v>
      </c>
      <c r="DV424" s="67">
        <v>0</v>
      </c>
      <c r="DW424" s="67">
        <v>0</v>
      </c>
      <c r="DX424" s="67">
        <v>0</v>
      </c>
      <c r="DY424" s="67"/>
      <c r="DZ424" s="67">
        <v>0</v>
      </c>
      <c r="EA424" s="67"/>
      <c r="EB424" s="67">
        <v>0</v>
      </c>
      <c r="EC424" s="67"/>
      <c r="ED424" s="67">
        <v>0</v>
      </c>
      <c r="EE424" s="67"/>
      <c r="EF424" s="67">
        <v>0</v>
      </c>
      <c r="EG424" s="67"/>
      <c r="EH424" s="67"/>
      <c r="EI424" s="67"/>
      <c r="EJ424" s="67"/>
      <c r="EK424" s="67"/>
      <c r="EL424" s="67"/>
      <c r="EM424" s="67"/>
      <c r="EN424" s="67"/>
      <c r="EO424" s="67"/>
      <c r="EP424" s="67">
        <v>0</v>
      </c>
      <c r="EQ424" s="67">
        <v>0</v>
      </c>
      <c r="ER424" s="67">
        <v>0</v>
      </c>
      <c r="ES424" s="67"/>
      <c r="ET424">
        <v>0</v>
      </c>
      <c r="EX424" s="67"/>
      <c r="EY424" s="67"/>
      <c r="EZ424" s="67"/>
      <c r="FA424" s="67">
        <v>528</v>
      </c>
      <c r="FB424" s="67">
        <v>0</v>
      </c>
      <c r="FC424" s="67"/>
      <c r="FD424" s="67"/>
      <c r="FE424" s="67"/>
      <c r="FF424" s="67"/>
      <c r="FG424" s="67"/>
      <c r="FH424" s="67"/>
      <c r="FI424" s="67" t="s">
        <v>1734</v>
      </c>
    </row>
    <row r="425" spans="2:165" ht="24" x14ac:dyDescent="0.2">
      <c r="B425" s="67" t="s">
        <v>1121</v>
      </c>
      <c r="C425" s="67"/>
      <c r="D425" s="67" t="s">
        <v>1122</v>
      </c>
      <c r="E425" s="67" t="s">
        <v>13</v>
      </c>
      <c r="F425" s="67"/>
      <c r="G425" s="67" t="s">
        <v>694</v>
      </c>
      <c r="H425" s="67"/>
      <c r="I425" s="67" t="s">
        <v>41</v>
      </c>
      <c r="J425" s="67"/>
      <c r="K425" s="67"/>
      <c r="L425" s="67" t="s">
        <v>751</v>
      </c>
      <c r="M425" s="67" t="s">
        <v>752</v>
      </c>
      <c r="N425" s="67"/>
      <c r="O425" s="67" t="s">
        <v>1605</v>
      </c>
      <c r="P425" s="67"/>
      <c r="Q425" s="67">
        <v>0</v>
      </c>
      <c r="R425" s="67">
        <v>0</v>
      </c>
      <c r="S425" s="67">
        <v>0</v>
      </c>
      <c r="T425" s="67">
        <v>0</v>
      </c>
      <c r="U425" s="67">
        <v>0</v>
      </c>
      <c r="V425" s="67">
        <v>0</v>
      </c>
      <c r="W425" s="67">
        <v>0</v>
      </c>
      <c r="X425" s="67">
        <v>0</v>
      </c>
      <c r="Y425" s="67">
        <v>0</v>
      </c>
      <c r="Z425" s="67">
        <v>0</v>
      </c>
      <c r="AA425" s="67">
        <v>0</v>
      </c>
      <c r="AB425" s="67">
        <v>0</v>
      </c>
      <c r="AC425" s="67">
        <v>0</v>
      </c>
      <c r="AD425" s="67">
        <v>0</v>
      </c>
      <c r="AE425" s="67">
        <v>0</v>
      </c>
      <c r="AF425" s="67">
        <v>0</v>
      </c>
      <c r="AG425" s="67">
        <v>0</v>
      </c>
      <c r="AH425" s="67">
        <v>0</v>
      </c>
      <c r="AI425" s="67">
        <v>0</v>
      </c>
      <c r="AJ425" s="67">
        <v>0</v>
      </c>
      <c r="AK425" s="67">
        <v>0</v>
      </c>
      <c r="AL425" s="67">
        <v>0</v>
      </c>
      <c r="AM425" s="67">
        <v>0</v>
      </c>
      <c r="AN425" s="67">
        <v>0</v>
      </c>
      <c r="AO425" s="67">
        <v>0</v>
      </c>
      <c r="AP425" s="67">
        <v>0</v>
      </c>
      <c r="AQ425" s="67">
        <v>0</v>
      </c>
      <c r="AR425" s="67">
        <v>0</v>
      </c>
      <c r="AS425" s="67">
        <v>0</v>
      </c>
      <c r="AT425" s="67"/>
      <c r="AU425" s="67"/>
      <c r="AV425" s="67"/>
      <c r="AW425" s="67">
        <v>0</v>
      </c>
      <c r="AX425" s="67">
        <v>0</v>
      </c>
      <c r="AY425" s="67"/>
      <c r="AZ425" s="67"/>
      <c r="BA425" s="67"/>
      <c r="BB425" s="67"/>
      <c r="BC425" s="67"/>
      <c r="BD425" s="67"/>
      <c r="BE425" s="67"/>
      <c r="BG425" s="67"/>
      <c r="BH425" s="67"/>
      <c r="BI425" s="67"/>
      <c r="BJ425" s="67">
        <v>0</v>
      </c>
      <c r="BK425" s="67"/>
      <c r="BL425" s="67"/>
      <c r="BP425" s="67"/>
      <c r="BQ425" s="67">
        <v>0</v>
      </c>
      <c r="BR425" s="67"/>
      <c r="BS425" s="67"/>
      <c r="BT425" s="67">
        <v>0</v>
      </c>
      <c r="BU425" s="67">
        <v>0</v>
      </c>
      <c r="BV425" s="67"/>
      <c r="BW425" s="67"/>
      <c r="BX425" s="67">
        <v>0</v>
      </c>
      <c r="BY425" s="67">
        <v>0</v>
      </c>
      <c r="BZ425" s="67">
        <v>0</v>
      </c>
      <c r="CA425" s="67"/>
      <c r="CB425" s="67">
        <v>0</v>
      </c>
      <c r="CC425" s="67"/>
      <c r="CD425" s="67"/>
      <c r="CE425" s="67">
        <v>0</v>
      </c>
      <c r="CF425" s="67"/>
      <c r="CG425" s="67"/>
      <c r="CH425" s="67"/>
      <c r="CI425" s="67"/>
      <c r="CJ425" s="67"/>
      <c r="CK425" s="67">
        <v>0</v>
      </c>
      <c r="CL425" s="67"/>
      <c r="CM425" s="67"/>
      <c r="CN425" s="67"/>
      <c r="CO425" s="67">
        <v>0</v>
      </c>
      <c r="CP425" s="67"/>
      <c r="CQ425" s="67"/>
      <c r="CR425" s="67"/>
      <c r="CS425" s="67"/>
      <c r="CT425" s="67"/>
      <c r="CU425" s="67">
        <v>0</v>
      </c>
      <c r="CV425" s="67"/>
      <c r="CW425" s="67"/>
      <c r="CX425" s="67"/>
      <c r="CY425" s="67">
        <v>0</v>
      </c>
      <c r="CZ425" s="67"/>
      <c r="DA425" s="67"/>
      <c r="DB425" s="67"/>
      <c r="DC425" s="67"/>
      <c r="DF425" s="67"/>
      <c r="DG425" s="67">
        <v>0</v>
      </c>
      <c r="DH425" s="67">
        <v>0</v>
      </c>
      <c r="DI425" s="67">
        <v>0</v>
      </c>
      <c r="DJ425" s="67"/>
      <c r="DK425" s="67">
        <v>0</v>
      </c>
      <c r="DL425" s="67">
        <v>0</v>
      </c>
      <c r="DM425" s="67">
        <v>0</v>
      </c>
      <c r="DN425" s="67"/>
      <c r="DO425" s="67"/>
      <c r="DP425" s="67"/>
      <c r="DQ425" s="67">
        <v>0</v>
      </c>
      <c r="DR425" s="67">
        <v>0</v>
      </c>
      <c r="DS425" s="67"/>
      <c r="DT425" s="67"/>
      <c r="DU425" s="67">
        <v>0</v>
      </c>
      <c r="DV425" s="67">
        <v>0</v>
      </c>
      <c r="DW425" s="67">
        <v>0</v>
      </c>
      <c r="DX425" s="67">
        <v>0</v>
      </c>
      <c r="DY425" s="67"/>
      <c r="DZ425" s="67">
        <v>0</v>
      </c>
      <c r="EA425" s="67"/>
      <c r="EB425" s="67">
        <v>0</v>
      </c>
      <c r="EC425" s="67"/>
      <c r="ED425" s="67">
        <v>0</v>
      </c>
      <c r="EE425" s="67"/>
      <c r="EF425" s="67">
        <v>0</v>
      </c>
      <c r="EG425" s="67"/>
      <c r="EH425" s="67"/>
      <c r="EI425" s="67"/>
      <c r="EJ425" s="67"/>
      <c r="EK425" s="67"/>
      <c r="EL425" s="67"/>
      <c r="EM425" s="67"/>
      <c r="EN425" s="67"/>
      <c r="EO425" s="67"/>
      <c r="EP425" s="67">
        <v>0</v>
      </c>
      <c r="EQ425" s="67">
        <v>0</v>
      </c>
      <c r="ER425" s="67">
        <v>0</v>
      </c>
      <c r="ES425" s="67"/>
      <c r="ET425">
        <v>0</v>
      </c>
      <c r="EX425" s="67"/>
      <c r="EY425" s="67"/>
      <c r="EZ425" s="67"/>
      <c r="FA425" s="67">
        <v>0</v>
      </c>
      <c r="FB425" s="67">
        <v>0</v>
      </c>
      <c r="FC425" s="67"/>
      <c r="FD425" s="67"/>
      <c r="FE425" s="67"/>
      <c r="FF425" s="67"/>
      <c r="FG425" s="67"/>
      <c r="FH425" s="67"/>
      <c r="FI425" s="67" t="s">
        <v>1734</v>
      </c>
    </row>
    <row r="426" spans="2:165" ht="24" x14ac:dyDescent="0.2">
      <c r="B426" s="67" t="s">
        <v>1123</v>
      </c>
      <c r="C426" s="67"/>
      <c r="D426" s="67" t="s">
        <v>1124</v>
      </c>
      <c r="E426" s="67" t="s">
        <v>13</v>
      </c>
      <c r="F426" s="67" t="s">
        <v>1116</v>
      </c>
      <c r="G426" s="67" t="s">
        <v>694</v>
      </c>
      <c r="H426" s="67"/>
      <c r="I426" s="67" t="s">
        <v>41</v>
      </c>
      <c r="J426" s="67"/>
      <c r="K426" s="67"/>
      <c r="L426" s="67" t="s">
        <v>787</v>
      </c>
      <c r="M426" s="67" t="s">
        <v>752</v>
      </c>
      <c r="N426" s="67"/>
      <c r="O426" s="67" t="s">
        <v>1606</v>
      </c>
      <c r="P426" s="67" t="s">
        <v>942</v>
      </c>
      <c r="Q426" s="67">
        <v>140</v>
      </c>
      <c r="R426" s="67">
        <v>140</v>
      </c>
      <c r="S426" s="67">
        <v>0</v>
      </c>
      <c r="T426" s="67">
        <v>0</v>
      </c>
      <c r="U426" s="67">
        <v>0</v>
      </c>
      <c r="V426" s="67">
        <v>0</v>
      </c>
      <c r="W426" s="67">
        <v>0</v>
      </c>
      <c r="X426" s="67">
        <v>0</v>
      </c>
      <c r="Y426" s="67">
        <v>0</v>
      </c>
      <c r="Z426" s="67">
        <v>0</v>
      </c>
      <c r="AA426" s="67">
        <v>0</v>
      </c>
      <c r="AB426" s="67">
        <v>0</v>
      </c>
      <c r="AC426" s="67">
        <v>0</v>
      </c>
      <c r="AD426" s="67">
        <v>0</v>
      </c>
      <c r="AE426" s="67">
        <v>0</v>
      </c>
      <c r="AF426" s="67">
        <v>0</v>
      </c>
      <c r="AG426" s="67">
        <v>0</v>
      </c>
      <c r="AH426" s="67">
        <v>0</v>
      </c>
      <c r="AI426" s="67">
        <v>0</v>
      </c>
      <c r="AJ426" s="67">
        <v>0</v>
      </c>
      <c r="AK426" s="67">
        <v>0</v>
      </c>
      <c r="AL426" s="67">
        <v>0</v>
      </c>
      <c r="AM426" s="67">
        <v>0</v>
      </c>
      <c r="AN426" s="67">
        <v>0</v>
      </c>
      <c r="AO426" s="67">
        <v>0</v>
      </c>
      <c r="AP426" s="67">
        <v>0</v>
      </c>
      <c r="AQ426" s="67">
        <v>0</v>
      </c>
      <c r="AR426" s="67">
        <v>0</v>
      </c>
      <c r="AS426" s="67">
        <v>0</v>
      </c>
      <c r="AT426" s="67"/>
      <c r="AU426" s="67"/>
      <c r="AV426" s="67"/>
      <c r="AW426" s="67">
        <v>0</v>
      </c>
      <c r="AX426" s="67">
        <v>0</v>
      </c>
      <c r="AY426" s="67"/>
      <c r="AZ426" s="67"/>
      <c r="BA426" s="67"/>
      <c r="BB426" s="67"/>
      <c r="BC426" s="67"/>
      <c r="BD426" s="67"/>
      <c r="BE426" s="67"/>
      <c r="BG426" s="67"/>
      <c r="BH426" s="67"/>
      <c r="BI426" s="67"/>
      <c r="BJ426" s="67">
        <v>0</v>
      </c>
      <c r="BK426" s="67"/>
      <c r="BL426" s="67"/>
      <c r="BP426" s="67"/>
      <c r="BQ426" s="67">
        <v>0</v>
      </c>
      <c r="BR426" s="67"/>
      <c r="BS426" s="67"/>
      <c r="BT426" s="67">
        <v>0</v>
      </c>
      <c r="BU426" s="67">
        <v>0</v>
      </c>
      <c r="BV426" s="67"/>
      <c r="BW426" s="67"/>
      <c r="BX426" s="67">
        <v>0</v>
      </c>
      <c r="BY426" s="67">
        <v>0</v>
      </c>
      <c r="BZ426" s="67">
        <v>0</v>
      </c>
      <c r="CA426" s="67"/>
      <c r="CB426" s="67">
        <v>0</v>
      </c>
      <c r="CC426" s="67"/>
      <c r="CD426" s="67"/>
      <c r="CE426" s="67">
        <v>0</v>
      </c>
      <c r="CF426" s="67"/>
      <c r="CG426" s="67"/>
      <c r="CH426" s="67"/>
      <c r="CI426" s="67"/>
      <c r="CJ426" s="67"/>
      <c r="CK426" s="67">
        <v>0</v>
      </c>
      <c r="CL426" s="67"/>
      <c r="CM426" s="67"/>
      <c r="CN426" s="67"/>
      <c r="CO426" s="67">
        <v>0</v>
      </c>
      <c r="CP426" s="67"/>
      <c r="CQ426" s="67"/>
      <c r="CR426" s="67"/>
      <c r="CS426" s="67"/>
      <c r="CT426" s="67"/>
      <c r="CU426" s="67">
        <v>0</v>
      </c>
      <c r="CV426" s="67"/>
      <c r="CW426" s="67"/>
      <c r="CX426" s="67"/>
      <c r="CY426" s="67">
        <v>0</v>
      </c>
      <c r="CZ426" s="67"/>
      <c r="DA426" s="67"/>
      <c r="DB426" s="67"/>
      <c r="DC426" s="67"/>
      <c r="DF426" s="67"/>
      <c r="DG426" s="67">
        <v>0</v>
      </c>
      <c r="DH426" s="67">
        <v>0</v>
      </c>
      <c r="DI426" s="67">
        <v>0</v>
      </c>
      <c r="DJ426" s="67"/>
      <c r="DK426" s="67">
        <v>0</v>
      </c>
      <c r="DL426" s="67">
        <v>0</v>
      </c>
      <c r="DM426" s="67">
        <v>0</v>
      </c>
      <c r="DN426" s="67"/>
      <c r="DO426" s="67"/>
      <c r="DP426" s="67"/>
      <c r="DQ426" s="67">
        <v>0</v>
      </c>
      <c r="DR426" s="67">
        <v>0</v>
      </c>
      <c r="DS426" s="67"/>
      <c r="DT426" s="67"/>
      <c r="DU426" s="67">
        <v>0</v>
      </c>
      <c r="DV426" s="67">
        <v>0</v>
      </c>
      <c r="DW426" s="67">
        <v>0</v>
      </c>
      <c r="DX426" s="67">
        <v>0</v>
      </c>
      <c r="DY426" s="67"/>
      <c r="DZ426" s="67">
        <v>0</v>
      </c>
      <c r="EA426" s="67"/>
      <c r="EB426" s="67">
        <v>0</v>
      </c>
      <c r="EC426" s="67"/>
      <c r="ED426" s="67">
        <v>0</v>
      </c>
      <c r="EE426" s="67"/>
      <c r="EF426" s="67">
        <v>0</v>
      </c>
      <c r="EG426" s="67"/>
      <c r="EH426" s="67"/>
      <c r="EI426" s="67"/>
      <c r="EJ426" s="67"/>
      <c r="EK426" s="67"/>
      <c r="EL426" s="67"/>
      <c r="EM426" s="67"/>
      <c r="EN426" s="67"/>
      <c r="EO426" s="67"/>
      <c r="EP426" s="67">
        <v>0</v>
      </c>
      <c r="EQ426" s="67">
        <v>0</v>
      </c>
      <c r="ER426" s="67">
        <v>0</v>
      </c>
      <c r="ES426" s="67"/>
      <c r="ET426">
        <v>0</v>
      </c>
      <c r="EX426" s="67"/>
      <c r="EY426" s="67"/>
      <c r="EZ426" s="67"/>
      <c r="FA426" s="67">
        <v>140</v>
      </c>
      <c r="FB426" s="67">
        <v>0</v>
      </c>
      <c r="FC426" s="67"/>
      <c r="FD426" s="67"/>
      <c r="FE426" s="67"/>
      <c r="FF426" s="67"/>
      <c r="FG426" s="67"/>
      <c r="FH426" s="67"/>
      <c r="FI426" s="67" t="s">
        <v>1734</v>
      </c>
    </row>
    <row r="427" spans="2:165" x14ac:dyDescent="0.2">
      <c r="B427" s="67" t="s">
        <v>1125</v>
      </c>
      <c r="C427" s="67"/>
      <c r="D427" s="67" t="s">
        <v>1126</v>
      </c>
      <c r="E427" s="67" t="s">
        <v>35</v>
      </c>
      <c r="F427" s="67"/>
      <c r="G427" s="67" t="s">
        <v>694</v>
      </c>
      <c r="H427" s="67"/>
      <c r="I427" s="67" t="s">
        <v>786</v>
      </c>
      <c r="J427" s="67"/>
      <c r="K427" s="67" t="s">
        <v>733</v>
      </c>
      <c r="L427" s="67"/>
      <c r="M427" s="67"/>
      <c r="N427" s="67"/>
      <c r="O427" s="67" t="s">
        <v>1605</v>
      </c>
      <c r="P427" s="67"/>
      <c r="Q427" s="67">
        <v>0</v>
      </c>
      <c r="R427" s="67">
        <v>0</v>
      </c>
      <c r="S427" s="67">
        <v>0</v>
      </c>
      <c r="T427" s="67">
        <v>0</v>
      </c>
      <c r="U427" s="67">
        <v>0</v>
      </c>
      <c r="V427" s="67">
        <v>0</v>
      </c>
      <c r="W427" s="67">
        <v>0</v>
      </c>
      <c r="X427" s="67">
        <v>0</v>
      </c>
      <c r="Y427" s="67">
        <v>0</v>
      </c>
      <c r="Z427" s="67">
        <v>0</v>
      </c>
      <c r="AA427" s="67">
        <v>0</v>
      </c>
      <c r="AB427" s="67">
        <v>0</v>
      </c>
      <c r="AC427" s="67">
        <v>0</v>
      </c>
      <c r="AD427" s="67">
        <v>0</v>
      </c>
      <c r="AE427" s="67">
        <v>0</v>
      </c>
      <c r="AF427" s="67">
        <v>0</v>
      </c>
      <c r="AG427" s="67">
        <v>0</v>
      </c>
      <c r="AH427" s="67">
        <v>0</v>
      </c>
      <c r="AI427" s="67">
        <v>0</v>
      </c>
      <c r="AJ427" s="67">
        <v>0</v>
      </c>
      <c r="AK427" s="67">
        <v>0</v>
      </c>
      <c r="AL427" s="67">
        <v>0</v>
      </c>
      <c r="AM427" s="67">
        <v>0</v>
      </c>
      <c r="AN427" s="67">
        <v>0</v>
      </c>
      <c r="AO427" s="67">
        <v>0</v>
      </c>
      <c r="AP427" s="67">
        <v>0</v>
      </c>
      <c r="AQ427" s="67">
        <v>0</v>
      </c>
      <c r="AR427" s="67">
        <v>0</v>
      </c>
      <c r="AS427" s="67">
        <v>0</v>
      </c>
      <c r="AT427" s="67"/>
      <c r="AU427" s="67"/>
      <c r="AV427" s="67"/>
      <c r="AW427" s="67">
        <v>0</v>
      </c>
      <c r="AX427" s="67">
        <v>0</v>
      </c>
      <c r="AY427" s="67"/>
      <c r="AZ427" s="67"/>
      <c r="BA427" s="67"/>
      <c r="BB427" s="67"/>
      <c r="BC427" s="67"/>
      <c r="BD427" s="67"/>
      <c r="BE427" s="67"/>
      <c r="BG427" s="67"/>
      <c r="BH427" s="67"/>
      <c r="BI427" s="67"/>
      <c r="BJ427" s="67">
        <v>0</v>
      </c>
      <c r="BK427" s="67"/>
      <c r="BL427" s="67"/>
      <c r="BP427" s="67"/>
      <c r="BQ427" s="67">
        <v>0</v>
      </c>
      <c r="BR427" s="67"/>
      <c r="BS427" s="67"/>
      <c r="BT427" s="67">
        <v>0</v>
      </c>
      <c r="BU427" s="67">
        <v>0</v>
      </c>
      <c r="BV427" s="67"/>
      <c r="BW427" s="67"/>
      <c r="BX427" s="67">
        <v>0</v>
      </c>
      <c r="BY427" s="67">
        <v>0</v>
      </c>
      <c r="BZ427" s="67">
        <v>0</v>
      </c>
      <c r="CA427" s="67"/>
      <c r="CB427" s="67">
        <v>0</v>
      </c>
      <c r="CC427" s="67"/>
      <c r="CD427" s="67"/>
      <c r="CE427" s="67">
        <v>0</v>
      </c>
      <c r="CF427" s="67"/>
      <c r="CG427" s="67"/>
      <c r="CH427" s="67"/>
      <c r="CI427" s="67"/>
      <c r="CJ427" s="67"/>
      <c r="CK427" s="67">
        <v>0</v>
      </c>
      <c r="CL427" s="67"/>
      <c r="CM427" s="67"/>
      <c r="CN427" s="67"/>
      <c r="CO427" s="67">
        <v>0</v>
      </c>
      <c r="CP427" s="67"/>
      <c r="CQ427" s="67"/>
      <c r="CR427" s="67"/>
      <c r="CS427" s="67"/>
      <c r="CT427" s="67"/>
      <c r="CU427" s="67">
        <v>0</v>
      </c>
      <c r="CV427" s="67"/>
      <c r="CW427" s="67"/>
      <c r="CX427" s="67"/>
      <c r="CY427" s="67">
        <v>0</v>
      </c>
      <c r="CZ427" s="67"/>
      <c r="DA427" s="67"/>
      <c r="DB427" s="67"/>
      <c r="DC427" s="67"/>
      <c r="DF427" s="67"/>
      <c r="DG427" s="67">
        <v>0</v>
      </c>
      <c r="DH427" s="67">
        <v>0</v>
      </c>
      <c r="DI427" s="67">
        <v>0</v>
      </c>
      <c r="DJ427" s="67"/>
      <c r="DK427" s="67">
        <v>0</v>
      </c>
      <c r="DL427" s="67">
        <v>0</v>
      </c>
      <c r="DM427" s="67">
        <v>0</v>
      </c>
      <c r="DN427" s="67"/>
      <c r="DO427" s="67"/>
      <c r="DP427" s="67"/>
      <c r="DQ427" s="67">
        <v>0</v>
      </c>
      <c r="DR427" s="67">
        <v>0</v>
      </c>
      <c r="DS427" s="67"/>
      <c r="DT427" s="67"/>
      <c r="DU427" s="67">
        <v>0</v>
      </c>
      <c r="DV427" s="67">
        <v>0</v>
      </c>
      <c r="DW427" s="67">
        <v>0</v>
      </c>
      <c r="DX427" s="67">
        <v>0</v>
      </c>
      <c r="DY427" s="67"/>
      <c r="DZ427" s="67">
        <v>0</v>
      </c>
      <c r="EA427" s="67"/>
      <c r="EB427" s="67">
        <v>0</v>
      </c>
      <c r="EC427" s="67"/>
      <c r="ED427" s="67">
        <v>0</v>
      </c>
      <c r="EE427" s="67"/>
      <c r="EF427" s="67">
        <v>0</v>
      </c>
      <c r="EG427" s="67"/>
      <c r="EH427" s="67"/>
      <c r="EI427" s="67"/>
      <c r="EJ427" s="67"/>
      <c r="EK427" s="67"/>
      <c r="EL427" s="67"/>
      <c r="EM427" s="67"/>
      <c r="EN427" s="67"/>
      <c r="EO427" s="67"/>
      <c r="EP427" s="67">
        <v>0</v>
      </c>
      <c r="EQ427" s="67">
        <v>0</v>
      </c>
      <c r="ER427" s="67">
        <v>0</v>
      </c>
      <c r="ES427" s="67"/>
      <c r="ET427">
        <v>0</v>
      </c>
      <c r="EX427" s="67"/>
      <c r="EY427" s="67"/>
      <c r="EZ427" s="67"/>
      <c r="FA427" s="67">
        <v>0</v>
      </c>
      <c r="FB427" s="67">
        <v>0</v>
      </c>
      <c r="FC427" s="67"/>
      <c r="FD427" s="67"/>
      <c r="FE427" s="67"/>
      <c r="FF427" s="67"/>
      <c r="FG427" s="67"/>
      <c r="FH427" s="67"/>
      <c r="FI427" s="67" t="s">
        <v>1734</v>
      </c>
    </row>
    <row r="428" spans="2:165" ht="24" x14ac:dyDescent="0.2">
      <c r="B428" s="67" t="s">
        <v>1127</v>
      </c>
      <c r="C428" s="67"/>
      <c r="D428" s="67" t="s">
        <v>1128</v>
      </c>
      <c r="E428" s="67" t="s">
        <v>13</v>
      </c>
      <c r="F428" s="67" t="s">
        <v>1129</v>
      </c>
      <c r="G428" s="67" t="s">
        <v>694</v>
      </c>
      <c r="H428" s="67"/>
      <c r="I428" s="67" t="s">
        <v>41</v>
      </c>
      <c r="J428" s="67"/>
      <c r="K428" s="67"/>
      <c r="L428" s="67" t="s">
        <v>767</v>
      </c>
      <c r="M428" s="67" t="s">
        <v>752</v>
      </c>
      <c r="N428" s="67"/>
      <c r="O428" s="67" t="s">
        <v>1605</v>
      </c>
      <c r="P428" s="67"/>
      <c r="Q428" s="67">
        <v>0</v>
      </c>
      <c r="R428" s="67">
        <v>0</v>
      </c>
      <c r="S428" s="67">
        <v>0</v>
      </c>
      <c r="T428" s="67">
        <v>0</v>
      </c>
      <c r="U428" s="67">
        <v>0</v>
      </c>
      <c r="V428" s="67">
        <v>0</v>
      </c>
      <c r="W428" s="67">
        <v>0</v>
      </c>
      <c r="X428" s="67">
        <v>0</v>
      </c>
      <c r="Y428" s="67">
        <v>0</v>
      </c>
      <c r="Z428" s="67">
        <v>0</v>
      </c>
      <c r="AA428" s="67">
        <v>0</v>
      </c>
      <c r="AB428" s="67">
        <v>0</v>
      </c>
      <c r="AC428" s="67">
        <v>0</v>
      </c>
      <c r="AD428" s="67">
        <v>0</v>
      </c>
      <c r="AE428" s="67">
        <v>0</v>
      </c>
      <c r="AF428" s="67">
        <v>0</v>
      </c>
      <c r="AG428" s="67">
        <v>0</v>
      </c>
      <c r="AH428" s="67">
        <v>0</v>
      </c>
      <c r="AI428" s="67">
        <v>0</v>
      </c>
      <c r="AJ428" s="67">
        <v>0</v>
      </c>
      <c r="AK428" s="67">
        <v>0</v>
      </c>
      <c r="AL428" s="67">
        <v>0</v>
      </c>
      <c r="AM428" s="67">
        <v>0</v>
      </c>
      <c r="AN428" s="67">
        <v>0</v>
      </c>
      <c r="AO428" s="67">
        <v>0</v>
      </c>
      <c r="AP428" s="67">
        <v>0</v>
      </c>
      <c r="AQ428" s="67">
        <v>0</v>
      </c>
      <c r="AR428" s="67">
        <v>0</v>
      </c>
      <c r="AS428" s="67">
        <v>0</v>
      </c>
      <c r="AT428" s="67"/>
      <c r="AU428" s="67"/>
      <c r="AV428" s="67"/>
      <c r="AW428" s="67">
        <v>0</v>
      </c>
      <c r="AX428" s="67">
        <v>0</v>
      </c>
      <c r="AY428" s="67"/>
      <c r="AZ428" s="67"/>
      <c r="BA428" s="67"/>
      <c r="BB428" s="67"/>
      <c r="BC428" s="67"/>
      <c r="BD428" s="67"/>
      <c r="BE428" s="67"/>
      <c r="BG428" s="67"/>
      <c r="BH428" s="67"/>
      <c r="BI428" s="67"/>
      <c r="BJ428" s="67">
        <v>0</v>
      </c>
      <c r="BK428" s="67"/>
      <c r="BL428" s="67"/>
      <c r="BP428" s="67"/>
      <c r="BQ428" s="67">
        <v>0</v>
      </c>
      <c r="BR428" s="67"/>
      <c r="BS428" s="67"/>
      <c r="BT428" s="67">
        <v>0</v>
      </c>
      <c r="BU428" s="67">
        <v>0</v>
      </c>
      <c r="BV428" s="67"/>
      <c r="BW428" s="67"/>
      <c r="BX428" s="67">
        <v>0</v>
      </c>
      <c r="BY428" s="67">
        <v>0</v>
      </c>
      <c r="BZ428" s="67">
        <v>0</v>
      </c>
      <c r="CA428" s="67"/>
      <c r="CB428" s="67">
        <v>0</v>
      </c>
      <c r="CC428" s="67"/>
      <c r="CD428" s="67"/>
      <c r="CE428" s="67">
        <v>0</v>
      </c>
      <c r="CF428" s="67"/>
      <c r="CG428" s="67"/>
      <c r="CH428" s="67"/>
      <c r="CI428" s="67"/>
      <c r="CJ428" s="67"/>
      <c r="CK428" s="67">
        <v>0</v>
      </c>
      <c r="CL428" s="67"/>
      <c r="CM428" s="67"/>
      <c r="CN428" s="67"/>
      <c r="CO428" s="67">
        <v>0</v>
      </c>
      <c r="CP428" s="67"/>
      <c r="CQ428" s="67"/>
      <c r="CR428" s="67"/>
      <c r="CS428" s="67"/>
      <c r="CT428" s="67"/>
      <c r="CU428" s="67">
        <v>0</v>
      </c>
      <c r="CV428" s="67"/>
      <c r="CW428" s="67"/>
      <c r="CX428" s="67"/>
      <c r="CY428" s="67">
        <v>0</v>
      </c>
      <c r="CZ428" s="67"/>
      <c r="DA428" s="67"/>
      <c r="DB428" s="67"/>
      <c r="DC428" s="67"/>
      <c r="DF428" s="67"/>
      <c r="DG428" s="67">
        <v>0</v>
      </c>
      <c r="DH428" s="67">
        <v>0</v>
      </c>
      <c r="DI428" s="67">
        <v>0</v>
      </c>
      <c r="DJ428" s="67"/>
      <c r="DK428" s="67">
        <v>0</v>
      </c>
      <c r="DL428" s="67">
        <v>0</v>
      </c>
      <c r="DM428" s="67">
        <v>0</v>
      </c>
      <c r="DN428" s="67"/>
      <c r="DO428" s="67"/>
      <c r="DP428" s="67"/>
      <c r="DQ428" s="67">
        <v>0</v>
      </c>
      <c r="DR428" s="67">
        <v>0</v>
      </c>
      <c r="DS428" s="67"/>
      <c r="DT428" s="67"/>
      <c r="DU428" s="67">
        <v>0</v>
      </c>
      <c r="DV428" s="67">
        <v>0</v>
      </c>
      <c r="DW428" s="67">
        <v>0</v>
      </c>
      <c r="DX428" s="67">
        <v>0</v>
      </c>
      <c r="DY428" s="67"/>
      <c r="DZ428" s="67">
        <v>0</v>
      </c>
      <c r="EA428" s="67"/>
      <c r="EB428" s="67">
        <v>0</v>
      </c>
      <c r="EC428" s="67"/>
      <c r="ED428" s="67">
        <v>0</v>
      </c>
      <c r="EE428" s="67"/>
      <c r="EF428" s="67">
        <v>0</v>
      </c>
      <c r="EG428" s="67"/>
      <c r="EH428" s="67"/>
      <c r="EI428" s="67"/>
      <c r="EJ428" s="67"/>
      <c r="EK428" s="67"/>
      <c r="EL428" s="67"/>
      <c r="EM428" s="67"/>
      <c r="EN428" s="67"/>
      <c r="EO428" s="67"/>
      <c r="EP428" s="67">
        <v>0</v>
      </c>
      <c r="EQ428" s="67">
        <v>0</v>
      </c>
      <c r="ER428" s="67">
        <v>0</v>
      </c>
      <c r="ES428" s="67"/>
      <c r="ET428">
        <v>0</v>
      </c>
      <c r="EX428" s="67"/>
      <c r="EY428" s="67"/>
      <c r="EZ428" s="67"/>
      <c r="FA428" s="67">
        <v>0</v>
      </c>
      <c r="FB428" s="67">
        <v>0</v>
      </c>
      <c r="FC428" s="67"/>
      <c r="FD428" s="67"/>
      <c r="FE428" s="67"/>
      <c r="FF428" s="67"/>
      <c r="FG428" s="67"/>
      <c r="FH428" s="67"/>
      <c r="FI428" s="67" t="s">
        <v>1734</v>
      </c>
    </row>
    <row r="429" spans="2:165" x14ac:dyDescent="0.2">
      <c r="B429" s="67" t="s">
        <v>1131</v>
      </c>
      <c r="C429" s="67"/>
      <c r="D429" s="67" t="s">
        <v>1132</v>
      </c>
      <c r="E429" s="67"/>
      <c r="F429" s="67"/>
      <c r="G429" s="67" t="s">
        <v>694</v>
      </c>
      <c r="H429" s="67"/>
      <c r="I429" s="67"/>
      <c r="J429" s="67"/>
      <c r="K429" s="67"/>
      <c r="L429" s="67" t="s">
        <v>751</v>
      </c>
      <c r="M429" s="67" t="s">
        <v>752</v>
      </c>
      <c r="N429" s="67"/>
      <c r="O429" s="67" t="s">
        <v>1610</v>
      </c>
      <c r="P429" s="67"/>
      <c r="Q429" s="67">
        <v>90</v>
      </c>
      <c r="R429" s="67">
        <v>0</v>
      </c>
      <c r="S429" s="67">
        <v>0</v>
      </c>
      <c r="T429" s="67">
        <v>90</v>
      </c>
      <c r="U429" s="67">
        <v>0</v>
      </c>
      <c r="V429" s="67">
        <v>0</v>
      </c>
      <c r="W429" s="67">
        <v>0</v>
      </c>
      <c r="X429" s="67">
        <v>0</v>
      </c>
      <c r="Y429" s="67">
        <v>0</v>
      </c>
      <c r="Z429" s="67">
        <v>0</v>
      </c>
      <c r="AA429" s="67">
        <v>0</v>
      </c>
      <c r="AB429" s="67">
        <v>0</v>
      </c>
      <c r="AC429" s="67">
        <v>0</v>
      </c>
      <c r="AD429" s="67">
        <v>0</v>
      </c>
      <c r="AE429" s="67">
        <v>0</v>
      </c>
      <c r="AF429" s="67">
        <v>0</v>
      </c>
      <c r="AG429" s="67">
        <v>0</v>
      </c>
      <c r="AH429" s="67">
        <v>0</v>
      </c>
      <c r="AI429" s="67">
        <v>0</v>
      </c>
      <c r="AJ429" s="67">
        <v>0</v>
      </c>
      <c r="AK429" s="67">
        <v>0</v>
      </c>
      <c r="AL429" s="67">
        <v>0</v>
      </c>
      <c r="AM429" s="67">
        <v>0</v>
      </c>
      <c r="AN429" s="67">
        <v>0</v>
      </c>
      <c r="AO429" s="67">
        <v>0</v>
      </c>
      <c r="AP429" s="67">
        <v>0</v>
      </c>
      <c r="AQ429" s="67">
        <v>0</v>
      </c>
      <c r="AR429" s="67">
        <v>0</v>
      </c>
      <c r="AS429" s="67">
        <v>0</v>
      </c>
      <c r="AT429" s="67"/>
      <c r="AU429" s="67"/>
      <c r="AV429" s="67"/>
      <c r="AW429" s="67">
        <v>0</v>
      </c>
      <c r="AX429" s="67">
        <v>0</v>
      </c>
      <c r="AY429" s="67"/>
      <c r="AZ429" s="67"/>
      <c r="BA429" s="67"/>
      <c r="BB429" s="67"/>
      <c r="BC429" s="67"/>
      <c r="BD429" s="67"/>
      <c r="BE429" s="67"/>
      <c r="BG429" s="67"/>
      <c r="BH429" s="67"/>
      <c r="BI429" s="67"/>
      <c r="BJ429" s="67">
        <v>0</v>
      </c>
      <c r="BK429" s="67"/>
      <c r="BL429" s="67"/>
      <c r="BP429" s="67"/>
      <c r="BQ429" s="67">
        <v>0</v>
      </c>
      <c r="BR429" s="67"/>
      <c r="BS429" s="67"/>
      <c r="BT429" s="67">
        <v>0</v>
      </c>
      <c r="BU429" s="67">
        <v>0</v>
      </c>
      <c r="BV429" s="67"/>
      <c r="BW429" s="67"/>
      <c r="BX429" s="67">
        <v>0</v>
      </c>
      <c r="BY429" s="67">
        <v>0</v>
      </c>
      <c r="BZ429" s="67">
        <v>0</v>
      </c>
      <c r="CA429" s="67"/>
      <c r="CB429" s="67">
        <v>0</v>
      </c>
      <c r="CC429" s="67"/>
      <c r="CD429" s="67"/>
      <c r="CE429" s="67">
        <v>0</v>
      </c>
      <c r="CF429" s="67"/>
      <c r="CG429" s="67"/>
      <c r="CH429" s="67"/>
      <c r="CI429" s="67"/>
      <c r="CJ429" s="67"/>
      <c r="CK429" s="67">
        <v>0</v>
      </c>
      <c r="CL429" s="67"/>
      <c r="CM429" s="67"/>
      <c r="CN429" s="67"/>
      <c r="CO429" s="67">
        <v>0</v>
      </c>
      <c r="CP429" s="67"/>
      <c r="CQ429" s="67"/>
      <c r="CR429" s="67"/>
      <c r="CS429" s="67"/>
      <c r="CT429" s="67"/>
      <c r="CU429" s="67">
        <v>0</v>
      </c>
      <c r="CV429" s="67"/>
      <c r="CW429" s="67"/>
      <c r="CX429" s="67"/>
      <c r="CY429" s="67">
        <v>0</v>
      </c>
      <c r="CZ429" s="67"/>
      <c r="DA429" s="67"/>
      <c r="DB429" s="67"/>
      <c r="DC429" s="67"/>
      <c r="DF429" s="67"/>
      <c r="DG429" s="67">
        <v>9</v>
      </c>
      <c r="DH429" s="67">
        <v>9</v>
      </c>
      <c r="DI429" s="67">
        <v>0</v>
      </c>
      <c r="DJ429" s="67"/>
      <c r="DK429" s="67">
        <v>0</v>
      </c>
      <c r="DL429" s="67">
        <v>0</v>
      </c>
      <c r="DM429" s="67">
        <v>0</v>
      </c>
      <c r="DN429" s="67"/>
      <c r="DO429" s="67"/>
      <c r="DP429" s="67"/>
      <c r="DQ429" s="67">
        <v>0</v>
      </c>
      <c r="DR429" s="67">
        <v>0</v>
      </c>
      <c r="DS429" s="67"/>
      <c r="DT429" s="67"/>
      <c r="DU429" s="67">
        <v>0</v>
      </c>
      <c r="DV429" s="67">
        <v>0</v>
      </c>
      <c r="DW429" s="67">
        <v>0</v>
      </c>
      <c r="DX429" s="67">
        <v>0</v>
      </c>
      <c r="DY429" s="67"/>
      <c r="DZ429" s="67">
        <v>0</v>
      </c>
      <c r="EA429" s="67"/>
      <c r="EB429" s="67">
        <v>0</v>
      </c>
      <c r="EC429" s="67"/>
      <c r="ED429" s="67">
        <v>0</v>
      </c>
      <c r="EE429" s="67"/>
      <c r="EF429" s="67">
        <v>0</v>
      </c>
      <c r="EG429" s="67"/>
      <c r="EH429" s="67"/>
      <c r="EI429" s="67"/>
      <c r="EJ429" s="67"/>
      <c r="EK429" s="67"/>
      <c r="EL429" s="67"/>
      <c r="EM429" s="67"/>
      <c r="EN429" s="67"/>
      <c r="EO429" s="67"/>
      <c r="EP429" s="67">
        <v>0</v>
      </c>
      <c r="EQ429" s="67">
        <v>0</v>
      </c>
      <c r="ER429" s="67">
        <v>0</v>
      </c>
      <c r="ES429" s="67"/>
      <c r="ET429">
        <v>0</v>
      </c>
      <c r="EX429" s="67"/>
      <c r="EY429" s="67"/>
      <c r="EZ429" s="67"/>
      <c r="FA429" s="67">
        <v>99</v>
      </c>
      <c r="FB429" s="67">
        <v>0</v>
      </c>
      <c r="FC429" s="67"/>
      <c r="FD429" s="67"/>
      <c r="FE429" s="67"/>
      <c r="FF429" s="67"/>
      <c r="FG429" s="67"/>
      <c r="FH429" s="67"/>
      <c r="FI429" s="67" t="s">
        <v>1734</v>
      </c>
    </row>
    <row r="430" spans="2:165" ht="24" x14ac:dyDescent="0.2">
      <c r="B430" s="67" t="s">
        <v>1133</v>
      </c>
      <c r="C430" s="67"/>
      <c r="D430" s="67" t="s">
        <v>1134</v>
      </c>
      <c r="E430" s="67" t="s">
        <v>13</v>
      </c>
      <c r="F430" s="67"/>
      <c r="G430" s="67" t="s">
        <v>694</v>
      </c>
      <c r="H430" s="67"/>
      <c r="I430" s="67" t="s">
        <v>41</v>
      </c>
      <c r="J430" s="67"/>
      <c r="K430" s="67"/>
      <c r="L430" s="67" t="s">
        <v>779</v>
      </c>
      <c r="M430" s="67" t="s">
        <v>752</v>
      </c>
      <c r="N430" s="67"/>
      <c r="O430" s="67" t="s">
        <v>1605</v>
      </c>
      <c r="P430" s="67"/>
      <c r="Q430" s="67">
        <v>0</v>
      </c>
      <c r="R430" s="67">
        <v>0</v>
      </c>
      <c r="S430" s="67">
        <v>0</v>
      </c>
      <c r="T430" s="67">
        <v>0</v>
      </c>
      <c r="U430" s="67">
        <v>0</v>
      </c>
      <c r="V430" s="67">
        <v>0</v>
      </c>
      <c r="W430" s="67">
        <v>0</v>
      </c>
      <c r="X430" s="67">
        <v>0</v>
      </c>
      <c r="Y430" s="67">
        <v>0</v>
      </c>
      <c r="Z430" s="67">
        <v>0</v>
      </c>
      <c r="AA430" s="67">
        <v>0</v>
      </c>
      <c r="AB430" s="67">
        <v>0</v>
      </c>
      <c r="AC430" s="67">
        <v>0</v>
      </c>
      <c r="AD430" s="67">
        <v>0</v>
      </c>
      <c r="AE430" s="67">
        <v>0</v>
      </c>
      <c r="AF430" s="67">
        <v>0</v>
      </c>
      <c r="AG430" s="67">
        <v>0</v>
      </c>
      <c r="AH430" s="67">
        <v>0</v>
      </c>
      <c r="AI430" s="67">
        <v>0</v>
      </c>
      <c r="AJ430" s="67">
        <v>0</v>
      </c>
      <c r="AK430" s="67">
        <v>0</v>
      </c>
      <c r="AL430" s="67">
        <v>0</v>
      </c>
      <c r="AM430" s="67">
        <v>0</v>
      </c>
      <c r="AN430" s="67">
        <v>0</v>
      </c>
      <c r="AO430" s="67">
        <v>0</v>
      </c>
      <c r="AP430" s="67">
        <v>0</v>
      </c>
      <c r="AQ430" s="67">
        <v>0</v>
      </c>
      <c r="AR430" s="67">
        <v>0</v>
      </c>
      <c r="AS430" s="67">
        <v>0</v>
      </c>
      <c r="AT430" s="67"/>
      <c r="AU430" s="67"/>
      <c r="AV430" s="67"/>
      <c r="AW430" s="67">
        <v>0</v>
      </c>
      <c r="AX430" s="67">
        <v>0</v>
      </c>
      <c r="AY430" s="67"/>
      <c r="AZ430" s="67"/>
      <c r="BA430" s="67"/>
      <c r="BB430" s="67"/>
      <c r="BC430" s="67"/>
      <c r="BD430" s="67"/>
      <c r="BE430" s="67"/>
      <c r="BG430" s="67"/>
      <c r="BH430" s="67"/>
      <c r="BI430" s="67"/>
      <c r="BJ430" s="67">
        <v>0</v>
      </c>
      <c r="BK430" s="67"/>
      <c r="BL430" s="67"/>
      <c r="BP430" s="67"/>
      <c r="BQ430" s="67">
        <v>0</v>
      </c>
      <c r="BR430" s="67"/>
      <c r="BS430" s="67"/>
      <c r="BT430" s="67">
        <v>0</v>
      </c>
      <c r="BU430" s="67">
        <v>0</v>
      </c>
      <c r="BV430" s="67"/>
      <c r="BW430" s="67"/>
      <c r="BX430" s="67">
        <v>0</v>
      </c>
      <c r="BY430" s="67">
        <v>0</v>
      </c>
      <c r="BZ430" s="67">
        <v>0</v>
      </c>
      <c r="CA430" s="67"/>
      <c r="CB430" s="67">
        <v>0</v>
      </c>
      <c r="CC430" s="67"/>
      <c r="CD430" s="67"/>
      <c r="CE430" s="67">
        <v>0</v>
      </c>
      <c r="CF430" s="67"/>
      <c r="CG430" s="67"/>
      <c r="CH430" s="67"/>
      <c r="CI430" s="67"/>
      <c r="CJ430" s="67"/>
      <c r="CK430" s="67">
        <v>0</v>
      </c>
      <c r="CL430" s="67"/>
      <c r="CM430" s="67"/>
      <c r="CN430" s="67"/>
      <c r="CO430" s="67">
        <v>0</v>
      </c>
      <c r="CP430" s="67"/>
      <c r="CQ430" s="67"/>
      <c r="CR430" s="67"/>
      <c r="CS430" s="67"/>
      <c r="CT430" s="67"/>
      <c r="CU430" s="67">
        <v>0</v>
      </c>
      <c r="CV430" s="67"/>
      <c r="CW430" s="67"/>
      <c r="CX430" s="67"/>
      <c r="CY430" s="67">
        <v>0</v>
      </c>
      <c r="CZ430" s="67"/>
      <c r="DA430" s="67"/>
      <c r="DB430" s="67"/>
      <c r="DC430" s="67"/>
      <c r="DF430" s="67"/>
      <c r="DG430" s="67">
        <v>0</v>
      </c>
      <c r="DH430" s="67">
        <v>0</v>
      </c>
      <c r="DI430" s="67">
        <v>0</v>
      </c>
      <c r="DJ430" s="67"/>
      <c r="DK430" s="67">
        <v>0</v>
      </c>
      <c r="DL430" s="67">
        <v>0</v>
      </c>
      <c r="DM430" s="67">
        <v>0</v>
      </c>
      <c r="DN430" s="67"/>
      <c r="DO430" s="67"/>
      <c r="DP430" s="67"/>
      <c r="DQ430" s="67">
        <v>0</v>
      </c>
      <c r="DR430" s="67">
        <v>0</v>
      </c>
      <c r="DS430" s="67"/>
      <c r="DT430" s="67"/>
      <c r="DU430" s="67">
        <v>0</v>
      </c>
      <c r="DV430" s="67">
        <v>0</v>
      </c>
      <c r="DW430" s="67">
        <v>0</v>
      </c>
      <c r="DX430" s="67">
        <v>0</v>
      </c>
      <c r="DY430" s="67"/>
      <c r="DZ430" s="67">
        <v>0</v>
      </c>
      <c r="EA430" s="67"/>
      <c r="EB430" s="67">
        <v>0</v>
      </c>
      <c r="EC430" s="67"/>
      <c r="ED430" s="67">
        <v>0</v>
      </c>
      <c r="EE430" s="67"/>
      <c r="EF430" s="67">
        <v>0</v>
      </c>
      <c r="EG430" s="67"/>
      <c r="EH430" s="67"/>
      <c r="EI430" s="67"/>
      <c r="EJ430" s="67"/>
      <c r="EK430" s="67"/>
      <c r="EL430" s="67"/>
      <c r="EM430" s="67"/>
      <c r="EN430" s="67"/>
      <c r="EO430" s="67"/>
      <c r="EP430" s="67">
        <v>0</v>
      </c>
      <c r="EQ430" s="67">
        <v>0</v>
      </c>
      <c r="ER430" s="67">
        <v>0</v>
      </c>
      <c r="ES430" s="67"/>
      <c r="ET430">
        <v>0</v>
      </c>
      <c r="EX430" s="67"/>
      <c r="EY430" s="67"/>
      <c r="EZ430" s="67"/>
      <c r="FA430" s="67">
        <v>0</v>
      </c>
      <c r="FB430" s="67">
        <v>0</v>
      </c>
      <c r="FC430" s="67"/>
      <c r="FD430" s="67"/>
      <c r="FE430" s="67"/>
      <c r="FF430" s="67"/>
      <c r="FG430" s="67"/>
      <c r="FH430" s="67"/>
      <c r="FI430" s="67" t="s">
        <v>1734</v>
      </c>
    </row>
    <row r="431" spans="2:165" ht="24" x14ac:dyDescent="0.2">
      <c r="B431" s="67" t="s">
        <v>1135</v>
      </c>
      <c r="C431" s="67"/>
      <c r="D431" s="67" t="s">
        <v>1136</v>
      </c>
      <c r="E431" s="67" t="s">
        <v>13</v>
      </c>
      <c r="F431" s="67"/>
      <c r="G431" s="67" t="s">
        <v>694</v>
      </c>
      <c r="H431" s="67"/>
      <c r="I431" s="67" t="s">
        <v>41</v>
      </c>
      <c r="J431" s="67"/>
      <c r="K431" s="67"/>
      <c r="L431" s="67" t="s">
        <v>779</v>
      </c>
      <c r="M431" s="67" t="s">
        <v>752</v>
      </c>
      <c r="N431" s="67"/>
      <c r="O431" s="67" t="s">
        <v>1605</v>
      </c>
      <c r="P431" s="67"/>
      <c r="Q431" s="67">
        <v>0</v>
      </c>
      <c r="R431" s="67">
        <v>0</v>
      </c>
      <c r="S431" s="67">
        <v>0</v>
      </c>
      <c r="T431" s="67">
        <v>0</v>
      </c>
      <c r="U431" s="67">
        <v>0</v>
      </c>
      <c r="V431" s="67">
        <v>0</v>
      </c>
      <c r="W431" s="67">
        <v>0</v>
      </c>
      <c r="X431" s="67">
        <v>0</v>
      </c>
      <c r="Y431" s="67">
        <v>0</v>
      </c>
      <c r="Z431" s="67">
        <v>0</v>
      </c>
      <c r="AA431" s="67">
        <v>0</v>
      </c>
      <c r="AB431" s="67">
        <v>0</v>
      </c>
      <c r="AC431" s="67">
        <v>0</v>
      </c>
      <c r="AD431" s="67">
        <v>0</v>
      </c>
      <c r="AE431" s="67">
        <v>0</v>
      </c>
      <c r="AF431" s="67">
        <v>0</v>
      </c>
      <c r="AG431" s="67">
        <v>0</v>
      </c>
      <c r="AH431" s="67">
        <v>0</v>
      </c>
      <c r="AI431" s="67">
        <v>0</v>
      </c>
      <c r="AJ431" s="67">
        <v>0</v>
      </c>
      <c r="AK431" s="67">
        <v>0</v>
      </c>
      <c r="AL431" s="67">
        <v>0</v>
      </c>
      <c r="AM431" s="67">
        <v>0</v>
      </c>
      <c r="AN431" s="67">
        <v>0</v>
      </c>
      <c r="AO431" s="67">
        <v>0</v>
      </c>
      <c r="AP431" s="67">
        <v>0</v>
      </c>
      <c r="AQ431" s="67">
        <v>0</v>
      </c>
      <c r="AR431" s="67">
        <v>0</v>
      </c>
      <c r="AS431" s="67">
        <v>0</v>
      </c>
      <c r="AT431" s="67"/>
      <c r="AU431" s="67"/>
      <c r="AV431" s="67"/>
      <c r="AW431" s="67">
        <v>0</v>
      </c>
      <c r="AX431" s="67">
        <v>0</v>
      </c>
      <c r="AY431" s="67"/>
      <c r="AZ431" s="67"/>
      <c r="BA431" s="67"/>
      <c r="BB431" s="67"/>
      <c r="BC431" s="67"/>
      <c r="BD431" s="67"/>
      <c r="BE431" s="67"/>
      <c r="BG431" s="67"/>
      <c r="BH431" s="67"/>
      <c r="BI431" s="67"/>
      <c r="BJ431" s="67">
        <v>0</v>
      </c>
      <c r="BK431" s="67"/>
      <c r="BL431" s="67"/>
      <c r="BP431" s="67"/>
      <c r="BQ431" s="67">
        <v>0</v>
      </c>
      <c r="BR431" s="67"/>
      <c r="BS431" s="67"/>
      <c r="BT431" s="67">
        <v>0</v>
      </c>
      <c r="BU431" s="67">
        <v>0</v>
      </c>
      <c r="BV431" s="67"/>
      <c r="BW431" s="67"/>
      <c r="BX431" s="67">
        <v>0</v>
      </c>
      <c r="BY431" s="67">
        <v>0</v>
      </c>
      <c r="BZ431" s="67">
        <v>0</v>
      </c>
      <c r="CA431" s="67"/>
      <c r="CB431" s="67">
        <v>0</v>
      </c>
      <c r="CC431" s="67"/>
      <c r="CD431" s="67"/>
      <c r="CE431" s="67">
        <v>0</v>
      </c>
      <c r="CF431" s="67"/>
      <c r="CG431" s="67"/>
      <c r="CH431" s="67"/>
      <c r="CI431" s="67"/>
      <c r="CJ431" s="67"/>
      <c r="CK431" s="67">
        <v>0</v>
      </c>
      <c r="CL431" s="67"/>
      <c r="CM431" s="67"/>
      <c r="CN431" s="67"/>
      <c r="CO431" s="67">
        <v>0</v>
      </c>
      <c r="CP431" s="67"/>
      <c r="CQ431" s="67"/>
      <c r="CR431" s="67"/>
      <c r="CS431" s="67"/>
      <c r="CT431" s="67"/>
      <c r="CU431" s="67">
        <v>0</v>
      </c>
      <c r="CV431" s="67"/>
      <c r="CW431" s="67"/>
      <c r="CX431" s="67"/>
      <c r="CY431" s="67">
        <v>0</v>
      </c>
      <c r="CZ431" s="67"/>
      <c r="DA431" s="67"/>
      <c r="DB431" s="67"/>
      <c r="DC431" s="67"/>
      <c r="DF431" s="67"/>
      <c r="DG431" s="67">
        <v>0</v>
      </c>
      <c r="DH431" s="67">
        <v>0</v>
      </c>
      <c r="DI431" s="67">
        <v>0</v>
      </c>
      <c r="DJ431" s="67"/>
      <c r="DK431" s="67">
        <v>0</v>
      </c>
      <c r="DL431" s="67">
        <v>0</v>
      </c>
      <c r="DM431" s="67">
        <v>0</v>
      </c>
      <c r="DN431" s="67"/>
      <c r="DO431" s="67"/>
      <c r="DP431" s="67"/>
      <c r="DQ431" s="67">
        <v>0</v>
      </c>
      <c r="DR431" s="67">
        <v>0</v>
      </c>
      <c r="DS431" s="67"/>
      <c r="DT431" s="67"/>
      <c r="DU431" s="67">
        <v>0</v>
      </c>
      <c r="DV431" s="67">
        <v>0</v>
      </c>
      <c r="DW431" s="67">
        <v>0</v>
      </c>
      <c r="DX431" s="67">
        <v>0</v>
      </c>
      <c r="DY431" s="67"/>
      <c r="DZ431" s="67">
        <v>0</v>
      </c>
      <c r="EA431" s="67"/>
      <c r="EB431" s="67">
        <v>0</v>
      </c>
      <c r="EC431" s="67"/>
      <c r="ED431" s="67">
        <v>0</v>
      </c>
      <c r="EE431" s="67"/>
      <c r="EF431" s="67">
        <v>0</v>
      </c>
      <c r="EG431" s="67"/>
      <c r="EH431" s="67"/>
      <c r="EI431" s="67"/>
      <c r="EJ431" s="67"/>
      <c r="EK431" s="67"/>
      <c r="EL431" s="67"/>
      <c r="EM431" s="67"/>
      <c r="EN431" s="67"/>
      <c r="EO431" s="67"/>
      <c r="EP431" s="67">
        <v>0</v>
      </c>
      <c r="EQ431" s="67">
        <v>0</v>
      </c>
      <c r="ER431" s="67">
        <v>0</v>
      </c>
      <c r="ES431" s="67"/>
      <c r="ET431">
        <v>0</v>
      </c>
      <c r="EX431" s="67"/>
      <c r="EY431" s="67"/>
      <c r="EZ431" s="67"/>
      <c r="FA431" s="67">
        <v>0</v>
      </c>
      <c r="FB431" s="67">
        <v>0</v>
      </c>
      <c r="FC431" s="67"/>
      <c r="FD431" s="67"/>
      <c r="FE431" s="67"/>
      <c r="FF431" s="67"/>
      <c r="FG431" s="67"/>
      <c r="FH431" s="67"/>
      <c r="FI431" s="67" t="s">
        <v>1734</v>
      </c>
    </row>
    <row r="432" spans="2:165" ht="24" x14ac:dyDescent="0.2">
      <c r="B432" s="67" t="s">
        <v>1137</v>
      </c>
      <c r="C432" s="67"/>
      <c r="D432" s="67" t="s">
        <v>1138</v>
      </c>
      <c r="E432" s="67" t="s">
        <v>13</v>
      </c>
      <c r="F432" s="67"/>
      <c r="G432" s="67" t="s">
        <v>694</v>
      </c>
      <c r="H432" s="67"/>
      <c r="I432" s="67" t="s">
        <v>41</v>
      </c>
      <c r="J432" s="67"/>
      <c r="K432" s="67"/>
      <c r="L432" s="67" t="s">
        <v>779</v>
      </c>
      <c r="M432" s="67" t="s">
        <v>752</v>
      </c>
      <c r="N432" s="67"/>
      <c r="O432" s="67" t="s">
        <v>1599</v>
      </c>
      <c r="P432" s="67"/>
      <c r="Q432" s="67">
        <v>2225</v>
      </c>
      <c r="R432" s="67">
        <v>0</v>
      </c>
      <c r="S432" s="67">
        <v>0</v>
      </c>
      <c r="T432" s="67">
        <v>0</v>
      </c>
      <c r="U432" s="67">
        <v>0</v>
      </c>
      <c r="V432" s="67">
        <v>0</v>
      </c>
      <c r="W432" s="67">
        <v>0</v>
      </c>
      <c r="X432" s="67">
        <v>0</v>
      </c>
      <c r="Y432" s="67">
        <v>0</v>
      </c>
      <c r="Z432" s="67">
        <v>1370</v>
      </c>
      <c r="AA432" s="67">
        <v>0</v>
      </c>
      <c r="AB432" s="67">
        <v>0</v>
      </c>
      <c r="AC432" s="67">
        <v>0</v>
      </c>
      <c r="AD432" s="67">
        <v>0</v>
      </c>
      <c r="AE432" s="67">
        <v>0</v>
      </c>
      <c r="AF432" s="67">
        <v>0</v>
      </c>
      <c r="AG432" s="67">
        <v>0</v>
      </c>
      <c r="AH432" s="67">
        <v>0</v>
      </c>
      <c r="AI432" s="67">
        <v>0</v>
      </c>
      <c r="AJ432" s="67">
        <v>0</v>
      </c>
      <c r="AK432" s="67">
        <v>0</v>
      </c>
      <c r="AL432" s="67">
        <v>0</v>
      </c>
      <c r="AM432" s="67">
        <v>0</v>
      </c>
      <c r="AN432" s="67">
        <v>855</v>
      </c>
      <c r="AO432" s="67">
        <v>0</v>
      </c>
      <c r="AP432" s="67">
        <v>0</v>
      </c>
      <c r="AQ432" s="67">
        <v>0</v>
      </c>
      <c r="AR432" s="67">
        <v>0</v>
      </c>
      <c r="AS432" s="67">
        <v>0</v>
      </c>
      <c r="AT432" s="67"/>
      <c r="AU432" s="67"/>
      <c r="AV432" s="67"/>
      <c r="AW432" s="67">
        <v>0</v>
      </c>
      <c r="AX432" s="67">
        <v>0</v>
      </c>
      <c r="AY432" s="67"/>
      <c r="AZ432" s="67"/>
      <c r="BA432" s="67"/>
      <c r="BB432" s="67"/>
      <c r="BC432" s="67"/>
      <c r="BD432" s="67"/>
      <c r="BE432" s="67"/>
      <c r="BG432" s="67"/>
      <c r="BH432" s="67"/>
      <c r="BI432" s="67"/>
      <c r="BJ432" s="67">
        <v>0</v>
      </c>
      <c r="BK432" s="67"/>
      <c r="BL432" s="67"/>
      <c r="BP432" s="67"/>
      <c r="BQ432" s="67">
        <v>0</v>
      </c>
      <c r="BR432" s="67"/>
      <c r="BS432" s="67"/>
      <c r="BT432" s="67">
        <v>0</v>
      </c>
      <c r="BU432" s="67">
        <v>0</v>
      </c>
      <c r="BV432" s="67"/>
      <c r="BW432" s="67"/>
      <c r="BX432" s="67">
        <v>0</v>
      </c>
      <c r="BY432" s="67">
        <v>0</v>
      </c>
      <c r="BZ432" s="67">
        <v>0</v>
      </c>
      <c r="CA432" s="67"/>
      <c r="CB432" s="67">
        <v>0</v>
      </c>
      <c r="CC432" s="67"/>
      <c r="CD432" s="67"/>
      <c r="CE432" s="67">
        <v>0</v>
      </c>
      <c r="CF432" s="67"/>
      <c r="CG432" s="67"/>
      <c r="CH432" s="67"/>
      <c r="CI432" s="67"/>
      <c r="CJ432" s="67"/>
      <c r="CK432" s="67">
        <v>0</v>
      </c>
      <c r="CL432" s="67"/>
      <c r="CM432" s="67"/>
      <c r="CN432" s="67"/>
      <c r="CO432" s="67">
        <v>0</v>
      </c>
      <c r="CP432" s="67"/>
      <c r="CQ432" s="67"/>
      <c r="CR432" s="67"/>
      <c r="CS432" s="67"/>
      <c r="CT432" s="67"/>
      <c r="CU432" s="67">
        <v>0</v>
      </c>
      <c r="CV432" s="67"/>
      <c r="CW432" s="67"/>
      <c r="CX432" s="67"/>
      <c r="CY432" s="67">
        <v>0</v>
      </c>
      <c r="CZ432" s="67"/>
      <c r="DA432" s="67"/>
      <c r="DB432" s="67"/>
      <c r="DC432" s="67"/>
      <c r="DF432" s="67"/>
      <c r="DG432" s="67">
        <v>0</v>
      </c>
      <c r="DH432" s="67">
        <v>0</v>
      </c>
      <c r="DI432" s="67">
        <v>0</v>
      </c>
      <c r="DJ432" s="67"/>
      <c r="DK432" s="67">
        <v>0</v>
      </c>
      <c r="DL432" s="67">
        <v>0</v>
      </c>
      <c r="DM432" s="67">
        <v>0</v>
      </c>
      <c r="DN432" s="67"/>
      <c r="DO432" s="67"/>
      <c r="DP432" s="67"/>
      <c r="DQ432" s="67">
        <v>0</v>
      </c>
      <c r="DR432" s="67">
        <v>0</v>
      </c>
      <c r="DS432" s="67"/>
      <c r="DT432" s="67"/>
      <c r="DU432" s="67">
        <v>0</v>
      </c>
      <c r="DV432" s="67">
        <v>0</v>
      </c>
      <c r="DW432" s="67">
        <v>0</v>
      </c>
      <c r="DX432" s="67">
        <v>0</v>
      </c>
      <c r="DY432" s="67"/>
      <c r="DZ432" s="67">
        <v>0</v>
      </c>
      <c r="EA432" s="67"/>
      <c r="EB432" s="67">
        <v>0</v>
      </c>
      <c r="EC432" s="67"/>
      <c r="ED432" s="67">
        <v>0</v>
      </c>
      <c r="EE432" s="67"/>
      <c r="EF432" s="67">
        <v>0</v>
      </c>
      <c r="EG432" s="67"/>
      <c r="EH432" s="67"/>
      <c r="EI432" s="67"/>
      <c r="EJ432" s="67"/>
      <c r="EK432" s="67"/>
      <c r="EL432" s="67"/>
      <c r="EM432" s="67"/>
      <c r="EN432" s="67"/>
      <c r="EO432" s="67"/>
      <c r="EP432" s="67">
        <v>0</v>
      </c>
      <c r="EQ432" s="67">
        <v>0</v>
      </c>
      <c r="ER432" s="67">
        <v>0</v>
      </c>
      <c r="ES432" s="67"/>
      <c r="ET432">
        <v>0</v>
      </c>
      <c r="EX432" s="67"/>
      <c r="EY432" s="67"/>
      <c r="EZ432" s="67"/>
      <c r="FA432" s="67">
        <v>2225</v>
      </c>
      <c r="FB432" s="67">
        <v>0</v>
      </c>
      <c r="FC432" s="67"/>
      <c r="FD432" s="67"/>
      <c r="FE432" s="67"/>
      <c r="FF432" s="67"/>
      <c r="FG432" s="67"/>
      <c r="FH432" s="67"/>
      <c r="FI432" s="67" t="s">
        <v>1734</v>
      </c>
    </row>
    <row r="433" spans="2:165" x14ac:dyDescent="0.2">
      <c r="B433" s="67" t="s">
        <v>1139</v>
      </c>
      <c r="C433" s="67"/>
      <c r="D433" s="67" t="s">
        <v>1140</v>
      </c>
      <c r="E433" s="67"/>
      <c r="F433" s="67"/>
      <c r="G433" s="67" t="s">
        <v>694</v>
      </c>
      <c r="H433" s="67"/>
      <c r="I433" s="67"/>
      <c r="J433" s="67"/>
      <c r="K433" s="67"/>
      <c r="L433" s="67" t="s">
        <v>787</v>
      </c>
      <c r="M433" s="67" t="s">
        <v>752</v>
      </c>
      <c r="N433" s="67"/>
      <c r="O433" s="67" t="s">
        <v>1599</v>
      </c>
      <c r="P433" s="67"/>
      <c r="Q433" s="67">
        <v>300</v>
      </c>
      <c r="R433" s="67">
        <v>0</v>
      </c>
      <c r="S433" s="67">
        <v>0</v>
      </c>
      <c r="T433" s="67">
        <v>0</v>
      </c>
      <c r="U433" s="67">
        <v>0</v>
      </c>
      <c r="V433" s="67">
        <v>0</v>
      </c>
      <c r="W433" s="67">
        <v>0</v>
      </c>
      <c r="X433" s="67">
        <v>0</v>
      </c>
      <c r="Y433" s="67">
        <v>0</v>
      </c>
      <c r="Z433" s="67">
        <v>300</v>
      </c>
      <c r="AA433" s="67">
        <v>0</v>
      </c>
      <c r="AB433" s="67">
        <v>0</v>
      </c>
      <c r="AC433" s="67">
        <v>0</v>
      </c>
      <c r="AD433" s="67">
        <v>0</v>
      </c>
      <c r="AE433" s="67">
        <v>0</v>
      </c>
      <c r="AF433" s="67">
        <v>0</v>
      </c>
      <c r="AG433" s="67">
        <v>0</v>
      </c>
      <c r="AH433" s="67">
        <v>0</v>
      </c>
      <c r="AI433" s="67">
        <v>0</v>
      </c>
      <c r="AJ433" s="67">
        <v>0</v>
      </c>
      <c r="AK433" s="67">
        <v>0</v>
      </c>
      <c r="AL433" s="67">
        <v>0</v>
      </c>
      <c r="AM433" s="67">
        <v>0</v>
      </c>
      <c r="AN433" s="67">
        <v>0</v>
      </c>
      <c r="AO433" s="67">
        <v>0</v>
      </c>
      <c r="AP433" s="67">
        <v>0</v>
      </c>
      <c r="AQ433" s="67">
        <v>0</v>
      </c>
      <c r="AR433" s="67">
        <v>0</v>
      </c>
      <c r="AS433" s="67">
        <v>0</v>
      </c>
      <c r="AT433" s="67"/>
      <c r="AU433" s="67"/>
      <c r="AV433" s="67"/>
      <c r="AW433" s="67">
        <v>0</v>
      </c>
      <c r="AX433" s="67">
        <v>0</v>
      </c>
      <c r="AY433" s="67"/>
      <c r="AZ433" s="67"/>
      <c r="BA433" s="67"/>
      <c r="BB433" s="67"/>
      <c r="BC433" s="67"/>
      <c r="BD433" s="67"/>
      <c r="BE433" s="67"/>
      <c r="BG433" s="67"/>
      <c r="BH433" s="67"/>
      <c r="BI433" s="67"/>
      <c r="BJ433" s="67">
        <v>0</v>
      </c>
      <c r="BK433" s="67"/>
      <c r="BL433" s="67"/>
      <c r="BP433" s="67"/>
      <c r="BQ433" s="67">
        <v>0</v>
      </c>
      <c r="BR433" s="67"/>
      <c r="BS433" s="67"/>
      <c r="BT433" s="67">
        <v>0</v>
      </c>
      <c r="BU433" s="67">
        <v>0</v>
      </c>
      <c r="BV433" s="67"/>
      <c r="BW433" s="67"/>
      <c r="BX433" s="67">
        <v>0</v>
      </c>
      <c r="BY433" s="67">
        <v>0</v>
      </c>
      <c r="BZ433" s="67">
        <v>0</v>
      </c>
      <c r="CA433" s="67"/>
      <c r="CB433" s="67">
        <v>0</v>
      </c>
      <c r="CC433" s="67"/>
      <c r="CD433" s="67"/>
      <c r="CE433" s="67">
        <v>0</v>
      </c>
      <c r="CF433" s="67"/>
      <c r="CG433" s="67"/>
      <c r="CH433" s="67"/>
      <c r="CI433" s="67"/>
      <c r="CJ433" s="67"/>
      <c r="CK433" s="67">
        <v>0</v>
      </c>
      <c r="CL433" s="67"/>
      <c r="CM433" s="67"/>
      <c r="CN433" s="67"/>
      <c r="CO433" s="67">
        <v>0</v>
      </c>
      <c r="CP433" s="67"/>
      <c r="CQ433" s="67"/>
      <c r="CR433" s="67"/>
      <c r="CS433" s="67"/>
      <c r="CT433" s="67"/>
      <c r="CU433" s="67">
        <v>0</v>
      </c>
      <c r="CV433" s="67"/>
      <c r="CW433" s="67"/>
      <c r="CX433" s="67"/>
      <c r="CY433" s="67">
        <v>0</v>
      </c>
      <c r="CZ433" s="67"/>
      <c r="DA433" s="67"/>
      <c r="DB433" s="67"/>
      <c r="DC433" s="67"/>
      <c r="DF433" s="67"/>
      <c r="DG433" s="67">
        <v>0</v>
      </c>
      <c r="DH433" s="67">
        <v>0</v>
      </c>
      <c r="DI433" s="67">
        <v>0</v>
      </c>
      <c r="DJ433" s="67"/>
      <c r="DK433" s="67">
        <v>0</v>
      </c>
      <c r="DL433" s="67">
        <v>0</v>
      </c>
      <c r="DM433" s="67">
        <v>0</v>
      </c>
      <c r="DN433" s="67"/>
      <c r="DO433" s="67"/>
      <c r="DP433" s="67"/>
      <c r="DQ433" s="67">
        <v>0</v>
      </c>
      <c r="DR433" s="67">
        <v>0</v>
      </c>
      <c r="DS433" s="67"/>
      <c r="DT433" s="67"/>
      <c r="DU433" s="67">
        <v>0</v>
      </c>
      <c r="DV433" s="67">
        <v>0</v>
      </c>
      <c r="DW433" s="67">
        <v>0</v>
      </c>
      <c r="DX433" s="67">
        <v>0</v>
      </c>
      <c r="DY433" s="67"/>
      <c r="DZ433" s="67">
        <v>0</v>
      </c>
      <c r="EA433" s="67"/>
      <c r="EB433" s="67">
        <v>0</v>
      </c>
      <c r="EC433" s="67"/>
      <c r="ED433" s="67">
        <v>0</v>
      </c>
      <c r="EE433" s="67"/>
      <c r="EF433" s="67">
        <v>0</v>
      </c>
      <c r="EG433" s="67"/>
      <c r="EH433" s="67"/>
      <c r="EI433" s="67"/>
      <c r="EJ433" s="67"/>
      <c r="EK433" s="67"/>
      <c r="EL433" s="67"/>
      <c r="EM433" s="67"/>
      <c r="EN433" s="67"/>
      <c r="EO433" s="67"/>
      <c r="EP433" s="67">
        <v>0</v>
      </c>
      <c r="EQ433" s="67">
        <v>0</v>
      </c>
      <c r="ER433" s="67">
        <v>0</v>
      </c>
      <c r="ES433" s="67"/>
      <c r="ET433">
        <v>0</v>
      </c>
      <c r="EX433" s="67"/>
      <c r="EY433" s="67"/>
      <c r="EZ433" s="67"/>
      <c r="FA433" s="67">
        <v>300</v>
      </c>
      <c r="FB433" s="67">
        <v>0</v>
      </c>
      <c r="FC433" s="67"/>
      <c r="FD433" s="67"/>
      <c r="FE433" s="67"/>
      <c r="FF433" s="67"/>
      <c r="FG433" s="67"/>
      <c r="FH433" s="67"/>
      <c r="FI433" s="67" t="s">
        <v>1734</v>
      </c>
    </row>
    <row r="434" spans="2:165" x14ac:dyDescent="0.2">
      <c r="B434" s="67" t="s">
        <v>1141</v>
      </c>
      <c r="C434" s="67"/>
      <c r="D434" s="67" t="s">
        <v>1142</v>
      </c>
      <c r="E434" s="67" t="s">
        <v>23</v>
      </c>
      <c r="F434" s="67" t="s">
        <v>810</v>
      </c>
      <c r="G434" s="67" t="s">
        <v>694</v>
      </c>
      <c r="H434" s="67"/>
      <c r="I434" s="67" t="s">
        <v>43</v>
      </c>
      <c r="J434" s="67"/>
      <c r="K434" s="67"/>
      <c r="L434" s="67" t="s">
        <v>779</v>
      </c>
      <c r="M434" s="67" t="s">
        <v>752</v>
      </c>
      <c r="N434" s="67"/>
      <c r="O434" s="67" t="s">
        <v>1605</v>
      </c>
      <c r="P434" s="67"/>
      <c r="Q434" s="67">
        <v>0</v>
      </c>
      <c r="R434" s="67">
        <v>0</v>
      </c>
      <c r="S434" s="67">
        <v>0</v>
      </c>
      <c r="T434" s="67">
        <v>0</v>
      </c>
      <c r="U434" s="67">
        <v>0</v>
      </c>
      <c r="V434" s="67">
        <v>0</v>
      </c>
      <c r="W434" s="67">
        <v>0</v>
      </c>
      <c r="X434" s="67">
        <v>0</v>
      </c>
      <c r="Y434" s="67">
        <v>0</v>
      </c>
      <c r="Z434" s="67">
        <v>0</v>
      </c>
      <c r="AA434" s="67">
        <v>0</v>
      </c>
      <c r="AB434" s="67">
        <v>0</v>
      </c>
      <c r="AC434" s="67">
        <v>0</v>
      </c>
      <c r="AD434" s="67">
        <v>0</v>
      </c>
      <c r="AE434" s="67">
        <v>0</v>
      </c>
      <c r="AF434" s="67">
        <v>0</v>
      </c>
      <c r="AG434" s="67">
        <v>0</v>
      </c>
      <c r="AH434" s="67">
        <v>0</v>
      </c>
      <c r="AI434" s="67">
        <v>0</v>
      </c>
      <c r="AJ434" s="67">
        <v>0</v>
      </c>
      <c r="AK434" s="67">
        <v>0</v>
      </c>
      <c r="AL434" s="67">
        <v>0</v>
      </c>
      <c r="AM434" s="67">
        <v>0</v>
      </c>
      <c r="AN434" s="67">
        <v>0</v>
      </c>
      <c r="AO434" s="67">
        <v>0</v>
      </c>
      <c r="AP434" s="67">
        <v>0</v>
      </c>
      <c r="AQ434" s="67">
        <v>0</v>
      </c>
      <c r="AR434" s="67">
        <v>0</v>
      </c>
      <c r="AS434" s="67">
        <v>0</v>
      </c>
      <c r="AT434" s="67"/>
      <c r="AU434" s="67"/>
      <c r="AV434" s="67"/>
      <c r="AW434" s="67">
        <v>0</v>
      </c>
      <c r="AX434" s="67">
        <v>0</v>
      </c>
      <c r="AY434" s="67"/>
      <c r="AZ434" s="67"/>
      <c r="BA434" s="67"/>
      <c r="BB434" s="67"/>
      <c r="BC434" s="67"/>
      <c r="BD434" s="67"/>
      <c r="BE434" s="67"/>
      <c r="BG434" s="67"/>
      <c r="BH434" s="67"/>
      <c r="BI434" s="67"/>
      <c r="BJ434" s="67">
        <v>0</v>
      </c>
      <c r="BK434" s="67"/>
      <c r="BL434" s="67"/>
      <c r="BP434" s="67"/>
      <c r="BQ434" s="67">
        <v>0</v>
      </c>
      <c r="BR434" s="67"/>
      <c r="BS434" s="67"/>
      <c r="BT434" s="67">
        <v>0</v>
      </c>
      <c r="BU434" s="67">
        <v>0</v>
      </c>
      <c r="BV434" s="67"/>
      <c r="BW434" s="67"/>
      <c r="BX434" s="67">
        <v>0</v>
      </c>
      <c r="BY434" s="67">
        <v>0</v>
      </c>
      <c r="BZ434" s="67">
        <v>0</v>
      </c>
      <c r="CA434" s="67"/>
      <c r="CB434" s="67">
        <v>0</v>
      </c>
      <c r="CC434" s="67"/>
      <c r="CD434" s="67"/>
      <c r="CE434" s="67">
        <v>0</v>
      </c>
      <c r="CF434" s="67"/>
      <c r="CG434" s="67"/>
      <c r="CH434" s="67"/>
      <c r="CI434" s="67"/>
      <c r="CJ434" s="67"/>
      <c r="CK434" s="67">
        <v>0</v>
      </c>
      <c r="CL434" s="67"/>
      <c r="CM434" s="67"/>
      <c r="CN434" s="67"/>
      <c r="CO434" s="67">
        <v>0</v>
      </c>
      <c r="CP434" s="67"/>
      <c r="CQ434" s="67"/>
      <c r="CR434" s="67"/>
      <c r="CS434" s="67"/>
      <c r="CT434" s="67"/>
      <c r="CU434" s="67">
        <v>0</v>
      </c>
      <c r="CV434" s="67"/>
      <c r="CW434" s="67"/>
      <c r="CX434" s="67"/>
      <c r="CY434" s="67">
        <v>0</v>
      </c>
      <c r="CZ434" s="67"/>
      <c r="DA434" s="67"/>
      <c r="DB434" s="67"/>
      <c r="DC434" s="67"/>
      <c r="DF434" s="67"/>
      <c r="DG434" s="67">
        <v>0</v>
      </c>
      <c r="DH434" s="67">
        <v>0</v>
      </c>
      <c r="DI434" s="67">
        <v>0</v>
      </c>
      <c r="DJ434" s="67"/>
      <c r="DK434" s="67">
        <v>0</v>
      </c>
      <c r="DL434" s="67">
        <v>0</v>
      </c>
      <c r="DM434" s="67">
        <v>0</v>
      </c>
      <c r="DN434" s="67"/>
      <c r="DO434" s="67"/>
      <c r="DP434" s="67"/>
      <c r="DQ434" s="67">
        <v>0</v>
      </c>
      <c r="DR434" s="67">
        <v>0</v>
      </c>
      <c r="DS434" s="67"/>
      <c r="DT434" s="67"/>
      <c r="DU434" s="67">
        <v>0</v>
      </c>
      <c r="DV434" s="67">
        <v>0</v>
      </c>
      <c r="DW434" s="67">
        <v>0</v>
      </c>
      <c r="DX434" s="67">
        <v>0</v>
      </c>
      <c r="DY434" s="67"/>
      <c r="DZ434" s="67">
        <v>0</v>
      </c>
      <c r="EA434" s="67"/>
      <c r="EB434" s="67">
        <v>0</v>
      </c>
      <c r="EC434" s="67"/>
      <c r="ED434" s="67">
        <v>0</v>
      </c>
      <c r="EE434" s="67"/>
      <c r="EF434" s="67">
        <v>0</v>
      </c>
      <c r="EG434" s="67"/>
      <c r="EH434" s="67"/>
      <c r="EI434" s="67"/>
      <c r="EJ434" s="67"/>
      <c r="EK434" s="67"/>
      <c r="EL434" s="67"/>
      <c r="EM434" s="67"/>
      <c r="EN434" s="67"/>
      <c r="EO434" s="67"/>
      <c r="EP434" s="67">
        <v>0</v>
      </c>
      <c r="EQ434" s="67">
        <v>0</v>
      </c>
      <c r="ER434" s="67">
        <v>0</v>
      </c>
      <c r="ES434" s="67"/>
      <c r="ET434">
        <v>0</v>
      </c>
      <c r="EX434" s="67"/>
      <c r="EY434" s="67"/>
      <c r="EZ434" s="67"/>
      <c r="FA434" s="67">
        <v>0</v>
      </c>
      <c r="FB434" s="67">
        <v>0</v>
      </c>
      <c r="FC434" s="67"/>
      <c r="FD434" s="67"/>
      <c r="FE434" s="67"/>
      <c r="FF434" s="67"/>
      <c r="FG434" s="67"/>
      <c r="FH434" s="67"/>
      <c r="FI434" s="67" t="s">
        <v>1734</v>
      </c>
    </row>
    <row r="435" spans="2:165" ht="24" x14ac:dyDescent="0.2">
      <c r="B435" s="67" t="s">
        <v>1143</v>
      </c>
      <c r="C435" s="67"/>
      <c r="D435" s="67" t="s">
        <v>1144</v>
      </c>
      <c r="E435" s="67" t="s">
        <v>13</v>
      </c>
      <c r="F435" s="67" t="s">
        <v>898</v>
      </c>
      <c r="G435" s="67" t="s">
        <v>694</v>
      </c>
      <c r="H435" s="67"/>
      <c r="I435" s="67" t="s">
        <v>41</v>
      </c>
      <c r="J435" s="67"/>
      <c r="K435" s="67"/>
      <c r="L435" s="67" t="s">
        <v>779</v>
      </c>
      <c r="M435" s="67" t="s">
        <v>752</v>
      </c>
      <c r="N435" s="67"/>
      <c r="O435" s="67" t="s">
        <v>1599</v>
      </c>
      <c r="P435" s="67"/>
      <c r="Q435" s="67">
        <v>250</v>
      </c>
      <c r="R435" s="67">
        <v>0</v>
      </c>
      <c r="S435" s="67">
        <v>0</v>
      </c>
      <c r="T435" s="67">
        <v>0</v>
      </c>
      <c r="U435" s="67">
        <v>0</v>
      </c>
      <c r="V435" s="67">
        <v>0</v>
      </c>
      <c r="W435" s="67">
        <v>0</v>
      </c>
      <c r="X435" s="67">
        <v>0</v>
      </c>
      <c r="Y435" s="67">
        <v>0</v>
      </c>
      <c r="Z435" s="67">
        <v>0</v>
      </c>
      <c r="AA435" s="67">
        <v>0</v>
      </c>
      <c r="AB435" s="67">
        <v>0</v>
      </c>
      <c r="AC435" s="67">
        <v>0</v>
      </c>
      <c r="AD435" s="67">
        <v>0</v>
      </c>
      <c r="AE435" s="67">
        <v>0</v>
      </c>
      <c r="AF435" s="67">
        <v>0</v>
      </c>
      <c r="AG435" s="67">
        <v>0</v>
      </c>
      <c r="AH435" s="67">
        <v>0</v>
      </c>
      <c r="AI435" s="67">
        <v>250</v>
      </c>
      <c r="AJ435" s="67">
        <v>0</v>
      </c>
      <c r="AK435" s="67">
        <v>0</v>
      </c>
      <c r="AL435" s="67">
        <v>0</v>
      </c>
      <c r="AM435" s="67">
        <v>0</v>
      </c>
      <c r="AN435" s="67">
        <v>0</v>
      </c>
      <c r="AO435" s="67">
        <v>0</v>
      </c>
      <c r="AP435" s="67">
        <v>0</v>
      </c>
      <c r="AQ435" s="67">
        <v>0</v>
      </c>
      <c r="AR435" s="67">
        <v>0</v>
      </c>
      <c r="AS435" s="67">
        <v>0</v>
      </c>
      <c r="AT435" s="67"/>
      <c r="AU435" s="67"/>
      <c r="AV435" s="67"/>
      <c r="AW435" s="67">
        <v>0</v>
      </c>
      <c r="AX435" s="67">
        <v>0</v>
      </c>
      <c r="AY435" s="67"/>
      <c r="AZ435" s="67"/>
      <c r="BA435" s="67"/>
      <c r="BB435" s="67"/>
      <c r="BC435" s="67"/>
      <c r="BD435" s="67"/>
      <c r="BE435" s="67"/>
      <c r="BG435" s="67"/>
      <c r="BH435" s="67"/>
      <c r="BI435" s="67"/>
      <c r="BJ435" s="67">
        <v>0</v>
      </c>
      <c r="BK435" s="67"/>
      <c r="BL435" s="67"/>
      <c r="BP435" s="67"/>
      <c r="BQ435" s="67">
        <v>0</v>
      </c>
      <c r="BR435" s="67"/>
      <c r="BS435" s="67"/>
      <c r="BT435" s="67">
        <v>0</v>
      </c>
      <c r="BU435" s="67">
        <v>0</v>
      </c>
      <c r="BV435" s="67"/>
      <c r="BW435" s="67"/>
      <c r="BX435" s="67">
        <v>0</v>
      </c>
      <c r="BY435" s="67">
        <v>0</v>
      </c>
      <c r="BZ435" s="67">
        <v>0</v>
      </c>
      <c r="CA435" s="67"/>
      <c r="CB435" s="67">
        <v>0</v>
      </c>
      <c r="CC435" s="67"/>
      <c r="CD435" s="67"/>
      <c r="CE435" s="67">
        <v>0</v>
      </c>
      <c r="CF435" s="67"/>
      <c r="CG435" s="67"/>
      <c r="CH435" s="67"/>
      <c r="CI435" s="67"/>
      <c r="CJ435" s="67"/>
      <c r="CK435" s="67">
        <v>0</v>
      </c>
      <c r="CL435" s="67"/>
      <c r="CM435" s="67"/>
      <c r="CN435" s="67"/>
      <c r="CO435" s="67">
        <v>0</v>
      </c>
      <c r="CP435" s="67"/>
      <c r="CQ435" s="67"/>
      <c r="CR435" s="67"/>
      <c r="CS435" s="67"/>
      <c r="CT435" s="67"/>
      <c r="CU435" s="67">
        <v>0</v>
      </c>
      <c r="CV435" s="67"/>
      <c r="CW435" s="67"/>
      <c r="CX435" s="67"/>
      <c r="CY435" s="67">
        <v>0</v>
      </c>
      <c r="CZ435" s="67"/>
      <c r="DA435" s="67"/>
      <c r="DB435" s="67"/>
      <c r="DC435" s="67"/>
      <c r="DF435" s="67"/>
      <c r="DG435" s="67">
        <v>0</v>
      </c>
      <c r="DH435" s="67">
        <v>0</v>
      </c>
      <c r="DI435" s="67">
        <v>0</v>
      </c>
      <c r="DJ435" s="67"/>
      <c r="DK435" s="67">
        <v>0</v>
      </c>
      <c r="DL435" s="67">
        <v>0</v>
      </c>
      <c r="DM435" s="67">
        <v>0</v>
      </c>
      <c r="DN435" s="67"/>
      <c r="DO435" s="67"/>
      <c r="DP435" s="67"/>
      <c r="DQ435" s="67">
        <v>0</v>
      </c>
      <c r="DR435" s="67">
        <v>0</v>
      </c>
      <c r="DS435" s="67"/>
      <c r="DT435" s="67"/>
      <c r="DU435" s="67">
        <v>0</v>
      </c>
      <c r="DV435" s="67">
        <v>0</v>
      </c>
      <c r="DW435" s="67">
        <v>0</v>
      </c>
      <c r="DX435" s="67">
        <v>0</v>
      </c>
      <c r="DY435" s="67"/>
      <c r="DZ435" s="67">
        <v>0</v>
      </c>
      <c r="EA435" s="67"/>
      <c r="EB435" s="67">
        <v>0</v>
      </c>
      <c r="EC435" s="67"/>
      <c r="ED435" s="67">
        <v>0</v>
      </c>
      <c r="EE435" s="67"/>
      <c r="EF435" s="67">
        <v>0</v>
      </c>
      <c r="EG435" s="67"/>
      <c r="EH435" s="67"/>
      <c r="EI435" s="67"/>
      <c r="EJ435" s="67"/>
      <c r="EK435" s="67"/>
      <c r="EL435" s="67"/>
      <c r="EM435" s="67"/>
      <c r="EN435" s="67"/>
      <c r="EO435" s="67"/>
      <c r="EP435" s="67">
        <v>0</v>
      </c>
      <c r="EQ435" s="67">
        <v>0</v>
      </c>
      <c r="ER435" s="67">
        <v>0</v>
      </c>
      <c r="ES435" s="67"/>
      <c r="ET435">
        <v>0</v>
      </c>
      <c r="EX435" s="67"/>
      <c r="EY435" s="67"/>
      <c r="EZ435" s="67"/>
      <c r="FA435" s="67">
        <v>250</v>
      </c>
      <c r="FB435" s="67">
        <v>0</v>
      </c>
      <c r="FC435" s="67"/>
      <c r="FD435" s="67"/>
      <c r="FE435" s="67"/>
      <c r="FF435" s="67"/>
      <c r="FG435" s="67"/>
      <c r="FH435" s="67"/>
      <c r="FI435" s="67" t="s">
        <v>1734</v>
      </c>
    </row>
    <row r="436" spans="2:165" ht="24" x14ac:dyDescent="0.2">
      <c r="B436" s="67" t="s">
        <v>1145</v>
      </c>
      <c r="C436" s="67"/>
      <c r="D436" s="67" t="s">
        <v>1146</v>
      </c>
      <c r="E436" s="67" t="s">
        <v>13</v>
      </c>
      <c r="F436" s="67"/>
      <c r="G436" s="67" t="s">
        <v>694</v>
      </c>
      <c r="H436" s="67"/>
      <c r="I436" s="67" t="s">
        <v>41</v>
      </c>
      <c r="J436" s="67"/>
      <c r="K436" s="67"/>
      <c r="L436" s="67" t="s">
        <v>751</v>
      </c>
      <c r="M436" s="67" t="s">
        <v>752</v>
      </c>
      <c r="N436" s="67"/>
      <c r="O436" s="67" t="s">
        <v>1599</v>
      </c>
      <c r="P436" s="67" t="s">
        <v>942</v>
      </c>
      <c r="Q436" s="67">
        <v>800</v>
      </c>
      <c r="R436" s="67">
        <v>0</v>
      </c>
      <c r="S436" s="67">
        <v>0</v>
      </c>
      <c r="T436" s="67">
        <v>0</v>
      </c>
      <c r="U436" s="67">
        <v>0</v>
      </c>
      <c r="V436" s="67">
        <v>0</v>
      </c>
      <c r="W436" s="67">
        <v>0</v>
      </c>
      <c r="X436" s="67">
        <v>0</v>
      </c>
      <c r="Y436" s="67">
        <v>0</v>
      </c>
      <c r="Z436" s="67">
        <v>0</v>
      </c>
      <c r="AA436" s="67">
        <v>0</v>
      </c>
      <c r="AB436" s="67">
        <v>0</v>
      </c>
      <c r="AC436" s="67">
        <v>0</v>
      </c>
      <c r="AD436" s="67">
        <v>0</v>
      </c>
      <c r="AE436" s="67">
        <v>0</v>
      </c>
      <c r="AF436" s="67">
        <v>0</v>
      </c>
      <c r="AG436" s="67">
        <v>0</v>
      </c>
      <c r="AH436" s="67">
        <v>0</v>
      </c>
      <c r="AI436" s="67">
        <v>0</v>
      </c>
      <c r="AJ436" s="67">
        <v>0</v>
      </c>
      <c r="AK436" s="67">
        <v>0</v>
      </c>
      <c r="AL436" s="67">
        <v>0</v>
      </c>
      <c r="AM436" s="67">
        <v>0</v>
      </c>
      <c r="AN436" s="67">
        <v>800</v>
      </c>
      <c r="AO436" s="67">
        <v>0</v>
      </c>
      <c r="AP436" s="67">
        <v>0</v>
      </c>
      <c r="AQ436" s="67">
        <v>0</v>
      </c>
      <c r="AR436" s="67">
        <v>0</v>
      </c>
      <c r="AS436" s="67">
        <v>0</v>
      </c>
      <c r="AT436" s="67"/>
      <c r="AU436" s="67"/>
      <c r="AV436" s="67"/>
      <c r="AW436" s="67">
        <v>0</v>
      </c>
      <c r="AX436" s="67">
        <v>0</v>
      </c>
      <c r="AY436" s="67"/>
      <c r="AZ436" s="67"/>
      <c r="BA436" s="67"/>
      <c r="BB436" s="67"/>
      <c r="BC436" s="67"/>
      <c r="BD436" s="67"/>
      <c r="BE436" s="67"/>
      <c r="BG436" s="67"/>
      <c r="BH436" s="67"/>
      <c r="BI436" s="67"/>
      <c r="BJ436" s="67">
        <v>0</v>
      </c>
      <c r="BK436" s="67"/>
      <c r="BL436" s="67"/>
      <c r="BP436" s="67"/>
      <c r="BQ436" s="67">
        <v>0</v>
      </c>
      <c r="BR436" s="67"/>
      <c r="BS436" s="67"/>
      <c r="BT436" s="67">
        <v>0</v>
      </c>
      <c r="BU436" s="67">
        <v>0</v>
      </c>
      <c r="BV436" s="67"/>
      <c r="BW436" s="67"/>
      <c r="BX436" s="67">
        <v>0</v>
      </c>
      <c r="BY436" s="67">
        <v>0</v>
      </c>
      <c r="BZ436" s="67">
        <v>0</v>
      </c>
      <c r="CA436" s="67"/>
      <c r="CB436" s="67">
        <v>0</v>
      </c>
      <c r="CC436" s="67"/>
      <c r="CD436" s="67"/>
      <c r="CE436" s="67">
        <v>0</v>
      </c>
      <c r="CF436" s="67"/>
      <c r="CG436" s="67"/>
      <c r="CH436" s="67"/>
      <c r="CI436" s="67"/>
      <c r="CJ436" s="67"/>
      <c r="CK436" s="67">
        <v>0</v>
      </c>
      <c r="CL436" s="67"/>
      <c r="CM436" s="67"/>
      <c r="CN436" s="67"/>
      <c r="CO436" s="67">
        <v>0</v>
      </c>
      <c r="CP436" s="67"/>
      <c r="CQ436" s="67"/>
      <c r="CR436" s="67"/>
      <c r="CS436" s="67"/>
      <c r="CT436" s="67"/>
      <c r="CU436" s="67">
        <v>0</v>
      </c>
      <c r="CV436" s="67"/>
      <c r="CW436" s="67"/>
      <c r="CX436" s="67"/>
      <c r="CY436" s="67">
        <v>0</v>
      </c>
      <c r="CZ436" s="67"/>
      <c r="DA436" s="67"/>
      <c r="DB436" s="67"/>
      <c r="DC436" s="67"/>
      <c r="DF436" s="67"/>
      <c r="DG436" s="67">
        <v>60</v>
      </c>
      <c r="DH436" s="67">
        <v>60</v>
      </c>
      <c r="DI436" s="67">
        <v>0</v>
      </c>
      <c r="DJ436" s="67"/>
      <c r="DK436" s="67">
        <v>0</v>
      </c>
      <c r="DL436" s="67">
        <v>0</v>
      </c>
      <c r="DM436" s="67">
        <v>0</v>
      </c>
      <c r="DN436" s="67"/>
      <c r="DO436" s="67"/>
      <c r="DP436" s="67"/>
      <c r="DQ436" s="67">
        <v>0</v>
      </c>
      <c r="DR436" s="67">
        <v>0</v>
      </c>
      <c r="DS436" s="67"/>
      <c r="DT436" s="67"/>
      <c r="DU436" s="67">
        <v>0</v>
      </c>
      <c r="DV436" s="67">
        <v>0</v>
      </c>
      <c r="DW436" s="67">
        <v>0</v>
      </c>
      <c r="DX436" s="67">
        <v>0</v>
      </c>
      <c r="DY436" s="67"/>
      <c r="DZ436" s="67">
        <v>0</v>
      </c>
      <c r="EA436" s="67"/>
      <c r="EB436" s="67">
        <v>0</v>
      </c>
      <c r="EC436" s="67"/>
      <c r="ED436" s="67">
        <v>0</v>
      </c>
      <c r="EE436" s="67"/>
      <c r="EF436" s="67">
        <v>0</v>
      </c>
      <c r="EG436" s="67"/>
      <c r="EH436" s="67"/>
      <c r="EI436" s="67"/>
      <c r="EJ436" s="67"/>
      <c r="EK436" s="67"/>
      <c r="EL436" s="67"/>
      <c r="EM436" s="67"/>
      <c r="EN436" s="67"/>
      <c r="EO436" s="67"/>
      <c r="EP436" s="67">
        <v>0</v>
      </c>
      <c r="EQ436" s="67">
        <v>720</v>
      </c>
      <c r="ER436" s="67">
        <v>720</v>
      </c>
      <c r="ES436" s="67"/>
      <c r="ET436">
        <v>0</v>
      </c>
      <c r="EX436" s="67"/>
      <c r="EY436" s="67"/>
      <c r="EZ436" s="67"/>
      <c r="FA436" s="67">
        <v>860</v>
      </c>
      <c r="FB436" s="67">
        <v>0</v>
      </c>
      <c r="FC436" s="67"/>
      <c r="FD436" s="67"/>
      <c r="FE436" s="67"/>
      <c r="FF436" s="67"/>
      <c r="FG436" s="67"/>
      <c r="FH436" s="67"/>
      <c r="FI436" s="67" t="s">
        <v>1734</v>
      </c>
    </row>
    <row r="437" spans="2:165" ht="24" x14ac:dyDescent="0.2">
      <c r="B437" s="67" t="s">
        <v>1147</v>
      </c>
      <c r="C437" s="67"/>
      <c r="D437" s="67" t="s">
        <v>1148</v>
      </c>
      <c r="E437" s="67" t="s">
        <v>889</v>
      </c>
      <c r="F437" s="67"/>
      <c r="G437" s="67" t="s">
        <v>694</v>
      </c>
      <c r="H437" s="67"/>
      <c r="I437" s="67" t="s">
        <v>41</v>
      </c>
      <c r="J437" s="67"/>
      <c r="K437" s="67"/>
      <c r="L437" s="67" t="s">
        <v>779</v>
      </c>
      <c r="M437" s="67" t="s">
        <v>752</v>
      </c>
      <c r="N437" s="67"/>
      <c r="O437" s="67" t="s">
        <v>1605</v>
      </c>
      <c r="P437" s="67"/>
      <c r="Q437" s="67">
        <v>0</v>
      </c>
      <c r="R437" s="67">
        <v>0</v>
      </c>
      <c r="S437" s="67">
        <v>0</v>
      </c>
      <c r="T437" s="67">
        <v>0</v>
      </c>
      <c r="U437" s="67">
        <v>0</v>
      </c>
      <c r="V437" s="67">
        <v>0</v>
      </c>
      <c r="W437" s="67">
        <v>0</v>
      </c>
      <c r="X437" s="67">
        <v>0</v>
      </c>
      <c r="Y437" s="67">
        <v>0</v>
      </c>
      <c r="Z437" s="67">
        <v>0</v>
      </c>
      <c r="AA437" s="67">
        <v>0</v>
      </c>
      <c r="AB437" s="67">
        <v>0</v>
      </c>
      <c r="AC437" s="67">
        <v>0</v>
      </c>
      <c r="AD437" s="67">
        <v>0</v>
      </c>
      <c r="AE437" s="67">
        <v>0</v>
      </c>
      <c r="AF437" s="67">
        <v>0</v>
      </c>
      <c r="AG437" s="67">
        <v>0</v>
      </c>
      <c r="AH437" s="67">
        <v>0</v>
      </c>
      <c r="AI437" s="67">
        <v>0</v>
      </c>
      <c r="AJ437" s="67">
        <v>0</v>
      </c>
      <c r="AK437" s="67">
        <v>0</v>
      </c>
      <c r="AL437" s="67">
        <v>0</v>
      </c>
      <c r="AM437" s="67">
        <v>0</v>
      </c>
      <c r="AN437" s="67">
        <v>0</v>
      </c>
      <c r="AO437" s="67">
        <v>0</v>
      </c>
      <c r="AP437" s="67">
        <v>0</v>
      </c>
      <c r="AQ437" s="67">
        <v>0</v>
      </c>
      <c r="AR437" s="67">
        <v>0</v>
      </c>
      <c r="AS437" s="67">
        <v>0</v>
      </c>
      <c r="AT437" s="67"/>
      <c r="AU437" s="67"/>
      <c r="AV437" s="67"/>
      <c r="AW437" s="67">
        <v>0</v>
      </c>
      <c r="AX437" s="67">
        <v>0</v>
      </c>
      <c r="AY437" s="67"/>
      <c r="AZ437" s="67"/>
      <c r="BA437" s="67"/>
      <c r="BB437" s="67"/>
      <c r="BC437" s="67"/>
      <c r="BD437" s="67"/>
      <c r="BE437" s="67"/>
      <c r="BG437" s="67"/>
      <c r="BH437" s="67"/>
      <c r="BI437" s="67"/>
      <c r="BJ437" s="67">
        <v>0</v>
      </c>
      <c r="BK437" s="67"/>
      <c r="BL437" s="67"/>
      <c r="BP437" s="67"/>
      <c r="BQ437" s="67">
        <v>0</v>
      </c>
      <c r="BR437" s="67"/>
      <c r="BS437" s="67"/>
      <c r="BT437" s="67">
        <v>0</v>
      </c>
      <c r="BU437" s="67">
        <v>0</v>
      </c>
      <c r="BV437" s="67"/>
      <c r="BW437" s="67"/>
      <c r="BX437" s="67">
        <v>0</v>
      </c>
      <c r="BY437" s="67">
        <v>0</v>
      </c>
      <c r="BZ437" s="67">
        <v>0</v>
      </c>
      <c r="CA437" s="67"/>
      <c r="CB437" s="67">
        <v>0</v>
      </c>
      <c r="CC437" s="67"/>
      <c r="CD437" s="67"/>
      <c r="CE437" s="67">
        <v>0</v>
      </c>
      <c r="CF437" s="67"/>
      <c r="CG437" s="67"/>
      <c r="CH437" s="67"/>
      <c r="CI437" s="67"/>
      <c r="CJ437" s="67"/>
      <c r="CK437" s="67">
        <v>0</v>
      </c>
      <c r="CL437" s="67"/>
      <c r="CM437" s="67"/>
      <c r="CN437" s="67"/>
      <c r="CO437" s="67">
        <v>0</v>
      </c>
      <c r="CP437" s="67"/>
      <c r="CQ437" s="67"/>
      <c r="CR437" s="67"/>
      <c r="CS437" s="67"/>
      <c r="CT437" s="67"/>
      <c r="CU437" s="67">
        <v>0</v>
      </c>
      <c r="CV437" s="67"/>
      <c r="CW437" s="67"/>
      <c r="CX437" s="67"/>
      <c r="CY437" s="67">
        <v>0</v>
      </c>
      <c r="CZ437" s="67"/>
      <c r="DA437" s="67"/>
      <c r="DB437" s="67"/>
      <c r="DC437" s="67"/>
      <c r="DF437" s="67"/>
      <c r="DG437" s="67">
        <v>0</v>
      </c>
      <c r="DH437" s="67">
        <v>0</v>
      </c>
      <c r="DI437" s="67">
        <v>0</v>
      </c>
      <c r="DJ437" s="67"/>
      <c r="DK437" s="67">
        <v>0</v>
      </c>
      <c r="DL437" s="67">
        <v>0</v>
      </c>
      <c r="DM437" s="67">
        <v>0</v>
      </c>
      <c r="DN437" s="67"/>
      <c r="DO437" s="67"/>
      <c r="DP437" s="67"/>
      <c r="DQ437" s="67">
        <v>0</v>
      </c>
      <c r="DR437" s="67">
        <v>0</v>
      </c>
      <c r="DS437" s="67"/>
      <c r="DT437" s="67"/>
      <c r="DU437" s="67">
        <v>0</v>
      </c>
      <c r="DV437" s="67">
        <v>0</v>
      </c>
      <c r="DW437" s="67">
        <v>0</v>
      </c>
      <c r="DX437" s="67">
        <v>0</v>
      </c>
      <c r="DY437" s="67"/>
      <c r="DZ437" s="67">
        <v>0</v>
      </c>
      <c r="EA437" s="67"/>
      <c r="EB437" s="67">
        <v>0</v>
      </c>
      <c r="EC437" s="67"/>
      <c r="ED437" s="67">
        <v>0</v>
      </c>
      <c r="EE437" s="67"/>
      <c r="EF437" s="67">
        <v>0</v>
      </c>
      <c r="EG437" s="67"/>
      <c r="EH437" s="67"/>
      <c r="EI437" s="67"/>
      <c r="EJ437" s="67"/>
      <c r="EK437" s="67"/>
      <c r="EL437" s="67"/>
      <c r="EM437" s="67"/>
      <c r="EN437" s="67"/>
      <c r="EO437" s="67"/>
      <c r="EP437" s="67">
        <v>0</v>
      </c>
      <c r="EQ437" s="67">
        <v>0</v>
      </c>
      <c r="ER437" s="67">
        <v>0</v>
      </c>
      <c r="ES437" s="67"/>
      <c r="ET437">
        <v>0</v>
      </c>
      <c r="EX437" s="67"/>
      <c r="EY437" s="67"/>
      <c r="EZ437" s="67"/>
      <c r="FA437" s="67">
        <v>0</v>
      </c>
      <c r="FB437" s="67">
        <v>0</v>
      </c>
      <c r="FC437" s="67"/>
      <c r="FD437" s="67"/>
      <c r="FE437" s="67"/>
      <c r="FF437" s="67"/>
      <c r="FG437" s="67"/>
      <c r="FH437" s="67"/>
      <c r="FI437" s="67" t="s">
        <v>1734</v>
      </c>
    </row>
    <row r="438" spans="2:165" ht="24" x14ac:dyDescent="0.2">
      <c r="B438" s="67" t="s">
        <v>1149</v>
      </c>
      <c r="C438" s="67"/>
      <c r="D438" s="67" t="s">
        <v>1150</v>
      </c>
      <c r="E438" s="67" t="s">
        <v>13</v>
      </c>
      <c r="F438" s="67"/>
      <c r="G438" s="67" t="s">
        <v>694</v>
      </c>
      <c r="H438" s="67"/>
      <c r="I438" s="67" t="s">
        <v>41</v>
      </c>
      <c r="J438" s="67"/>
      <c r="K438" s="67"/>
      <c r="L438" s="67" t="s">
        <v>751</v>
      </c>
      <c r="M438" s="67" t="s">
        <v>752</v>
      </c>
      <c r="N438" s="67"/>
      <c r="O438" s="67" t="s">
        <v>1605</v>
      </c>
      <c r="P438" s="67" t="s">
        <v>942</v>
      </c>
      <c r="Q438" s="67">
        <v>0</v>
      </c>
      <c r="R438" s="67">
        <v>0</v>
      </c>
      <c r="S438" s="67">
        <v>0</v>
      </c>
      <c r="T438" s="67">
        <v>0</v>
      </c>
      <c r="U438" s="67">
        <v>0</v>
      </c>
      <c r="V438" s="67">
        <v>0</v>
      </c>
      <c r="W438" s="67">
        <v>0</v>
      </c>
      <c r="X438" s="67">
        <v>0</v>
      </c>
      <c r="Y438" s="67">
        <v>0</v>
      </c>
      <c r="Z438" s="67">
        <v>0</v>
      </c>
      <c r="AA438" s="67">
        <v>0</v>
      </c>
      <c r="AB438" s="67">
        <v>0</v>
      </c>
      <c r="AC438" s="67">
        <v>0</v>
      </c>
      <c r="AD438" s="67">
        <v>0</v>
      </c>
      <c r="AE438" s="67">
        <v>0</v>
      </c>
      <c r="AF438" s="67">
        <v>0</v>
      </c>
      <c r="AG438" s="67">
        <v>0</v>
      </c>
      <c r="AH438" s="67">
        <v>0</v>
      </c>
      <c r="AI438" s="67">
        <v>0</v>
      </c>
      <c r="AJ438" s="67">
        <v>0</v>
      </c>
      <c r="AK438" s="67">
        <v>0</v>
      </c>
      <c r="AL438" s="67">
        <v>0</v>
      </c>
      <c r="AM438" s="67">
        <v>0</v>
      </c>
      <c r="AN438" s="67">
        <v>0</v>
      </c>
      <c r="AO438" s="67">
        <v>0</v>
      </c>
      <c r="AP438" s="67">
        <v>0</v>
      </c>
      <c r="AQ438" s="67">
        <v>0</v>
      </c>
      <c r="AR438" s="67">
        <v>0</v>
      </c>
      <c r="AS438" s="67">
        <v>0</v>
      </c>
      <c r="AT438" s="67"/>
      <c r="AU438" s="67"/>
      <c r="AV438" s="67"/>
      <c r="AW438" s="67">
        <v>0</v>
      </c>
      <c r="AX438" s="67">
        <v>0</v>
      </c>
      <c r="AY438" s="67"/>
      <c r="AZ438" s="67"/>
      <c r="BA438" s="67"/>
      <c r="BB438" s="67"/>
      <c r="BC438" s="67"/>
      <c r="BD438" s="67"/>
      <c r="BE438" s="67"/>
      <c r="BG438" s="67"/>
      <c r="BH438" s="67"/>
      <c r="BI438" s="67"/>
      <c r="BJ438" s="67">
        <v>0</v>
      </c>
      <c r="BK438" s="67"/>
      <c r="BL438" s="67"/>
      <c r="BP438" s="67"/>
      <c r="BQ438" s="67">
        <v>0</v>
      </c>
      <c r="BR438" s="67"/>
      <c r="BS438" s="67"/>
      <c r="BT438" s="67">
        <v>0</v>
      </c>
      <c r="BU438" s="67">
        <v>0</v>
      </c>
      <c r="BV438" s="67"/>
      <c r="BW438" s="67"/>
      <c r="BX438" s="67">
        <v>0</v>
      </c>
      <c r="BY438" s="67">
        <v>0</v>
      </c>
      <c r="BZ438" s="67">
        <v>0</v>
      </c>
      <c r="CA438" s="67"/>
      <c r="CB438" s="67">
        <v>0</v>
      </c>
      <c r="CC438" s="67"/>
      <c r="CD438" s="67"/>
      <c r="CE438" s="67">
        <v>0</v>
      </c>
      <c r="CF438" s="67"/>
      <c r="CG438" s="67"/>
      <c r="CH438" s="67"/>
      <c r="CI438" s="67"/>
      <c r="CJ438" s="67"/>
      <c r="CK438" s="67">
        <v>0</v>
      </c>
      <c r="CL438" s="67"/>
      <c r="CM438" s="67"/>
      <c r="CN438" s="67"/>
      <c r="CO438" s="67">
        <v>0</v>
      </c>
      <c r="CP438" s="67"/>
      <c r="CQ438" s="67"/>
      <c r="CR438" s="67"/>
      <c r="CS438" s="67"/>
      <c r="CT438" s="67"/>
      <c r="CU438" s="67">
        <v>0</v>
      </c>
      <c r="CV438" s="67"/>
      <c r="CW438" s="67"/>
      <c r="CX438" s="67"/>
      <c r="CY438" s="67">
        <v>0</v>
      </c>
      <c r="CZ438" s="67"/>
      <c r="DA438" s="67"/>
      <c r="DB438" s="67"/>
      <c r="DC438" s="67"/>
      <c r="DF438" s="67"/>
      <c r="DG438" s="67">
        <v>0</v>
      </c>
      <c r="DH438" s="67">
        <v>0</v>
      </c>
      <c r="DI438" s="67">
        <v>0</v>
      </c>
      <c r="DJ438" s="67"/>
      <c r="DK438" s="67">
        <v>0</v>
      </c>
      <c r="DL438" s="67">
        <v>0</v>
      </c>
      <c r="DM438" s="67">
        <v>0</v>
      </c>
      <c r="DN438" s="67"/>
      <c r="DO438" s="67"/>
      <c r="DP438" s="67"/>
      <c r="DQ438" s="67">
        <v>0</v>
      </c>
      <c r="DR438" s="67">
        <v>0</v>
      </c>
      <c r="DS438" s="67"/>
      <c r="DT438" s="67"/>
      <c r="DU438" s="67">
        <v>0</v>
      </c>
      <c r="DV438" s="67">
        <v>0</v>
      </c>
      <c r="DW438" s="67">
        <v>0</v>
      </c>
      <c r="DX438" s="67">
        <v>0</v>
      </c>
      <c r="DY438" s="67"/>
      <c r="DZ438" s="67">
        <v>0</v>
      </c>
      <c r="EA438" s="67"/>
      <c r="EB438" s="67">
        <v>0</v>
      </c>
      <c r="EC438" s="67"/>
      <c r="ED438" s="67">
        <v>0</v>
      </c>
      <c r="EE438" s="67"/>
      <c r="EF438" s="67">
        <v>0</v>
      </c>
      <c r="EG438" s="67"/>
      <c r="EH438" s="67"/>
      <c r="EI438" s="67"/>
      <c r="EJ438" s="67"/>
      <c r="EK438" s="67"/>
      <c r="EL438" s="67"/>
      <c r="EM438" s="67"/>
      <c r="EN438" s="67"/>
      <c r="EO438" s="67"/>
      <c r="EP438" s="67">
        <v>0</v>
      </c>
      <c r="EQ438" s="67">
        <v>0</v>
      </c>
      <c r="ER438" s="67">
        <v>0</v>
      </c>
      <c r="ES438" s="67"/>
      <c r="ET438">
        <v>0</v>
      </c>
      <c r="EX438" s="67"/>
      <c r="EY438" s="67"/>
      <c r="EZ438" s="67"/>
      <c r="FA438" s="67">
        <v>0</v>
      </c>
      <c r="FB438" s="67">
        <v>0</v>
      </c>
      <c r="FC438" s="67"/>
      <c r="FD438" s="67"/>
      <c r="FE438" s="67"/>
      <c r="FF438" s="67"/>
      <c r="FG438" s="67"/>
      <c r="FH438" s="67"/>
      <c r="FI438" s="67" t="s">
        <v>1734</v>
      </c>
    </row>
    <row r="439" spans="2:165" x14ac:dyDescent="0.2">
      <c r="B439" s="67" t="s">
        <v>1151</v>
      </c>
      <c r="C439" s="67"/>
      <c r="D439" s="67" t="s">
        <v>1152</v>
      </c>
      <c r="E439" s="67" t="s">
        <v>23</v>
      </c>
      <c r="F439" s="67"/>
      <c r="G439" s="67" t="s">
        <v>694</v>
      </c>
      <c r="H439" s="67"/>
      <c r="I439" s="67" t="s">
        <v>43</v>
      </c>
      <c r="J439" s="67"/>
      <c r="K439" s="67"/>
      <c r="L439" s="67" t="s">
        <v>751</v>
      </c>
      <c r="M439" s="67" t="s">
        <v>752</v>
      </c>
      <c r="N439" s="67"/>
      <c r="O439" s="67" t="s">
        <v>1610</v>
      </c>
      <c r="P439" s="67"/>
      <c r="Q439" s="67">
        <v>80</v>
      </c>
      <c r="R439" s="67">
        <v>0</v>
      </c>
      <c r="S439" s="67">
        <v>0</v>
      </c>
      <c r="T439" s="67">
        <v>80</v>
      </c>
      <c r="U439" s="67">
        <v>0</v>
      </c>
      <c r="V439" s="67">
        <v>0</v>
      </c>
      <c r="W439" s="67">
        <v>0</v>
      </c>
      <c r="X439" s="67">
        <v>0</v>
      </c>
      <c r="Y439" s="67">
        <v>0</v>
      </c>
      <c r="Z439" s="67">
        <v>0</v>
      </c>
      <c r="AA439" s="67">
        <v>0</v>
      </c>
      <c r="AB439" s="67">
        <v>0</v>
      </c>
      <c r="AC439" s="67">
        <v>0</v>
      </c>
      <c r="AD439" s="67">
        <v>0</v>
      </c>
      <c r="AE439" s="67">
        <v>0</v>
      </c>
      <c r="AF439" s="67">
        <v>0</v>
      </c>
      <c r="AG439" s="67">
        <v>0</v>
      </c>
      <c r="AH439" s="67">
        <v>0</v>
      </c>
      <c r="AI439" s="67">
        <v>0</v>
      </c>
      <c r="AJ439" s="67">
        <v>0</v>
      </c>
      <c r="AK439" s="67">
        <v>0</v>
      </c>
      <c r="AL439" s="67">
        <v>0</v>
      </c>
      <c r="AM439" s="67">
        <v>0</v>
      </c>
      <c r="AN439" s="67">
        <v>0</v>
      </c>
      <c r="AO439" s="67">
        <v>0</v>
      </c>
      <c r="AP439" s="67">
        <v>0</v>
      </c>
      <c r="AQ439" s="67">
        <v>0</v>
      </c>
      <c r="AR439" s="67">
        <v>0</v>
      </c>
      <c r="AS439" s="67">
        <v>0</v>
      </c>
      <c r="AT439" s="67"/>
      <c r="AU439" s="67"/>
      <c r="AV439" s="67"/>
      <c r="AW439" s="67">
        <v>0</v>
      </c>
      <c r="AX439" s="67">
        <v>0</v>
      </c>
      <c r="AY439" s="67"/>
      <c r="AZ439" s="67"/>
      <c r="BA439" s="67"/>
      <c r="BB439" s="67"/>
      <c r="BC439" s="67"/>
      <c r="BD439" s="67"/>
      <c r="BE439" s="67"/>
      <c r="BG439" s="67"/>
      <c r="BH439" s="67"/>
      <c r="BI439" s="67"/>
      <c r="BJ439" s="67">
        <v>0</v>
      </c>
      <c r="BK439" s="67"/>
      <c r="BL439" s="67"/>
      <c r="BP439" s="67"/>
      <c r="BQ439" s="67">
        <v>0</v>
      </c>
      <c r="BR439" s="67"/>
      <c r="BS439" s="67"/>
      <c r="BT439" s="67">
        <v>0</v>
      </c>
      <c r="BU439" s="67">
        <v>0</v>
      </c>
      <c r="BV439" s="67"/>
      <c r="BW439" s="67"/>
      <c r="BX439" s="67">
        <v>0</v>
      </c>
      <c r="BY439" s="67">
        <v>0</v>
      </c>
      <c r="BZ439" s="67">
        <v>0</v>
      </c>
      <c r="CA439" s="67"/>
      <c r="CB439" s="67">
        <v>0</v>
      </c>
      <c r="CC439" s="67"/>
      <c r="CD439" s="67"/>
      <c r="CE439" s="67">
        <v>0</v>
      </c>
      <c r="CF439" s="67"/>
      <c r="CG439" s="67"/>
      <c r="CH439" s="67"/>
      <c r="CI439" s="67"/>
      <c r="CJ439" s="67"/>
      <c r="CK439" s="67">
        <v>0</v>
      </c>
      <c r="CL439" s="67"/>
      <c r="CM439" s="67"/>
      <c r="CN439" s="67"/>
      <c r="CO439" s="67">
        <v>0</v>
      </c>
      <c r="CP439" s="67"/>
      <c r="CQ439" s="67"/>
      <c r="CR439" s="67"/>
      <c r="CS439" s="67"/>
      <c r="CT439" s="67"/>
      <c r="CU439" s="67">
        <v>0</v>
      </c>
      <c r="CV439" s="67"/>
      <c r="CW439" s="67"/>
      <c r="CX439" s="67"/>
      <c r="CY439" s="67">
        <v>0</v>
      </c>
      <c r="CZ439" s="67"/>
      <c r="DA439" s="67"/>
      <c r="DB439" s="67"/>
      <c r="DC439" s="67"/>
      <c r="DF439" s="67"/>
      <c r="DG439" s="67">
        <v>6</v>
      </c>
      <c r="DH439" s="67">
        <v>6</v>
      </c>
      <c r="DI439" s="67">
        <v>0</v>
      </c>
      <c r="DJ439" s="67"/>
      <c r="DK439" s="67">
        <v>0</v>
      </c>
      <c r="DL439" s="67">
        <v>0</v>
      </c>
      <c r="DM439" s="67">
        <v>0</v>
      </c>
      <c r="DN439" s="67"/>
      <c r="DO439" s="67"/>
      <c r="DP439" s="67"/>
      <c r="DQ439" s="67">
        <v>0</v>
      </c>
      <c r="DR439" s="67">
        <v>0</v>
      </c>
      <c r="DS439" s="67"/>
      <c r="DT439" s="67"/>
      <c r="DU439" s="67">
        <v>0</v>
      </c>
      <c r="DV439" s="67">
        <v>0</v>
      </c>
      <c r="DW439" s="67">
        <v>0</v>
      </c>
      <c r="DX439" s="67">
        <v>0</v>
      </c>
      <c r="DY439" s="67"/>
      <c r="DZ439" s="67">
        <v>0</v>
      </c>
      <c r="EA439" s="67"/>
      <c r="EB439" s="67">
        <v>0</v>
      </c>
      <c r="EC439" s="67"/>
      <c r="ED439" s="67">
        <v>0</v>
      </c>
      <c r="EE439" s="67"/>
      <c r="EF439" s="67">
        <v>0</v>
      </c>
      <c r="EG439" s="67"/>
      <c r="EH439" s="67"/>
      <c r="EI439" s="67"/>
      <c r="EJ439" s="67"/>
      <c r="EK439" s="67"/>
      <c r="EL439" s="67"/>
      <c r="EM439" s="67"/>
      <c r="EN439" s="67"/>
      <c r="EO439" s="67"/>
      <c r="EP439" s="67">
        <v>0</v>
      </c>
      <c r="EQ439" s="67">
        <v>0</v>
      </c>
      <c r="ER439" s="67">
        <v>0</v>
      </c>
      <c r="ES439" s="67"/>
      <c r="ET439">
        <v>0</v>
      </c>
      <c r="EX439" s="67"/>
      <c r="EY439" s="67"/>
      <c r="EZ439" s="67"/>
      <c r="FA439" s="67">
        <v>86</v>
      </c>
      <c r="FB439" s="67">
        <v>0</v>
      </c>
      <c r="FC439" s="67"/>
      <c r="FD439" s="67"/>
      <c r="FE439" s="67"/>
      <c r="FF439" s="67"/>
      <c r="FG439" s="67"/>
      <c r="FH439" s="67"/>
      <c r="FI439" s="67" t="s">
        <v>1734</v>
      </c>
    </row>
    <row r="440" spans="2:165" x14ac:dyDescent="0.2">
      <c r="B440" s="67" t="s">
        <v>1153</v>
      </c>
      <c r="C440" s="67"/>
      <c r="D440" s="67" t="s">
        <v>1154</v>
      </c>
      <c r="E440" s="67"/>
      <c r="F440" s="67"/>
      <c r="G440" s="67" t="s">
        <v>694</v>
      </c>
      <c r="H440" s="67"/>
      <c r="I440" s="67" t="s">
        <v>43</v>
      </c>
      <c r="J440" s="67"/>
      <c r="K440" s="67"/>
      <c r="L440" s="67" t="s">
        <v>751</v>
      </c>
      <c r="M440" s="67" t="s">
        <v>752</v>
      </c>
      <c r="N440" s="67"/>
      <c r="O440" s="67" t="s">
        <v>1599</v>
      </c>
      <c r="P440" s="67"/>
      <c r="Q440" s="67">
        <v>870</v>
      </c>
      <c r="R440" s="67">
        <v>0</v>
      </c>
      <c r="S440" s="67">
        <v>0</v>
      </c>
      <c r="T440" s="67">
        <v>870</v>
      </c>
      <c r="U440" s="67">
        <v>0</v>
      </c>
      <c r="V440" s="67">
        <v>0</v>
      </c>
      <c r="W440" s="67">
        <v>0</v>
      </c>
      <c r="X440" s="67">
        <v>0</v>
      </c>
      <c r="Y440" s="67">
        <v>0</v>
      </c>
      <c r="Z440" s="67">
        <v>0</v>
      </c>
      <c r="AA440" s="67">
        <v>0</v>
      </c>
      <c r="AB440" s="67">
        <v>0</v>
      </c>
      <c r="AC440" s="67">
        <v>0</v>
      </c>
      <c r="AD440" s="67">
        <v>0</v>
      </c>
      <c r="AE440" s="67">
        <v>0</v>
      </c>
      <c r="AF440" s="67">
        <v>0</v>
      </c>
      <c r="AG440" s="67">
        <v>0</v>
      </c>
      <c r="AH440" s="67">
        <v>0</v>
      </c>
      <c r="AI440" s="67">
        <v>0</v>
      </c>
      <c r="AJ440" s="67">
        <v>0</v>
      </c>
      <c r="AK440" s="67">
        <v>0</v>
      </c>
      <c r="AL440" s="67">
        <v>0</v>
      </c>
      <c r="AM440" s="67">
        <v>0</v>
      </c>
      <c r="AN440" s="67">
        <v>0</v>
      </c>
      <c r="AO440" s="67">
        <v>0</v>
      </c>
      <c r="AP440" s="67">
        <v>0</v>
      </c>
      <c r="AQ440" s="67">
        <v>0</v>
      </c>
      <c r="AR440" s="67">
        <v>0</v>
      </c>
      <c r="AS440" s="67">
        <v>0</v>
      </c>
      <c r="AT440" s="67"/>
      <c r="AU440" s="67"/>
      <c r="AV440" s="67"/>
      <c r="AW440" s="67">
        <v>0</v>
      </c>
      <c r="AX440" s="67">
        <v>0</v>
      </c>
      <c r="AY440" s="67"/>
      <c r="AZ440" s="67"/>
      <c r="BA440" s="67"/>
      <c r="BB440" s="67"/>
      <c r="BC440" s="67"/>
      <c r="BD440" s="67"/>
      <c r="BE440" s="67"/>
      <c r="BG440" s="67"/>
      <c r="BH440" s="67"/>
      <c r="BI440" s="67"/>
      <c r="BJ440" s="67">
        <v>0</v>
      </c>
      <c r="BK440" s="67"/>
      <c r="BL440" s="67"/>
      <c r="BP440" s="67"/>
      <c r="BQ440" s="67">
        <v>0</v>
      </c>
      <c r="BR440" s="67"/>
      <c r="BS440" s="67"/>
      <c r="BT440" s="67">
        <v>0</v>
      </c>
      <c r="BU440" s="67">
        <v>0</v>
      </c>
      <c r="BV440" s="67"/>
      <c r="BW440" s="67"/>
      <c r="BX440" s="67">
        <v>0</v>
      </c>
      <c r="BY440" s="67">
        <v>0</v>
      </c>
      <c r="BZ440" s="67">
        <v>0</v>
      </c>
      <c r="CA440" s="67"/>
      <c r="CB440" s="67">
        <v>0</v>
      </c>
      <c r="CC440" s="67"/>
      <c r="CD440" s="67"/>
      <c r="CE440" s="67">
        <v>0</v>
      </c>
      <c r="CF440" s="67"/>
      <c r="CG440" s="67"/>
      <c r="CH440" s="67"/>
      <c r="CI440" s="67"/>
      <c r="CJ440" s="67"/>
      <c r="CK440" s="67">
        <v>0</v>
      </c>
      <c r="CL440" s="67"/>
      <c r="CM440" s="67"/>
      <c r="CN440" s="67"/>
      <c r="CO440" s="67">
        <v>0</v>
      </c>
      <c r="CP440" s="67"/>
      <c r="CQ440" s="67"/>
      <c r="CR440" s="67"/>
      <c r="CS440" s="67"/>
      <c r="CT440" s="67"/>
      <c r="CU440" s="67">
        <v>0</v>
      </c>
      <c r="CV440" s="67"/>
      <c r="CW440" s="67"/>
      <c r="CX440" s="67"/>
      <c r="CY440" s="67">
        <v>0</v>
      </c>
      <c r="CZ440" s="67"/>
      <c r="DA440" s="67"/>
      <c r="DB440" s="67"/>
      <c r="DC440" s="67"/>
      <c r="DF440" s="67"/>
      <c r="DG440" s="67">
        <v>0</v>
      </c>
      <c r="DH440" s="67">
        <v>0</v>
      </c>
      <c r="DI440" s="67">
        <v>0</v>
      </c>
      <c r="DJ440" s="67"/>
      <c r="DK440" s="67">
        <v>0</v>
      </c>
      <c r="DL440" s="67">
        <v>0</v>
      </c>
      <c r="DM440" s="67">
        <v>0</v>
      </c>
      <c r="DN440" s="67"/>
      <c r="DO440" s="67"/>
      <c r="DP440" s="67"/>
      <c r="DQ440" s="67">
        <v>0</v>
      </c>
      <c r="DR440" s="67">
        <v>0</v>
      </c>
      <c r="DS440" s="67"/>
      <c r="DT440" s="67"/>
      <c r="DU440" s="67">
        <v>0</v>
      </c>
      <c r="DV440" s="67">
        <v>0</v>
      </c>
      <c r="DW440" s="67">
        <v>0</v>
      </c>
      <c r="DX440" s="67">
        <v>0</v>
      </c>
      <c r="DY440" s="67"/>
      <c r="DZ440" s="67">
        <v>0</v>
      </c>
      <c r="EA440" s="67"/>
      <c r="EB440" s="67">
        <v>0</v>
      </c>
      <c r="EC440" s="67"/>
      <c r="ED440" s="67">
        <v>0</v>
      </c>
      <c r="EE440" s="67"/>
      <c r="EF440" s="67">
        <v>0</v>
      </c>
      <c r="EG440" s="67"/>
      <c r="EH440" s="67"/>
      <c r="EI440" s="67"/>
      <c r="EJ440" s="67"/>
      <c r="EK440" s="67"/>
      <c r="EL440" s="67"/>
      <c r="EM440" s="67"/>
      <c r="EN440" s="67"/>
      <c r="EO440" s="67"/>
      <c r="EP440" s="67">
        <v>0</v>
      </c>
      <c r="EQ440" s="67">
        <v>0</v>
      </c>
      <c r="ER440" s="67">
        <v>0</v>
      </c>
      <c r="ES440" s="67"/>
      <c r="ET440">
        <v>0</v>
      </c>
      <c r="EX440" s="67"/>
      <c r="EY440" s="67"/>
      <c r="EZ440" s="67"/>
      <c r="FA440" s="67">
        <v>870</v>
      </c>
      <c r="FB440" s="67">
        <v>0</v>
      </c>
      <c r="FC440" s="67"/>
      <c r="FD440" s="67"/>
      <c r="FE440" s="67"/>
      <c r="FF440" s="67"/>
      <c r="FG440" s="67"/>
      <c r="FH440" s="67"/>
      <c r="FI440" s="67" t="s">
        <v>1734</v>
      </c>
    </row>
    <row r="441" spans="2:165" x14ac:dyDescent="0.2">
      <c r="B441" s="67" t="s">
        <v>1155</v>
      </c>
      <c r="C441" s="67"/>
      <c r="D441" s="67" t="s">
        <v>1156</v>
      </c>
      <c r="E441" s="67"/>
      <c r="F441" s="67"/>
      <c r="G441" s="67" t="s">
        <v>694</v>
      </c>
      <c r="H441" s="67"/>
      <c r="I441" s="67" t="s">
        <v>43</v>
      </c>
      <c r="J441" s="67"/>
      <c r="K441" s="67"/>
      <c r="L441" s="67" t="s">
        <v>751</v>
      </c>
      <c r="M441" s="67" t="s">
        <v>752</v>
      </c>
      <c r="N441" s="67"/>
      <c r="O441" s="67" t="s">
        <v>1605</v>
      </c>
      <c r="P441" s="67"/>
      <c r="Q441" s="67">
        <v>0</v>
      </c>
      <c r="R441" s="67">
        <v>0</v>
      </c>
      <c r="S441" s="67">
        <v>0</v>
      </c>
      <c r="T441" s="67">
        <v>0</v>
      </c>
      <c r="U441" s="67">
        <v>0</v>
      </c>
      <c r="V441" s="67">
        <v>0</v>
      </c>
      <c r="W441" s="67">
        <v>0</v>
      </c>
      <c r="X441" s="67">
        <v>0</v>
      </c>
      <c r="Y441" s="67">
        <v>0</v>
      </c>
      <c r="Z441" s="67">
        <v>0</v>
      </c>
      <c r="AA441" s="67">
        <v>0</v>
      </c>
      <c r="AB441" s="67">
        <v>0</v>
      </c>
      <c r="AC441" s="67">
        <v>0</v>
      </c>
      <c r="AD441" s="67">
        <v>0</v>
      </c>
      <c r="AE441" s="67">
        <v>0</v>
      </c>
      <c r="AF441" s="67">
        <v>0</v>
      </c>
      <c r="AG441" s="67">
        <v>0</v>
      </c>
      <c r="AH441" s="67">
        <v>0</v>
      </c>
      <c r="AI441" s="67">
        <v>0</v>
      </c>
      <c r="AJ441" s="67">
        <v>0</v>
      </c>
      <c r="AK441" s="67">
        <v>0</v>
      </c>
      <c r="AL441" s="67">
        <v>0</v>
      </c>
      <c r="AM441" s="67">
        <v>0</v>
      </c>
      <c r="AN441" s="67">
        <v>0</v>
      </c>
      <c r="AO441" s="67">
        <v>0</v>
      </c>
      <c r="AP441" s="67">
        <v>0</v>
      </c>
      <c r="AQ441" s="67">
        <v>0</v>
      </c>
      <c r="AR441" s="67">
        <v>0</v>
      </c>
      <c r="AS441" s="67">
        <v>0</v>
      </c>
      <c r="AT441" s="67"/>
      <c r="AU441" s="67"/>
      <c r="AV441" s="67"/>
      <c r="AW441" s="67">
        <v>0</v>
      </c>
      <c r="AX441" s="67">
        <v>0</v>
      </c>
      <c r="AY441" s="67"/>
      <c r="AZ441" s="67"/>
      <c r="BA441" s="67"/>
      <c r="BB441" s="67"/>
      <c r="BC441" s="67"/>
      <c r="BD441" s="67"/>
      <c r="BE441" s="67"/>
      <c r="BG441" s="67"/>
      <c r="BH441" s="67"/>
      <c r="BI441" s="67"/>
      <c r="BJ441" s="67">
        <v>0</v>
      </c>
      <c r="BK441" s="67"/>
      <c r="BL441" s="67"/>
      <c r="BP441" s="67"/>
      <c r="BQ441" s="67">
        <v>0</v>
      </c>
      <c r="BR441" s="67"/>
      <c r="BS441" s="67"/>
      <c r="BT441" s="67">
        <v>0</v>
      </c>
      <c r="BU441" s="67">
        <v>0</v>
      </c>
      <c r="BV441" s="67"/>
      <c r="BW441" s="67"/>
      <c r="BX441" s="67">
        <v>0</v>
      </c>
      <c r="BY441" s="67">
        <v>0</v>
      </c>
      <c r="BZ441" s="67">
        <v>0</v>
      </c>
      <c r="CA441" s="67"/>
      <c r="CB441" s="67">
        <v>0</v>
      </c>
      <c r="CC441" s="67"/>
      <c r="CD441" s="67"/>
      <c r="CE441" s="67">
        <v>0</v>
      </c>
      <c r="CF441" s="67"/>
      <c r="CG441" s="67"/>
      <c r="CH441" s="67"/>
      <c r="CI441" s="67"/>
      <c r="CJ441" s="67"/>
      <c r="CK441" s="67">
        <v>0</v>
      </c>
      <c r="CL441" s="67"/>
      <c r="CM441" s="67"/>
      <c r="CN441" s="67"/>
      <c r="CO441" s="67">
        <v>0</v>
      </c>
      <c r="CP441" s="67"/>
      <c r="CQ441" s="67"/>
      <c r="CR441" s="67"/>
      <c r="CS441" s="67"/>
      <c r="CT441" s="67"/>
      <c r="CU441" s="67">
        <v>0</v>
      </c>
      <c r="CV441" s="67"/>
      <c r="CW441" s="67"/>
      <c r="CX441" s="67"/>
      <c r="CY441" s="67">
        <v>0</v>
      </c>
      <c r="CZ441" s="67"/>
      <c r="DA441" s="67"/>
      <c r="DB441" s="67"/>
      <c r="DC441" s="67"/>
      <c r="DF441" s="67"/>
      <c r="DG441" s="67">
        <v>0</v>
      </c>
      <c r="DH441" s="67">
        <v>0</v>
      </c>
      <c r="DI441" s="67">
        <v>0</v>
      </c>
      <c r="DJ441" s="67"/>
      <c r="DK441" s="67">
        <v>0</v>
      </c>
      <c r="DL441" s="67">
        <v>0</v>
      </c>
      <c r="DM441" s="67">
        <v>0</v>
      </c>
      <c r="DN441" s="67"/>
      <c r="DO441" s="67"/>
      <c r="DP441" s="67"/>
      <c r="DQ441" s="67">
        <v>0</v>
      </c>
      <c r="DR441" s="67">
        <v>0</v>
      </c>
      <c r="DS441" s="67"/>
      <c r="DT441" s="67"/>
      <c r="DU441" s="67">
        <v>0</v>
      </c>
      <c r="DV441" s="67">
        <v>0</v>
      </c>
      <c r="DW441" s="67">
        <v>0</v>
      </c>
      <c r="DX441" s="67">
        <v>0</v>
      </c>
      <c r="DY441" s="67"/>
      <c r="DZ441" s="67">
        <v>0</v>
      </c>
      <c r="EA441" s="67"/>
      <c r="EB441" s="67">
        <v>0</v>
      </c>
      <c r="EC441" s="67"/>
      <c r="ED441" s="67">
        <v>0</v>
      </c>
      <c r="EE441" s="67"/>
      <c r="EF441" s="67">
        <v>0</v>
      </c>
      <c r="EG441" s="67"/>
      <c r="EH441" s="67"/>
      <c r="EI441" s="67"/>
      <c r="EJ441" s="67"/>
      <c r="EK441" s="67"/>
      <c r="EL441" s="67"/>
      <c r="EM441" s="67"/>
      <c r="EN441" s="67"/>
      <c r="EO441" s="67"/>
      <c r="EP441" s="67">
        <v>0</v>
      </c>
      <c r="EQ441" s="67">
        <v>0</v>
      </c>
      <c r="ER441" s="67">
        <v>0</v>
      </c>
      <c r="ES441" s="67"/>
      <c r="ET441">
        <v>0</v>
      </c>
      <c r="EX441" s="67"/>
      <c r="EY441" s="67"/>
      <c r="EZ441" s="67"/>
      <c r="FA441" s="67">
        <v>0</v>
      </c>
      <c r="FB441" s="67">
        <v>0</v>
      </c>
      <c r="FC441" s="67"/>
      <c r="FD441" s="67"/>
      <c r="FE441" s="67"/>
      <c r="FF441" s="67"/>
      <c r="FG441" s="67"/>
      <c r="FH441" s="67"/>
      <c r="FI441" s="67" t="s">
        <v>1734</v>
      </c>
    </row>
    <row r="442" spans="2:165" x14ac:dyDescent="0.2">
      <c r="B442" s="67" t="s">
        <v>1157</v>
      </c>
      <c r="C442" s="67"/>
      <c r="D442" s="67" t="s">
        <v>1158</v>
      </c>
      <c r="E442" s="67" t="s">
        <v>20</v>
      </c>
      <c r="F442" s="67"/>
      <c r="G442" s="67" t="s">
        <v>694</v>
      </c>
      <c r="H442" s="67"/>
      <c r="I442" s="67" t="s">
        <v>786</v>
      </c>
      <c r="J442" s="67"/>
      <c r="K442" s="67"/>
      <c r="L442" s="67" t="s">
        <v>787</v>
      </c>
      <c r="M442" s="67" t="s">
        <v>752</v>
      </c>
      <c r="N442" s="67"/>
      <c r="O442" s="67" t="s">
        <v>1599</v>
      </c>
      <c r="P442" s="67"/>
      <c r="Q442" s="67">
        <v>450</v>
      </c>
      <c r="R442" s="67">
        <v>0</v>
      </c>
      <c r="S442" s="67">
        <v>0</v>
      </c>
      <c r="T442" s="67">
        <v>0</v>
      </c>
      <c r="U442" s="67">
        <v>0</v>
      </c>
      <c r="V442" s="67">
        <v>0</v>
      </c>
      <c r="W442" s="67">
        <v>0</v>
      </c>
      <c r="X442" s="67">
        <v>0</v>
      </c>
      <c r="Y442" s="67">
        <v>0</v>
      </c>
      <c r="Z442" s="67">
        <v>0</v>
      </c>
      <c r="AA442" s="67">
        <v>0</v>
      </c>
      <c r="AB442" s="67">
        <v>0</v>
      </c>
      <c r="AC442" s="67">
        <v>0</v>
      </c>
      <c r="AD442" s="67">
        <v>0</v>
      </c>
      <c r="AE442" s="67">
        <v>0</v>
      </c>
      <c r="AF442" s="67">
        <v>0</v>
      </c>
      <c r="AG442" s="67">
        <v>0</v>
      </c>
      <c r="AH442" s="67">
        <v>450</v>
      </c>
      <c r="AI442" s="67">
        <v>0</v>
      </c>
      <c r="AJ442" s="67">
        <v>0</v>
      </c>
      <c r="AK442" s="67">
        <v>0</v>
      </c>
      <c r="AL442" s="67">
        <v>0</v>
      </c>
      <c r="AM442" s="67">
        <v>0</v>
      </c>
      <c r="AN442" s="67">
        <v>0</v>
      </c>
      <c r="AO442" s="67">
        <v>0</v>
      </c>
      <c r="AP442" s="67">
        <v>0</v>
      </c>
      <c r="AQ442" s="67">
        <v>0</v>
      </c>
      <c r="AR442" s="67">
        <v>0</v>
      </c>
      <c r="AS442" s="67">
        <v>0</v>
      </c>
      <c r="AT442" s="67"/>
      <c r="AU442" s="67"/>
      <c r="AV442" s="67"/>
      <c r="AW442" s="67">
        <v>0</v>
      </c>
      <c r="AX442" s="67">
        <v>0</v>
      </c>
      <c r="AY442" s="67"/>
      <c r="AZ442" s="67"/>
      <c r="BA442" s="67"/>
      <c r="BB442" s="67"/>
      <c r="BC442" s="67"/>
      <c r="BD442" s="67"/>
      <c r="BE442" s="67"/>
      <c r="BG442" s="67"/>
      <c r="BH442" s="67"/>
      <c r="BI442" s="67"/>
      <c r="BJ442" s="67">
        <v>0</v>
      </c>
      <c r="BK442" s="67"/>
      <c r="BL442" s="67"/>
      <c r="BP442" s="67"/>
      <c r="BQ442" s="67">
        <v>0</v>
      </c>
      <c r="BR442" s="67"/>
      <c r="BS442" s="67"/>
      <c r="BT442" s="67">
        <v>0</v>
      </c>
      <c r="BU442" s="67">
        <v>0</v>
      </c>
      <c r="BV442" s="67"/>
      <c r="BW442" s="67"/>
      <c r="BX442" s="67">
        <v>0</v>
      </c>
      <c r="BY442" s="67">
        <v>0</v>
      </c>
      <c r="BZ442" s="67">
        <v>0</v>
      </c>
      <c r="CA442" s="67"/>
      <c r="CB442" s="67">
        <v>0</v>
      </c>
      <c r="CC442" s="67"/>
      <c r="CD442" s="67"/>
      <c r="CE442" s="67">
        <v>0</v>
      </c>
      <c r="CF442" s="67"/>
      <c r="CG442" s="67"/>
      <c r="CH442" s="67"/>
      <c r="CI442" s="67"/>
      <c r="CJ442" s="67"/>
      <c r="CK442" s="67">
        <v>0</v>
      </c>
      <c r="CL442" s="67"/>
      <c r="CM442" s="67"/>
      <c r="CN442" s="67"/>
      <c r="CO442" s="67">
        <v>0</v>
      </c>
      <c r="CP442" s="67"/>
      <c r="CQ442" s="67"/>
      <c r="CR442" s="67"/>
      <c r="CS442" s="67"/>
      <c r="CT442" s="67"/>
      <c r="CU442" s="67">
        <v>0</v>
      </c>
      <c r="CV442" s="67"/>
      <c r="CW442" s="67"/>
      <c r="CX442" s="67"/>
      <c r="CY442" s="67">
        <v>0</v>
      </c>
      <c r="CZ442" s="67"/>
      <c r="DA442" s="67"/>
      <c r="DB442" s="67"/>
      <c r="DC442" s="67"/>
      <c r="DF442" s="67"/>
      <c r="DG442" s="67">
        <v>0</v>
      </c>
      <c r="DH442" s="67">
        <v>0</v>
      </c>
      <c r="DI442" s="67">
        <v>0</v>
      </c>
      <c r="DJ442" s="67"/>
      <c r="DK442" s="67">
        <v>0</v>
      </c>
      <c r="DL442" s="67">
        <v>0</v>
      </c>
      <c r="DM442" s="67">
        <v>0</v>
      </c>
      <c r="DN442" s="67"/>
      <c r="DO442" s="67"/>
      <c r="DP442" s="67"/>
      <c r="DQ442" s="67">
        <v>0</v>
      </c>
      <c r="DR442" s="67">
        <v>0</v>
      </c>
      <c r="DS442" s="67"/>
      <c r="DT442" s="67"/>
      <c r="DU442" s="67">
        <v>0</v>
      </c>
      <c r="DV442" s="67">
        <v>0</v>
      </c>
      <c r="DW442" s="67">
        <v>0</v>
      </c>
      <c r="DX442" s="67">
        <v>0</v>
      </c>
      <c r="DY442" s="67"/>
      <c r="DZ442" s="67">
        <v>0</v>
      </c>
      <c r="EA442" s="67"/>
      <c r="EB442" s="67">
        <v>0</v>
      </c>
      <c r="EC442" s="67"/>
      <c r="ED442" s="67">
        <v>0</v>
      </c>
      <c r="EE442" s="67"/>
      <c r="EF442" s="67">
        <v>0</v>
      </c>
      <c r="EG442" s="67"/>
      <c r="EH442" s="67"/>
      <c r="EI442" s="67"/>
      <c r="EJ442" s="67"/>
      <c r="EK442" s="67"/>
      <c r="EL442" s="67"/>
      <c r="EM442" s="67"/>
      <c r="EN442" s="67"/>
      <c r="EO442" s="67"/>
      <c r="EP442" s="67">
        <v>0</v>
      </c>
      <c r="EQ442" s="67">
        <v>0</v>
      </c>
      <c r="ER442" s="67">
        <v>0</v>
      </c>
      <c r="ES442" s="67"/>
      <c r="ET442">
        <v>0</v>
      </c>
      <c r="EX442" s="67"/>
      <c r="EY442" s="67"/>
      <c r="EZ442" s="67"/>
      <c r="FA442" s="67">
        <v>450</v>
      </c>
      <c r="FB442" s="67">
        <v>0</v>
      </c>
      <c r="FC442" s="67"/>
      <c r="FD442" s="67"/>
      <c r="FE442" s="67"/>
      <c r="FF442" s="67"/>
      <c r="FG442" s="67"/>
      <c r="FH442" s="67"/>
      <c r="FI442" s="67" t="s">
        <v>1734</v>
      </c>
    </row>
    <row r="443" spans="2:165" x14ac:dyDescent="0.2">
      <c r="B443" s="67" t="s">
        <v>1159</v>
      </c>
      <c r="C443" s="67"/>
      <c r="D443" s="67" t="s">
        <v>1160</v>
      </c>
      <c r="E443" s="67" t="s">
        <v>20</v>
      </c>
      <c r="F443" s="67"/>
      <c r="G443" s="67" t="s">
        <v>694</v>
      </c>
      <c r="H443" s="67"/>
      <c r="I443" s="67" t="s">
        <v>786</v>
      </c>
      <c r="J443" s="67"/>
      <c r="K443" s="67"/>
      <c r="L443" s="67" t="s">
        <v>787</v>
      </c>
      <c r="M443" s="67" t="s">
        <v>752</v>
      </c>
      <c r="N443" s="67"/>
      <c r="O443" s="67" t="s">
        <v>1606</v>
      </c>
      <c r="P443" s="67"/>
      <c r="Q443" s="67">
        <v>50</v>
      </c>
      <c r="R443" s="67">
        <v>0</v>
      </c>
      <c r="S443" s="67">
        <v>0</v>
      </c>
      <c r="T443" s="67">
        <v>0</v>
      </c>
      <c r="U443" s="67">
        <v>0</v>
      </c>
      <c r="V443" s="67">
        <v>0</v>
      </c>
      <c r="W443" s="67">
        <v>50</v>
      </c>
      <c r="X443" s="67">
        <v>0</v>
      </c>
      <c r="Y443" s="67">
        <v>0</v>
      </c>
      <c r="Z443" s="67">
        <v>0</v>
      </c>
      <c r="AA443" s="67">
        <v>0</v>
      </c>
      <c r="AB443" s="67">
        <v>0</v>
      </c>
      <c r="AC443" s="67">
        <v>0</v>
      </c>
      <c r="AD443" s="67">
        <v>0</v>
      </c>
      <c r="AE443" s="67">
        <v>0</v>
      </c>
      <c r="AF443" s="67">
        <v>0</v>
      </c>
      <c r="AG443" s="67">
        <v>0</v>
      </c>
      <c r="AH443" s="67">
        <v>0</v>
      </c>
      <c r="AI443" s="67">
        <v>0</v>
      </c>
      <c r="AJ443" s="67">
        <v>0</v>
      </c>
      <c r="AK443" s="67">
        <v>0</v>
      </c>
      <c r="AL443" s="67">
        <v>0</v>
      </c>
      <c r="AM443" s="67">
        <v>0</v>
      </c>
      <c r="AN443" s="67">
        <v>0</v>
      </c>
      <c r="AO443" s="67">
        <v>0</v>
      </c>
      <c r="AP443" s="67">
        <v>0</v>
      </c>
      <c r="AQ443" s="67">
        <v>0</v>
      </c>
      <c r="AR443" s="67">
        <v>0</v>
      </c>
      <c r="AS443" s="67">
        <v>0</v>
      </c>
      <c r="AT443" s="67"/>
      <c r="AU443" s="67"/>
      <c r="AV443" s="67"/>
      <c r="AW443" s="67">
        <v>0</v>
      </c>
      <c r="AX443" s="67">
        <v>0</v>
      </c>
      <c r="AY443" s="67"/>
      <c r="AZ443" s="67"/>
      <c r="BA443" s="67"/>
      <c r="BB443" s="67"/>
      <c r="BC443" s="67"/>
      <c r="BD443" s="67"/>
      <c r="BE443" s="67"/>
      <c r="BG443" s="67"/>
      <c r="BH443" s="67"/>
      <c r="BI443" s="67"/>
      <c r="BJ443" s="67">
        <v>0</v>
      </c>
      <c r="BK443" s="67"/>
      <c r="BL443" s="67"/>
      <c r="BP443" s="67"/>
      <c r="BQ443" s="67">
        <v>0</v>
      </c>
      <c r="BR443" s="67"/>
      <c r="BS443" s="67"/>
      <c r="BT443" s="67">
        <v>0</v>
      </c>
      <c r="BU443" s="67">
        <v>0</v>
      </c>
      <c r="BV443" s="67"/>
      <c r="BW443" s="67"/>
      <c r="BX443" s="67">
        <v>0</v>
      </c>
      <c r="BY443" s="67">
        <v>0</v>
      </c>
      <c r="BZ443" s="67">
        <v>0</v>
      </c>
      <c r="CA443" s="67"/>
      <c r="CB443" s="67">
        <v>0</v>
      </c>
      <c r="CC443" s="67"/>
      <c r="CD443" s="67"/>
      <c r="CE443" s="67">
        <v>0</v>
      </c>
      <c r="CF443" s="67"/>
      <c r="CG443" s="67"/>
      <c r="CH443" s="67"/>
      <c r="CI443" s="67"/>
      <c r="CJ443" s="67"/>
      <c r="CK443" s="67">
        <v>0</v>
      </c>
      <c r="CL443" s="67"/>
      <c r="CM443" s="67"/>
      <c r="CN443" s="67"/>
      <c r="CO443" s="67">
        <v>0</v>
      </c>
      <c r="CP443" s="67"/>
      <c r="CQ443" s="67"/>
      <c r="CR443" s="67"/>
      <c r="CS443" s="67"/>
      <c r="CT443" s="67"/>
      <c r="CU443" s="67">
        <v>0</v>
      </c>
      <c r="CV443" s="67"/>
      <c r="CW443" s="67"/>
      <c r="CX443" s="67"/>
      <c r="CY443" s="67">
        <v>0</v>
      </c>
      <c r="CZ443" s="67"/>
      <c r="DA443" s="67"/>
      <c r="DB443" s="67"/>
      <c r="DC443" s="67"/>
      <c r="DF443" s="67"/>
      <c r="DG443" s="67">
        <v>0</v>
      </c>
      <c r="DH443" s="67">
        <v>0</v>
      </c>
      <c r="DI443" s="67">
        <v>0</v>
      </c>
      <c r="DJ443" s="67"/>
      <c r="DK443" s="67">
        <v>0</v>
      </c>
      <c r="DL443" s="67">
        <v>0</v>
      </c>
      <c r="DM443" s="67">
        <v>0</v>
      </c>
      <c r="DN443" s="67"/>
      <c r="DO443" s="67"/>
      <c r="DP443" s="67"/>
      <c r="DQ443" s="67">
        <v>0</v>
      </c>
      <c r="DR443" s="67">
        <v>0</v>
      </c>
      <c r="DS443" s="67"/>
      <c r="DT443" s="67"/>
      <c r="DU443" s="67">
        <v>0</v>
      </c>
      <c r="DV443" s="67">
        <v>0</v>
      </c>
      <c r="DW443" s="67">
        <v>0</v>
      </c>
      <c r="DX443" s="67">
        <v>0</v>
      </c>
      <c r="DY443" s="67"/>
      <c r="DZ443" s="67">
        <v>0</v>
      </c>
      <c r="EA443" s="67"/>
      <c r="EB443" s="67">
        <v>0</v>
      </c>
      <c r="EC443" s="67"/>
      <c r="ED443" s="67">
        <v>0</v>
      </c>
      <c r="EE443" s="67"/>
      <c r="EF443" s="67">
        <v>0</v>
      </c>
      <c r="EG443" s="67"/>
      <c r="EH443" s="67"/>
      <c r="EI443" s="67"/>
      <c r="EJ443" s="67"/>
      <c r="EK443" s="67"/>
      <c r="EL443" s="67"/>
      <c r="EM443" s="67"/>
      <c r="EN443" s="67"/>
      <c r="EO443" s="67"/>
      <c r="EP443" s="67">
        <v>0</v>
      </c>
      <c r="EQ443" s="67">
        <v>0</v>
      </c>
      <c r="ER443" s="67">
        <v>0</v>
      </c>
      <c r="ES443" s="67"/>
      <c r="ET443">
        <v>0</v>
      </c>
      <c r="EX443" s="67"/>
      <c r="EY443" s="67"/>
      <c r="EZ443" s="67"/>
      <c r="FA443" s="67">
        <v>50</v>
      </c>
      <c r="FB443" s="67">
        <v>0</v>
      </c>
      <c r="FC443" s="67"/>
      <c r="FD443" s="67"/>
      <c r="FE443" s="67"/>
      <c r="FF443" s="67"/>
      <c r="FG443" s="67"/>
      <c r="FH443" s="67"/>
      <c r="FI443" s="67" t="s">
        <v>1734</v>
      </c>
    </row>
    <row r="444" spans="2:165" x14ac:dyDescent="0.2">
      <c r="B444" s="67" t="s">
        <v>1161</v>
      </c>
      <c r="C444" s="67"/>
      <c r="D444" s="67" t="s">
        <v>1162</v>
      </c>
      <c r="E444" s="67" t="s">
        <v>20</v>
      </c>
      <c r="F444" s="67"/>
      <c r="G444" s="67" t="s">
        <v>694</v>
      </c>
      <c r="H444" s="67"/>
      <c r="I444" s="67" t="s">
        <v>786</v>
      </c>
      <c r="J444" s="67"/>
      <c r="K444" s="67"/>
      <c r="L444" s="67" t="s">
        <v>787</v>
      </c>
      <c r="M444" s="67" t="s">
        <v>752</v>
      </c>
      <c r="N444" s="67"/>
      <c r="O444" s="67" t="s">
        <v>1599</v>
      </c>
      <c r="P444" s="67"/>
      <c r="Q444" s="67">
        <v>160</v>
      </c>
      <c r="R444" s="67">
        <v>0</v>
      </c>
      <c r="S444" s="67">
        <v>0</v>
      </c>
      <c r="T444" s="67">
        <v>0</v>
      </c>
      <c r="U444" s="67">
        <v>0</v>
      </c>
      <c r="V444" s="67">
        <v>0</v>
      </c>
      <c r="W444" s="67">
        <v>0</v>
      </c>
      <c r="X444" s="67">
        <v>0</v>
      </c>
      <c r="Y444" s="67">
        <v>0</v>
      </c>
      <c r="Z444" s="67">
        <v>0</v>
      </c>
      <c r="AA444" s="67">
        <v>0</v>
      </c>
      <c r="AB444" s="67">
        <v>0</v>
      </c>
      <c r="AC444" s="67">
        <v>0</v>
      </c>
      <c r="AD444" s="67">
        <v>0</v>
      </c>
      <c r="AE444" s="67">
        <v>0</v>
      </c>
      <c r="AF444" s="67">
        <v>0</v>
      </c>
      <c r="AG444" s="67">
        <v>0</v>
      </c>
      <c r="AH444" s="67">
        <v>0</v>
      </c>
      <c r="AI444" s="67">
        <v>160</v>
      </c>
      <c r="AJ444" s="67">
        <v>0</v>
      </c>
      <c r="AK444" s="67">
        <v>0</v>
      </c>
      <c r="AL444" s="67">
        <v>0</v>
      </c>
      <c r="AM444" s="67">
        <v>0</v>
      </c>
      <c r="AN444" s="67">
        <v>0</v>
      </c>
      <c r="AO444" s="67">
        <v>0</v>
      </c>
      <c r="AP444" s="67">
        <v>0</v>
      </c>
      <c r="AQ444" s="67">
        <v>0</v>
      </c>
      <c r="AR444" s="67">
        <v>0</v>
      </c>
      <c r="AS444" s="67">
        <v>0</v>
      </c>
      <c r="AT444" s="67"/>
      <c r="AU444" s="67"/>
      <c r="AV444" s="67"/>
      <c r="AW444" s="67">
        <v>0</v>
      </c>
      <c r="AX444" s="67">
        <v>0</v>
      </c>
      <c r="AY444" s="67"/>
      <c r="AZ444" s="67"/>
      <c r="BA444" s="67"/>
      <c r="BB444" s="67"/>
      <c r="BC444" s="67"/>
      <c r="BD444" s="67"/>
      <c r="BE444" s="67"/>
      <c r="BG444" s="67"/>
      <c r="BH444" s="67"/>
      <c r="BI444" s="67"/>
      <c r="BJ444" s="67">
        <v>0</v>
      </c>
      <c r="BK444" s="67"/>
      <c r="BL444" s="67"/>
      <c r="BP444" s="67"/>
      <c r="BQ444" s="67">
        <v>0</v>
      </c>
      <c r="BR444" s="67"/>
      <c r="BS444" s="67"/>
      <c r="BT444" s="67">
        <v>0</v>
      </c>
      <c r="BU444" s="67">
        <v>0</v>
      </c>
      <c r="BV444" s="67"/>
      <c r="BW444" s="67"/>
      <c r="BX444" s="67">
        <v>0</v>
      </c>
      <c r="BY444" s="67">
        <v>0</v>
      </c>
      <c r="BZ444" s="67">
        <v>0</v>
      </c>
      <c r="CA444" s="67"/>
      <c r="CB444" s="67">
        <v>0</v>
      </c>
      <c r="CC444" s="67"/>
      <c r="CD444" s="67"/>
      <c r="CE444" s="67">
        <v>0</v>
      </c>
      <c r="CF444" s="67"/>
      <c r="CG444" s="67"/>
      <c r="CH444" s="67"/>
      <c r="CI444" s="67"/>
      <c r="CJ444" s="67"/>
      <c r="CK444" s="67">
        <v>0</v>
      </c>
      <c r="CL444" s="67"/>
      <c r="CM444" s="67"/>
      <c r="CN444" s="67"/>
      <c r="CO444" s="67">
        <v>0</v>
      </c>
      <c r="CP444" s="67"/>
      <c r="CQ444" s="67"/>
      <c r="CR444" s="67"/>
      <c r="CS444" s="67"/>
      <c r="CT444" s="67"/>
      <c r="CU444" s="67">
        <v>0</v>
      </c>
      <c r="CV444" s="67"/>
      <c r="CW444" s="67"/>
      <c r="CX444" s="67"/>
      <c r="CY444" s="67">
        <v>0</v>
      </c>
      <c r="CZ444" s="67"/>
      <c r="DA444" s="67"/>
      <c r="DB444" s="67"/>
      <c r="DC444" s="67"/>
      <c r="DF444" s="67"/>
      <c r="DG444" s="67">
        <v>0</v>
      </c>
      <c r="DH444" s="67">
        <v>0</v>
      </c>
      <c r="DI444" s="67">
        <v>0</v>
      </c>
      <c r="DJ444" s="67"/>
      <c r="DK444" s="67">
        <v>0</v>
      </c>
      <c r="DL444" s="67">
        <v>0</v>
      </c>
      <c r="DM444" s="67">
        <v>0</v>
      </c>
      <c r="DN444" s="67"/>
      <c r="DO444" s="67"/>
      <c r="DP444" s="67"/>
      <c r="DQ444" s="67">
        <v>0</v>
      </c>
      <c r="DR444" s="67">
        <v>0</v>
      </c>
      <c r="DS444" s="67"/>
      <c r="DT444" s="67"/>
      <c r="DU444" s="67">
        <v>0</v>
      </c>
      <c r="DV444" s="67">
        <v>0</v>
      </c>
      <c r="DW444" s="67">
        <v>0</v>
      </c>
      <c r="DX444" s="67">
        <v>0</v>
      </c>
      <c r="DY444" s="67"/>
      <c r="DZ444" s="67">
        <v>0</v>
      </c>
      <c r="EA444" s="67"/>
      <c r="EB444" s="67">
        <v>0</v>
      </c>
      <c r="EC444" s="67"/>
      <c r="ED444" s="67">
        <v>0</v>
      </c>
      <c r="EE444" s="67"/>
      <c r="EF444" s="67">
        <v>0</v>
      </c>
      <c r="EG444" s="67"/>
      <c r="EH444" s="67"/>
      <c r="EI444" s="67"/>
      <c r="EJ444" s="67"/>
      <c r="EK444" s="67"/>
      <c r="EL444" s="67"/>
      <c r="EM444" s="67"/>
      <c r="EN444" s="67"/>
      <c r="EO444" s="67"/>
      <c r="EP444" s="67">
        <v>0</v>
      </c>
      <c r="EQ444" s="67">
        <v>0</v>
      </c>
      <c r="ER444" s="67">
        <v>0</v>
      </c>
      <c r="ES444" s="67"/>
      <c r="ET444">
        <v>0</v>
      </c>
      <c r="EX444" s="67"/>
      <c r="EY444" s="67"/>
      <c r="EZ444" s="67"/>
      <c r="FA444" s="67">
        <v>160</v>
      </c>
      <c r="FB444" s="67">
        <v>0</v>
      </c>
      <c r="FC444" s="67"/>
      <c r="FD444" s="67"/>
      <c r="FE444" s="67"/>
      <c r="FF444" s="67"/>
      <c r="FG444" s="67"/>
      <c r="FH444" s="67"/>
      <c r="FI444" s="67" t="s">
        <v>1734</v>
      </c>
    </row>
    <row r="445" spans="2:165" x14ac:dyDescent="0.2">
      <c r="B445" s="67" t="s">
        <v>1163</v>
      </c>
      <c r="C445" s="67"/>
      <c r="D445" s="67" t="s">
        <v>1164</v>
      </c>
      <c r="E445" s="67" t="s">
        <v>20</v>
      </c>
      <c r="F445" s="67"/>
      <c r="G445" s="67" t="s">
        <v>694</v>
      </c>
      <c r="H445" s="67"/>
      <c r="I445" s="67" t="s">
        <v>786</v>
      </c>
      <c r="J445" s="67"/>
      <c r="K445" s="67"/>
      <c r="L445" s="67" t="s">
        <v>779</v>
      </c>
      <c r="M445" s="67" t="s">
        <v>752</v>
      </c>
      <c r="N445" s="67"/>
      <c r="O445" s="67" t="s">
        <v>1599</v>
      </c>
      <c r="P445" s="67"/>
      <c r="Q445" s="67">
        <v>769</v>
      </c>
      <c r="R445" s="67">
        <v>0</v>
      </c>
      <c r="S445" s="67">
        <v>0</v>
      </c>
      <c r="T445" s="67">
        <v>0</v>
      </c>
      <c r="U445" s="67">
        <v>0</v>
      </c>
      <c r="V445" s="67">
        <v>0</v>
      </c>
      <c r="W445" s="67">
        <v>0</v>
      </c>
      <c r="X445" s="67">
        <v>0</v>
      </c>
      <c r="Y445" s="67">
        <v>0</v>
      </c>
      <c r="Z445" s="67">
        <v>0</v>
      </c>
      <c r="AA445" s="67">
        <v>0</v>
      </c>
      <c r="AB445" s="67">
        <v>0</v>
      </c>
      <c r="AC445" s="67">
        <v>0</v>
      </c>
      <c r="AD445" s="67">
        <v>0</v>
      </c>
      <c r="AE445" s="67">
        <v>0</v>
      </c>
      <c r="AF445" s="67">
        <v>0</v>
      </c>
      <c r="AG445" s="67">
        <v>0</v>
      </c>
      <c r="AH445" s="67">
        <v>0</v>
      </c>
      <c r="AI445" s="67">
        <v>769</v>
      </c>
      <c r="AJ445" s="67">
        <v>0</v>
      </c>
      <c r="AK445" s="67">
        <v>0</v>
      </c>
      <c r="AL445" s="67">
        <v>0</v>
      </c>
      <c r="AM445" s="67">
        <v>0</v>
      </c>
      <c r="AN445" s="67">
        <v>0</v>
      </c>
      <c r="AO445" s="67">
        <v>0</v>
      </c>
      <c r="AP445" s="67">
        <v>0</v>
      </c>
      <c r="AQ445" s="67">
        <v>0</v>
      </c>
      <c r="AR445" s="67">
        <v>0</v>
      </c>
      <c r="AS445" s="67">
        <v>0</v>
      </c>
      <c r="AT445" s="67"/>
      <c r="AU445" s="67"/>
      <c r="AV445" s="67"/>
      <c r="AW445" s="67">
        <v>0</v>
      </c>
      <c r="AX445" s="67">
        <v>0</v>
      </c>
      <c r="AY445" s="67"/>
      <c r="AZ445" s="67"/>
      <c r="BA445" s="67"/>
      <c r="BB445" s="67"/>
      <c r="BC445" s="67"/>
      <c r="BD445" s="67"/>
      <c r="BE445" s="67"/>
      <c r="BG445" s="67"/>
      <c r="BH445" s="67"/>
      <c r="BI445" s="67"/>
      <c r="BJ445" s="67">
        <v>0</v>
      </c>
      <c r="BK445" s="67"/>
      <c r="BL445" s="67"/>
      <c r="BP445" s="67"/>
      <c r="BQ445" s="67">
        <v>0</v>
      </c>
      <c r="BR445" s="67"/>
      <c r="BS445" s="67"/>
      <c r="BT445" s="67">
        <v>0</v>
      </c>
      <c r="BU445" s="67">
        <v>0</v>
      </c>
      <c r="BV445" s="67"/>
      <c r="BW445" s="67"/>
      <c r="BX445" s="67">
        <v>0</v>
      </c>
      <c r="BY445" s="67">
        <v>0</v>
      </c>
      <c r="BZ445" s="67">
        <v>0</v>
      </c>
      <c r="CA445" s="67"/>
      <c r="CB445" s="67">
        <v>0</v>
      </c>
      <c r="CC445" s="67"/>
      <c r="CD445" s="67"/>
      <c r="CE445" s="67">
        <v>0</v>
      </c>
      <c r="CF445" s="67"/>
      <c r="CG445" s="67"/>
      <c r="CH445" s="67"/>
      <c r="CI445" s="67"/>
      <c r="CJ445" s="67"/>
      <c r="CK445" s="67">
        <v>0</v>
      </c>
      <c r="CL445" s="67"/>
      <c r="CM445" s="67"/>
      <c r="CN445" s="67"/>
      <c r="CO445" s="67">
        <v>0</v>
      </c>
      <c r="CP445" s="67"/>
      <c r="CQ445" s="67"/>
      <c r="CR445" s="67"/>
      <c r="CS445" s="67"/>
      <c r="CT445" s="67"/>
      <c r="CU445" s="67">
        <v>0</v>
      </c>
      <c r="CV445" s="67"/>
      <c r="CW445" s="67"/>
      <c r="CX445" s="67"/>
      <c r="CY445" s="67">
        <v>0</v>
      </c>
      <c r="CZ445" s="67"/>
      <c r="DA445" s="67"/>
      <c r="DB445" s="67"/>
      <c r="DC445" s="67"/>
      <c r="DF445" s="67"/>
      <c r="DG445" s="67">
        <v>0</v>
      </c>
      <c r="DH445" s="67">
        <v>0</v>
      </c>
      <c r="DI445" s="67">
        <v>0</v>
      </c>
      <c r="DJ445" s="67"/>
      <c r="DK445" s="67">
        <v>0</v>
      </c>
      <c r="DL445" s="67">
        <v>0</v>
      </c>
      <c r="DM445" s="67">
        <v>0</v>
      </c>
      <c r="DN445" s="67"/>
      <c r="DO445" s="67"/>
      <c r="DP445" s="67"/>
      <c r="DQ445" s="67">
        <v>0</v>
      </c>
      <c r="DR445" s="67">
        <v>0</v>
      </c>
      <c r="DS445" s="67"/>
      <c r="DT445" s="67"/>
      <c r="DU445" s="67">
        <v>0</v>
      </c>
      <c r="DV445" s="67">
        <v>0</v>
      </c>
      <c r="DW445" s="67">
        <v>0</v>
      </c>
      <c r="DX445" s="67">
        <v>0</v>
      </c>
      <c r="DY445" s="67"/>
      <c r="DZ445" s="67">
        <v>0</v>
      </c>
      <c r="EA445" s="67"/>
      <c r="EB445" s="67">
        <v>0</v>
      </c>
      <c r="EC445" s="67"/>
      <c r="ED445" s="67">
        <v>0</v>
      </c>
      <c r="EE445" s="67"/>
      <c r="EF445" s="67">
        <v>0</v>
      </c>
      <c r="EG445" s="67"/>
      <c r="EH445" s="67"/>
      <c r="EI445" s="67"/>
      <c r="EJ445" s="67"/>
      <c r="EK445" s="67"/>
      <c r="EL445" s="67"/>
      <c r="EM445" s="67"/>
      <c r="EN445" s="67"/>
      <c r="EO445" s="67"/>
      <c r="EP445" s="67">
        <v>0</v>
      </c>
      <c r="EQ445" s="67">
        <v>0</v>
      </c>
      <c r="ER445" s="67">
        <v>0</v>
      </c>
      <c r="ES445" s="67"/>
      <c r="ET445">
        <v>0</v>
      </c>
      <c r="EX445" s="67"/>
      <c r="EY445" s="67"/>
      <c r="EZ445" s="67"/>
      <c r="FA445" s="67">
        <v>769</v>
      </c>
      <c r="FB445" s="67">
        <v>0</v>
      </c>
      <c r="FC445" s="67"/>
      <c r="FD445" s="67"/>
      <c r="FE445" s="67"/>
      <c r="FF445" s="67"/>
      <c r="FG445" s="67"/>
      <c r="FH445" s="67"/>
      <c r="FI445" s="67" t="s">
        <v>1734</v>
      </c>
    </row>
    <row r="446" spans="2:165" x14ac:dyDescent="0.2">
      <c r="B446" s="67" t="s">
        <v>1165</v>
      </c>
      <c r="C446" s="67"/>
      <c r="D446" s="67" t="s">
        <v>1166</v>
      </c>
      <c r="E446" s="67" t="s">
        <v>20</v>
      </c>
      <c r="F446" s="67"/>
      <c r="G446" s="67" t="s">
        <v>694</v>
      </c>
      <c r="H446" s="67"/>
      <c r="I446" s="67" t="s">
        <v>786</v>
      </c>
      <c r="J446" s="67"/>
      <c r="K446" s="67"/>
      <c r="L446" s="67" t="s">
        <v>787</v>
      </c>
      <c r="M446" s="67" t="s">
        <v>752</v>
      </c>
      <c r="N446" s="67"/>
      <c r="O446" s="67" t="s">
        <v>1599</v>
      </c>
      <c r="P446" s="67"/>
      <c r="Q446" s="67">
        <v>353</v>
      </c>
      <c r="R446" s="67">
        <v>0</v>
      </c>
      <c r="S446" s="67">
        <v>0</v>
      </c>
      <c r="T446" s="67">
        <v>0</v>
      </c>
      <c r="U446" s="67">
        <v>0</v>
      </c>
      <c r="V446" s="67">
        <v>0</v>
      </c>
      <c r="W446" s="67">
        <v>0</v>
      </c>
      <c r="X446" s="67">
        <v>0</v>
      </c>
      <c r="Y446" s="67">
        <v>0</v>
      </c>
      <c r="Z446" s="67">
        <v>0</v>
      </c>
      <c r="AA446" s="67">
        <v>0</v>
      </c>
      <c r="AB446" s="67">
        <v>0</v>
      </c>
      <c r="AC446" s="67">
        <v>0</v>
      </c>
      <c r="AD446" s="67">
        <v>0</v>
      </c>
      <c r="AE446" s="67">
        <v>0</v>
      </c>
      <c r="AF446" s="67">
        <v>0</v>
      </c>
      <c r="AG446" s="67">
        <v>0</v>
      </c>
      <c r="AH446" s="67">
        <v>0</v>
      </c>
      <c r="AI446" s="67">
        <v>353</v>
      </c>
      <c r="AJ446" s="67">
        <v>0</v>
      </c>
      <c r="AK446" s="67">
        <v>0</v>
      </c>
      <c r="AL446" s="67">
        <v>0</v>
      </c>
      <c r="AM446" s="67">
        <v>0</v>
      </c>
      <c r="AN446" s="67">
        <v>0</v>
      </c>
      <c r="AO446" s="67">
        <v>0</v>
      </c>
      <c r="AP446" s="67">
        <v>0</v>
      </c>
      <c r="AQ446" s="67">
        <v>0</v>
      </c>
      <c r="AR446" s="67">
        <v>0</v>
      </c>
      <c r="AS446" s="67">
        <v>0</v>
      </c>
      <c r="AT446" s="67"/>
      <c r="AU446" s="67"/>
      <c r="AV446" s="67"/>
      <c r="AW446" s="67">
        <v>0</v>
      </c>
      <c r="AX446" s="67">
        <v>0</v>
      </c>
      <c r="AY446" s="67"/>
      <c r="AZ446" s="67"/>
      <c r="BA446" s="67"/>
      <c r="BB446" s="67"/>
      <c r="BC446" s="67"/>
      <c r="BD446" s="67"/>
      <c r="BE446" s="67"/>
      <c r="BG446" s="67"/>
      <c r="BH446" s="67"/>
      <c r="BI446" s="67"/>
      <c r="BJ446" s="67">
        <v>0</v>
      </c>
      <c r="BK446" s="67"/>
      <c r="BL446" s="67"/>
      <c r="BP446" s="67"/>
      <c r="BQ446" s="67">
        <v>0</v>
      </c>
      <c r="BR446" s="67"/>
      <c r="BS446" s="67"/>
      <c r="BT446" s="67">
        <v>0</v>
      </c>
      <c r="BU446" s="67">
        <v>0</v>
      </c>
      <c r="BV446" s="67"/>
      <c r="BW446" s="67"/>
      <c r="BX446" s="67">
        <v>0</v>
      </c>
      <c r="BY446" s="67">
        <v>0</v>
      </c>
      <c r="BZ446" s="67">
        <v>0</v>
      </c>
      <c r="CA446" s="67"/>
      <c r="CB446" s="67">
        <v>0</v>
      </c>
      <c r="CC446" s="67"/>
      <c r="CD446" s="67"/>
      <c r="CE446" s="67">
        <v>0</v>
      </c>
      <c r="CF446" s="67"/>
      <c r="CG446" s="67"/>
      <c r="CH446" s="67"/>
      <c r="CI446" s="67"/>
      <c r="CJ446" s="67"/>
      <c r="CK446" s="67">
        <v>0</v>
      </c>
      <c r="CL446" s="67"/>
      <c r="CM446" s="67"/>
      <c r="CN446" s="67"/>
      <c r="CO446" s="67">
        <v>0</v>
      </c>
      <c r="CP446" s="67"/>
      <c r="CQ446" s="67"/>
      <c r="CR446" s="67"/>
      <c r="CS446" s="67"/>
      <c r="CT446" s="67"/>
      <c r="CU446" s="67">
        <v>0</v>
      </c>
      <c r="CV446" s="67"/>
      <c r="CW446" s="67"/>
      <c r="CX446" s="67"/>
      <c r="CY446" s="67">
        <v>0</v>
      </c>
      <c r="CZ446" s="67"/>
      <c r="DA446" s="67"/>
      <c r="DB446" s="67"/>
      <c r="DC446" s="67"/>
      <c r="DF446" s="67"/>
      <c r="DG446" s="67">
        <v>0</v>
      </c>
      <c r="DH446" s="67">
        <v>0</v>
      </c>
      <c r="DI446" s="67">
        <v>0</v>
      </c>
      <c r="DJ446" s="67"/>
      <c r="DK446" s="67">
        <v>0</v>
      </c>
      <c r="DL446" s="67">
        <v>0</v>
      </c>
      <c r="DM446" s="67">
        <v>0</v>
      </c>
      <c r="DN446" s="67"/>
      <c r="DO446" s="67"/>
      <c r="DP446" s="67"/>
      <c r="DQ446" s="67">
        <v>0</v>
      </c>
      <c r="DR446" s="67">
        <v>0</v>
      </c>
      <c r="DS446" s="67"/>
      <c r="DT446" s="67"/>
      <c r="DU446" s="67">
        <v>0</v>
      </c>
      <c r="DV446" s="67">
        <v>0</v>
      </c>
      <c r="DW446" s="67">
        <v>0</v>
      </c>
      <c r="DX446" s="67">
        <v>0</v>
      </c>
      <c r="DY446" s="67"/>
      <c r="DZ446" s="67">
        <v>0</v>
      </c>
      <c r="EA446" s="67"/>
      <c r="EB446" s="67">
        <v>0</v>
      </c>
      <c r="EC446" s="67"/>
      <c r="ED446" s="67">
        <v>0</v>
      </c>
      <c r="EE446" s="67"/>
      <c r="EF446" s="67">
        <v>0</v>
      </c>
      <c r="EG446" s="67"/>
      <c r="EH446" s="67"/>
      <c r="EI446" s="67"/>
      <c r="EJ446" s="67"/>
      <c r="EK446" s="67"/>
      <c r="EL446" s="67"/>
      <c r="EM446" s="67"/>
      <c r="EN446" s="67"/>
      <c r="EO446" s="67"/>
      <c r="EP446" s="67">
        <v>0</v>
      </c>
      <c r="EQ446" s="67">
        <v>0</v>
      </c>
      <c r="ER446" s="67">
        <v>0</v>
      </c>
      <c r="ES446" s="67"/>
      <c r="ET446">
        <v>0</v>
      </c>
      <c r="EX446" s="67"/>
      <c r="EY446" s="67"/>
      <c r="EZ446" s="67"/>
      <c r="FA446" s="67">
        <v>353</v>
      </c>
      <c r="FB446" s="67">
        <v>0</v>
      </c>
      <c r="FC446" s="67"/>
      <c r="FD446" s="67"/>
      <c r="FE446" s="67"/>
      <c r="FF446" s="67"/>
      <c r="FG446" s="67"/>
      <c r="FH446" s="67"/>
      <c r="FI446" s="67" t="s">
        <v>1734</v>
      </c>
    </row>
    <row r="447" spans="2:165" x14ac:dyDescent="0.2">
      <c r="B447" s="67" t="s">
        <v>1167</v>
      </c>
      <c r="C447" s="67"/>
      <c r="D447" s="67" t="s">
        <v>1168</v>
      </c>
      <c r="E447" s="67" t="s">
        <v>20</v>
      </c>
      <c r="F447" s="67"/>
      <c r="G447" s="67" t="s">
        <v>694</v>
      </c>
      <c r="H447" s="67"/>
      <c r="I447" s="67" t="s">
        <v>786</v>
      </c>
      <c r="J447" s="67"/>
      <c r="K447" s="67"/>
      <c r="L447" s="67" t="s">
        <v>787</v>
      </c>
      <c r="M447" s="67" t="s">
        <v>752</v>
      </c>
      <c r="N447" s="67"/>
      <c r="O447" s="67" t="s">
        <v>1599</v>
      </c>
      <c r="P447" s="67"/>
      <c r="Q447" s="67">
        <v>1148</v>
      </c>
      <c r="R447" s="67">
        <v>0</v>
      </c>
      <c r="S447" s="67">
        <v>0</v>
      </c>
      <c r="T447" s="67">
        <v>0</v>
      </c>
      <c r="U447" s="67">
        <v>0</v>
      </c>
      <c r="V447" s="67">
        <v>0</v>
      </c>
      <c r="W447" s="67">
        <v>0</v>
      </c>
      <c r="X447" s="67">
        <v>0</v>
      </c>
      <c r="Y447" s="67">
        <v>0</v>
      </c>
      <c r="Z447" s="67">
        <v>0</v>
      </c>
      <c r="AA447" s="67">
        <v>0</v>
      </c>
      <c r="AB447" s="67">
        <v>0</v>
      </c>
      <c r="AC447" s="67">
        <v>0</v>
      </c>
      <c r="AD447" s="67">
        <v>0</v>
      </c>
      <c r="AE447" s="67">
        <v>0</v>
      </c>
      <c r="AF447" s="67">
        <v>0</v>
      </c>
      <c r="AG447" s="67">
        <v>0</v>
      </c>
      <c r="AH447" s="67">
        <v>0</v>
      </c>
      <c r="AI447" s="67">
        <v>1148</v>
      </c>
      <c r="AJ447" s="67">
        <v>0</v>
      </c>
      <c r="AK447" s="67">
        <v>0</v>
      </c>
      <c r="AL447" s="67">
        <v>0</v>
      </c>
      <c r="AM447" s="67">
        <v>0</v>
      </c>
      <c r="AN447" s="67">
        <v>0</v>
      </c>
      <c r="AO447" s="67">
        <v>0</v>
      </c>
      <c r="AP447" s="67">
        <v>0</v>
      </c>
      <c r="AQ447" s="67">
        <v>0</v>
      </c>
      <c r="AR447" s="67">
        <v>0</v>
      </c>
      <c r="AS447" s="67">
        <v>0</v>
      </c>
      <c r="AT447" s="67"/>
      <c r="AU447" s="67"/>
      <c r="AV447" s="67"/>
      <c r="AW447" s="67">
        <v>0</v>
      </c>
      <c r="AX447" s="67">
        <v>0</v>
      </c>
      <c r="AY447" s="67"/>
      <c r="AZ447" s="67"/>
      <c r="BA447" s="67"/>
      <c r="BB447" s="67"/>
      <c r="BC447" s="67"/>
      <c r="BD447" s="67"/>
      <c r="BE447" s="67"/>
      <c r="BG447" s="67"/>
      <c r="BH447" s="67"/>
      <c r="BI447" s="67"/>
      <c r="BJ447" s="67">
        <v>0</v>
      </c>
      <c r="BK447" s="67"/>
      <c r="BL447" s="67"/>
      <c r="BP447" s="67"/>
      <c r="BQ447" s="67">
        <v>0</v>
      </c>
      <c r="BR447" s="67"/>
      <c r="BS447" s="67"/>
      <c r="BT447" s="67">
        <v>0</v>
      </c>
      <c r="BU447" s="67">
        <v>0</v>
      </c>
      <c r="BV447" s="67"/>
      <c r="BW447" s="67"/>
      <c r="BX447" s="67">
        <v>0</v>
      </c>
      <c r="BY447" s="67">
        <v>0</v>
      </c>
      <c r="BZ447" s="67">
        <v>0</v>
      </c>
      <c r="CA447" s="67"/>
      <c r="CB447" s="67">
        <v>0</v>
      </c>
      <c r="CC447" s="67"/>
      <c r="CD447" s="67"/>
      <c r="CE447" s="67">
        <v>0</v>
      </c>
      <c r="CF447" s="67"/>
      <c r="CG447" s="67"/>
      <c r="CH447" s="67"/>
      <c r="CI447" s="67"/>
      <c r="CJ447" s="67"/>
      <c r="CK447" s="67">
        <v>0</v>
      </c>
      <c r="CL447" s="67"/>
      <c r="CM447" s="67"/>
      <c r="CN447" s="67"/>
      <c r="CO447" s="67">
        <v>0</v>
      </c>
      <c r="CP447" s="67"/>
      <c r="CQ447" s="67"/>
      <c r="CR447" s="67"/>
      <c r="CS447" s="67"/>
      <c r="CT447" s="67"/>
      <c r="CU447" s="67">
        <v>0</v>
      </c>
      <c r="CV447" s="67"/>
      <c r="CW447" s="67"/>
      <c r="CX447" s="67"/>
      <c r="CY447" s="67">
        <v>0</v>
      </c>
      <c r="CZ447" s="67"/>
      <c r="DA447" s="67"/>
      <c r="DB447" s="67"/>
      <c r="DC447" s="67"/>
      <c r="DF447" s="67"/>
      <c r="DG447" s="67">
        <v>0</v>
      </c>
      <c r="DH447" s="67">
        <v>0</v>
      </c>
      <c r="DI447" s="67">
        <v>0</v>
      </c>
      <c r="DJ447" s="67"/>
      <c r="DK447" s="67">
        <v>0</v>
      </c>
      <c r="DL447" s="67">
        <v>0</v>
      </c>
      <c r="DM447" s="67">
        <v>0</v>
      </c>
      <c r="DN447" s="67"/>
      <c r="DO447" s="67"/>
      <c r="DP447" s="67"/>
      <c r="DQ447" s="67">
        <v>0</v>
      </c>
      <c r="DR447" s="67">
        <v>0</v>
      </c>
      <c r="DS447" s="67"/>
      <c r="DT447" s="67"/>
      <c r="DU447" s="67">
        <v>0</v>
      </c>
      <c r="DV447" s="67">
        <v>0</v>
      </c>
      <c r="DW447" s="67">
        <v>0</v>
      </c>
      <c r="DX447" s="67">
        <v>0</v>
      </c>
      <c r="DY447" s="67"/>
      <c r="DZ447" s="67">
        <v>0</v>
      </c>
      <c r="EA447" s="67"/>
      <c r="EB447" s="67">
        <v>0</v>
      </c>
      <c r="EC447" s="67"/>
      <c r="ED447" s="67">
        <v>0</v>
      </c>
      <c r="EE447" s="67"/>
      <c r="EF447" s="67">
        <v>0</v>
      </c>
      <c r="EG447" s="67"/>
      <c r="EH447" s="67"/>
      <c r="EI447" s="67"/>
      <c r="EJ447" s="67"/>
      <c r="EK447" s="67"/>
      <c r="EL447" s="67"/>
      <c r="EM447" s="67"/>
      <c r="EN447" s="67"/>
      <c r="EO447" s="67"/>
      <c r="EP447" s="67">
        <v>0</v>
      </c>
      <c r="EQ447" s="67">
        <v>0</v>
      </c>
      <c r="ER447" s="67">
        <v>0</v>
      </c>
      <c r="ES447" s="67"/>
      <c r="ET447">
        <v>0</v>
      </c>
      <c r="EX447" s="67"/>
      <c r="EY447" s="67"/>
      <c r="EZ447" s="67"/>
      <c r="FA447" s="67">
        <v>1148</v>
      </c>
      <c r="FB447" s="67">
        <v>0</v>
      </c>
      <c r="FC447" s="67"/>
      <c r="FD447" s="67"/>
      <c r="FE447" s="67"/>
      <c r="FF447" s="67"/>
      <c r="FG447" s="67"/>
      <c r="FH447" s="67"/>
      <c r="FI447" s="67" t="s">
        <v>1734</v>
      </c>
    </row>
    <row r="448" spans="2:165" x14ac:dyDescent="0.2">
      <c r="B448" s="67" t="s">
        <v>1169</v>
      </c>
      <c r="C448" s="67"/>
      <c r="D448" s="67" t="s">
        <v>1170</v>
      </c>
      <c r="E448" s="67" t="s">
        <v>20</v>
      </c>
      <c r="F448" s="67"/>
      <c r="G448" s="67" t="s">
        <v>694</v>
      </c>
      <c r="H448" s="67"/>
      <c r="I448" s="67" t="s">
        <v>786</v>
      </c>
      <c r="J448" s="67"/>
      <c r="K448" s="67"/>
      <c r="L448" s="67" t="s">
        <v>787</v>
      </c>
      <c r="M448" s="67" t="s">
        <v>752</v>
      </c>
      <c r="N448" s="67"/>
      <c r="O448" s="67" t="s">
        <v>1599</v>
      </c>
      <c r="P448" s="67"/>
      <c r="Q448" s="67">
        <v>250</v>
      </c>
      <c r="R448" s="67">
        <v>0</v>
      </c>
      <c r="S448" s="67">
        <v>0</v>
      </c>
      <c r="T448" s="67">
        <v>0</v>
      </c>
      <c r="U448" s="67">
        <v>0</v>
      </c>
      <c r="V448" s="67">
        <v>0</v>
      </c>
      <c r="W448" s="67">
        <v>0</v>
      </c>
      <c r="X448" s="67">
        <v>0</v>
      </c>
      <c r="Y448" s="67">
        <v>0</v>
      </c>
      <c r="Z448" s="67">
        <v>0</v>
      </c>
      <c r="AA448" s="67">
        <v>0</v>
      </c>
      <c r="AB448" s="67">
        <v>0</v>
      </c>
      <c r="AC448" s="67">
        <v>0</v>
      </c>
      <c r="AD448" s="67">
        <v>0</v>
      </c>
      <c r="AE448" s="67">
        <v>0</v>
      </c>
      <c r="AF448" s="67">
        <v>0</v>
      </c>
      <c r="AG448" s="67">
        <v>0</v>
      </c>
      <c r="AH448" s="67">
        <v>0</v>
      </c>
      <c r="AI448" s="67">
        <v>250</v>
      </c>
      <c r="AJ448" s="67">
        <v>0</v>
      </c>
      <c r="AK448" s="67">
        <v>0</v>
      </c>
      <c r="AL448" s="67">
        <v>0</v>
      </c>
      <c r="AM448" s="67">
        <v>0</v>
      </c>
      <c r="AN448" s="67">
        <v>0</v>
      </c>
      <c r="AO448" s="67">
        <v>0</v>
      </c>
      <c r="AP448" s="67">
        <v>0</v>
      </c>
      <c r="AQ448" s="67">
        <v>0</v>
      </c>
      <c r="AR448" s="67">
        <v>0</v>
      </c>
      <c r="AS448" s="67">
        <v>0</v>
      </c>
      <c r="AT448" s="67"/>
      <c r="AU448" s="67"/>
      <c r="AV448" s="67"/>
      <c r="AW448" s="67">
        <v>0</v>
      </c>
      <c r="AX448" s="67">
        <v>0</v>
      </c>
      <c r="AY448" s="67"/>
      <c r="AZ448" s="67"/>
      <c r="BA448" s="67"/>
      <c r="BB448" s="67"/>
      <c r="BC448" s="67"/>
      <c r="BD448" s="67"/>
      <c r="BE448" s="67"/>
      <c r="BG448" s="67"/>
      <c r="BH448" s="67"/>
      <c r="BI448" s="67"/>
      <c r="BJ448" s="67">
        <v>0</v>
      </c>
      <c r="BK448" s="67"/>
      <c r="BL448" s="67"/>
      <c r="BP448" s="67"/>
      <c r="BQ448" s="67">
        <v>0</v>
      </c>
      <c r="BR448" s="67"/>
      <c r="BS448" s="67"/>
      <c r="BT448" s="67">
        <v>0</v>
      </c>
      <c r="BU448" s="67">
        <v>0</v>
      </c>
      <c r="BV448" s="67"/>
      <c r="BW448" s="67"/>
      <c r="BX448" s="67">
        <v>0</v>
      </c>
      <c r="BY448" s="67">
        <v>0</v>
      </c>
      <c r="BZ448" s="67">
        <v>0</v>
      </c>
      <c r="CA448" s="67"/>
      <c r="CB448" s="67">
        <v>0</v>
      </c>
      <c r="CC448" s="67"/>
      <c r="CD448" s="67"/>
      <c r="CE448" s="67">
        <v>0</v>
      </c>
      <c r="CF448" s="67"/>
      <c r="CG448" s="67"/>
      <c r="CH448" s="67"/>
      <c r="CI448" s="67"/>
      <c r="CJ448" s="67"/>
      <c r="CK448" s="67">
        <v>0</v>
      </c>
      <c r="CL448" s="67"/>
      <c r="CM448" s="67"/>
      <c r="CN448" s="67"/>
      <c r="CO448" s="67">
        <v>0</v>
      </c>
      <c r="CP448" s="67"/>
      <c r="CQ448" s="67"/>
      <c r="CR448" s="67"/>
      <c r="CS448" s="67"/>
      <c r="CT448" s="67"/>
      <c r="CU448" s="67">
        <v>0</v>
      </c>
      <c r="CV448" s="67"/>
      <c r="CW448" s="67"/>
      <c r="CX448" s="67"/>
      <c r="CY448" s="67">
        <v>0</v>
      </c>
      <c r="CZ448" s="67"/>
      <c r="DA448" s="67"/>
      <c r="DB448" s="67"/>
      <c r="DC448" s="67"/>
      <c r="DF448" s="67"/>
      <c r="DG448" s="67">
        <v>0</v>
      </c>
      <c r="DH448" s="67">
        <v>0</v>
      </c>
      <c r="DI448" s="67">
        <v>0</v>
      </c>
      <c r="DJ448" s="67"/>
      <c r="DK448" s="67">
        <v>0</v>
      </c>
      <c r="DL448" s="67">
        <v>0</v>
      </c>
      <c r="DM448" s="67">
        <v>0</v>
      </c>
      <c r="DN448" s="67"/>
      <c r="DO448" s="67"/>
      <c r="DP448" s="67"/>
      <c r="DQ448" s="67">
        <v>0</v>
      </c>
      <c r="DR448" s="67">
        <v>0</v>
      </c>
      <c r="DS448" s="67"/>
      <c r="DT448" s="67"/>
      <c r="DU448" s="67">
        <v>0</v>
      </c>
      <c r="DV448" s="67">
        <v>0</v>
      </c>
      <c r="DW448" s="67">
        <v>0</v>
      </c>
      <c r="DX448" s="67">
        <v>0</v>
      </c>
      <c r="DY448" s="67"/>
      <c r="DZ448" s="67">
        <v>0</v>
      </c>
      <c r="EA448" s="67"/>
      <c r="EB448" s="67">
        <v>0</v>
      </c>
      <c r="EC448" s="67"/>
      <c r="ED448" s="67">
        <v>0</v>
      </c>
      <c r="EE448" s="67"/>
      <c r="EF448" s="67">
        <v>0</v>
      </c>
      <c r="EG448" s="67"/>
      <c r="EH448" s="67"/>
      <c r="EI448" s="67"/>
      <c r="EJ448" s="67"/>
      <c r="EK448" s="67"/>
      <c r="EL448" s="67"/>
      <c r="EM448" s="67"/>
      <c r="EN448" s="67"/>
      <c r="EO448" s="67"/>
      <c r="EP448" s="67">
        <v>0</v>
      </c>
      <c r="EQ448" s="67">
        <v>0</v>
      </c>
      <c r="ER448" s="67">
        <v>0</v>
      </c>
      <c r="ES448" s="67"/>
      <c r="ET448">
        <v>0</v>
      </c>
      <c r="EX448" s="67"/>
      <c r="EY448" s="67"/>
      <c r="EZ448" s="67"/>
      <c r="FA448" s="67">
        <v>250</v>
      </c>
      <c r="FB448" s="67">
        <v>0</v>
      </c>
      <c r="FC448" s="67"/>
      <c r="FD448" s="67"/>
      <c r="FE448" s="67"/>
      <c r="FF448" s="67"/>
      <c r="FG448" s="67"/>
      <c r="FH448" s="67"/>
      <c r="FI448" s="67" t="s">
        <v>1734</v>
      </c>
    </row>
    <row r="449" spans="2:165" x14ac:dyDescent="0.2">
      <c r="B449" s="67" t="s">
        <v>1171</v>
      </c>
      <c r="C449" s="67"/>
      <c r="D449" s="67" t="s">
        <v>1172</v>
      </c>
      <c r="E449" s="67" t="s">
        <v>20</v>
      </c>
      <c r="F449" s="67"/>
      <c r="G449" s="67" t="s">
        <v>694</v>
      </c>
      <c r="H449" s="67"/>
      <c r="I449" s="67" t="s">
        <v>786</v>
      </c>
      <c r="J449" s="67"/>
      <c r="K449" s="67"/>
      <c r="L449" s="67" t="s">
        <v>787</v>
      </c>
      <c r="M449" s="67" t="s">
        <v>752</v>
      </c>
      <c r="N449" s="67"/>
      <c r="O449" s="67" t="s">
        <v>1605</v>
      </c>
      <c r="P449" s="67"/>
      <c r="Q449" s="67">
        <v>0</v>
      </c>
      <c r="R449" s="67">
        <v>0</v>
      </c>
      <c r="S449" s="67">
        <v>0</v>
      </c>
      <c r="T449" s="67">
        <v>0</v>
      </c>
      <c r="U449" s="67">
        <v>0</v>
      </c>
      <c r="V449" s="67">
        <v>0</v>
      </c>
      <c r="W449" s="67">
        <v>0</v>
      </c>
      <c r="X449" s="67">
        <v>0</v>
      </c>
      <c r="Y449" s="67">
        <v>0</v>
      </c>
      <c r="Z449" s="67">
        <v>0</v>
      </c>
      <c r="AA449" s="67">
        <v>0</v>
      </c>
      <c r="AB449" s="67">
        <v>0</v>
      </c>
      <c r="AC449" s="67">
        <v>0</v>
      </c>
      <c r="AD449" s="67">
        <v>0</v>
      </c>
      <c r="AE449" s="67">
        <v>0</v>
      </c>
      <c r="AF449" s="67">
        <v>0</v>
      </c>
      <c r="AG449" s="67">
        <v>0</v>
      </c>
      <c r="AH449" s="67">
        <v>0</v>
      </c>
      <c r="AI449" s="67">
        <v>0</v>
      </c>
      <c r="AJ449" s="67">
        <v>0</v>
      </c>
      <c r="AK449" s="67">
        <v>0</v>
      </c>
      <c r="AL449" s="67">
        <v>0</v>
      </c>
      <c r="AM449" s="67">
        <v>0</v>
      </c>
      <c r="AN449" s="67">
        <v>0</v>
      </c>
      <c r="AO449" s="67">
        <v>0</v>
      </c>
      <c r="AP449" s="67">
        <v>0</v>
      </c>
      <c r="AQ449" s="67">
        <v>0</v>
      </c>
      <c r="AR449" s="67">
        <v>0</v>
      </c>
      <c r="AS449" s="67">
        <v>0</v>
      </c>
      <c r="AT449" s="67"/>
      <c r="AU449" s="67"/>
      <c r="AV449" s="67"/>
      <c r="AW449" s="67">
        <v>0</v>
      </c>
      <c r="AX449" s="67">
        <v>0</v>
      </c>
      <c r="AY449" s="67"/>
      <c r="AZ449" s="67"/>
      <c r="BA449" s="67"/>
      <c r="BB449" s="67"/>
      <c r="BC449" s="67"/>
      <c r="BD449" s="67"/>
      <c r="BE449" s="67"/>
      <c r="BG449" s="67"/>
      <c r="BH449" s="67"/>
      <c r="BI449" s="67"/>
      <c r="BJ449" s="67">
        <v>0</v>
      </c>
      <c r="BK449" s="67"/>
      <c r="BL449" s="67"/>
      <c r="BP449" s="67"/>
      <c r="BQ449" s="67">
        <v>0</v>
      </c>
      <c r="BR449" s="67"/>
      <c r="BS449" s="67"/>
      <c r="BT449" s="67">
        <v>0</v>
      </c>
      <c r="BU449" s="67">
        <v>0</v>
      </c>
      <c r="BV449" s="67"/>
      <c r="BW449" s="67"/>
      <c r="BX449" s="67">
        <v>0</v>
      </c>
      <c r="BY449" s="67">
        <v>0</v>
      </c>
      <c r="BZ449" s="67">
        <v>0</v>
      </c>
      <c r="CA449" s="67"/>
      <c r="CB449" s="67">
        <v>0</v>
      </c>
      <c r="CC449" s="67"/>
      <c r="CD449" s="67"/>
      <c r="CE449" s="67">
        <v>0</v>
      </c>
      <c r="CF449" s="67"/>
      <c r="CG449" s="67"/>
      <c r="CH449" s="67"/>
      <c r="CI449" s="67"/>
      <c r="CJ449" s="67"/>
      <c r="CK449" s="67">
        <v>0</v>
      </c>
      <c r="CL449" s="67"/>
      <c r="CM449" s="67"/>
      <c r="CN449" s="67"/>
      <c r="CO449" s="67">
        <v>0</v>
      </c>
      <c r="CP449" s="67"/>
      <c r="CQ449" s="67"/>
      <c r="CR449" s="67"/>
      <c r="CS449" s="67"/>
      <c r="CT449" s="67"/>
      <c r="CU449" s="67">
        <v>0</v>
      </c>
      <c r="CV449" s="67"/>
      <c r="CW449" s="67"/>
      <c r="CX449" s="67"/>
      <c r="CY449" s="67">
        <v>0</v>
      </c>
      <c r="CZ449" s="67"/>
      <c r="DA449" s="67"/>
      <c r="DB449" s="67"/>
      <c r="DC449" s="67"/>
      <c r="DF449" s="67"/>
      <c r="DG449" s="67">
        <v>0</v>
      </c>
      <c r="DH449" s="67">
        <v>0</v>
      </c>
      <c r="DI449" s="67">
        <v>0</v>
      </c>
      <c r="DJ449" s="67"/>
      <c r="DK449" s="67">
        <v>0</v>
      </c>
      <c r="DL449" s="67">
        <v>0</v>
      </c>
      <c r="DM449" s="67">
        <v>0</v>
      </c>
      <c r="DN449" s="67"/>
      <c r="DO449" s="67"/>
      <c r="DP449" s="67"/>
      <c r="DQ449" s="67">
        <v>0</v>
      </c>
      <c r="DR449" s="67">
        <v>0</v>
      </c>
      <c r="DS449" s="67"/>
      <c r="DT449" s="67"/>
      <c r="DU449" s="67">
        <v>0</v>
      </c>
      <c r="DV449" s="67">
        <v>0</v>
      </c>
      <c r="DW449" s="67">
        <v>0</v>
      </c>
      <c r="DX449" s="67">
        <v>0</v>
      </c>
      <c r="DY449" s="67"/>
      <c r="DZ449" s="67">
        <v>0</v>
      </c>
      <c r="EA449" s="67"/>
      <c r="EB449" s="67">
        <v>0</v>
      </c>
      <c r="EC449" s="67"/>
      <c r="ED449" s="67">
        <v>0</v>
      </c>
      <c r="EE449" s="67"/>
      <c r="EF449" s="67">
        <v>0</v>
      </c>
      <c r="EG449" s="67"/>
      <c r="EH449" s="67"/>
      <c r="EI449" s="67"/>
      <c r="EJ449" s="67"/>
      <c r="EK449" s="67"/>
      <c r="EL449" s="67"/>
      <c r="EM449" s="67"/>
      <c r="EN449" s="67"/>
      <c r="EO449" s="67"/>
      <c r="EP449" s="67">
        <v>0</v>
      </c>
      <c r="EQ449" s="67">
        <v>0</v>
      </c>
      <c r="ER449" s="67">
        <v>0</v>
      </c>
      <c r="ES449" s="67"/>
      <c r="ET449">
        <v>0</v>
      </c>
      <c r="EX449" s="67"/>
      <c r="EY449" s="67"/>
      <c r="EZ449" s="67"/>
      <c r="FA449" s="67">
        <v>0</v>
      </c>
      <c r="FB449" s="67">
        <v>0</v>
      </c>
      <c r="FC449" s="67"/>
      <c r="FD449" s="67"/>
      <c r="FE449" s="67"/>
      <c r="FF449" s="67"/>
      <c r="FG449" s="67"/>
      <c r="FH449" s="67"/>
      <c r="FI449" s="67" t="s">
        <v>1734</v>
      </c>
    </row>
    <row r="450" spans="2:165" x14ac:dyDescent="0.2">
      <c r="B450" s="67" t="s">
        <v>1173</v>
      </c>
      <c r="C450" s="67"/>
      <c r="D450" s="67" t="s">
        <v>1174</v>
      </c>
      <c r="E450" s="67" t="s">
        <v>20</v>
      </c>
      <c r="F450" s="67"/>
      <c r="G450" s="67" t="s">
        <v>694</v>
      </c>
      <c r="H450" s="67"/>
      <c r="I450" s="67" t="s">
        <v>786</v>
      </c>
      <c r="J450" s="67"/>
      <c r="K450" s="67"/>
      <c r="L450" s="67" t="s">
        <v>787</v>
      </c>
      <c r="M450" s="67" t="s">
        <v>752</v>
      </c>
      <c r="N450" s="67"/>
      <c r="O450" s="67" t="s">
        <v>1608</v>
      </c>
      <c r="P450" s="67"/>
      <c r="Q450" s="67">
        <v>50</v>
      </c>
      <c r="R450" s="67">
        <v>0</v>
      </c>
      <c r="S450" s="67">
        <v>0</v>
      </c>
      <c r="T450" s="67">
        <v>0</v>
      </c>
      <c r="U450" s="67">
        <v>0</v>
      </c>
      <c r="V450" s="67">
        <v>0</v>
      </c>
      <c r="W450" s="67">
        <v>50</v>
      </c>
      <c r="X450" s="67">
        <v>0</v>
      </c>
      <c r="Y450" s="67">
        <v>0</v>
      </c>
      <c r="Z450" s="67">
        <v>0</v>
      </c>
      <c r="AA450" s="67">
        <v>0</v>
      </c>
      <c r="AB450" s="67">
        <v>0</v>
      </c>
      <c r="AC450" s="67">
        <v>0</v>
      </c>
      <c r="AD450" s="67">
        <v>0</v>
      </c>
      <c r="AE450" s="67">
        <v>0</v>
      </c>
      <c r="AF450" s="67">
        <v>0</v>
      </c>
      <c r="AG450" s="67">
        <v>0</v>
      </c>
      <c r="AH450" s="67">
        <v>0</v>
      </c>
      <c r="AI450" s="67">
        <v>0</v>
      </c>
      <c r="AJ450" s="67">
        <v>0</v>
      </c>
      <c r="AK450" s="67">
        <v>0</v>
      </c>
      <c r="AL450" s="67">
        <v>0</v>
      </c>
      <c r="AM450" s="67">
        <v>0</v>
      </c>
      <c r="AN450" s="67">
        <v>0</v>
      </c>
      <c r="AO450" s="67">
        <v>0</v>
      </c>
      <c r="AP450" s="67">
        <v>0</v>
      </c>
      <c r="AQ450" s="67">
        <v>0</v>
      </c>
      <c r="AR450" s="67">
        <v>0</v>
      </c>
      <c r="AS450" s="67">
        <v>0</v>
      </c>
      <c r="AT450" s="67"/>
      <c r="AU450" s="67"/>
      <c r="AV450" s="67"/>
      <c r="AW450" s="67">
        <v>0</v>
      </c>
      <c r="AX450" s="67">
        <v>0</v>
      </c>
      <c r="AY450" s="67"/>
      <c r="AZ450" s="67"/>
      <c r="BA450" s="67"/>
      <c r="BB450" s="67"/>
      <c r="BC450" s="67"/>
      <c r="BD450" s="67"/>
      <c r="BE450" s="67"/>
      <c r="BG450" s="67"/>
      <c r="BH450" s="67"/>
      <c r="BI450" s="67"/>
      <c r="BJ450" s="67">
        <v>0</v>
      </c>
      <c r="BK450" s="67"/>
      <c r="BL450" s="67"/>
      <c r="BP450" s="67"/>
      <c r="BQ450" s="67">
        <v>0</v>
      </c>
      <c r="BR450" s="67"/>
      <c r="BS450" s="67"/>
      <c r="BT450" s="67">
        <v>0</v>
      </c>
      <c r="BU450" s="67">
        <v>0</v>
      </c>
      <c r="BV450" s="67"/>
      <c r="BW450" s="67"/>
      <c r="BX450" s="67">
        <v>0</v>
      </c>
      <c r="BY450" s="67">
        <v>0</v>
      </c>
      <c r="BZ450" s="67">
        <v>0</v>
      </c>
      <c r="CA450" s="67"/>
      <c r="CB450" s="67">
        <v>0</v>
      </c>
      <c r="CC450" s="67"/>
      <c r="CD450" s="67"/>
      <c r="CE450" s="67">
        <v>0</v>
      </c>
      <c r="CF450" s="67"/>
      <c r="CG450" s="67"/>
      <c r="CH450" s="67"/>
      <c r="CI450" s="67"/>
      <c r="CJ450" s="67"/>
      <c r="CK450" s="67">
        <v>0</v>
      </c>
      <c r="CL450" s="67"/>
      <c r="CM450" s="67"/>
      <c r="CN450" s="67"/>
      <c r="CO450" s="67">
        <v>0</v>
      </c>
      <c r="CP450" s="67"/>
      <c r="CQ450" s="67"/>
      <c r="CR450" s="67"/>
      <c r="CS450" s="67"/>
      <c r="CT450" s="67"/>
      <c r="CU450" s="67">
        <v>0</v>
      </c>
      <c r="CV450" s="67"/>
      <c r="CW450" s="67"/>
      <c r="CX450" s="67"/>
      <c r="CY450" s="67">
        <v>0</v>
      </c>
      <c r="CZ450" s="67"/>
      <c r="DA450" s="67"/>
      <c r="DB450" s="67"/>
      <c r="DC450" s="67"/>
      <c r="DF450" s="67"/>
      <c r="DG450" s="67">
        <v>0</v>
      </c>
      <c r="DH450" s="67">
        <v>0</v>
      </c>
      <c r="DI450" s="67">
        <v>0</v>
      </c>
      <c r="DJ450" s="67"/>
      <c r="DK450" s="67">
        <v>0</v>
      </c>
      <c r="DL450" s="67">
        <v>0</v>
      </c>
      <c r="DM450" s="67">
        <v>0</v>
      </c>
      <c r="DN450" s="67"/>
      <c r="DO450" s="67"/>
      <c r="DP450" s="67"/>
      <c r="DQ450" s="67">
        <v>0</v>
      </c>
      <c r="DR450" s="67">
        <v>0</v>
      </c>
      <c r="DS450" s="67"/>
      <c r="DT450" s="67"/>
      <c r="DU450" s="67">
        <v>0</v>
      </c>
      <c r="DV450" s="67">
        <v>0</v>
      </c>
      <c r="DW450" s="67">
        <v>0</v>
      </c>
      <c r="DX450" s="67">
        <v>0</v>
      </c>
      <c r="DY450" s="67"/>
      <c r="DZ450" s="67">
        <v>0</v>
      </c>
      <c r="EA450" s="67"/>
      <c r="EB450" s="67">
        <v>0</v>
      </c>
      <c r="EC450" s="67"/>
      <c r="ED450" s="67">
        <v>0</v>
      </c>
      <c r="EE450" s="67"/>
      <c r="EF450" s="67">
        <v>0</v>
      </c>
      <c r="EG450" s="67"/>
      <c r="EH450" s="67"/>
      <c r="EI450" s="67"/>
      <c r="EJ450" s="67"/>
      <c r="EK450" s="67"/>
      <c r="EL450" s="67"/>
      <c r="EM450" s="67"/>
      <c r="EN450" s="67"/>
      <c r="EO450" s="67"/>
      <c r="EP450" s="67">
        <v>0</v>
      </c>
      <c r="EQ450" s="67">
        <v>0</v>
      </c>
      <c r="ER450" s="67">
        <v>0</v>
      </c>
      <c r="ES450" s="67"/>
      <c r="ET450">
        <v>0</v>
      </c>
      <c r="EX450" s="67"/>
      <c r="EY450" s="67"/>
      <c r="EZ450" s="67"/>
      <c r="FA450" s="67">
        <v>50</v>
      </c>
      <c r="FB450" s="67">
        <v>0</v>
      </c>
      <c r="FC450" s="67"/>
      <c r="FD450" s="67"/>
      <c r="FE450" s="67"/>
      <c r="FF450" s="67"/>
      <c r="FG450" s="67"/>
      <c r="FH450" s="67"/>
      <c r="FI450" s="67" t="s">
        <v>1734</v>
      </c>
    </row>
    <row r="451" spans="2:165" x14ac:dyDescent="0.2">
      <c r="B451" s="67" t="s">
        <v>1175</v>
      </c>
      <c r="C451" s="67"/>
      <c r="D451" s="67" t="s">
        <v>1176</v>
      </c>
      <c r="E451" s="67" t="s">
        <v>20</v>
      </c>
      <c r="F451" s="67"/>
      <c r="G451" s="67" t="s">
        <v>694</v>
      </c>
      <c r="H451" s="67"/>
      <c r="I451" s="67" t="s">
        <v>786</v>
      </c>
      <c r="J451" s="67"/>
      <c r="K451" s="67"/>
      <c r="L451" s="67" t="s">
        <v>787</v>
      </c>
      <c r="M451" s="67" t="s">
        <v>752</v>
      </c>
      <c r="N451" s="67"/>
      <c r="O451" s="67" t="s">
        <v>1606</v>
      </c>
      <c r="P451" s="67"/>
      <c r="Q451" s="67">
        <v>100</v>
      </c>
      <c r="R451" s="67">
        <v>0</v>
      </c>
      <c r="S451" s="67">
        <v>0</v>
      </c>
      <c r="T451" s="67">
        <v>0</v>
      </c>
      <c r="U451" s="67">
        <v>0</v>
      </c>
      <c r="V451" s="67">
        <v>0</v>
      </c>
      <c r="W451" s="67">
        <v>100</v>
      </c>
      <c r="X451" s="67">
        <v>0</v>
      </c>
      <c r="Y451" s="67">
        <v>0</v>
      </c>
      <c r="Z451" s="67">
        <v>0</v>
      </c>
      <c r="AA451" s="67">
        <v>0</v>
      </c>
      <c r="AB451" s="67">
        <v>0</v>
      </c>
      <c r="AC451" s="67">
        <v>0</v>
      </c>
      <c r="AD451" s="67">
        <v>0</v>
      </c>
      <c r="AE451" s="67">
        <v>0</v>
      </c>
      <c r="AF451" s="67">
        <v>0</v>
      </c>
      <c r="AG451" s="67">
        <v>0</v>
      </c>
      <c r="AH451" s="67">
        <v>0</v>
      </c>
      <c r="AI451" s="67">
        <v>0</v>
      </c>
      <c r="AJ451" s="67">
        <v>0</v>
      </c>
      <c r="AK451" s="67">
        <v>0</v>
      </c>
      <c r="AL451" s="67">
        <v>0</v>
      </c>
      <c r="AM451" s="67">
        <v>0</v>
      </c>
      <c r="AN451" s="67">
        <v>0</v>
      </c>
      <c r="AO451" s="67">
        <v>0</v>
      </c>
      <c r="AP451" s="67">
        <v>0</v>
      </c>
      <c r="AQ451" s="67">
        <v>0</v>
      </c>
      <c r="AR451" s="67">
        <v>0</v>
      </c>
      <c r="AS451" s="67">
        <v>0</v>
      </c>
      <c r="AT451" s="67"/>
      <c r="AU451" s="67"/>
      <c r="AV451" s="67"/>
      <c r="AW451" s="67">
        <v>0</v>
      </c>
      <c r="AX451" s="67">
        <v>0</v>
      </c>
      <c r="AY451" s="67"/>
      <c r="AZ451" s="67"/>
      <c r="BA451" s="67"/>
      <c r="BB451" s="67"/>
      <c r="BC451" s="67"/>
      <c r="BD451" s="67"/>
      <c r="BE451" s="67"/>
      <c r="BG451" s="67"/>
      <c r="BH451" s="67"/>
      <c r="BI451" s="67"/>
      <c r="BJ451" s="67">
        <v>0</v>
      </c>
      <c r="BK451" s="67"/>
      <c r="BL451" s="67"/>
      <c r="BP451" s="67"/>
      <c r="BQ451" s="67">
        <v>0</v>
      </c>
      <c r="BR451" s="67"/>
      <c r="BS451" s="67"/>
      <c r="BT451" s="67">
        <v>0</v>
      </c>
      <c r="BU451" s="67">
        <v>0</v>
      </c>
      <c r="BV451" s="67"/>
      <c r="BW451" s="67"/>
      <c r="BX451" s="67">
        <v>0</v>
      </c>
      <c r="BY451" s="67">
        <v>0</v>
      </c>
      <c r="BZ451" s="67">
        <v>0</v>
      </c>
      <c r="CA451" s="67"/>
      <c r="CB451" s="67">
        <v>0</v>
      </c>
      <c r="CC451" s="67"/>
      <c r="CD451" s="67"/>
      <c r="CE451" s="67">
        <v>0</v>
      </c>
      <c r="CF451" s="67"/>
      <c r="CG451" s="67"/>
      <c r="CH451" s="67"/>
      <c r="CI451" s="67"/>
      <c r="CJ451" s="67"/>
      <c r="CK451" s="67">
        <v>0</v>
      </c>
      <c r="CL451" s="67"/>
      <c r="CM451" s="67"/>
      <c r="CN451" s="67"/>
      <c r="CO451" s="67">
        <v>0</v>
      </c>
      <c r="CP451" s="67"/>
      <c r="CQ451" s="67"/>
      <c r="CR451" s="67"/>
      <c r="CS451" s="67"/>
      <c r="CT451" s="67"/>
      <c r="CU451" s="67">
        <v>0</v>
      </c>
      <c r="CV451" s="67"/>
      <c r="CW451" s="67"/>
      <c r="CX451" s="67"/>
      <c r="CY451" s="67">
        <v>0</v>
      </c>
      <c r="CZ451" s="67"/>
      <c r="DA451" s="67"/>
      <c r="DB451" s="67"/>
      <c r="DC451" s="67"/>
      <c r="DF451" s="67"/>
      <c r="DG451" s="67">
        <v>0</v>
      </c>
      <c r="DH451" s="67">
        <v>0</v>
      </c>
      <c r="DI451" s="67">
        <v>0</v>
      </c>
      <c r="DJ451" s="67"/>
      <c r="DK451" s="67">
        <v>0</v>
      </c>
      <c r="DL451" s="67">
        <v>0</v>
      </c>
      <c r="DM451" s="67">
        <v>0</v>
      </c>
      <c r="DN451" s="67"/>
      <c r="DO451" s="67"/>
      <c r="DP451" s="67"/>
      <c r="DQ451" s="67">
        <v>0</v>
      </c>
      <c r="DR451" s="67">
        <v>0</v>
      </c>
      <c r="DS451" s="67"/>
      <c r="DT451" s="67"/>
      <c r="DU451" s="67">
        <v>0</v>
      </c>
      <c r="DV451" s="67">
        <v>0</v>
      </c>
      <c r="DW451" s="67">
        <v>0</v>
      </c>
      <c r="DX451" s="67">
        <v>0</v>
      </c>
      <c r="DY451" s="67"/>
      <c r="DZ451" s="67">
        <v>0</v>
      </c>
      <c r="EA451" s="67"/>
      <c r="EB451" s="67">
        <v>0</v>
      </c>
      <c r="EC451" s="67"/>
      <c r="ED451" s="67">
        <v>0</v>
      </c>
      <c r="EE451" s="67"/>
      <c r="EF451" s="67">
        <v>0</v>
      </c>
      <c r="EG451" s="67"/>
      <c r="EH451" s="67"/>
      <c r="EI451" s="67"/>
      <c r="EJ451" s="67"/>
      <c r="EK451" s="67"/>
      <c r="EL451" s="67"/>
      <c r="EM451" s="67"/>
      <c r="EN451" s="67"/>
      <c r="EO451" s="67"/>
      <c r="EP451" s="67">
        <v>0</v>
      </c>
      <c r="EQ451" s="67">
        <v>0</v>
      </c>
      <c r="ER451" s="67">
        <v>0</v>
      </c>
      <c r="ES451" s="67"/>
      <c r="ET451">
        <v>0</v>
      </c>
      <c r="EX451" s="67"/>
      <c r="EY451" s="67"/>
      <c r="EZ451" s="67"/>
      <c r="FA451" s="67">
        <v>100</v>
      </c>
      <c r="FB451" s="67">
        <v>0</v>
      </c>
      <c r="FC451" s="67"/>
      <c r="FD451" s="67"/>
      <c r="FE451" s="67"/>
      <c r="FF451" s="67"/>
      <c r="FG451" s="67"/>
      <c r="FH451" s="67"/>
      <c r="FI451" s="67" t="s">
        <v>1734</v>
      </c>
    </row>
    <row r="452" spans="2:165" x14ac:dyDescent="0.2">
      <c r="B452" s="67" t="s">
        <v>1177</v>
      </c>
      <c r="C452" s="67"/>
      <c r="D452" s="67" t="s">
        <v>1178</v>
      </c>
      <c r="E452" s="67" t="s">
        <v>20</v>
      </c>
      <c r="F452" s="67"/>
      <c r="G452" s="67" t="s">
        <v>694</v>
      </c>
      <c r="H452" s="67"/>
      <c r="I452" s="67" t="s">
        <v>786</v>
      </c>
      <c r="J452" s="67"/>
      <c r="K452" s="67"/>
      <c r="L452" s="67" t="s">
        <v>787</v>
      </c>
      <c r="M452" s="67" t="s">
        <v>752</v>
      </c>
      <c r="N452" s="67"/>
      <c r="O452" s="67" t="s">
        <v>1599</v>
      </c>
      <c r="P452" s="67"/>
      <c r="Q452" s="67">
        <v>100</v>
      </c>
      <c r="R452" s="67">
        <v>0</v>
      </c>
      <c r="S452" s="67">
        <v>0</v>
      </c>
      <c r="T452" s="67">
        <v>0</v>
      </c>
      <c r="U452" s="67">
        <v>0</v>
      </c>
      <c r="V452" s="67">
        <v>0</v>
      </c>
      <c r="W452" s="67">
        <v>100</v>
      </c>
      <c r="X452" s="67">
        <v>0</v>
      </c>
      <c r="Y452" s="67">
        <v>0</v>
      </c>
      <c r="Z452" s="67">
        <v>0</v>
      </c>
      <c r="AA452" s="67">
        <v>0</v>
      </c>
      <c r="AB452" s="67">
        <v>0</v>
      </c>
      <c r="AC452" s="67">
        <v>0</v>
      </c>
      <c r="AD452" s="67">
        <v>0</v>
      </c>
      <c r="AE452" s="67">
        <v>0</v>
      </c>
      <c r="AF452" s="67">
        <v>0</v>
      </c>
      <c r="AG452" s="67">
        <v>0</v>
      </c>
      <c r="AH452" s="67">
        <v>0</v>
      </c>
      <c r="AI452" s="67">
        <v>0</v>
      </c>
      <c r="AJ452" s="67">
        <v>0</v>
      </c>
      <c r="AK452" s="67">
        <v>0</v>
      </c>
      <c r="AL452" s="67">
        <v>0</v>
      </c>
      <c r="AM452" s="67">
        <v>0</v>
      </c>
      <c r="AN452" s="67">
        <v>0</v>
      </c>
      <c r="AO452" s="67">
        <v>0</v>
      </c>
      <c r="AP452" s="67">
        <v>0</v>
      </c>
      <c r="AQ452" s="67">
        <v>0</v>
      </c>
      <c r="AR452" s="67">
        <v>0</v>
      </c>
      <c r="AS452" s="67">
        <v>0</v>
      </c>
      <c r="AT452" s="67"/>
      <c r="AU452" s="67"/>
      <c r="AV452" s="67"/>
      <c r="AW452" s="67">
        <v>0</v>
      </c>
      <c r="AX452" s="67">
        <v>0</v>
      </c>
      <c r="AY452" s="67"/>
      <c r="AZ452" s="67"/>
      <c r="BA452" s="67"/>
      <c r="BB452" s="67"/>
      <c r="BC452" s="67"/>
      <c r="BD452" s="67"/>
      <c r="BE452" s="67"/>
      <c r="BG452" s="67"/>
      <c r="BH452" s="67"/>
      <c r="BI452" s="67"/>
      <c r="BJ452" s="67">
        <v>0</v>
      </c>
      <c r="BK452" s="67"/>
      <c r="BL452" s="67"/>
      <c r="BP452" s="67"/>
      <c r="BQ452" s="67">
        <v>0</v>
      </c>
      <c r="BR452" s="67"/>
      <c r="BS452" s="67"/>
      <c r="BT452" s="67">
        <v>0</v>
      </c>
      <c r="BU452" s="67">
        <v>0</v>
      </c>
      <c r="BV452" s="67"/>
      <c r="BW452" s="67"/>
      <c r="BX452" s="67">
        <v>0</v>
      </c>
      <c r="BY452" s="67">
        <v>0</v>
      </c>
      <c r="BZ452" s="67">
        <v>0</v>
      </c>
      <c r="CA452" s="67"/>
      <c r="CB452" s="67">
        <v>0</v>
      </c>
      <c r="CC452" s="67"/>
      <c r="CD452" s="67"/>
      <c r="CE452" s="67">
        <v>0</v>
      </c>
      <c r="CF452" s="67"/>
      <c r="CG452" s="67"/>
      <c r="CH452" s="67"/>
      <c r="CI452" s="67"/>
      <c r="CJ452" s="67"/>
      <c r="CK452" s="67">
        <v>0</v>
      </c>
      <c r="CL452" s="67"/>
      <c r="CM452" s="67"/>
      <c r="CN452" s="67"/>
      <c r="CO452" s="67">
        <v>0</v>
      </c>
      <c r="CP452" s="67"/>
      <c r="CQ452" s="67"/>
      <c r="CR452" s="67"/>
      <c r="CS452" s="67"/>
      <c r="CT452" s="67"/>
      <c r="CU452" s="67">
        <v>0</v>
      </c>
      <c r="CV452" s="67"/>
      <c r="CW452" s="67"/>
      <c r="CX452" s="67"/>
      <c r="CY452" s="67">
        <v>0</v>
      </c>
      <c r="CZ452" s="67"/>
      <c r="DA452" s="67"/>
      <c r="DB452" s="67"/>
      <c r="DC452" s="67"/>
      <c r="DF452" s="67"/>
      <c r="DG452" s="67">
        <v>0</v>
      </c>
      <c r="DH452" s="67">
        <v>0</v>
      </c>
      <c r="DI452" s="67">
        <v>0</v>
      </c>
      <c r="DJ452" s="67"/>
      <c r="DK452" s="67">
        <v>0</v>
      </c>
      <c r="DL452" s="67">
        <v>0</v>
      </c>
      <c r="DM452" s="67">
        <v>0</v>
      </c>
      <c r="DN452" s="67"/>
      <c r="DO452" s="67"/>
      <c r="DP452" s="67"/>
      <c r="DQ452" s="67">
        <v>0</v>
      </c>
      <c r="DR452" s="67">
        <v>0</v>
      </c>
      <c r="DS452" s="67"/>
      <c r="DT452" s="67"/>
      <c r="DU452" s="67">
        <v>0</v>
      </c>
      <c r="DV452" s="67">
        <v>0</v>
      </c>
      <c r="DW452" s="67">
        <v>0</v>
      </c>
      <c r="DX452" s="67">
        <v>0</v>
      </c>
      <c r="DY452" s="67"/>
      <c r="DZ452" s="67">
        <v>0</v>
      </c>
      <c r="EA452" s="67"/>
      <c r="EB452" s="67">
        <v>0</v>
      </c>
      <c r="EC452" s="67"/>
      <c r="ED452" s="67">
        <v>0</v>
      </c>
      <c r="EE452" s="67"/>
      <c r="EF452" s="67">
        <v>0</v>
      </c>
      <c r="EG452" s="67"/>
      <c r="EH452" s="67"/>
      <c r="EI452" s="67"/>
      <c r="EJ452" s="67"/>
      <c r="EK452" s="67"/>
      <c r="EL452" s="67"/>
      <c r="EM452" s="67"/>
      <c r="EN452" s="67"/>
      <c r="EO452" s="67"/>
      <c r="EP452" s="67">
        <v>0</v>
      </c>
      <c r="EQ452" s="67">
        <v>0</v>
      </c>
      <c r="ER452" s="67">
        <v>0</v>
      </c>
      <c r="ES452" s="67"/>
      <c r="ET452">
        <v>0</v>
      </c>
      <c r="EX452" s="67"/>
      <c r="EY452" s="67"/>
      <c r="EZ452" s="67"/>
      <c r="FA452" s="67">
        <v>100</v>
      </c>
      <c r="FB452" s="67">
        <v>0</v>
      </c>
      <c r="FC452" s="67"/>
      <c r="FD452" s="67"/>
      <c r="FE452" s="67"/>
      <c r="FF452" s="67"/>
      <c r="FG452" s="67"/>
      <c r="FH452" s="67"/>
      <c r="FI452" s="67" t="s">
        <v>1734</v>
      </c>
    </row>
    <row r="453" spans="2:165" x14ac:dyDescent="0.2">
      <c r="B453" s="67" t="s">
        <v>1179</v>
      </c>
      <c r="C453" s="67"/>
      <c r="D453" s="67" t="s">
        <v>1180</v>
      </c>
      <c r="E453" s="67" t="s">
        <v>20</v>
      </c>
      <c r="F453" s="67"/>
      <c r="G453" s="67" t="s">
        <v>694</v>
      </c>
      <c r="H453" s="67"/>
      <c r="I453" s="67" t="s">
        <v>786</v>
      </c>
      <c r="J453" s="67"/>
      <c r="K453" s="67"/>
      <c r="L453" s="67" t="s">
        <v>779</v>
      </c>
      <c r="M453" s="67" t="s">
        <v>752</v>
      </c>
      <c r="N453" s="67"/>
      <c r="O453" s="67" t="s">
        <v>1599</v>
      </c>
      <c r="P453" s="67"/>
      <c r="Q453" s="67">
        <v>490</v>
      </c>
      <c r="R453" s="67">
        <v>0</v>
      </c>
      <c r="S453" s="67">
        <v>0</v>
      </c>
      <c r="T453" s="67">
        <v>0</v>
      </c>
      <c r="U453" s="67">
        <v>0</v>
      </c>
      <c r="V453" s="67">
        <v>0</v>
      </c>
      <c r="W453" s="67">
        <v>490</v>
      </c>
      <c r="X453" s="67">
        <v>0</v>
      </c>
      <c r="Y453" s="67">
        <v>0</v>
      </c>
      <c r="Z453" s="67">
        <v>0</v>
      </c>
      <c r="AA453" s="67">
        <v>0</v>
      </c>
      <c r="AB453" s="67">
        <v>0</v>
      </c>
      <c r="AC453" s="67">
        <v>0</v>
      </c>
      <c r="AD453" s="67">
        <v>0</v>
      </c>
      <c r="AE453" s="67">
        <v>0</v>
      </c>
      <c r="AF453" s="67">
        <v>0</v>
      </c>
      <c r="AG453" s="67">
        <v>0</v>
      </c>
      <c r="AH453" s="67">
        <v>0</v>
      </c>
      <c r="AI453" s="67">
        <v>0</v>
      </c>
      <c r="AJ453" s="67">
        <v>0</v>
      </c>
      <c r="AK453" s="67">
        <v>0</v>
      </c>
      <c r="AL453" s="67">
        <v>0</v>
      </c>
      <c r="AM453" s="67">
        <v>0</v>
      </c>
      <c r="AN453" s="67">
        <v>0</v>
      </c>
      <c r="AO453" s="67">
        <v>0</v>
      </c>
      <c r="AP453" s="67">
        <v>0</v>
      </c>
      <c r="AQ453" s="67">
        <v>0</v>
      </c>
      <c r="AR453" s="67">
        <v>0</v>
      </c>
      <c r="AS453" s="67">
        <v>0</v>
      </c>
      <c r="AT453" s="67"/>
      <c r="AU453" s="67"/>
      <c r="AV453" s="67"/>
      <c r="AW453" s="67">
        <v>0</v>
      </c>
      <c r="AX453" s="67">
        <v>0</v>
      </c>
      <c r="AY453" s="67"/>
      <c r="AZ453" s="67"/>
      <c r="BA453" s="67"/>
      <c r="BB453" s="67"/>
      <c r="BC453" s="67"/>
      <c r="BD453" s="67"/>
      <c r="BE453" s="67"/>
      <c r="BG453" s="67"/>
      <c r="BH453" s="67"/>
      <c r="BI453" s="67"/>
      <c r="BJ453" s="67">
        <v>0</v>
      </c>
      <c r="BK453" s="67"/>
      <c r="BL453" s="67"/>
      <c r="BP453" s="67"/>
      <c r="BQ453" s="67">
        <v>0</v>
      </c>
      <c r="BR453" s="67"/>
      <c r="BS453" s="67"/>
      <c r="BT453" s="67">
        <v>0</v>
      </c>
      <c r="BU453" s="67">
        <v>0</v>
      </c>
      <c r="BV453" s="67"/>
      <c r="BW453" s="67"/>
      <c r="BX453" s="67">
        <v>0</v>
      </c>
      <c r="BY453" s="67">
        <v>0</v>
      </c>
      <c r="BZ453" s="67">
        <v>0</v>
      </c>
      <c r="CA453" s="67"/>
      <c r="CB453" s="67">
        <v>0</v>
      </c>
      <c r="CC453" s="67"/>
      <c r="CD453" s="67"/>
      <c r="CE453" s="67">
        <v>0</v>
      </c>
      <c r="CF453" s="67"/>
      <c r="CG453" s="67"/>
      <c r="CH453" s="67"/>
      <c r="CI453" s="67"/>
      <c r="CJ453" s="67"/>
      <c r="CK453" s="67">
        <v>0</v>
      </c>
      <c r="CL453" s="67"/>
      <c r="CM453" s="67"/>
      <c r="CN453" s="67"/>
      <c r="CO453" s="67">
        <v>0</v>
      </c>
      <c r="CP453" s="67"/>
      <c r="CQ453" s="67"/>
      <c r="CR453" s="67"/>
      <c r="CS453" s="67"/>
      <c r="CT453" s="67"/>
      <c r="CU453" s="67">
        <v>0</v>
      </c>
      <c r="CV453" s="67"/>
      <c r="CW453" s="67"/>
      <c r="CX453" s="67"/>
      <c r="CY453" s="67">
        <v>0</v>
      </c>
      <c r="CZ453" s="67"/>
      <c r="DA453" s="67"/>
      <c r="DB453" s="67"/>
      <c r="DC453" s="67"/>
      <c r="DF453" s="67"/>
      <c r="DG453" s="67">
        <v>0</v>
      </c>
      <c r="DH453" s="67">
        <v>0</v>
      </c>
      <c r="DI453" s="67">
        <v>0</v>
      </c>
      <c r="DJ453" s="67"/>
      <c r="DK453" s="67">
        <v>0</v>
      </c>
      <c r="DL453" s="67">
        <v>0</v>
      </c>
      <c r="DM453" s="67">
        <v>0</v>
      </c>
      <c r="DN453" s="67"/>
      <c r="DO453" s="67"/>
      <c r="DP453" s="67"/>
      <c r="DQ453" s="67">
        <v>0</v>
      </c>
      <c r="DR453" s="67">
        <v>0</v>
      </c>
      <c r="DS453" s="67"/>
      <c r="DT453" s="67"/>
      <c r="DU453" s="67">
        <v>0</v>
      </c>
      <c r="DV453" s="67">
        <v>0</v>
      </c>
      <c r="DW453" s="67">
        <v>0</v>
      </c>
      <c r="DX453" s="67">
        <v>0</v>
      </c>
      <c r="DY453" s="67"/>
      <c r="DZ453" s="67">
        <v>0</v>
      </c>
      <c r="EA453" s="67"/>
      <c r="EB453" s="67">
        <v>0</v>
      </c>
      <c r="EC453" s="67"/>
      <c r="ED453" s="67">
        <v>0</v>
      </c>
      <c r="EE453" s="67"/>
      <c r="EF453" s="67">
        <v>0</v>
      </c>
      <c r="EG453" s="67"/>
      <c r="EH453" s="67"/>
      <c r="EI453" s="67"/>
      <c r="EJ453" s="67"/>
      <c r="EK453" s="67"/>
      <c r="EL453" s="67"/>
      <c r="EM453" s="67"/>
      <c r="EN453" s="67"/>
      <c r="EO453" s="67"/>
      <c r="EP453" s="67">
        <v>0</v>
      </c>
      <c r="EQ453" s="67">
        <v>0</v>
      </c>
      <c r="ER453" s="67">
        <v>0</v>
      </c>
      <c r="ES453" s="67"/>
      <c r="ET453">
        <v>0</v>
      </c>
      <c r="EX453" s="67"/>
      <c r="EY453" s="67"/>
      <c r="EZ453" s="67"/>
      <c r="FA453" s="67">
        <v>490</v>
      </c>
      <c r="FB453" s="67">
        <v>0</v>
      </c>
      <c r="FC453" s="67"/>
      <c r="FD453" s="67"/>
      <c r="FE453" s="67"/>
      <c r="FF453" s="67"/>
      <c r="FG453" s="67"/>
      <c r="FH453" s="67"/>
      <c r="FI453" s="67" t="s">
        <v>1734</v>
      </c>
    </row>
    <row r="454" spans="2:165" x14ac:dyDescent="0.2">
      <c r="B454" s="67" t="s">
        <v>1181</v>
      </c>
      <c r="C454" s="67"/>
      <c r="D454" s="67" t="s">
        <v>1182</v>
      </c>
      <c r="E454" s="67" t="s">
        <v>20</v>
      </c>
      <c r="F454" s="67"/>
      <c r="G454" s="67" t="s">
        <v>694</v>
      </c>
      <c r="H454" s="67"/>
      <c r="I454" s="67" t="s">
        <v>786</v>
      </c>
      <c r="J454" s="67"/>
      <c r="K454" s="67"/>
      <c r="L454" s="67" t="s">
        <v>787</v>
      </c>
      <c r="M454" s="67" t="s">
        <v>752</v>
      </c>
      <c r="N454" s="67"/>
      <c r="O454" s="67" t="s">
        <v>1605</v>
      </c>
      <c r="P454" s="67"/>
      <c r="Q454" s="67">
        <v>0</v>
      </c>
      <c r="R454" s="67">
        <v>0</v>
      </c>
      <c r="S454" s="67">
        <v>0</v>
      </c>
      <c r="T454" s="67">
        <v>0</v>
      </c>
      <c r="U454" s="67">
        <v>0</v>
      </c>
      <c r="V454" s="67">
        <v>0</v>
      </c>
      <c r="W454" s="67">
        <v>0</v>
      </c>
      <c r="X454" s="67">
        <v>0</v>
      </c>
      <c r="Y454" s="67">
        <v>0</v>
      </c>
      <c r="Z454" s="67">
        <v>0</v>
      </c>
      <c r="AA454" s="67">
        <v>0</v>
      </c>
      <c r="AB454" s="67">
        <v>0</v>
      </c>
      <c r="AC454" s="67">
        <v>0</v>
      </c>
      <c r="AD454" s="67">
        <v>0</v>
      </c>
      <c r="AE454" s="67">
        <v>0</v>
      </c>
      <c r="AF454" s="67">
        <v>0</v>
      </c>
      <c r="AG454" s="67">
        <v>0</v>
      </c>
      <c r="AH454" s="67">
        <v>0</v>
      </c>
      <c r="AI454" s="67">
        <v>0</v>
      </c>
      <c r="AJ454" s="67">
        <v>0</v>
      </c>
      <c r="AK454" s="67">
        <v>0</v>
      </c>
      <c r="AL454" s="67">
        <v>0</v>
      </c>
      <c r="AM454" s="67">
        <v>0</v>
      </c>
      <c r="AN454" s="67">
        <v>0</v>
      </c>
      <c r="AO454" s="67">
        <v>0</v>
      </c>
      <c r="AP454" s="67">
        <v>0</v>
      </c>
      <c r="AQ454" s="67">
        <v>0</v>
      </c>
      <c r="AR454" s="67">
        <v>0</v>
      </c>
      <c r="AS454" s="67">
        <v>0</v>
      </c>
      <c r="AT454" s="67"/>
      <c r="AU454" s="67"/>
      <c r="AV454" s="67"/>
      <c r="AW454" s="67">
        <v>0</v>
      </c>
      <c r="AX454" s="67">
        <v>0</v>
      </c>
      <c r="AY454" s="67"/>
      <c r="AZ454" s="67"/>
      <c r="BA454" s="67"/>
      <c r="BB454" s="67"/>
      <c r="BC454" s="67"/>
      <c r="BD454" s="67"/>
      <c r="BE454" s="67"/>
      <c r="BG454" s="67"/>
      <c r="BH454" s="67"/>
      <c r="BI454" s="67"/>
      <c r="BJ454" s="67">
        <v>0</v>
      </c>
      <c r="BK454" s="67"/>
      <c r="BL454" s="67"/>
      <c r="BP454" s="67"/>
      <c r="BQ454" s="67">
        <v>0</v>
      </c>
      <c r="BR454" s="67"/>
      <c r="BS454" s="67"/>
      <c r="BT454" s="67">
        <v>0</v>
      </c>
      <c r="BU454" s="67">
        <v>0</v>
      </c>
      <c r="BV454" s="67"/>
      <c r="BW454" s="67"/>
      <c r="BX454" s="67">
        <v>0</v>
      </c>
      <c r="BY454" s="67">
        <v>0</v>
      </c>
      <c r="BZ454" s="67">
        <v>0</v>
      </c>
      <c r="CA454" s="67"/>
      <c r="CB454" s="67">
        <v>0</v>
      </c>
      <c r="CC454" s="67"/>
      <c r="CD454" s="67"/>
      <c r="CE454" s="67">
        <v>0</v>
      </c>
      <c r="CF454" s="67"/>
      <c r="CG454" s="67"/>
      <c r="CH454" s="67"/>
      <c r="CI454" s="67"/>
      <c r="CJ454" s="67"/>
      <c r="CK454" s="67">
        <v>0</v>
      </c>
      <c r="CL454" s="67"/>
      <c r="CM454" s="67"/>
      <c r="CN454" s="67"/>
      <c r="CO454" s="67">
        <v>0</v>
      </c>
      <c r="CP454" s="67"/>
      <c r="CQ454" s="67"/>
      <c r="CR454" s="67"/>
      <c r="CS454" s="67"/>
      <c r="CT454" s="67"/>
      <c r="CU454" s="67">
        <v>0</v>
      </c>
      <c r="CV454" s="67"/>
      <c r="CW454" s="67"/>
      <c r="CX454" s="67"/>
      <c r="CY454" s="67">
        <v>0</v>
      </c>
      <c r="CZ454" s="67"/>
      <c r="DA454" s="67"/>
      <c r="DB454" s="67"/>
      <c r="DC454" s="67"/>
      <c r="DF454" s="67"/>
      <c r="DG454" s="67">
        <v>0</v>
      </c>
      <c r="DH454" s="67">
        <v>0</v>
      </c>
      <c r="DI454" s="67">
        <v>0</v>
      </c>
      <c r="DJ454" s="67"/>
      <c r="DK454" s="67">
        <v>0</v>
      </c>
      <c r="DL454" s="67">
        <v>0</v>
      </c>
      <c r="DM454" s="67">
        <v>0</v>
      </c>
      <c r="DN454" s="67"/>
      <c r="DO454" s="67"/>
      <c r="DP454" s="67"/>
      <c r="DQ454" s="67">
        <v>0</v>
      </c>
      <c r="DR454" s="67">
        <v>0</v>
      </c>
      <c r="DS454" s="67"/>
      <c r="DT454" s="67"/>
      <c r="DU454" s="67">
        <v>0</v>
      </c>
      <c r="DV454" s="67">
        <v>0</v>
      </c>
      <c r="DW454" s="67">
        <v>0</v>
      </c>
      <c r="DX454" s="67">
        <v>0</v>
      </c>
      <c r="DY454" s="67"/>
      <c r="DZ454" s="67">
        <v>0</v>
      </c>
      <c r="EA454" s="67"/>
      <c r="EB454" s="67">
        <v>0</v>
      </c>
      <c r="EC454" s="67"/>
      <c r="ED454" s="67">
        <v>0</v>
      </c>
      <c r="EE454" s="67"/>
      <c r="EF454" s="67">
        <v>0</v>
      </c>
      <c r="EG454" s="67"/>
      <c r="EH454" s="67"/>
      <c r="EI454" s="67"/>
      <c r="EJ454" s="67"/>
      <c r="EK454" s="67"/>
      <c r="EL454" s="67"/>
      <c r="EM454" s="67"/>
      <c r="EN454" s="67"/>
      <c r="EO454" s="67"/>
      <c r="EP454" s="67">
        <v>0</v>
      </c>
      <c r="EQ454" s="67">
        <v>0</v>
      </c>
      <c r="ER454" s="67">
        <v>0</v>
      </c>
      <c r="ES454" s="67"/>
      <c r="ET454">
        <v>0</v>
      </c>
      <c r="EX454" s="67"/>
      <c r="EY454" s="67"/>
      <c r="EZ454" s="67"/>
      <c r="FA454" s="67">
        <v>0</v>
      </c>
      <c r="FB454" s="67">
        <v>0</v>
      </c>
      <c r="FC454" s="67"/>
      <c r="FD454" s="67"/>
      <c r="FE454" s="67"/>
      <c r="FF454" s="67"/>
      <c r="FG454" s="67"/>
      <c r="FH454" s="67"/>
      <c r="FI454" s="67" t="s">
        <v>1734</v>
      </c>
    </row>
    <row r="455" spans="2:165" x14ac:dyDescent="0.2">
      <c r="B455" s="67" t="s">
        <v>1183</v>
      </c>
      <c r="C455" s="67"/>
      <c r="D455" s="67" t="s">
        <v>1184</v>
      </c>
      <c r="E455" s="67" t="s">
        <v>20</v>
      </c>
      <c r="F455" s="67"/>
      <c r="G455" s="67" t="s">
        <v>694</v>
      </c>
      <c r="H455" s="67"/>
      <c r="I455" s="67" t="s">
        <v>786</v>
      </c>
      <c r="J455" s="67"/>
      <c r="K455" s="67"/>
      <c r="L455" s="67" t="s">
        <v>934</v>
      </c>
      <c r="M455" s="67" t="s">
        <v>752</v>
      </c>
      <c r="N455" s="67"/>
      <c r="O455" s="67" t="s">
        <v>1605</v>
      </c>
      <c r="P455" s="67"/>
      <c r="Q455" s="67">
        <v>0</v>
      </c>
      <c r="R455" s="67">
        <v>0</v>
      </c>
      <c r="S455" s="67">
        <v>0</v>
      </c>
      <c r="T455" s="67">
        <v>0</v>
      </c>
      <c r="U455" s="67">
        <v>0</v>
      </c>
      <c r="V455" s="67">
        <v>0</v>
      </c>
      <c r="W455" s="67">
        <v>0</v>
      </c>
      <c r="X455" s="67">
        <v>0</v>
      </c>
      <c r="Y455" s="67">
        <v>0</v>
      </c>
      <c r="Z455" s="67">
        <v>0</v>
      </c>
      <c r="AA455" s="67">
        <v>0</v>
      </c>
      <c r="AB455" s="67">
        <v>0</v>
      </c>
      <c r="AC455" s="67">
        <v>0</v>
      </c>
      <c r="AD455" s="67">
        <v>0</v>
      </c>
      <c r="AE455" s="67">
        <v>0</v>
      </c>
      <c r="AF455" s="67">
        <v>0</v>
      </c>
      <c r="AG455" s="67">
        <v>0</v>
      </c>
      <c r="AH455" s="67">
        <v>0</v>
      </c>
      <c r="AI455" s="67">
        <v>0</v>
      </c>
      <c r="AJ455" s="67">
        <v>0</v>
      </c>
      <c r="AK455" s="67">
        <v>0</v>
      </c>
      <c r="AL455" s="67">
        <v>0</v>
      </c>
      <c r="AM455" s="67">
        <v>0</v>
      </c>
      <c r="AN455" s="67">
        <v>0</v>
      </c>
      <c r="AO455" s="67">
        <v>0</v>
      </c>
      <c r="AP455" s="67">
        <v>0</v>
      </c>
      <c r="AQ455" s="67">
        <v>0</v>
      </c>
      <c r="AR455" s="67">
        <v>0</v>
      </c>
      <c r="AS455" s="67">
        <v>0</v>
      </c>
      <c r="AT455" s="67"/>
      <c r="AU455" s="67"/>
      <c r="AV455" s="67"/>
      <c r="AW455" s="67">
        <v>0</v>
      </c>
      <c r="AX455" s="67">
        <v>0</v>
      </c>
      <c r="AY455" s="67"/>
      <c r="AZ455" s="67"/>
      <c r="BA455" s="67"/>
      <c r="BB455" s="67"/>
      <c r="BC455" s="67"/>
      <c r="BD455" s="67"/>
      <c r="BE455" s="67"/>
      <c r="BG455" s="67"/>
      <c r="BH455" s="67"/>
      <c r="BI455" s="67"/>
      <c r="BJ455" s="67">
        <v>0</v>
      </c>
      <c r="BK455" s="67"/>
      <c r="BL455" s="67"/>
      <c r="BP455" s="67"/>
      <c r="BQ455" s="67">
        <v>0</v>
      </c>
      <c r="BR455" s="67"/>
      <c r="BS455" s="67"/>
      <c r="BT455" s="67">
        <v>0</v>
      </c>
      <c r="BU455" s="67">
        <v>0</v>
      </c>
      <c r="BV455" s="67"/>
      <c r="BW455" s="67"/>
      <c r="BX455" s="67">
        <v>0</v>
      </c>
      <c r="BY455" s="67">
        <v>0</v>
      </c>
      <c r="BZ455" s="67">
        <v>0</v>
      </c>
      <c r="CA455" s="67"/>
      <c r="CB455" s="67">
        <v>0</v>
      </c>
      <c r="CC455" s="67"/>
      <c r="CD455" s="67"/>
      <c r="CE455" s="67">
        <v>0</v>
      </c>
      <c r="CF455" s="67"/>
      <c r="CG455" s="67"/>
      <c r="CH455" s="67"/>
      <c r="CI455" s="67"/>
      <c r="CJ455" s="67"/>
      <c r="CK455" s="67">
        <v>0</v>
      </c>
      <c r="CL455" s="67"/>
      <c r="CM455" s="67"/>
      <c r="CN455" s="67"/>
      <c r="CO455" s="67">
        <v>0</v>
      </c>
      <c r="CP455" s="67"/>
      <c r="CQ455" s="67"/>
      <c r="CR455" s="67"/>
      <c r="CS455" s="67"/>
      <c r="CT455" s="67"/>
      <c r="CU455" s="67">
        <v>0</v>
      </c>
      <c r="CV455" s="67"/>
      <c r="CW455" s="67"/>
      <c r="CX455" s="67"/>
      <c r="CY455" s="67">
        <v>0</v>
      </c>
      <c r="CZ455" s="67"/>
      <c r="DA455" s="67"/>
      <c r="DB455" s="67"/>
      <c r="DC455" s="67"/>
      <c r="DF455" s="67"/>
      <c r="DG455" s="67">
        <v>0</v>
      </c>
      <c r="DH455" s="67">
        <v>0</v>
      </c>
      <c r="DI455" s="67">
        <v>0</v>
      </c>
      <c r="DJ455" s="67"/>
      <c r="DK455" s="67">
        <v>0</v>
      </c>
      <c r="DL455" s="67">
        <v>0</v>
      </c>
      <c r="DM455" s="67">
        <v>0</v>
      </c>
      <c r="DN455" s="67"/>
      <c r="DO455" s="67"/>
      <c r="DP455" s="67"/>
      <c r="DQ455" s="67">
        <v>0</v>
      </c>
      <c r="DR455" s="67">
        <v>0</v>
      </c>
      <c r="DS455" s="67"/>
      <c r="DT455" s="67"/>
      <c r="DU455" s="67">
        <v>0</v>
      </c>
      <c r="DV455" s="67">
        <v>0</v>
      </c>
      <c r="DW455" s="67">
        <v>0</v>
      </c>
      <c r="DX455" s="67">
        <v>0</v>
      </c>
      <c r="DY455" s="67"/>
      <c r="DZ455" s="67">
        <v>0</v>
      </c>
      <c r="EA455" s="67"/>
      <c r="EB455" s="67">
        <v>0</v>
      </c>
      <c r="EC455" s="67"/>
      <c r="ED455" s="67">
        <v>0</v>
      </c>
      <c r="EE455" s="67"/>
      <c r="EF455" s="67">
        <v>0</v>
      </c>
      <c r="EG455" s="67"/>
      <c r="EH455" s="67"/>
      <c r="EI455" s="67"/>
      <c r="EJ455" s="67"/>
      <c r="EK455" s="67"/>
      <c r="EL455" s="67"/>
      <c r="EM455" s="67"/>
      <c r="EN455" s="67"/>
      <c r="EO455" s="67"/>
      <c r="EP455" s="67">
        <v>0</v>
      </c>
      <c r="EQ455" s="67">
        <v>0</v>
      </c>
      <c r="ER455" s="67">
        <v>0</v>
      </c>
      <c r="ES455" s="67"/>
      <c r="ET455">
        <v>0</v>
      </c>
      <c r="EX455" s="67"/>
      <c r="EY455" s="67"/>
      <c r="EZ455" s="67"/>
      <c r="FA455" s="67">
        <v>0</v>
      </c>
      <c r="FB455" s="67">
        <v>0</v>
      </c>
      <c r="FC455" s="67"/>
      <c r="FD455" s="67"/>
      <c r="FE455" s="67"/>
      <c r="FF455" s="67"/>
      <c r="FG455" s="67"/>
      <c r="FH455" s="67"/>
      <c r="FI455" s="67" t="s">
        <v>1734</v>
      </c>
    </row>
    <row r="456" spans="2:165" x14ac:dyDescent="0.2">
      <c r="B456" s="67" t="s">
        <v>1185</v>
      </c>
      <c r="C456" s="67"/>
      <c r="D456" s="67" t="s">
        <v>1186</v>
      </c>
      <c r="E456" s="67" t="s">
        <v>20</v>
      </c>
      <c r="F456" s="67"/>
      <c r="G456" s="67" t="s">
        <v>694</v>
      </c>
      <c r="H456" s="67"/>
      <c r="I456" s="67" t="s">
        <v>786</v>
      </c>
      <c r="J456" s="67"/>
      <c r="K456" s="67"/>
      <c r="L456" s="67" t="s">
        <v>934</v>
      </c>
      <c r="M456" s="67" t="s">
        <v>752</v>
      </c>
      <c r="N456" s="67"/>
      <c r="O456" s="67" t="s">
        <v>1605</v>
      </c>
      <c r="P456" s="67"/>
      <c r="Q456" s="67">
        <v>0</v>
      </c>
      <c r="R456" s="67">
        <v>0</v>
      </c>
      <c r="S456" s="67">
        <v>0</v>
      </c>
      <c r="T456" s="67">
        <v>0</v>
      </c>
      <c r="U456" s="67">
        <v>0</v>
      </c>
      <c r="V456" s="67">
        <v>0</v>
      </c>
      <c r="W456" s="67">
        <v>0</v>
      </c>
      <c r="X456" s="67">
        <v>0</v>
      </c>
      <c r="Y456" s="67">
        <v>0</v>
      </c>
      <c r="Z456" s="67">
        <v>0</v>
      </c>
      <c r="AA456" s="67">
        <v>0</v>
      </c>
      <c r="AB456" s="67">
        <v>0</v>
      </c>
      <c r="AC456" s="67">
        <v>0</v>
      </c>
      <c r="AD456" s="67">
        <v>0</v>
      </c>
      <c r="AE456" s="67">
        <v>0</v>
      </c>
      <c r="AF456" s="67">
        <v>0</v>
      </c>
      <c r="AG456" s="67">
        <v>0</v>
      </c>
      <c r="AH456" s="67">
        <v>0</v>
      </c>
      <c r="AI456" s="67">
        <v>0</v>
      </c>
      <c r="AJ456" s="67">
        <v>0</v>
      </c>
      <c r="AK456" s="67">
        <v>0</v>
      </c>
      <c r="AL456" s="67">
        <v>0</v>
      </c>
      <c r="AM456" s="67">
        <v>0</v>
      </c>
      <c r="AN456" s="67">
        <v>0</v>
      </c>
      <c r="AO456" s="67">
        <v>0</v>
      </c>
      <c r="AP456" s="67">
        <v>0</v>
      </c>
      <c r="AQ456" s="67">
        <v>0</v>
      </c>
      <c r="AR456" s="67">
        <v>0</v>
      </c>
      <c r="AS456" s="67">
        <v>0</v>
      </c>
      <c r="AT456" s="67"/>
      <c r="AU456" s="67"/>
      <c r="AV456" s="67"/>
      <c r="AW456" s="67">
        <v>0</v>
      </c>
      <c r="AX456" s="67">
        <v>0</v>
      </c>
      <c r="AY456" s="67"/>
      <c r="AZ456" s="67"/>
      <c r="BA456" s="67"/>
      <c r="BB456" s="67"/>
      <c r="BC456" s="67"/>
      <c r="BD456" s="67"/>
      <c r="BE456" s="67"/>
      <c r="BG456" s="67"/>
      <c r="BH456" s="67"/>
      <c r="BI456" s="67"/>
      <c r="BJ456" s="67">
        <v>0</v>
      </c>
      <c r="BK456" s="67"/>
      <c r="BL456" s="67"/>
      <c r="BP456" s="67"/>
      <c r="BQ456" s="67">
        <v>0</v>
      </c>
      <c r="BR456" s="67"/>
      <c r="BS456" s="67"/>
      <c r="BT456" s="67">
        <v>0</v>
      </c>
      <c r="BU456" s="67">
        <v>0</v>
      </c>
      <c r="BV456" s="67"/>
      <c r="BW456" s="67"/>
      <c r="BX456" s="67">
        <v>0</v>
      </c>
      <c r="BY456" s="67">
        <v>0</v>
      </c>
      <c r="BZ456" s="67">
        <v>0</v>
      </c>
      <c r="CA456" s="67"/>
      <c r="CB456" s="67">
        <v>0</v>
      </c>
      <c r="CC456" s="67"/>
      <c r="CD456" s="67"/>
      <c r="CE456" s="67">
        <v>0</v>
      </c>
      <c r="CF456" s="67"/>
      <c r="CG456" s="67"/>
      <c r="CH456" s="67"/>
      <c r="CI456" s="67"/>
      <c r="CJ456" s="67"/>
      <c r="CK456" s="67">
        <v>0</v>
      </c>
      <c r="CL456" s="67"/>
      <c r="CM456" s="67"/>
      <c r="CN456" s="67"/>
      <c r="CO456" s="67">
        <v>0</v>
      </c>
      <c r="CP456" s="67"/>
      <c r="CQ456" s="67"/>
      <c r="CR456" s="67"/>
      <c r="CS456" s="67"/>
      <c r="CT456" s="67"/>
      <c r="CU456" s="67">
        <v>0</v>
      </c>
      <c r="CV456" s="67"/>
      <c r="CW456" s="67"/>
      <c r="CX456" s="67"/>
      <c r="CY456" s="67">
        <v>0</v>
      </c>
      <c r="CZ456" s="67"/>
      <c r="DA456" s="67"/>
      <c r="DB456" s="67"/>
      <c r="DC456" s="67"/>
      <c r="DF456" s="67"/>
      <c r="DG456" s="67">
        <v>0</v>
      </c>
      <c r="DH456" s="67">
        <v>0</v>
      </c>
      <c r="DI456" s="67">
        <v>0</v>
      </c>
      <c r="DJ456" s="67"/>
      <c r="DK456" s="67">
        <v>0</v>
      </c>
      <c r="DL456" s="67">
        <v>0</v>
      </c>
      <c r="DM456" s="67">
        <v>0</v>
      </c>
      <c r="DN456" s="67"/>
      <c r="DO456" s="67"/>
      <c r="DP456" s="67"/>
      <c r="DQ456" s="67">
        <v>0</v>
      </c>
      <c r="DR456" s="67">
        <v>0</v>
      </c>
      <c r="DS456" s="67"/>
      <c r="DT456" s="67"/>
      <c r="DU456" s="67">
        <v>0</v>
      </c>
      <c r="DV456" s="67">
        <v>0</v>
      </c>
      <c r="DW456" s="67">
        <v>0</v>
      </c>
      <c r="DX456" s="67">
        <v>0</v>
      </c>
      <c r="DY456" s="67"/>
      <c r="DZ456" s="67">
        <v>0</v>
      </c>
      <c r="EA456" s="67"/>
      <c r="EB456" s="67">
        <v>0</v>
      </c>
      <c r="EC456" s="67"/>
      <c r="ED456" s="67">
        <v>0</v>
      </c>
      <c r="EE456" s="67"/>
      <c r="EF456" s="67">
        <v>0</v>
      </c>
      <c r="EG456" s="67"/>
      <c r="EH456" s="67"/>
      <c r="EI456" s="67"/>
      <c r="EJ456" s="67"/>
      <c r="EK456" s="67"/>
      <c r="EL456" s="67"/>
      <c r="EM456" s="67"/>
      <c r="EN456" s="67"/>
      <c r="EO456" s="67"/>
      <c r="EP456" s="67">
        <v>0</v>
      </c>
      <c r="EQ456" s="67">
        <v>0</v>
      </c>
      <c r="ER456" s="67">
        <v>0</v>
      </c>
      <c r="ES456" s="67"/>
      <c r="ET456">
        <v>0</v>
      </c>
      <c r="EX456" s="67"/>
      <c r="EY456" s="67"/>
      <c r="EZ456" s="67"/>
      <c r="FA456" s="67">
        <v>0</v>
      </c>
      <c r="FB456" s="67">
        <v>0</v>
      </c>
      <c r="FC456" s="67"/>
      <c r="FD456" s="67"/>
      <c r="FE456" s="67"/>
      <c r="FF456" s="67"/>
      <c r="FG456" s="67"/>
      <c r="FH456" s="67"/>
      <c r="FI456" s="67" t="s">
        <v>1734</v>
      </c>
    </row>
    <row r="457" spans="2:165" x14ac:dyDescent="0.2">
      <c r="B457" s="67" t="s">
        <v>1187</v>
      </c>
      <c r="C457" s="67"/>
      <c r="D457" s="67" t="s">
        <v>1188</v>
      </c>
      <c r="E457" s="67" t="s">
        <v>23</v>
      </c>
      <c r="F457" s="67"/>
      <c r="G457" s="67" t="s">
        <v>694</v>
      </c>
      <c r="H457" s="67"/>
      <c r="I457" s="67"/>
      <c r="J457" s="67"/>
      <c r="K457" s="67"/>
      <c r="L457" s="67" t="s">
        <v>787</v>
      </c>
      <c r="M457" s="67" t="s">
        <v>752</v>
      </c>
      <c r="N457" s="67"/>
      <c r="O457" s="67" t="s">
        <v>1605</v>
      </c>
      <c r="P457" s="67"/>
      <c r="Q457" s="67">
        <v>0</v>
      </c>
      <c r="R457" s="67">
        <v>0</v>
      </c>
      <c r="S457" s="67">
        <v>0</v>
      </c>
      <c r="T457" s="67">
        <v>0</v>
      </c>
      <c r="U457" s="67">
        <v>0</v>
      </c>
      <c r="V457" s="67">
        <v>0</v>
      </c>
      <c r="W457" s="67">
        <v>0</v>
      </c>
      <c r="X457" s="67">
        <v>0</v>
      </c>
      <c r="Y457" s="67">
        <v>0</v>
      </c>
      <c r="Z457" s="67">
        <v>0</v>
      </c>
      <c r="AA457" s="67">
        <v>0</v>
      </c>
      <c r="AB457" s="67">
        <v>0</v>
      </c>
      <c r="AC457" s="67">
        <v>0</v>
      </c>
      <c r="AD457" s="67">
        <v>0</v>
      </c>
      <c r="AE457" s="67">
        <v>0</v>
      </c>
      <c r="AF457" s="67">
        <v>0</v>
      </c>
      <c r="AG457" s="67">
        <v>0</v>
      </c>
      <c r="AH457" s="67">
        <v>0</v>
      </c>
      <c r="AI457" s="67">
        <v>0</v>
      </c>
      <c r="AJ457" s="67">
        <v>0</v>
      </c>
      <c r="AK457" s="67">
        <v>0</v>
      </c>
      <c r="AL457" s="67">
        <v>0</v>
      </c>
      <c r="AM457" s="67">
        <v>0</v>
      </c>
      <c r="AN457" s="67">
        <v>0</v>
      </c>
      <c r="AO457" s="67">
        <v>0</v>
      </c>
      <c r="AP457" s="67">
        <v>0</v>
      </c>
      <c r="AQ457" s="67">
        <v>0</v>
      </c>
      <c r="AR457" s="67">
        <v>0</v>
      </c>
      <c r="AS457" s="67">
        <v>0</v>
      </c>
      <c r="AT457" s="67"/>
      <c r="AU457" s="67"/>
      <c r="AV457" s="67"/>
      <c r="AW457" s="67">
        <v>0</v>
      </c>
      <c r="AX457" s="67">
        <v>0</v>
      </c>
      <c r="AY457" s="67"/>
      <c r="AZ457" s="67"/>
      <c r="BA457" s="67"/>
      <c r="BB457" s="67"/>
      <c r="BC457" s="67"/>
      <c r="BD457" s="67"/>
      <c r="BE457" s="67"/>
      <c r="BG457" s="67"/>
      <c r="BH457" s="67"/>
      <c r="BI457" s="67"/>
      <c r="BJ457" s="67">
        <v>0</v>
      </c>
      <c r="BK457" s="67"/>
      <c r="BL457" s="67"/>
      <c r="BP457" s="67"/>
      <c r="BQ457" s="67">
        <v>0</v>
      </c>
      <c r="BR457" s="67"/>
      <c r="BS457" s="67"/>
      <c r="BT457" s="67">
        <v>0</v>
      </c>
      <c r="BU457" s="67">
        <v>0</v>
      </c>
      <c r="BV457" s="67"/>
      <c r="BW457" s="67"/>
      <c r="BX457" s="67">
        <v>0</v>
      </c>
      <c r="BY457" s="67">
        <v>0</v>
      </c>
      <c r="BZ457" s="67">
        <v>0</v>
      </c>
      <c r="CA457" s="67"/>
      <c r="CB457" s="67">
        <v>0</v>
      </c>
      <c r="CC457" s="67"/>
      <c r="CD457" s="67"/>
      <c r="CE457" s="67">
        <v>0</v>
      </c>
      <c r="CF457" s="67"/>
      <c r="CG457" s="67"/>
      <c r="CH457" s="67"/>
      <c r="CI457" s="67"/>
      <c r="CJ457" s="67"/>
      <c r="CK457" s="67">
        <v>0</v>
      </c>
      <c r="CL457" s="67"/>
      <c r="CM457" s="67"/>
      <c r="CN457" s="67"/>
      <c r="CO457" s="67">
        <v>0</v>
      </c>
      <c r="CP457" s="67"/>
      <c r="CQ457" s="67"/>
      <c r="CR457" s="67"/>
      <c r="CS457" s="67"/>
      <c r="CT457" s="67"/>
      <c r="CU457" s="67">
        <v>0</v>
      </c>
      <c r="CV457" s="67"/>
      <c r="CW457" s="67"/>
      <c r="CX457" s="67"/>
      <c r="CY457" s="67">
        <v>0</v>
      </c>
      <c r="CZ457" s="67"/>
      <c r="DA457" s="67"/>
      <c r="DB457" s="67"/>
      <c r="DC457" s="67"/>
      <c r="DF457" s="67"/>
      <c r="DG457" s="67">
        <v>0</v>
      </c>
      <c r="DH457" s="67">
        <v>0</v>
      </c>
      <c r="DI457" s="67">
        <v>0</v>
      </c>
      <c r="DJ457" s="67"/>
      <c r="DK457" s="67">
        <v>0</v>
      </c>
      <c r="DL457" s="67">
        <v>0</v>
      </c>
      <c r="DM457" s="67">
        <v>0</v>
      </c>
      <c r="DN457" s="67"/>
      <c r="DO457" s="67"/>
      <c r="DP457" s="67"/>
      <c r="DQ457" s="67">
        <v>0</v>
      </c>
      <c r="DR457" s="67">
        <v>0</v>
      </c>
      <c r="DS457" s="67"/>
      <c r="DT457" s="67"/>
      <c r="DU457" s="67">
        <v>0</v>
      </c>
      <c r="DV457" s="67">
        <v>0</v>
      </c>
      <c r="DW457" s="67">
        <v>0</v>
      </c>
      <c r="DX457" s="67">
        <v>0</v>
      </c>
      <c r="DY457" s="67"/>
      <c r="DZ457" s="67">
        <v>0</v>
      </c>
      <c r="EA457" s="67"/>
      <c r="EB457" s="67">
        <v>0</v>
      </c>
      <c r="EC457" s="67"/>
      <c r="ED457" s="67">
        <v>0</v>
      </c>
      <c r="EE457" s="67"/>
      <c r="EF457" s="67">
        <v>0</v>
      </c>
      <c r="EG457" s="67"/>
      <c r="EH457" s="67"/>
      <c r="EI457" s="67"/>
      <c r="EJ457" s="67"/>
      <c r="EK457" s="67"/>
      <c r="EL457" s="67"/>
      <c r="EM457" s="67"/>
      <c r="EN457" s="67"/>
      <c r="EO457" s="67"/>
      <c r="EP457" s="67">
        <v>0</v>
      </c>
      <c r="EQ457" s="67">
        <v>0</v>
      </c>
      <c r="ER457" s="67">
        <v>0</v>
      </c>
      <c r="ES457" s="67"/>
      <c r="ET457">
        <v>0</v>
      </c>
      <c r="EX457" s="67"/>
      <c r="EY457" s="67"/>
      <c r="EZ457" s="67"/>
      <c r="FA457" s="67">
        <v>0</v>
      </c>
      <c r="FB457" s="67">
        <v>0</v>
      </c>
      <c r="FC457" s="67"/>
      <c r="FD457" s="67"/>
      <c r="FE457" s="67"/>
      <c r="FF457" s="67"/>
      <c r="FG457" s="67"/>
      <c r="FH457" s="67"/>
      <c r="FI457" s="67" t="s">
        <v>1734</v>
      </c>
    </row>
    <row r="458" spans="2:165" ht="24" x14ac:dyDescent="0.2">
      <c r="B458" s="67" t="s">
        <v>1189</v>
      </c>
      <c r="C458" s="67"/>
      <c r="D458" s="67" t="s">
        <v>1190</v>
      </c>
      <c r="E458" s="67" t="s">
        <v>889</v>
      </c>
      <c r="F458" s="67"/>
      <c r="G458" s="67" t="s">
        <v>694</v>
      </c>
      <c r="H458" s="67"/>
      <c r="I458" s="67"/>
      <c r="J458" s="67"/>
      <c r="K458" s="67"/>
      <c r="L458" s="67" t="s">
        <v>787</v>
      </c>
      <c r="M458" s="67" t="s">
        <v>752</v>
      </c>
      <c r="N458" s="67"/>
      <c r="O458" s="67" t="s">
        <v>1605</v>
      </c>
      <c r="P458" s="67"/>
      <c r="Q458" s="67">
        <v>0</v>
      </c>
      <c r="R458" s="67">
        <v>0</v>
      </c>
      <c r="S458" s="67">
        <v>0</v>
      </c>
      <c r="T458" s="67">
        <v>0</v>
      </c>
      <c r="U458" s="67">
        <v>0</v>
      </c>
      <c r="V458" s="67">
        <v>0</v>
      </c>
      <c r="W458" s="67">
        <v>0</v>
      </c>
      <c r="X458" s="67">
        <v>0</v>
      </c>
      <c r="Y458" s="67">
        <v>0</v>
      </c>
      <c r="Z458" s="67">
        <v>0</v>
      </c>
      <c r="AA458" s="67">
        <v>0</v>
      </c>
      <c r="AB458" s="67">
        <v>0</v>
      </c>
      <c r="AC458" s="67">
        <v>0</v>
      </c>
      <c r="AD458" s="67">
        <v>0</v>
      </c>
      <c r="AE458" s="67">
        <v>0</v>
      </c>
      <c r="AF458" s="67">
        <v>0</v>
      </c>
      <c r="AG458" s="67">
        <v>0</v>
      </c>
      <c r="AH458" s="67">
        <v>0</v>
      </c>
      <c r="AI458" s="67">
        <v>0</v>
      </c>
      <c r="AJ458" s="67">
        <v>0</v>
      </c>
      <c r="AK458" s="67">
        <v>0</v>
      </c>
      <c r="AL458" s="67">
        <v>0</v>
      </c>
      <c r="AM458" s="67">
        <v>0</v>
      </c>
      <c r="AN458" s="67">
        <v>0</v>
      </c>
      <c r="AO458" s="67">
        <v>0</v>
      </c>
      <c r="AP458" s="67">
        <v>0</v>
      </c>
      <c r="AQ458" s="67">
        <v>0</v>
      </c>
      <c r="AR458" s="67">
        <v>0</v>
      </c>
      <c r="AS458" s="67">
        <v>0</v>
      </c>
      <c r="AT458" s="67"/>
      <c r="AU458" s="67"/>
      <c r="AV458" s="67"/>
      <c r="AW458" s="67">
        <v>0</v>
      </c>
      <c r="AX458" s="67">
        <v>0</v>
      </c>
      <c r="AY458" s="67"/>
      <c r="AZ458" s="67"/>
      <c r="BA458" s="67"/>
      <c r="BB458" s="67"/>
      <c r="BC458" s="67"/>
      <c r="BD458" s="67"/>
      <c r="BE458" s="67"/>
      <c r="BG458" s="67"/>
      <c r="BH458" s="67"/>
      <c r="BI458" s="67"/>
      <c r="BJ458" s="67">
        <v>0</v>
      </c>
      <c r="BK458" s="67"/>
      <c r="BL458" s="67"/>
      <c r="BP458" s="67"/>
      <c r="BQ458" s="67">
        <v>0</v>
      </c>
      <c r="BR458" s="67"/>
      <c r="BS458" s="67"/>
      <c r="BT458" s="67">
        <v>0</v>
      </c>
      <c r="BU458" s="67">
        <v>0</v>
      </c>
      <c r="BV458" s="67"/>
      <c r="BW458" s="67"/>
      <c r="BX458" s="67">
        <v>0</v>
      </c>
      <c r="BY458" s="67">
        <v>0</v>
      </c>
      <c r="BZ458" s="67">
        <v>0</v>
      </c>
      <c r="CA458" s="67"/>
      <c r="CB458" s="67">
        <v>0</v>
      </c>
      <c r="CC458" s="67"/>
      <c r="CD458" s="67"/>
      <c r="CE458" s="67">
        <v>0</v>
      </c>
      <c r="CF458" s="67"/>
      <c r="CG458" s="67"/>
      <c r="CH458" s="67"/>
      <c r="CI458" s="67"/>
      <c r="CJ458" s="67"/>
      <c r="CK458" s="67">
        <v>0</v>
      </c>
      <c r="CL458" s="67"/>
      <c r="CM458" s="67"/>
      <c r="CN458" s="67"/>
      <c r="CO458" s="67">
        <v>0</v>
      </c>
      <c r="CP458" s="67"/>
      <c r="CQ458" s="67"/>
      <c r="CR458" s="67"/>
      <c r="CS458" s="67"/>
      <c r="CT458" s="67"/>
      <c r="CU458" s="67">
        <v>0</v>
      </c>
      <c r="CV458" s="67"/>
      <c r="CW458" s="67"/>
      <c r="CX458" s="67"/>
      <c r="CY458" s="67">
        <v>0</v>
      </c>
      <c r="CZ458" s="67"/>
      <c r="DA458" s="67"/>
      <c r="DB458" s="67"/>
      <c r="DC458" s="67"/>
      <c r="DF458" s="67"/>
      <c r="DG458" s="67">
        <v>0</v>
      </c>
      <c r="DH458" s="67">
        <v>0</v>
      </c>
      <c r="DI458" s="67">
        <v>0</v>
      </c>
      <c r="DJ458" s="67"/>
      <c r="DK458" s="67">
        <v>0</v>
      </c>
      <c r="DL458" s="67">
        <v>0</v>
      </c>
      <c r="DM458" s="67">
        <v>0</v>
      </c>
      <c r="DN458" s="67"/>
      <c r="DO458" s="67"/>
      <c r="DP458" s="67"/>
      <c r="DQ458" s="67">
        <v>0</v>
      </c>
      <c r="DR458" s="67">
        <v>0</v>
      </c>
      <c r="DS458" s="67"/>
      <c r="DT458" s="67"/>
      <c r="DU458" s="67">
        <v>0</v>
      </c>
      <c r="DV458" s="67">
        <v>0</v>
      </c>
      <c r="DW458" s="67">
        <v>0</v>
      </c>
      <c r="DX458" s="67">
        <v>0</v>
      </c>
      <c r="DY458" s="67"/>
      <c r="DZ458" s="67">
        <v>0</v>
      </c>
      <c r="EA458" s="67"/>
      <c r="EB458" s="67">
        <v>0</v>
      </c>
      <c r="EC458" s="67"/>
      <c r="ED458" s="67">
        <v>0</v>
      </c>
      <c r="EE458" s="67"/>
      <c r="EF458" s="67">
        <v>0</v>
      </c>
      <c r="EG458" s="67"/>
      <c r="EH458" s="67"/>
      <c r="EI458" s="67"/>
      <c r="EJ458" s="67"/>
      <c r="EK458" s="67"/>
      <c r="EL458" s="67"/>
      <c r="EM458" s="67"/>
      <c r="EN458" s="67"/>
      <c r="EO458" s="67"/>
      <c r="EP458" s="67">
        <v>0</v>
      </c>
      <c r="EQ458" s="67">
        <v>0</v>
      </c>
      <c r="ER458" s="67">
        <v>0</v>
      </c>
      <c r="ES458" s="67"/>
      <c r="ET458">
        <v>0</v>
      </c>
      <c r="EX458" s="67"/>
      <c r="EY458" s="67"/>
      <c r="EZ458" s="67"/>
      <c r="FA458" s="67">
        <v>0</v>
      </c>
      <c r="FB458" s="67">
        <v>0</v>
      </c>
      <c r="FC458" s="67"/>
      <c r="FD458" s="67"/>
      <c r="FE458" s="67"/>
      <c r="FF458" s="67"/>
      <c r="FG458" s="67"/>
      <c r="FH458" s="67"/>
      <c r="FI458" s="67" t="s">
        <v>1734</v>
      </c>
    </row>
    <row r="459" spans="2:165" x14ac:dyDescent="0.2">
      <c r="B459" s="67" t="s">
        <v>1191</v>
      </c>
      <c r="C459" s="67"/>
      <c r="D459" s="67" t="s">
        <v>1192</v>
      </c>
      <c r="E459" s="67"/>
      <c r="F459" s="67"/>
      <c r="G459" s="67" t="s">
        <v>694</v>
      </c>
      <c r="H459" s="67"/>
      <c r="I459" s="67" t="s">
        <v>43</v>
      </c>
      <c r="J459" s="67"/>
      <c r="K459" s="67"/>
      <c r="L459" s="67" t="s">
        <v>751</v>
      </c>
      <c r="M459" s="67" t="s">
        <v>752</v>
      </c>
      <c r="N459" s="67"/>
      <c r="O459" s="67" t="s">
        <v>1605</v>
      </c>
      <c r="P459" s="67"/>
      <c r="Q459" s="67">
        <v>0</v>
      </c>
      <c r="R459" s="67">
        <v>0</v>
      </c>
      <c r="S459" s="67">
        <v>0</v>
      </c>
      <c r="T459" s="67">
        <v>0</v>
      </c>
      <c r="U459" s="67">
        <v>0</v>
      </c>
      <c r="V459" s="67">
        <v>0</v>
      </c>
      <c r="W459" s="67">
        <v>0</v>
      </c>
      <c r="X459" s="67">
        <v>0</v>
      </c>
      <c r="Y459" s="67">
        <v>0</v>
      </c>
      <c r="Z459" s="67">
        <v>0</v>
      </c>
      <c r="AA459" s="67">
        <v>0</v>
      </c>
      <c r="AB459" s="67">
        <v>0</v>
      </c>
      <c r="AC459" s="67">
        <v>0</v>
      </c>
      <c r="AD459" s="67">
        <v>0</v>
      </c>
      <c r="AE459" s="67">
        <v>0</v>
      </c>
      <c r="AF459" s="67">
        <v>0</v>
      </c>
      <c r="AG459" s="67">
        <v>0</v>
      </c>
      <c r="AH459" s="67">
        <v>0</v>
      </c>
      <c r="AI459" s="67">
        <v>0</v>
      </c>
      <c r="AJ459" s="67">
        <v>0</v>
      </c>
      <c r="AK459" s="67">
        <v>0</v>
      </c>
      <c r="AL459" s="67">
        <v>0</v>
      </c>
      <c r="AM459" s="67">
        <v>0</v>
      </c>
      <c r="AN459" s="67">
        <v>0</v>
      </c>
      <c r="AO459" s="67">
        <v>0</v>
      </c>
      <c r="AP459" s="67">
        <v>0</v>
      </c>
      <c r="AQ459" s="67">
        <v>0</v>
      </c>
      <c r="AR459" s="67">
        <v>0</v>
      </c>
      <c r="AS459" s="67">
        <v>0</v>
      </c>
      <c r="AT459" s="67"/>
      <c r="AU459" s="67"/>
      <c r="AV459" s="67"/>
      <c r="AW459" s="67">
        <v>0</v>
      </c>
      <c r="AX459" s="67">
        <v>0</v>
      </c>
      <c r="AY459" s="67"/>
      <c r="AZ459" s="67"/>
      <c r="BA459" s="67"/>
      <c r="BB459" s="67"/>
      <c r="BC459" s="67"/>
      <c r="BD459" s="67"/>
      <c r="BE459" s="67"/>
      <c r="BG459" s="67"/>
      <c r="BH459" s="67"/>
      <c r="BI459" s="67"/>
      <c r="BJ459" s="67">
        <v>0</v>
      </c>
      <c r="BK459" s="67"/>
      <c r="BL459" s="67"/>
      <c r="BP459" s="67"/>
      <c r="BQ459" s="67">
        <v>0</v>
      </c>
      <c r="BR459" s="67"/>
      <c r="BS459" s="67"/>
      <c r="BT459" s="67">
        <v>0</v>
      </c>
      <c r="BU459" s="67">
        <v>0</v>
      </c>
      <c r="BV459" s="67"/>
      <c r="BW459" s="67"/>
      <c r="BX459" s="67">
        <v>0</v>
      </c>
      <c r="BY459" s="67">
        <v>0</v>
      </c>
      <c r="BZ459" s="67">
        <v>0</v>
      </c>
      <c r="CA459" s="67"/>
      <c r="CB459" s="67">
        <v>0</v>
      </c>
      <c r="CC459" s="67"/>
      <c r="CD459" s="67"/>
      <c r="CE459" s="67">
        <v>0</v>
      </c>
      <c r="CF459" s="67"/>
      <c r="CG459" s="67"/>
      <c r="CH459" s="67"/>
      <c r="CI459" s="67"/>
      <c r="CJ459" s="67"/>
      <c r="CK459" s="67">
        <v>0</v>
      </c>
      <c r="CL459" s="67"/>
      <c r="CM459" s="67"/>
      <c r="CN459" s="67"/>
      <c r="CO459" s="67">
        <v>0</v>
      </c>
      <c r="CP459" s="67"/>
      <c r="CQ459" s="67"/>
      <c r="CR459" s="67"/>
      <c r="CS459" s="67"/>
      <c r="CT459" s="67"/>
      <c r="CU459" s="67">
        <v>0</v>
      </c>
      <c r="CV459" s="67"/>
      <c r="CW459" s="67"/>
      <c r="CX459" s="67"/>
      <c r="CY459" s="67">
        <v>0</v>
      </c>
      <c r="CZ459" s="67"/>
      <c r="DA459" s="67"/>
      <c r="DB459" s="67"/>
      <c r="DC459" s="67"/>
      <c r="DF459" s="67"/>
      <c r="DG459" s="67">
        <v>0</v>
      </c>
      <c r="DH459" s="67">
        <v>0</v>
      </c>
      <c r="DI459" s="67">
        <v>0</v>
      </c>
      <c r="DJ459" s="67"/>
      <c r="DK459" s="67">
        <v>0</v>
      </c>
      <c r="DL459" s="67">
        <v>0</v>
      </c>
      <c r="DM459" s="67">
        <v>0</v>
      </c>
      <c r="DN459" s="67"/>
      <c r="DO459" s="67"/>
      <c r="DP459" s="67"/>
      <c r="DQ459" s="67">
        <v>0</v>
      </c>
      <c r="DR459" s="67">
        <v>0</v>
      </c>
      <c r="DS459" s="67"/>
      <c r="DT459" s="67"/>
      <c r="DU459" s="67">
        <v>0</v>
      </c>
      <c r="DV459" s="67">
        <v>0</v>
      </c>
      <c r="DW459" s="67">
        <v>0</v>
      </c>
      <c r="DX459" s="67">
        <v>0</v>
      </c>
      <c r="DY459" s="67"/>
      <c r="DZ459" s="67">
        <v>0</v>
      </c>
      <c r="EA459" s="67"/>
      <c r="EB459" s="67">
        <v>0</v>
      </c>
      <c r="EC459" s="67"/>
      <c r="ED459" s="67">
        <v>0</v>
      </c>
      <c r="EE459" s="67"/>
      <c r="EF459" s="67">
        <v>0</v>
      </c>
      <c r="EG459" s="67"/>
      <c r="EH459" s="67"/>
      <c r="EI459" s="67"/>
      <c r="EJ459" s="67"/>
      <c r="EK459" s="67"/>
      <c r="EL459" s="67"/>
      <c r="EM459" s="67"/>
      <c r="EN459" s="67"/>
      <c r="EO459" s="67"/>
      <c r="EP459" s="67">
        <v>0</v>
      </c>
      <c r="EQ459" s="67">
        <v>0</v>
      </c>
      <c r="ER459" s="67">
        <v>0</v>
      </c>
      <c r="ES459" s="67"/>
      <c r="ET459">
        <v>0</v>
      </c>
      <c r="EX459" s="67"/>
      <c r="EY459" s="67"/>
      <c r="EZ459" s="67"/>
      <c r="FA459" s="67">
        <v>0</v>
      </c>
      <c r="FB459" s="67">
        <v>0</v>
      </c>
      <c r="FC459" s="67"/>
      <c r="FD459" s="67"/>
      <c r="FE459" s="67"/>
      <c r="FF459" s="67"/>
      <c r="FG459" s="67"/>
      <c r="FH459" s="67"/>
      <c r="FI459" s="67" t="s">
        <v>1734</v>
      </c>
    </row>
    <row r="460" spans="2:165" x14ac:dyDescent="0.2">
      <c r="B460" s="67" t="s">
        <v>1193</v>
      </c>
      <c r="C460" s="67"/>
      <c r="D460" s="67" t="s">
        <v>1194</v>
      </c>
      <c r="E460" s="67"/>
      <c r="F460" s="67"/>
      <c r="G460" s="67" t="s">
        <v>694</v>
      </c>
      <c r="H460" s="67"/>
      <c r="I460" s="67"/>
      <c r="J460" s="67"/>
      <c r="K460" s="67"/>
      <c r="L460" s="67" t="s">
        <v>787</v>
      </c>
      <c r="M460" s="67" t="s">
        <v>752</v>
      </c>
      <c r="N460" s="67"/>
      <c r="O460" s="67" t="s">
        <v>1605</v>
      </c>
      <c r="P460" s="67"/>
      <c r="Q460" s="67">
        <v>0</v>
      </c>
      <c r="R460" s="67">
        <v>0</v>
      </c>
      <c r="S460" s="67">
        <v>0</v>
      </c>
      <c r="T460" s="67">
        <v>0</v>
      </c>
      <c r="U460" s="67">
        <v>0</v>
      </c>
      <c r="V460" s="67">
        <v>0</v>
      </c>
      <c r="W460" s="67">
        <v>0</v>
      </c>
      <c r="X460" s="67">
        <v>0</v>
      </c>
      <c r="Y460" s="67">
        <v>0</v>
      </c>
      <c r="Z460" s="67">
        <v>0</v>
      </c>
      <c r="AA460" s="67">
        <v>0</v>
      </c>
      <c r="AB460" s="67">
        <v>0</v>
      </c>
      <c r="AC460" s="67">
        <v>0</v>
      </c>
      <c r="AD460" s="67">
        <v>0</v>
      </c>
      <c r="AE460" s="67">
        <v>0</v>
      </c>
      <c r="AF460" s="67">
        <v>0</v>
      </c>
      <c r="AG460" s="67">
        <v>0</v>
      </c>
      <c r="AH460" s="67">
        <v>0</v>
      </c>
      <c r="AI460" s="67">
        <v>0</v>
      </c>
      <c r="AJ460" s="67">
        <v>0</v>
      </c>
      <c r="AK460" s="67">
        <v>0</v>
      </c>
      <c r="AL460" s="67">
        <v>0</v>
      </c>
      <c r="AM460" s="67">
        <v>0</v>
      </c>
      <c r="AN460" s="67">
        <v>0</v>
      </c>
      <c r="AO460" s="67">
        <v>0</v>
      </c>
      <c r="AP460" s="67">
        <v>0</v>
      </c>
      <c r="AQ460" s="67">
        <v>0</v>
      </c>
      <c r="AR460" s="67">
        <v>0</v>
      </c>
      <c r="AS460" s="67">
        <v>0</v>
      </c>
      <c r="AT460" s="67"/>
      <c r="AU460" s="67"/>
      <c r="AV460" s="67"/>
      <c r="AW460" s="67">
        <v>0</v>
      </c>
      <c r="AX460" s="67">
        <v>0</v>
      </c>
      <c r="AY460" s="67"/>
      <c r="AZ460" s="67"/>
      <c r="BA460" s="67"/>
      <c r="BB460" s="67"/>
      <c r="BC460" s="67"/>
      <c r="BD460" s="67"/>
      <c r="BE460" s="67"/>
      <c r="BG460" s="67"/>
      <c r="BH460" s="67"/>
      <c r="BI460" s="67"/>
      <c r="BJ460" s="67">
        <v>0</v>
      </c>
      <c r="BK460" s="67"/>
      <c r="BL460" s="67"/>
      <c r="BP460" s="67"/>
      <c r="BQ460" s="67">
        <v>0</v>
      </c>
      <c r="BR460" s="67"/>
      <c r="BS460" s="67"/>
      <c r="BT460" s="67">
        <v>0</v>
      </c>
      <c r="BU460" s="67">
        <v>0</v>
      </c>
      <c r="BV460" s="67"/>
      <c r="BW460" s="67"/>
      <c r="BX460" s="67">
        <v>0</v>
      </c>
      <c r="BY460" s="67">
        <v>0</v>
      </c>
      <c r="BZ460" s="67">
        <v>0</v>
      </c>
      <c r="CA460" s="67"/>
      <c r="CB460" s="67">
        <v>0</v>
      </c>
      <c r="CC460" s="67"/>
      <c r="CD460" s="67"/>
      <c r="CE460" s="67">
        <v>0</v>
      </c>
      <c r="CF460" s="67"/>
      <c r="CG460" s="67"/>
      <c r="CH460" s="67"/>
      <c r="CI460" s="67"/>
      <c r="CJ460" s="67"/>
      <c r="CK460" s="67">
        <v>0</v>
      </c>
      <c r="CL460" s="67"/>
      <c r="CM460" s="67"/>
      <c r="CN460" s="67"/>
      <c r="CO460" s="67">
        <v>0</v>
      </c>
      <c r="CP460" s="67"/>
      <c r="CQ460" s="67"/>
      <c r="CR460" s="67"/>
      <c r="CS460" s="67"/>
      <c r="CT460" s="67"/>
      <c r="CU460" s="67">
        <v>0</v>
      </c>
      <c r="CV460" s="67"/>
      <c r="CW460" s="67"/>
      <c r="CX460" s="67"/>
      <c r="CY460" s="67">
        <v>0</v>
      </c>
      <c r="CZ460" s="67"/>
      <c r="DA460" s="67"/>
      <c r="DB460" s="67"/>
      <c r="DC460" s="67"/>
      <c r="DF460" s="67"/>
      <c r="DG460" s="67">
        <v>0</v>
      </c>
      <c r="DH460" s="67">
        <v>0</v>
      </c>
      <c r="DI460" s="67">
        <v>0</v>
      </c>
      <c r="DJ460" s="67"/>
      <c r="DK460" s="67">
        <v>0</v>
      </c>
      <c r="DL460" s="67">
        <v>0</v>
      </c>
      <c r="DM460" s="67">
        <v>0</v>
      </c>
      <c r="DN460" s="67"/>
      <c r="DO460" s="67"/>
      <c r="DP460" s="67"/>
      <c r="DQ460" s="67">
        <v>0</v>
      </c>
      <c r="DR460" s="67">
        <v>0</v>
      </c>
      <c r="DS460" s="67"/>
      <c r="DT460" s="67"/>
      <c r="DU460" s="67">
        <v>0</v>
      </c>
      <c r="DV460" s="67">
        <v>0</v>
      </c>
      <c r="DW460" s="67">
        <v>0</v>
      </c>
      <c r="DX460" s="67">
        <v>0</v>
      </c>
      <c r="DY460" s="67"/>
      <c r="DZ460" s="67">
        <v>0</v>
      </c>
      <c r="EA460" s="67"/>
      <c r="EB460" s="67">
        <v>0</v>
      </c>
      <c r="EC460" s="67"/>
      <c r="ED460" s="67">
        <v>0</v>
      </c>
      <c r="EE460" s="67"/>
      <c r="EF460" s="67">
        <v>0</v>
      </c>
      <c r="EG460" s="67"/>
      <c r="EH460" s="67"/>
      <c r="EI460" s="67"/>
      <c r="EJ460" s="67"/>
      <c r="EK460" s="67"/>
      <c r="EL460" s="67"/>
      <c r="EM460" s="67"/>
      <c r="EN460" s="67"/>
      <c r="EO460" s="67"/>
      <c r="EP460" s="67">
        <v>0</v>
      </c>
      <c r="EQ460" s="67">
        <v>0</v>
      </c>
      <c r="ER460" s="67">
        <v>0</v>
      </c>
      <c r="ES460" s="67"/>
      <c r="ET460">
        <v>0</v>
      </c>
      <c r="EX460" s="67"/>
      <c r="EY460" s="67"/>
      <c r="EZ460" s="67"/>
      <c r="FA460" s="67">
        <v>0</v>
      </c>
      <c r="FB460" s="67">
        <v>0</v>
      </c>
      <c r="FC460" s="67"/>
      <c r="FD460" s="67"/>
      <c r="FE460" s="67"/>
      <c r="FF460" s="67"/>
      <c r="FG460" s="67"/>
      <c r="FH460" s="67"/>
      <c r="FI460" s="67" t="s">
        <v>1734</v>
      </c>
    </row>
    <row r="461" spans="2:165" x14ac:dyDescent="0.2">
      <c r="B461" s="67" t="s">
        <v>1195</v>
      </c>
      <c r="C461" s="67"/>
      <c r="D461" s="67" t="s">
        <v>1196</v>
      </c>
      <c r="E461" s="67" t="s">
        <v>23</v>
      </c>
      <c r="F461" s="67"/>
      <c r="G461" s="67" t="s">
        <v>694</v>
      </c>
      <c r="H461" s="67"/>
      <c r="I461" s="67"/>
      <c r="J461" s="67"/>
      <c r="K461" s="67"/>
      <c r="L461" s="67" t="s">
        <v>787</v>
      </c>
      <c r="M461" s="67" t="s">
        <v>752</v>
      </c>
      <c r="N461" s="67"/>
      <c r="O461" s="67" t="s">
        <v>1605</v>
      </c>
      <c r="P461" s="67"/>
      <c r="Q461" s="67">
        <v>0</v>
      </c>
      <c r="R461" s="67">
        <v>0</v>
      </c>
      <c r="S461" s="67">
        <v>0</v>
      </c>
      <c r="T461" s="67">
        <v>0</v>
      </c>
      <c r="U461" s="67">
        <v>0</v>
      </c>
      <c r="V461" s="67">
        <v>0</v>
      </c>
      <c r="W461" s="67">
        <v>0</v>
      </c>
      <c r="X461" s="67">
        <v>0</v>
      </c>
      <c r="Y461" s="67">
        <v>0</v>
      </c>
      <c r="Z461" s="67">
        <v>0</v>
      </c>
      <c r="AA461" s="67">
        <v>0</v>
      </c>
      <c r="AB461" s="67">
        <v>0</v>
      </c>
      <c r="AC461" s="67">
        <v>0</v>
      </c>
      <c r="AD461" s="67">
        <v>0</v>
      </c>
      <c r="AE461" s="67">
        <v>0</v>
      </c>
      <c r="AF461" s="67">
        <v>0</v>
      </c>
      <c r="AG461" s="67">
        <v>0</v>
      </c>
      <c r="AH461" s="67">
        <v>0</v>
      </c>
      <c r="AI461" s="67">
        <v>0</v>
      </c>
      <c r="AJ461" s="67">
        <v>0</v>
      </c>
      <c r="AK461" s="67">
        <v>0</v>
      </c>
      <c r="AL461" s="67">
        <v>0</v>
      </c>
      <c r="AM461" s="67">
        <v>0</v>
      </c>
      <c r="AN461" s="67">
        <v>0</v>
      </c>
      <c r="AO461" s="67">
        <v>0</v>
      </c>
      <c r="AP461" s="67">
        <v>0</v>
      </c>
      <c r="AQ461" s="67">
        <v>0</v>
      </c>
      <c r="AR461" s="67">
        <v>0</v>
      </c>
      <c r="AS461" s="67">
        <v>0</v>
      </c>
      <c r="AT461" s="67"/>
      <c r="AU461" s="67"/>
      <c r="AV461" s="67"/>
      <c r="AW461" s="67">
        <v>0</v>
      </c>
      <c r="AX461" s="67">
        <v>0</v>
      </c>
      <c r="AY461" s="67"/>
      <c r="AZ461" s="67"/>
      <c r="BA461" s="67"/>
      <c r="BB461" s="67"/>
      <c r="BC461" s="67"/>
      <c r="BD461" s="67"/>
      <c r="BE461" s="67"/>
      <c r="BG461" s="67"/>
      <c r="BH461" s="67"/>
      <c r="BI461" s="67"/>
      <c r="BJ461" s="67">
        <v>0</v>
      </c>
      <c r="BK461" s="67"/>
      <c r="BL461" s="67"/>
      <c r="BP461" s="67"/>
      <c r="BQ461" s="67">
        <v>0</v>
      </c>
      <c r="BR461" s="67"/>
      <c r="BS461" s="67"/>
      <c r="BT461" s="67">
        <v>0</v>
      </c>
      <c r="BU461" s="67">
        <v>0</v>
      </c>
      <c r="BV461" s="67"/>
      <c r="BW461" s="67"/>
      <c r="BX461" s="67">
        <v>0</v>
      </c>
      <c r="BY461" s="67">
        <v>0</v>
      </c>
      <c r="BZ461" s="67">
        <v>0</v>
      </c>
      <c r="CA461" s="67"/>
      <c r="CB461" s="67">
        <v>0</v>
      </c>
      <c r="CC461" s="67"/>
      <c r="CD461" s="67"/>
      <c r="CE461" s="67">
        <v>0</v>
      </c>
      <c r="CF461" s="67"/>
      <c r="CG461" s="67"/>
      <c r="CH461" s="67"/>
      <c r="CI461" s="67"/>
      <c r="CJ461" s="67"/>
      <c r="CK461" s="67">
        <v>0</v>
      </c>
      <c r="CL461" s="67"/>
      <c r="CM461" s="67"/>
      <c r="CN461" s="67"/>
      <c r="CO461" s="67">
        <v>0</v>
      </c>
      <c r="CP461" s="67"/>
      <c r="CQ461" s="67"/>
      <c r="CR461" s="67"/>
      <c r="CS461" s="67"/>
      <c r="CT461" s="67"/>
      <c r="CU461" s="67">
        <v>0</v>
      </c>
      <c r="CV461" s="67"/>
      <c r="CW461" s="67"/>
      <c r="CX461" s="67"/>
      <c r="CY461" s="67">
        <v>0</v>
      </c>
      <c r="CZ461" s="67"/>
      <c r="DA461" s="67"/>
      <c r="DB461" s="67"/>
      <c r="DC461" s="67"/>
      <c r="DF461" s="67"/>
      <c r="DG461" s="67">
        <v>0</v>
      </c>
      <c r="DH461" s="67">
        <v>0</v>
      </c>
      <c r="DI461" s="67">
        <v>0</v>
      </c>
      <c r="DJ461" s="67"/>
      <c r="DK461" s="67">
        <v>0</v>
      </c>
      <c r="DL461" s="67">
        <v>0</v>
      </c>
      <c r="DM461" s="67">
        <v>0</v>
      </c>
      <c r="DN461" s="67"/>
      <c r="DO461" s="67"/>
      <c r="DP461" s="67"/>
      <c r="DQ461" s="67">
        <v>0</v>
      </c>
      <c r="DR461" s="67">
        <v>0</v>
      </c>
      <c r="DS461" s="67"/>
      <c r="DT461" s="67"/>
      <c r="DU461" s="67">
        <v>0</v>
      </c>
      <c r="DV461" s="67">
        <v>0</v>
      </c>
      <c r="DW461" s="67">
        <v>0</v>
      </c>
      <c r="DX461" s="67">
        <v>0</v>
      </c>
      <c r="DY461" s="67"/>
      <c r="DZ461" s="67">
        <v>0</v>
      </c>
      <c r="EA461" s="67"/>
      <c r="EB461" s="67">
        <v>0</v>
      </c>
      <c r="EC461" s="67"/>
      <c r="ED461" s="67">
        <v>0</v>
      </c>
      <c r="EE461" s="67"/>
      <c r="EF461" s="67">
        <v>0</v>
      </c>
      <c r="EG461" s="67"/>
      <c r="EH461" s="67"/>
      <c r="EI461" s="67"/>
      <c r="EJ461" s="67"/>
      <c r="EK461" s="67"/>
      <c r="EL461" s="67"/>
      <c r="EM461" s="67"/>
      <c r="EN461" s="67"/>
      <c r="EO461" s="67"/>
      <c r="EP461" s="67">
        <v>0</v>
      </c>
      <c r="EQ461" s="67">
        <v>0</v>
      </c>
      <c r="ER461" s="67">
        <v>0</v>
      </c>
      <c r="ES461" s="67"/>
      <c r="ET461">
        <v>0</v>
      </c>
      <c r="EX461" s="67"/>
      <c r="EY461" s="67"/>
      <c r="EZ461" s="67"/>
      <c r="FA461" s="67">
        <v>0</v>
      </c>
      <c r="FB461" s="67">
        <v>0</v>
      </c>
      <c r="FC461" s="67"/>
      <c r="FD461" s="67"/>
      <c r="FE461" s="67"/>
      <c r="FF461" s="67"/>
      <c r="FG461" s="67"/>
      <c r="FH461" s="67"/>
      <c r="FI461" s="67" t="s">
        <v>1734</v>
      </c>
    </row>
    <row r="462" spans="2:165" ht="24" x14ac:dyDescent="0.2">
      <c r="B462" s="67" t="s">
        <v>1197</v>
      </c>
      <c r="C462" s="67"/>
      <c r="D462" s="67" t="s">
        <v>1198</v>
      </c>
      <c r="E462" s="67" t="s">
        <v>13</v>
      </c>
      <c r="F462" s="67"/>
      <c r="G462" s="67" t="s">
        <v>694</v>
      </c>
      <c r="H462" s="67"/>
      <c r="I462" s="67" t="s">
        <v>1199</v>
      </c>
      <c r="J462" s="67"/>
      <c r="K462" s="67"/>
      <c r="L462" s="67" t="s">
        <v>787</v>
      </c>
      <c r="M462" s="67" t="s">
        <v>752</v>
      </c>
      <c r="N462" s="67"/>
      <c r="O462" s="67" t="s">
        <v>1605</v>
      </c>
      <c r="P462" s="67"/>
      <c r="Q462" s="67">
        <v>0</v>
      </c>
      <c r="R462" s="67">
        <v>0</v>
      </c>
      <c r="S462" s="67">
        <v>0</v>
      </c>
      <c r="T462" s="67">
        <v>0</v>
      </c>
      <c r="U462" s="67">
        <v>0</v>
      </c>
      <c r="V462" s="67">
        <v>0</v>
      </c>
      <c r="W462" s="67">
        <v>0</v>
      </c>
      <c r="X462" s="67">
        <v>0</v>
      </c>
      <c r="Y462" s="67">
        <v>0</v>
      </c>
      <c r="Z462" s="67">
        <v>0</v>
      </c>
      <c r="AA462" s="67">
        <v>0</v>
      </c>
      <c r="AB462" s="67">
        <v>0</v>
      </c>
      <c r="AC462" s="67">
        <v>0</v>
      </c>
      <c r="AD462" s="67">
        <v>0</v>
      </c>
      <c r="AE462" s="67">
        <v>0</v>
      </c>
      <c r="AF462" s="67">
        <v>0</v>
      </c>
      <c r="AG462" s="67">
        <v>0</v>
      </c>
      <c r="AH462" s="67">
        <v>0</v>
      </c>
      <c r="AI462" s="67">
        <v>0</v>
      </c>
      <c r="AJ462" s="67">
        <v>0</v>
      </c>
      <c r="AK462" s="67">
        <v>0</v>
      </c>
      <c r="AL462" s="67">
        <v>0</v>
      </c>
      <c r="AM462" s="67">
        <v>0</v>
      </c>
      <c r="AN462" s="67">
        <v>0</v>
      </c>
      <c r="AO462" s="67">
        <v>0</v>
      </c>
      <c r="AP462" s="67">
        <v>0</v>
      </c>
      <c r="AQ462" s="67">
        <v>0</v>
      </c>
      <c r="AR462" s="67">
        <v>0</v>
      </c>
      <c r="AS462" s="67">
        <v>0</v>
      </c>
      <c r="AT462" s="67"/>
      <c r="AU462" s="67"/>
      <c r="AV462" s="67"/>
      <c r="AW462" s="67">
        <v>0</v>
      </c>
      <c r="AX462" s="67">
        <v>0</v>
      </c>
      <c r="AY462" s="67"/>
      <c r="AZ462" s="67"/>
      <c r="BA462" s="67"/>
      <c r="BB462" s="67"/>
      <c r="BC462" s="67"/>
      <c r="BD462" s="67"/>
      <c r="BE462" s="67"/>
      <c r="BG462" s="67"/>
      <c r="BH462" s="67"/>
      <c r="BI462" s="67"/>
      <c r="BJ462" s="67">
        <v>0</v>
      </c>
      <c r="BK462" s="67"/>
      <c r="BL462" s="67"/>
      <c r="BP462" s="67"/>
      <c r="BQ462" s="67">
        <v>0</v>
      </c>
      <c r="BR462" s="67"/>
      <c r="BS462" s="67"/>
      <c r="BT462" s="67">
        <v>0</v>
      </c>
      <c r="BU462" s="67">
        <v>0</v>
      </c>
      <c r="BV462" s="67"/>
      <c r="BW462" s="67"/>
      <c r="BX462" s="67">
        <v>0</v>
      </c>
      <c r="BY462" s="67">
        <v>0</v>
      </c>
      <c r="BZ462" s="67">
        <v>0</v>
      </c>
      <c r="CA462" s="67"/>
      <c r="CB462" s="67">
        <v>0</v>
      </c>
      <c r="CC462" s="67"/>
      <c r="CD462" s="67"/>
      <c r="CE462" s="67">
        <v>0</v>
      </c>
      <c r="CF462" s="67"/>
      <c r="CG462" s="67"/>
      <c r="CH462" s="67"/>
      <c r="CI462" s="67"/>
      <c r="CJ462" s="67"/>
      <c r="CK462" s="67">
        <v>0</v>
      </c>
      <c r="CL462" s="67"/>
      <c r="CM462" s="67"/>
      <c r="CN462" s="67"/>
      <c r="CO462" s="67">
        <v>0</v>
      </c>
      <c r="CP462" s="67"/>
      <c r="CQ462" s="67"/>
      <c r="CR462" s="67"/>
      <c r="CS462" s="67"/>
      <c r="CT462" s="67"/>
      <c r="CU462" s="67">
        <v>0</v>
      </c>
      <c r="CV462" s="67"/>
      <c r="CW462" s="67"/>
      <c r="CX462" s="67"/>
      <c r="CY462" s="67">
        <v>0</v>
      </c>
      <c r="CZ462" s="67"/>
      <c r="DA462" s="67"/>
      <c r="DB462" s="67"/>
      <c r="DC462" s="67"/>
      <c r="DF462" s="67"/>
      <c r="DG462" s="67">
        <v>0</v>
      </c>
      <c r="DH462" s="67">
        <v>0</v>
      </c>
      <c r="DI462" s="67">
        <v>0</v>
      </c>
      <c r="DJ462" s="67"/>
      <c r="DK462" s="67">
        <v>0</v>
      </c>
      <c r="DL462" s="67">
        <v>0</v>
      </c>
      <c r="DM462" s="67">
        <v>0</v>
      </c>
      <c r="DN462" s="67"/>
      <c r="DO462" s="67"/>
      <c r="DP462" s="67"/>
      <c r="DQ462" s="67">
        <v>0</v>
      </c>
      <c r="DR462" s="67">
        <v>0</v>
      </c>
      <c r="DS462" s="67"/>
      <c r="DT462" s="67"/>
      <c r="DU462" s="67">
        <v>0</v>
      </c>
      <c r="DV462" s="67">
        <v>0</v>
      </c>
      <c r="DW462" s="67">
        <v>0</v>
      </c>
      <c r="DX462" s="67">
        <v>0</v>
      </c>
      <c r="DY462" s="67"/>
      <c r="DZ462" s="67">
        <v>0</v>
      </c>
      <c r="EA462" s="67"/>
      <c r="EB462" s="67">
        <v>0</v>
      </c>
      <c r="EC462" s="67"/>
      <c r="ED462" s="67">
        <v>0</v>
      </c>
      <c r="EE462" s="67"/>
      <c r="EF462" s="67">
        <v>0</v>
      </c>
      <c r="EG462" s="67"/>
      <c r="EH462" s="67"/>
      <c r="EI462" s="67"/>
      <c r="EJ462" s="67"/>
      <c r="EK462" s="67"/>
      <c r="EL462" s="67"/>
      <c r="EM462" s="67"/>
      <c r="EN462" s="67"/>
      <c r="EO462" s="67"/>
      <c r="EP462" s="67">
        <v>0</v>
      </c>
      <c r="EQ462" s="67">
        <v>0</v>
      </c>
      <c r="ER462" s="67">
        <v>0</v>
      </c>
      <c r="ES462" s="67"/>
      <c r="ET462">
        <v>0</v>
      </c>
      <c r="EX462" s="67"/>
      <c r="EY462" s="67"/>
      <c r="EZ462" s="67"/>
      <c r="FA462" s="67">
        <v>0</v>
      </c>
      <c r="FB462" s="67">
        <v>0</v>
      </c>
      <c r="FC462" s="67"/>
      <c r="FD462" s="67"/>
      <c r="FE462" s="67"/>
      <c r="FF462" s="67"/>
      <c r="FG462" s="67"/>
      <c r="FH462" s="67"/>
      <c r="FI462" s="67" t="s">
        <v>1734</v>
      </c>
    </row>
    <row r="463" spans="2:165" ht="24" x14ac:dyDescent="0.2">
      <c r="B463" s="67" t="s">
        <v>1200</v>
      </c>
      <c r="C463" s="67"/>
      <c r="D463" s="67" t="s">
        <v>1201</v>
      </c>
      <c r="E463" s="67" t="s">
        <v>13</v>
      </c>
      <c r="F463" s="67"/>
      <c r="G463" s="67" t="s">
        <v>694</v>
      </c>
      <c r="H463" s="67"/>
      <c r="I463" s="67" t="s">
        <v>41</v>
      </c>
      <c r="J463" s="67"/>
      <c r="K463" s="67"/>
      <c r="L463" s="67" t="s">
        <v>751</v>
      </c>
      <c r="M463" s="67" t="s">
        <v>752</v>
      </c>
      <c r="N463" s="67"/>
      <c r="O463" s="67" t="s">
        <v>1606</v>
      </c>
      <c r="P463" s="67"/>
      <c r="Q463" s="67">
        <v>330</v>
      </c>
      <c r="R463" s="67">
        <v>0</v>
      </c>
      <c r="S463" s="67">
        <v>0</v>
      </c>
      <c r="T463" s="67">
        <v>330</v>
      </c>
      <c r="U463" s="67">
        <v>0</v>
      </c>
      <c r="V463" s="67">
        <v>0</v>
      </c>
      <c r="W463" s="67">
        <v>0</v>
      </c>
      <c r="X463" s="67">
        <v>0</v>
      </c>
      <c r="Y463" s="67">
        <v>0</v>
      </c>
      <c r="Z463" s="67">
        <v>0</v>
      </c>
      <c r="AA463" s="67">
        <v>0</v>
      </c>
      <c r="AB463" s="67">
        <v>0</v>
      </c>
      <c r="AC463" s="67">
        <v>0</v>
      </c>
      <c r="AD463" s="67">
        <v>0</v>
      </c>
      <c r="AE463" s="67">
        <v>0</v>
      </c>
      <c r="AF463" s="67">
        <v>0</v>
      </c>
      <c r="AG463" s="67">
        <v>0</v>
      </c>
      <c r="AH463" s="67">
        <v>0</v>
      </c>
      <c r="AI463" s="67">
        <v>0</v>
      </c>
      <c r="AJ463" s="67">
        <v>0</v>
      </c>
      <c r="AK463" s="67">
        <v>0</v>
      </c>
      <c r="AL463" s="67">
        <v>0</v>
      </c>
      <c r="AM463" s="67">
        <v>0</v>
      </c>
      <c r="AN463" s="67">
        <v>0</v>
      </c>
      <c r="AO463" s="67">
        <v>0</v>
      </c>
      <c r="AP463" s="67">
        <v>0</v>
      </c>
      <c r="AQ463" s="67">
        <v>0</v>
      </c>
      <c r="AR463" s="67">
        <v>0</v>
      </c>
      <c r="AS463" s="67">
        <v>0</v>
      </c>
      <c r="AT463" s="67"/>
      <c r="AU463" s="67"/>
      <c r="AV463" s="67"/>
      <c r="AW463" s="67">
        <v>0</v>
      </c>
      <c r="AX463" s="67">
        <v>0</v>
      </c>
      <c r="AY463" s="67"/>
      <c r="AZ463" s="67"/>
      <c r="BA463" s="67"/>
      <c r="BB463" s="67"/>
      <c r="BC463" s="67"/>
      <c r="BD463" s="67"/>
      <c r="BE463" s="67"/>
      <c r="BG463" s="67"/>
      <c r="BH463" s="67"/>
      <c r="BI463" s="67"/>
      <c r="BJ463" s="67">
        <v>0</v>
      </c>
      <c r="BK463" s="67"/>
      <c r="BL463" s="67"/>
      <c r="BP463" s="67"/>
      <c r="BQ463" s="67">
        <v>0</v>
      </c>
      <c r="BR463" s="67"/>
      <c r="BS463" s="67"/>
      <c r="BT463" s="67">
        <v>0</v>
      </c>
      <c r="BU463" s="67">
        <v>0</v>
      </c>
      <c r="BV463" s="67"/>
      <c r="BW463" s="67"/>
      <c r="BX463" s="67">
        <v>0</v>
      </c>
      <c r="BY463" s="67">
        <v>0</v>
      </c>
      <c r="BZ463" s="67">
        <v>0</v>
      </c>
      <c r="CA463" s="67"/>
      <c r="CB463" s="67">
        <v>0</v>
      </c>
      <c r="CC463" s="67"/>
      <c r="CD463" s="67"/>
      <c r="CE463" s="67">
        <v>0</v>
      </c>
      <c r="CF463" s="67"/>
      <c r="CG463" s="67"/>
      <c r="CH463" s="67"/>
      <c r="CI463" s="67"/>
      <c r="CJ463" s="67"/>
      <c r="CK463" s="67">
        <v>0</v>
      </c>
      <c r="CL463" s="67"/>
      <c r="CM463" s="67"/>
      <c r="CN463" s="67"/>
      <c r="CO463" s="67">
        <v>0</v>
      </c>
      <c r="CP463" s="67"/>
      <c r="CQ463" s="67"/>
      <c r="CR463" s="67"/>
      <c r="CS463" s="67"/>
      <c r="CT463" s="67"/>
      <c r="CU463" s="67">
        <v>0</v>
      </c>
      <c r="CV463" s="67"/>
      <c r="CW463" s="67"/>
      <c r="CX463" s="67"/>
      <c r="CY463" s="67">
        <v>0</v>
      </c>
      <c r="CZ463" s="67"/>
      <c r="DA463" s="67"/>
      <c r="DB463" s="67"/>
      <c r="DC463" s="67"/>
      <c r="DF463" s="67"/>
      <c r="DG463" s="67">
        <v>24.75</v>
      </c>
      <c r="DH463" s="67">
        <v>24.75</v>
      </c>
      <c r="DI463" s="67">
        <v>0</v>
      </c>
      <c r="DJ463" s="67"/>
      <c r="DK463" s="67">
        <v>0</v>
      </c>
      <c r="DL463" s="67">
        <v>0</v>
      </c>
      <c r="DM463" s="67">
        <v>0</v>
      </c>
      <c r="DN463" s="67"/>
      <c r="DO463" s="67"/>
      <c r="DP463" s="67"/>
      <c r="DQ463" s="67">
        <v>0</v>
      </c>
      <c r="DR463" s="67">
        <v>0</v>
      </c>
      <c r="DS463" s="67"/>
      <c r="DT463" s="67"/>
      <c r="DU463" s="67">
        <v>0</v>
      </c>
      <c r="DV463" s="67">
        <v>0</v>
      </c>
      <c r="DW463" s="67">
        <v>0</v>
      </c>
      <c r="DX463" s="67">
        <v>0</v>
      </c>
      <c r="DY463" s="67"/>
      <c r="DZ463" s="67">
        <v>0</v>
      </c>
      <c r="EA463" s="67"/>
      <c r="EB463" s="67">
        <v>0</v>
      </c>
      <c r="EC463" s="67"/>
      <c r="ED463" s="67">
        <v>0</v>
      </c>
      <c r="EE463" s="67"/>
      <c r="EF463" s="67">
        <v>0</v>
      </c>
      <c r="EG463" s="67"/>
      <c r="EH463" s="67"/>
      <c r="EI463" s="67"/>
      <c r="EJ463" s="67"/>
      <c r="EK463" s="67"/>
      <c r="EL463" s="67"/>
      <c r="EM463" s="67"/>
      <c r="EN463" s="67"/>
      <c r="EO463" s="67"/>
      <c r="EP463" s="67">
        <v>0</v>
      </c>
      <c r="EQ463" s="67">
        <v>25</v>
      </c>
      <c r="ER463" s="67">
        <v>25</v>
      </c>
      <c r="ES463" s="67"/>
      <c r="ET463">
        <v>0</v>
      </c>
      <c r="EX463" s="67"/>
      <c r="EY463" s="67"/>
      <c r="EZ463" s="67"/>
      <c r="FA463" s="67">
        <v>354.75</v>
      </c>
      <c r="FB463" s="67">
        <v>0</v>
      </c>
      <c r="FC463" s="67"/>
      <c r="FD463" s="67"/>
      <c r="FE463" s="67"/>
      <c r="FF463" s="67"/>
      <c r="FG463" s="67"/>
      <c r="FH463" s="67"/>
      <c r="FI463" s="67" t="s">
        <v>1734</v>
      </c>
    </row>
    <row r="464" spans="2:165" ht="24" x14ac:dyDescent="0.2">
      <c r="B464" s="67" t="s">
        <v>1202</v>
      </c>
      <c r="C464" s="67"/>
      <c r="D464" s="67" t="s">
        <v>1203</v>
      </c>
      <c r="E464" s="67" t="s">
        <v>13</v>
      </c>
      <c r="F464" s="67"/>
      <c r="G464" s="67" t="s">
        <v>694</v>
      </c>
      <c r="H464" s="67"/>
      <c r="I464" s="67" t="s">
        <v>41</v>
      </c>
      <c r="J464" s="67"/>
      <c r="K464" s="67"/>
      <c r="L464" s="67" t="s">
        <v>751</v>
      </c>
      <c r="M464" s="67" t="s">
        <v>752</v>
      </c>
      <c r="N464" s="67"/>
      <c r="O464" s="67" t="s">
        <v>1605</v>
      </c>
      <c r="P464" s="67"/>
      <c r="Q464" s="67">
        <v>0</v>
      </c>
      <c r="R464" s="67">
        <v>0</v>
      </c>
      <c r="S464" s="67">
        <v>0</v>
      </c>
      <c r="T464" s="67">
        <v>0</v>
      </c>
      <c r="U464" s="67">
        <v>0</v>
      </c>
      <c r="V464" s="67">
        <v>0</v>
      </c>
      <c r="W464" s="67">
        <v>0</v>
      </c>
      <c r="X464" s="67">
        <v>0</v>
      </c>
      <c r="Y464" s="67">
        <v>0</v>
      </c>
      <c r="Z464" s="67">
        <v>0</v>
      </c>
      <c r="AA464" s="67">
        <v>0</v>
      </c>
      <c r="AB464" s="67">
        <v>0</v>
      </c>
      <c r="AC464" s="67">
        <v>0</v>
      </c>
      <c r="AD464" s="67">
        <v>0</v>
      </c>
      <c r="AE464" s="67">
        <v>0</v>
      </c>
      <c r="AF464" s="67">
        <v>0</v>
      </c>
      <c r="AG464" s="67">
        <v>0</v>
      </c>
      <c r="AH464" s="67">
        <v>0</v>
      </c>
      <c r="AI464" s="67">
        <v>0</v>
      </c>
      <c r="AJ464" s="67">
        <v>0</v>
      </c>
      <c r="AK464" s="67">
        <v>0</v>
      </c>
      <c r="AL464" s="67">
        <v>0</v>
      </c>
      <c r="AM464" s="67">
        <v>0</v>
      </c>
      <c r="AN464" s="67">
        <v>0</v>
      </c>
      <c r="AO464" s="67">
        <v>0</v>
      </c>
      <c r="AP464" s="67">
        <v>0</v>
      </c>
      <c r="AQ464" s="67">
        <v>0</v>
      </c>
      <c r="AR464" s="67">
        <v>0</v>
      </c>
      <c r="AS464" s="67">
        <v>0</v>
      </c>
      <c r="AT464" s="67"/>
      <c r="AU464" s="67"/>
      <c r="AV464" s="67"/>
      <c r="AW464" s="67">
        <v>0</v>
      </c>
      <c r="AX464" s="67">
        <v>0</v>
      </c>
      <c r="AY464" s="67"/>
      <c r="AZ464" s="67"/>
      <c r="BA464" s="67"/>
      <c r="BB464" s="67"/>
      <c r="BC464" s="67"/>
      <c r="BD464" s="67"/>
      <c r="BE464" s="67"/>
      <c r="BG464" s="67"/>
      <c r="BH464" s="67"/>
      <c r="BI464" s="67"/>
      <c r="BJ464" s="67">
        <v>0</v>
      </c>
      <c r="BK464" s="67"/>
      <c r="BL464" s="67"/>
      <c r="BP464" s="67"/>
      <c r="BQ464" s="67">
        <v>0</v>
      </c>
      <c r="BR464" s="67"/>
      <c r="BS464" s="67"/>
      <c r="BT464" s="67">
        <v>0</v>
      </c>
      <c r="BU464" s="67">
        <v>0</v>
      </c>
      <c r="BV464" s="67"/>
      <c r="BW464" s="67"/>
      <c r="BX464" s="67">
        <v>0</v>
      </c>
      <c r="BY464" s="67">
        <v>0</v>
      </c>
      <c r="BZ464" s="67">
        <v>0</v>
      </c>
      <c r="CA464" s="67"/>
      <c r="CB464" s="67">
        <v>0</v>
      </c>
      <c r="CC464" s="67"/>
      <c r="CD464" s="67"/>
      <c r="CE464" s="67">
        <v>0</v>
      </c>
      <c r="CF464" s="67"/>
      <c r="CG464" s="67"/>
      <c r="CH464" s="67"/>
      <c r="CI464" s="67"/>
      <c r="CJ464" s="67"/>
      <c r="CK464" s="67">
        <v>0</v>
      </c>
      <c r="CL464" s="67"/>
      <c r="CM464" s="67"/>
      <c r="CN464" s="67"/>
      <c r="CO464" s="67">
        <v>0</v>
      </c>
      <c r="CP464" s="67"/>
      <c r="CQ464" s="67"/>
      <c r="CR464" s="67"/>
      <c r="CS464" s="67"/>
      <c r="CT464" s="67"/>
      <c r="CU464" s="67">
        <v>0</v>
      </c>
      <c r="CV464" s="67"/>
      <c r="CW464" s="67"/>
      <c r="CX464" s="67"/>
      <c r="CY464" s="67">
        <v>0</v>
      </c>
      <c r="CZ464" s="67"/>
      <c r="DA464" s="67"/>
      <c r="DB464" s="67"/>
      <c r="DC464" s="67"/>
      <c r="DF464" s="67"/>
      <c r="DG464" s="67">
        <v>0</v>
      </c>
      <c r="DH464" s="67">
        <v>0</v>
      </c>
      <c r="DI464" s="67">
        <v>0</v>
      </c>
      <c r="DJ464" s="67"/>
      <c r="DK464" s="67">
        <v>0</v>
      </c>
      <c r="DL464" s="67">
        <v>0</v>
      </c>
      <c r="DM464" s="67">
        <v>0</v>
      </c>
      <c r="DN464" s="67"/>
      <c r="DO464" s="67"/>
      <c r="DP464" s="67"/>
      <c r="DQ464" s="67">
        <v>0</v>
      </c>
      <c r="DR464" s="67">
        <v>0</v>
      </c>
      <c r="DS464" s="67"/>
      <c r="DT464" s="67"/>
      <c r="DU464" s="67">
        <v>0</v>
      </c>
      <c r="DV464" s="67">
        <v>0</v>
      </c>
      <c r="DW464" s="67">
        <v>0</v>
      </c>
      <c r="DX464" s="67">
        <v>0</v>
      </c>
      <c r="DY464" s="67"/>
      <c r="DZ464" s="67">
        <v>0</v>
      </c>
      <c r="EA464" s="67"/>
      <c r="EB464" s="67">
        <v>0</v>
      </c>
      <c r="EC464" s="67"/>
      <c r="ED464" s="67">
        <v>0</v>
      </c>
      <c r="EE464" s="67"/>
      <c r="EF464" s="67">
        <v>0</v>
      </c>
      <c r="EG464" s="67"/>
      <c r="EH464" s="67"/>
      <c r="EI464" s="67"/>
      <c r="EJ464" s="67"/>
      <c r="EK464" s="67"/>
      <c r="EL464" s="67"/>
      <c r="EM464" s="67"/>
      <c r="EN464" s="67"/>
      <c r="EO464" s="67"/>
      <c r="EP464" s="67">
        <v>0</v>
      </c>
      <c r="EQ464" s="67">
        <v>0</v>
      </c>
      <c r="ER464" s="67">
        <v>0</v>
      </c>
      <c r="ES464" s="67"/>
      <c r="ET464">
        <v>0</v>
      </c>
      <c r="EX464" s="67"/>
      <c r="EY464" s="67"/>
      <c r="EZ464" s="67"/>
      <c r="FA464" s="67">
        <v>0</v>
      </c>
      <c r="FB464" s="67">
        <v>0</v>
      </c>
      <c r="FC464" s="67"/>
      <c r="FD464" s="67"/>
      <c r="FE464" s="67"/>
      <c r="FF464" s="67"/>
      <c r="FG464" s="67"/>
      <c r="FH464" s="67"/>
      <c r="FI464" s="67" t="s">
        <v>1734</v>
      </c>
    </row>
    <row r="465" spans="2:165" ht="24" x14ac:dyDescent="0.2">
      <c r="B465" s="67" t="s">
        <v>1204</v>
      </c>
      <c r="C465" s="67"/>
      <c r="D465" s="67" t="s">
        <v>1205</v>
      </c>
      <c r="E465" s="67" t="s">
        <v>13</v>
      </c>
      <c r="F465" s="67"/>
      <c r="G465" s="67" t="s">
        <v>694</v>
      </c>
      <c r="H465" s="67"/>
      <c r="I465" s="67" t="s">
        <v>41</v>
      </c>
      <c r="J465" s="67"/>
      <c r="K465" s="67"/>
      <c r="L465" s="67" t="s">
        <v>751</v>
      </c>
      <c r="M465" s="67" t="s">
        <v>752</v>
      </c>
      <c r="N465" s="67"/>
      <c r="O465" s="67" t="s">
        <v>1605</v>
      </c>
      <c r="P465" s="67"/>
      <c r="Q465" s="67">
        <v>0</v>
      </c>
      <c r="R465" s="67">
        <v>0</v>
      </c>
      <c r="S465" s="67">
        <v>0</v>
      </c>
      <c r="T465" s="67">
        <v>0</v>
      </c>
      <c r="U465" s="67">
        <v>0</v>
      </c>
      <c r="V465" s="67">
        <v>0</v>
      </c>
      <c r="W465" s="67">
        <v>0</v>
      </c>
      <c r="X465" s="67">
        <v>0</v>
      </c>
      <c r="Y465" s="67">
        <v>0</v>
      </c>
      <c r="Z465" s="67">
        <v>0</v>
      </c>
      <c r="AA465" s="67">
        <v>0</v>
      </c>
      <c r="AB465" s="67">
        <v>0</v>
      </c>
      <c r="AC465" s="67">
        <v>0</v>
      </c>
      <c r="AD465" s="67">
        <v>0</v>
      </c>
      <c r="AE465" s="67">
        <v>0</v>
      </c>
      <c r="AF465" s="67">
        <v>0</v>
      </c>
      <c r="AG465" s="67">
        <v>0</v>
      </c>
      <c r="AH465" s="67">
        <v>0</v>
      </c>
      <c r="AI465" s="67">
        <v>0</v>
      </c>
      <c r="AJ465" s="67">
        <v>0</v>
      </c>
      <c r="AK465" s="67">
        <v>0</v>
      </c>
      <c r="AL465" s="67">
        <v>0</v>
      </c>
      <c r="AM465" s="67">
        <v>0</v>
      </c>
      <c r="AN465" s="67">
        <v>0</v>
      </c>
      <c r="AO465" s="67">
        <v>0</v>
      </c>
      <c r="AP465" s="67">
        <v>0</v>
      </c>
      <c r="AQ465" s="67">
        <v>0</v>
      </c>
      <c r="AR465" s="67">
        <v>0</v>
      </c>
      <c r="AS465" s="67">
        <v>0</v>
      </c>
      <c r="AT465" s="67"/>
      <c r="AU465" s="67"/>
      <c r="AV465" s="67"/>
      <c r="AW465" s="67">
        <v>0</v>
      </c>
      <c r="AX465" s="67">
        <v>0</v>
      </c>
      <c r="AY465" s="67"/>
      <c r="AZ465" s="67"/>
      <c r="BA465" s="67"/>
      <c r="BB465" s="67"/>
      <c r="BC465" s="67"/>
      <c r="BD465" s="67"/>
      <c r="BE465" s="67"/>
      <c r="BG465" s="67"/>
      <c r="BH465" s="67"/>
      <c r="BI465" s="67"/>
      <c r="BJ465" s="67">
        <v>0</v>
      </c>
      <c r="BK465" s="67"/>
      <c r="BL465" s="67"/>
      <c r="BP465" s="67"/>
      <c r="BQ465" s="67">
        <v>0</v>
      </c>
      <c r="BR465" s="67"/>
      <c r="BS465" s="67"/>
      <c r="BT465" s="67">
        <v>0</v>
      </c>
      <c r="BU465" s="67">
        <v>0</v>
      </c>
      <c r="BV465" s="67"/>
      <c r="BW465" s="67"/>
      <c r="BX465" s="67">
        <v>0</v>
      </c>
      <c r="BY465" s="67">
        <v>0</v>
      </c>
      <c r="BZ465" s="67">
        <v>0</v>
      </c>
      <c r="CA465" s="67"/>
      <c r="CB465" s="67">
        <v>0</v>
      </c>
      <c r="CC465" s="67"/>
      <c r="CD465" s="67"/>
      <c r="CE465" s="67">
        <v>0</v>
      </c>
      <c r="CF465" s="67"/>
      <c r="CG465" s="67"/>
      <c r="CH465" s="67"/>
      <c r="CI465" s="67"/>
      <c r="CJ465" s="67"/>
      <c r="CK465" s="67">
        <v>0</v>
      </c>
      <c r="CL465" s="67"/>
      <c r="CM465" s="67"/>
      <c r="CN465" s="67"/>
      <c r="CO465" s="67">
        <v>0</v>
      </c>
      <c r="CP465" s="67"/>
      <c r="CQ465" s="67"/>
      <c r="CR465" s="67"/>
      <c r="CS465" s="67"/>
      <c r="CT465" s="67"/>
      <c r="CU465" s="67">
        <v>0</v>
      </c>
      <c r="CV465" s="67"/>
      <c r="CW465" s="67"/>
      <c r="CX465" s="67"/>
      <c r="CY465" s="67">
        <v>0</v>
      </c>
      <c r="CZ465" s="67"/>
      <c r="DA465" s="67"/>
      <c r="DB465" s="67"/>
      <c r="DC465" s="67"/>
      <c r="DF465" s="67"/>
      <c r="DG465" s="67">
        <v>0</v>
      </c>
      <c r="DH465" s="67">
        <v>0</v>
      </c>
      <c r="DI465" s="67">
        <v>0</v>
      </c>
      <c r="DJ465" s="67"/>
      <c r="DK465" s="67">
        <v>0</v>
      </c>
      <c r="DL465" s="67">
        <v>0</v>
      </c>
      <c r="DM465" s="67">
        <v>0</v>
      </c>
      <c r="DN465" s="67"/>
      <c r="DO465" s="67"/>
      <c r="DP465" s="67"/>
      <c r="DQ465" s="67">
        <v>0</v>
      </c>
      <c r="DR465" s="67">
        <v>0</v>
      </c>
      <c r="DS465" s="67"/>
      <c r="DT465" s="67"/>
      <c r="DU465" s="67">
        <v>0</v>
      </c>
      <c r="DV465" s="67">
        <v>0</v>
      </c>
      <c r="DW465" s="67">
        <v>0</v>
      </c>
      <c r="DX465" s="67">
        <v>0</v>
      </c>
      <c r="DY465" s="67"/>
      <c r="DZ465" s="67">
        <v>0</v>
      </c>
      <c r="EA465" s="67"/>
      <c r="EB465" s="67">
        <v>0</v>
      </c>
      <c r="EC465" s="67"/>
      <c r="ED465" s="67">
        <v>0</v>
      </c>
      <c r="EE465" s="67"/>
      <c r="EF465" s="67">
        <v>0</v>
      </c>
      <c r="EG465" s="67"/>
      <c r="EH465" s="67"/>
      <c r="EI465" s="67"/>
      <c r="EJ465" s="67"/>
      <c r="EK465" s="67"/>
      <c r="EL465" s="67"/>
      <c r="EM465" s="67"/>
      <c r="EN465" s="67"/>
      <c r="EO465" s="67"/>
      <c r="EP465" s="67">
        <v>0</v>
      </c>
      <c r="EQ465" s="67">
        <v>0</v>
      </c>
      <c r="ER465" s="67">
        <v>0</v>
      </c>
      <c r="ES465" s="67"/>
      <c r="ET465">
        <v>0</v>
      </c>
      <c r="EX465" s="67"/>
      <c r="EY465" s="67"/>
      <c r="EZ465" s="67"/>
      <c r="FA465" s="67">
        <v>0</v>
      </c>
      <c r="FB465" s="67">
        <v>0</v>
      </c>
      <c r="FC465" s="67"/>
      <c r="FD465" s="67"/>
      <c r="FE465" s="67"/>
      <c r="FF465" s="67"/>
      <c r="FG465" s="67"/>
      <c r="FH465" s="67"/>
      <c r="FI465" s="67" t="s">
        <v>1734</v>
      </c>
    </row>
    <row r="466" spans="2:165" x14ac:dyDescent="0.2">
      <c r="B466" s="67" t="s">
        <v>1206</v>
      </c>
      <c r="C466" s="67"/>
      <c r="D466" s="67" t="s">
        <v>1207</v>
      </c>
      <c r="E466" s="67" t="s">
        <v>23</v>
      </c>
      <c r="F466" s="67"/>
      <c r="G466" s="67" t="s">
        <v>694</v>
      </c>
      <c r="H466" s="67"/>
      <c r="I466" s="67" t="s">
        <v>43</v>
      </c>
      <c r="J466" s="67"/>
      <c r="K466" s="67"/>
      <c r="L466" s="67" t="s">
        <v>751</v>
      </c>
      <c r="M466" s="67" t="s">
        <v>752</v>
      </c>
      <c r="N466" s="67"/>
      <c r="O466" s="67" t="s">
        <v>1605</v>
      </c>
      <c r="P466" s="67"/>
      <c r="Q466" s="67">
        <v>0</v>
      </c>
      <c r="R466" s="67">
        <v>0</v>
      </c>
      <c r="S466" s="67">
        <v>0</v>
      </c>
      <c r="T466" s="67">
        <v>0</v>
      </c>
      <c r="U466" s="67">
        <v>0</v>
      </c>
      <c r="V466" s="67">
        <v>0</v>
      </c>
      <c r="W466" s="67">
        <v>0</v>
      </c>
      <c r="X466" s="67">
        <v>0</v>
      </c>
      <c r="Y466" s="67">
        <v>0</v>
      </c>
      <c r="Z466" s="67">
        <v>0</v>
      </c>
      <c r="AA466" s="67">
        <v>0</v>
      </c>
      <c r="AB466" s="67">
        <v>0</v>
      </c>
      <c r="AC466" s="67">
        <v>0</v>
      </c>
      <c r="AD466" s="67">
        <v>0</v>
      </c>
      <c r="AE466" s="67">
        <v>0</v>
      </c>
      <c r="AF466" s="67">
        <v>0</v>
      </c>
      <c r="AG466" s="67">
        <v>0</v>
      </c>
      <c r="AH466" s="67">
        <v>0</v>
      </c>
      <c r="AI466" s="67">
        <v>0</v>
      </c>
      <c r="AJ466" s="67">
        <v>0</v>
      </c>
      <c r="AK466" s="67">
        <v>0</v>
      </c>
      <c r="AL466" s="67">
        <v>0</v>
      </c>
      <c r="AM466" s="67">
        <v>0</v>
      </c>
      <c r="AN466" s="67">
        <v>0</v>
      </c>
      <c r="AO466" s="67">
        <v>0</v>
      </c>
      <c r="AP466" s="67">
        <v>0</v>
      </c>
      <c r="AQ466" s="67">
        <v>0</v>
      </c>
      <c r="AR466" s="67">
        <v>0</v>
      </c>
      <c r="AS466" s="67">
        <v>0</v>
      </c>
      <c r="AT466" s="67"/>
      <c r="AU466" s="67"/>
      <c r="AV466" s="67"/>
      <c r="AW466" s="67">
        <v>0</v>
      </c>
      <c r="AX466" s="67">
        <v>0</v>
      </c>
      <c r="AY466" s="67"/>
      <c r="AZ466" s="67"/>
      <c r="BA466" s="67"/>
      <c r="BB466" s="67"/>
      <c r="BC466" s="67"/>
      <c r="BD466" s="67"/>
      <c r="BE466" s="67"/>
      <c r="BG466" s="67"/>
      <c r="BH466" s="67"/>
      <c r="BI466" s="67"/>
      <c r="BJ466" s="67">
        <v>0</v>
      </c>
      <c r="BK466" s="67"/>
      <c r="BL466" s="67"/>
      <c r="BP466" s="67"/>
      <c r="BQ466" s="67">
        <v>0</v>
      </c>
      <c r="BR466" s="67"/>
      <c r="BS466" s="67"/>
      <c r="BT466" s="67">
        <v>0</v>
      </c>
      <c r="BU466" s="67">
        <v>0</v>
      </c>
      <c r="BV466" s="67"/>
      <c r="BW466" s="67"/>
      <c r="BX466" s="67">
        <v>0</v>
      </c>
      <c r="BY466" s="67">
        <v>0</v>
      </c>
      <c r="BZ466" s="67">
        <v>0</v>
      </c>
      <c r="CA466" s="67"/>
      <c r="CB466" s="67">
        <v>0</v>
      </c>
      <c r="CC466" s="67"/>
      <c r="CD466" s="67"/>
      <c r="CE466" s="67">
        <v>0</v>
      </c>
      <c r="CF466" s="67"/>
      <c r="CG466" s="67"/>
      <c r="CH466" s="67"/>
      <c r="CI466" s="67"/>
      <c r="CJ466" s="67"/>
      <c r="CK466" s="67">
        <v>0</v>
      </c>
      <c r="CL466" s="67"/>
      <c r="CM466" s="67"/>
      <c r="CN466" s="67"/>
      <c r="CO466" s="67">
        <v>0</v>
      </c>
      <c r="CP466" s="67"/>
      <c r="CQ466" s="67"/>
      <c r="CR466" s="67"/>
      <c r="CS466" s="67"/>
      <c r="CT466" s="67"/>
      <c r="CU466" s="67">
        <v>0</v>
      </c>
      <c r="CV466" s="67"/>
      <c r="CW466" s="67"/>
      <c r="CX466" s="67"/>
      <c r="CY466" s="67">
        <v>0</v>
      </c>
      <c r="CZ466" s="67"/>
      <c r="DA466" s="67"/>
      <c r="DB466" s="67"/>
      <c r="DC466" s="67"/>
      <c r="DF466" s="67"/>
      <c r="DG466" s="67">
        <v>0</v>
      </c>
      <c r="DH466" s="67">
        <v>0</v>
      </c>
      <c r="DI466" s="67">
        <v>0</v>
      </c>
      <c r="DJ466" s="67"/>
      <c r="DK466" s="67">
        <v>0</v>
      </c>
      <c r="DL466" s="67">
        <v>0</v>
      </c>
      <c r="DM466" s="67">
        <v>0</v>
      </c>
      <c r="DN466" s="67"/>
      <c r="DO466" s="67"/>
      <c r="DP466" s="67"/>
      <c r="DQ466" s="67">
        <v>0</v>
      </c>
      <c r="DR466" s="67">
        <v>0</v>
      </c>
      <c r="DS466" s="67"/>
      <c r="DT466" s="67"/>
      <c r="DU466" s="67">
        <v>0</v>
      </c>
      <c r="DV466" s="67">
        <v>0</v>
      </c>
      <c r="DW466" s="67">
        <v>0</v>
      </c>
      <c r="DX466" s="67">
        <v>0</v>
      </c>
      <c r="DY466" s="67"/>
      <c r="DZ466" s="67">
        <v>0</v>
      </c>
      <c r="EA466" s="67"/>
      <c r="EB466" s="67">
        <v>0</v>
      </c>
      <c r="EC466" s="67"/>
      <c r="ED466" s="67">
        <v>0</v>
      </c>
      <c r="EE466" s="67"/>
      <c r="EF466" s="67">
        <v>0</v>
      </c>
      <c r="EG466" s="67"/>
      <c r="EH466" s="67"/>
      <c r="EI466" s="67"/>
      <c r="EJ466" s="67"/>
      <c r="EK466" s="67"/>
      <c r="EL466" s="67"/>
      <c r="EM466" s="67"/>
      <c r="EN466" s="67"/>
      <c r="EO466" s="67"/>
      <c r="EP466" s="67">
        <v>0</v>
      </c>
      <c r="EQ466" s="67">
        <v>0</v>
      </c>
      <c r="ER466" s="67">
        <v>0</v>
      </c>
      <c r="ES466" s="67"/>
      <c r="ET466">
        <v>0</v>
      </c>
      <c r="EX466" s="67"/>
      <c r="EY466" s="67"/>
      <c r="EZ466" s="67"/>
      <c r="FA466" s="67">
        <v>0</v>
      </c>
      <c r="FB466" s="67">
        <v>0</v>
      </c>
      <c r="FC466" s="67"/>
      <c r="FD466" s="67"/>
      <c r="FE466" s="67"/>
      <c r="FF466" s="67"/>
      <c r="FG466" s="67"/>
      <c r="FH466" s="67"/>
      <c r="FI466" s="67" t="s">
        <v>1734</v>
      </c>
    </row>
    <row r="467" spans="2:165" ht="24" x14ac:dyDescent="0.2">
      <c r="B467" s="67" t="s">
        <v>1208</v>
      </c>
      <c r="C467" s="67"/>
      <c r="D467" s="67" t="s">
        <v>1209</v>
      </c>
      <c r="E467" s="67" t="s">
        <v>13</v>
      </c>
      <c r="F467" s="67"/>
      <c r="G467" s="67" t="s">
        <v>694</v>
      </c>
      <c r="H467" s="67"/>
      <c r="I467" s="67" t="s">
        <v>41</v>
      </c>
      <c r="J467" s="67"/>
      <c r="K467" s="67"/>
      <c r="L467" s="67" t="s">
        <v>767</v>
      </c>
      <c r="M467" s="67" t="s">
        <v>752</v>
      </c>
      <c r="N467" s="67"/>
      <c r="O467" s="67" t="s">
        <v>1605</v>
      </c>
      <c r="P467" s="67"/>
      <c r="Q467" s="67">
        <v>0</v>
      </c>
      <c r="R467" s="67">
        <v>0</v>
      </c>
      <c r="S467" s="67">
        <v>0</v>
      </c>
      <c r="T467" s="67">
        <v>0</v>
      </c>
      <c r="U467" s="67">
        <v>0</v>
      </c>
      <c r="V467" s="67">
        <v>0</v>
      </c>
      <c r="W467" s="67">
        <v>0</v>
      </c>
      <c r="X467" s="67">
        <v>0</v>
      </c>
      <c r="Y467" s="67">
        <v>0</v>
      </c>
      <c r="Z467" s="67">
        <v>0</v>
      </c>
      <c r="AA467" s="67">
        <v>0</v>
      </c>
      <c r="AB467" s="67">
        <v>0</v>
      </c>
      <c r="AC467" s="67">
        <v>0</v>
      </c>
      <c r="AD467" s="67">
        <v>0</v>
      </c>
      <c r="AE467" s="67">
        <v>0</v>
      </c>
      <c r="AF467" s="67">
        <v>0</v>
      </c>
      <c r="AG467" s="67">
        <v>0</v>
      </c>
      <c r="AH467" s="67">
        <v>0</v>
      </c>
      <c r="AI467" s="67">
        <v>0</v>
      </c>
      <c r="AJ467" s="67">
        <v>0</v>
      </c>
      <c r="AK467" s="67">
        <v>0</v>
      </c>
      <c r="AL467" s="67">
        <v>0</v>
      </c>
      <c r="AM467" s="67">
        <v>0</v>
      </c>
      <c r="AN467" s="67">
        <v>0</v>
      </c>
      <c r="AO467" s="67">
        <v>0</v>
      </c>
      <c r="AP467" s="67">
        <v>0</v>
      </c>
      <c r="AQ467" s="67">
        <v>0</v>
      </c>
      <c r="AR467" s="67">
        <v>0</v>
      </c>
      <c r="AS467" s="67">
        <v>0</v>
      </c>
      <c r="AT467" s="67"/>
      <c r="AU467" s="67"/>
      <c r="AV467" s="67"/>
      <c r="AW467" s="67">
        <v>0</v>
      </c>
      <c r="AX467" s="67">
        <v>0</v>
      </c>
      <c r="AY467" s="67"/>
      <c r="AZ467" s="67"/>
      <c r="BA467" s="67"/>
      <c r="BB467" s="67"/>
      <c r="BC467" s="67"/>
      <c r="BD467" s="67"/>
      <c r="BE467" s="67"/>
      <c r="BG467" s="67"/>
      <c r="BH467" s="67"/>
      <c r="BI467" s="67"/>
      <c r="BJ467" s="67">
        <v>0</v>
      </c>
      <c r="BK467" s="67"/>
      <c r="BL467" s="67"/>
      <c r="BP467" s="67"/>
      <c r="BQ467" s="67">
        <v>0</v>
      </c>
      <c r="BR467" s="67"/>
      <c r="BS467" s="67"/>
      <c r="BT467" s="67">
        <v>0</v>
      </c>
      <c r="BU467" s="67">
        <v>0</v>
      </c>
      <c r="BV467" s="67"/>
      <c r="BW467" s="67"/>
      <c r="BX467" s="67">
        <v>0</v>
      </c>
      <c r="BY467" s="67">
        <v>0</v>
      </c>
      <c r="BZ467" s="67">
        <v>0</v>
      </c>
      <c r="CA467" s="67"/>
      <c r="CB467" s="67">
        <v>0</v>
      </c>
      <c r="CC467" s="67"/>
      <c r="CD467" s="67"/>
      <c r="CE467" s="67">
        <v>0</v>
      </c>
      <c r="CF467" s="67"/>
      <c r="CG467" s="67"/>
      <c r="CH467" s="67"/>
      <c r="CI467" s="67"/>
      <c r="CJ467" s="67"/>
      <c r="CK467" s="67">
        <v>0</v>
      </c>
      <c r="CL467" s="67"/>
      <c r="CM467" s="67"/>
      <c r="CN467" s="67"/>
      <c r="CO467" s="67">
        <v>0</v>
      </c>
      <c r="CP467" s="67"/>
      <c r="CQ467" s="67"/>
      <c r="CR467" s="67"/>
      <c r="CS467" s="67"/>
      <c r="CT467" s="67"/>
      <c r="CU467" s="67">
        <v>0</v>
      </c>
      <c r="CV467" s="67"/>
      <c r="CW467" s="67"/>
      <c r="CX467" s="67"/>
      <c r="CY467" s="67">
        <v>0</v>
      </c>
      <c r="CZ467" s="67"/>
      <c r="DA467" s="67"/>
      <c r="DB467" s="67"/>
      <c r="DC467" s="67"/>
      <c r="DF467" s="67"/>
      <c r="DG467" s="67">
        <v>0</v>
      </c>
      <c r="DH467" s="67">
        <v>0</v>
      </c>
      <c r="DI467" s="67">
        <v>0</v>
      </c>
      <c r="DJ467" s="67"/>
      <c r="DK467" s="67">
        <v>0</v>
      </c>
      <c r="DL467" s="67">
        <v>0</v>
      </c>
      <c r="DM467" s="67">
        <v>0</v>
      </c>
      <c r="DN467" s="67"/>
      <c r="DO467" s="67"/>
      <c r="DP467" s="67"/>
      <c r="DQ467" s="67">
        <v>0</v>
      </c>
      <c r="DR467" s="67">
        <v>0</v>
      </c>
      <c r="DS467" s="67"/>
      <c r="DT467" s="67"/>
      <c r="DU467" s="67">
        <v>0</v>
      </c>
      <c r="DV467" s="67">
        <v>0</v>
      </c>
      <c r="DW467" s="67">
        <v>0</v>
      </c>
      <c r="DX467" s="67">
        <v>0</v>
      </c>
      <c r="DY467" s="67"/>
      <c r="DZ467" s="67">
        <v>0</v>
      </c>
      <c r="EA467" s="67"/>
      <c r="EB467" s="67">
        <v>0</v>
      </c>
      <c r="EC467" s="67"/>
      <c r="ED467" s="67">
        <v>0</v>
      </c>
      <c r="EE467" s="67"/>
      <c r="EF467" s="67">
        <v>0</v>
      </c>
      <c r="EG467" s="67"/>
      <c r="EH467" s="67"/>
      <c r="EI467" s="67"/>
      <c r="EJ467" s="67"/>
      <c r="EK467" s="67"/>
      <c r="EL467" s="67"/>
      <c r="EM467" s="67"/>
      <c r="EN467" s="67"/>
      <c r="EO467" s="67"/>
      <c r="EP467" s="67">
        <v>0</v>
      </c>
      <c r="EQ467" s="67">
        <v>0</v>
      </c>
      <c r="ER467" s="67">
        <v>0</v>
      </c>
      <c r="ES467" s="67"/>
      <c r="ET467">
        <v>0</v>
      </c>
      <c r="EX467" s="67"/>
      <c r="EY467" s="67"/>
      <c r="EZ467" s="67"/>
      <c r="FA467" s="67">
        <v>0</v>
      </c>
      <c r="FB467" s="67">
        <v>0</v>
      </c>
      <c r="FC467" s="67"/>
      <c r="FD467" s="67"/>
      <c r="FE467" s="67"/>
      <c r="FF467" s="67"/>
      <c r="FG467" s="67"/>
      <c r="FH467" s="67"/>
      <c r="FI467" s="67" t="s">
        <v>1734</v>
      </c>
    </row>
    <row r="468" spans="2:165" ht="24" x14ac:dyDescent="0.2">
      <c r="B468" s="67" t="s">
        <v>1210</v>
      </c>
      <c r="C468" s="67"/>
      <c r="D468" s="67" t="s">
        <v>1211</v>
      </c>
      <c r="E468" s="67" t="s">
        <v>13</v>
      </c>
      <c r="F468" s="67"/>
      <c r="G468" s="67" t="s">
        <v>694</v>
      </c>
      <c r="H468" s="67"/>
      <c r="I468" s="67" t="s">
        <v>41</v>
      </c>
      <c r="J468" s="67"/>
      <c r="K468" s="67"/>
      <c r="L468" s="67" t="s">
        <v>767</v>
      </c>
      <c r="M468" s="67" t="s">
        <v>752</v>
      </c>
      <c r="N468" s="67"/>
      <c r="O468" s="67" t="s">
        <v>1605</v>
      </c>
      <c r="P468" s="67"/>
      <c r="Q468" s="67">
        <v>0</v>
      </c>
      <c r="R468" s="67">
        <v>0</v>
      </c>
      <c r="S468" s="67">
        <v>0</v>
      </c>
      <c r="T468" s="67">
        <v>0</v>
      </c>
      <c r="U468" s="67">
        <v>0</v>
      </c>
      <c r="V468" s="67">
        <v>0</v>
      </c>
      <c r="W468" s="67">
        <v>0</v>
      </c>
      <c r="X468" s="67">
        <v>0</v>
      </c>
      <c r="Y468" s="67">
        <v>0</v>
      </c>
      <c r="Z468" s="67">
        <v>0</v>
      </c>
      <c r="AA468" s="67">
        <v>0</v>
      </c>
      <c r="AB468" s="67">
        <v>0</v>
      </c>
      <c r="AC468" s="67">
        <v>0</v>
      </c>
      <c r="AD468" s="67">
        <v>0</v>
      </c>
      <c r="AE468" s="67">
        <v>0</v>
      </c>
      <c r="AF468" s="67">
        <v>0</v>
      </c>
      <c r="AG468" s="67">
        <v>0</v>
      </c>
      <c r="AH468" s="67">
        <v>0</v>
      </c>
      <c r="AI468" s="67">
        <v>0</v>
      </c>
      <c r="AJ468" s="67">
        <v>0</v>
      </c>
      <c r="AK468" s="67">
        <v>0</v>
      </c>
      <c r="AL468" s="67">
        <v>0</v>
      </c>
      <c r="AM468" s="67">
        <v>0</v>
      </c>
      <c r="AN468" s="67">
        <v>0</v>
      </c>
      <c r="AO468" s="67">
        <v>0</v>
      </c>
      <c r="AP468" s="67">
        <v>0</v>
      </c>
      <c r="AQ468" s="67">
        <v>0</v>
      </c>
      <c r="AR468" s="67">
        <v>0</v>
      </c>
      <c r="AS468" s="67">
        <v>0</v>
      </c>
      <c r="AT468" s="67"/>
      <c r="AU468" s="67"/>
      <c r="AV468" s="67"/>
      <c r="AW468" s="67">
        <v>0</v>
      </c>
      <c r="AX468" s="67">
        <v>0</v>
      </c>
      <c r="AY468" s="67"/>
      <c r="AZ468" s="67"/>
      <c r="BA468" s="67"/>
      <c r="BB468" s="67"/>
      <c r="BC468" s="67"/>
      <c r="BD468" s="67"/>
      <c r="BE468" s="67"/>
      <c r="BG468" s="67"/>
      <c r="BH468" s="67"/>
      <c r="BI468" s="67"/>
      <c r="BJ468" s="67">
        <v>0</v>
      </c>
      <c r="BK468" s="67"/>
      <c r="BL468" s="67"/>
      <c r="BP468" s="67"/>
      <c r="BQ468" s="67">
        <v>0</v>
      </c>
      <c r="BR468" s="67"/>
      <c r="BS468" s="67"/>
      <c r="BT468" s="67">
        <v>0</v>
      </c>
      <c r="BU468" s="67">
        <v>0</v>
      </c>
      <c r="BV468" s="67"/>
      <c r="BW468" s="67"/>
      <c r="BX468" s="67">
        <v>0</v>
      </c>
      <c r="BY468" s="67">
        <v>0</v>
      </c>
      <c r="BZ468" s="67">
        <v>0</v>
      </c>
      <c r="CA468" s="67"/>
      <c r="CB468" s="67">
        <v>0</v>
      </c>
      <c r="CC468" s="67"/>
      <c r="CD468" s="67"/>
      <c r="CE468" s="67">
        <v>0</v>
      </c>
      <c r="CF468" s="67"/>
      <c r="CG468" s="67"/>
      <c r="CH468" s="67"/>
      <c r="CI468" s="67"/>
      <c r="CJ468" s="67"/>
      <c r="CK468" s="67">
        <v>0</v>
      </c>
      <c r="CL468" s="67"/>
      <c r="CM468" s="67"/>
      <c r="CN468" s="67"/>
      <c r="CO468" s="67">
        <v>0</v>
      </c>
      <c r="CP468" s="67"/>
      <c r="CQ468" s="67"/>
      <c r="CR468" s="67"/>
      <c r="CS468" s="67"/>
      <c r="CT468" s="67"/>
      <c r="CU468" s="67">
        <v>0</v>
      </c>
      <c r="CV468" s="67"/>
      <c r="CW468" s="67"/>
      <c r="CX468" s="67"/>
      <c r="CY468" s="67">
        <v>0</v>
      </c>
      <c r="CZ468" s="67"/>
      <c r="DA468" s="67"/>
      <c r="DB468" s="67"/>
      <c r="DC468" s="67"/>
      <c r="DF468" s="67"/>
      <c r="DG468" s="67">
        <v>0</v>
      </c>
      <c r="DH468" s="67">
        <v>0</v>
      </c>
      <c r="DI468" s="67">
        <v>0</v>
      </c>
      <c r="DJ468" s="67"/>
      <c r="DK468" s="67">
        <v>0</v>
      </c>
      <c r="DL468" s="67">
        <v>0</v>
      </c>
      <c r="DM468" s="67">
        <v>0</v>
      </c>
      <c r="DN468" s="67"/>
      <c r="DO468" s="67"/>
      <c r="DP468" s="67"/>
      <c r="DQ468" s="67">
        <v>0</v>
      </c>
      <c r="DR468" s="67">
        <v>0</v>
      </c>
      <c r="DS468" s="67"/>
      <c r="DT468" s="67"/>
      <c r="DU468" s="67">
        <v>0</v>
      </c>
      <c r="DV468" s="67">
        <v>0</v>
      </c>
      <c r="DW468" s="67">
        <v>0</v>
      </c>
      <c r="DX468" s="67">
        <v>0</v>
      </c>
      <c r="DY468" s="67"/>
      <c r="DZ468" s="67">
        <v>0</v>
      </c>
      <c r="EA468" s="67"/>
      <c r="EB468" s="67">
        <v>0</v>
      </c>
      <c r="EC468" s="67"/>
      <c r="ED468" s="67">
        <v>0</v>
      </c>
      <c r="EE468" s="67"/>
      <c r="EF468" s="67">
        <v>0</v>
      </c>
      <c r="EG468" s="67"/>
      <c r="EH468" s="67"/>
      <c r="EI468" s="67"/>
      <c r="EJ468" s="67"/>
      <c r="EK468" s="67"/>
      <c r="EL468" s="67"/>
      <c r="EM468" s="67"/>
      <c r="EN468" s="67"/>
      <c r="EO468" s="67"/>
      <c r="EP468" s="67">
        <v>0</v>
      </c>
      <c r="EQ468" s="67">
        <v>0</v>
      </c>
      <c r="ER468" s="67">
        <v>0</v>
      </c>
      <c r="ES468" s="67"/>
      <c r="ET468">
        <v>0</v>
      </c>
      <c r="EX468" s="67"/>
      <c r="EY468" s="67"/>
      <c r="EZ468" s="67"/>
      <c r="FA468" s="67">
        <v>0</v>
      </c>
      <c r="FB468" s="67">
        <v>0</v>
      </c>
      <c r="FC468" s="67"/>
      <c r="FD468" s="67"/>
      <c r="FE468" s="67"/>
      <c r="FF468" s="67"/>
      <c r="FG468" s="67"/>
      <c r="FH468" s="67"/>
      <c r="FI468" s="67" t="s">
        <v>1734</v>
      </c>
    </row>
    <row r="469" spans="2:165" ht="24" x14ac:dyDescent="0.2">
      <c r="B469" s="67" t="s">
        <v>1212</v>
      </c>
      <c r="C469" s="67"/>
      <c r="D469" s="67" t="s">
        <v>1213</v>
      </c>
      <c r="E469" s="67" t="s">
        <v>13</v>
      </c>
      <c r="F469" s="67"/>
      <c r="G469" s="67" t="s">
        <v>694</v>
      </c>
      <c r="H469" s="67"/>
      <c r="I469" s="67" t="s">
        <v>41</v>
      </c>
      <c r="J469" s="67"/>
      <c r="K469" s="67"/>
      <c r="L469" s="67" t="s">
        <v>767</v>
      </c>
      <c r="M469" s="67" t="s">
        <v>752</v>
      </c>
      <c r="N469" s="67"/>
      <c r="O469" s="67" t="s">
        <v>1605</v>
      </c>
      <c r="P469" s="67"/>
      <c r="Q469" s="67">
        <v>0</v>
      </c>
      <c r="R469" s="67">
        <v>0</v>
      </c>
      <c r="S469" s="67">
        <v>0</v>
      </c>
      <c r="T469" s="67">
        <v>0</v>
      </c>
      <c r="U469" s="67">
        <v>0</v>
      </c>
      <c r="V469" s="67">
        <v>0</v>
      </c>
      <c r="W469" s="67">
        <v>0</v>
      </c>
      <c r="X469" s="67">
        <v>0</v>
      </c>
      <c r="Y469" s="67">
        <v>0</v>
      </c>
      <c r="Z469" s="67">
        <v>0</v>
      </c>
      <c r="AA469" s="67">
        <v>0</v>
      </c>
      <c r="AB469" s="67">
        <v>0</v>
      </c>
      <c r="AC469" s="67">
        <v>0</v>
      </c>
      <c r="AD469" s="67">
        <v>0</v>
      </c>
      <c r="AE469" s="67">
        <v>0</v>
      </c>
      <c r="AF469" s="67">
        <v>0</v>
      </c>
      <c r="AG469" s="67">
        <v>0</v>
      </c>
      <c r="AH469" s="67">
        <v>0</v>
      </c>
      <c r="AI469" s="67">
        <v>0</v>
      </c>
      <c r="AJ469" s="67">
        <v>0</v>
      </c>
      <c r="AK469" s="67">
        <v>0</v>
      </c>
      <c r="AL469" s="67">
        <v>0</v>
      </c>
      <c r="AM469" s="67">
        <v>0</v>
      </c>
      <c r="AN469" s="67">
        <v>0</v>
      </c>
      <c r="AO469" s="67">
        <v>0</v>
      </c>
      <c r="AP469" s="67">
        <v>0</v>
      </c>
      <c r="AQ469" s="67">
        <v>0</v>
      </c>
      <c r="AR469" s="67">
        <v>0</v>
      </c>
      <c r="AS469" s="67">
        <v>0</v>
      </c>
      <c r="AT469" s="67"/>
      <c r="AU469" s="67"/>
      <c r="AV469" s="67"/>
      <c r="AW469" s="67">
        <v>0</v>
      </c>
      <c r="AX469" s="67">
        <v>0</v>
      </c>
      <c r="AY469" s="67"/>
      <c r="AZ469" s="67"/>
      <c r="BA469" s="67"/>
      <c r="BB469" s="67"/>
      <c r="BC469" s="67"/>
      <c r="BD469" s="67"/>
      <c r="BE469" s="67"/>
      <c r="BG469" s="67"/>
      <c r="BH469" s="67"/>
      <c r="BI469" s="67"/>
      <c r="BJ469" s="67">
        <v>0</v>
      </c>
      <c r="BK469" s="67"/>
      <c r="BL469" s="67"/>
      <c r="BP469" s="67"/>
      <c r="BQ469" s="67">
        <v>0</v>
      </c>
      <c r="BR469" s="67"/>
      <c r="BS469" s="67"/>
      <c r="BT469" s="67">
        <v>0</v>
      </c>
      <c r="BU469" s="67">
        <v>0</v>
      </c>
      <c r="BV469" s="67"/>
      <c r="BW469" s="67"/>
      <c r="BX469" s="67">
        <v>0</v>
      </c>
      <c r="BY469" s="67">
        <v>0</v>
      </c>
      <c r="BZ469" s="67">
        <v>0</v>
      </c>
      <c r="CA469" s="67"/>
      <c r="CB469" s="67">
        <v>0</v>
      </c>
      <c r="CC469" s="67"/>
      <c r="CD469" s="67"/>
      <c r="CE469" s="67">
        <v>0</v>
      </c>
      <c r="CF469" s="67"/>
      <c r="CG469" s="67"/>
      <c r="CH469" s="67"/>
      <c r="CI469" s="67"/>
      <c r="CJ469" s="67"/>
      <c r="CK469" s="67">
        <v>0</v>
      </c>
      <c r="CL469" s="67"/>
      <c r="CM469" s="67"/>
      <c r="CN469" s="67"/>
      <c r="CO469" s="67">
        <v>0</v>
      </c>
      <c r="CP469" s="67"/>
      <c r="CQ469" s="67"/>
      <c r="CR469" s="67"/>
      <c r="CS469" s="67"/>
      <c r="CT469" s="67"/>
      <c r="CU469" s="67">
        <v>0</v>
      </c>
      <c r="CV469" s="67"/>
      <c r="CW469" s="67"/>
      <c r="CX469" s="67"/>
      <c r="CY469" s="67">
        <v>0</v>
      </c>
      <c r="CZ469" s="67"/>
      <c r="DA469" s="67"/>
      <c r="DB469" s="67"/>
      <c r="DC469" s="67"/>
      <c r="DF469" s="67"/>
      <c r="DG469" s="67">
        <v>0</v>
      </c>
      <c r="DH469" s="67">
        <v>0</v>
      </c>
      <c r="DI469" s="67">
        <v>0</v>
      </c>
      <c r="DJ469" s="67"/>
      <c r="DK469" s="67">
        <v>0</v>
      </c>
      <c r="DL469" s="67">
        <v>0</v>
      </c>
      <c r="DM469" s="67">
        <v>0</v>
      </c>
      <c r="DN469" s="67"/>
      <c r="DO469" s="67"/>
      <c r="DP469" s="67"/>
      <c r="DQ469" s="67">
        <v>0</v>
      </c>
      <c r="DR469" s="67">
        <v>0</v>
      </c>
      <c r="DS469" s="67"/>
      <c r="DT469" s="67"/>
      <c r="DU469" s="67">
        <v>0</v>
      </c>
      <c r="DV469" s="67">
        <v>0</v>
      </c>
      <c r="DW469" s="67">
        <v>0</v>
      </c>
      <c r="DX469" s="67">
        <v>0</v>
      </c>
      <c r="DY469" s="67"/>
      <c r="DZ469" s="67">
        <v>0</v>
      </c>
      <c r="EA469" s="67"/>
      <c r="EB469" s="67">
        <v>0</v>
      </c>
      <c r="EC469" s="67"/>
      <c r="ED469" s="67">
        <v>0</v>
      </c>
      <c r="EE469" s="67"/>
      <c r="EF469" s="67">
        <v>0</v>
      </c>
      <c r="EG469" s="67"/>
      <c r="EH469" s="67"/>
      <c r="EI469" s="67"/>
      <c r="EJ469" s="67"/>
      <c r="EK469" s="67"/>
      <c r="EL469" s="67"/>
      <c r="EM469" s="67"/>
      <c r="EN469" s="67"/>
      <c r="EO469" s="67"/>
      <c r="EP469" s="67">
        <v>0</v>
      </c>
      <c r="EQ469" s="67">
        <v>0</v>
      </c>
      <c r="ER469" s="67">
        <v>0</v>
      </c>
      <c r="ES469" s="67"/>
      <c r="ET469">
        <v>0</v>
      </c>
      <c r="EX469" s="67"/>
      <c r="EY469" s="67"/>
      <c r="EZ469" s="67"/>
      <c r="FA469" s="67">
        <v>0</v>
      </c>
      <c r="FB469" s="67">
        <v>0</v>
      </c>
      <c r="FC469" s="67"/>
      <c r="FD469" s="67"/>
      <c r="FE469" s="67"/>
      <c r="FF469" s="67"/>
      <c r="FG469" s="67"/>
      <c r="FH469" s="67"/>
      <c r="FI469" s="67" t="s">
        <v>1734</v>
      </c>
    </row>
    <row r="470" spans="2:165" ht="24" x14ac:dyDescent="0.2">
      <c r="B470" s="67" t="s">
        <v>1214</v>
      </c>
      <c r="C470" s="67"/>
      <c r="D470" s="67" t="s">
        <v>1215</v>
      </c>
      <c r="E470" s="67" t="s">
        <v>13</v>
      </c>
      <c r="F470" s="67"/>
      <c r="G470" s="67" t="s">
        <v>694</v>
      </c>
      <c r="H470" s="67"/>
      <c r="I470" s="67" t="s">
        <v>41</v>
      </c>
      <c r="J470" s="67"/>
      <c r="K470" s="67"/>
      <c r="L470" s="67" t="s">
        <v>767</v>
      </c>
      <c r="M470" s="67" t="s">
        <v>752</v>
      </c>
      <c r="N470" s="67"/>
      <c r="O470" s="67" t="s">
        <v>1605</v>
      </c>
      <c r="P470" s="67"/>
      <c r="Q470" s="67">
        <v>0</v>
      </c>
      <c r="R470" s="67">
        <v>0</v>
      </c>
      <c r="S470" s="67">
        <v>0</v>
      </c>
      <c r="T470" s="67">
        <v>0</v>
      </c>
      <c r="U470" s="67">
        <v>0</v>
      </c>
      <c r="V470" s="67">
        <v>0</v>
      </c>
      <c r="W470" s="67">
        <v>0</v>
      </c>
      <c r="X470" s="67">
        <v>0</v>
      </c>
      <c r="Y470" s="67">
        <v>0</v>
      </c>
      <c r="Z470" s="67">
        <v>0</v>
      </c>
      <c r="AA470" s="67">
        <v>0</v>
      </c>
      <c r="AB470" s="67">
        <v>0</v>
      </c>
      <c r="AC470" s="67">
        <v>0</v>
      </c>
      <c r="AD470" s="67">
        <v>0</v>
      </c>
      <c r="AE470" s="67">
        <v>0</v>
      </c>
      <c r="AF470" s="67">
        <v>0</v>
      </c>
      <c r="AG470" s="67">
        <v>0</v>
      </c>
      <c r="AH470" s="67">
        <v>0</v>
      </c>
      <c r="AI470" s="67">
        <v>0</v>
      </c>
      <c r="AJ470" s="67">
        <v>0</v>
      </c>
      <c r="AK470" s="67">
        <v>0</v>
      </c>
      <c r="AL470" s="67">
        <v>0</v>
      </c>
      <c r="AM470" s="67">
        <v>0</v>
      </c>
      <c r="AN470" s="67">
        <v>0</v>
      </c>
      <c r="AO470" s="67">
        <v>0</v>
      </c>
      <c r="AP470" s="67">
        <v>0</v>
      </c>
      <c r="AQ470" s="67">
        <v>0</v>
      </c>
      <c r="AR470" s="67">
        <v>0</v>
      </c>
      <c r="AS470" s="67">
        <v>0</v>
      </c>
      <c r="AT470" s="67"/>
      <c r="AU470" s="67"/>
      <c r="AV470" s="67"/>
      <c r="AW470" s="67">
        <v>0</v>
      </c>
      <c r="AX470" s="67">
        <v>0</v>
      </c>
      <c r="AY470" s="67"/>
      <c r="AZ470" s="67"/>
      <c r="BA470" s="67"/>
      <c r="BB470" s="67"/>
      <c r="BC470" s="67"/>
      <c r="BD470" s="67"/>
      <c r="BE470" s="67"/>
      <c r="BG470" s="67"/>
      <c r="BH470" s="67"/>
      <c r="BI470" s="67"/>
      <c r="BJ470" s="67">
        <v>0</v>
      </c>
      <c r="BK470" s="67"/>
      <c r="BL470" s="67"/>
      <c r="BP470" s="67"/>
      <c r="BQ470" s="67">
        <v>0</v>
      </c>
      <c r="BR470" s="67"/>
      <c r="BS470" s="67"/>
      <c r="BT470" s="67">
        <v>0</v>
      </c>
      <c r="BU470" s="67">
        <v>0</v>
      </c>
      <c r="BV470" s="67"/>
      <c r="BW470" s="67"/>
      <c r="BX470" s="67">
        <v>0</v>
      </c>
      <c r="BY470" s="67">
        <v>0</v>
      </c>
      <c r="BZ470" s="67">
        <v>0</v>
      </c>
      <c r="CA470" s="67"/>
      <c r="CB470" s="67">
        <v>0</v>
      </c>
      <c r="CC470" s="67"/>
      <c r="CD470" s="67"/>
      <c r="CE470" s="67">
        <v>0</v>
      </c>
      <c r="CF470" s="67"/>
      <c r="CG470" s="67"/>
      <c r="CH470" s="67"/>
      <c r="CI470" s="67"/>
      <c r="CJ470" s="67"/>
      <c r="CK470" s="67">
        <v>0</v>
      </c>
      <c r="CL470" s="67"/>
      <c r="CM470" s="67"/>
      <c r="CN470" s="67"/>
      <c r="CO470" s="67">
        <v>0</v>
      </c>
      <c r="CP470" s="67"/>
      <c r="CQ470" s="67"/>
      <c r="CR470" s="67"/>
      <c r="CS470" s="67"/>
      <c r="CT470" s="67"/>
      <c r="CU470" s="67">
        <v>0</v>
      </c>
      <c r="CV470" s="67"/>
      <c r="CW470" s="67"/>
      <c r="CX470" s="67"/>
      <c r="CY470" s="67">
        <v>0</v>
      </c>
      <c r="CZ470" s="67"/>
      <c r="DA470" s="67"/>
      <c r="DB470" s="67"/>
      <c r="DC470" s="67"/>
      <c r="DF470" s="67"/>
      <c r="DG470" s="67">
        <v>0</v>
      </c>
      <c r="DH470" s="67">
        <v>0</v>
      </c>
      <c r="DI470" s="67">
        <v>0</v>
      </c>
      <c r="DJ470" s="67"/>
      <c r="DK470" s="67">
        <v>0</v>
      </c>
      <c r="DL470" s="67">
        <v>0</v>
      </c>
      <c r="DM470" s="67">
        <v>0</v>
      </c>
      <c r="DN470" s="67"/>
      <c r="DO470" s="67"/>
      <c r="DP470" s="67"/>
      <c r="DQ470" s="67">
        <v>0</v>
      </c>
      <c r="DR470" s="67">
        <v>0</v>
      </c>
      <c r="DS470" s="67"/>
      <c r="DT470" s="67"/>
      <c r="DU470" s="67">
        <v>0</v>
      </c>
      <c r="DV470" s="67">
        <v>0</v>
      </c>
      <c r="DW470" s="67">
        <v>0</v>
      </c>
      <c r="DX470" s="67">
        <v>0</v>
      </c>
      <c r="DY470" s="67"/>
      <c r="DZ470" s="67">
        <v>0</v>
      </c>
      <c r="EA470" s="67"/>
      <c r="EB470" s="67">
        <v>0</v>
      </c>
      <c r="EC470" s="67"/>
      <c r="ED470" s="67">
        <v>0</v>
      </c>
      <c r="EE470" s="67"/>
      <c r="EF470" s="67">
        <v>0</v>
      </c>
      <c r="EG470" s="67"/>
      <c r="EH470" s="67"/>
      <c r="EI470" s="67"/>
      <c r="EJ470" s="67"/>
      <c r="EK470" s="67"/>
      <c r="EL470" s="67"/>
      <c r="EM470" s="67"/>
      <c r="EN470" s="67"/>
      <c r="EO470" s="67"/>
      <c r="EP470" s="67">
        <v>0</v>
      </c>
      <c r="EQ470" s="67">
        <v>0</v>
      </c>
      <c r="ER470" s="67">
        <v>0</v>
      </c>
      <c r="ES470" s="67"/>
      <c r="ET470">
        <v>0</v>
      </c>
      <c r="EX470" s="67"/>
      <c r="EY470" s="67"/>
      <c r="EZ470" s="67"/>
      <c r="FA470" s="67">
        <v>0</v>
      </c>
      <c r="FB470" s="67">
        <v>0</v>
      </c>
      <c r="FC470" s="67"/>
      <c r="FD470" s="67"/>
      <c r="FE470" s="67"/>
      <c r="FF470" s="67"/>
      <c r="FG470" s="67"/>
      <c r="FH470" s="67"/>
      <c r="FI470" s="67" t="s">
        <v>1734</v>
      </c>
    </row>
    <row r="471" spans="2:165" ht="24" x14ac:dyDescent="0.2">
      <c r="B471" s="67" t="s">
        <v>1216</v>
      </c>
      <c r="C471" s="67"/>
      <c r="D471" s="67" t="s">
        <v>1217</v>
      </c>
      <c r="E471" s="67" t="s">
        <v>13</v>
      </c>
      <c r="F471" s="67"/>
      <c r="G471" s="67" t="s">
        <v>694</v>
      </c>
      <c r="H471" s="67"/>
      <c r="I471" s="67" t="s">
        <v>41</v>
      </c>
      <c r="J471" s="67"/>
      <c r="K471" s="67"/>
      <c r="L471" s="67" t="s">
        <v>767</v>
      </c>
      <c r="M471" s="67" t="s">
        <v>752</v>
      </c>
      <c r="N471" s="67"/>
      <c r="O471" s="67" t="s">
        <v>1605</v>
      </c>
      <c r="P471" s="67"/>
      <c r="Q471" s="67">
        <v>0</v>
      </c>
      <c r="R471" s="67">
        <v>0</v>
      </c>
      <c r="S471" s="67">
        <v>0</v>
      </c>
      <c r="T471" s="67">
        <v>0</v>
      </c>
      <c r="U471" s="67">
        <v>0</v>
      </c>
      <c r="V471" s="67">
        <v>0</v>
      </c>
      <c r="W471" s="67">
        <v>0</v>
      </c>
      <c r="X471" s="67">
        <v>0</v>
      </c>
      <c r="Y471" s="67">
        <v>0</v>
      </c>
      <c r="Z471" s="67">
        <v>0</v>
      </c>
      <c r="AA471" s="67">
        <v>0</v>
      </c>
      <c r="AB471" s="67">
        <v>0</v>
      </c>
      <c r="AC471" s="67">
        <v>0</v>
      </c>
      <c r="AD471" s="67">
        <v>0</v>
      </c>
      <c r="AE471" s="67">
        <v>0</v>
      </c>
      <c r="AF471" s="67">
        <v>0</v>
      </c>
      <c r="AG471" s="67">
        <v>0</v>
      </c>
      <c r="AH471" s="67">
        <v>0</v>
      </c>
      <c r="AI471" s="67">
        <v>0</v>
      </c>
      <c r="AJ471" s="67">
        <v>0</v>
      </c>
      <c r="AK471" s="67">
        <v>0</v>
      </c>
      <c r="AL471" s="67">
        <v>0</v>
      </c>
      <c r="AM471" s="67">
        <v>0</v>
      </c>
      <c r="AN471" s="67">
        <v>0</v>
      </c>
      <c r="AO471" s="67">
        <v>0</v>
      </c>
      <c r="AP471" s="67">
        <v>0</v>
      </c>
      <c r="AQ471" s="67">
        <v>0</v>
      </c>
      <c r="AR471" s="67">
        <v>0</v>
      </c>
      <c r="AS471" s="67">
        <v>0</v>
      </c>
      <c r="AT471" s="67"/>
      <c r="AU471" s="67"/>
      <c r="AV471" s="67"/>
      <c r="AW471" s="67">
        <v>0</v>
      </c>
      <c r="AX471" s="67">
        <v>0</v>
      </c>
      <c r="AY471" s="67"/>
      <c r="AZ471" s="67"/>
      <c r="BA471" s="67"/>
      <c r="BB471" s="67"/>
      <c r="BC471" s="67"/>
      <c r="BD471" s="67"/>
      <c r="BE471" s="67"/>
      <c r="BG471" s="67"/>
      <c r="BH471" s="67"/>
      <c r="BI471" s="67"/>
      <c r="BJ471" s="67">
        <v>0</v>
      </c>
      <c r="BK471" s="67"/>
      <c r="BL471" s="67"/>
      <c r="BP471" s="67"/>
      <c r="BQ471" s="67">
        <v>0</v>
      </c>
      <c r="BR471" s="67"/>
      <c r="BS471" s="67"/>
      <c r="BT471" s="67">
        <v>0</v>
      </c>
      <c r="BU471" s="67">
        <v>0</v>
      </c>
      <c r="BV471" s="67"/>
      <c r="BW471" s="67"/>
      <c r="BX471" s="67">
        <v>0</v>
      </c>
      <c r="BY471" s="67">
        <v>0</v>
      </c>
      <c r="BZ471" s="67">
        <v>0</v>
      </c>
      <c r="CA471" s="67"/>
      <c r="CB471" s="67">
        <v>0</v>
      </c>
      <c r="CC471" s="67"/>
      <c r="CD471" s="67"/>
      <c r="CE471" s="67">
        <v>0</v>
      </c>
      <c r="CF471" s="67"/>
      <c r="CG471" s="67"/>
      <c r="CH471" s="67"/>
      <c r="CI471" s="67"/>
      <c r="CJ471" s="67"/>
      <c r="CK471" s="67">
        <v>0</v>
      </c>
      <c r="CL471" s="67"/>
      <c r="CM471" s="67"/>
      <c r="CN471" s="67"/>
      <c r="CO471" s="67">
        <v>0</v>
      </c>
      <c r="CP471" s="67"/>
      <c r="CQ471" s="67"/>
      <c r="CR471" s="67"/>
      <c r="CS471" s="67"/>
      <c r="CT471" s="67"/>
      <c r="CU471" s="67">
        <v>0</v>
      </c>
      <c r="CV471" s="67"/>
      <c r="CW471" s="67"/>
      <c r="CX471" s="67"/>
      <c r="CY471" s="67">
        <v>0</v>
      </c>
      <c r="CZ471" s="67"/>
      <c r="DA471" s="67"/>
      <c r="DB471" s="67"/>
      <c r="DC471" s="67"/>
      <c r="DF471" s="67"/>
      <c r="DG471" s="67">
        <v>0</v>
      </c>
      <c r="DH471" s="67">
        <v>0</v>
      </c>
      <c r="DI471" s="67">
        <v>0</v>
      </c>
      <c r="DJ471" s="67"/>
      <c r="DK471" s="67">
        <v>0</v>
      </c>
      <c r="DL471" s="67">
        <v>0</v>
      </c>
      <c r="DM471" s="67">
        <v>0</v>
      </c>
      <c r="DN471" s="67"/>
      <c r="DO471" s="67"/>
      <c r="DP471" s="67"/>
      <c r="DQ471" s="67">
        <v>0</v>
      </c>
      <c r="DR471" s="67">
        <v>0</v>
      </c>
      <c r="DS471" s="67"/>
      <c r="DT471" s="67"/>
      <c r="DU471" s="67">
        <v>0</v>
      </c>
      <c r="DV471" s="67">
        <v>0</v>
      </c>
      <c r="DW471" s="67">
        <v>0</v>
      </c>
      <c r="DX471" s="67">
        <v>0</v>
      </c>
      <c r="DY471" s="67"/>
      <c r="DZ471" s="67">
        <v>0</v>
      </c>
      <c r="EA471" s="67"/>
      <c r="EB471" s="67">
        <v>0</v>
      </c>
      <c r="EC471" s="67"/>
      <c r="ED471" s="67">
        <v>0</v>
      </c>
      <c r="EE471" s="67"/>
      <c r="EF471" s="67">
        <v>0</v>
      </c>
      <c r="EG471" s="67"/>
      <c r="EH471" s="67"/>
      <c r="EI471" s="67"/>
      <c r="EJ471" s="67"/>
      <c r="EK471" s="67"/>
      <c r="EL471" s="67"/>
      <c r="EM471" s="67"/>
      <c r="EN471" s="67"/>
      <c r="EO471" s="67"/>
      <c r="EP471" s="67">
        <v>0</v>
      </c>
      <c r="EQ471" s="67">
        <v>0</v>
      </c>
      <c r="ER471" s="67">
        <v>0</v>
      </c>
      <c r="ES471" s="67"/>
      <c r="ET471">
        <v>0</v>
      </c>
      <c r="EX471" s="67"/>
      <c r="EY471" s="67"/>
      <c r="EZ471" s="67"/>
      <c r="FA471" s="67">
        <v>0</v>
      </c>
      <c r="FB471" s="67">
        <v>0</v>
      </c>
      <c r="FC471" s="67"/>
      <c r="FD471" s="67"/>
      <c r="FE471" s="67"/>
      <c r="FF471" s="67"/>
      <c r="FG471" s="67"/>
      <c r="FH471" s="67"/>
      <c r="FI471" s="67" t="s">
        <v>1734</v>
      </c>
    </row>
    <row r="472" spans="2:165" x14ac:dyDescent="0.2">
      <c r="B472" s="67" t="s">
        <v>1218</v>
      </c>
      <c r="C472" s="67"/>
      <c r="D472" s="67" t="s">
        <v>1219</v>
      </c>
      <c r="E472" s="67" t="s">
        <v>23</v>
      </c>
      <c r="F472" s="67"/>
      <c r="G472" s="67" t="s">
        <v>694</v>
      </c>
      <c r="H472" s="67"/>
      <c r="I472" s="67" t="s">
        <v>43</v>
      </c>
      <c r="J472" s="67"/>
      <c r="K472" s="67"/>
      <c r="L472" s="67" t="s">
        <v>767</v>
      </c>
      <c r="M472" s="67" t="s">
        <v>752</v>
      </c>
      <c r="N472" s="67"/>
      <c r="O472" s="67" t="s">
        <v>1605</v>
      </c>
      <c r="P472" s="67"/>
      <c r="Q472" s="67">
        <v>0</v>
      </c>
      <c r="R472" s="67">
        <v>0</v>
      </c>
      <c r="S472" s="67">
        <v>0</v>
      </c>
      <c r="T472" s="67">
        <v>0</v>
      </c>
      <c r="U472" s="67">
        <v>0</v>
      </c>
      <c r="V472" s="67">
        <v>0</v>
      </c>
      <c r="W472" s="67">
        <v>0</v>
      </c>
      <c r="X472" s="67">
        <v>0</v>
      </c>
      <c r="Y472" s="67">
        <v>0</v>
      </c>
      <c r="Z472" s="67">
        <v>0</v>
      </c>
      <c r="AA472" s="67">
        <v>0</v>
      </c>
      <c r="AB472" s="67">
        <v>0</v>
      </c>
      <c r="AC472" s="67">
        <v>0</v>
      </c>
      <c r="AD472" s="67">
        <v>0</v>
      </c>
      <c r="AE472" s="67">
        <v>0</v>
      </c>
      <c r="AF472" s="67">
        <v>0</v>
      </c>
      <c r="AG472" s="67">
        <v>0</v>
      </c>
      <c r="AH472" s="67">
        <v>0</v>
      </c>
      <c r="AI472" s="67">
        <v>0</v>
      </c>
      <c r="AJ472" s="67">
        <v>0</v>
      </c>
      <c r="AK472" s="67">
        <v>0</v>
      </c>
      <c r="AL472" s="67">
        <v>0</v>
      </c>
      <c r="AM472" s="67">
        <v>0</v>
      </c>
      <c r="AN472" s="67">
        <v>0</v>
      </c>
      <c r="AO472" s="67">
        <v>0</v>
      </c>
      <c r="AP472" s="67">
        <v>0</v>
      </c>
      <c r="AQ472" s="67">
        <v>0</v>
      </c>
      <c r="AR472" s="67">
        <v>0</v>
      </c>
      <c r="AS472" s="67">
        <v>0</v>
      </c>
      <c r="AT472" s="67"/>
      <c r="AU472" s="67"/>
      <c r="AV472" s="67"/>
      <c r="AW472" s="67">
        <v>0</v>
      </c>
      <c r="AX472" s="67">
        <v>0</v>
      </c>
      <c r="AY472" s="67"/>
      <c r="AZ472" s="67"/>
      <c r="BA472" s="67"/>
      <c r="BB472" s="67"/>
      <c r="BC472" s="67"/>
      <c r="BD472" s="67"/>
      <c r="BE472" s="67"/>
      <c r="BG472" s="67"/>
      <c r="BH472" s="67"/>
      <c r="BI472" s="67"/>
      <c r="BJ472" s="67">
        <v>0</v>
      </c>
      <c r="BK472" s="67"/>
      <c r="BL472" s="67"/>
      <c r="BP472" s="67"/>
      <c r="BQ472" s="67">
        <v>0</v>
      </c>
      <c r="BR472" s="67"/>
      <c r="BS472" s="67"/>
      <c r="BT472" s="67">
        <v>0</v>
      </c>
      <c r="BU472" s="67">
        <v>0</v>
      </c>
      <c r="BV472" s="67"/>
      <c r="BW472" s="67"/>
      <c r="BX472" s="67">
        <v>0</v>
      </c>
      <c r="BY472" s="67">
        <v>0</v>
      </c>
      <c r="BZ472" s="67">
        <v>0</v>
      </c>
      <c r="CA472" s="67"/>
      <c r="CB472" s="67">
        <v>0</v>
      </c>
      <c r="CC472" s="67"/>
      <c r="CD472" s="67"/>
      <c r="CE472" s="67">
        <v>0</v>
      </c>
      <c r="CF472" s="67"/>
      <c r="CG472" s="67"/>
      <c r="CH472" s="67"/>
      <c r="CI472" s="67"/>
      <c r="CJ472" s="67"/>
      <c r="CK472" s="67">
        <v>0</v>
      </c>
      <c r="CL472" s="67"/>
      <c r="CM472" s="67"/>
      <c r="CN472" s="67"/>
      <c r="CO472" s="67">
        <v>0</v>
      </c>
      <c r="CP472" s="67"/>
      <c r="CQ472" s="67"/>
      <c r="CR472" s="67"/>
      <c r="CS472" s="67"/>
      <c r="CT472" s="67"/>
      <c r="CU472" s="67">
        <v>0</v>
      </c>
      <c r="CV472" s="67"/>
      <c r="CW472" s="67"/>
      <c r="CX472" s="67"/>
      <c r="CY472" s="67">
        <v>0</v>
      </c>
      <c r="CZ472" s="67"/>
      <c r="DA472" s="67"/>
      <c r="DB472" s="67"/>
      <c r="DC472" s="67"/>
      <c r="DF472" s="67"/>
      <c r="DG472" s="67">
        <v>0</v>
      </c>
      <c r="DH472" s="67">
        <v>0</v>
      </c>
      <c r="DI472" s="67">
        <v>0</v>
      </c>
      <c r="DJ472" s="67"/>
      <c r="DK472" s="67">
        <v>0</v>
      </c>
      <c r="DL472" s="67">
        <v>0</v>
      </c>
      <c r="DM472" s="67">
        <v>0</v>
      </c>
      <c r="DN472" s="67"/>
      <c r="DO472" s="67"/>
      <c r="DP472" s="67"/>
      <c r="DQ472" s="67">
        <v>0</v>
      </c>
      <c r="DR472" s="67">
        <v>0</v>
      </c>
      <c r="DS472" s="67"/>
      <c r="DT472" s="67"/>
      <c r="DU472" s="67">
        <v>0</v>
      </c>
      <c r="DV472" s="67">
        <v>0</v>
      </c>
      <c r="DW472" s="67">
        <v>0</v>
      </c>
      <c r="DX472" s="67">
        <v>0</v>
      </c>
      <c r="DY472" s="67"/>
      <c r="DZ472" s="67">
        <v>0</v>
      </c>
      <c r="EA472" s="67"/>
      <c r="EB472" s="67">
        <v>0</v>
      </c>
      <c r="EC472" s="67"/>
      <c r="ED472" s="67">
        <v>0</v>
      </c>
      <c r="EE472" s="67"/>
      <c r="EF472" s="67">
        <v>0</v>
      </c>
      <c r="EG472" s="67"/>
      <c r="EH472" s="67"/>
      <c r="EI472" s="67"/>
      <c r="EJ472" s="67"/>
      <c r="EK472" s="67"/>
      <c r="EL472" s="67"/>
      <c r="EM472" s="67"/>
      <c r="EN472" s="67"/>
      <c r="EO472" s="67"/>
      <c r="EP472" s="67">
        <v>0</v>
      </c>
      <c r="EQ472" s="67">
        <v>0</v>
      </c>
      <c r="ER472" s="67">
        <v>0</v>
      </c>
      <c r="ES472" s="67"/>
      <c r="ET472">
        <v>0</v>
      </c>
      <c r="EX472" s="67"/>
      <c r="EY472" s="67"/>
      <c r="EZ472" s="67"/>
      <c r="FA472" s="67">
        <v>0</v>
      </c>
      <c r="FB472" s="67">
        <v>0</v>
      </c>
      <c r="FC472" s="67"/>
      <c r="FD472" s="67"/>
      <c r="FE472" s="67"/>
      <c r="FF472" s="67"/>
      <c r="FG472" s="67"/>
      <c r="FH472" s="67"/>
      <c r="FI472" s="67" t="s">
        <v>1734</v>
      </c>
    </row>
    <row r="473" spans="2:165" ht="24" x14ac:dyDescent="0.2">
      <c r="B473" s="67" t="s">
        <v>1220</v>
      </c>
      <c r="C473" s="67"/>
      <c r="D473" s="67" t="s">
        <v>1221</v>
      </c>
      <c r="E473" s="67" t="s">
        <v>889</v>
      </c>
      <c r="F473" s="67"/>
      <c r="G473" s="67" t="s">
        <v>694</v>
      </c>
      <c r="H473" s="67"/>
      <c r="I473" s="67" t="s">
        <v>43</v>
      </c>
      <c r="J473" s="67"/>
      <c r="K473" s="67"/>
      <c r="L473" s="67" t="s">
        <v>767</v>
      </c>
      <c r="M473" s="67" t="s">
        <v>752</v>
      </c>
      <c r="N473" s="67"/>
      <c r="O473" s="67" t="s">
        <v>1605</v>
      </c>
      <c r="P473" s="67"/>
      <c r="Q473" s="67">
        <v>0</v>
      </c>
      <c r="R473" s="67">
        <v>0</v>
      </c>
      <c r="S473" s="67">
        <v>0</v>
      </c>
      <c r="T473" s="67">
        <v>0</v>
      </c>
      <c r="U473" s="67">
        <v>0</v>
      </c>
      <c r="V473" s="67">
        <v>0</v>
      </c>
      <c r="W473" s="67">
        <v>0</v>
      </c>
      <c r="X473" s="67">
        <v>0</v>
      </c>
      <c r="Y473" s="67">
        <v>0</v>
      </c>
      <c r="Z473" s="67">
        <v>0</v>
      </c>
      <c r="AA473" s="67">
        <v>0</v>
      </c>
      <c r="AB473" s="67">
        <v>0</v>
      </c>
      <c r="AC473" s="67">
        <v>0</v>
      </c>
      <c r="AD473" s="67">
        <v>0</v>
      </c>
      <c r="AE473" s="67">
        <v>0</v>
      </c>
      <c r="AF473" s="67">
        <v>0</v>
      </c>
      <c r="AG473" s="67">
        <v>0</v>
      </c>
      <c r="AH473" s="67">
        <v>0</v>
      </c>
      <c r="AI473" s="67">
        <v>0</v>
      </c>
      <c r="AJ473" s="67">
        <v>0</v>
      </c>
      <c r="AK473" s="67">
        <v>0</v>
      </c>
      <c r="AL473" s="67">
        <v>0</v>
      </c>
      <c r="AM473" s="67">
        <v>0</v>
      </c>
      <c r="AN473" s="67">
        <v>0</v>
      </c>
      <c r="AO473" s="67">
        <v>0</v>
      </c>
      <c r="AP473" s="67">
        <v>0</v>
      </c>
      <c r="AQ473" s="67">
        <v>0</v>
      </c>
      <c r="AR473" s="67">
        <v>0</v>
      </c>
      <c r="AS473" s="67">
        <v>0</v>
      </c>
      <c r="AT473" s="67"/>
      <c r="AU473" s="67"/>
      <c r="AV473" s="67"/>
      <c r="AW473" s="67">
        <v>0</v>
      </c>
      <c r="AX473" s="67">
        <v>0</v>
      </c>
      <c r="AY473" s="67"/>
      <c r="AZ473" s="67"/>
      <c r="BA473" s="67"/>
      <c r="BB473" s="67"/>
      <c r="BC473" s="67"/>
      <c r="BD473" s="67"/>
      <c r="BE473" s="67"/>
      <c r="BG473" s="67"/>
      <c r="BH473" s="67"/>
      <c r="BI473" s="67"/>
      <c r="BJ473" s="67">
        <v>0</v>
      </c>
      <c r="BK473" s="67"/>
      <c r="BL473" s="67"/>
      <c r="BP473" s="67"/>
      <c r="BQ473" s="67">
        <v>0</v>
      </c>
      <c r="BR473" s="67"/>
      <c r="BS473" s="67"/>
      <c r="BT473" s="67">
        <v>0</v>
      </c>
      <c r="BU473" s="67">
        <v>0</v>
      </c>
      <c r="BV473" s="67"/>
      <c r="BW473" s="67"/>
      <c r="BX473" s="67">
        <v>0</v>
      </c>
      <c r="BY473" s="67">
        <v>0</v>
      </c>
      <c r="BZ473" s="67">
        <v>0</v>
      </c>
      <c r="CA473" s="67"/>
      <c r="CB473" s="67">
        <v>0</v>
      </c>
      <c r="CC473" s="67"/>
      <c r="CD473" s="67"/>
      <c r="CE473" s="67">
        <v>0</v>
      </c>
      <c r="CF473" s="67"/>
      <c r="CG473" s="67"/>
      <c r="CH473" s="67"/>
      <c r="CI473" s="67"/>
      <c r="CJ473" s="67"/>
      <c r="CK473" s="67">
        <v>0</v>
      </c>
      <c r="CL473" s="67"/>
      <c r="CM473" s="67"/>
      <c r="CN473" s="67"/>
      <c r="CO473" s="67">
        <v>0</v>
      </c>
      <c r="CP473" s="67"/>
      <c r="CQ473" s="67"/>
      <c r="CR473" s="67"/>
      <c r="CS473" s="67"/>
      <c r="CT473" s="67"/>
      <c r="CU473" s="67">
        <v>0</v>
      </c>
      <c r="CV473" s="67"/>
      <c r="CW473" s="67"/>
      <c r="CX473" s="67"/>
      <c r="CY473" s="67">
        <v>0</v>
      </c>
      <c r="CZ473" s="67"/>
      <c r="DA473" s="67"/>
      <c r="DB473" s="67"/>
      <c r="DC473" s="67"/>
      <c r="DF473" s="67"/>
      <c r="DG473" s="67">
        <v>0</v>
      </c>
      <c r="DH473" s="67">
        <v>0</v>
      </c>
      <c r="DI473" s="67">
        <v>0</v>
      </c>
      <c r="DJ473" s="67"/>
      <c r="DK473" s="67">
        <v>0</v>
      </c>
      <c r="DL473" s="67">
        <v>0</v>
      </c>
      <c r="DM473" s="67">
        <v>0</v>
      </c>
      <c r="DN473" s="67"/>
      <c r="DO473" s="67"/>
      <c r="DP473" s="67"/>
      <c r="DQ473" s="67">
        <v>0</v>
      </c>
      <c r="DR473" s="67">
        <v>0</v>
      </c>
      <c r="DS473" s="67"/>
      <c r="DT473" s="67"/>
      <c r="DU473" s="67">
        <v>0</v>
      </c>
      <c r="DV473" s="67">
        <v>0</v>
      </c>
      <c r="DW473" s="67">
        <v>0</v>
      </c>
      <c r="DX473" s="67">
        <v>0</v>
      </c>
      <c r="DY473" s="67"/>
      <c r="DZ473" s="67">
        <v>0</v>
      </c>
      <c r="EA473" s="67"/>
      <c r="EB473" s="67">
        <v>0</v>
      </c>
      <c r="EC473" s="67"/>
      <c r="ED473" s="67">
        <v>0</v>
      </c>
      <c r="EE473" s="67"/>
      <c r="EF473" s="67">
        <v>0</v>
      </c>
      <c r="EG473" s="67"/>
      <c r="EH473" s="67"/>
      <c r="EI473" s="67"/>
      <c r="EJ473" s="67"/>
      <c r="EK473" s="67"/>
      <c r="EL473" s="67"/>
      <c r="EM473" s="67"/>
      <c r="EN473" s="67"/>
      <c r="EO473" s="67"/>
      <c r="EP473" s="67">
        <v>0</v>
      </c>
      <c r="EQ473" s="67">
        <v>0</v>
      </c>
      <c r="ER473" s="67">
        <v>0</v>
      </c>
      <c r="ES473" s="67"/>
      <c r="ET473">
        <v>0</v>
      </c>
      <c r="EX473" s="67"/>
      <c r="EY473" s="67"/>
      <c r="EZ473" s="67"/>
      <c r="FA473" s="67">
        <v>0</v>
      </c>
      <c r="FB473" s="67">
        <v>0</v>
      </c>
      <c r="FC473" s="67"/>
      <c r="FD473" s="67"/>
      <c r="FE473" s="67"/>
      <c r="FF473" s="67"/>
      <c r="FG473" s="67"/>
      <c r="FH473" s="67"/>
      <c r="FI473" s="67" t="s">
        <v>1734</v>
      </c>
    </row>
    <row r="474" spans="2:165" ht="24" x14ac:dyDescent="0.2">
      <c r="B474" s="67" t="s">
        <v>1222</v>
      </c>
      <c r="C474" s="67"/>
      <c r="D474" s="67" t="s">
        <v>1223</v>
      </c>
      <c r="E474" s="67" t="s">
        <v>13</v>
      </c>
      <c r="F474" s="67" t="s">
        <v>1224</v>
      </c>
      <c r="G474" s="67" t="s">
        <v>694</v>
      </c>
      <c r="H474" s="67"/>
      <c r="I474" s="67" t="s">
        <v>41</v>
      </c>
      <c r="J474" s="67"/>
      <c r="K474" s="67"/>
      <c r="L474" s="67" t="s">
        <v>787</v>
      </c>
      <c r="M474" s="67" t="s">
        <v>752</v>
      </c>
      <c r="N474" s="67"/>
      <c r="O474" s="67" t="s">
        <v>1605</v>
      </c>
      <c r="P474" s="67"/>
      <c r="Q474" s="67">
        <v>0</v>
      </c>
      <c r="R474" s="67">
        <v>0</v>
      </c>
      <c r="S474" s="67">
        <v>0</v>
      </c>
      <c r="T474" s="67">
        <v>0</v>
      </c>
      <c r="U474" s="67">
        <v>0</v>
      </c>
      <c r="V474" s="67">
        <v>0</v>
      </c>
      <c r="W474" s="67">
        <v>0</v>
      </c>
      <c r="X474" s="67">
        <v>0</v>
      </c>
      <c r="Y474" s="67">
        <v>0</v>
      </c>
      <c r="Z474" s="67">
        <v>0</v>
      </c>
      <c r="AA474" s="67">
        <v>0</v>
      </c>
      <c r="AB474" s="67">
        <v>0</v>
      </c>
      <c r="AC474" s="67">
        <v>0</v>
      </c>
      <c r="AD474" s="67">
        <v>0</v>
      </c>
      <c r="AE474" s="67">
        <v>0</v>
      </c>
      <c r="AF474" s="67">
        <v>0</v>
      </c>
      <c r="AG474" s="67">
        <v>0</v>
      </c>
      <c r="AH474" s="67">
        <v>0</v>
      </c>
      <c r="AI474" s="67">
        <v>0</v>
      </c>
      <c r="AJ474" s="67">
        <v>0</v>
      </c>
      <c r="AK474" s="67">
        <v>0</v>
      </c>
      <c r="AL474" s="67">
        <v>0</v>
      </c>
      <c r="AM474" s="67">
        <v>0</v>
      </c>
      <c r="AN474" s="67">
        <v>0</v>
      </c>
      <c r="AO474" s="67">
        <v>0</v>
      </c>
      <c r="AP474" s="67">
        <v>0</v>
      </c>
      <c r="AQ474" s="67">
        <v>0</v>
      </c>
      <c r="AR474" s="67">
        <v>0</v>
      </c>
      <c r="AS474" s="67">
        <v>0</v>
      </c>
      <c r="AT474" s="67"/>
      <c r="AU474" s="67"/>
      <c r="AV474" s="67"/>
      <c r="AW474" s="67">
        <v>0</v>
      </c>
      <c r="AX474" s="67">
        <v>0</v>
      </c>
      <c r="AY474" s="67"/>
      <c r="AZ474" s="67"/>
      <c r="BA474" s="67"/>
      <c r="BB474" s="67"/>
      <c r="BC474" s="67"/>
      <c r="BD474" s="67"/>
      <c r="BE474" s="67"/>
      <c r="BG474" s="67"/>
      <c r="BH474" s="67"/>
      <c r="BI474" s="67"/>
      <c r="BJ474" s="67">
        <v>0</v>
      </c>
      <c r="BK474" s="67"/>
      <c r="BL474" s="67"/>
      <c r="BP474" s="67"/>
      <c r="BQ474" s="67">
        <v>0</v>
      </c>
      <c r="BR474" s="67"/>
      <c r="BS474" s="67"/>
      <c r="BT474" s="67">
        <v>0</v>
      </c>
      <c r="BU474" s="67">
        <v>0</v>
      </c>
      <c r="BV474" s="67"/>
      <c r="BW474" s="67"/>
      <c r="BX474" s="67">
        <v>0</v>
      </c>
      <c r="BY474" s="67">
        <v>0</v>
      </c>
      <c r="BZ474" s="67">
        <v>0</v>
      </c>
      <c r="CA474" s="67"/>
      <c r="CB474" s="67">
        <v>0</v>
      </c>
      <c r="CC474" s="67"/>
      <c r="CD474" s="67"/>
      <c r="CE474" s="67">
        <v>0</v>
      </c>
      <c r="CF474" s="67"/>
      <c r="CG474" s="67"/>
      <c r="CH474" s="67"/>
      <c r="CI474" s="67"/>
      <c r="CJ474" s="67"/>
      <c r="CK474" s="67">
        <v>0</v>
      </c>
      <c r="CL474" s="67"/>
      <c r="CM474" s="67"/>
      <c r="CN474" s="67"/>
      <c r="CO474" s="67">
        <v>0</v>
      </c>
      <c r="CP474" s="67"/>
      <c r="CQ474" s="67"/>
      <c r="CR474" s="67"/>
      <c r="CS474" s="67"/>
      <c r="CT474" s="67"/>
      <c r="CU474" s="67">
        <v>0</v>
      </c>
      <c r="CV474" s="67"/>
      <c r="CW474" s="67"/>
      <c r="CX474" s="67"/>
      <c r="CY474" s="67">
        <v>0</v>
      </c>
      <c r="CZ474" s="67"/>
      <c r="DA474" s="67"/>
      <c r="DB474" s="67"/>
      <c r="DC474" s="67"/>
      <c r="DF474" s="67"/>
      <c r="DG474" s="67">
        <v>0</v>
      </c>
      <c r="DH474" s="67">
        <v>0</v>
      </c>
      <c r="DI474" s="67">
        <v>0</v>
      </c>
      <c r="DJ474" s="67"/>
      <c r="DK474" s="67">
        <v>0</v>
      </c>
      <c r="DL474" s="67">
        <v>0</v>
      </c>
      <c r="DM474" s="67">
        <v>0</v>
      </c>
      <c r="DN474" s="67"/>
      <c r="DO474" s="67"/>
      <c r="DP474" s="67"/>
      <c r="DQ474" s="67">
        <v>0</v>
      </c>
      <c r="DR474" s="67">
        <v>0</v>
      </c>
      <c r="DS474" s="67"/>
      <c r="DT474" s="67"/>
      <c r="DU474" s="67">
        <v>0</v>
      </c>
      <c r="DV474" s="67">
        <v>0</v>
      </c>
      <c r="DW474" s="67">
        <v>0</v>
      </c>
      <c r="DX474" s="67">
        <v>0</v>
      </c>
      <c r="DY474" s="67"/>
      <c r="DZ474" s="67">
        <v>0</v>
      </c>
      <c r="EA474" s="67"/>
      <c r="EB474" s="67">
        <v>0</v>
      </c>
      <c r="EC474" s="67"/>
      <c r="ED474" s="67">
        <v>0</v>
      </c>
      <c r="EE474" s="67"/>
      <c r="EF474" s="67">
        <v>0</v>
      </c>
      <c r="EG474" s="67"/>
      <c r="EH474" s="67"/>
      <c r="EI474" s="67"/>
      <c r="EJ474" s="67"/>
      <c r="EK474" s="67"/>
      <c r="EL474" s="67"/>
      <c r="EM474" s="67"/>
      <c r="EN474" s="67"/>
      <c r="EO474" s="67"/>
      <c r="EP474" s="67">
        <v>0</v>
      </c>
      <c r="EQ474" s="67">
        <v>0</v>
      </c>
      <c r="ER474" s="67">
        <v>0</v>
      </c>
      <c r="ES474" s="67"/>
      <c r="ET474">
        <v>0</v>
      </c>
      <c r="EX474" s="67"/>
      <c r="EY474" s="67"/>
      <c r="EZ474" s="67"/>
      <c r="FA474" s="67">
        <v>0</v>
      </c>
      <c r="FB474" s="67">
        <v>0</v>
      </c>
      <c r="FC474" s="67"/>
      <c r="FD474" s="67"/>
      <c r="FE474" s="67"/>
      <c r="FF474" s="67"/>
      <c r="FG474" s="67"/>
      <c r="FH474" s="67"/>
      <c r="FI474" s="67" t="s">
        <v>1734</v>
      </c>
    </row>
    <row r="475" spans="2:165" ht="24" x14ac:dyDescent="0.2">
      <c r="B475" s="67" t="s">
        <v>1228</v>
      </c>
      <c r="C475" s="67"/>
      <c r="D475" s="67" t="s">
        <v>1229</v>
      </c>
      <c r="E475" s="67" t="s">
        <v>13</v>
      </c>
      <c r="F475" s="67" t="s">
        <v>1230</v>
      </c>
      <c r="G475" s="67" t="s">
        <v>694</v>
      </c>
      <c r="H475" s="67"/>
      <c r="I475" s="67" t="s">
        <v>41</v>
      </c>
      <c r="J475" s="67"/>
      <c r="K475" s="67"/>
      <c r="L475" s="67" t="s">
        <v>934</v>
      </c>
      <c r="M475" s="67" t="s">
        <v>752</v>
      </c>
      <c r="N475" s="67"/>
      <c r="O475" s="67" t="s">
        <v>1605</v>
      </c>
      <c r="P475" s="67"/>
      <c r="Q475" s="67">
        <v>0</v>
      </c>
      <c r="R475" s="67">
        <v>0</v>
      </c>
      <c r="S475" s="67">
        <v>0</v>
      </c>
      <c r="T475" s="67">
        <v>0</v>
      </c>
      <c r="U475" s="67">
        <v>0</v>
      </c>
      <c r="V475" s="67">
        <v>0</v>
      </c>
      <c r="W475" s="67">
        <v>0</v>
      </c>
      <c r="X475" s="67">
        <v>0</v>
      </c>
      <c r="Y475" s="67">
        <v>0</v>
      </c>
      <c r="Z475" s="67">
        <v>0</v>
      </c>
      <c r="AA475" s="67">
        <v>0</v>
      </c>
      <c r="AB475" s="67">
        <v>0</v>
      </c>
      <c r="AC475" s="67">
        <v>0</v>
      </c>
      <c r="AD475" s="67">
        <v>0</v>
      </c>
      <c r="AE475" s="67">
        <v>0</v>
      </c>
      <c r="AF475" s="67">
        <v>0</v>
      </c>
      <c r="AG475" s="67">
        <v>0</v>
      </c>
      <c r="AH475" s="67">
        <v>0</v>
      </c>
      <c r="AI475" s="67">
        <v>0</v>
      </c>
      <c r="AJ475" s="67">
        <v>0</v>
      </c>
      <c r="AK475" s="67">
        <v>0</v>
      </c>
      <c r="AL475" s="67">
        <v>0</v>
      </c>
      <c r="AM475" s="67">
        <v>0</v>
      </c>
      <c r="AN475" s="67">
        <v>0</v>
      </c>
      <c r="AO475" s="67">
        <v>0</v>
      </c>
      <c r="AP475" s="67">
        <v>0</v>
      </c>
      <c r="AQ475" s="67">
        <v>0</v>
      </c>
      <c r="AR475" s="67">
        <v>0</v>
      </c>
      <c r="AS475" s="67">
        <v>0</v>
      </c>
      <c r="AT475" s="67"/>
      <c r="AU475" s="67"/>
      <c r="AV475" s="67"/>
      <c r="AW475" s="67">
        <v>0</v>
      </c>
      <c r="AX475" s="67">
        <v>0</v>
      </c>
      <c r="AY475" s="67"/>
      <c r="AZ475" s="67"/>
      <c r="BA475" s="67"/>
      <c r="BB475" s="67"/>
      <c r="BC475" s="67"/>
      <c r="BD475" s="67"/>
      <c r="BE475" s="67"/>
      <c r="BG475" s="67"/>
      <c r="BH475" s="67"/>
      <c r="BI475" s="67"/>
      <c r="BJ475" s="67">
        <v>0</v>
      </c>
      <c r="BK475" s="67"/>
      <c r="BL475" s="67"/>
      <c r="BP475" s="67"/>
      <c r="BQ475" s="67">
        <v>0</v>
      </c>
      <c r="BR475" s="67"/>
      <c r="BS475" s="67"/>
      <c r="BT475" s="67">
        <v>0</v>
      </c>
      <c r="BU475" s="67">
        <v>0</v>
      </c>
      <c r="BV475" s="67"/>
      <c r="BW475" s="67"/>
      <c r="BX475" s="67">
        <v>0</v>
      </c>
      <c r="BY475" s="67">
        <v>0</v>
      </c>
      <c r="BZ475" s="67">
        <v>0</v>
      </c>
      <c r="CA475" s="67"/>
      <c r="CB475" s="67">
        <v>0</v>
      </c>
      <c r="CC475" s="67"/>
      <c r="CD475" s="67"/>
      <c r="CE475" s="67">
        <v>0</v>
      </c>
      <c r="CF475" s="67"/>
      <c r="CG475" s="67"/>
      <c r="CH475" s="67"/>
      <c r="CI475" s="67"/>
      <c r="CJ475" s="67"/>
      <c r="CK475" s="67">
        <v>0</v>
      </c>
      <c r="CL475" s="67"/>
      <c r="CM475" s="67"/>
      <c r="CN475" s="67"/>
      <c r="CO475" s="67">
        <v>0</v>
      </c>
      <c r="CP475" s="67"/>
      <c r="CQ475" s="67"/>
      <c r="CR475" s="67"/>
      <c r="CS475" s="67"/>
      <c r="CT475" s="67"/>
      <c r="CU475" s="67">
        <v>0</v>
      </c>
      <c r="CV475" s="67"/>
      <c r="CW475" s="67"/>
      <c r="CX475" s="67"/>
      <c r="CY475" s="67">
        <v>0</v>
      </c>
      <c r="CZ475" s="67"/>
      <c r="DA475" s="67"/>
      <c r="DB475" s="67"/>
      <c r="DC475" s="67"/>
      <c r="DF475" s="67"/>
      <c r="DG475" s="67">
        <v>0</v>
      </c>
      <c r="DH475" s="67">
        <v>0</v>
      </c>
      <c r="DI475" s="67">
        <v>0</v>
      </c>
      <c r="DJ475" s="67"/>
      <c r="DK475" s="67">
        <v>0</v>
      </c>
      <c r="DL475" s="67">
        <v>0</v>
      </c>
      <c r="DM475" s="67">
        <v>0</v>
      </c>
      <c r="DN475" s="67"/>
      <c r="DO475" s="67"/>
      <c r="DP475" s="67"/>
      <c r="DQ475" s="67">
        <v>0</v>
      </c>
      <c r="DR475" s="67">
        <v>0</v>
      </c>
      <c r="DS475" s="67"/>
      <c r="DT475" s="67"/>
      <c r="DU475" s="67">
        <v>0</v>
      </c>
      <c r="DV475" s="67">
        <v>0</v>
      </c>
      <c r="DW475" s="67">
        <v>0</v>
      </c>
      <c r="DX475" s="67">
        <v>0</v>
      </c>
      <c r="DY475" s="67"/>
      <c r="DZ475" s="67">
        <v>0</v>
      </c>
      <c r="EA475" s="67"/>
      <c r="EB475" s="67">
        <v>0</v>
      </c>
      <c r="EC475" s="67"/>
      <c r="ED475" s="67">
        <v>0</v>
      </c>
      <c r="EE475" s="67"/>
      <c r="EF475" s="67">
        <v>0</v>
      </c>
      <c r="EG475" s="67"/>
      <c r="EH475" s="67"/>
      <c r="EI475" s="67"/>
      <c r="EJ475" s="67"/>
      <c r="EK475" s="67"/>
      <c r="EL475" s="67"/>
      <c r="EM475" s="67"/>
      <c r="EN475" s="67"/>
      <c r="EO475" s="67"/>
      <c r="EP475" s="67">
        <v>0</v>
      </c>
      <c r="EQ475" s="67">
        <v>0</v>
      </c>
      <c r="ER475" s="67">
        <v>0</v>
      </c>
      <c r="ES475" s="67"/>
      <c r="ET475">
        <v>0</v>
      </c>
      <c r="EX475" s="67"/>
      <c r="EY475" s="67"/>
      <c r="EZ475" s="67"/>
      <c r="FA475" s="67">
        <v>0</v>
      </c>
      <c r="FB475" s="67">
        <v>0</v>
      </c>
      <c r="FC475" s="67"/>
      <c r="FD475" s="67"/>
      <c r="FE475" s="67"/>
      <c r="FF475" s="67"/>
      <c r="FG475" s="67"/>
      <c r="FH475" s="67"/>
      <c r="FI475" s="67" t="s">
        <v>1734</v>
      </c>
    </row>
    <row r="476" spans="2:165" ht="24" x14ac:dyDescent="0.2">
      <c r="B476" s="67" t="s">
        <v>1233</v>
      </c>
      <c r="C476" s="67"/>
      <c r="D476" s="67" t="s">
        <v>1234</v>
      </c>
      <c r="E476" s="67" t="s">
        <v>13</v>
      </c>
      <c r="F476" s="67" t="s">
        <v>1230</v>
      </c>
      <c r="G476" s="67" t="s">
        <v>694</v>
      </c>
      <c r="H476" s="67"/>
      <c r="I476" s="67" t="s">
        <v>41</v>
      </c>
      <c r="J476" s="67"/>
      <c r="K476" s="67"/>
      <c r="L476" s="67" t="s">
        <v>787</v>
      </c>
      <c r="M476" s="67" t="s">
        <v>752</v>
      </c>
      <c r="N476" s="67"/>
      <c r="O476" s="67" t="s">
        <v>1605</v>
      </c>
      <c r="P476" s="67"/>
      <c r="Q476" s="67">
        <v>0</v>
      </c>
      <c r="R476" s="67">
        <v>0</v>
      </c>
      <c r="S476" s="67">
        <v>0</v>
      </c>
      <c r="T476" s="67">
        <v>0</v>
      </c>
      <c r="U476" s="67">
        <v>0</v>
      </c>
      <c r="V476" s="67">
        <v>0</v>
      </c>
      <c r="W476" s="67">
        <v>0</v>
      </c>
      <c r="X476" s="67">
        <v>0</v>
      </c>
      <c r="Y476" s="67">
        <v>0</v>
      </c>
      <c r="Z476" s="67">
        <v>0</v>
      </c>
      <c r="AA476" s="67">
        <v>0</v>
      </c>
      <c r="AB476" s="67">
        <v>0</v>
      </c>
      <c r="AC476" s="67">
        <v>0</v>
      </c>
      <c r="AD476" s="67">
        <v>0</v>
      </c>
      <c r="AE476" s="67">
        <v>0</v>
      </c>
      <c r="AF476" s="67">
        <v>0</v>
      </c>
      <c r="AG476" s="67">
        <v>0</v>
      </c>
      <c r="AH476" s="67">
        <v>0</v>
      </c>
      <c r="AI476" s="67">
        <v>0</v>
      </c>
      <c r="AJ476" s="67">
        <v>0</v>
      </c>
      <c r="AK476" s="67">
        <v>0</v>
      </c>
      <c r="AL476" s="67">
        <v>0</v>
      </c>
      <c r="AM476" s="67">
        <v>0</v>
      </c>
      <c r="AN476" s="67">
        <v>0</v>
      </c>
      <c r="AO476" s="67">
        <v>0</v>
      </c>
      <c r="AP476" s="67">
        <v>0</v>
      </c>
      <c r="AQ476" s="67">
        <v>0</v>
      </c>
      <c r="AR476" s="67">
        <v>0</v>
      </c>
      <c r="AS476" s="67">
        <v>0</v>
      </c>
      <c r="AT476" s="67"/>
      <c r="AU476" s="67"/>
      <c r="AV476" s="67"/>
      <c r="AW476" s="67">
        <v>0</v>
      </c>
      <c r="AX476" s="67">
        <v>0</v>
      </c>
      <c r="AY476" s="67"/>
      <c r="AZ476" s="67"/>
      <c r="BA476" s="67"/>
      <c r="BB476" s="67"/>
      <c r="BC476" s="67"/>
      <c r="BD476" s="67"/>
      <c r="BE476" s="67"/>
      <c r="BG476" s="67"/>
      <c r="BH476" s="67"/>
      <c r="BI476" s="67"/>
      <c r="BJ476" s="67">
        <v>0</v>
      </c>
      <c r="BK476" s="67"/>
      <c r="BL476" s="67"/>
      <c r="BP476" s="67"/>
      <c r="BQ476" s="67">
        <v>0</v>
      </c>
      <c r="BR476" s="67"/>
      <c r="BS476" s="67"/>
      <c r="BT476" s="67">
        <v>0</v>
      </c>
      <c r="BU476" s="67">
        <v>0</v>
      </c>
      <c r="BV476" s="67"/>
      <c r="BW476" s="67"/>
      <c r="BX476" s="67">
        <v>0</v>
      </c>
      <c r="BY476" s="67">
        <v>0</v>
      </c>
      <c r="BZ476" s="67">
        <v>0</v>
      </c>
      <c r="CA476" s="67"/>
      <c r="CB476" s="67">
        <v>0</v>
      </c>
      <c r="CC476" s="67"/>
      <c r="CD476" s="67"/>
      <c r="CE476" s="67">
        <v>0</v>
      </c>
      <c r="CF476" s="67"/>
      <c r="CG476" s="67"/>
      <c r="CH476" s="67"/>
      <c r="CI476" s="67"/>
      <c r="CJ476" s="67"/>
      <c r="CK476" s="67">
        <v>0</v>
      </c>
      <c r="CL476" s="67"/>
      <c r="CM476" s="67"/>
      <c r="CN476" s="67"/>
      <c r="CO476" s="67">
        <v>0</v>
      </c>
      <c r="CP476" s="67"/>
      <c r="CQ476" s="67"/>
      <c r="CR476" s="67"/>
      <c r="CS476" s="67"/>
      <c r="CT476" s="67"/>
      <c r="CU476" s="67">
        <v>0</v>
      </c>
      <c r="CV476" s="67"/>
      <c r="CW476" s="67"/>
      <c r="CX476" s="67"/>
      <c r="CY476" s="67">
        <v>0</v>
      </c>
      <c r="CZ476" s="67"/>
      <c r="DA476" s="67"/>
      <c r="DB476" s="67"/>
      <c r="DC476" s="67"/>
      <c r="DF476" s="67"/>
      <c r="DG476" s="67">
        <v>0</v>
      </c>
      <c r="DH476" s="67">
        <v>0</v>
      </c>
      <c r="DI476" s="67">
        <v>0</v>
      </c>
      <c r="DJ476" s="67"/>
      <c r="DK476" s="67">
        <v>0</v>
      </c>
      <c r="DL476" s="67">
        <v>0</v>
      </c>
      <c r="DM476" s="67">
        <v>0</v>
      </c>
      <c r="DN476" s="67"/>
      <c r="DO476" s="67"/>
      <c r="DP476" s="67"/>
      <c r="DQ476" s="67">
        <v>0</v>
      </c>
      <c r="DR476" s="67">
        <v>0</v>
      </c>
      <c r="DS476" s="67"/>
      <c r="DT476" s="67"/>
      <c r="DU476" s="67">
        <v>0</v>
      </c>
      <c r="DV476" s="67">
        <v>0</v>
      </c>
      <c r="DW476" s="67">
        <v>0</v>
      </c>
      <c r="DX476" s="67">
        <v>0</v>
      </c>
      <c r="DY476" s="67"/>
      <c r="DZ476" s="67">
        <v>0</v>
      </c>
      <c r="EA476" s="67"/>
      <c r="EB476" s="67">
        <v>0</v>
      </c>
      <c r="EC476" s="67"/>
      <c r="ED476" s="67">
        <v>0</v>
      </c>
      <c r="EE476" s="67"/>
      <c r="EF476" s="67">
        <v>0</v>
      </c>
      <c r="EG476" s="67"/>
      <c r="EH476" s="67"/>
      <c r="EI476" s="67"/>
      <c r="EJ476" s="67"/>
      <c r="EK476" s="67"/>
      <c r="EL476" s="67"/>
      <c r="EM476" s="67"/>
      <c r="EN476" s="67"/>
      <c r="EO476" s="67"/>
      <c r="EP476" s="67">
        <v>0</v>
      </c>
      <c r="EQ476" s="67">
        <v>0</v>
      </c>
      <c r="ER476" s="67">
        <v>0</v>
      </c>
      <c r="ES476" s="67"/>
      <c r="ET476">
        <v>0</v>
      </c>
      <c r="EX476" s="67"/>
      <c r="EY476" s="67"/>
      <c r="EZ476" s="67"/>
      <c r="FA476" s="67">
        <v>0</v>
      </c>
      <c r="FB476" s="67">
        <v>0</v>
      </c>
      <c r="FC476" s="67"/>
      <c r="FD476" s="67"/>
      <c r="FE476" s="67"/>
      <c r="FF476" s="67"/>
      <c r="FG476" s="67"/>
      <c r="FH476" s="67"/>
      <c r="FI476" s="67" t="s">
        <v>1734</v>
      </c>
    </row>
    <row r="477" spans="2:165" ht="24" x14ac:dyDescent="0.2">
      <c r="B477" s="67" t="s">
        <v>1235</v>
      </c>
      <c r="C477" s="67"/>
      <c r="D477" s="67" t="s">
        <v>1236</v>
      </c>
      <c r="E477" s="67"/>
      <c r="F477" s="67"/>
      <c r="G477" s="67" t="s">
        <v>694</v>
      </c>
      <c r="H477" s="67"/>
      <c r="I477" s="67"/>
      <c r="J477" s="67"/>
      <c r="K477" s="67" t="s">
        <v>1237</v>
      </c>
      <c r="L477" s="67"/>
      <c r="M477" s="67"/>
      <c r="N477" s="67"/>
      <c r="O477" s="67" t="s">
        <v>1605</v>
      </c>
      <c r="P477" s="67" t="s">
        <v>1238</v>
      </c>
      <c r="Q477" s="67">
        <v>0</v>
      </c>
      <c r="R477" s="67">
        <v>0</v>
      </c>
      <c r="S477" s="67">
        <v>0</v>
      </c>
      <c r="T477" s="67">
        <v>0</v>
      </c>
      <c r="U477" s="67">
        <v>0</v>
      </c>
      <c r="V477" s="67">
        <v>0</v>
      </c>
      <c r="W477" s="67">
        <v>0</v>
      </c>
      <c r="X477" s="67">
        <v>0</v>
      </c>
      <c r="Y477" s="67">
        <v>0</v>
      </c>
      <c r="Z477" s="67">
        <v>0</v>
      </c>
      <c r="AA477" s="67">
        <v>0</v>
      </c>
      <c r="AB477" s="67">
        <v>0</v>
      </c>
      <c r="AC477" s="67">
        <v>0</v>
      </c>
      <c r="AD477" s="67">
        <v>0</v>
      </c>
      <c r="AE477" s="67">
        <v>0</v>
      </c>
      <c r="AF477" s="67">
        <v>0</v>
      </c>
      <c r="AG477" s="67">
        <v>0</v>
      </c>
      <c r="AH477" s="67">
        <v>0</v>
      </c>
      <c r="AI477" s="67">
        <v>0</v>
      </c>
      <c r="AJ477" s="67">
        <v>0</v>
      </c>
      <c r="AK477" s="67">
        <v>0</v>
      </c>
      <c r="AL477" s="67">
        <v>0</v>
      </c>
      <c r="AM477" s="67">
        <v>0</v>
      </c>
      <c r="AN477" s="67">
        <v>0</v>
      </c>
      <c r="AO477" s="67">
        <v>0</v>
      </c>
      <c r="AP477" s="67">
        <v>0</v>
      </c>
      <c r="AQ477" s="67">
        <v>0</v>
      </c>
      <c r="AR477" s="67">
        <v>0</v>
      </c>
      <c r="AS477" s="67">
        <v>0</v>
      </c>
      <c r="AT477" s="67"/>
      <c r="AU477" s="67"/>
      <c r="AV477" s="67"/>
      <c r="AW477" s="67">
        <v>0</v>
      </c>
      <c r="AX477" s="67">
        <v>0</v>
      </c>
      <c r="AY477" s="67"/>
      <c r="AZ477" s="67"/>
      <c r="BA477" s="67"/>
      <c r="BB477" s="67"/>
      <c r="BC477" s="67"/>
      <c r="BD477" s="67"/>
      <c r="BE477" s="67"/>
      <c r="BG477" s="67"/>
      <c r="BH477" s="67"/>
      <c r="BI477" s="67"/>
      <c r="BJ477" s="67">
        <v>0</v>
      </c>
      <c r="BK477" s="67"/>
      <c r="BL477" s="67"/>
      <c r="BP477" s="67"/>
      <c r="BQ477" s="67">
        <v>0</v>
      </c>
      <c r="BR477" s="67"/>
      <c r="BS477" s="67"/>
      <c r="BT477" s="67">
        <v>0</v>
      </c>
      <c r="BU477" s="67">
        <v>0</v>
      </c>
      <c r="BV477" s="67"/>
      <c r="BW477" s="67"/>
      <c r="BX477" s="67">
        <v>0</v>
      </c>
      <c r="BY477" s="67">
        <v>0</v>
      </c>
      <c r="BZ477" s="67">
        <v>0</v>
      </c>
      <c r="CA477" s="67"/>
      <c r="CB477" s="67">
        <v>0</v>
      </c>
      <c r="CC477" s="67"/>
      <c r="CD477" s="67"/>
      <c r="CE477" s="67">
        <v>0</v>
      </c>
      <c r="CF477" s="67"/>
      <c r="CG477" s="67"/>
      <c r="CH477" s="67"/>
      <c r="CI477" s="67"/>
      <c r="CJ477" s="67"/>
      <c r="CK477" s="67">
        <v>0</v>
      </c>
      <c r="CL477" s="67"/>
      <c r="CM477" s="67"/>
      <c r="CN477" s="67"/>
      <c r="CO477" s="67">
        <v>0</v>
      </c>
      <c r="CP477" s="67"/>
      <c r="CQ477" s="67"/>
      <c r="CR477" s="67"/>
      <c r="CS477" s="67"/>
      <c r="CT477" s="67"/>
      <c r="CU477" s="67">
        <v>0</v>
      </c>
      <c r="CV477" s="67"/>
      <c r="CW477" s="67"/>
      <c r="CX477" s="67"/>
      <c r="CY477" s="67">
        <v>0</v>
      </c>
      <c r="CZ477" s="67"/>
      <c r="DA477" s="67"/>
      <c r="DB477" s="67"/>
      <c r="DC477" s="67"/>
      <c r="DF477" s="67"/>
      <c r="DG477" s="67">
        <v>0</v>
      </c>
      <c r="DH477" s="67">
        <v>0</v>
      </c>
      <c r="DI477" s="67">
        <v>0</v>
      </c>
      <c r="DJ477" s="67"/>
      <c r="DK477" s="67">
        <v>0</v>
      </c>
      <c r="DL477" s="67">
        <v>0</v>
      </c>
      <c r="DM477" s="67">
        <v>0</v>
      </c>
      <c r="DN477" s="67"/>
      <c r="DO477" s="67"/>
      <c r="DP477" s="67"/>
      <c r="DQ477" s="67">
        <v>0</v>
      </c>
      <c r="DR477" s="67">
        <v>0</v>
      </c>
      <c r="DS477" s="67"/>
      <c r="DT477" s="67"/>
      <c r="DU477" s="67">
        <v>0</v>
      </c>
      <c r="DV477" s="67">
        <v>0</v>
      </c>
      <c r="DW477" s="67">
        <v>0</v>
      </c>
      <c r="DX477" s="67">
        <v>0</v>
      </c>
      <c r="DY477" s="67"/>
      <c r="DZ477" s="67">
        <v>0</v>
      </c>
      <c r="EA477" s="67"/>
      <c r="EB477" s="67">
        <v>0</v>
      </c>
      <c r="EC477" s="67"/>
      <c r="ED477" s="67">
        <v>0</v>
      </c>
      <c r="EE477" s="67"/>
      <c r="EF477" s="67">
        <v>0</v>
      </c>
      <c r="EG477" s="67"/>
      <c r="EH477" s="67"/>
      <c r="EI477" s="67"/>
      <c r="EJ477" s="67"/>
      <c r="EK477" s="67"/>
      <c r="EL477" s="67"/>
      <c r="EM477" s="67"/>
      <c r="EN477" s="67"/>
      <c r="EO477" s="67"/>
      <c r="EP477" s="67">
        <v>0</v>
      </c>
      <c r="EQ477" s="67">
        <v>0</v>
      </c>
      <c r="ER477" s="67">
        <v>0</v>
      </c>
      <c r="ES477" s="67"/>
      <c r="ET477">
        <v>0</v>
      </c>
      <c r="EX477" s="67"/>
      <c r="EY477" s="67"/>
      <c r="EZ477" s="67"/>
      <c r="FA477" s="67">
        <v>0</v>
      </c>
      <c r="FB477" s="67">
        <v>0</v>
      </c>
      <c r="FC477" s="67"/>
      <c r="FD477" s="67"/>
      <c r="FE477" s="67"/>
      <c r="FF477" s="67"/>
      <c r="FG477" s="67"/>
      <c r="FH477" s="67"/>
      <c r="FI477" s="67" t="s">
        <v>1734</v>
      </c>
    </row>
    <row r="478" spans="2:165" ht="24" x14ac:dyDescent="0.2">
      <c r="B478" s="67" t="s">
        <v>1239</v>
      </c>
      <c r="C478" s="67"/>
      <c r="D478" s="67" t="s">
        <v>1240</v>
      </c>
      <c r="E478" s="67" t="s">
        <v>13</v>
      </c>
      <c r="F478" s="67" t="s">
        <v>1241</v>
      </c>
      <c r="G478" s="67" t="s">
        <v>694</v>
      </c>
      <c r="H478" s="67"/>
      <c r="I478" s="67" t="s">
        <v>41</v>
      </c>
      <c r="J478" s="67"/>
      <c r="K478" s="67"/>
      <c r="L478" s="67" t="s">
        <v>1242</v>
      </c>
      <c r="M478" s="67" t="s">
        <v>752</v>
      </c>
      <c r="N478" s="67"/>
      <c r="O478" s="67" t="s">
        <v>1605</v>
      </c>
      <c r="P478" s="67"/>
      <c r="Q478" s="67">
        <v>0</v>
      </c>
      <c r="R478" s="67">
        <v>0</v>
      </c>
      <c r="S478" s="67">
        <v>0</v>
      </c>
      <c r="T478" s="67">
        <v>0</v>
      </c>
      <c r="U478" s="67">
        <v>0</v>
      </c>
      <c r="V478" s="67">
        <v>0</v>
      </c>
      <c r="W478" s="67">
        <v>0</v>
      </c>
      <c r="X478" s="67">
        <v>0</v>
      </c>
      <c r="Y478" s="67">
        <v>0</v>
      </c>
      <c r="Z478" s="67">
        <v>0</v>
      </c>
      <c r="AA478" s="67">
        <v>0</v>
      </c>
      <c r="AB478" s="67">
        <v>0</v>
      </c>
      <c r="AC478" s="67">
        <v>0</v>
      </c>
      <c r="AD478" s="67">
        <v>0</v>
      </c>
      <c r="AE478" s="67">
        <v>0</v>
      </c>
      <c r="AF478" s="67">
        <v>0</v>
      </c>
      <c r="AG478" s="67">
        <v>0</v>
      </c>
      <c r="AH478" s="67">
        <v>0</v>
      </c>
      <c r="AI478" s="67">
        <v>0</v>
      </c>
      <c r="AJ478" s="67">
        <v>0</v>
      </c>
      <c r="AK478" s="67">
        <v>0</v>
      </c>
      <c r="AL478" s="67">
        <v>0</v>
      </c>
      <c r="AM478" s="67">
        <v>0</v>
      </c>
      <c r="AN478" s="67">
        <v>0</v>
      </c>
      <c r="AO478" s="67">
        <v>0</v>
      </c>
      <c r="AP478" s="67">
        <v>0</v>
      </c>
      <c r="AQ478" s="67">
        <v>0</v>
      </c>
      <c r="AR478" s="67">
        <v>0</v>
      </c>
      <c r="AS478" s="67">
        <v>0</v>
      </c>
      <c r="AT478" s="67"/>
      <c r="AU478" s="67"/>
      <c r="AV478" s="67"/>
      <c r="AW478" s="67">
        <v>0</v>
      </c>
      <c r="AX478" s="67">
        <v>0</v>
      </c>
      <c r="AY478" s="67"/>
      <c r="AZ478" s="67"/>
      <c r="BA478" s="67"/>
      <c r="BB478" s="67"/>
      <c r="BC478" s="67"/>
      <c r="BD478" s="67"/>
      <c r="BE478" s="67"/>
      <c r="BG478" s="67"/>
      <c r="BH478" s="67"/>
      <c r="BI478" s="67"/>
      <c r="BJ478" s="67">
        <v>0</v>
      </c>
      <c r="BK478" s="67"/>
      <c r="BL478" s="67"/>
      <c r="BP478" s="67"/>
      <c r="BQ478" s="67">
        <v>0</v>
      </c>
      <c r="BR478" s="67"/>
      <c r="BS478" s="67"/>
      <c r="BT478" s="67">
        <v>0</v>
      </c>
      <c r="BU478" s="67">
        <v>0</v>
      </c>
      <c r="BV478" s="67"/>
      <c r="BW478" s="67"/>
      <c r="BX478" s="67">
        <v>0</v>
      </c>
      <c r="BY478" s="67">
        <v>0</v>
      </c>
      <c r="BZ478" s="67">
        <v>0</v>
      </c>
      <c r="CA478" s="67"/>
      <c r="CB478" s="67">
        <v>0</v>
      </c>
      <c r="CC478" s="67"/>
      <c r="CD478" s="67"/>
      <c r="CE478" s="67">
        <v>0</v>
      </c>
      <c r="CF478" s="67"/>
      <c r="CG478" s="67"/>
      <c r="CH478" s="67"/>
      <c r="CI478" s="67"/>
      <c r="CJ478" s="67"/>
      <c r="CK478" s="67">
        <v>0</v>
      </c>
      <c r="CL478" s="67"/>
      <c r="CM478" s="67"/>
      <c r="CN478" s="67"/>
      <c r="CO478" s="67">
        <v>0</v>
      </c>
      <c r="CP478" s="67"/>
      <c r="CQ478" s="67"/>
      <c r="CR478" s="67"/>
      <c r="CS478" s="67"/>
      <c r="CT478" s="67"/>
      <c r="CU478" s="67">
        <v>0</v>
      </c>
      <c r="CV478" s="67"/>
      <c r="CW478" s="67"/>
      <c r="CX478" s="67"/>
      <c r="CY478" s="67">
        <v>0</v>
      </c>
      <c r="CZ478" s="67"/>
      <c r="DA478" s="67"/>
      <c r="DB478" s="67"/>
      <c r="DC478" s="67"/>
      <c r="DF478" s="67"/>
      <c r="DG478" s="67">
        <v>0</v>
      </c>
      <c r="DH478" s="67">
        <v>0</v>
      </c>
      <c r="DI478" s="67">
        <v>0</v>
      </c>
      <c r="DJ478" s="67"/>
      <c r="DK478" s="67">
        <v>0</v>
      </c>
      <c r="DL478" s="67">
        <v>0</v>
      </c>
      <c r="DM478" s="67">
        <v>0</v>
      </c>
      <c r="DN478" s="67"/>
      <c r="DO478" s="67"/>
      <c r="DP478" s="67"/>
      <c r="DQ478" s="67">
        <v>0</v>
      </c>
      <c r="DR478" s="67">
        <v>0</v>
      </c>
      <c r="DS478" s="67"/>
      <c r="DT478" s="67"/>
      <c r="DU478" s="67">
        <v>0</v>
      </c>
      <c r="DV478" s="67">
        <v>0</v>
      </c>
      <c r="DW478" s="67">
        <v>0</v>
      </c>
      <c r="DX478" s="67">
        <v>0</v>
      </c>
      <c r="DY478" s="67"/>
      <c r="DZ478" s="67">
        <v>0</v>
      </c>
      <c r="EA478" s="67"/>
      <c r="EB478" s="67">
        <v>0</v>
      </c>
      <c r="EC478" s="67"/>
      <c r="ED478" s="67">
        <v>0</v>
      </c>
      <c r="EE478" s="67"/>
      <c r="EF478" s="67">
        <v>0</v>
      </c>
      <c r="EG478" s="67"/>
      <c r="EH478" s="67"/>
      <c r="EI478" s="67"/>
      <c r="EJ478" s="67"/>
      <c r="EK478" s="67"/>
      <c r="EL478" s="67"/>
      <c r="EM478" s="67"/>
      <c r="EN478" s="67"/>
      <c r="EO478" s="67"/>
      <c r="EP478" s="67">
        <v>0</v>
      </c>
      <c r="EQ478" s="67">
        <v>0</v>
      </c>
      <c r="ER478" s="67">
        <v>0</v>
      </c>
      <c r="ES478" s="67"/>
      <c r="ET478">
        <v>0</v>
      </c>
      <c r="EX478" s="67"/>
      <c r="EY478" s="67"/>
      <c r="EZ478" s="67"/>
      <c r="FA478" s="67">
        <v>0</v>
      </c>
      <c r="FB478" s="67">
        <v>0</v>
      </c>
      <c r="FC478" s="67"/>
      <c r="FD478" s="67"/>
      <c r="FE478" s="67"/>
      <c r="FF478" s="67"/>
      <c r="FG478" s="67"/>
      <c r="FH478" s="67"/>
      <c r="FI478" s="67" t="s">
        <v>1734</v>
      </c>
    </row>
    <row r="479" spans="2:165" ht="24" x14ac:dyDescent="0.2">
      <c r="B479" s="67" t="s">
        <v>1247</v>
      </c>
      <c r="C479" s="67"/>
      <c r="D479" s="67" t="s">
        <v>1248</v>
      </c>
      <c r="E479" s="67" t="s">
        <v>13</v>
      </c>
      <c r="F479" s="67" t="s">
        <v>1241</v>
      </c>
      <c r="G479" s="67" t="s">
        <v>694</v>
      </c>
      <c r="H479" s="67"/>
      <c r="I479" s="67" t="s">
        <v>41</v>
      </c>
      <c r="J479" s="67"/>
      <c r="K479" s="67"/>
      <c r="L479" s="67" t="s">
        <v>1242</v>
      </c>
      <c r="M479" s="67" t="s">
        <v>752</v>
      </c>
      <c r="N479" s="67"/>
      <c r="O479" s="67" t="s">
        <v>1605</v>
      </c>
      <c r="P479" s="67" t="s">
        <v>942</v>
      </c>
      <c r="Q479" s="67">
        <v>0</v>
      </c>
      <c r="R479" s="67">
        <v>0</v>
      </c>
      <c r="S479" s="67">
        <v>0</v>
      </c>
      <c r="T479" s="67">
        <v>0</v>
      </c>
      <c r="U479" s="67">
        <v>0</v>
      </c>
      <c r="V479" s="67">
        <v>0</v>
      </c>
      <c r="W479" s="67">
        <v>0</v>
      </c>
      <c r="X479" s="67">
        <v>0</v>
      </c>
      <c r="Y479" s="67">
        <v>0</v>
      </c>
      <c r="Z479" s="67">
        <v>0</v>
      </c>
      <c r="AA479" s="67">
        <v>0</v>
      </c>
      <c r="AB479" s="67">
        <v>0</v>
      </c>
      <c r="AC479" s="67">
        <v>0</v>
      </c>
      <c r="AD479" s="67">
        <v>0</v>
      </c>
      <c r="AE479" s="67">
        <v>0</v>
      </c>
      <c r="AF479" s="67">
        <v>0</v>
      </c>
      <c r="AG479" s="67">
        <v>0</v>
      </c>
      <c r="AH479" s="67">
        <v>0</v>
      </c>
      <c r="AI479" s="67">
        <v>0</v>
      </c>
      <c r="AJ479" s="67">
        <v>0</v>
      </c>
      <c r="AK479" s="67">
        <v>0</v>
      </c>
      <c r="AL479" s="67">
        <v>0</v>
      </c>
      <c r="AM479" s="67">
        <v>0</v>
      </c>
      <c r="AN479" s="67">
        <v>0</v>
      </c>
      <c r="AO479" s="67">
        <v>0</v>
      </c>
      <c r="AP479" s="67">
        <v>0</v>
      </c>
      <c r="AQ479" s="67">
        <v>0</v>
      </c>
      <c r="AR479" s="67">
        <v>0</v>
      </c>
      <c r="AS479" s="67">
        <v>0</v>
      </c>
      <c r="AT479" s="67"/>
      <c r="AU479" s="67"/>
      <c r="AV479" s="67"/>
      <c r="AW479" s="67">
        <v>0</v>
      </c>
      <c r="AX479" s="67">
        <v>0</v>
      </c>
      <c r="AY479" s="67"/>
      <c r="AZ479" s="67"/>
      <c r="BA479" s="67"/>
      <c r="BB479" s="67"/>
      <c r="BC479" s="67"/>
      <c r="BD479" s="67"/>
      <c r="BE479" s="67"/>
      <c r="BG479" s="67"/>
      <c r="BH479" s="67"/>
      <c r="BI479" s="67"/>
      <c r="BJ479" s="67">
        <v>0</v>
      </c>
      <c r="BK479" s="67"/>
      <c r="BL479" s="67"/>
      <c r="BP479" s="67"/>
      <c r="BQ479" s="67">
        <v>0</v>
      </c>
      <c r="BR479" s="67"/>
      <c r="BS479" s="67"/>
      <c r="BT479" s="67">
        <v>0</v>
      </c>
      <c r="BU479" s="67">
        <v>0</v>
      </c>
      <c r="BV479" s="67"/>
      <c r="BW479" s="67"/>
      <c r="BX479" s="67">
        <v>0</v>
      </c>
      <c r="BY479" s="67">
        <v>0</v>
      </c>
      <c r="BZ479" s="67">
        <v>0</v>
      </c>
      <c r="CA479" s="67"/>
      <c r="CB479" s="67">
        <v>0</v>
      </c>
      <c r="CC479" s="67"/>
      <c r="CD479" s="67"/>
      <c r="CE479" s="67">
        <v>0</v>
      </c>
      <c r="CF479" s="67"/>
      <c r="CG479" s="67"/>
      <c r="CH479" s="67"/>
      <c r="CI479" s="67"/>
      <c r="CJ479" s="67"/>
      <c r="CK479" s="67">
        <v>0</v>
      </c>
      <c r="CL479" s="67"/>
      <c r="CM479" s="67"/>
      <c r="CN479" s="67"/>
      <c r="CO479" s="67">
        <v>0</v>
      </c>
      <c r="CP479" s="67"/>
      <c r="CQ479" s="67"/>
      <c r="CR479" s="67"/>
      <c r="CS479" s="67"/>
      <c r="CT479" s="67"/>
      <c r="CU479" s="67">
        <v>0</v>
      </c>
      <c r="CV479" s="67"/>
      <c r="CW479" s="67"/>
      <c r="CX479" s="67"/>
      <c r="CY479" s="67">
        <v>0</v>
      </c>
      <c r="CZ479" s="67"/>
      <c r="DA479" s="67"/>
      <c r="DB479" s="67"/>
      <c r="DC479" s="67"/>
      <c r="DF479" s="67"/>
      <c r="DG479" s="67">
        <v>0</v>
      </c>
      <c r="DH479" s="67">
        <v>0</v>
      </c>
      <c r="DI479" s="67">
        <v>0</v>
      </c>
      <c r="DJ479" s="67"/>
      <c r="DK479" s="67">
        <v>0</v>
      </c>
      <c r="DL479" s="67">
        <v>0</v>
      </c>
      <c r="DM479" s="67">
        <v>0</v>
      </c>
      <c r="DN479" s="67"/>
      <c r="DO479" s="67"/>
      <c r="DP479" s="67"/>
      <c r="DQ479" s="67">
        <v>0</v>
      </c>
      <c r="DR479" s="67">
        <v>0</v>
      </c>
      <c r="DS479" s="67"/>
      <c r="DT479" s="67"/>
      <c r="DU479" s="67">
        <v>0</v>
      </c>
      <c r="DV479" s="67">
        <v>0</v>
      </c>
      <c r="DW479" s="67">
        <v>0</v>
      </c>
      <c r="DX479" s="67">
        <v>0</v>
      </c>
      <c r="DY479" s="67"/>
      <c r="DZ479" s="67">
        <v>0</v>
      </c>
      <c r="EA479" s="67"/>
      <c r="EB479" s="67">
        <v>0</v>
      </c>
      <c r="EC479" s="67"/>
      <c r="ED479" s="67">
        <v>0</v>
      </c>
      <c r="EE479" s="67"/>
      <c r="EF479" s="67">
        <v>0</v>
      </c>
      <c r="EG479" s="67"/>
      <c r="EH479" s="67"/>
      <c r="EI479" s="67"/>
      <c r="EJ479" s="67"/>
      <c r="EK479" s="67"/>
      <c r="EL479" s="67"/>
      <c r="EM479" s="67"/>
      <c r="EN479" s="67"/>
      <c r="EO479" s="67"/>
      <c r="EP479" s="67">
        <v>0</v>
      </c>
      <c r="EQ479" s="67">
        <v>0</v>
      </c>
      <c r="ER479" s="67">
        <v>0</v>
      </c>
      <c r="ES479" s="67"/>
      <c r="ET479">
        <v>0</v>
      </c>
      <c r="EX479" s="67"/>
      <c r="EY479" s="67"/>
      <c r="EZ479" s="67"/>
      <c r="FA479" s="67">
        <v>0</v>
      </c>
      <c r="FB479" s="67">
        <v>0</v>
      </c>
      <c r="FC479" s="67"/>
      <c r="FD479" s="67"/>
      <c r="FE479" s="67"/>
      <c r="FF479" s="67"/>
      <c r="FG479" s="67"/>
      <c r="FH479" s="67"/>
      <c r="FI479" s="67" t="s">
        <v>1734</v>
      </c>
    </row>
    <row r="480" spans="2:165" ht="24" x14ac:dyDescent="0.2">
      <c r="B480" s="67" t="s">
        <v>1249</v>
      </c>
      <c r="C480" s="67"/>
      <c r="D480" s="67" t="s">
        <v>1250</v>
      </c>
      <c r="E480" s="67" t="s">
        <v>13</v>
      </c>
      <c r="F480" s="67" t="s">
        <v>1241</v>
      </c>
      <c r="G480" s="67" t="s">
        <v>694</v>
      </c>
      <c r="H480" s="67"/>
      <c r="I480" s="67" t="s">
        <v>41</v>
      </c>
      <c r="J480" s="67"/>
      <c r="K480" s="67"/>
      <c r="L480" s="67" t="s">
        <v>1242</v>
      </c>
      <c r="M480" s="67" t="s">
        <v>752</v>
      </c>
      <c r="N480" s="67"/>
      <c r="O480" s="67" t="s">
        <v>1605</v>
      </c>
      <c r="P480" s="67" t="s">
        <v>942</v>
      </c>
      <c r="Q480" s="67">
        <v>0</v>
      </c>
      <c r="R480" s="67">
        <v>0</v>
      </c>
      <c r="S480" s="67">
        <v>0</v>
      </c>
      <c r="T480" s="67">
        <v>0</v>
      </c>
      <c r="U480" s="67">
        <v>0</v>
      </c>
      <c r="V480" s="67">
        <v>0</v>
      </c>
      <c r="W480" s="67">
        <v>0</v>
      </c>
      <c r="X480" s="67">
        <v>0</v>
      </c>
      <c r="Y480" s="67">
        <v>0</v>
      </c>
      <c r="Z480" s="67">
        <v>0</v>
      </c>
      <c r="AA480" s="67">
        <v>0</v>
      </c>
      <c r="AB480" s="67">
        <v>0</v>
      </c>
      <c r="AC480" s="67">
        <v>0</v>
      </c>
      <c r="AD480" s="67">
        <v>0</v>
      </c>
      <c r="AE480" s="67">
        <v>0</v>
      </c>
      <c r="AF480" s="67">
        <v>0</v>
      </c>
      <c r="AG480" s="67">
        <v>0</v>
      </c>
      <c r="AH480" s="67">
        <v>0</v>
      </c>
      <c r="AI480" s="67">
        <v>0</v>
      </c>
      <c r="AJ480" s="67">
        <v>0</v>
      </c>
      <c r="AK480" s="67">
        <v>0</v>
      </c>
      <c r="AL480" s="67">
        <v>0</v>
      </c>
      <c r="AM480" s="67">
        <v>0</v>
      </c>
      <c r="AN480" s="67">
        <v>0</v>
      </c>
      <c r="AO480" s="67">
        <v>0</v>
      </c>
      <c r="AP480" s="67">
        <v>0</v>
      </c>
      <c r="AQ480" s="67">
        <v>0</v>
      </c>
      <c r="AR480" s="67">
        <v>0</v>
      </c>
      <c r="AS480" s="67">
        <v>0</v>
      </c>
      <c r="AT480" s="67"/>
      <c r="AU480" s="67"/>
      <c r="AV480" s="67"/>
      <c r="AW480" s="67">
        <v>0</v>
      </c>
      <c r="AX480" s="67">
        <v>0</v>
      </c>
      <c r="AY480" s="67"/>
      <c r="AZ480" s="67"/>
      <c r="BA480" s="67"/>
      <c r="BB480" s="67"/>
      <c r="BC480" s="67"/>
      <c r="BD480" s="67"/>
      <c r="BE480" s="67"/>
      <c r="BG480" s="67"/>
      <c r="BH480" s="67"/>
      <c r="BI480" s="67"/>
      <c r="BJ480" s="67">
        <v>0</v>
      </c>
      <c r="BK480" s="67"/>
      <c r="BL480" s="67"/>
      <c r="BP480" s="67"/>
      <c r="BQ480" s="67">
        <v>0</v>
      </c>
      <c r="BR480" s="67"/>
      <c r="BS480" s="67"/>
      <c r="BT480" s="67">
        <v>0</v>
      </c>
      <c r="BU480" s="67">
        <v>0</v>
      </c>
      <c r="BV480" s="67"/>
      <c r="BW480" s="67"/>
      <c r="BX480" s="67">
        <v>0</v>
      </c>
      <c r="BY480" s="67">
        <v>0</v>
      </c>
      <c r="BZ480" s="67">
        <v>0</v>
      </c>
      <c r="CA480" s="67"/>
      <c r="CB480" s="67">
        <v>0</v>
      </c>
      <c r="CC480" s="67"/>
      <c r="CD480" s="67"/>
      <c r="CE480" s="67">
        <v>0</v>
      </c>
      <c r="CF480" s="67"/>
      <c r="CG480" s="67"/>
      <c r="CH480" s="67"/>
      <c r="CI480" s="67"/>
      <c r="CJ480" s="67"/>
      <c r="CK480" s="67">
        <v>0</v>
      </c>
      <c r="CL480" s="67"/>
      <c r="CM480" s="67"/>
      <c r="CN480" s="67"/>
      <c r="CO480" s="67">
        <v>0</v>
      </c>
      <c r="CP480" s="67"/>
      <c r="CQ480" s="67"/>
      <c r="CR480" s="67"/>
      <c r="CS480" s="67"/>
      <c r="CT480" s="67"/>
      <c r="CU480" s="67">
        <v>0</v>
      </c>
      <c r="CV480" s="67"/>
      <c r="CW480" s="67"/>
      <c r="CX480" s="67"/>
      <c r="CY480" s="67">
        <v>0</v>
      </c>
      <c r="CZ480" s="67"/>
      <c r="DA480" s="67"/>
      <c r="DB480" s="67"/>
      <c r="DC480" s="67"/>
      <c r="DF480" s="67"/>
      <c r="DG480" s="67">
        <v>0</v>
      </c>
      <c r="DH480" s="67">
        <v>0</v>
      </c>
      <c r="DI480" s="67">
        <v>0</v>
      </c>
      <c r="DJ480" s="67"/>
      <c r="DK480" s="67">
        <v>0</v>
      </c>
      <c r="DL480" s="67">
        <v>0</v>
      </c>
      <c r="DM480" s="67">
        <v>0</v>
      </c>
      <c r="DN480" s="67"/>
      <c r="DO480" s="67"/>
      <c r="DP480" s="67"/>
      <c r="DQ480" s="67">
        <v>0</v>
      </c>
      <c r="DR480" s="67">
        <v>0</v>
      </c>
      <c r="DS480" s="67"/>
      <c r="DT480" s="67"/>
      <c r="DU480" s="67">
        <v>0</v>
      </c>
      <c r="DV480" s="67">
        <v>0</v>
      </c>
      <c r="DW480" s="67">
        <v>0</v>
      </c>
      <c r="DX480" s="67">
        <v>0</v>
      </c>
      <c r="DY480" s="67"/>
      <c r="DZ480" s="67">
        <v>0</v>
      </c>
      <c r="EA480" s="67"/>
      <c r="EB480" s="67">
        <v>0</v>
      </c>
      <c r="EC480" s="67"/>
      <c r="ED480" s="67">
        <v>0</v>
      </c>
      <c r="EE480" s="67"/>
      <c r="EF480" s="67">
        <v>0</v>
      </c>
      <c r="EG480" s="67"/>
      <c r="EH480" s="67"/>
      <c r="EI480" s="67"/>
      <c r="EJ480" s="67"/>
      <c r="EK480" s="67"/>
      <c r="EL480" s="67"/>
      <c r="EM480" s="67"/>
      <c r="EN480" s="67"/>
      <c r="EO480" s="67"/>
      <c r="EP480" s="67">
        <v>0</v>
      </c>
      <c r="EQ480" s="67">
        <v>0</v>
      </c>
      <c r="ER480" s="67">
        <v>0</v>
      </c>
      <c r="ES480" s="67"/>
      <c r="ET480">
        <v>0</v>
      </c>
      <c r="EX480" s="67"/>
      <c r="EY480" s="67"/>
      <c r="EZ480" s="67"/>
      <c r="FA480" s="67">
        <v>0</v>
      </c>
      <c r="FB480" s="67">
        <v>0</v>
      </c>
      <c r="FC480" s="67"/>
      <c r="FD480" s="67"/>
      <c r="FE480" s="67"/>
      <c r="FF480" s="67"/>
      <c r="FG480" s="67"/>
      <c r="FH480" s="67"/>
      <c r="FI480" s="67" t="s">
        <v>1734</v>
      </c>
    </row>
    <row r="481" spans="2:165" ht="24" x14ac:dyDescent="0.2">
      <c r="B481" s="67" t="s">
        <v>1251</v>
      </c>
      <c r="C481" s="67"/>
      <c r="D481" s="67" t="s">
        <v>1252</v>
      </c>
      <c r="E481" s="67" t="s">
        <v>13</v>
      </c>
      <c r="F481" s="67" t="s">
        <v>1241</v>
      </c>
      <c r="G481" s="67" t="s">
        <v>694</v>
      </c>
      <c r="H481" s="67"/>
      <c r="I481" s="67" t="s">
        <v>41</v>
      </c>
      <c r="J481" s="67"/>
      <c r="K481" s="67"/>
      <c r="L481" s="67" t="s">
        <v>787</v>
      </c>
      <c r="M481" s="67" t="s">
        <v>752</v>
      </c>
      <c r="N481" s="67"/>
      <c r="O481" s="67" t="s">
        <v>1605</v>
      </c>
      <c r="P481" s="67" t="s">
        <v>942</v>
      </c>
      <c r="Q481" s="67">
        <v>0</v>
      </c>
      <c r="R481" s="67">
        <v>0</v>
      </c>
      <c r="S481" s="67">
        <v>0</v>
      </c>
      <c r="T481" s="67">
        <v>0</v>
      </c>
      <c r="U481" s="67">
        <v>0</v>
      </c>
      <c r="V481" s="67">
        <v>0</v>
      </c>
      <c r="W481" s="67">
        <v>0</v>
      </c>
      <c r="X481" s="67">
        <v>0</v>
      </c>
      <c r="Y481" s="67">
        <v>0</v>
      </c>
      <c r="Z481" s="67">
        <v>0</v>
      </c>
      <c r="AA481" s="67">
        <v>0</v>
      </c>
      <c r="AB481" s="67">
        <v>0</v>
      </c>
      <c r="AC481" s="67">
        <v>0</v>
      </c>
      <c r="AD481" s="67">
        <v>0</v>
      </c>
      <c r="AE481" s="67">
        <v>0</v>
      </c>
      <c r="AF481" s="67">
        <v>0</v>
      </c>
      <c r="AG481" s="67">
        <v>0</v>
      </c>
      <c r="AH481" s="67">
        <v>0</v>
      </c>
      <c r="AI481" s="67">
        <v>0</v>
      </c>
      <c r="AJ481" s="67">
        <v>0</v>
      </c>
      <c r="AK481" s="67">
        <v>0</v>
      </c>
      <c r="AL481" s="67">
        <v>0</v>
      </c>
      <c r="AM481" s="67">
        <v>0</v>
      </c>
      <c r="AN481" s="67">
        <v>0</v>
      </c>
      <c r="AO481" s="67">
        <v>0</v>
      </c>
      <c r="AP481" s="67">
        <v>0</v>
      </c>
      <c r="AQ481" s="67">
        <v>0</v>
      </c>
      <c r="AR481" s="67">
        <v>0</v>
      </c>
      <c r="AS481" s="67">
        <v>0</v>
      </c>
      <c r="AT481" s="67"/>
      <c r="AU481" s="67"/>
      <c r="AV481" s="67"/>
      <c r="AW481" s="67">
        <v>0</v>
      </c>
      <c r="AX481" s="67">
        <v>0</v>
      </c>
      <c r="AY481" s="67"/>
      <c r="AZ481" s="67"/>
      <c r="BA481" s="67"/>
      <c r="BB481" s="67"/>
      <c r="BC481" s="67"/>
      <c r="BD481" s="67"/>
      <c r="BE481" s="67"/>
      <c r="BG481" s="67"/>
      <c r="BH481" s="67"/>
      <c r="BI481" s="67"/>
      <c r="BJ481" s="67">
        <v>0</v>
      </c>
      <c r="BK481" s="67"/>
      <c r="BL481" s="67"/>
      <c r="BP481" s="67"/>
      <c r="BQ481" s="67">
        <v>0</v>
      </c>
      <c r="BR481" s="67"/>
      <c r="BS481" s="67"/>
      <c r="BT481" s="67">
        <v>0</v>
      </c>
      <c r="BU481" s="67">
        <v>0</v>
      </c>
      <c r="BV481" s="67"/>
      <c r="BW481" s="67"/>
      <c r="BX481" s="67">
        <v>0</v>
      </c>
      <c r="BY481" s="67">
        <v>0</v>
      </c>
      <c r="BZ481" s="67">
        <v>0</v>
      </c>
      <c r="CA481" s="67"/>
      <c r="CB481" s="67">
        <v>0</v>
      </c>
      <c r="CC481" s="67"/>
      <c r="CD481" s="67"/>
      <c r="CE481" s="67">
        <v>0</v>
      </c>
      <c r="CF481" s="67"/>
      <c r="CG481" s="67"/>
      <c r="CH481" s="67"/>
      <c r="CI481" s="67"/>
      <c r="CJ481" s="67"/>
      <c r="CK481" s="67">
        <v>0</v>
      </c>
      <c r="CL481" s="67"/>
      <c r="CM481" s="67"/>
      <c r="CN481" s="67"/>
      <c r="CO481" s="67">
        <v>0</v>
      </c>
      <c r="CP481" s="67"/>
      <c r="CQ481" s="67"/>
      <c r="CR481" s="67"/>
      <c r="CS481" s="67"/>
      <c r="CT481" s="67"/>
      <c r="CU481" s="67">
        <v>0</v>
      </c>
      <c r="CV481" s="67"/>
      <c r="CW481" s="67"/>
      <c r="CX481" s="67"/>
      <c r="CY481" s="67">
        <v>0</v>
      </c>
      <c r="CZ481" s="67"/>
      <c r="DA481" s="67"/>
      <c r="DB481" s="67"/>
      <c r="DC481" s="67"/>
      <c r="DF481" s="67"/>
      <c r="DG481" s="67">
        <v>0</v>
      </c>
      <c r="DH481" s="67">
        <v>0</v>
      </c>
      <c r="DI481" s="67">
        <v>0</v>
      </c>
      <c r="DJ481" s="67"/>
      <c r="DK481" s="67">
        <v>0</v>
      </c>
      <c r="DL481" s="67">
        <v>0</v>
      </c>
      <c r="DM481" s="67">
        <v>0</v>
      </c>
      <c r="DN481" s="67"/>
      <c r="DO481" s="67"/>
      <c r="DP481" s="67"/>
      <c r="DQ481" s="67">
        <v>0</v>
      </c>
      <c r="DR481" s="67">
        <v>0</v>
      </c>
      <c r="DS481" s="67"/>
      <c r="DT481" s="67"/>
      <c r="DU481" s="67">
        <v>0</v>
      </c>
      <c r="DV481" s="67">
        <v>0</v>
      </c>
      <c r="DW481" s="67">
        <v>0</v>
      </c>
      <c r="DX481" s="67">
        <v>0</v>
      </c>
      <c r="DY481" s="67"/>
      <c r="DZ481" s="67">
        <v>0</v>
      </c>
      <c r="EA481" s="67"/>
      <c r="EB481" s="67">
        <v>0</v>
      </c>
      <c r="EC481" s="67"/>
      <c r="ED481" s="67">
        <v>0</v>
      </c>
      <c r="EE481" s="67"/>
      <c r="EF481" s="67">
        <v>0</v>
      </c>
      <c r="EG481" s="67"/>
      <c r="EH481" s="67"/>
      <c r="EI481" s="67"/>
      <c r="EJ481" s="67"/>
      <c r="EK481" s="67"/>
      <c r="EL481" s="67"/>
      <c r="EM481" s="67"/>
      <c r="EN481" s="67"/>
      <c r="EO481" s="67"/>
      <c r="EP481" s="67">
        <v>0</v>
      </c>
      <c r="EQ481" s="67">
        <v>0</v>
      </c>
      <c r="ER481" s="67">
        <v>0</v>
      </c>
      <c r="ES481" s="67"/>
      <c r="ET481">
        <v>0</v>
      </c>
      <c r="EX481" s="67"/>
      <c r="EY481" s="67"/>
      <c r="EZ481" s="67"/>
      <c r="FA481" s="67">
        <v>0</v>
      </c>
      <c r="FB481" s="67">
        <v>0</v>
      </c>
      <c r="FC481" s="67"/>
      <c r="FD481" s="67"/>
      <c r="FE481" s="67"/>
      <c r="FF481" s="67"/>
      <c r="FG481" s="67"/>
      <c r="FH481" s="67"/>
      <c r="FI481" s="67" t="s">
        <v>1734</v>
      </c>
    </row>
    <row r="482" spans="2:165" ht="24" x14ac:dyDescent="0.2">
      <c r="B482" s="67" t="s">
        <v>1253</v>
      </c>
      <c r="C482" s="67"/>
      <c r="D482" s="67" t="s">
        <v>1254</v>
      </c>
      <c r="E482" s="67" t="s">
        <v>13</v>
      </c>
      <c r="F482" s="67" t="s">
        <v>1241</v>
      </c>
      <c r="G482" s="67" t="s">
        <v>694</v>
      </c>
      <c r="H482" s="67"/>
      <c r="I482" s="67" t="s">
        <v>41</v>
      </c>
      <c r="J482" s="67"/>
      <c r="K482" s="67"/>
      <c r="L482" s="67" t="s">
        <v>1242</v>
      </c>
      <c r="M482" s="67" t="s">
        <v>752</v>
      </c>
      <c r="N482" s="67"/>
      <c r="O482" s="67" t="s">
        <v>1605</v>
      </c>
      <c r="P482" s="67" t="s">
        <v>942</v>
      </c>
      <c r="Q482" s="67">
        <v>0</v>
      </c>
      <c r="R482" s="67">
        <v>0</v>
      </c>
      <c r="S482" s="67">
        <v>0</v>
      </c>
      <c r="T482" s="67">
        <v>0</v>
      </c>
      <c r="U482" s="67">
        <v>0</v>
      </c>
      <c r="V482" s="67">
        <v>0</v>
      </c>
      <c r="W482" s="67">
        <v>0</v>
      </c>
      <c r="X482" s="67">
        <v>0</v>
      </c>
      <c r="Y482" s="67">
        <v>0</v>
      </c>
      <c r="Z482" s="67">
        <v>0</v>
      </c>
      <c r="AA482" s="67">
        <v>0</v>
      </c>
      <c r="AB482" s="67">
        <v>0</v>
      </c>
      <c r="AC482" s="67">
        <v>0</v>
      </c>
      <c r="AD482" s="67">
        <v>0</v>
      </c>
      <c r="AE482" s="67">
        <v>0</v>
      </c>
      <c r="AF482" s="67">
        <v>0</v>
      </c>
      <c r="AG482" s="67">
        <v>0</v>
      </c>
      <c r="AH482" s="67">
        <v>0</v>
      </c>
      <c r="AI482" s="67">
        <v>0</v>
      </c>
      <c r="AJ482" s="67">
        <v>0</v>
      </c>
      <c r="AK482" s="67">
        <v>0</v>
      </c>
      <c r="AL482" s="67">
        <v>0</v>
      </c>
      <c r="AM482" s="67">
        <v>0</v>
      </c>
      <c r="AN482" s="67">
        <v>0</v>
      </c>
      <c r="AO482" s="67">
        <v>0</v>
      </c>
      <c r="AP482" s="67">
        <v>0</v>
      </c>
      <c r="AQ482" s="67">
        <v>0</v>
      </c>
      <c r="AR482" s="67">
        <v>0</v>
      </c>
      <c r="AS482" s="67">
        <v>0</v>
      </c>
      <c r="AT482" s="67"/>
      <c r="AU482" s="67"/>
      <c r="AV482" s="67"/>
      <c r="AW482" s="67">
        <v>0</v>
      </c>
      <c r="AX482" s="67">
        <v>0</v>
      </c>
      <c r="AY482" s="67"/>
      <c r="AZ482" s="67"/>
      <c r="BA482" s="67"/>
      <c r="BB482" s="67"/>
      <c r="BC482" s="67"/>
      <c r="BD482" s="67"/>
      <c r="BE482" s="67"/>
      <c r="BG482" s="67"/>
      <c r="BH482" s="67"/>
      <c r="BI482" s="67"/>
      <c r="BJ482" s="67">
        <v>0</v>
      </c>
      <c r="BK482" s="67"/>
      <c r="BL482" s="67"/>
      <c r="BP482" s="67"/>
      <c r="BQ482" s="67">
        <v>0</v>
      </c>
      <c r="BR482" s="67"/>
      <c r="BS482" s="67"/>
      <c r="BT482" s="67">
        <v>0</v>
      </c>
      <c r="BU482" s="67">
        <v>0</v>
      </c>
      <c r="BV482" s="67"/>
      <c r="BW482" s="67"/>
      <c r="BX482" s="67">
        <v>0</v>
      </c>
      <c r="BY482" s="67">
        <v>0</v>
      </c>
      <c r="BZ482" s="67">
        <v>0</v>
      </c>
      <c r="CA482" s="67"/>
      <c r="CB482" s="67">
        <v>0</v>
      </c>
      <c r="CC482" s="67"/>
      <c r="CD482" s="67"/>
      <c r="CE482" s="67">
        <v>0</v>
      </c>
      <c r="CF482" s="67"/>
      <c r="CG482" s="67"/>
      <c r="CH482" s="67"/>
      <c r="CI482" s="67"/>
      <c r="CJ482" s="67"/>
      <c r="CK482" s="67">
        <v>0</v>
      </c>
      <c r="CL482" s="67"/>
      <c r="CM482" s="67"/>
      <c r="CN482" s="67"/>
      <c r="CO482" s="67">
        <v>0</v>
      </c>
      <c r="CP482" s="67"/>
      <c r="CQ482" s="67"/>
      <c r="CR482" s="67"/>
      <c r="CS482" s="67"/>
      <c r="CT482" s="67"/>
      <c r="CU482" s="67">
        <v>0</v>
      </c>
      <c r="CV482" s="67"/>
      <c r="CW482" s="67"/>
      <c r="CX482" s="67"/>
      <c r="CY482" s="67">
        <v>0</v>
      </c>
      <c r="CZ482" s="67"/>
      <c r="DA482" s="67"/>
      <c r="DB482" s="67"/>
      <c r="DC482" s="67"/>
      <c r="DF482" s="67"/>
      <c r="DG482" s="67">
        <v>0</v>
      </c>
      <c r="DH482" s="67">
        <v>0</v>
      </c>
      <c r="DI482" s="67">
        <v>0</v>
      </c>
      <c r="DJ482" s="67"/>
      <c r="DK482" s="67">
        <v>0</v>
      </c>
      <c r="DL482" s="67">
        <v>0</v>
      </c>
      <c r="DM482" s="67">
        <v>0</v>
      </c>
      <c r="DN482" s="67"/>
      <c r="DO482" s="67"/>
      <c r="DP482" s="67"/>
      <c r="DQ482" s="67">
        <v>0</v>
      </c>
      <c r="DR482" s="67">
        <v>0</v>
      </c>
      <c r="DS482" s="67"/>
      <c r="DT482" s="67"/>
      <c r="DU482" s="67">
        <v>0</v>
      </c>
      <c r="DV482" s="67">
        <v>0</v>
      </c>
      <c r="DW482" s="67">
        <v>0</v>
      </c>
      <c r="DX482" s="67">
        <v>0</v>
      </c>
      <c r="DY482" s="67"/>
      <c r="DZ482" s="67">
        <v>0</v>
      </c>
      <c r="EA482" s="67"/>
      <c r="EB482" s="67">
        <v>0</v>
      </c>
      <c r="EC482" s="67"/>
      <c r="ED482" s="67">
        <v>0</v>
      </c>
      <c r="EE482" s="67"/>
      <c r="EF482" s="67">
        <v>0</v>
      </c>
      <c r="EG482" s="67"/>
      <c r="EH482" s="67"/>
      <c r="EI482" s="67"/>
      <c r="EJ482" s="67"/>
      <c r="EK482" s="67"/>
      <c r="EL482" s="67"/>
      <c r="EM482" s="67"/>
      <c r="EN482" s="67"/>
      <c r="EO482" s="67"/>
      <c r="EP482" s="67">
        <v>0</v>
      </c>
      <c r="EQ482" s="67">
        <v>0</v>
      </c>
      <c r="ER482" s="67">
        <v>0</v>
      </c>
      <c r="ES482" s="67"/>
      <c r="ET482">
        <v>0</v>
      </c>
      <c r="EX482" s="67"/>
      <c r="EY482" s="67"/>
      <c r="EZ482" s="67"/>
      <c r="FA482" s="67">
        <v>0</v>
      </c>
      <c r="FB482" s="67">
        <v>0</v>
      </c>
      <c r="FC482" s="67"/>
      <c r="FD482" s="67"/>
      <c r="FE482" s="67"/>
      <c r="FF482" s="67"/>
      <c r="FG482" s="67"/>
      <c r="FH482" s="67"/>
      <c r="FI482" s="67" t="s">
        <v>1734</v>
      </c>
    </row>
    <row r="483" spans="2:165" ht="24" x14ac:dyDescent="0.2">
      <c r="B483" s="67" t="s">
        <v>1255</v>
      </c>
      <c r="C483" s="67"/>
      <c r="D483" s="67" t="s">
        <v>1256</v>
      </c>
      <c r="E483" s="67" t="s">
        <v>13</v>
      </c>
      <c r="F483" s="67" t="s">
        <v>1241</v>
      </c>
      <c r="G483" s="67" t="s">
        <v>694</v>
      </c>
      <c r="H483" s="67"/>
      <c r="I483" s="67" t="s">
        <v>41</v>
      </c>
      <c r="J483" s="67"/>
      <c r="K483" s="67"/>
      <c r="L483" s="67" t="s">
        <v>1242</v>
      </c>
      <c r="M483" s="67" t="s">
        <v>752</v>
      </c>
      <c r="N483" s="67"/>
      <c r="O483" s="67" t="s">
        <v>1605</v>
      </c>
      <c r="P483" s="67" t="s">
        <v>942</v>
      </c>
      <c r="Q483" s="67">
        <v>0</v>
      </c>
      <c r="R483" s="67">
        <v>0</v>
      </c>
      <c r="S483" s="67">
        <v>0</v>
      </c>
      <c r="T483" s="67">
        <v>0</v>
      </c>
      <c r="U483" s="67">
        <v>0</v>
      </c>
      <c r="V483" s="67">
        <v>0</v>
      </c>
      <c r="W483" s="67">
        <v>0</v>
      </c>
      <c r="X483" s="67">
        <v>0</v>
      </c>
      <c r="Y483" s="67">
        <v>0</v>
      </c>
      <c r="Z483" s="67">
        <v>0</v>
      </c>
      <c r="AA483" s="67">
        <v>0</v>
      </c>
      <c r="AB483" s="67">
        <v>0</v>
      </c>
      <c r="AC483" s="67">
        <v>0</v>
      </c>
      <c r="AD483" s="67">
        <v>0</v>
      </c>
      <c r="AE483" s="67">
        <v>0</v>
      </c>
      <c r="AF483" s="67">
        <v>0</v>
      </c>
      <c r="AG483" s="67">
        <v>0</v>
      </c>
      <c r="AH483" s="67">
        <v>0</v>
      </c>
      <c r="AI483" s="67">
        <v>0</v>
      </c>
      <c r="AJ483" s="67">
        <v>0</v>
      </c>
      <c r="AK483" s="67">
        <v>0</v>
      </c>
      <c r="AL483" s="67">
        <v>0</v>
      </c>
      <c r="AM483" s="67">
        <v>0</v>
      </c>
      <c r="AN483" s="67">
        <v>0</v>
      </c>
      <c r="AO483" s="67">
        <v>0</v>
      </c>
      <c r="AP483" s="67">
        <v>0</v>
      </c>
      <c r="AQ483" s="67">
        <v>0</v>
      </c>
      <c r="AR483" s="67">
        <v>0</v>
      </c>
      <c r="AS483" s="67">
        <v>0</v>
      </c>
      <c r="AT483" s="67"/>
      <c r="AU483" s="67"/>
      <c r="AV483" s="67"/>
      <c r="AW483" s="67">
        <v>0</v>
      </c>
      <c r="AX483" s="67">
        <v>0</v>
      </c>
      <c r="AY483" s="67"/>
      <c r="AZ483" s="67"/>
      <c r="BA483" s="67"/>
      <c r="BB483" s="67"/>
      <c r="BC483" s="67"/>
      <c r="BD483" s="67"/>
      <c r="BE483" s="67"/>
      <c r="BG483" s="67"/>
      <c r="BH483" s="67"/>
      <c r="BI483" s="67"/>
      <c r="BJ483" s="67">
        <v>0</v>
      </c>
      <c r="BK483" s="67"/>
      <c r="BL483" s="67"/>
      <c r="BP483" s="67"/>
      <c r="BQ483" s="67">
        <v>0</v>
      </c>
      <c r="BR483" s="67"/>
      <c r="BS483" s="67"/>
      <c r="BT483" s="67">
        <v>0</v>
      </c>
      <c r="BU483" s="67">
        <v>0</v>
      </c>
      <c r="BV483" s="67"/>
      <c r="BW483" s="67"/>
      <c r="BX483" s="67">
        <v>0</v>
      </c>
      <c r="BY483" s="67">
        <v>0</v>
      </c>
      <c r="BZ483" s="67">
        <v>0</v>
      </c>
      <c r="CA483" s="67"/>
      <c r="CB483" s="67">
        <v>0</v>
      </c>
      <c r="CC483" s="67"/>
      <c r="CD483" s="67"/>
      <c r="CE483" s="67">
        <v>0</v>
      </c>
      <c r="CF483" s="67"/>
      <c r="CG483" s="67"/>
      <c r="CH483" s="67"/>
      <c r="CI483" s="67"/>
      <c r="CJ483" s="67"/>
      <c r="CK483" s="67">
        <v>0</v>
      </c>
      <c r="CL483" s="67"/>
      <c r="CM483" s="67"/>
      <c r="CN483" s="67"/>
      <c r="CO483" s="67">
        <v>0</v>
      </c>
      <c r="CP483" s="67"/>
      <c r="CQ483" s="67"/>
      <c r="CR483" s="67"/>
      <c r="CS483" s="67"/>
      <c r="CT483" s="67"/>
      <c r="CU483" s="67">
        <v>0</v>
      </c>
      <c r="CV483" s="67"/>
      <c r="CW483" s="67"/>
      <c r="CX483" s="67"/>
      <c r="CY483" s="67">
        <v>0</v>
      </c>
      <c r="CZ483" s="67"/>
      <c r="DA483" s="67"/>
      <c r="DB483" s="67"/>
      <c r="DC483" s="67"/>
      <c r="DF483" s="67"/>
      <c r="DG483" s="67">
        <v>0</v>
      </c>
      <c r="DH483" s="67">
        <v>0</v>
      </c>
      <c r="DI483" s="67">
        <v>0</v>
      </c>
      <c r="DJ483" s="67"/>
      <c r="DK483" s="67">
        <v>0</v>
      </c>
      <c r="DL483" s="67">
        <v>0</v>
      </c>
      <c r="DM483" s="67">
        <v>0</v>
      </c>
      <c r="DN483" s="67"/>
      <c r="DO483" s="67"/>
      <c r="DP483" s="67"/>
      <c r="DQ483" s="67">
        <v>0</v>
      </c>
      <c r="DR483" s="67">
        <v>0</v>
      </c>
      <c r="DS483" s="67"/>
      <c r="DT483" s="67"/>
      <c r="DU483" s="67">
        <v>0</v>
      </c>
      <c r="DV483" s="67">
        <v>0</v>
      </c>
      <c r="DW483" s="67">
        <v>0</v>
      </c>
      <c r="DX483" s="67">
        <v>0</v>
      </c>
      <c r="DY483" s="67"/>
      <c r="DZ483" s="67">
        <v>0</v>
      </c>
      <c r="EA483" s="67"/>
      <c r="EB483" s="67">
        <v>0</v>
      </c>
      <c r="EC483" s="67"/>
      <c r="ED483" s="67">
        <v>0</v>
      </c>
      <c r="EE483" s="67"/>
      <c r="EF483" s="67">
        <v>0</v>
      </c>
      <c r="EG483" s="67"/>
      <c r="EH483" s="67"/>
      <c r="EI483" s="67"/>
      <c r="EJ483" s="67"/>
      <c r="EK483" s="67"/>
      <c r="EL483" s="67"/>
      <c r="EM483" s="67"/>
      <c r="EN483" s="67"/>
      <c r="EO483" s="67"/>
      <c r="EP483" s="67">
        <v>0</v>
      </c>
      <c r="EQ483" s="67">
        <v>0</v>
      </c>
      <c r="ER483" s="67">
        <v>0</v>
      </c>
      <c r="ES483" s="67"/>
      <c r="ET483">
        <v>0</v>
      </c>
      <c r="EX483" s="67"/>
      <c r="EY483" s="67"/>
      <c r="EZ483" s="67"/>
      <c r="FA483" s="67">
        <v>0</v>
      </c>
      <c r="FB483" s="67">
        <v>0</v>
      </c>
      <c r="FC483" s="67"/>
      <c r="FD483" s="67"/>
      <c r="FE483" s="67"/>
      <c r="FF483" s="67"/>
      <c r="FG483" s="67"/>
      <c r="FH483" s="67"/>
      <c r="FI483" s="67" t="s">
        <v>1734</v>
      </c>
    </row>
    <row r="484" spans="2:165" ht="24" x14ac:dyDescent="0.2">
      <c r="B484" s="67" t="s">
        <v>1257</v>
      </c>
      <c r="C484" s="67"/>
      <c r="D484" s="67" t="s">
        <v>1258</v>
      </c>
      <c r="E484" s="67" t="s">
        <v>13</v>
      </c>
      <c r="F484" s="67"/>
      <c r="G484" s="67" t="s">
        <v>694</v>
      </c>
      <c r="H484" s="67"/>
      <c r="I484" s="67" t="s">
        <v>41</v>
      </c>
      <c r="J484" s="67"/>
      <c r="K484" s="67"/>
      <c r="L484" s="67"/>
      <c r="M484" s="67"/>
      <c r="N484" s="67"/>
      <c r="O484" s="67" t="s">
        <v>1605</v>
      </c>
      <c r="P484" s="67"/>
      <c r="Q484" s="67">
        <v>0</v>
      </c>
      <c r="R484" s="67">
        <v>0</v>
      </c>
      <c r="S484" s="67">
        <v>0</v>
      </c>
      <c r="T484" s="67">
        <v>0</v>
      </c>
      <c r="U484" s="67">
        <v>0</v>
      </c>
      <c r="V484" s="67">
        <v>0</v>
      </c>
      <c r="W484" s="67">
        <v>0</v>
      </c>
      <c r="X484" s="67">
        <v>0</v>
      </c>
      <c r="Y484" s="67">
        <v>0</v>
      </c>
      <c r="Z484" s="67">
        <v>0</v>
      </c>
      <c r="AA484" s="67">
        <v>0</v>
      </c>
      <c r="AB484" s="67">
        <v>0</v>
      </c>
      <c r="AC484" s="67">
        <v>0</v>
      </c>
      <c r="AD484" s="67">
        <v>0</v>
      </c>
      <c r="AE484" s="67">
        <v>0</v>
      </c>
      <c r="AF484" s="67">
        <v>0</v>
      </c>
      <c r="AG484" s="67">
        <v>0</v>
      </c>
      <c r="AH484" s="67">
        <v>0</v>
      </c>
      <c r="AI484" s="67">
        <v>0</v>
      </c>
      <c r="AJ484" s="67">
        <v>0</v>
      </c>
      <c r="AK484" s="67">
        <v>0</v>
      </c>
      <c r="AL484" s="67">
        <v>0</v>
      </c>
      <c r="AM484" s="67">
        <v>0</v>
      </c>
      <c r="AN484" s="67">
        <v>0</v>
      </c>
      <c r="AO484" s="67">
        <v>0</v>
      </c>
      <c r="AP484" s="67">
        <v>0</v>
      </c>
      <c r="AQ484" s="67">
        <v>0</v>
      </c>
      <c r="AR484" s="67">
        <v>0</v>
      </c>
      <c r="AS484" s="67">
        <v>0</v>
      </c>
      <c r="AT484" s="67"/>
      <c r="AU484" s="67"/>
      <c r="AV484" s="67"/>
      <c r="AW484" s="67">
        <v>0</v>
      </c>
      <c r="AX484" s="67">
        <v>0</v>
      </c>
      <c r="AY484" s="67"/>
      <c r="AZ484" s="67"/>
      <c r="BA484" s="67"/>
      <c r="BB484" s="67"/>
      <c r="BC484" s="67"/>
      <c r="BD484" s="67"/>
      <c r="BE484" s="67"/>
      <c r="BG484" s="67"/>
      <c r="BH484" s="67"/>
      <c r="BI484" s="67"/>
      <c r="BJ484" s="67">
        <v>0</v>
      </c>
      <c r="BK484" s="67"/>
      <c r="BL484" s="67"/>
      <c r="BP484" s="67"/>
      <c r="BQ484" s="67">
        <v>0</v>
      </c>
      <c r="BR484" s="67"/>
      <c r="BS484" s="67"/>
      <c r="BT484" s="67">
        <v>0</v>
      </c>
      <c r="BU484" s="67">
        <v>0</v>
      </c>
      <c r="BV484" s="67"/>
      <c r="BW484" s="67"/>
      <c r="BX484" s="67">
        <v>0</v>
      </c>
      <c r="BY484" s="67">
        <v>0</v>
      </c>
      <c r="BZ484" s="67">
        <v>0</v>
      </c>
      <c r="CA484" s="67"/>
      <c r="CB484" s="67">
        <v>0</v>
      </c>
      <c r="CC484" s="67"/>
      <c r="CD484" s="67"/>
      <c r="CE484" s="67">
        <v>0</v>
      </c>
      <c r="CF484" s="67"/>
      <c r="CG484" s="67"/>
      <c r="CH484" s="67"/>
      <c r="CI484" s="67"/>
      <c r="CJ484" s="67"/>
      <c r="CK484" s="67">
        <v>0</v>
      </c>
      <c r="CL484" s="67"/>
      <c r="CM484" s="67"/>
      <c r="CN484" s="67"/>
      <c r="CO484" s="67">
        <v>0</v>
      </c>
      <c r="CP484" s="67"/>
      <c r="CQ484" s="67"/>
      <c r="CR484" s="67"/>
      <c r="CS484" s="67"/>
      <c r="CT484" s="67"/>
      <c r="CU484" s="67">
        <v>0</v>
      </c>
      <c r="CV484" s="67"/>
      <c r="CW484" s="67"/>
      <c r="CX484" s="67"/>
      <c r="CY484" s="67">
        <v>0</v>
      </c>
      <c r="CZ484" s="67"/>
      <c r="DA484" s="67"/>
      <c r="DB484" s="67"/>
      <c r="DC484" s="67"/>
      <c r="DF484" s="67"/>
      <c r="DG484" s="67">
        <v>0</v>
      </c>
      <c r="DH484" s="67">
        <v>0</v>
      </c>
      <c r="DI484" s="67">
        <v>0</v>
      </c>
      <c r="DJ484" s="67"/>
      <c r="DK484" s="67">
        <v>0</v>
      </c>
      <c r="DL484" s="67">
        <v>0</v>
      </c>
      <c r="DM484" s="67">
        <v>0</v>
      </c>
      <c r="DN484" s="67"/>
      <c r="DO484" s="67"/>
      <c r="DP484" s="67"/>
      <c r="DQ484" s="67">
        <v>0</v>
      </c>
      <c r="DR484" s="67">
        <v>0</v>
      </c>
      <c r="DS484" s="67"/>
      <c r="DT484" s="67"/>
      <c r="DU484" s="67">
        <v>0</v>
      </c>
      <c r="DV484" s="67">
        <v>0</v>
      </c>
      <c r="DW484" s="67">
        <v>0</v>
      </c>
      <c r="DX484" s="67">
        <v>0</v>
      </c>
      <c r="DY484" s="67"/>
      <c r="DZ484" s="67">
        <v>0</v>
      </c>
      <c r="EA484" s="67"/>
      <c r="EB484" s="67">
        <v>0</v>
      </c>
      <c r="EC484" s="67"/>
      <c r="ED484" s="67">
        <v>0</v>
      </c>
      <c r="EE484" s="67"/>
      <c r="EF484" s="67">
        <v>0</v>
      </c>
      <c r="EG484" s="67"/>
      <c r="EH484" s="67"/>
      <c r="EI484" s="67"/>
      <c r="EJ484" s="67"/>
      <c r="EK484" s="67"/>
      <c r="EL484" s="67"/>
      <c r="EM484" s="67"/>
      <c r="EN484" s="67"/>
      <c r="EO484" s="67"/>
      <c r="EP484" s="67">
        <v>0</v>
      </c>
      <c r="EQ484" s="67">
        <v>0</v>
      </c>
      <c r="ER484" s="67">
        <v>0</v>
      </c>
      <c r="ES484" s="67"/>
      <c r="ET484">
        <v>0</v>
      </c>
      <c r="EX484" s="67"/>
      <c r="EY484" s="67"/>
      <c r="EZ484" s="67"/>
      <c r="FA484" s="67">
        <v>0</v>
      </c>
      <c r="FB484" s="67">
        <v>0</v>
      </c>
      <c r="FC484" s="67"/>
      <c r="FD484" s="67"/>
      <c r="FE484" s="67"/>
      <c r="FF484" s="67"/>
      <c r="FG484" s="67"/>
      <c r="FH484" s="67"/>
      <c r="FI484" s="67" t="s">
        <v>1734</v>
      </c>
    </row>
    <row r="485" spans="2:165" ht="24" x14ac:dyDescent="0.2">
      <c r="B485" s="67" t="s">
        <v>1260</v>
      </c>
      <c r="C485" s="67"/>
      <c r="D485" s="67" t="s">
        <v>1261</v>
      </c>
      <c r="E485" s="67" t="s">
        <v>13</v>
      </c>
      <c r="F485" s="67" t="s">
        <v>1262</v>
      </c>
      <c r="G485" s="67" t="s">
        <v>694</v>
      </c>
      <c r="H485" s="67"/>
      <c r="I485" s="67" t="s">
        <v>41</v>
      </c>
      <c r="J485" s="67"/>
      <c r="K485" s="67"/>
      <c r="L485" s="67" t="s">
        <v>787</v>
      </c>
      <c r="M485" s="67" t="s">
        <v>752</v>
      </c>
      <c r="N485" s="67"/>
      <c r="O485" s="67" t="s">
        <v>1605</v>
      </c>
      <c r="P485" s="67"/>
      <c r="Q485" s="67">
        <v>0</v>
      </c>
      <c r="R485" s="67">
        <v>0</v>
      </c>
      <c r="S485" s="67">
        <v>0</v>
      </c>
      <c r="T485" s="67">
        <v>0</v>
      </c>
      <c r="U485" s="67">
        <v>0</v>
      </c>
      <c r="V485" s="67">
        <v>0</v>
      </c>
      <c r="W485" s="67">
        <v>0</v>
      </c>
      <c r="X485" s="67">
        <v>0</v>
      </c>
      <c r="Y485" s="67">
        <v>0</v>
      </c>
      <c r="Z485" s="67">
        <v>0</v>
      </c>
      <c r="AA485" s="67">
        <v>0</v>
      </c>
      <c r="AB485" s="67">
        <v>0</v>
      </c>
      <c r="AC485" s="67">
        <v>0</v>
      </c>
      <c r="AD485" s="67">
        <v>0</v>
      </c>
      <c r="AE485" s="67">
        <v>0</v>
      </c>
      <c r="AF485" s="67">
        <v>0</v>
      </c>
      <c r="AG485" s="67">
        <v>0</v>
      </c>
      <c r="AH485" s="67">
        <v>0</v>
      </c>
      <c r="AI485" s="67">
        <v>0</v>
      </c>
      <c r="AJ485" s="67">
        <v>0</v>
      </c>
      <c r="AK485" s="67">
        <v>0</v>
      </c>
      <c r="AL485" s="67">
        <v>0</v>
      </c>
      <c r="AM485" s="67">
        <v>0</v>
      </c>
      <c r="AN485" s="67">
        <v>0</v>
      </c>
      <c r="AO485" s="67">
        <v>0</v>
      </c>
      <c r="AP485" s="67">
        <v>0</v>
      </c>
      <c r="AQ485" s="67">
        <v>0</v>
      </c>
      <c r="AR485" s="67">
        <v>0</v>
      </c>
      <c r="AS485" s="67">
        <v>0</v>
      </c>
      <c r="AT485" s="67"/>
      <c r="AU485" s="67"/>
      <c r="AV485" s="67"/>
      <c r="AW485" s="67">
        <v>0</v>
      </c>
      <c r="AX485" s="67">
        <v>0</v>
      </c>
      <c r="AY485" s="67"/>
      <c r="AZ485" s="67"/>
      <c r="BA485" s="67"/>
      <c r="BB485" s="67"/>
      <c r="BC485" s="67"/>
      <c r="BD485" s="67"/>
      <c r="BE485" s="67"/>
      <c r="BG485" s="67"/>
      <c r="BH485" s="67"/>
      <c r="BI485" s="67"/>
      <c r="BJ485" s="67">
        <v>0</v>
      </c>
      <c r="BK485" s="67"/>
      <c r="BL485" s="67"/>
      <c r="BP485" s="67"/>
      <c r="BQ485" s="67">
        <v>0</v>
      </c>
      <c r="BR485" s="67"/>
      <c r="BS485" s="67"/>
      <c r="BT485" s="67">
        <v>0</v>
      </c>
      <c r="BU485" s="67">
        <v>0</v>
      </c>
      <c r="BV485" s="67"/>
      <c r="BW485" s="67"/>
      <c r="BX485" s="67">
        <v>0</v>
      </c>
      <c r="BY485" s="67">
        <v>0</v>
      </c>
      <c r="BZ485" s="67">
        <v>0</v>
      </c>
      <c r="CA485" s="67"/>
      <c r="CB485" s="67">
        <v>0</v>
      </c>
      <c r="CC485" s="67"/>
      <c r="CD485" s="67"/>
      <c r="CE485" s="67">
        <v>0</v>
      </c>
      <c r="CF485" s="67"/>
      <c r="CG485" s="67"/>
      <c r="CH485" s="67"/>
      <c r="CI485" s="67"/>
      <c r="CJ485" s="67"/>
      <c r="CK485" s="67">
        <v>0</v>
      </c>
      <c r="CL485" s="67"/>
      <c r="CM485" s="67"/>
      <c r="CN485" s="67"/>
      <c r="CO485" s="67">
        <v>0</v>
      </c>
      <c r="CP485" s="67"/>
      <c r="CQ485" s="67"/>
      <c r="CR485" s="67"/>
      <c r="CS485" s="67"/>
      <c r="CT485" s="67"/>
      <c r="CU485" s="67">
        <v>0</v>
      </c>
      <c r="CV485" s="67"/>
      <c r="CW485" s="67"/>
      <c r="CX485" s="67"/>
      <c r="CY485" s="67">
        <v>0</v>
      </c>
      <c r="CZ485" s="67"/>
      <c r="DA485" s="67"/>
      <c r="DB485" s="67"/>
      <c r="DC485" s="67"/>
      <c r="DF485" s="67"/>
      <c r="DG485" s="67">
        <v>0</v>
      </c>
      <c r="DH485" s="67">
        <v>0</v>
      </c>
      <c r="DI485" s="67">
        <v>0</v>
      </c>
      <c r="DJ485" s="67"/>
      <c r="DK485" s="67">
        <v>0</v>
      </c>
      <c r="DL485" s="67">
        <v>0</v>
      </c>
      <c r="DM485" s="67">
        <v>0</v>
      </c>
      <c r="DN485" s="67"/>
      <c r="DO485" s="67"/>
      <c r="DP485" s="67"/>
      <c r="DQ485" s="67">
        <v>0</v>
      </c>
      <c r="DR485" s="67">
        <v>0</v>
      </c>
      <c r="DS485" s="67"/>
      <c r="DT485" s="67"/>
      <c r="DU485" s="67">
        <v>0</v>
      </c>
      <c r="DV485" s="67">
        <v>0</v>
      </c>
      <c r="DW485" s="67">
        <v>0</v>
      </c>
      <c r="DX485" s="67">
        <v>0</v>
      </c>
      <c r="DY485" s="67"/>
      <c r="DZ485" s="67">
        <v>0</v>
      </c>
      <c r="EA485" s="67"/>
      <c r="EB485" s="67">
        <v>0</v>
      </c>
      <c r="EC485" s="67"/>
      <c r="ED485" s="67">
        <v>0</v>
      </c>
      <c r="EE485" s="67"/>
      <c r="EF485" s="67">
        <v>0</v>
      </c>
      <c r="EG485" s="67"/>
      <c r="EH485" s="67"/>
      <c r="EI485" s="67"/>
      <c r="EJ485" s="67"/>
      <c r="EK485" s="67"/>
      <c r="EL485" s="67"/>
      <c r="EM485" s="67"/>
      <c r="EN485" s="67"/>
      <c r="EO485" s="67"/>
      <c r="EP485" s="67">
        <v>0</v>
      </c>
      <c r="EQ485" s="67">
        <v>0</v>
      </c>
      <c r="ER485" s="67">
        <v>0</v>
      </c>
      <c r="ES485" s="67"/>
      <c r="ET485">
        <v>0</v>
      </c>
      <c r="EX485" s="67"/>
      <c r="EY485" s="67"/>
      <c r="EZ485" s="67"/>
      <c r="FA485" s="67">
        <v>0</v>
      </c>
      <c r="FB485" s="67">
        <v>0</v>
      </c>
      <c r="FC485" s="67"/>
      <c r="FD485" s="67"/>
      <c r="FE485" s="67"/>
      <c r="FF485" s="67"/>
      <c r="FG485" s="67"/>
      <c r="FH485" s="67"/>
      <c r="FI485" s="67" t="s">
        <v>1734</v>
      </c>
    </row>
    <row r="486" spans="2:165" ht="24" x14ac:dyDescent="0.2">
      <c r="B486" s="67" t="s">
        <v>1264</v>
      </c>
      <c r="C486" s="67"/>
      <c r="D486" s="67" t="s">
        <v>1265</v>
      </c>
      <c r="E486" s="67" t="s">
        <v>13</v>
      </c>
      <c r="F486" s="67" t="s">
        <v>1262</v>
      </c>
      <c r="G486" s="67" t="s">
        <v>694</v>
      </c>
      <c r="H486" s="67"/>
      <c r="I486" s="67" t="s">
        <v>41</v>
      </c>
      <c r="J486" s="67"/>
      <c r="K486" s="67"/>
      <c r="L486" s="67" t="s">
        <v>751</v>
      </c>
      <c r="M486" s="67" t="s">
        <v>752</v>
      </c>
      <c r="N486" s="67"/>
      <c r="O486" s="67" t="s">
        <v>1605</v>
      </c>
      <c r="P486" s="67"/>
      <c r="Q486" s="67">
        <v>0</v>
      </c>
      <c r="R486" s="67">
        <v>0</v>
      </c>
      <c r="S486" s="67">
        <v>0</v>
      </c>
      <c r="T486" s="67">
        <v>0</v>
      </c>
      <c r="U486" s="67">
        <v>0</v>
      </c>
      <c r="V486" s="67">
        <v>0</v>
      </c>
      <c r="W486" s="67">
        <v>0</v>
      </c>
      <c r="X486" s="67">
        <v>0</v>
      </c>
      <c r="Y486" s="67">
        <v>0</v>
      </c>
      <c r="Z486" s="67">
        <v>0</v>
      </c>
      <c r="AA486" s="67">
        <v>0</v>
      </c>
      <c r="AB486" s="67">
        <v>0</v>
      </c>
      <c r="AC486" s="67">
        <v>0</v>
      </c>
      <c r="AD486" s="67">
        <v>0</v>
      </c>
      <c r="AE486" s="67">
        <v>0</v>
      </c>
      <c r="AF486" s="67">
        <v>0</v>
      </c>
      <c r="AG486" s="67">
        <v>0</v>
      </c>
      <c r="AH486" s="67">
        <v>0</v>
      </c>
      <c r="AI486" s="67">
        <v>0</v>
      </c>
      <c r="AJ486" s="67">
        <v>0</v>
      </c>
      <c r="AK486" s="67">
        <v>0</v>
      </c>
      <c r="AL486" s="67">
        <v>0</v>
      </c>
      <c r="AM486" s="67">
        <v>0</v>
      </c>
      <c r="AN486" s="67">
        <v>0</v>
      </c>
      <c r="AO486" s="67">
        <v>0</v>
      </c>
      <c r="AP486" s="67">
        <v>0</v>
      </c>
      <c r="AQ486" s="67">
        <v>0</v>
      </c>
      <c r="AR486" s="67">
        <v>0</v>
      </c>
      <c r="AS486" s="67">
        <v>0</v>
      </c>
      <c r="AT486" s="67"/>
      <c r="AU486" s="67"/>
      <c r="AV486" s="67"/>
      <c r="AW486" s="67">
        <v>0</v>
      </c>
      <c r="AX486" s="67">
        <v>0</v>
      </c>
      <c r="AY486" s="67"/>
      <c r="AZ486" s="67"/>
      <c r="BA486" s="67"/>
      <c r="BB486" s="67"/>
      <c r="BC486" s="67"/>
      <c r="BD486" s="67"/>
      <c r="BE486" s="67"/>
      <c r="BG486" s="67"/>
      <c r="BH486" s="67"/>
      <c r="BI486" s="67"/>
      <c r="BJ486" s="67">
        <v>0</v>
      </c>
      <c r="BK486" s="67"/>
      <c r="BL486" s="67"/>
      <c r="BP486" s="67"/>
      <c r="BQ486" s="67">
        <v>0</v>
      </c>
      <c r="BR486" s="67"/>
      <c r="BS486" s="67"/>
      <c r="BT486" s="67">
        <v>0</v>
      </c>
      <c r="BU486" s="67">
        <v>0</v>
      </c>
      <c r="BV486" s="67"/>
      <c r="BW486" s="67"/>
      <c r="BX486" s="67">
        <v>0</v>
      </c>
      <c r="BY486" s="67">
        <v>0</v>
      </c>
      <c r="BZ486" s="67">
        <v>0</v>
      </c>
      <c r="CA486" s="67"/>
      <c r="CB486" s="67">
        <v>0</v>
      </c>
      <c r="CC486" s="67"/>
      <c r="CD486" s="67"/>
      <c r="CE486" s="67">
        <v>0</v>
      </c>
      <c r="CF486" s="67"/>
      <c r="CG486" s="67"/>
      <c r="CH486" s="67"/>
      <c r="CI486" s="67"/>
      <c r="CJ486" s="67"/>
      <c r="CK486" s="67">
        <v>0</v>
      </c>
      <c r="CL486" s="67"/>
      <c r="CM486" s="67"/>
      <c r="CN486" s="67"/>
      <c r="CO486" s="67">
        <v>0</v>
      </c>
      <c r="CP486" s="67"/>
      <c r="CQ486" s="67"/>
      <c r="CR486" s="67"/>
      <c r="CS486" s="67"/>
      <c r="CT486" s="67"/>
      <c r="CU486" s="67">
        <v>0</v>
      </c>
      <c r="CV486" s="67"/>
      <c r="CW486" s="67"/>
      <c r="CX486" s="67"/>
      <c r="CY486" s="67">
        <v>0</v>
      </c>
      <c r="CZ486" s="67"/>
      <c r="DA486" s="67"/>
      <c r="DB486" s="67"/>
      <c r="DC486" s="67"/>
      <c r="DF486" s="67"/>
      <c r="DG486" s="67">
        <v>0</v>
      </c>
      <c r="DH486" s="67">
        <v>0</v>
      </c>
      <c r="DI486" s="67">
        <v>0</v>
      </c>
      <c r="DJ486" s="67"/>
      <c r="DK486" s="67">
        <v>0</v>
      </c>
      <c r="DL486" s="67">
        <v>0</v>
      </c>
      <c r="DM486" s="67">
        <v>0</v>
      </c>
      <c r="DN486" s="67"/>
      <c r="DO486" s="67"/>
      <c r="DP486" s="67"/>
      <c r="DQ486" s="67">
        <v>0</v>
      </c>
      <c r="DR486" s="67">
        <v>0</v>
      </c>
      <c r="DS486" s="67"/>
      <c r="DT486" s="67"/>
      <c r="DU486" s="67">
        <v>0</v>
      </c>
      <c r="DV486" s="67">
        <v>0</v>
      </c>
      <c r="DW486" s="67">
        <v>0</v>
      </c>
      <c r="DX486" s="67">
        <v>0</v>
      </c>
      <c r="DY486" s="67"/>
      <c r="DZ486" s="67">
        <v>0</v>
      </c>
      <c r="EA486" s="67"/>
      <c r="EB486" s="67">
        <v>0</v>
      </c>
      <c r="EC486" s="67"/>
      <c r="ED486" s="67">
        <v>0</v>
      </c>
      <c r="EE486" s="67"/>
      <c r="EF486" s="67">
        <v>0</v>
      </c>
      <c r="EG486" s="67"/>
      <c r="EH486" s="67"/>
      <c r="EI486" s="67"/>
      <c r="EJ486" s="67"/>
      <c r="EK486" s="67"/>
      <c r="EL486" s="67"/>
      <c r="EM486" s="67"/>
      <c r="EN486" s="67"/>
      <c r="EO486" s="67"/>
      <c r="EP486" s="67">
        <v>0</v>
      </c>
      <c r="EQ486" s="67">
        <v>0</v>
      </c>
      <c r="ER486" s="67">
        <v>0</v>
      </c>
      <c r="ES486" s="67"/>
      <c r="ET486">
        <v>0</v>
      </c>
      <c r="EX486" s="67"/>
      <c r="EY486" s="67"/>
      <c r="EZ486" s="67"/>
      <c r="FA486" s="67">
        <v>0</v>
      </c>
      <c r="FB486" s="67">
        <v>0</v>
      </c>
      <c r="FC486" s="67"/>
      <c r="FD486" s="67"/>
      <c r="FE486" s="67"/>
      <c r="FF486" s="67"/>
      <c r="FG486" s="67"/>
      <c r="FH486" s="67"/>
      <c r="FI486" s="67" t="s">
        <v>1734</v>
      </c>
    </row>
    <row r="487" spans="2:165" x14ac:dyDescent="0.2">
      <c r="B487" s="67" t="s">
        <v>1267</v>
      </c>
      <c r="C487" s="67"/>
      <c r="D487" s="67" t="s">
        <v>1268</v>
      </c>
      <c r="E487" s="67" t="s">
        <v>23</v>
      </c>
      <c r="F487" s="67" t="s">
        <v>1262</v>
      </c>
      <c r="G487" s="67" t="s">
        <v>694</v>
      </c>
      <c r="H487" s="67"/>
      <c r="I487" s="67" t="s">
        <v>43</v>
      </c>
      <c r="J487" s="67"/>
      <c r="K487" s="67"/>
      <c r="L487" s="67" t="s">
        <v>787</v>
      </c>
      <c r="M487" s="67" t="s">
        <v>752</v>
      </c>
      <c r="N487" s="67"/>
      <c r="O487" s="67" t="s">
        <v>1605</v>
      </c>
      <c r="P487" s="67"/>
      <c r="Q487" s="67">
        <v>0</v>
      </c>
      <c r="R487" s="67">
        <v>0</v>
      </c>
      <c r="S487" s="67">
        <v>0</v>
      </c>
      <c r="T487" s="67">
        <v>0</v>
      </c>
      <c r="U487" s="67">
        <v>0</v>
      </c>
      <c r="V487" s="67">
        <v>0</v>
      </c>
      <c r="W487" s="67">
        <v>0</v>
      </c>
      <c r="X487" s="67">
        <v>0</v>
      </c>
      <c r="Y487" s="67">
        <v>0</v>
      </c>
      <c r="Z487" s="67">
        <v>0</v>
      </c>
      <c r="AA487" s="67">
        <v>0</v>
      </c>
      <c r="AB487" s="67">
        <v>0</v>
      </c>
      <c r="AC487" s="67">
        <v>0</v>
      </c>
      <c r="AD487" s="67">
        <v>0</v>
      </c>
      <c r="AE487" s="67">
        <v>0</v>
      </c>
      <c r="AF487" s="67">
        <v>0</v>
      </c>
      <c r="AG487" s="67">
        <v>0</v>
      </c>
      <c r="AH487" s="67">
        <v>0</v>
      </c>
      <c r="AI487" s="67">
        <v>0</v>
      </c>
      <c r="AJ487" s="67">
        <v>0</v>
      </c>
      <c r="AK487" s="67">
        <v>0</v>
      </c>
      <c r="AL487" s="67">
        <v>0</v>
      </c>
      <c r="AM487" s="67">
        <v>0</v>
      </c>
      <c r="AN487" s="67">
        <v>0</v>
      </c>
      <c r="AO487" s="67">
        <v>0</v>
      </c>
      <c r="AP487" s="67">
        <v>0</v>
      </c>
      <c r="AQ487" s="67">
        <v>0</v>
      </c>
      <c r="AR487" s="67">
        <v>0</v>
      </c>
      <c r="AS487" s="67">
        <v>0</v>
      </c>
      <c r="AT487" s="67"/>
      <c r="AU487" s="67"/>
      <c r="AV487" s="67"/>
      <c r="AW487" s="67">
        <v>0</v>
      </c>
      <c r="AX487" s="67">
        <v>0</v>
      </c>
      <c r="AY487" s="67"/>
      <c r="AZ487" s="67"/>
      <c r="BA487" s="67"/>
      <c r="BB487" s="67"/>
      <c r="BC487" s="67"/>
      <c r="BD487" s="67"/>
      <c r="BE487" s="67"/>
      <c r="BG487" s="67"/>
      <c r="BH487" s="67"/>
      <c r="BI487" s="67"/>
      <c r="BJ487" s="67">
        <v>0</v>
      </c>
      <c r="BK487" s="67"/>
      <c r="BL487" s="67"/>
      <c r="BP487" s="67"/>
      <c r="BQ487" s="67">
        <v>0</v>
      </c>
      <c r="BR487" s="67"/>
      <c r="BS487" s="67"/>
      <c r="BT487" s="67">
        <v>0</v>
      </c>
      <c r="BU487" s="67">
        <v>0</v>
      </c>
      <c r="BV487" s="67"/>
      <c r="BW487" s="67"/>
      <c r="BX487" s="67">
        <v>0</v>
      </c>
      <c r="BY487" s="67">
        <v>0</v>
      </c>
      <c r="BZ487" s="67">
        <v>0</v>
      </c>
      <c r="CA487" s="67"/>
      <c r="CB487" s="67">
        <v>0</v>
      </c>
      <c r="CC487" s="67"/>
      <c r="CD487" s="67"/>
      <c r="CE487" s="67">
        <v>0</v>
      </c>
      <c r="CF487" s="67"/>
      <c r="CG487" s="67"/>
      <c r="CH487" s="67"/>
      <c r="CI487" s="67"/>
      <c r="CJ487" s="67"/>
      <c r="CK487" s="67">
        <v>0</v>
      </c>
      <c r="CL487" s="67"/>
      <c r="CM487" s="67"/>
      <c r="CN487" s="67"/>
      <c r="CO487" s="67">
        <v>0</v>
      </c>
      <c r="CP487" s="67"/>
      <c r="CQ487" s="67"/>
      <c r="CR487" s="67"/>
      <c r="CS487" s="67"/>
      <c r="CT487" s="67"/>
      <c r="CU487" s="67">
        <v>0</v>
      </c>
      <c r="CV487" s="67"/>
      <c r="CW487" s="67"/>
      <c r="CX487" s="67"/>
      <c r="CY487" s="67">
        <v>0</v>
      </c>
      <c r="CZ487" s="67"/>
      <c r="DA487" s="67"/>
      <c r="DB487" s="67"/>
      <c r="DC487" s="67"/>
      <c r="DF487" s="67"/>
      <c r="DG487" s="67">
        <v>0</v>
      </c>
      <c r="DH487" s="67">
        <v>0</v>
      </c>
      <c r="DI487" s="67">
        <v>0</v>
      </c>
      <c r="DJ487" s="67"/>
      <c r="DK487" s="67">
        <v>0</v>
      </c>
      <c r="DL487" s="67">
        <v>0</v>
      </c>
      <c r="DM487" s="67">
        <v>0</v>
      </c>
      <c r="DN487" s="67"/>
      <c r="DO487" s="67"/>
      <c r="DP487" s="67"/>
      <c r="DQ487" s="67">
        <v>0</v>
      </c>
      <c r="DR487" s="67">
        <v>0</v>
      </c>
      <c r="DS487" s="67"/>
      <c r="DT487" s="67"/>
      <c r="DU487" s="67">
        <v>0</v>
      </c>
      <c r="DV487" s="67">
        <v>0</v>
      </c>
      <c r="DW487" s="67">
        <v>0</v>
      </c>
      <c r="DX487" s="67">
        <v>0</v>
      </c>
      <c r="DY487" s="67"/>
      <c r="DZ487" s="67">
        <v>0</v>
      </c>
      <c r="EA487" s="67"/>
      <c r="EB487" s="67">
        <v>0</v>
      </c>
      <c r="EC487" s="67"/>
      <c r="ED487" s="67">
        <v>0</v>
      </c>
      <c r="EE487" s="67"/>
      <c r="EF487" s="67">
        <v>0</v>
      </c>
      <c r="EG487" s="67"/>
      <c r="EH487" s="67"/>
      <c r="EI487" s="67"/>
      <c r="EJ487" s="67"/>
      <c r="EK487" s="67"/>
      <c r="EL487" s="67"/>
      <c r="EM487" s="67"/>
      <c r="EN487" s="67"/>
      <c r="EO487" s="67"/>
      <c r="EP487" s="67">
        <v>0</v>
      </c>
      <c r="EQ487" s="67">
        <v>0</v>
      </c>
      <c r="ER487" s="67">
        <v>0</v>
      </c>
      <c r="ES487" s="67"/>
      <c r="ET487">
        <v>0</v>
      </c>
      <c r="EX487" s="67"/>
      <c r="EY487" s="67"/>
      <c r="EZ487" s="67"/>
      <c r="FA487" s="67">
        <v>0</v>
      </c>
      <c r="FB487" s="67">
        <v>0</v>
      </c>
      <c r="FC487" s="67"/>
      <c r="FD487" s="67"/>
      <c r="FE487" s="67"/>
      <c r="FF487" s="67"/>
      <c r="FG487" s="67"/>
      <c r="FH487" s="67"/>
      <c r="FI487" s="67" t="s">
        <v>1734</v>
      </c>
    </row>
    <row r="488" spans="2:165" x14ac:dyDescent="0.2">
      <c r="B488" s="67" t="s">
        <v>1269</v>
      </c>
      <c r="C488" s="67"/>
      <c r="D488" s="67" t="s">
        <v>1270</v>
      </c>
      <c r="E488" s="67" t="s">
        <v>23</v>
      </c>
      <c r="F488" s="67" t="s">
        <v>1224</v>
      </c>
      <c r="G488" s="67" t="s">
        <v>694</v>
      </c>
      <c r="H488" s="67"/>
      <c r="I488" s="67" t="s">
        <v>43</v>
      </c>
      <c r="J488" s="67"/>
      <c r="K488" s="67"/>
      <c r="L488" s="67" t="s">
        <v>787</v>
      </c>
      <c r="M488" s="67" t="s">
        <v>752</v>
      </c>
      <c r="N488" s="67"/>
      <c r="O488" s="67" t="s">
        <v>1605</v>
      </c>
      <c r="P488" s="67"/>
      <c r="Q488" s="67">
        <v>0</v>
      </c>
      <c r="R488" s="67">
        <v>0</v>
      </c>
      <c r="S488" s="67">
        <v>0</v>
      </c>
      <c r="T488" s="67">
        <v>0</v>
      </c>
      <c r="U488" s="67">
        <v>0</v>
      </c>
      <c r="V488" s="67">
        <v>0</v>
      </c>
      <c r="W488" s="67">
        <v>0</v>
      </c>
      <c r="X488" s="67">
        <v>0</v>
      </c>
      <c r="Y488" s="67">
        <v>0</v>
      </c>
      <c r="Z488" s="67">
        <v>0</v>
      </c>
      <c r="AA488" s="67">
        <v>0</v>
      </c>
      <c r="AB488" s="67">
        <v>0</v>
      </c>
      <c r="AC488" s="67">
        <v>0</v>
      </c>
      <c r="AD488" s="67">
        <v>0</v>
      </c>
      <c r="AE488" s="67">
        <v>0</v>
      </c>
      <c r="AF488" s="67">
        <v>0</v>
      </c>
      <c r="AG488" s="67">
        <v>0</v>
      </c>
      <c r="AH488" s="67">
        <v>0</v>
      </c>
      <c r="AI488" s="67">
        <v>0</v>
      </c>
      <c r="AJ488" s="67">
        <v>0</v>
      </c>
      <c r="AK488" s="67">
        <v>0</v>
      </c>
      <c r="AL488" s="67">
        <v>0</v>
      </c>
      <c r="AM488" s="67">
        <v>0</v>
      </c>
      <c r="AN488" s="67">
        <v>0</v>
      </c>
      <c r="AO488" s="67">
        <v>0</v>
      </c>
      <c r="AP488" s="67">
        <v>0</v>
      </c>
      <c r="AQ488" s="67">
        <v>0</v>
      </c>
      <c r="AR488" s="67">
        <v>0</v>
      </c>
      <c r="AS488" s="67">
        <v>0</v>
      </c>
      <c r="AT488" s="67"/>
      <c r="AU488" s="67"/>
      <c r="AV488" s="67"/>
      <c r="AW488" s="67">
        <v>0</v>
      </c>
      <c r="AX488" s="67">
        <v>0</v>
      </c>
      <c r="AY488" s="67"/>
      <c r="AZ488" s="67"/>
      <c r="BA488" s="67"/>
      <c r="BB488" s="67"/>
      <c r="BC488" s="67"/>
      <c r="BD488" s="67"/>
      <c r="BE488" s="67"/>
      <c r="BG488" s="67"/>
      <c r="BH488" s="67"/>
      <c r="BI488" s="67"/>
      <c r="BJ488" s="67">
        <v>0</v>
      </c>
      <c r="BK488" s="67"/>
      <c r="BL488" s="67"/>
      <c r="BP488" s="67"/>
      <c r="BQ488" s="67">
        <v>0</v>
      </c>
      <c r="BR488" s="67"/>
      <c r="BS488" s="67"/>
      <c r="BT488" s="67">
        <v>0</v>
      </c>
      <c r="BU488" s="67">
        <v>0</v>
      </c>
      <c r="BV488" s="67"/>
      <c r="BW488" s="67"/>
      <c r="BX488" s="67">
        <v>0</v>
      </c>
      <c r="BY488" s="67">
        <v>0</v>
      </c>
      <c r="BZ488" s="67">
        <v>0</v>
      </c>
      <c r="CA488" s="67"/>
      <c r="CB488" s="67">
        <v>0</v>
      </c>
      <c r="CC488" s="67"/>
      <c r="CD488" s="67"/>
      <c r="CE488" s="67">
        <v>0</v>
      </c>
      <c r="CF488" s="67"/>
      <c r="CG488" s="67"/>
      <c r="CH488" s="67"/>
      <c r="CI488" s="67"/>
      <c r="CJ488" s="67"/>
      <c r="CK488" s="67">
        <v>0</v>
      </c>
      <c r="CL488" s="67"/>
      <c r="CM488" s="67"/>
      <c r="CN488" s="67"/>
      <c r="CO488" s="67">
        <v>0</v>
      </c>
      <c r="CP488" s="67"/>
      <c r="CQ488" s="67"/>
      <c r="CR488" s="67"/>
      <c r="CS488" s="67"/>
      <c r="CT488" s="67"/>
      <c r="CU488" s="67">
        <v>0</v>
      </c>
      <c r="CV488" s="67"/>
      <c r="CW488" s="67"/>
      <c r="CX488" s="67"/>
      <c r="CY488" s="67">
        <v>0</v>
      </c>
      <c r="CZ488" s="67"/>
      <c r="DA488" s="67"/>
      <c r="DB488" s="67"/>
      <c r="DC488" s="67"/>
      <c r="DF488" s="67"/>
      <c r="DG488" s="67">
        <v>0</v>
      </c>
      <c r="DH488" s="67">
        <v>0</v>
      </c>
      <c r="DI488" s="67">
        <v>0</v>
      </c>
      <c r="DJ488" s="67"/>
      <c r="DK488" s="67">
        <v>0</v>
      </c>
      <c r="DL488" s="67">
        <v>0</v>
      </c>
      <c r="DM488" s="67">
        <v>0</v>
      </c>
      <c r="DN488" s="67"/>
      <c r="DO488" s="67"/>
      <c r="DP488" s="67"/>
      <c r="DQ488" s="67">
        <v>0</v>
      </c>
      <c r="DR488" s="67">
        <v>0</v>
      </c>
      <c r="DS488" s="67"/>
      <c r="DT488" s="67"/>
      <c r="DU488" s="67">
        <v>0</v>
      </c>
      <c r="DV488" s="67">
        <v>0</v>
      </c>
      <c r="DW488" s="67">
        <v>0</v>
      </c>
      <c r="DX488" s="67">
        <v>0</v>
      </c>
      <c r="DY488" s="67"/>
      <c r="DZ488" s="67">
        <v>0</v>
      </c>
      <c r="EA488" s="67"/>
      <c r="EB488" s="67">
        <v>0</v>
      </c>
      <c r="EC488" s="67"/>
      <c r="ED488" s="67">
        <v>0</v>
      </c>
      <c r="EE488" s="67"/>
      <c r="EF488" s="67">
        <v>0</v>
      </c>
      <c r="EG488" s="67"/>
      <c r="EH488" s="67"/>
      <c r="EI488" s="67"/>
      <c r="EJ488" s="67"/>
      <c r="EK488" s="67"/>
      <c r="EL488" s="67"/>
      <c r="EM488" s="67"/>
      <c r="EN488" s="67"/>
      <c r="EO488" s="67"/>
      <c r="EP488" s="67">
        <v>0</v>
      </c>
      <c r="EQ488" s="67">
        <v>0</v>
      </c>
      <c r="ER488" s="67">
        <v>0</v>
      </c>
      <c r="ES488" s="67"/>
      <c r="ET488">
        <v>0</v>
      </c>
      <c r="EX488" s="67"/>
      <c r="EY488" s="67"/>
      <c r="EZ488" s="67"/>
      <c r="FA488" s="67">
        <v>0</v>
      </c>
      <c r="FB488" s="67">
        <v>0</v>
      </c>
      <c r="FC488" s="67"/>
      <c r="FD488" s="67"/>
      <c r="FE488" s="67"/>
      <c r="FF488" s="67"/>
      <c r="FG488" s="67"/>
      <c r="FH488" s="67"/>
      <c r="FI488" s="67" t="s">
        <v>1734</v>
      </c>
    </row>
    <row r="489" spans="2:165" ht="24" x14ac:dyDescent="0.2">
      <c r="B489" s="67" t="s">
        <v>1271</v>
      </c>
      <c r="C489" s="67"/>
      <c r="D489" s="67" t="s">
        <v>1272</v>
      </c>
      <c r="E489" s="67" t="s">
        <v>13</v>
      </c>
      <c r="F489" s="67" t="s">
        <v>1262</v>
      </c>
      <c r="G489" s="67" t="s">
        <v>694</v>
      </c>
      <c r="H489" s="67"/>
      <c r="I489" s="67" t="s">
        <v>41</v>
      </c>
      <c r="J489" s="67"/>
      <c r="K489" s="67"/>
      <c r="L489" s="67" t="s">
        <v>787</v>
      </c>
      <c r="M489" s="67" t="s">
        <v>752</v>
      </c>
      <c r="N489" s="67"/>
      <c r="O489" s="67" t="s">
        <v>1605</v>
      </c>
      <c r="P489" s="67"/>
      <c r="Q489" s="67">
        <v>0</v>
      </c>
      <c r="R489" s="67">
        <v>0</v>
      </c>
      <c r="S489" s="67">
        <v>0</v>
      </c>
      <c r="T489" s="67">
        <v>0</v>
      </c>
      <c r="U489" s="67">
        <v>0</v>
      </c>
      <c r="V489" s="67">
        <v>0</v>
      </c>
      <c r="W489" s="67">
        <v>0</v>
      </c>
      <c r="X489" s="67">
        <v>0</v>
      </c>
      <c r="Y489" s="67">
        <v>0</v>
      </c>
      <c r="Z489" s="67">
        <v>0</v>
      </c>
      <c r="AA489" s="67">
        <v>0</v>
      </c>
      <c r="AB489" s="67">
        <v>0</v>
      </c>
      <c r="AC489" s="67">
        <v>0</v>
      </c>
      <c r="AD489" s="67">
        <v>0</v>
      </c>
      <c r="AE489" s="67">
        <v>0</v>
      </c>
      <c r="AF489" s="67">
        <v>0</v>
      </c>
      <c r="AG489" s="67">
        <v>0</v>
      </c>
      <c r="AH489" s="67">
        <v>0</v>
      </c>
      <c r="AI489" s="67">
        <v>0</v>
      </c>
      <c r="AJ489" s="67">
        <v>0</v>
      </c>
      <c r="AK489" s="67">
        <v>0</v>
      </c>
      <c r="AL489" s="67">
        <v>0</v>
      </c>
      <c r="AM489" s="67">
        <v>0</v>
      </c>
      <c r="AN489" s="67">
        <v>0</v>
      </c>
      <c r="AO489" s="67">
        <v>0</v>
      </c>
      <c r="AP489" s="67">
        <v>0</v>
      </c>
      <c r="AQ489" s="67">
        <v>0</v>
      </c>
      <c r="AR489" s="67">
        <v>0</v>
      </c>
      <c r="AS489" s="67">
        <v>0</v>
      </c>
      <c r="AT489" s="67"/>
      <c r="AU489" s="67"/>
      <c r="AV489" s="67"/>
      <c r="AW489" s="67">
        <v>0</v>
      </c>
      <c r="AX489" s="67">
        <v>0</v>
      </c>
      <c r="AY489" s="67"/>
      <c r="AZ489" s="67"/>
      <c r="BA489" s="67"/>
      <c r="BB489" s="67"/>
      <c r="BC489" s="67"/>
      <c r="BD489" s="67"/>
      <c r="BE489" s="67"/>
      <c r="BG489" s="67"/>
      <c r="BH489" s="67"/>
      <c r="BI489" s="67"/>
      <c r="BJ489" s="67">
        <v>0</v>
      </c>
      <c r="BK489" s="67"/>
      <c r="BL489" s="67"/>
      <c r="BP489" s="67"/>
      <c r="BQ489" s="67">
        <v>0</v>
      </c>
      <c r="BR489" s="67"/>
      <c r="BS489" s="67"/>
      <c r="BT489" s="67">
        <v>0</v>
      </c>
      <c r="BU489" s="67">
        <v>0</v>
      </c>
      <c r="BV489" s="67"/>
      <c r="BW489" s="67"/>
      <c r="BX489" s="67">
        <v>0</v>
      </c>
      <c r="BY489" s="67">
        <v>0</v>
      </c>
      <c r="BZ489" s="67">
        <v>0</v>
      </c>
      <c r="CA489" s="67"/>
      <c r="CB489" s="67">
        <v>0</v>
      </c>
      <c r="CC489" s="67"/>
      <c r="CD489" s="67"/>
      <c r="CE489" s="67">
        <v>0</v>
      </c>
      <c r="CF489" s="67"/>
      <c r="CG489" s="67"/>
      <c r="CH489" s="67"/>
      <c r="CI489" s="67"/>
      <c r="CJ489" s="67"/>
      <c r="CK489" s="67">
        <v>0</v>
      </c>
      <c r="CL489" s="67"/>
      <c r="CM489" s="67"/>
      <c r="CN489" s="67"/>
      <c r="CO489" s="67">
        <v>0</v>
      </c>
      <c r="CP489" s="67"/>
      <c r="CQ489" s="67"/>
      <c r="CR489" s="67"/>
      <c r="CS489" s="67"/>
      <c r="CT489" s="67"/>
      <c r="CU489" s="67">
        <v>0</v>
      </c>
      <c r="CV489" s="67"/>
      <c r="CW489" s="67"/>
      <c r="CX489" s="67"/>
      <c r="CY489" s="67">
        <v>0</v>
      </c>
      <c r="CZ489" s="67"/>
      <c r="DA489" s="67"/>
      <c r="DB489" s="67"/>
      <c r="DC489" s="67"/>
      <c r="DF489" s="67"/>
      <c r="DG489" s="67">
        <v>0</v>
      </c>
      <c r="DH489" s="67">
        <v>0</v>
      </c>
      <c r="DI489" s="67">
        <v>0</v>
      </c>
      <c r="DJ489" s="67"/>
      <c r="DK489" s="67">
        <v>0</v>
      </c>
      <c r="DL489" s="67">
        <v>0</v>
      </c>
      <c r="DM489" s="67">
        <v>0</v>
      </c>
      <c r="DN489" s="67"/>
      <c r="DO489" s="67"/>
      <c r="DP489" s="67"/>
      <c r="DQ489" s="67">
        <v>0</v>
      </c>
      <c r="DR489" s="67">
        <v>0</v>
      </c>
      <c r="DS489" s="67"/>
      <c r="DT489" s="67"/>
      <c r="DU489" s="67">
        <v>0</v>
      </c>
      <c r="DV489" s="67">
        <v>0</v>
      </c>
      <c r="DW489" s="67">
        <v>0</v>
      </c>
      <c r="DX489" s="67">
        <v>0</v>
      </c>
      <c r="DY489" s="67"/>
      <c r="DZ489" s="67">
        <v>0</v>
      </c>
      <c r="EA489" s="67"/>
      <c r="EB489" s="67">
        <v>0</v>
      </c>
      <c r="EC489" s="67"/>
      <c r="ED489" s="67">
        <v>0</v>
      </c>
      <c r="EE489" s="67"/>
      <c r="EF489" s="67">
        <v>0</v>
      </c>
      <c r="EG489" s="67"/>
      <c r="EH489" s="67"/>
      <c r="EI489" s="67"/>
      <c r="EJ489" s="67"/>
      <c r="EK489" s="67"/>
      <c r="EL489" s="67"/>
      <c r="EM489" s="67"/>
      <c r="EN489" s="67"/>
      <c r="EO489" s="67"/>
      <c r="EP489" s="67">
        <v>0</v>
      </c>
      <c r="EQ489" s="67">
        <v>0</v>
      </c>
      <c r="ER489" s="67">
        <v>0</v>
      </c>
      <c r="ES489" s="67"/>
      <c r="ET489">
        <v>0</v>
      </c>
      <c r="EX489" s="67"/>
      <c r="EY489" s="67"/>
      <c r="EZ489" s="67"/>
      <c r="FA489" s="67">
        <v>0</v>
      </c>
      <c r="FB489" s="67">
        <v>0</v>
      </c>
      <c r="FC489" s="67"/>
      <c r="FD489" s="67"/>
      <c r="FE489" s="67"/>
      <c r="FF489" s="67"/>
      <c r="FG489" s="67"/>
      <c r="FH489" s="67"/>
      <c r="FI489" s="67" t="s">
        <v>1734</v>
      </c>
    </row>
    <row r="490" spans="2:165" x14ac:dyDescent="0.2">
      <c r="B490" s="67" t="s">
        <v>1273</v>
      </c>
      <c r="C490" s="67"/>
      <c r="D490" s="67" t="s">
        <v>1274</v>
      </c>
      <c r="E490" s="67"/>
      <c r="F490" s="67" t="s">
        <v>1224</v>
      </c>
      <c r="G490" s="67" t="s">
        <v>694</v>
      </c>
      <c r="H490" s="67"/>
      <c r="I490" s="67" t="s">
        <v>43</v>
      </c>
      <c r="J490" s="67"/>
      <c r="K490" s="67"/>
      <c r="L490" s="67" t="s">
        <v>787</v>
      </c>
      <c r="M490" s="67" t="s">
        <v>752</v>
      </c>
      <c r="N490" s="67"/>
      <c r="O490" s="67" t="s">
        <v>1605</v>
      </c>
      <c r="P490" s="67"/>
      <c r="Q490" s="67">
        <v>0</v>
      </c>
      <c r="R490" s="67">
        <v>0</v>
      </c>
      <c r="S490" s="67">
        <v>0</v>
      </c>
      <c r="T490" s="67">
        <v>0</v>
      </c>
      <c r="U490" s="67">
        <v>0</v>
      </c>
      <c r="V490" s="67">
        <v>0</v>
      </c>
      <c r="W490" s="67">
        <v>0</v>
      </c>
      <c r="X490" s="67">
        <v>0</v>
      </c>
      <c r="Y490" s="67">
        <v>0</v>
      </c>
      <c r="Z490" s="67">
        <v>0</v>
      </c>
      <c r="AA490" s="67">
        <v>0</v>
      </c>
      <c r="AB490" s="67">
        <v>0</v>
      </c>
      <c r="AC490" s="67">
        <v>0</v>
      </c>
      <c r="AD490" s="67">
        <v>0</v>
      </c>
      <c r="AE490" s="67">
        <v>0</v>
      </c>
      <c r="AF490" s="67">
        <v>0</v>
      </c>
      <c r="AG490" s="67">
        <v>0</v>
      </c>
      <c r="AH490" s="67">
        <v>0</v>
      </c>
      <c r="AI490" s="67">
        <v>0</v>
      </c>
      <c r="AJ490" s="67">
        <v>0</v>
      </c>
      <c r="AK490" s="67">
        <v>0</v>
      </c>
      <c r="AL490" s="67">
        <v>0</v>
      </c>
      <c r="AM490" s="67">
        <v>0</v>
      </c>
      <c r="AN490" s="67">
        <v>0</v>
      </c>
      <c r="AO490" s="67">
        <v>0</v>
      </c>
      <c r="AP490" s="67">
        <v>0</v>
      </c>
      <c r="AQ490" s="67">
        <v>0</v>
      </c>
      <c r="AR490" s="67">
        <v>0</v>
      </c>
      <c r="AS490" s="67">
        <v>0</v>
      </c>
      <c r="AT490" s="67"/>
      <c r="AU490" s="67"/>
      <c r="AV490" s="67"/>
      <c r="AW490" s="67">
        <v>0</v>
      </c>
      <c r="AX490" s="67">
        <v>0</v>
      </c>
      <c r="AY490" s="67"/>
      <c r="AZ490" s="67"/>
      <c r="BA490" s="67"/>
      <c r="BB490" s="67"/>
      <c r="BC490" s="67"/>
      <c r="BD490" s="67"/>
      <c r="BE490" s="67"/>
      <c r="BG490" s="67"/>
      <c r="BH490" s="67"/>
      <c r="BI490" s="67"/>
      <c r="BJ490" s="67">
        <v>0</v>
      </c>
      <c r="BK490" s="67"/>
      <c r="BL490" s="67"/>
      <c r="BP490" s="67"/>
      <c r="BQ490" s="67">
        <v>0</v>
      </c>
      <c r="BR490" s="67"/>
      <c r="BS490" s="67"/>
      <c r="BT490" s="67">
        <v>0</v>
      </c>
      <c r="BU490" s="67">
        <v>0</v>
      </c>
      <c r="BV490" s="67"/>
      <c r="BW490" s="67"/>
      <c r="BX490" s="67">
        <v>0</v>
      </c>
      <c r="BY490" s="67">
        <v>0</v>
      </c>
      <c r="BZ490" s="67">
        <v>0</v>
      </c>
      <c r="CA490" s="67"/>
      <c r="CB490" s="67">
        <v>0</v>
      </c>
      <c r="CC490" s="67"/>
      <c r="CD490" s="67"/>
      <c r="CE490" s="67">
        <v>0</v>
      </c>
      <c r="CF490" s="67"/>
      <c r="CG490" s="67"/>
      <c r="CH490" s="67"/>
      <c r="CI490" s="67"/>
      <c r="CJ490" s="67"/>
      <c r="CK490" s="67">
        <v>0</v>
      </c>
      <c r="CL490" s="67"/>
      <c r="CM490" s="67"/>
      <c r="CN490" s="67"/>
      <c r="CO490" s="67">
        <v>0</v>
      </c>
      <c r="CP490" s="67"/>
      <c r="CQ490" s="67"/>
      <c r="CR490" s="67"/>
      <c r="CS490" s="67"/>
      <c r="CT490" s="67"/>
      <c r="CU490" s="67">
        <v>0</v>
      </c>
      <c r="CV490" s="67"/>
      <c r="CW490" s="67"/>
      <c r="CX490" s="67"/>
      <c r="CY490" s="67">
        <v>0</v>
      </c>
      <c r="CZ490" s="67"/>
      <c r="DA490" s="67"/>
      <c r="DB490" s="67"/>
      <c r="DC490" s="67"/>
      <c r="DF490" s="67"/>
      <c r="DG490" s="67">
        <v>0</v>
      </c>
      <c r="DH490" s="67">
        <v>0</v>
      </c>
      <c r="DI490" s="67">
        <v>0</v>
      </c>
      <c r="DJ490" s="67"/>
      <c r="DK490" s="67">
        <v>0</v>
      </c>
      <c r="DL490" s="67">
        <v>0</v>
      </c>
      <c r="DM490" s="67">
        <v>0</v>
      </c>
      <c r="DN490" s="67"/>
      <c r="DO490" s="67"/>
      <c r="DP490" s="67"/>
      <c r="DQ490" s="67">
        <v>0</v>
      </c>
      <c r="DR490" s="67">
        <v>0</v>
      </c>
      <c r="DS490" s="67"/>
      <c r="DT490" s="67"/>
      <c r="DU490" s="67">
        <v>0</v>
      </c>
      <c r="DV490" s="67">
        <v>0</v>
      </c>
      <c r="DW490" s="67">
        <v>0</v>
      </c>
      <c r="DX490" s="67">
        <v>0</v>
      </c>
      <c r="DY490" s="67"/>
      <c r="DZ490" s="67">
        <v>0</v>
      </c>
      <c r="EA490" s="67"/>
      <c r="EB490" s="67">
        <v>0</v>
      </c>
      <c r="EC490" s="67"/>
      <c r="ED490" s="67">
        <v>0</v>
      </c>
      <c r="EE490" s="67"/>
      <c r="EF490" s="67">
        <v>0</v>
      </c>
      <c r="EG490" s="67"/>
      <c r="EH490" s="67"/>
      <c r="EI490" s="67"/>
      <c r="EJ490" s="67"/>
      <c r="EK490" s="67"/>
      <c r="EL490" s="67"/>
      <c r="EM490" s="67"/>
      <c r="EN490" s="67"/>
      <c r="EO490" s="67"/>
      <c r="EP490" s="67">
        <v>0</v>
      </c>
      <c r="EQ490" s="67">
        <v>0</v>
      </c>
      <c r="ER490" s="67">
        <v>0</v>
      </c>
      <c r="ES490" s="67"/>
      <c r="ET490">
        <v>0</v>
      </c>
      <c r="EX490" s="67"/>
      <c r="EY490" s="67"/>
      <c r="EZ490" s="67"/>
      <c r="FA490" s="67">
        <v>0</v>
      </c>
      <c r="FB490" s="67">
        <v>0</v>
      </c>
      <c r="FC490" s="67"/>
      <c r="FD490" s="67"/>
      <c r="FE490" s="67"/>
      <c r="FF490" s="67"/>
      <c r="FG490" s="67"/>
      <c r="FH490" s="67"/>
      <c r="FI490" s="67" t="s">
        <v>1734</v>
      </c>
    </row>
    <row r="491" spans="2:165" x14ac:dyDescent="0.2">
      <c r="B491" s="67" t="s">
        <v>1276</v>
      </c>
      <c r="C491" s="67"/>
      <c r="D491" s="67" t="s">
        <v>1277</v>
      </c>
      <c r="E491" s="67" t="s">
        <v>23</v>
      </c>
      <c r="F491" s="67" t="s">
        <v>1262</v>
      </c>
      <c r="G491" s="67" t="s">
        <v>694</v>
      </c>
      <c r="H491" s="67"/>
      <c r="I491" s="67" t="s">
        <v>43</v>
      </c>
      <c r="J491" s="67"/>
      <c r="K491" s="67"/>
      <c r="L491" s="67" t="s">
        <v>787</v>
      </c>
      <c r="M491" s="67" t="s">
        <v>752</v>
      </c>
      <c r="N491" s="67"/>
      <c r="O491" s="67" t="s">
        <v>1605</v>
      </c>
      <c r="P491" s="67"/>
      <c r="Q491" s="67">
        <v>0</v>
      </c>
      <c r="R491" s="67">
        <v>0</v>
      </c>
      <c r="S491" s="67">
        <v>0</v>
      </c>
      <c r="T491" s="67">
        <v>0</v>
      </c>
      <c r="U491" s="67">
        <v>0</v>
      </c>
      <c r="V491" s="67">
        <v>0</v>
      </c>
      <c r="W491" s="67">
        <v>0</v>
      </c>
      <c r="X491" s="67">
        <v>0</v>
      </c>
      <c r="Y491" s="67">
        <v>0</v>
      </c>
      <c r="Z491" s="67">
        <v>0</v>
      </c>
      <c r="AA491" s="67">
        <v>0</v>
      </c>
      <c r="AB491" s="67">
        <v>0</v>
      </c>
      <c r="AC491" s="67">
        <v>0</v>
      </c>
      <c r="AD491" s="67">
        <v>0</v>
      </c>
      <c r="AE491" s="67">
        <v>0</v>
      </c>
      <c r="AF491" s="67">
        <v>0</v>
      </c>
      <c r="AG491" s="67">
        <v>0</v>
      </c>
      <c r="AH491" s="67">
        <v>0</v>
      </c>
      <c r="AI491" s="67">
        <v>0</v>
      </c>
      <c r="AJ491" s="67">
        <v>0</v>
      </c>
      <c r="AK491" s="67">
        <v>0</v>
      </c>
      <c r="AL491" s="67">
        <v>0</v>
      </c>
      <c r="AM491" s="67">
        <v>0</v>
      </c>
      <c r="AN491" s="67">
        <v>0</v>
      </c>
      <c r="AO491" s="67">
        <v>0</v>
      </c>
      <c r="AP491" s="67">
        <v>0</v>
      </c>
      <c r="AQ491" s="67">
        <v>0</v>
      </c>
      <c r="AR491" s="67">
        <v>0</v>
      </c>
      <c r="AS491" s="67">
        <v>0</v>
      </c>
      <c r="AT491" s="67"/>
      <c r="AU491" s="67"/>
      <c r="AV491" s="67"/>
      <c r="AW491" s="67">
        <v>0</v>
      </c>
      <c r="AX491" s="67">
        <v>0</v>
      </c>
      <c r="AY491" s="67"/>
      <c r="AZ491" s="67"/>
      <c r="BA491" s="67"/>
      <c r="BB491" s="67"/>
      <c r="BC491" s="67"/>
      <c r="BD491" s="67"/>
      <c r="BE491" s="67"/>
      <c r="BG491" s="67"/>
      <c r="BH491" s="67"/>
      <c r="BI491" s="67"/>
      <c r="BJ491" s="67">
        <v>0</v>
      </c>
      <c r="BK491" s="67"/>
      <c r="BL491" s="67"/>
      <c r="BP491" s="67"/>
      <c r="BQ491" s="67">
        <v>0</v>
      </c>
      <c r="BR491" s="67"/>
      <c r="BS491" s="67"/>
      <c r="BT491" s="67">
        <v>0</v>
      </c>
      <c r="BU491" s="67">
        <v>0</v>
      </c>
      <c r="BV491" s="67"/>
      <c r="BW491" s="67"/>
      <c r="BX491" s="67">
        <v>0</v>
      </c>
      <c r="BY491" s="67">
        <v>0</v>
      </c>
      <c r="BZ491" s="67">
        <v>0</v>
      </c>
      <c r="CA491" s="67"/>
      <c r="CB491" s="67">
        <v>0</v>
      </c>
      <c r="CC491" s="67"/>
      <c r="CD491" s="67"/>
      <c r="CE491" s="67">
        <v>0</v>
      </c>
      <c r="CF491" s="67"/>
      <c r="CG491" s="67"/>
      <c r="CH491" s="67"/>
      <c r="CI491" s="67"/>
      <c r="CJ491" s="67"/>
      <c r="CK491" s="67">
        <v>0</v>
      </c>
      <c r="CL491" s="67"/>
      <c r="CM491" s="67"/>
      <c r="CN491" s="67"/>
      <c r="CO491" s="67">
        <v>0</v>
      </c>
      <c r="CP491" s="67"/>
      <c r="CQ491" s="67"/>
      <c r="CR491" s="67"/>
      <c r="CS491" s="67"/>
      <c r="CT491" s="67"/>
      <c r="CU491" s="67">
        <v>0</v>
      </c>
      <c r="CV491" s="67"/>
      <c r="CW491" s="67"/>
      <c r="CX491" s="67"/>
      <c r="CY491" s="67">
        <v>0</v>
      </c>
      <c r="CZ491" s="67"/>
      <c r="DA491" s="67"/>
      <c r="DB491" s="67"/>
      <c r="DC491" s="67"/>
      <c r="DF491" s="67"/>
      <c r="DG491" s="67">
        <v>0</v>
      </c>
      <c r="DH491" s="67">
        <v>0</v>
      </c>
      <c r="DI491" s="67">
        <v>0</v>
      </c>
      <c r="DJ491" s="67"/>
      <c r="DK491" s="67">
        <v>0</v>
      </c>
      <c r="DL491" s="67">
        <v>0</v>
      </c>
      <c r="DM491" s="67">
        <v>0</v>
      </c>
      <c r="DN491" s="67"/>
      <c r="DO491" s="67"/>
      <c r="DP491" s="67"/>
      <c r="DQ491" s="67">
        <v>0</v>
      </c>
      <c r="DR491" s="67">
        <v>0</v>
      </c>
      <c r="DS491" s="67"/>
      <c r="DT491" s="67"/>
      <c r="DU491" s="67">
        <v>0</v>
      </c>
      <c r="DV491" s="67">
        <v>0</v>
      </c>
      <c r="DW491" s="67">
        <v>0</v>
      </c>
      <c r="DX491" s="67">
        <v>0</v>
      </c>
      <c r="DY491" s="67"/>
      <c r="DZ491" s="67">
        <v>0</v>
      </c>
      <c r="EA491" s="67"/>
      <c r="EB491" s="67">
        <v>0</v>
      </c>
      <c r="EC491" s="67"/>
      <c r="ED491" s="67">
        <v>0</v>
      </c>
      <c r="EE491" s="67"/>
      <c r="EF491" s="67">
        <v>0</v>
      </c>
      <c r="EG491" s="67"/>
      <c r="EH491" s="67"/>
      <c r="EI491" s="67"/>
      <c r="EJ491" s="67"/>
      <c r="EK491" s="67"/>
      <c r="EL491" s="67"/>
      <c r="EM491" s="67"/>
      <c r="EN491" s="67"/>
      <c r="EO491" s="67"/>
      <c r="EP491" s="67">
        <v>0</v>
      </c>
      <c r="EQ491" s="67">
        <v>0</v>
      </c>
      <c r="ER491" s="67">
        <v>0</v>
      </c>
      <c r="ES491" s="67"/>
      <c r="ET491">
        <v>0</v>
      </c>
      <c r="EX491" s="67"/>
      <c r="EY491" s="67"/>
      <c r="EZ491" s="67"/>
      <c r="FA491" s="67">
        <v>0</v>
      </c>
      <c r="FB491" s="67">
        <v>0</v>
      </c>
      <c r="FC491" s="67"/>
      <c r="FD491" s="67"/>
      <c r="FE491" s="67"/>
      <c r="FF491" s="67"/>
      <c r="FG491" s="67"/>
      <c r="FH491" s="67"/>
      <c r="FI491" s="67" t="s">
        <v>1734</v>
      </c>
    </row>
    <row r="492" spans="2:165" ht="24" x14ac:dyDescent="0.2">
      <c r="B492" s="67" t="s">
        <v>1278</v>
      </c>
      <c r="C492" s="67"/>
      <c r="D492" s="67" t="s">
        <v>1279</v>
      </c>
      <c r="E492" s="67" t="s">
        <v>13</v>
      </c>
      <c r="F492" s="67" t="s">
        <v>1262</v>
      </c>
      <c r="G492" s="67" t="s">
        <v>694</v>
      </c>
      <c r="H492" s="67"/>
      <c r="I492" s="67" t="s">
        <v>41</v>
      </c>
      <c r="J492" s="67"/>
      <c r="K492" s="67"/>
      <c r="L492" s="67" t="s">
        <v>787</v>
      </c>
      <c r="M492" s="67" t="s">
        <v>752</v>
      </c>
      <c r="N492" s="67"/>
      <c r="O492" s="67" t="s">
        <v>1605</v>
      </c>
      <c r="P492" s="67"/>
      <c r="Q492" s="67">
        <v>0</v>
      </c>
      <c r="R492" s="67">
        <v>0</v>
      </c>
      <c r="S492" s="67">
        <v>0</v>
      </c>
      <c r="T492" s="67">
        <v>0</v>
      </c>
      <c r="U492" s="67">
        <v>0</v>
      </c>
      <c r="V492" s="67">
        <v>0</v>
      </c>
      <c r="W492" s="67">
        <v>0</v>
      </c>
      <c r="X492" s="67">
        <v>0</v>
      </c>
      <c r="Y492" s="67">
        <v>0</v>
      </c>
      <c r="Z492" s="67">
        <v>0</v>
      </c>
      <c r="AA492" s="67">
        <v>0</v>
      </c>
      <c r="AB492" s="67">
        <v>0</v>
      </c>
      <c r="AC492" s="67">
        <v>0</v>
      </c>
      <c r="AD492" s="67">
        <v>0</v>
      </c>
      <c r="AE492" s="67">
        <v>0</v>
      </c>
      <c r="AF492" s="67">
        <v>0</v>
      </c>
      <c r="AG492" s="67">
        <v>0</v>
      </c>
      <c r="AH492" s="67">
        <v>0</v>
      </c>
      <c r="AI492" s="67">
        <v>0</v>
      </c>
      <c r="AJ492" s="67">
        <v>0</v>
      </c>
      <c r="AK492" s="67">
        <v>0</v>
      </c>
      <c r="AL492" s="67">
        <v>0</v>
      </c>
      <c r="AM492" s="67">
        <v>0</v>
      </c>
      <c r="AN492" s="67">
        <v>0</v>
      </c>
      <c r="AO492" s="67">
        <v>0</v>
      </c>
      <c r="AP492" s="67">
        <v>0</v>
      </c>
      <c r="AQ492" s="67">
        <v>0</v>
      </c>
      <c r="AR492" s="67">
        <v>0</v>
      </c>
      <c r="AS492" s="67">
        <v>0</v>
      </c>
      <c r="AT492" s="67"/>
      <c r="AU492" s="67"/>
      <c r="AV492" s="67"/>
      <c r="AW492" s="67">
        <v>0</v>
      </c>
      <c r="AX492" s="67">
        <v>0</v>
      </c>
      <c r="AY492" s="67"/>
      <c r="AZ492" s="67"/>
      <c r="BA492" s="67"/>
      <c r="BB492" s="67"/>
      <c r="BC492" s="67"/>
      <c r="BD492" s="67"/>
      <c r="BE492" s="67"/>
      <c r="BG492" s="67"/>
      <c r="BH492" s="67"/>
      <c r="BI492" s="67"/>
      <c r="BJ492" s="67">
        <v>0</v>
      </c>
      <c r="BK492" s="67"/>
      <c r="BL492" s="67"/>
      <c r="BP492" s="67"/>
      <c r="BQ492" s="67">
        <v>0</v>
      </c>
      <c r="BR492" s="67"/>
      <c r="BS492" s="67"/>
      <c r="BT492" s="67">
        <v>0</v>
      </c>
      <c r="BU492" s="67">
        <v>0</v>
      </c>
      <c r="BV492" s="67"/>
      <c r="BW492" s="67"/>
      <c r="BX492" s="67">
        <v>0</v>
      </c>
      <c r="BY492" s="67">
        <v>0</v>
      </c>
      <c r="BZ492" s="67">
        <v>0</v>
      </c>
      <c r="CA492" s="67"/>
      <c r="CB492" s="67">
        <v>0</v>
      </c>
      <c r="CC492" s="67"/>
      <c r="CD492" s="67"/>
      <c r="CE492" s="67">
        <v>0</v>
      </c>
      <c r="CF492" s="67"/>
      <c r="CG492" s="67"/>
      <c r="CH492" s="67"/>
      <c r="CI492" s="67"/>
      <c r="CJ492" s="67"/>
      <c r="CK492" s="67">
        <v>0</v>
      </c>
      <c r="CL492" s="67"/>
      <c r="CM492" s="67"/>
      <c r="CN492" s="67"/>
      <c r="CO492" s="67">
        <v>0</v>
      </c>
      <c r="CP492" s="67"/>
      <c r="CQ492" s="67"/>
      <c r="CR492" s="67"/>
      <c r="CS492" s="67"/>
      <c r="CT492" s="67"/>
      <c r="CU492" s="67">
        <v>0</v>
      </c>
      <c r="CV492" s="67"/>
      <c r="CW492" s="67"/>
      <c r="CX492" s="67"/>
      <c r="CY492" s="67">
        <v>0</v>
      </c>
      <c r="CZ492" s="67"/>
      <c r="DA492" s="67"/>
      <c r="DB492" s="67"/>
      <c r="DC492" s="67"/>
      <c r="DF492" s="67"/>
      <c r="DG492" s="67">
        <v>0</v>
      </c>
      <c r="DH492" s="67">
        <v>0</v>
      </c>
      <c r="DI492" s="67">
        <v>0</v>
      </c>
      <c r="DJ492" s="67"/>
      <c r="DK492" s="67">
        <v>0</v>
      </c>
      <c r="DL492" s="67">
        <v>0</v>
      </c>
      <c r="DM492" s="67">
        <v>0</v>
      </c>
      <c r="DN492" s="67"/>
      <c r="DO492" s="67"/>
      <c r="DP492" s="67"/>
      <c r="DQ492" s="67">
        <v>0</v>
      </c>
      <c r="DR492" s="67">
        <v>0</v>
      </c>
      <c r="DS492" s="67"/>
      <c r="DT492" s="67"/>
      <c r="DU492" s="67">
        <v>0</v>
      </c>
      <c r="DV492" s="67">
        <v>0</v>
      </c>
      <c r="DW492" s="67">
        <v>0</v>
      </c>
      <c r="DX492" s="67">
        <v>0</v>
      </c>
      <c r="DY492" s="67"/>
      <c r="DZ492" s="67">
        <v>0</v>
      </c>
      <c r="EA492" s="67"/>
      <c r="EB492" s="67">
        <v>0</v>
      </c>
      <c r="EC492" s="67"/>
      <c r="ED492" s="67">
        <v>0</v>
      </c>
      <c r="EE492" s="67"/>
      <c r="EF492" s="67">
        <v>0</v>
      </c>
      <c r="EG492" s="67"/>
      <c r="EH492" s="67"/>
      <c r="EI492" s="67"/>
      <c r="EJ492" s="67"/>
      <c r="EK492" s="67"/>
      <c r="EL492" s="67"/>
      <c r="EM492" s="67"/>
      <c r="EN492" s="67"/>
      <c r="EO492" s="67"/>
      <c r="EP492" s="67">
        <v>0</v>
      </c>
      <c r="EQ492" s="67">
        <v>0</v>
      </c>
      <c r="ER492" s="67">
        <v>0</v>
      </c>
      <c r="ES492" s="67"/>
      <c r="ET492">
        <v>0</v>
      </c>
      <c r="EX492" s="67"/>
      <c r="EY492" s="67"/>
      <c r="EZ492" s="67"/>
      <c r="FA492" s="67">
        <v>0</v>
      </c>
      <c r="FB492" s="67">
        <v>0</v>
      </c>
      <c r="FC492" s="67"/>
      <c r="FD492" s="67"/>
      <c r="FE492" s="67"/>
      <c r="FF492" s="67"/>
      <c r="FG492" s="67"/>
      <c r="FH492" s="67"/>
      <c r="FI492" s="67" t="s">
        <v>1734</v>
      </c>
    </row>
    <row r="493" spans="2:165" ht="24" x14ac:dyDescent="0.2">
      <c r="B493" s="67" t="s">
        <v>1280</v>
      </c>
      <c r="C493" s="67"/>
      <c r="D493" s="67" t="s">
        <v>1281</v>
      </c>
      <c r="E493" s="67" t="s">
        <v>13</v>
      </c>
      <c r="F493" s="67" t="s">
        <v>1262</v>
      </c>
      <c r="G493" s="67" t="s">
        <v>694</v>
      </c>
      <c r="H493" s="67"/>
      <c r="I493" s="67" t="s">
        <v>41</v>
      </c>
      <c r="J493" s="67"/>
      <c r="K493" s="67"/>
      <c r="L493" s="67" t="s">
        <v>751</v>
      </c>
      <c r="M493" s="67" t="s">
        <v>752</v>
      </c>
      <c r="N493" s="67"/>
      <c r="O493" s="67" t="s">
        <v>1605</v>
      </c>
      <c r="P493" s="67"/>
      <c r="Q493" s="67">
        <v>0</v>
      </c>
      <c r="R493" s="67">
        <v>0</v>
      </c>
      <c r="S493" s="67">
        <v>0</v>
      </c>
      <c r="T493" s="67">
        <v>0</v>
      </c>
      <c r="U493" s="67">
        <v>0</v>
      </c>
      <c r="V493" s="67">
        <v>0</v>
      </c>
      <c r="W493" s="67">
        <v>0</v>
      </c>
      <c r="X493" s="67">
        <v>0</v>
      </c>
      <c r="Y493" s="67">
        <v>0</v>
      </c>
      <c r="Z493" s="67">
        <v>0</v>
      </c>
      <c r="AA493" s="67">
        <v>0</v>
      </c>
      <c r="AB493" s="67">
        <v>0</v>
      </c>
      <c r="AC493" s="67">
        <v>0</v>
      </c>
      <c r="AD493" s="67">
        <v>0</v>
      </c>
      <c r="AE493" s="67">
        <v>0</v>
      </c>
      <c r="AF493" s="67">
        <v>0</v>
      </c>
      <c r="AG493" s="67">
        <v>0</v>
      </c>
      <c r="AH493" s="67">
        <v>0</v>
      </c>
      <c r="AI493" s="67">
        <v>0</v>
      </c>
      <c r="AJ493" s="67">
        <v>0</v>
      </c>
      <c r="AK493" s="67">
        <v>0</v>
      </c>
      <c r="AL493" s="67">
        <v>0</v>
      </c>
      <c r="AM493" s="67">
        <v>0</v>
      </c>
      <c r="AN493" s="67">
        <v>0</v>
      </c>
      <c r="AO493" s="67">
        <v>0</v>
      </c>
      <c r="AP493" s="67">
        <v>0</v>
      </c>
      <c r="AQ493" s="67">
        <v>0</v>
      </c>
      <c r="AR493" s="67">
        <v>0</v>
      </c>
      <c r="AS493" s="67">
        <v>0</v>
      </c>
      <c r="AT493" s="67"/>
      <c r="AU493" s="67"/>
      <c r="AV493" s="67"/>
      <c r="AW493" s="67">
        <v>0</v>
      </c>
      <c r="AX493" s="67">
        <v>0</v>
      </c>
      <c r="AY493" s="67"/>
      <c r="AZ493" s="67"/>
      <c r="BA493" s="67"/>
      <c r="BB493" s="67"/>
      <c r="BC493" s="67"/>
      <c r="BD493" s="67"/>
      <c r="BE493" s="67"/>
      <c r="BG493" s="67"/>
      <c r="BH493" s="67"/>
      <c r="BI493" s="67"/>
      <c r="BJ493" s="67">
        <v>0</v>
      </c>
      <c r="BK493" s="67"/>
      <c r="BL493" s="67"/>
      <c r="BP493" s="67"/>
      <c r="BQ493" s="67">
        <v>0</v>
      </c>
      <c r="BR493" s="67"/>
      <c r="BS493" s="67"/>
      <c r="BT493" s="67">
        <v>0</v>
      </c>
      <c r="BU493" s="67">
        <v>0</v>
      </c>
      <c r="BV493" s="67"/>
      <c r="BW493" s="67"/>
      <c r="BX493" s="67">
        <v>0</v>
      </c>
      <c r="BY493" s="67">
        <v>0</v>
      </c>
      <c r="BZ493" s="67">
        <v>0</v>
      </c>
      <c r="CA493" s="67"/>
      <c r="CB493" s="67">
        <v>0</v>
      </c>
      <c r="CC493" s="67"/>
      <c r="CD493" s="67"/>
      <c r="CE493" s="67">
        <v>0</v>
      </c>
      <c r="CF493" s="67"/>
      <c r="CG493" s="67"/>
      <c r="CH493" s="67"/>
      <c r="CI493" s="67"/>
      <c r="CJ493" s="67"/>
      <c r="CK493" s="67">
        <v>0</v>
      </c>
      <c r="CL493" s="67"/>
      <c r="CM493" s="67"/>
      <c r="CN493" s="67"/>
      <c r="CO493" s="67">
        <v>0</v>
      </c>
      <c r="CP493" s="67"/>
      <c r="CQ493" s="67"/>
      <c r="CR493" s="67"/>
      <c r="CS493" s="67"/>
      <c r="CT493" s="67"/>
      <c r="CU493" s="67">
        <v>0</v>
      </c>
      <c r="CV493" s="67"/>
      <c r="CW493" s="67"/>
      <c r="CX493" s="67"/>
      <c r="CY493" s="67">
        <v>0</v>
      </c>
      <c r="CZ493" s="67"/>
      <c r="DA493" s="67"/>
      <c r="DB493" s="67"/>
      <c r="DC493" s="67"/>
      <c r="DF493" s="67"/>
      <c r="DG493" s="67">
        <v>0</v>
      </c>
      <c r="DH493" s="67">
        <v>0</v>
      </c>
      <c r="DI493" s="67">
        <v>0</v>
      </c>
      <c r="DJ493" s="67"/>
      <c r="DK493" s="67">
        <v>0</v>
      </c>
      <c r="DL493" s="67">
        <v>0</v>
      </c>
      <c r="DM493" s="67">
        <v>0</v>
      </c>
      <c r="DN493" s="67"/>
      <c r="DO493" s="67"/>
      <c r="DP493" s="67"/>
      <c r="DQ493" s="67">
        <v>0</v>
      </c>
      <c r="DR493" s="67">
        <v>0</v>
      </c>
      <c r="DS493" s="67"/>
      <c r="DT493" s="67"/>
      <c r="DU493" s="67">
        <v>0</v>
      </c>
      <c r="DV493" s="67">
        <v>0</v>
      </c>
      <c r="DW493" s="67">
        <v>0</v>
      </c>
      <c r="DX493" s="67">
        <v>0</v>
      </c>
      <c r="DY493" s="67"/>
      <c r="DZ493" s="67">
        <v>0</v>
      </c>
      <c r="EA493" s="67"/>
      <c r="EB493" s="67">
        <v>0</v>
      </c>
      <c r="EC493" s="67"/>
      <c r="ED493" s="67">
        <v>0</v>
      </c>
      <c r="EE493" s="67"/>
      <c r="EF493" s="67">
        <v>0</v>
      </c>
      <c r="EG493" s="67"/>
      <c r="EH493" s="67"/>
      <c r="EI493" s="67"/>
      <c r="EJ493" s="67"/>
      <c r="EK493" s="67"/>
      <c r="EL493" s="67"/>
      <c r="EM493" s="67"/>
      <c r="EN493" s="67"/>
      <c r="EO493" s="67"/>
      <c r="EP493" s="67">
        <v>0</v>
      </c>
      <c r="EQ493" s="67">
        <v>0</v>
      </c>
      <c r="ER493" s="67">
        <v>0</v>
      </c>
      <c r="ES493" s="67"/>
      <c r="ET493">
        <v>0</v>
      </c>
      <c r="EX493" s="67"/>
      <c r="EY493" s="67"/>
      <c r="EZ493" s="67"/>
      <c r="FA493" s="67">
        <v>0</v>
      </c>
      <c r="FB493" s="67">
        <v>0</v>
      </c>
      <c r="FC493" s="67"/>
      <c r="FD493" s="67"/>
      <c r="FE493" s="67"/>
      <c r="FF493" s="67"/>
      <c r="FG493" s="67"/>
      <c r="FH493" s="67"/>
      <c r="FI493" s="67" t="s">
        <v>1734</v>
      </c>
    </row>
    <row r="494" spans="2:165" ht="24" x14ac:dyDescent="0.2">
      <c r="B494" s="67" t="s">
        <v>1282</v>
      </c>
      <c r="C494" s="67"/>
      <c r="D494" s="67" t="s">
        <v>1283</v>
      </c>
      <c r="E494" s="67" t="s">
        <v>13</v>
      </c>
      <c r="F494" s="67" t="s">
        <v>1284</v>
      </c>
      <c r="G494" s="67" t="s">
        <v>694</v>
      </c>
      <c r="H494" s="67"/>
      <c r="I494" s="67" t="s">
        <v>786</v>
      </c>
      <c r="J494" s="67"/>
      <c r="K494" s="67"/>
      <c r="L494" s="67" t="s">
        <v>1285</v>
      </c>
      <c r="M494" s="67" t="s">
        <v>752</v>
      </c>
      <c r="N494" s="67"/>
      <c r="O494" s="67" t="s">
        <v>1605</v>
      </c>
      <c r="P494" s="67" t="s">
        <v>942</v>
      </c>
      <c r="Q494" s="67">
        <v>0</v>
      </c>
      <c r="R494" s="67">
        <v>0</v>
      </c>
      <c r="S494" s="67">
        <v>0</v>
      </c>
      <c r="T494" s="67">
        <v>0</v>
      </c>
      <c r="U494" s="67">
        <v>0</v>
      </c>
      <c r="V494" s="67">
        <v>0</v>
      </c>
      <c r="W494" s="67">
        <v>0</v>
      </c>
      <c r="X494" s="67">
        <v>0</v>
      </c>
      <c r="Y494" s="67">
        <v>0</v>
      </c>
      <c r="Z494" s="67">
        <v>0</v>
      </c>
      <c r="AA494" s="67">
        <v>0</v>
      </c>
      <c r="AB494" s="67">
        <v>0</v>
      </c>
      <c r="AC494" s="67">
        <v>0</v>
      </c>
      <c r="AD494" s="67">
        <v>0</v>
      </c>
      <c r="AE494" s="67">
        <v>0</v>
      </c>
      <c r="AF494" s="67">
        <v>0</v>
      </c>
      <c r="AG494" s="67">
        <v>0</v>
      </c>
      <c r="AH494" s="67">
        <v>0</v>
      </c>
      <c r="AI494" s="67">
        <v>0</v>
      </c>
      <c r="AJ494" s="67">
        <v>0</v>
      </c>
      <c r="AK494" s="67">
        <v>0</v>
      </c>
      <c r="AL494" s="67">
        <v>0</v>
      </c>
      <c r="AM494" s="67">
        <v>0</v>
      </c>
      <c r="AN494" s="67">
        <v>0</v>
      </c>
      <c r="AO494" s="67">
        <v>0</v>
      </c>
      <c r="AP494" s="67">
        <v>0</v>
      </c>
      <c r="AQ494" s="67">
        <v>0</v>
      </c>
      <c r="AR494" s="67">
        <v>0</v>
      </c>
      <c r="AS494" s="67">
        <v>0</v>
      </c>
      <c r="AT494" s="67"/>
      <c r="AU494" s="67"/>
      <c r="AV494" s="67"/>
      <c r="AW494" s="67">
        <v>0</v>
      </c>
      <c r="AX494" s="67">
        <v>0</v>
      </c>
      <c r="AY494" s="67"/>
      <c r="AZ494" s="67"/>
      <c r="BA494" s="67"/>
      <c r="BB494" s="67"/>
      <c r="BC494" s="67"/>
      <c r="BD494" s="67"/>
      <c r="BE494" s="67"/>
      <c r="BG494" s="67"/>
      <c r="BH494" s="67"/>
      <c r="BI494" s="67"/>
      <c r="BJ494" s="67">
        <v>0</v>
      </c>
      <c r="BK494" s="67"/>
      <c r="BL494" s="67"/>
      <c r="BP494" s="67"/>
      <c r="BQ494" s="67">
        <v>0</v>
      </c>
      <c r="BR494" s="67"/>
      <c r="BS494" s="67"/>
      <c r="BT494" s="67">
        <v>0</v>
      </c>
      <c r="BU494" s="67">
        <v>0</v>
      </c>
      <c r="BV494" s="67"/>
      <c r="BW494" s="67"/>
      <c r="BX494" s="67">
        <v>0</v>
      </c>
      <c r="BY494" s="67">
        <v>0</v>
      </c>
      <c r="BZ494" s="67">
        <v>0</v>
      </c>
      <c r="CA494" s="67"/>
      <c r="CB494" s="67">
        <v>0</v>
      </c>
      <c r="CC494" s="67"/>
      <c r="CD494" s="67"/>
      <c r="CE494" s="67">
        <v>0</v>
      </c>
      <c r="CF494" s="67"/>
      <c r="CG494" s="67"/>
      <c r="CH494" s="67"/>
      <c r="CI494" s="67"/>
      <c r="CJ494" s="67"/>
      <c r="CK494" s="67">
        <v>0</v>
      </c>
      <c r="CL494" s="67"/>
      <c r="CM494" s="67"/>
      <c r="CN494" s="67"/>
      <c r="CO494" s="67">
        <v>0</v>
      </c>
      <c r="CP494" s="67"/>
      <c r="CQ494" s="67"/>
      <c r="CR494" s="67"/>
      <c r="CS494" s="67"/>
      <c r="CT494" s="67"/>
      <c r="CU494" s="67">
        <v>0</v>
      </c>
      <c r="CV494" s="67"/>
      <c r="CW494" s="67"/>
      <c r="CX494" s="67"/>
      <c r="CY494" s="67">
        <v>0</v>
      </c>
      <c r="CZ494" s="67"/>
      <c r="DA494" s="67"/>
      <c r="DB494" s="67"/>
      <c r="DC494" s="67"/>
      <c r="DF494" s="67"/>
      <c r="DG494" s="67">
        <v>0</v>
      </c>
      <c r="DH494" s="67">
        <v>0</v>
      </c>
      <c r="DI494" s="67">
        <v>0</v>
      </c>
      <c r="DJ494" s="67"/>
      <c r="DK494" s="67">
        <v>0</v>
      </c>
      <c r="DL494" s="67">
        <v>0</v>
      </c>
      <c r="DM494" s="67">
        <v>0</v>
      </c>
      <c r="DN494" s="67"/>
      <c r="DO494" s="67"/>
      <c r="DP494" s="67"/>
      <c r="DQ494" s="67">
        <v>0</v>
      </c>
      <c r="DR494" s="67">
        <v>0</v>
      </c>
      <c r="DS494" s="67"/>
      <c r="DT494" s="67"/>
      <c r="DU494" s="67">
        <v>0</v>
      </c>
      <c r="DV494" s="67">
        <v>0</v>
      </c>
      <c r="DW494" s="67">
        <v>0</v>
      </c>
      <c r="DX494" s="67">
        <v>0</v>
      </c>
      <c r="DY494" s="67"/>
      <c r="DZ494" s="67">
        <v>0</v>
      </c>
      <c r="EA494" s="67"/>
      <c r="EB494" s="67">
        <v>0</v>
      </c>
      <c r="EC494" s="67"/>
      <c r="ED494" s="67">
        <v>0</v>
      </c>
      <c r="EE494" s="67"/>
      <c r="EF494" s="67">
        <v>0</v>
      </c>
      <c r="EG494" s="67"/>
      <c r="EH494" s="67"/>
      <c r="EI494" s="67"/>
      <c r="EJ494" s="67"/>
      <c r="EK494" s="67"/>
      <c r="EL494" s="67"/>
      <c r="EM494" s="67"/>
      <c r="EN494" s="67"/>
      <c r="EO494" s="67"/>
      <c r="EP494" s="67">
        <v>0</v>
      </c>
      <c r="EQ494" s="67">
        <v>0</v>
      </c>
      <c r="ER494" s="67">
        <v>0</v>
      </c>
      <c r="ES494" s="67"/>
      <c r="ET494">
        <v>0</v>
      </c>
      <c r="EX494" s="67"/>
      <c r="EY494" s="67"/>
      <c r="EZ494" s="67"/>
      <c r="FA494" s="67">
        <v>0</v>
      </c>
      <c r="FB494" s="67">
        <v>0</v>
      </c>
      <c r="FC494" s="67"/>
      <c r="FD494" s="67"/>
      <c r="FE494" s="67"/>
      <c r="FF494" s="67"/>
      <c r="FG494" s="67"/>
      <c r="FH494" s="67"/>
      <c r="FI494" s="67" t="s">
        <v>1734</v>
      </c>
    </row>
    <row r="495" spans="2:165" ht="24" x14ac:dyDescent="0.2">
      <c r="B495" s="67" t="s">
        <v>1289</v>
      </c>
      <c r="C495" s="67"/>
      <c r="D495" s="67" t="s">
        <v>1290</v>
      </c>
      <c r="E495" s="67" t="s">
        <v>13</v>
      </c>
      <c r="F495" s="67" t="s">
        <v>1241</v>
      </c>
      <c r="G495" s="67" t="s">
        <v>694</v>
      </c>
      <c r="H495" s="67"/>
      <c r="I495" s="67" t="s">
        <v>41</v>
      </c>
      <c r="J495" s="67"/>
      <c r="K495" s="67"/>
      <c r="L495" s="67" t="s">
        <v>787</v>
      </c>
      <c r="M495" s="67" t="s">
        <v>752</v>
      </c>
      <c r="N495" s="67"/>
      <c r="O495" s="67" t="s">
        <v>1605</v>
      </c>
      <c r="P495" s="67"/>
      <c r="Q495" s="67">
        <v>0</v>
      </c>
      <c r="R495" s="67">
        <v>0</v>
      </c>
      <c r="S495" s="67">
        <v>0</v>
      </c>
      <c r="T495" s="67">
        <v>0</v>
      </c>
      <c r="U495" s="67">
        <v>0</v>
      </c>
      <c r="V495" s="67">
        <v>0</v>
      </c>
      <c r="W495" s="67">
        <v>0</v>
      </c>
      <c r="X495" s="67">
        <v>0</v>
      </c>
      <c r="Y495" s="67">
        <v>0</v>
      </c>
      <c r="Z495" s="67">
        <v>0</v>
      </c>
      <c r="AA495" s="67">
        <v>0</v>
      </c>
      <c r="AB495" s="67">
        <v>0</v>
      </c>
      <c r="AC495" s="67">
        <v>0</v>
      </c>
      <c r="AD495" s="67">
        <v>0</v>
      </c>
      <c r="AE495" s="67">
        <v>0</v>
      </c>
      <c r="AF495" s="67">
        <v>0</v>
      </c>
      <c r="AG495" s="67">
        <v>0</v>
      </c>
      <c r="AH495" s="67">
        <v>0</v>
      </c>
      <c r="AI495" s="67">
        <v>0</v>
      </c>
      <c r="AJ495" s="67">
        <v>0</v>
      </c>
      <c r="AK495" s="67">
        <v>0</v>
      </c>
      <c r="AL495" s="67">
        <v>0</v>
      </c>
      <c r="AM495" s="67">
        <v>0</v>
      </c>
      <c r="AN495" s="67">
        <v>0</v>
      </c>
      <c r="AO495" s="67">
        <v>0</v>
      </c>
      <c r="AP495" s="67">
        <v>0</v>
      </c>
      <c r="AQ495" s="67">
        <v>0</v>
      </c>
      <c r="AR495" s="67">
        <v>0</v>
      </c>
      <c r="AS495" s="67">
        <v>0</v>
      </c>
      <c r="AT495" s="67"/>
      <c r="AU495" s="67"/>
      <c r="AV495" s="67"/>
      <c r="AW495" s="67">
        <v>0</v>
      </c>
      <c r="AX495" s="67">
        <v>0</v>
      </c>
      <c r="AY495" s="67"/>
      <c r="AZ495" s="67"/>
      <c r="BA495" s="67"/>
      <c r="BB495" s="67"/>
      <c r="BC495" s="67"/>
      <c r="BD495" s="67"/>
      <c r="BE495" s="67"/>
      <c r="BG495" s="67"/>
      <c r="BH495" s="67"/>
      <c r="BI495" s="67"/>
      <c r="BJ495" s="67">
        <v>0</v>
      </c>
      <c r="BK495" s="67"/>
      <c r="BL495" s="67"/>
      <c r="BP495" s="67"/>
      <c r="BQ495" s="67">
        <v>0</v>
      </c>
      <c r="BR495" s="67"/>
      <c r="BS495" s="67"/>
      <c r="BT495" s="67">
        <v>0</v>
      </c>
      <c r="BU495" s="67">
        <v>0</v>
      </c>
      <c r="BV495" s="67"/>
      <c r="BW495" s="67"/>
      <c r="BX495" s="67">
        <v>0</v>
      </c>
      <c r="BY495" s="67">
        <v>0</v>
      </c>
      <c r="BZ495" s="67">
        <v>0</v>
      </c>
      <c r="CA495" s="67"/>
      <c r="CB495" s="67">
        <v>0</v>
      </c>
      <c r="CC495" s="67"/>
      <c r="CD495" s="67"/>
      <c r="CE495" s="67">
        <v>0</v>
      </c>
      <c r="CF495" s="67"/>
      <c r="CG495" s="67"/>
      <c r="CH495" s="67"/>
      <c r="CI495" s="67"/>
      <c r="CJ495" s="67"/>
      <c r="CK495" s="67">
        <v>0</v>
      </c>
      <c r="CL495" s="67"/>
      <c r="CM495" s="67"/>
      <c r="CN495" s="67"/>
      <c r="CO495" s="67">
        <v>0</v>
      </c>
      <c r="CP495" s="67"/>
      <c r="CQ495" s="67"/>
      <c r="CR495" s="67"/>
      <c r="CS495" s="67"/>
      <c r="CT495" s="67"/>
      <c r="CU495" s="67">
        <v>0</v>
      </c>
      <c r="CV495" s="67"/>
      <c r="CW495" s="67"/>
      <c r="CX495" s="67"/>
      <c r="CY495" s="67">
        <v>0</v>
      </c>
      <c r="CZ495" s="67"/>
      <c r="DA495" s="67"/>
      <c r="DB495" s="67"/>
      <c r="DC495" s="67"/>
      <c r="DF495" s="67"/>
      <c r="DG495" s="67">
        <v>0</v>
      </c>
      <c r="DH495" s="67">
        <v>0</v>
      </c>
      <c r="DI495" s="67">
        <v>0</v>
      </c>
      <c r="DJ495" s="67"/>
      <c r="DK495" s="67">
        <v>0</v>
      </c>
      <c r="DL495" s="67">
        <v>0</v>
      </c>
      <c r="DM495" s="67">
        <v>0</v>
      </c>
      <c r="DN495" s="67"/>
      <c r="DO495" s="67"/>
      <c r="DP495" s="67"/>
      <c r="DQ495" s="67">
        <v>0</v>
      </c>
      <c r="DR495" s="67">
        <v>0</v>
      </c>
      <c r="DS495" s="67"/>
      <c r="DT495" s="67"/>
      <c r="DU495" s="67">
        <v>0</v>
      </c>
      <c r="DV495" s="67">
        <v>0</v>
      </c>
      <c r="DW495" s="67">
        <v>0</v>
      </c>
      <c r="DX495" s="67">
        <v>0</v>
      </c>
      <c r="DY495" s="67"/>
      <c r="DZ495" s="67">
        <v>0</v>
      </c>
      <c r="EA495" s="67"/>
      <c r="EB495" s="67">
        <v>0</v>
      </c>
      <c r="EC495" s="67"/>
      <c r="ED495" s="67">
        <v>0</v>
      </c>
      <c r="EE495" s="67"/>
      <c r="EF495" s="67">
        <v>0</v>
      </c>
      <c r="EG495" s="67"/>
      <c r="EH495" s="67"/>
      <c r="EI495" s="67"/>
      <c r="EJ495" s="67"/>
      <c r="EK495" s="67"/>
      <c r="EL495" s="67"/>
      <c r="EM495" s="67"/>
      <c r="EN495" s="67"/>
      <c r="EO495" s="67"/>
      <c r="EP495" s="67">
        <v>0</v>
      </c>
      <c r="EQ495" s="67">
        <v>0</v>
      </c>
      <c r="ER495" s="67">
        <v>0</v>
      </c>
      <c r="ES495" s="67"/>
      <c r="ET495">
        <v>0</v>
      </c>
      <c r="EX495" s="67"/>
      <c r="EY495" s="67"/>
      <c r="EZ495" s="67"/>
      <c r="FA495" s="67">
        <v>0</v>
      </c>
      <c r="FB495" s="67">
        <v>0</v>
      </c>
      <c r="FC495" s="67"/>
      <c r="FD495" s="67"/>
      <c r="FE495" s="67"/>
      <c r="FF495" s="67"/>
      <c r="FG495" s="67"/>
      <c r="FH495" s="67"/>
      <c r="FI495" s="67" t="s">
        <v>1734</v>
      </c>
    </row>
    <row r="496" spans="2:165" x14ac:dyDescent="0.2">
      <c r="B496" s="67" t="s">
        <v>1291</v>
      </c>
      <c r="C496" s="67"/>
      <c r="D496" s="67" t="s">
        <v>1292</v>
      </c>
      <c r="E496" s="67"/>
      <c r="F496" s="67"/>
      <c r="G496" s="67"/>
      <c r="H496" s="67"/>
      <c r="I496" s="67"/>
      <c r="J496" s="67"/>
      <c r="K496" s="67" t="s">
        <v>1293</v>
      </c>
      <c r="L496" s="67"/>
      <c r="M496" s="67"/>
      <c r="N496" s="67"/>
      <c r="O496" s="67" t="s">
        <v>1605</v>
      </c>
      <c r="P496" s="67" t="s">
        <v>1294</v>
      </c>
      <c r="Q496" s="67">
        <v>0</v>
      </c>
      <c r="R496" s="67">
        <v>0</v>
      </c>
      <c r="S496" s="67">
        <v>0</v>
      </c>
      <c r="T496" s="67">
        <v>0</v>
      </c>
      <c r="U496" s="67">
        <v>0</v>
      </c>
      <c r="V496" s="67">
        <v>0</v>
      </c>
      <c r="W496" s="67">
        <v>0</v>
      </c>
      <c r="X496" s="67">
        <v>0</v>
      </c>
      <c r="Y496" s="67">
        <v>0</v>
      </c>
      <c r="Z496" s="67">
        <v>0</v>
      </c>
      <c r="AA496" s="67">
        <v>0</v>
      </c>
      <c r="AB496" s="67">
        <v>0</v>
      </c>
      <c r="AC496" s="67">
        <v>0</v>
      </c>
      <c r="AD496" s="67">
        <v>0</v>
      </c>
      <c r="AE496" s="67">
        <v>0</v>
      </c>
      <c r="AF496" s="67">
        <v>0</v>
      </c>
      <c r="AG496" s="67">
        <v>0</v>
      </c>
      <c r="AH496" s="67">
        <v>0</v>
      </c>
      <c r="AI496" s="67">
        <v>0</v>
      </c>
      <c r="AJ496" s="67">
        <v>0</v>
      </c>
      <c r="AK496" s="67">
        <v>0</v>
      </c>
      <c r="AL496" s="67">
        <v>0</v>
      </c>
      <c r="AM496" s="67">
        <v>0</v>
      </c>
      <c r="AN496" s="67">
        <v>0</v>
      </c>
      <c r="AO496" s="67">
        <v>0</v>
      </c>
      <c r="AP496" s="67">
        <v>0</v>
      </c>
      <c r="AQ496" s="67">
        <v>0</v>
      </c>
      <c r="AR496" s="67">
        <v>0</v>
      </c>
      <c r="AS496" s="67">
        <v>0</v>
      </c>
      <c r="AT496" s="67"/>
      <c r="AU496" s="67"/>
      <c r="AV496" s="67"/>
      <c r="AW496" s="67">
        <v>0</v>
      </c>
      <c r="AX496" s="67">
        <v>0</v>
      </c>
      <c r="AY496" s="67"/>
      <c r="AZ496" s="67"/>
      <c r="BA496" s="67"/>
      <c r="BB496" s="67"/>
      <c r="BC496" s="67"/>
      <c r="BD496" s="67"/>
      <c r="BE496" s="67"/>
      <c r="BG496" s="67"/>
      <c r="BH496" s="67"/>
      <c r="BI496" s="67"/>
      <c r="BJ496" s="67">
        <v>0</v>
      </c>
      <c r="BK496" s="67"/>
      <c r="BL496" s="67"/>
      <c r="BP496" s="67"/>
      <c r="BQ496" s="67">
        <v>0</v>
      </c>
      <c r="BR496" s="67"/>
      <c r="BS496" s="67"/>
      <c r="BT496" s="67">
        <v>0</v>
      </c>
      <c r="BU496" s="67">
        <v>0</v>
      </c>
      <c r="BV496" s="67"/>
      <c r="BW496" s="67"/>
      <c r="BX496" s="67">
        <v>0</v>
      </c>
      <c r="BY496" s="67">
        <v>0</v>
      </c>
      <c r="BZ496" s="67">
        <v>0</v>
      </c>
      <c r="CA496" s="67"/>
      <c r="CB496" s="67">
        <v>0</v>
      </c>
      <c r="CC496" s="67"/>
      <c r="CD496" s="67"/>
      <c r="CE496" s="67">
        <v>0</v>
      </c>
      <c r="CF496" s="67"/>
      <c r="CG496" s="67"/>
      <c r="CH496" s="67"/>
      <c r="CI496" s="67"/>
      <c r="CJ496" s="67"/>
      <c r="CK496" s="67">
        <v>0</v>
      </c>
      <c r="CL496" s="67"/>
      <c r="CM496" s="67"/>
      <c r="CN496" s="67"/>
      <c r="CO496" s="67">
        <v>0</v>
      </c>
      <c r="CP496" s="67"/>
      <c r="CQ496" s="67"/>
      <c r="CR496" s="67"/>
      <c r="CS496" s="67"/>
      <c r="CT496" s="67"/>
      <c r="CU496" s="67">
        <v>0</v>
      </c>
      <c r="CV496" s="67"/>
      <c r="CW496" s="67"/>
      <c r="CX496" s="67"/>
      <c r="CY496" s="67">
        <v>0</v>
      </c>
      <c r="CZ496" s="67"/>
      <c r="DA496" s="67"/>
      <c r="DB496" s="67"/>
      <c r="DC496" s="67"/>
      <c r="DF496" s="67"/>
      <c r="DG496" s="67">
        <v>0</v>
      </c>
      <c r="DH496" s="67">
        <v>0</v>
      </c>
      <c r="DI496" s="67">
        <v>0</v>
      </c>
      <c r="DJ496" s="67"/>
      <c r="DK496" s="67">
        <v>0</v>
      </c>
      <c r="DL496" s="67">
        <v>0</v>
      </c>
      <c r="DM496" s="67">
        <v>0</v>
      </c>
      <c r="DN496" s="67"/>
      <c r="DO496" s="67"/>
      <c r="DP496" s="67"/>
      <c r="DQ496" s="67">
        <v>0</v>
      </c>
      <c r="DR496" s="67">
        <v>0</v>
      </c>
      <c r="DS496" s="67"/>
      <c r="DT496" s="67"/>
      <c r="DU496" s="67">
        <v>0</v>
      </c>
      <c r="DV496" s="67">
        <v>0</v>
      </c>
      <c r="DW496" s="67">
        <v>0</v>
      </c>
      <c r="DX496" s="67">
        <v>0</v>
      </c>
      <c r="DY496" s="67"/>
      <c r="DZ496" s="67">
        <v>0</v>
      </c>
      <c r="EA496" s="67"/>
      <c r="EB496" s="67">
        <v>0</v>
      </c>
      <c r="EC496" s="67"/>
      <c r="ED496" s="67">
        <v>0</v>
      </c>
      <c r="EE496" s="67"/>
      <c r="EF496" s="67">
        <v>0</v>
      </c>
      <c r="EG496" s="67"/>
      <c r="EH496" s="67"/>
      <c r="EI496" s="67"/>
      <c r="EJ496" s="67"/>
      <c r="EK496" s="67"/>
      <c r="EL496" s="67"/>
      <c r="EM496" s="67"/>
      <c r="EN496" s="67"/>
      <c r="EO496" s="67"/>
      <c r="EP496" s="67">
        <v>0</v>
      </c>
      <c r="EQ496" s="67">
        <v>0</v>
      </c>
      <c r="ER496" s="67">
        <v>0</v>
      </c>
      <c r="ES496" s="67"/>
      <c r="ET496">
        <v>0</v>
      </c>
      <c r="EX496" s="67"/>
      <c r="EY496" s="67"/>
      <c r="EZ496" s="67"/>
      <c r="FA496" s="67">
        <v>0</v>
      </c>
      <c r="FB496" s="67">
        <v>0</v>
      </c>
      <c r="FC496" s="67"/>
      <c r="FD496" s="67"/>
      <c r="FE496" s="67"/>
      <c r="FF496" s="67"/>
      <c r="FG496" s="67"/>
      <c r="FH496" s="67"/>
      <c r="FI496" s="67" t="s">
        <v>1734</v>
      </c>
    </row>
    <row r="497" spans="2:165" ht="24" x14ac:dyDescent="0.2">
      <c r="B497" s="67" t="s">
        <v>1295</v>
      </c>
      <c r="C497" s="67"/>
      <c r="D497" s="67" t="s">
        <v>1296</v>
      </c>
      <c r="E497" s="67" t="s">
        <v>13</v>
      </c>
      <c r="F497" s="67" t="s">
        <v>1262</v>
      </c>
      <c r="G497" s="67" t="s">
        <v>694</v>
      </c>
      <c r="H497" s="67"/>
      <c r="I497" s="67" t="s">
        <v>41</v>
      </c>
      <c r="J497" s="67"/>
      <c r="K497" s="67"/>
      <c r="L497" s="67" t="s">
        <v>787</v>
      </c>
      <c r="M497" s="67" t="s">
        <v>752</v>
      </c>
      <c r="N497" s="67"/>
      <c r="O497" s="67" t="s">
        <v>1605</v>
      </c>
      <c r="P497" s="67"/>
      <c r="Q497" s="67">
        <v>0</v>
      </c>
      <c r="R497" s="67">
        <v>0</v>
      </c>
      <c r="S497" s="67">
        <v>0</v>
      </c>
      <c r="T497" s="67">
        <v>0</v>
      </c>
      <c r="U497" s="67">
        <v>0</v>
      </c>
      <c r="V497" s="67">
        <v>0</v>
      </c>
      <c r="W497" s="67">
        <v>0</v>
      </c>
      <c r="X497" s="67">
        <v>0</v>
      </c>
      <c r="Y497" s="67">
        <v>0</v>
      </c>
      <c r="Z497" s="67">
        <v>0</v>
      </c>
      <c r="AA497" s="67">
        <v>0</v>
      </c>
      <c r="AB497" s="67">
        <v>0</v>
      </c>
      <c r="AC497" s="67">
        <v>0</v>
      </c>
      <c r="AD497" s="67">
        <v>0</v>
      </c>
      <c r="AE497" s="67">
        <v>0</v>
      </c>
      <c r="AF497" s="67">
        <v>0</v>
      </c>
      <c r="AG497" s="67">
        <v>0</v>
      </c>
      <c r="AH497" s="67">
        <v>0</v>
      </c>
      <c r="AI497" s="67">
        <v>0</v>
      </c>
      <c r="AJ497" s="67">
        <v>0</v>
      </c>
      <c r="AK497" s="67">
        <v>0</v>
      </c>
      <c r="AL497" s="67">
        <v>0</v>
      </c>
      <c r="AM497" s="67">
        <v>0</v>
      </c>
      <c r="AN497" s="67">
        <v>0</v>
      </c>
      <c r="AO497" s="67">
        <v>0</v>
      </c>
      <c r="AP497" s="67">
        <v>0</v>
      </c>
      <c r="AQ497" s="67">
        <v>0</v>
      </c>
      <c r="AR497" s="67">
        <v>0</v>
      </c>
      <c r="AS497" s="67">
        <v>0</v>
      </c>
      <c r="AT497" s="67"/>
      <c r="AU497" s="67"/>
      <c r="AV497" s="67"/>
      <c r="AW497" s="67">
        <v>0</v>
      </c>
      <c r="AX497" s="67">
        <v>0</v>
      </c>
      <c r="AY497" s="67"/>
      <c r="AZ497" s="67"/>
      <c r="BA497" s="67"/>
      <c r="BB497" s="67"/>
      <c r="BC497" s="67"/>
      <c r="BD497" s="67"/>
      <c r="BE497" s="67"/>
      <c r="BG497" s="67"/>
      <c r="BH497" s="67"/>
      <c r="BI497" s="67"/>
      <c r="BJ497" s="67">
        <v>0</v>
      </c>
      <c r="BK497" s="67"/>
      <c r="BL497" s="67"/>
      <c r="BP497" s="67"/>
      <c r="BQ497" s="67">
        <v>0</v>
      </c>
      <c r="BR497" s="67"/>
      <c r="BS497" s="67"/>
      <c r="BT497" s="67">
        <v>0</v>
      </c>
      <c r="BU497" s="67">
        <v>0</v>
      </c>
      <c r="BV497" s="67"/>
      <c r="BW497" s="67"/>
      <c r="BX497" s="67">
        <v>0</v>
      </c>
      <c r="BY497" s="67">
        <v>0</v>
      </c>
      <c r="BZ497" s="67">
        <v>0</v>
      </c>
      <c r="CA497" s="67"/>
      <c r="CB497" s="67">
        <v>0</v>
      </c>
      <c r="CC497" s="67"/>
      <c r="CD497" s="67"/>
      <c r="CE497" s="67">
        <v>0</v>
      </c>
      <c r="CF497" s="67"/>
      <c r="CG497" s="67"/>
      <c r="CH497" s="67"/>
      <c r="CI497" s="67"/>
      <c r="CJ497" s="67"/>
      <c r="CK497" s="67">
        <v>0</v>
      </c>
      <c r="CL497" s="67"/>
      <c r="CM497" s="67"/>
      <c r="CN497" s="67"/>
      <c r="CO497" s="67">
        <v>0</v>
      </c>
      <c r="CP497" s="67"/>
      <c r="CQ497" s="67"/>
      <c r="CR497" s="67"/>
      <c r="CS497" s="67"/>
      <c r="CT497" s="67"/>
      <c r="CU497" s="67">
        <v>0</v>
      </c>
      <c r="CV497" s="67"/>
      <c r="CW497" s="67"/>
      <c r="CX497" s="67"/>
      <c r="CY497" s="67">
        <v>0</v>
      </c>
      <c r="CZ497" s="67"/>
      <c r="DA497" s="67"/>
      <c r="DB497" s="67"/>
      <c r="DC497" s="67"/>
      <c r="DF497" s="67"/>
      <c r="DG497" s="67">
        <v>0</v>
      </c>
      <c r="DH497" s="67">
        <v>0</v>
      </c>
      <c r="DI497" s="67">
        <v>0</v>
      </c>
      <c r="DJ497" s="67"/>
      <c r="DK497" s="67">
        <v>0</v>
      </c>
      <c r="DL497" s="67">
        <v>0</v>
      </c>
      <c r="DM497" s="67">
        <v>0</v>
      </c>
      <c r="DN497" s="67"/>
      <c r="DO497" s="67"/>
      <c r="DP497" s="67"/>
      <c r="DQ497" s="67">
        <v>0</v>
      </c>
      <c r="DR497" s="67">
        <v>0</v>
      </c>
      <c r="DS497" s="67"/>
      <c r="DT497" s="67"/>
      <c r="DU497" s="67">
        <v>0</v>
      </c>
      <c r="DV497" s="67">
        <v>0</v>
      </c>
      <c r="DW497" s="67">
        <v>0</v>
      </c>
      <c r="DX497" s="67">
        <v>0</v>
      </c>
      <c r="DY497" s="67"/>
      <c r="DZ497" s="67">
        <v>0</v>
      </c>
      <c r="EA497" s="67"/>
      <c r="EB497" s="67">
        <v>0</v>
      </c>
      <c r="EC497" s="67"/>
      <c r="ED497" s="67">
        <v>0</v>
      </c>
      <c r="EE497" s="67"/>
      <c r="EF497" s="67">
        <v>0</v>
      </c>
      <c r="EG497" s="67"/>
      <c r="EH497" s="67"/>
      <c r="EI497" s="67"/>
      <c r="EJ497" s="67"/>
      <c r="EK497" s="67"/>
      <c r="EL497" s="67"/>
      <c r="EM497" s="67"/>
      <c r="EN497" s="67"/>
      <c r="EO497" s="67"/>
      <c r="EP497" s="67">
        <v>0</v>
      </c>
      <c r="EQ497" s="67">
        <v>0</v>
      </c>
      <c r="ER497" s="67">
        <v>0</v>
      </c>
      <c r="ES497" s="67"/>
      <c r="ET497">
        <v>0</v>
      </c>
      <c r="EX497" s="67"/>
      <c r="EY497" s="67"/>
      <c r="EZ497" s="67"/>
      <c r="FA497" s="67">
        <v>0</v>
      </c>
      <c r="FB497" s="67">
        <v>0</v>
      </c>
      <c r="FC497" s="67"/>
      <c r="FD497" s="67"/>
      <c r="FE497" s="67"/>
      <c r="FF497" s="67"/>
      <c r="FG497" s="67"/>
      <c r="FH497" s="67"/>
      <c r="FI497" s="67" t="s">
        <v>1734</v>
      </c>
    </row>
    <row r="498" spans="2:165" ht="24" x14ac:dyDescent="0.2">
      <c r="B498" s="67" t="s">
        <v>1298</v>
      </c>
      <c r="C498" s="67"/>
      <c r="D498" s="67" t="s">
        <v>1299</v>
      </c>
      <c r="E498" s="67" t="s">
        <v>13</v>
      </c>
      <c r="F498" s="67" t="s">
        <v>766</v>
      </c>
      <c r="G498" s="67" t="s">
        <v>694</v>
      </c>
      <c r="H498" s="67"/>
      <c r="I498" s="67" t="s">
        <v>41</v>
      </c>
      <c r="J498" s="67"/>
      <c r="K498" s="67"/>
      <c r="L498" s="67" t="s">
        <v>787</v>
      </c>
      <c r="M498" s="67" t="s">
        <v>752</v>
      </c>
      <c r="N498" s="67"/>
      <c r="O498" s="67" t="s">
        <v>1605</v>
      </c>
      <c r="P498" s="67"/>
      <c r="Q498" s="67">
        <v>0</v>
      </c>
      <c r="R498" s="67">
        <v>0</v>
      </c>
      <c r="S498" s="67">
        <v>0</v>
      </c>
      <c r="T498" s="67">
        <v>0</v>
      </c>
      <c r="U498" s="67">
        <v>0</v>
      </c>
      <c r="V498" s="67">
        <v>0</v>
      </c>
      <c r="W498" s="67">
        <v>0</v>
      </c>
      <c r="X498" s="67">
        <v>0</v>
      </c>
      <c r="Y498" s="67">
        <v>0</v>
      </c>
      <c r="Z498" s="67">
        <v>0</v>
      </c>
      <c r="AA498" s="67">
        <v>0</v>
      </c>
      <c r="AB498" s="67">
        <v>0</v>
      </c>
      <c r="AC498" s="67">
        <v>0</v>
      </c>
      <c r="AD498" s="67">
        <v>0</v>
      </c>
      <c r="AE498" s="67">
        <v>0</v>
      </c>
      <c r="AF498" s="67">
        <v>0</v>
      </c>
      <c r="AG498" s="67">
        <v>0</v>
      </c>
      <c r="AH498" s="67">
        <v>0</v>
      </c>
      <c r="AI498" s="67">
        <v>0</v>
      </c>
      <c r="AJ498" s="67">
        <v>0</v>
      </c>
      <c r="AK498" s="67">
        <v>0</v>
      </c>
      <c r="AL498" s="67">
        <v>0</v>
      </c>
      <c r="AM498" s="67">
        <v>0</v>
      </c>
      <c r="AN498" s="67">
        <v>0</v>
      </c>
      <c r="AO498" s="67">
        <v>0</v>
      </c>
      <c r="AP498" s="67">
        <v>0</v>
      </c>
      <c r="AQ498" s="67">
        <v>0</v>
      </c>
      <c r="AR498" s="67">
        <v>0</v>
      </c>
      <c r="AS498" s="67">
        <v>0</v>
      </c>
      <c r="AT498" s="67"/>
      <c r="AU498" s="67"/>
      <c r="AV498" s="67"/>
      <c r="AW498" s="67">
        <v>0</v>
      </c>
      <c r="AX498" s="67">
        <v>0</v>
      </c>
      <c r="AY498" s="67"/>
      <c r="AZ498" s="67"/>
      <c r="BA498" s="67"/>
      <c r="BB498" s="67"/>
      <c r="BC498" s="67"/>
      <c r="BD498" s="67"/>
      <c r="BE498" s="67"/>
      <c r="BG498" s="67"/>
      <c r="BH498" s="67"/>
      <c r="BI498" s="67"/>
      <c r="BJ498" s="67">
        <v>0</v>
      </c>
      <c r="BK498" s="67"/>
      <c r="BL498" s="67"/>
      <c r="BP498" s="67"/>
      <c r="BQ498" s="67">
        <v>0</v>
      </c>
      <c r="BR498" s="67"/>
      <c r="BS498" s="67"/>
      <c r="BT498" s="67">
        <v>0</v>
      </c>
      <c r="BU498" s="67">
        <v>0</v>
      </c>
      <c r="BV498" s="67"/>
      <c r="BW498" s="67"/>
      <c r="BX498" s="67">
        <v>0</v>
      </c>
      <c r="BY498" s="67">
        <v>0</v>
      </c>
      <c r="BZ498" s="67">
        <v>0</v>
      </c>
      <c r="CA498" s="67"/>
      <c r="CB498" s="67">
        <v>0</v>
      </c>
      <c r="CC498" s="67"/>
      <c r="CD498" s="67"/>
      <c r="CE498" s="67">
        <v>0</v>
      </c>
      <c r="CF498" s="67"/>
      <c r="CG498" s="67"/>
      <c r="CH498" s="67"/>
      <c r="CI498" s="67"/>
      <c r="CJ498" s="67"/>
      <c r="CK498" s="67">
        <v>0</v>
      </c>
      <c r="CL498" s="67"/>
      <c r="CM498" s="67"/>
      <c r="CN498" s="67"/>
      <c r="CO498" s="67">
        <v>0</v>
      </c>
      <c r="CP498" s="67"/>
      <c r="CQ498" s="67"/>
      <c r="CR498" s="67"/>
      <c r="CS498" s="67"/>
      <c r="CT498" s="67"/>
      <c r="CU498" s="67">
        <v>0</v>
      </c>
      <c r="CV498" s="67"/>
      <c r="CW498" s="67"/>
      <c r="CX498" s="67"/>
      <c r="CY498" s="67">
        <v>0</v>
      </c>
      <c r="CZ498" s="67"/>
      <c r="DA498" s="67"/>
      <c r="DB498" s="67"/>
      <c r="DC498" s="67"/>
      <c r="DF498" s="67"/>
      <c r="DG498" s="67">
        <v>0</v>
      </c>
      <c r="DH498" s="67">
        <v>0</v>
      </c>
      <c r="DI498" s="67">
        <v>0</v>
      </c>
      <c r="DJ498" s="67"/>
      <c r="DK498" s="67">
        <v>0</v>
      </c>
      <c r="DL498" s="67">
        <v>0</v>
      </c>
      <c r="DM498" s="67">
        <v>0</v>
      </c>
      <c r="DN498" s="67"/>
      <c r="DO498" s="67"/>
      <c r="DP498" s="67"/>
      <c r="DQ498" s="67">
        <v>0</v>
      </c>
      <c r="DR498" s="67">
        <v>0</v>
      </c>
      <c r="DS498" s="67"/>
      <c r="DT498" s="67"/>
      <c r="DU498" s="67">
        <v>0</v>
      </c>
      <c r="DV498" s="67">
        <v>0</v>
      </c>
      <c r="DW498" s="67">
        <v>0</v>
      </c>
      <c r="DX498" s="67">
        <v>0</v>
      </c>
      <c r="DY498" s="67"/>
      <c r="DZ498" s="67">
        <v>0</v>
      </c>
      <c r="EA498" s="67"/>
      <c r="EB498" s="67">
        <v>0</v>
      </c>
      <c r="EC498" s="67"/>
      <c r="ED498" s="67">
        <v>0</v>
      </c>
      <c r="EE498" s="67"/>
      <c r="EF498" s="67">
        <v>0</v>
      </c>
      <c r="EG498" s="67"/>
      <c r="EH498" s="67"/>
      <c r="EI498" s="67"/>
      <c r="EJ498" s="67"/>
      <c r="EK498" s="67"/>
      <c r="EL498" s="67"/>
      <c r="EM498" s="67"/>
      <c r="EN498" s="67"/>
      <c r="EO498" s="67"/>
      <c r="EP498" s="67">
        <v>0</v>
      </c>
      <c r="EQ498" s="67">
        <v>0</v>
      </c>
      <c r="ER498" s="67">
        <v>0</v>
      </c>
      <c r="ES498" s="67"/>
      <c r="ET498">
        <v>0</v>
      </c>
      <c r="EX498" s="67"/>
      <c r="EY498" s="67"/>
      <c r="EZ498" s="67"/>
      <c r="FA498" s="67">
        <v>0</v>
      </c>
      <c r="FB498" s="67">
        <v>0</v>
      </c>
      <c r="FC498" s="67"/>
      <c r="FD498" s="67"/>
      <c r="FE498" s="67"/>
      <c r="FF498" s="67"/>
      <c r="FG498" s="67"/>
      <c r="FH498" s="67"/>
      <c r="FI498" s="67" t="s">
        <v>1734</v>
      </c>
    </row>
    <row r="499" spans="2:165" x14ac:dyDescent="0.2">
      <c r="B499" s="67" t="s">
        <v>1301</v>
      </c>
      <c r="C499" s="67"/>
      <c r="D499" s="67" t="s">
        <v>1302</v>
      </c>
      <c r="E499" s="67"/>
      <c r="F499" s="67"/>
      <c r="G499" s="67" t="s">
        <v>694</v>
      </c>
      <c r="H499" s="67"/>
      <c r="I499" s="67"/>
      <c r="J499" s="67"/>
      <c r="K499" s="67"/>
      <c r="L499" s="67" t="s">
        <v>751</v>
      </c>
      <c r="M499" s="67" t="s">
        <v>752</v>
      </c>
      <c r="N499" s="67"/>
      <c r="O499" s="67" t="s">
        <v>1599</v>
      </c>
      <c r="P499" s="67"/>
      <c r="Q499" s="67">
        <v>300</v>
      </c>
      <c r="R499" s="67">
        <v>0</v>
      </c>
      <c r="S499" s="67">
        <v>0</v>
      </c>
      <c r="T499" s="67">
        <v>0</v>
      </c>
      <c r="U499" s="67">
        <v>300</v>
      </c>
      <c r="V499" s="67">
        <v>0</v>
      </c>
      <c r="W499" s="67">
        <v>0</v>
      </c>
      <c r="X499" s="67">
        <v>0</v>
      </c>
      <c r="Y499" s="67">
        <v>0</v>
      </c>
      <c r="Z499" s="67">
        <v>0</v>
      </c>
      <c r="AA499" s="67">
        <v>0</v>
      </c>
      <c r="AB499" s="67">
        <v>0</v>
      </c>
      <c r="AC499" s="67">
        <v>0</v>
      </c>
      <c r="AD499" s="67">
        <v>0</v>
      </c>
      <c r="AE499" s="67">
        <v>0</v>
      </c>
      <c r="AF499" s="67">
        <v>0</v>
      </c>
      <c r="AG499" s="67">
        <v>0</v>
      </c>
      <c r="AH499" s="67">
        <v>0</v>
      </c>
      <c r="AI499" s="67">
        <v>0</v>
      </c>
      <c r="AJ499" s="67">
        <v>0</v>
      </c>
      <c r="AK499" s="67">
        <v>0</v>
      </c>
      <c r="AL499" s="67">
        <v>0</v>
      </c>
      <c r="AM499" s="67">
        <v>0</v>
      </c>
      <c r="AN499" s="67">
        <v>0</v>
      </c>
      <c r="AO499" s="67">
        <v>0</v>
      </c>
      <c r="AP499" s="67">
        <v>0</v>
      </c>
      <c r="AQ499" s="67">
        <v>0</v>
      </c>
      <c r="AR499" s="67">
        <v>0</v>
      </c>
      <c r="AS499" s="67">
        <v>0</v>
      </c>
      <c r="AT499" s="67"/>
      <c r="AU499" s="67"/>
      <c r="AV499" s="67"/>
      <c r="AW499" s="67">
        <v>0</v>
      </c>
      <c r="AX499" s="67">
        <v>0</v>
      </c>
      <c r="AY499" s="67"/>
      <c r="AZ499" s="67"/>
      <c r="BA499" s="67"/>
      <c r="BB499" s="67"/>
      <c r="BC499" s="67"/>
      <c r="BD499" s="67"/>
      <c r="BE499" s="67"/>
      <c r="BG499" s="67"/>
      <c r="BH499" s="67"/>
      <c r="BI499" s="67"/>
      <c r="BJ499" s="67">
        <v>0</v>
      </c>
      <c r="BK499" s="67"/>
      <c r="BL499" s="67"/>
      <c r="BP499" s="67"/>
      <c r="BQ499" s="67">
        <v>0</v>
      </c>
      <c r="BR499" s="67"/>
      <c r="BS499" s="67"/>
      <c r="BT499" s="67">
        <v>0</v>
      </c>
      <c r="BU499" s="67">
        <v>0</v>
      </c>
      <c r="BV499" s="67"/>
      <c r="BW499" s="67"/>
      <c r="BX499" s="67">
        <v>0</v>
      </c>
      <c r="BY499" s="67">
        <v>0</v>
      </c>
      <c r="BZ499" s="67">
        <v>0</v>
      </c>
      <c r="CA499" s="67"/>
      <c r="CB499" s="67">
        <v>0</v>
      </c>
      <c r="CC499" s="67"/>
      <c r="CD499" s="67"/>
      <c r="CE499" s="67">
        <v>0</v>
      </c>
      <c r="CF499" s="67"/>
      <c r="CG499" s="67"/>
      <c r="CH499" s="67"/>
      <c r="CI499" s="67"/>
      <c r="CJ499" s="67"/>
      <c r="CK499" s="67">
        <v>0</v>
      </c>
      <c r="CL499" s="67"/>
      <c r="CM499" s="67"/>
      <c r="CN499" s="67"/>
      <c r="CO499" s="67">
        <v>0</v>
      </c>
      <c r="CP499" s="67"/>
      <c r="CQ499" s="67"/>
      <c r="CR499" s="67"/>
      <c r="CS499" s="67"/>
      <c r="CT499" s="67"/>
      <c r="CU499" s="67">
        <v>0</v>
      </c>
      <c r="CV499" s="67"/>
      <c r="CW499" s="67"/>
      <c r="CX499" s="67"/>
      <c r="CY499" s="67">
        <v>0</v>
      </c>
      <c r="CZ499" s="67"/>
      <c r="DA499" s="67"/>
      <c r="DB499" s="67"/>
      <c r="DC499" s="67"/>
      <c r="DF499" s="67"/>
      <c r="DG499" s="67">
        <v>22.5</v>
      </c>
      <c r="DH499" s="67">
        <v>22.5</v>
      </c>
      <c r="DI499" s="67">
        <v>0</v>
      </c>
      <c r="DJ499" s="67"/>
      <c r="DK499" s="67">
        <v>0</v>
      </c>
      <c r="DL499" s="67">
        <v>0</v>
      </c>
      <c r="DM499" s="67">
        <v>0</v>
      </c>
      <c r="DN499" s="67"/>
      <c r="DO499" s="67"/>
      <c r="DP499" s="67"/>
      <c r="DQ499" s="67">
        <v>0</v>
      </c>
      <c r="DR499" s="67">
        <v>0</v>
      </c>
      <c r="DS499" s="67"/>
      <c r="DT499" s="67"/>
      <c r="DU499" s="67">
        <v>0</v>
      </c>
      <c r="DV499" s="67">
        <v>0</v>
      </c>
      <c r="DW499" s="67">
        <v>0</v>
      </c>
      <c r="DX499" s="67">
        <v>0</v>
      </c>
      <c r="DY499" s="67"/>
      <c r="DZ499" s="67">
        <v>0</v>
      </c>
      <c r="EA499" s="67"/>
      <c r="EB499" s="67">
        <v>0</v>
      </c>
      <c r="EC499" s="67"/>
      <c r="ED499" s="67">
        <v>0</v>
      </c>
      <c r="EE499" s="67"/>
      <c r="EF499" s="67">
        <v>0</v>
      </c>
      <c r="EG499" s="67"/>
      <c r="EH499" s="67"/>
      <c r="EI499" s="67"/>
      <c r="EJ499" s="67"/>
      <c r="EK499" s="67"/>
      <c r="EL499" s="67"/>
      <c r="EM499" s="67"/>
      <c r="EN499" s="67"/>
      <c r="EO499" s="67"/>
      <c r="EP499" s="67">
        <v>0</v>
      </c>
      <c r="EQ499" s="67">
        <v>0</v>
      </c>
      <c r="ER499" s="67">
        <v>0</v>
      </c>
      <c r="ES499" s="67"/>
      <c r="ET499">
        <v>0</v>
      </c>
      <c r="EX499" s="67"/>
      <c r="EY499" s="67"/>
      <c r="EZ499" s="67"/>
      <c r="FA499" s="67">
        <v>322.5</v>
      </c>
      <c r="FB499" s="67">
        <v>0</v>
      </c>
      <c r="FC499" s="67"/>
      <c r="FD499" s="67"/>
      <c r="FE499" s="67"/>
      <c r="FF499" s="67"/>
      <c r="FG499" s="67"/>
      <c r="FH499" s="67"/>
      <c r="FI499" s="67" t="s">
        <v>1734</v>
      </c>
    </row>
    <row r="500" spans="2:165" x14ac:dyDescent="0.2">
      <c r="B500" s="67" t="s">
        <v>1303</v>
      </c>
      <c r="C500" s="67"/>
      <c r="D500" s="67" t="s">
        <v>1304</v>
      </c>
      <c r="E500" s="67"/>
      <c r="F500" s="67"/>
      <c r="G500" s="67" t="s">
        <v>694</v>
      </c>
      <c r="H500" s="67"/>
      <c r="I500" s="67"/>
      <c r="J500" s="67"/>
      <c r="K500" s="67"/>
      <c r="L500" s="67" t="s">
        <v>751</v>
      </c>
      <c r="M500" s="67" t="s">
        <v>752</v>
      </c>
      <c r="N500" s="67"/>
      <c r="O500" s="67" t="s">
        <v>1608</v>
      </c>
      <c r="P500" s="67"/>
      <c r="Q500" s="67">
        <v>50</v>
      </c>
      <c r="R500" s="67">
        <v>0</v>
      </c>
      <c r="S500" s="67">
        <v>0</v>
      </c>
      <c r="T500" s="67">
        <v>0</v>
      </c>
      <c r="U500" s="67">
        <v>50</v>
      </c>
      <c r="V500" s="67">
        <v>0</v>
      </c>
      <c r="W500" s="67">
        <v>0</v>
      </c>
      <c r="X500" s="67">
        <v>0</v>
      </c>
      <c r="Y500" s="67">
        <v>0</v>
      </c>
      <c r="Z500" s="67">
        <v>0</v>
      </c>
      <c r="AA500" s="67">
        <v>0</v>
      </c>
      <c r="AB500" s="67">
        <v>0</v>
      </c>
      <c r="AC500" s="67">
        <v>0</v>
      </c>
      <c r="AD500" s="67">
        <v>0</v>
      </c>
      <c r="AE500" s="67">
        <v>0</v>
      </c>
      <c r="AF500" s="67">
        <v>0</v>
      </c>
      <c r="AG500" s="67">
        <v>0</v>
      </c>
      <c r="AH500" s="67">
        <v>0</v>
      </c>
      <c r="AI500" s="67">
        <v>0</v>
      </c>
      <c r="AJ500" s="67">
        <v>0</v>
      </c>
      <c r="AK500" s="67">
        <v>0</v>
      </c>
      <c r="AL500" s="67">
        <v>0</v>
      </c>
      <c r="AM500" s="67">
        <v>0</v>
      </c>
      <c r="AN500" s="67">
        <v>0</v>
      </c>
      <c r="AO500" s="67">
        <v>0</v>
      </c>
      <c r="AP500" s="67">
        <v>0</v>
      </c>
      <c r="AQ500" s="67">
        <v>0</v>
      </c>
      <c r="AR500" s="67">
        <v>0</v>
      </c>
      <c r="AS500" s="67">
        <v>0</v>
      </c>
      <c r="AT500" s="67"/>
      <c r="AU500" s="67"/>
      <c r="AV500" s="67"/>
      <c r="AW500" s="67">
        <v>0</v>
      </c>
      <c r="AX500" s="67">
        <v>0</v>
      </c>
      <c r="AY500" s="67"/>
      <c r="AZ500" s="67"/>
      <c r="BA500" s="67"/>
      <c r="BB500" s="67"/>
      <c r="BC500" s="67"/>
      <c r="BD500" s="67"/>
      <c r="BE500" s="67"/>
      <c r="BG500" s="67"/>
      <c r="BH500" s="67"/>
      <c r="BI500" s="67"/>
      <c r="BJ500" s="67">
        <v>0</v>
      </c>
      <c r="BK500" s="67"/>
      <c r="BL500" s="67"/>
      <c r="BP500" s="67"/>
      <c r="BQ500" s="67">
        <v>0</v>
      </c>
      <c r="BR500" s="67"/>
      <c r="BS500" s="67"/>
      <c r="BT500" s="67">
        <v>0</v>
      </c>
      <c r="BU500" s="67">
        <v>0</v>
      </c>
      <c r="BV500" s="67"/>
      <c r="BW500" s="67"/>
      <c r="BX500" s="67">
        <v>0</v>
      </c>
      <c r="BY500" s="67">
        <v>0</v>
      </c>
      <c r="BZ500" s="67">
        <v>0</v>
      </c>
      <c r="CA500" s="67"/>
      <c r="CB500" s="67">
        <v>0</v>
      </c>
      <c r="CC500" s="67"/>
      <c r="CD500" s="67"/>
      <c r="CE500" s="67">
        <v>0</v>
      </c>
      <c r="CF500" s="67"/>
      <c r="CG500" s="67"/>
      <c r="CH500" s="67"/>
      <c r="CI500" s="67"/>
      <c r="CJ500" s="67"/>
      <c r="CK500" s="67">
        <v>0</v>
      </c>
      <c r="CL500" s="67"/>
      <c r="CM500" s="67"/>
      <c r="CN500" s="67"/>
      <c r="CO500" s="67">
        <v>0</v>
      </c>
      <c r="CP500" s="67"/>
      <c r="CQ500" s="67"/>
      <c r="CR500" s="67"/>
      <c r="CS500" s="67"/>
      <c r="CT500" s="67"/>
      <c r="CU500" s="67">
        <v>0</v>
      </c>
      <c r="CV500" s="67"/>
      <c r="CW500" s="67"/>
      <c r="CX500" s="67"/>
      <c r="CY500" s="67">
        <v>0</v>
      </c>
      <c r="CZ500" s="67"/>
      <c r="DA500" s="67"/>
      <c r="DB500" s="67"/>
      <c r="DC500" s="67"/>
      <c r="DF500" s="67"/>
      <c r="DG500" s="67">
        <v>5</v>
      </c>
      <c r="DH500" s="67">
        <v>5</v>
      </c>
      <c r="DI500" s="67">
        <v>0</v>
      </c>
      <c r="DJ500" s="67"/>
      <c r="DK500" s="67">
        <v>0</v>
      </c>
      <c r="DL500" s="67">
        <v>0</v>
      </c>
      <c r="DM500" s="67">
        <v>0</v>
      </c>
      <c r="DN500" s="67"/>
      <c r="DO500" s="67"/>
      <c r="DP500" s="67"/>
      <c r="DQ500" s="67">
        <v>0</v>
      </c>
      <c r="DR500" s="67">
        <v>0</v>
      </c>
      <c r="DS500" s="67"/>
      <c r="DT500" s="67"/>
      <c r="DU500" s="67">
        <v>0</v>
      </c>
      <c r="DV500" s="67">
        <v>0</v>
      </c>
      <c r="DW500" s="67">
        <v>0</v>
      </c>
      <c r="DX500" s="67">
        <v>0</v>
      </c>
      <c r="DY500" s="67"/>
      <c r="DZ500" s="67">
        <v>0</v>
      </c>
      <c r="EA500" s="67"/>
      <c r="EB500" s="67">
        <v>0</v>
      </c>
      <c r="EC500" s="67"/>
      <c r="ED500" s="67">
        <v>0</v>
      </c>
      <c r="EE500" s="67"/>
      <c r="EF500" s="67">
        <v>0</v>
      </c>
      <c r="EG500" s="67"/>
      <c r="EH500" s="67"/>
      <c r="EI500" s="67"/>
      <c r="EJ500" s="67"/>
      <c r="EK500" s="67"/>
      <c r="EL500" s="67"/>
      <c r="EM500" s="67"/>
      <c r="EN500" s="67"/>
      <c r="EO500" s="67"/>
      <c r="EP500" s="67">
        <v>0</v>
      </c>
      <c r="EQ500" s="67">
        <v>0</v>
      </c>
      <c r="ER500" s="67">
        <v>0</v>
      </c>
      <c r="ES500" s="67"/>
      <c r="ET500">
        <v>0</v>
      </c>
      <c r="EX500" s="67"/>
      <c r="EY500" s="67"/>
      <c r="EZ500" s="67"/>
      <c r="FA500" s="67">
        <v>55</v>
      </c>
      <c r="FB500" s="67">
        <v>0</v>
      </c>
      <c r="FC500" s="67"/>
      <c r="FD500" s="67"/>
      <c r="FE500" s="67"/>
      <c r="FF500" s="67"/>
      <c r="FG500" s="67"/>
      <c r="FH500" s="67"/>
      <c r="FI500" s="67" t="s">
        <v>1734</v>
      </c>
    </row>
    <row r="501" spans="2:165" x14ac:dyDescent="0.2">
      <c r="B501" s="67" t="s">
        <v>1305</v>
      </c>
      <c r="C501" s="67"/>
      <c r="D501" s="67" t="s">
        <v>1306</v>
      </c>
      <c r="E501" s="67"/>
      <c r="F501" s="67"/>
      <c r="G501" s="67"/>
      <c r="H501" s="67"/>
      <c r="I501" s="67"/>
      <c r="J501" s="67"/>
      <c r="K501" s="67" t="s">
        <v>1307</v>
      </c>
      <c r="L501" s="67"/>
      <c r="M501" s="67"/>
      <c r="N501" s="67"/>
      <c r="O501" s="67" t="s">
        <v>1605</v>
      </c>
      <c r="P501" s="67" t="s">
        <v>1308</v>
      </c>
      <c r="Q501" s="67">
        <v>0</v>
      </c>
      <c r="R501" s="67">
        <v>0</v>
      </c>
      <c r="S501" s="67">
        <v>0</v>
      </c>
      <c r="T501" s="67">
        <v>0</v>
      </c>
      <c r="U501" s="67">
        <v>0</v>
      </c>
      <c r="V501" s="67">
        <v>0</v>
      </c>
      <c r="W501" s="67">
        <v>0</v>
      </c>
      <c r="X501" s="67">
        <v>0</v>
      </c>
      <c r="Y501" s="67">
        <v>0</v>
      </c>
      <c r="Z501" s="67">
        <v>0</v>
      </c>
      <c r="AA501" s="67">
        <v>0</v>
      </c>
      <c r="AB501" s="67">
        <v>0</v>
      </c>
      <c r="AC501" s="67">
        <v>0</v>
      </c>
      <c r="AD501" s="67">
        <v>0</v>
      </c>
      <c r="AE501" s="67">
        <v>0</v>
      </c>
      <c r="AF501" s="67">
        <v>0</v>
      </c>
      <c r="AG501" s="67">
        <v>0</v>
      </c>
      <c r="AH501" s="67">
        <v>0</v>
      </c>
      <c r="AI501" s="67">
        <v>0</v>
      </c>
      <c r="AJ501" s="67">
        <v>0</v>
      </c>
      <c r="AK501" s="67">
        <v>0</v>
      </c>
      <c r="AL501" s="67">
        <v>0</v>
      </c>
      <c r="AM501" s="67">
        <v>0</v>
      </c>
      <c r="AN501" s="67">
        <v>0</v>
      </c>
      <c r="AO501" s="67">
        <v>0</v>
      </c>
      <c r="AP501" s="67">
        <v>0</v>
      </c>
      <c r="AQ501" s="67">
        <v>0</v>
      </c>
      <c r="AR501" s="67">
        <v>0</v>
      </c>
      <c r="AS501" s="67">
        <v>0</v>
      </c>
      <c r="AT501" s="67"/>
      <c r="AU501" s="67"/>
      <c r="AV501" s="67"/>
      <c r="AW501" s="67">
        <v>0</v>
      </c>
      <c r="AX501" s="67">
        <v>0</v>
      </c>
      <c r="AY501" s="67"/>
      <c r="AZ501" s="67"/>
      <c r="BA501" s="67"/>
      <c r="BB501" s="67"/>
      <c r="BC501" s="67"/>
      <c r="BD501" s="67"/>
      <c r="BE501" s="67"/>
      <c r="BG501" s="67"/>
      <c r="BH501" s="67"/>
      <c r="BI501" s="67"/>
      <c r="BJ501" s="67">
        <v>0</v>
      </c>
      <c r="BK501" s="67"/>
      <c r="BL501" s="67"/>
      <c r="BP501" s="67"/>
      <c r="BQ501" s="67">
        <v>0</v>
      </c>
      <c r="BR501" s="67"/>
      <c r="BS501" s="67"/>
      <c r="BT501" s="67">
        <v>0</v>
      </c>
      <c r="BU501" s="67">
        <v>0</v>
      </c>
      <c r="BV501" s="67"/>
      <c r="BW501" s="67"/>
      <c r="BX501" s="67">
        <v>0</v>
      </c>
      <c r="BY501" s="67">
        <v>0</v>
      </c>
      <c r="BZ501" s="67">
        <v>0</v>
      </c>
      <c r="CA501" s="67"/>
      <c r="CB501" s="67">
        <v>0</v>
      </c>
      <c r="CC501" s="67"/>
      <c r="CD501" s="67"/>
      <c r="CE501" s="67">
        <v>0</v>
      </c>
      <c r="CF501" s="67"/>
      <c r="CG501" s="67"/>
      <c r="CH501" s="67"/>
      <c r="CI501" s="67"/>
      <c r="CJ501" s="67"/>
      <c r="CK501" s="67">
        <v>0</v>
      </c>
      <c r="CL501" s="67"/>
      <c r="CM501" s="67"/>
      <c r="CN501" s="67"/>
      <c r="CO501" s="67">
        <v>0</v>
      </c>
      <c r="CP501" s="67"/>
      <c r="CQ501" s="67"/>
      <c r="CR501" s="67"/>
      <c r="CS501" s="67"/>
      <c r="CT501" s="67"/>
      <c r="CU501" s="67">
        <v>0</v>
      </c>
      <c r="CV501" s="67"/>
      <c r="CW501" s="67"/>
      <c r="CX501" s="67"/>
      <c r="CY501" s="67">
        <v>0</v>
      </c>
      <c r="CZ501" s="67"/>
      <c r="DA501" s="67"/>
      <c r="DB501" s="67"/>
      <c r="DC501" s="67"/>
      <c r="DF501" s="67"/>
      <c r="DG501" s="67">
        <v>0</v>
      </c>
      <c r="DH501" s="67">
        <v>0</v>
      </c>
      <c r="DI501" s="67">
        <v>0</v>
      </c>
      <c r="DJ501" s="67"/>
      <c r="DK501" s="67">
        <v>0</v>
      </c>
      <c r="DL501" s="67">
        <v>0</v>
      </c>
      <c r="DM501" s="67">
        <v>0</v>
      </c>
      <c r="DN501" s="67"/>
      <c r="DO501" s="67"/>
      <c r="DP501" s="67"/>
      <c r="DQ501" s="67">
        <v>0</v>
      </c>
      <c r="DR501" s="67">
        <v>0</v>
      </c>
      <c r="DS501" s="67"/>
      <c r="DT501" s="67"/>
      <c r="DU501" s="67">
        <v>0</v>
      </c>
      <c r="DV501" s="67">
        <v>0</v>
      </c>
      <c r="DW501" s="67">
        <v>0</v>
      </c>
      <c r="DX501" s="67">
        <v>0</v>
      </c>
      <c r="DY501" s="67"/>
      <c r="DZ501" s="67">
        <v>0</v>
      </c>
      <c r="EA501" s="67"/>
      <c r="EB501" s="67">
        <v>0</v>
      </c>
      <c r="EC501" s="67"/>
      <c r="ED501" s="67">
        <v>0</v>
      </c>
      <c r="EE501" s="67"/>
      <c r="EF501" s="67">
        <v>0</v>
      </c>
      <c r="EG501" s="67"/>
      <c r="EH501" s="67"/>
      <c r="EI501" s="67"/>
      <c r="EJ501" s="67"/>
      <c r="EK501" s="67"/>
      <c r="EL501" s="67"/>
      <c r="EM501" s="67"/>
      <c r="EN501" s="67"/>
      <c r="EO501" s="67"/>
      <c r="EP501" s="67">
        <v>0</v>
      </c>
      <c r="EQ501" s="67">
        <v>0</v>
      </c>
      <c r="ER501" s="67">
        <v>0</v>
      </c>
      <c r="ES501" s="67"/>
      <c r="ET501">
        <v>0</v>
      </c>
      <c r="EX501" s="67"/>
      <c r="EY501" s="67"/>
      <c r="EZ501" s="67"/>
      <c r="FA501" s="67">
        <v>0</v>
      </c>
      <c r="FB501" s="67">
        <v>0</v>
      </c>
      <c r="FC501" s="67"/>
      <c r="FD501" s="67"/>
      <c r="FE501" s="67"/>
      <c r="FF501" s="67"/>
      <c r="FG501" s="67"/>
      <c r="FH501" s="67"/>
      <c r="FI501" s="67" t="s">
        <v>1734</v>
      </c>
    </row>
    <row r="502" spans="2:165" ht="24" x14ac:dyDescent="0.2">
      <c r="B502" s="67" t="s">
        <v>1309</v>
      </c>
      <c r="C502" s="67"/>
      <c r="D502" s="67" t="s">
        <v>1310</v>
      </c>
      <c r="E502" s="67" t="s">
        <v>13</v>
      </c>
      <c r="F502" s="67" t="s">
        <v>1262</v>
      </c>
      <c r="G502" s="67" t="s">
        <v>694</v>
      </c>
      <c r="H502" s="67"/>
      <c r="I502" s="67" t="s">
        <v>41</v>
      </c>
      <c r="J502" s="67"/>
      <c r="K502" s="67"/>
      <c r="L502" s="67" t="s">
        <v>751</v>
      </c>
      <c r="M502" s="67" t="s">
        <v>752</v>
      </c>
      <c r="N502" s="67"/>
      <c r="O502" s="67" t="s">
        <v>1610</v>
      </c>
      <c r="P502" s="67"/>
      <c r="Q502" s="67">
        <v>20</v>
      </c>
      <c r="R502" s="67">
        <v>0</v>
      </c>
      <c r="S502" s="67">
        <v>0</v>
      </c>
      <c r="T502" s="67">
        <v>0</v>
      </c>
      <c r="U502" s="67">
        <v>20</v>
      </c>
      <c r="V502" s="67">
        <v>0</v>
      </c>
      <c r="W502" s="67">
        <v>0</v>
      </c>
      <c r="X502" s="67">
        <v>0</v>
      </c>
      <c r="Y502" s="67">
        <v>0</v>
      </c>
      <c r="Z502" s="67">
        <v>0</v>
      </c>
      <c r="AA502" s="67">
        <v>0</v>
      </c>
      <c r="AB502" s="67">
        <v>0</v>
      </c>
      <c r="AC502" s="67">
        <v>0</v>
      </c>
      <c r="AD502" s="67">
        <v>0</v>
      </c>
      <c r="AE502" s="67">
        <v>0</v>
      </c>
      <c r="AF502" s="67">
        <v>0</v>
      </c>
      <c r="AG502" s="67">
        <v>0</v>
      </c>
      <c r="AH502" s="67">
        <v>0</v>
      </c>
      <c r="AI502" s="67">
        <v>0</v>
      </c>
      <c r="AJ502" s="67">
        <v>0</v>
      </c>
      <c r="AK502" s="67">
        <v>0</v>
      </c>
      <c r="AL502" s="67">
        <v>0</v>
      </c>
      <c r="AM502" s="67">
        <v>0</v>
      </c>
      <c r="AN502" s="67">
        <v>0</v>
      </c>
      <c r="AO502" s="67">
        <v>0</v>
      </c>
      <c r="AP502" s="67">
        <v>0</v>
      </c>
      <c r="AQ502" s="67">
        <v>0</v>
      </c>
      <c r="AR502" s="67">
        <v>0</v>
      </c>
      <c r="AS502" s="67">
        <v>0</v>
      </c>
      <c r="AT502" s="67"/>
      <c r="AU502" s="67"/>
      <c r="AV502" s="67"/>
      <c r="AW502" s="67">
        <v>0</v>
      </c>
      <c r="AX502" s="67">
        <v>0</v>
      </c>
      <c r="AY502" s="67"/>
      <c r="AZ502" s="67"/>
      <c r="BA502" s="67"/>
      <c r="BB502" s="67"/>
      <c r="BC502" s="67"/>
      <c r="BD502" s="67"/>
      <c r="BE502" s="67"/>
      <c r="BG502" s="67"/>
      <c r="BH502" s="67"/>
      <c r="BI502" s="67"/>
      <c r="BJ502" s="67">
        <v>0</v>
      </c>
      <c r="BK502" s="67"/>
      <c r="BL502" s="67"/>
      <c r="BP502" s="67"/>
      <c r="BQ502" s="67">
        <v>0</v>
      </c>
      <c r="BR502" s="67"/>
      <c r="BS502" s="67"/>
      <c r="BT502" s="67">
        <v>0</v>
      </c>
      <c r="BU502" s="67">
        <v>0</v>
      </c>
      <c r="BV502" s="67"/>
      <c r="BW502" s="67"/>
      <c r="BX502" s="67">
        <v>0</v>
      </c>
      <c r="BY502" s="67">
        <v>0</v>
      </c>
      <c r="BZ502" s="67">
        <v>0</v>
      </c>
      <c r="CA502" s="67"/>
      <c r="CB502" s="67">
        <v>0</v>
      </c>
      <c r="CC502" s="67"/>
      <c r="CD502" s="67"/>
      <c r="CE502" s="67">
        <v>0</v>
      </c>
      <c r="CF502" s="67"/>
      <c r="CG502" s="67"/>
      <c r="CH502" s="67"/>
      <c r="CI502" s="67"/>
      <c r="CJ502" s="67"/>
      <c r="CK502" s="67">
        <v>0</v>
      </c>
      <c r="CL502" s="67"/>
      <c r="CM502" s="67"/>
      <c r="CN502" s="67"/>
      <c r="CO502" s="67">
        <v>0</v>
      </c>
      <c r="CP502" s="67"/>
      <c r="CQ502" s="67"/>
      <c r="CR502" s="67"/>
      <c r="CS502" s="67"/>
      <c r="CT502" s="67"/>
      <c r="CU502" s="67">
        <v>0</v>
      </c>
      <c r="CV502" s="67"/>
      <c r="CW502" s="67"/>
      <c r="CX502" s="67"/>
      <c r="CY502" s="67">
        <v>0</v>
      </c>
      <c r="CZ502" s="67"/>
      <c r="DA502" s="67"/>
      <c r="DB502" s="67"/>
      <c r="DC502" s="67"/>
      <c r="DF502" s="67"/>
      <c r="DG502" s="67">
        <v>5</v>
      </c>
      <c r="DH502" s="67">
        <v>5</v>
      </c>
      <c r="DI502" s="67">
        <v>0</v>
      </c>
      <c r="DJ502" s="67"/>
      <c r="DK502" s="67">
        <v>0</v>
      </c>
      <c r="DL502" s="67">
        <v>0</v>
      </c>
      <c r="DM502" s="67">
        <v>0</v>
      </c>
      <c r="DN502" s="67"/>
      <c r="DO502" s="67"/>
      <c r="DP502" s="67"/>
      <c r="DQ502" s="67">
        <v>0</v>
      </c>
      <c r="DR502" s="67">
        <v>0</v>
      </c>
      <c r="DS502" s="67"/>
      <c r="DT502" s="67"/>
      <c r="DU502" s="67">
        <v>0</v>
      </c>
      <c r="DV502" s="67">
        <v>0</v>
      </c>
      <c r="DW502" s="67">
        <v>0</v>
      </c>
      <c r="DX502" s="67">
        <v>0</v>
      </c>
      <c r="DY502" s="67"/>
      <c r="DZ502" s="67">
        <v>0</v>
      </c>
      <c r="EA502" s="67"/>
      <c r="EB502" s="67">
        <v>0</v>
      </c>
      <c r="EC502" s="67"/>
      <c r="ED502" s="67">
        <v>0</v>
      </c>
      <c r="EE502" s="67"/>
      <c r="EF502" s="67">
        <v>0</v>
      </c>
      <c r="EG502" s="67"/>
      <c r="EH502" s="67"/>
      <c r="EI502" s="67"/>
      <c r="EJ502" s="67"/>
      <c r="EK502" s="67"/>
      <c r="EL502" s="67"/>
      <c r="EM502" s="67"/>
      <c r="EN502" s="67"/>
      <c r="EO502" s="67"/>
      <c r="EP502" s="67">
        <v>0</v>
      </c>
      <c r="EQ502" s="67">
        <v>0</v>
      </c>
      <c r="ER502" s="67">
        <v>0</v>
      </c>
      <c r="ES502" s="67"/>
      <c r="ET502">
        <v>0</v>
      </c>
      <c r="EX502" s="67"/>
      <c r="EY502" s="67"/>
      <c r="EZ502" s="67"/>
      <c r="FA502" s="67">
        <v>25</v>
      </c>
      <c r="FB502" s="67">
        <v>0</v>
      </c>
      <c r="FC502" s="67"/>
      <c r="FD502" s="67"/>
      <c r="FE502" s="67"/>
      <c r="FF502" s="67"/>
      <c r="FG502" s="67"/>
      <c r="FH502" s="67"/>
      <c r="FI502" s="67" t="s">
        <v>1734</v>
      </c>
    </row>
    <row r="503" spans="2:165" x14ac:dyDescent="0.2">
      <c r="B503" s="67" t="s">
        <v>1311</v>
      </c>
      <c r="C503" s="67"/>
      <c r="D503" s="67" t="s">
        <v>1312</v>
      </c>
      <c r="E503" s="67"/>
      <c r="F503" s="67"/>
      <c r="G503" s="67"/>
      <c r="H503" s="67"/>
      <c r="I503" s="67"/>
      <c r="J503" s="67"/>
      <c r="K503" s="67" t="s">
        <v>1313</v>
      </c>
      <c r="L503" s="67"/>
      <c r="M503" s="67"/>
      <c r="N503" s="67"/>
      <c r="O503" s="67" t="s">
        <v>1605</v>
      </c>
      <c r="P503" s="67" t="s">
        <v>1314</v>
      </c>
      <c r="Q503" s="67">
        <v>0</v>
      </c>
      <c r="R503" s="67">
        <v>0</v>
      </c>
      <c r="S503" s="67">
        <v>0</v>
      </c>
      <c r="T503" s="67">
        <v>0</v>
      </c>
      <c r="U503" s="67">
        <v>0</v>
      </c>
      <c r="V503" s="67">
        <v>0</v>
      </c>
      <c r="W503" s="67">
        <v>0</v>
      </c>
      <c r="X503" s="67">
        <v>0</v>
      </c>
      <c r="Y503" s="67">
        <v>0</v>
      </c>
      <c r="Z503" s="67">
        <v>0</v>
      </c>
      <c r="AA503" s="67">
        <v>0</v>
      </c>
      <c r="AB503" s="67">
        <v>0</v>
      </c>
      <c r="AC503" s="67">
        <v>0</v>
      </c>
      <c r="AD503" s="67">
        <v>0</v>
      </c>
      <c r="AE503" s="67">
        <v>0</v>
      </c>
      <c r="AF503" s="67">
        <v>0</v>
      </c>
      <c r="AG503" s="67">
        <v>0</v>
      </c>
      <c r="AH503" s="67">
        <v>0</v>
      </c>
      <c r="AI503" s="67">
        <v>0</v>
      </c>
      <c r="AJ503" s="67">
        <v>0</v>
      </c>
      <c r="AK503" s="67">
        <v>0</v>
      </c>
      <c r="AL503" s="67">
        <v>0</v>
      </c>
      <c r="AM503" s="67">
        <v>0</v>
      </c>
      <c r="AN503" s="67">
        <v>0</v>
      </c>
      <c r="AO503" s="67">
        <v>0</v>
      </c>
      <c r="AP503" s="67">
        <v>0</v>
      </c>
      <c r="AQ503" s="67">
        <v>0</v>
      </c>
      <c r="AR503" s="67">
        <v>0</v>
      </c>
      <c r="AS503" s="67">
        <v>0</v>
      </c>
      <c r="AT503" s="67"/>
      <c r="AU503" s="67"/>
      <c r="AV503" s="67"/>
      <c r="AW503" s="67">
        <v>0</v>
      </c>
      <c r="AX503" s="67">
        <v>0</v>
      </c>
      <c r="AY503" s="67"/>
      <c r="AZ503" s="67"/>
      <c r="BA503" s="67"/>
      <c r="BB503" s="67"/>
      <c r="BC503" s="67"/>
      <c r="BD503" s="67"/>
      <c r="BE503" s="67"/>
      <c r="BG503" s="67"/>
      <c r="BH503" s="67"/>
      <c r="BI503" s="67"/>
      <c r="BJ503" s="67">
        <v>0</v>
      </c>
      <c r="BK503" s="67"/>
      <c r="BL503" s="67"/>
      <c r="BP503" s="67"/>
      <c r="BQ503" s="67">
        <v>0</v>
      </c>
      <c r="BR503" s="67"/>
      <c r="BS503" s="67"/>
      <c r="BT503" s="67">
        <v>0</v>
      </c>
      <c r="BU503" s="67">
        <v>0</v>
      </c>
      <c r="BV503" s="67"/>
      <c r="BW503" s="67"/>
      <c r="BX503" s="67">
        <v>0</v>
      </c>
      <c r="BY503" s="67">
        <v>0</v>
      </c>
      <c r="BZ503" s="67">
        <v>0</v>
      </c>
      <c r="CA503" s="67"/>
      <c r="CB503" s="67">
        <v>0</v>
      </c>
      <c r="CC503" s="67"/>
      <c r="CD503" s="67"/>
      <c r="CE503" s="67">
        <v>0</v>
      </c>
      <c r="CF503" s="67"/>
      <c r="CG503" s="67"/>
      <c r="CH503" s="67"/>
      <c r="CI503" s="67"/>
      <c r="CJ503" s="67"/>
      <c r="CK503" s="67">
        <v>0</v>
      </c>
      <c r="CL503" s="67"/>
      <c r="CM503" s="67"/>
      <c r="CN503" s="67"/>
      <c r="CO503" s="67">
        <v>0</v>
      </c>
      <c r="CP503" s="67"/>
      <c r="CQ503" s="67"/>
      <c r="CR503" s="67"/>
      <c r="CS503" s="67"/>
      <c r="CT503" s="67"/>
      <c r="CU503" s="67">
        <v>0</v>
      </c>
      <c r="CV503" s="67"/>
      <c r="CW503" s="67"/>
      <c r="CX503" s="67"/>
      <c r="CY503" s="67">
        <v>0</v>
      </c>
      <c r="CZ503" s="67"/>
      <c r="DA503" s="67"/>
      <c r="DB503" s="67"/>
      <c r="DC503" s="67"/>
      <c r="DF503" s="67"/>
      <c r="DG503" s="67">
        <v>0</v>
      </c>
      <c r="DH503" s="67">
        <v>0</v>
      </c>
      <c r="DI503" s="67">
        <v>0</v>
      </c>
      <c r="DJ503" s="67"/>
      <c r="DK503" s="67">
        <v>0</v>
      </c>
      <c r="DL503" s="67">
        <v>0</v>
      </c>
      <c r="DM503" s="67">
        <v>0</v>
      </c>
      <c r="DN503" s="67"/>
      <c r="DO503" s="67"/>
      <c r="DP503" s="67"/>
      <c r="DQ503" s="67">
        <v>0</v>
      </c>
      <c r="DR503" s="67">
        <v>0</v>
      </c>
      <c r="DS503" s="67"/>
      <c r="DT503" s="67"/>
      <c r="DU503" s="67">
        <v>0</v>
      </c>
      <c r="DV503" s="67">
        <v>0</v>
      </c>
      <c r="DW503" s="67">
        <v>0</v>
      </c>
      <c r="DX503" s="67">
        <v>0</v>
      </c>
      <c r="DY503" s="67"/>
      <c r="DZ503" s="67">
        <v>0</v>
      </c>
      <c r="EA503" s="67"/>
      <c r="EB503" s="67">
        <v>0</v>
      </c>
      <c r="EC503" s="67"/>
      <c r="ED503" s="67">
        <v>0</v>
      </c>
      <c r="EE503" s="67"/>
      <c r="EF503" s="67">
        <v>0</v>
      </c>
      <c r="EG503" s="67"/>
      <c r="EH503" s="67"/>
      <c r="EI503" s="67"/>
      <c r="EJ503" s="67"/>
      <c r="EK503" s="67"/>
      <c r="EL503" s="67"/>
      <c r="EM503" s="67"/>
      <c r="EN503" s="67"/>
      <c r="EO503" s="67"/>
      <c r="EP503" s="67">
        <v>0</v>
      </c>
      <c r="EQ503" s="67">
        <v>0</v>
      </c>
      <c r="ER503" s="67">
        <v>0</v>
      </c>
      <c r="ES503" s="67"/>
      <c r="ET503">
        <v>0</v>
      </c>
      <c r="EX503" s="67"/>
      <c r="EY503" s="67"/>
      <c r="EZ503" s="67"/>
      <c r="FA503" s="67">
        <v>0</v>
      </c>
      <c r="FB503" s="67">
        <v>0</v>
      </c>
      <c r="FC503" s="67"/>
      <c r="FD503" s="67"/>
      <c r="FE503" s="67"/>
      <c r="FF503" s="67"/>
      <c r="FG503" s="67"/>
      <c r="FH503" s="67"/>
      <c r="FI503" s="67" t="s">
        <v>1734</v>
      </c>
    </row>
    <row r="504" spans="2:165" x14ac:dyDescent="0.2">
      <c r="B504" s="67" t="s">
        <v>1315</v>
      </c>
      <c r="C504" s="67"/>
      <c r="D504" s="67" t="s">
        <v>1316</v>
      </c>
      <c r="E504" s="67" t="s">
        <v>23</v>
      </c>
      <c r="F504" s="67"/>
      <c r="G504" s="67" t="s">
        <v>694</v>
      </c>
      <c r="H504" s="67"/>
      <c r="I504" s="67" t="s">
        <v>43</v>
      </c>
      <c r="J504" s="67"/>
      <c r="K504" s="67"/>
      <c r="L504" s="67" t="s">
        <v>751</v>
      </c>
      <c r="M504" s="67" t="s">
        <v>752</v>
      </c>
      <c r="N504" s="67"/>
      <c r="O504" s="67" t="s">
        <v>1606</v>
      </c>
      <c r="P504" s="67"/>
      <c r="Q504" s="67">
        <v>270</v>
      </c>
      <c r="R504" s="67">
        <v>0</v>
      </c>
      <c r="S504" s="67">
        <v>0</v>
      </c>
      <c r="T504" s="67">
        <v>270</v>
      </c>
      <c r="U504" s="67">
        <v>0</v>
      </c>
      <c r="V504" s="67">
        <v>0</v>
      </c>
      <c r="W504" s="67">
        <v>0</v>
      </c>
      <c r="X504" s="67">
        <v>0</v>
      </c>
      <c r="Y504" s="67">
        <v>0</v>
      </c>
      <c r="Z504" s="67">
        <v>0</v>
      </c>
      <c r="AA504" s="67">
        <v>0</v>
      </c>
      <c r="AB504" s="67">
        <v>0</v>
      </c>
      <c r="AC504" s="67">
        <v>0</v>
      </c>
      <c r="AD504" s="67">
        <v>0</v>
      </c>
      <c r="AE504" s="67">
        <v>0</v>
      </c>
      <c r="AF504" s="67">
        <v>0</v>
      </c>
      <c r="AG504" s="67">
        <v>0</v>
      </c>
      <c r="AH504" s="67">
        <v>0</v>
      </c>
      <c r="AI504" s="67">
        <v>0</v>
      </c>
      <c r="AJ504" s="67">
        <v>0</v>
      </c>
      <c r="AK504" s="67">
        <v>0</v>
      </c>
      <c r="AL504" s="67">
        <v>0</v>
      </c>
      <c r="AM504" s="67">
        <v>0</v>
      </c>
      <c r="AN504" s="67">
        <v>0</v>
      </c>
      <c r="AO504" s="67">
        <v>0</v>
      </c>
      <c r="AP504" s="67">
        <v>0</v>
      </c>
      <c r="AQ504" s="67">
        <v>0</v>
      </c>
      <c r="AR504" s="67">
        <v>0</v>
      </c>
      <c r="AS504" s="67">
        <v>0</v>
      </c>
      <c r="AT504" s="67"/>
      <c r="AU504" s="67"/>
      <c r="AV504" s="67"/>
      <c r="AW504" s="67">
        <v>0</v>
      </c>
      <c r="AX504" s="67">
        <v>0</v>
      </c>
      <c r="AY504" s="67"/>
      <c r="AZ504" s="67"/>
      <c r="BA504" s="67"/>
      <c r="BB504" s="67"/>
      <c r="BC504" s="67"/>
      <c r="BD504" s="67"/>
      <c r="BE504" s="67"/>
      <c r="BG504" s="67"/>
      <c r="BH504" s="67"/>
      <c r="BI504" s="67"/>
      <c r="BJ504" s="67">
        <v>0</v>
      </c>
      <c r="BK504" s="67"/>
      <c r="BL504" s="67"/>
      <c r="BP504" s="67"/>
      <c r="BQ504" s="67">
        <v>0</v>
      </c>
      <c r="BR504" s="67"/>
      <c r="BS504" s="67"/>
      <c r="BT504" s="67">
        <v>0</v>
      </c>
      <c r="BU504" s="67">
        <v>0</v>
      </c>
      <c r="BV504" s="67"/>
      <c r="BW504" s="67"/>
      <c r="BX504" s="67">
        <v>0</v>
      </c>
      <c r="BY504" s="67">
        <v>0</v>
      </c>
      <c r="BZ504" s="67">
        <v>0</v>
      </c>
      <c r="CA504" s="67"/>
      <c r="CB504" s="67">
        <v>0</v>
      </c>
      <c r="CC504" s="67"/>
      <c r="CD504" s="67"/>
      <c r="CE504" s="67">
        <v>0</v>
      </c>
      <c r="CF504" s="67"/>
      <c r="CG504" s="67"/>
      <c r="CH504" s="67"/>
      <c r="CI504" s="67"/>
      <c r="CJ504" s="67"/>
      <c r="CK504" s="67">
        <v>0</v>
      </c>
      <c r="CL504" s="67"/>
      <c r="CM504" s="67"/>
      <c r="CN504" s="67"/>
      <c r="CO504" s="67">
        <v>0</v>
      </c>
      <c r="CP504" s="67"/>
      <c r="CQ504" s="67"/>
      <c r="CR504" s="67"/>
      <c r="CS504" s="67"/>
      <c r="CT504" s="67"/>
      <c r="CU504" s="67">
        <v>0</v>
      </c>
      <c r="CV504" s="67"/>
      <c r="CW504" s="67"/>
      <c r="CX504" s="67"/>
      <c r="CY504" s="67">
        <v>0</v>
      </c>
      <c r="CZ504" s="67"/>
      <c r="DA504" s="67"/>
      <c r="DB504" s="67"/>
      <c r="DC504" s="67"/>
      <c r="DF504" s="67"/>
      <c r="DG504" s="67">
        <v>27</v>
      </c>
      <c r="DH504" s="67">
        <v>27</v>
      </c>
      <c r="DI504" s="67">
        <v>0</v>
      </c>
      <c r="DJ504" s="67"/>
      <c r="DK504" s="67">
        <v>0</v>
      </c>
      <c r="DL504" s="67">
        <v>0</v>
      </c>
      <c r="DM504" s="67">
        <v>0</v>
      </c>
      <c r="DN504" s="67"/>
      <c r="DO504" s="67"/>
      <c r="DP504" s="67"/>
      <c r="DQ504" s="67">
        <v>0</v>
      </c>
      <c r="DR504" s="67">
        <v>0</v>
      </c>
      <c r="DS504" s="67"/>
      <c r="DT504" s="67"/>
      <c r="DU504" s="67">
        <v>0</v>
      </c>
      <c r="DV504" s="67">
        <v>0</v>
      </c>
      <c r="DW504" s="67">
        <v>0</v>
      </c>
      <c r="DX504" s="67">
        <v>0</v>
      </c>
      <c r="DY504" s="67"/>
      <c r="DZ504" s="67">
        <v>0</v>
      </c>
      <c r="EA504" s="67"/>
      <c r="EB504" s="67">
        <v>0</v>
      </c>
      <c r="EC504" s="67"/>
      <c r="ED504" s="67">
        <v>0</v>
      </c>
      <c r="EE504" s="67"/>
      <c r="EF504" s="67">
        <v>0</v>
      </c>
      <c r="EG504" s="67"/>
      <c r="EH504" s="67"/>
      <c r="EI504" s="67"/>
      <c r="EJ504" s="67"/>
      <c r="EK504" s="67"/>
      <c r="EL504" s="67"/>
      <c r="EM504" s="67"/>
      <c r="EN504" s="67"/>
      <c r="EO504" s="67"/>
      <c r="EP504" s="67">
        <v>0</v>
      </c>
      <c r="EQ504" s="67">
        <v>0</v>
      </c>
      <c r="ER504" s="67">
        <v>0</v>
      </c>
      <c r="ES504" s="67"/>
      <c r="ET504">
        <v>0</v>
      </c>
      <c r="EX504" s="67"/>
      <c r="EY504" s="67"/>
      <c r="EZ504" s="67"/>
      <c r="FA504" s="67">
        <v>297</v>
      </c>
      <c r="FB504" s="67">
        <v>0</v>
      </c>
      <c r="FC504" s="67"/>
      <c r="FD504" s="67"/>
      <c r="FE504" s="67"/>
      <c r="FF504" s="67"/>
      <c r="FG504" s="67"/>
      <c r="FH504" s="67"/>
      <c r="FI504" s="67" t="s">
        <v>1734</v>
      </c>
    </row>
    <row r="505" spans="2:165" x14ac:dyDescent="0.2">
      <c r="B505" s="67" t="s">
        <v>1321</v>
      </c>
      <c r="C505" s="67"/>
      <c r="D505" s="67" t="s">
        <v>1322</v>
      </c>
      <c r="E505" s="67"/>
      <c r="F505" s="67"/>
      <c r="G505" s="67" t="s">
        <v>694</v>
      </c>
      <c r="H505" s="67"/>
      <c r="I505" s="67"/>
      <c r="J505" s="67"/>
      <c r="K505" s="67"/>
      <c r="L505" s="67" t="s">
        <v>751</v>
      </c>
      <c r="M505" s="67" t="s">
        <v>752</v>
      </c>
      <c r="N505" s="67"/>
      <c r="O505" s="67" t="s">
        <v>1599</v>
      </c>
      <c r="P505" s="67"/>
      <c r="Q505" s="67">
        <v>150</v>
      </c>
      <c r="R505" s="67">
        <v>0</v>
      </c>
      <c r="S505" s="67">
        <v>0</v>
      </c>
      <c r="T505" s="67">
        <v>0</v>
      </c>
      <c r="U505" s="67">
        <v>150</v>
      </c>
      <c r="V505" s="67">
        <v>0</v>
      </c>
      <c r="W505" s="67">
        <v>0</v>
      </c>
      <c r="X505" s="67">
        <v>0</v>
      </c>
      <c r="Y505" s="67">
        <v>0</v>
      </c>
      <c r="Z505" s="67">
        <v>0</v>
      </c>
      <c r="AA505" s="67">
        <v>0</v>
      </c>
      <c r="AB505" s="67">
        <v>0</v>
      </c>
      <c r="AC505" s="67">
        <v>0</v>
      </c>
      <c r="AD505" s="67">
        <v>0</v>
      </c>
      <c r="AE505" s="67">
        <v>0</v>
      </c>
      <c r="AF505" s="67">
        <v>0</v>
      </c>
      <c r="AG505" s="67">
        <v>0</v>
      </c>
      <c r="AH505" s="67">
        <v>0</v>
      </c>
      <c r="AI505" s="67">
        <v>0</v>
      </c>
      <c r="AJ505" s="67">
        <v>0</v>
      </c>
      <c r="AK505" s="67">
        <v>0</v>
      </c>
      <c r="AL505" s="67">
        <v>0</v>
      </c>
      <c r="AM505" s="67">
        <v>0</v>
      </c>
      <c r="AN505" s="67">
        <v>0</v>
      </c>
      <c r="AO505" s="67">
        <v>0</v>
      </c>
      <c r="AP505" s="67">
        <v>0</v>
      </c>
      <c r="AQ505" s="67">
        <v>0</v>
      </c>
      <c r="AR505" s="67">
        <v>0</v>
      </c>
      <c r="AS505" s="67">
        <v>0</v>
      </c>
      <c r="AT505" s="67"/>
      <c r="AU505" s="67"/>
      <c r="AV505" s="67"/>
      <c r="AW505" s="67">
        <v>0</v>
      </c>
      <c r="AX505" s="67">
        <v>0</v>
      </c>
      <c r="AY505" s="67"/>
      <c r="AZ505" s="67"/>
      <c r="BA505" s="67"/>
      <c r="BB505" s="67"/>
      <c r="BC505" s="67"/>
      <c r="BD505" s="67"/>
      <c r="BE505" s="67"/>
      <c r="BG505" s="67"/>
      <c r="BH505" s="67"/>
      <c r="BI505" s="67"/>
      <c r="BJ505" s="67">
        <v>0</v>
      </c>
      <c r="BK505" s="67"/>
      <c r="BL505" s="67"/>
      <c r="BP505" s="67"/>
      <c r="BQ505" s="67">
        <v>0</v>
      </c>
      <c r="BR505" s="67"/>
      <c r="BS505" s="67"/>
      <c r="BT505" s="67">
        <v>0</v>
      </c>
      <c r="BU505" s="67">
        <v>0</v>
      </c>
      <c r="BV505" s="67"/>
      <c r="BW505" s="67"/>
      <c r="BX505" s="67">
        <v>0</v>
      </c>
      <c r="BY505" s="67">
        <v>0</v>
      </c>
      <c r="BZ505" s="67">
        <v>0</v>
      </c>
      <c r="CA505" s="67"/>
      <c r="CB505" s="67">
        <v>0</v>
      </c>
      <c r="CC505" s="67"/>
      <c r="CD505" s="67"/>
      <c r="CE505" s="67">
        <v>0</v>
      </c>
      <c r="CF505" s="67"/>
      <c r="CG505" s="67"/>
      <c r="CH505" s="67"/>
      <c r="CI505" s="67"/>
      <c r="CJ505" s="67"/>
      <c r="CK505" s="67">
        <v>0</v>
      </c>
      <c r="CL505" s="67"/>
      <c r="CM505" s="67"/>
      <c r="CN505" s="67"/>
      <c r="CO505" s="67">
        <v>0</v>
      </c>
      <c r="CP505" s="67"/>
      <c r="CQ505" s="67"/>
      <c r="CR505" s="67"/>
      <c r="CS505" s="67"/>
      <c r="CT505" s="67"/>
      <c r="CU505" s="67">
        <v>0</v>
      </c>
      <c r="CV505" s="67"/>
      <c r="CW505" s="67"/>
      <c r="CX505" s="67"/>
      <c r="CY505" s="67">
        <v>0</v>
      </c>
      <c r="CZ505" s="67"/>
      <c r="DA505" s="67"/>
      <c r="DB505" s="67"/>
      <c r="DC505" s="67"/>
      <c r="DF505" s="67"/>
      <c r="DG505" s="67">
        <v>11.25</v>
      </c>
      <c r="DH505" s="67">
        <v>11.25</v>
      </c>
      <c r="DI505" s="67">
        <v>0</v>
      </c>
      <c r="DJ505" s="67"/>
      <c r="DK505" s="67">
        <v>0</v>
      </c>
      <c r="DL505" s="67">
        <v>0</v>
      </c>
      <c r="DM505" s="67">
        <v>0</v>
      </c>
      <c r="DN505" s="67"/>
      <c r="DO505" s="67"/>
      <c r="DP505" s="67"/>
      <c r="DQ505" s="67">
        <v>0</v>
      </c>
      <c r="DR505" s="67">
        <v>0</v>
      </c>
      <c r="DS505" s="67"/>
      <c r="DT505" s="67"/>
      <c r="DU505" s="67">
        <v>0</v>
      </c>
      <c r="DV505" s="67">
        <v>0</v>
      </c>
      <c r="DW505" s="67">
        <v>0</v>
      </c>
      <c r="DX505" s="67">
        <v>0</v>
      </c>
      <c r="DY505" s="67"/>
      <c r="DZ505" s="67">
        <v>0</v>
      </c>
      <c r="EA505" s="67"/>
      <c r="EB505" s="67">
        <v>0</v>
      </c>
      <c r="EC505" s="67"/>
      <c r="ED505" s="67">
        <v>0</v>
      </c>
      <c r="EE505" s="67"/>
      <c r="EF505" s="67">
        <v>0</v>
      </c>
      <c r="EG505" s="67"/>
      <c r="EH505" s="67"/>
      <c r="EI505" s="67"/>
      <c r="EJ505" s="67"/>
      <c r="EK505" s="67"/>
      <c r="EL505" s="67"/>
      <c r="EM505" s="67"/>
      <c r="EN505" s="67"/>
      <c r="EO505" s="67"/>
      <c r="EP505" s="67">
        <v>0</v>
      </c>
      <c r="EQ505" s="67">
        <v>0</v>
      </c>
      <c r="ER505" s="67">
        <v>0</v>
      </c>
      <c r="ES505" s="67"/>
      <c r="ET505">
        <v>0</v>
      </c>
      <c r="EX505" s="67"/>
      <c r="EY505" s="67"/>
      <c r="EZ505" s="67"/>
      <c r="FA505" s="67">
        <v>161.25</v>
      </c>
      <c r="FB505" s="67">
        <v>0</v>
      </c>
      <c r="FC505" s="67"/>
      <c r="FD505" s="67"/>
      <c r="FE505" s="67"/>
      <c r="FF505" s="67"/>
      <c r="FG505" s="67"/>
      <c r="FH505" s="67"/>
      <c r="FI505" s="67" t="s">
        <v>1734</v>
      </c>
    </row>
    <row r="506" spans="2:165" x14ac:dyDescent="0.2">
      <c r="B506" s="67" t="s">
        <v>1323</v>
      </c>
      <c r="C506" s="67"/>
      <c r="D506" s="67" t="s">
        <v>1324</v>
      </c>
      <c r="E506" s="67"/>
      <c r="F506" s="67"/>
      <c r="G506" s="67" t="s">
        <v>694</v>
      </c>
      <c r="H506" s="67"/>
      <c r="I506" s="67"/>
      <c r="J506" s="67"/>
      <c r="K506" s="67"/>
      <c r="L506" s="67"/>
      <c r="M506" s="67"/>
      <c r="N506" s="67"/>
      <c r="O506" s="67" t="s">
        <v>1606</v>
      </c>
      <c r="P506" s="67"/>
      <c r="Q506" s="67">
        <v>50</v>
      </c>
      <c r="R506" s="67">
        <v>0</v>
      </c>
      <c r="S506" s="67">
        <v>0</v>
      </c>
      <c r="T506" s="67">
        <v>0</v>
      </c>
      <c r="U506" s="67">
        <v>50</v>
      </c>
      <c r="V506" s="67">
        <v>0</v>
      </c>
      <c r="W506" s="67">
        <v>0</v>
      </c>
      <c r="X506" s="67">
        <v>0</v>
      </c>
      <c r="Y506" s="67">
        <v>0</v>
      </c>
      <c r="Z506" s="67">
        <v>0</v>
      </c>
      <c r="AA506" s="67">
        <v>0</v>
      </c>
      <c r="AB506" s="67">
        <v>0</v>
      </c>
      <c r="AC506" s="67">
        <v>0</v>
      </c>
      <c r="AD506" s="67">
        <v>0</v>
      </c>
      <c r="AE506" s="67">
        <v>0</v>
      </c>
      <c r="AF506" s="67">
        <v>0</v>
      </c>
      <c r="AG506" s="67">
        <v>0</v>
      </c>
      <c r="AH506" s="67">
        <v>0</v>
      </c>
      <c r="AI506" s="67">
        <v>0</v>
      </c>
      <c r="AJ506" s="67">
        <v>0</v>
      </c>
      <c r="AK506" s="67">
        <v>0</v>
      </c>
      <c r="AL506" s="67">
        <v>0</v>
      </c>
      <c r="AM506" s="67">
        <v>0</v>
      </c>
      <c r="AN506" s="67">
        <v>0</v>
      </c>
      <c r="AO506" s="67">
        <v>0</v>
      </c>
      <c r="AP506" s="67">
        <v>0</v>
      </c>
      <c r="AQ506" s="67">
        <v>0</v>
      </c>
      <c r="AR506" s="67">
        <v>0</v>
      </c>
      <c r="AS506" s="67">
        <v>0</v>
      </c>
      <c r="AT506" s="67"/>
      <c r="AU506" s="67"/>
      <c r="AV506" s="67"/>
      <c r="AW506" s="67">
        <v>0</v>
      </c>
      <c r="AX506" s="67">
        <v>0</v>
      </c>
      <c r="AY506" s="67"/>
      <c r="AZ506" s="67"/>
      <c r="BA506" s="67"/>
      <c r="BB506" s="67"/>
      <c r="BC506" s="67"/>
      <c r="BD506" s="67"/>
      <c r="BE506" s="67"/>
      <c r="BG506" s="67"/>
      <c r="BH506" s="67"/>
      <c r="BI506" s="67"/>
      <c r="BJ506" s="67">
        <v>0</v>
      </c>
      <c r="BK506" s="67"/>
      <c r="BL506" s="67"/>
      <c r="BP506" s="67"/>
      <c r="BQ506" s="67">
        <v>0</v>
      </c>
      <c r="BR506" s="67"/>
      <c r="BS506" s="67"/>
      <c r="BT506" s="67">
        <v>0</v>
      </c>
      <c r="BU506" s="67">
        <v>0</v>
      </c>
      <c r="BV506" s="67"/>
      <c r="BW506" s="67"/>
      <c r="BX506" s="67">
        <v>0</v>
      </c>
      <c r="BY506" s="67">
        <v>0</v>
      </c>
      <c r="BZ506" s="67">
        <v>0</v>
      </c>
      <c r="CA506" s="67"/>
      <c r="CB506" s="67">
        <v>0</v>
      </c>
      <c r="CC506" s="67"/>
      <c r="CD506" s="67"/>
      <c r="CE506" s="67">
        <v>0</v>
      </c>
      <c r="CF506" s="67"/>
      <c r="CG506" s="67"/>
      <c r="CH506" s="67"/>
      <c r="CI506" s="67"/>
      <c r="CJ506" s="67"/>
      <c r="CK506" s="67">
        <v>0</v>
      </c>
      <c r="CL506" s="67"/>
      <c r="CM506" s="67"/>
      <c r="CN506" s="67"/>
      <c r="CO506" s="67">
        <v>0</v>
      </c>
      <c r="CP506" s="67"/>
      <c r="CQ506" s="67"/>
      <c r="CR506" s="67"/>
      <c r="CS506" s="67"/>
      <c r="CT506" s="67"/>
      <c r="CU506" s="67">
        <v>0</v>
      </c>
      <c r="CV506" s="67"/>
      <c r="CW506" s="67"/>
      <c r="CX506" s="67"/>
      <c r="CY506" s="67">
        <v>0</v>
      </c>
      <c r="CZ506" s="67"/>
      <c r="DA506" s="67"/>
      <c r="DB506" s="67"/>
      <c r="DC506" s="67"/>
      <c r="DF506" s="67"/>
      <c r="DG506" s="67">
        <v>5</v>
      </c>
      <c r="DH506" s="67">
        <v>5</v>
      </c>
      <c r="DI506" s="67">
        <v>0</v>
      </c>
      <c r="DJ506" s="67"/>
      <c r="DK506" s="67">
        <v>0</v>
      </c>
      <c r="DL506" s="67">
        <v>0</v>
      </c>
      <c r="DM506" s="67">
        <v>0</v>
      </c>
      <c r="DN506" s="67"/>
      <c r="DO506" s="67"/>
      <c r="DP506" s="67"/>
      <c r="DQ506" s="67">
        <v>0</v>
      </c>
      <c r="DR506" s="67">
        <v>0</v>
      </c>
      <c r="DS506" s="67"/>
      <c r="DT506" s="67"/>
      <c r="DU506" s="67">
        <v>0</v>
      </c>
      <c r="DV506" s="67">
        <v>0</v>
      </c>
      <c r="DW506" s="67">
        <v>0</v>
      </c>
      <c r="DX506" s="67">
        <v>0</v>
      </c>
      <c r="DY506" s="67"/>
      <c r="DZ506" s="67">
        <v>0</v>
      </c>
      <c r="EA506" s="67"/>
      <c r="EB506" s="67">
        <v>0</v>
      </c>
      <c r="EC506" s="67"/>
      <c r="ED506" s="67">
        <v>0</v>
      </c>
      <c r="EE506" s="67"/>
      <c r="EF506" s="67">
        <v>0</v>
      </c>
      <c r="EG506" s="67"/>
      <c r="EH506" s="67"/>
      <c r="EI506" s="67"/>
      <c r="EJ506" s="67"/>
      <c r="EK506" s="67"/>
      <c r="EL506" s="67"/>
      <c r="EM506" s="67"/>
      <c r="EN506" s="67"/>
      <c r="EO506" s="67"/>
      <c r="EP506" s="67">
        <v>0</v>
      </c>
      <c r="EQ506" s="67">
        <v>0</v>
      </c>
      <c r="ER506" s="67">
        <v>0</v>
      </c>
      <c r="ES506" s="67"/>
      <c r="ET506">
        <v>0</v>
      </c>
      <c r="EX506" s="67"/>
      <c r="EY506" s="67"/>
      <c r="EZ506" s="67"/>
      <c r="FA506" s="67">
        <v>55</v>
      </c>
      <c r="FB506" s="67">
        <v>0</v>
      </c>
      <c r="FC506" s="67"/>
      <c r="FD506" s="67"/>
      <c r="FE506" s="67"/>
      <c r="FF506" s="67"/>
      <c r="FG506" s="67"/>
      <c r="FH506" s="67"/>
      <c r="FI506" s="67" t="s">
        <v>1734</v>
      </c>
    </row>
    <row r="507" spans="2:165" x14ac:dyDescent="0.2">
      <c r="B507" s="67" t="s">
        <v>1325</v>
      </c>
      <c r="C507" s="67"/>
      <c r="D507" s="67" t="s">
        <v>1326</v>
      </c>
      <c r="E507" s="67"/>
      <c r="F507" s="67"/>
      <c r="G507" s="67" t="s">
        <v>694</v>
      </c>
      <c r="H507" s="67"/>
      <c r="I507" s="67"/>
      <c r="J507" s="67"/>
      <c r="K507" s="67" t="s">
        <v>1327</v>
      </c>
      <c r="L507" s="67"/>
      <c r="M507" s="67"/>
      <c r="N507" s="67"/>
      <c r="O507" s="67" t="s">
        <v>1605</v>
      </c>
      <c r="P507" s="67" t="s">
        <v>1328</v>
      </c>
      <c r="Q507" s="67">
        <v>0</v>
      </c>
      <c r="R507" s="67">
        <v>0</v>
      </c>
      <c r="S507" s="67">
        <v>0</v>
      </c>
      <c r="T507" s="67">
        <v>0</v>
      </c>
      <c r="U507" s="67">
        <v>0</v>
      </c>
      <c r="V507" s="67">
        <v>0</v>
      </c>
      <c r="W507" s="67">
        <v>0</v>
      </c>
      <c r="X507" s="67">
        <v>0</v>
      </c>
      <c r="Y507" s="67">
        <v>0</v>
      </c>
      <c r="Z507" s="67">
        <v>0</v>
      </c>
      <c r="AA507" s="67">
        <v>0</v>
      </c>
      <c r="AB507" s="67">
        <v>0</v>
      </c>
      <c r="AC507" s="67">
        <v>0</v>
      </c>
      <c r="AD507" s="67">
        <v>0</v>
      </c>
      <c r="AE507" s="67">
        <v>0</v>
      </c>
      <c r="AF507" s="67">
        <v>0</v>
      </c>
      <c r="AG507" s="67">
        <v>0</v>
      </c>
      <c r="AH507" s="67">
        <v>0</v>
      </c>
      <c r="AI507" s="67">
        <v>0</v>
      </c>
      <c r="AJ507" s="67">
        <v>0</v>
      </c>
      <c r="AK507" s="67">
        <v>0</v>
      </c>
      <c r="AL507" s="67">
        <v>0</v>
      </c>
      <c r="AM507" s="67">
        <v>0</v>
      </c>
      <c r="AN507" s="67">
        <v>0</v>
      </c>
      <c r="AO507" s="67">
        <v>0</v>
      </c>
      <c r="AP507" s="67">
        <v>0</v>
      </c>
      <c r="AQ507" s="67">
        <v>0</v>
      </c>
      <c r="AR507" s="67">
        <v>0</v>
      </c>
      <c r="AS507" s="67">
        <v>0</v>
      </c>
      <c r="AT507" s="67"/>
      <c r="AU507" s="67"/>
      <c r="AV507" s="67"/>
      <c r="AW507" s="67">
        <v>0</v>
      </c>
      <c r="AX507" s="67">
        <v>0</v>
      </c>
      <c r="AY507" s="67"/>
      <c r="AZ507" s="67"/>
      <c r="BA507" s="67"/>
      <c r="BB507" s="67"/>
      <c r="BC507" s="67"/>
      <c r="BD507" s="67"/>
      <c r="BE507" s="67"/>
      <c r="BG507" s="67"/>
      <c r="BH507" s="67"/>
      <c r="BI507" s="67"/>
      <c r="BJ507" s="67">
        <v>0</v>
      </c>
      <c r="BK507" s="67"/>
      <c r="BL507" s="67"/>
      <c r="BP507" s="67"/>
      <c r="BQ507" s="67">
        <v>0</v>
      </c>
      <c r="BR507" s="67"/>
      <c r="BS507" s="67"/>
      <c r="BT507" s="67">
        <v>0</v>
      </c>
      <c r="BU507" s="67">
        <v>0</v>
      </c>
      <c r="BV507" s="67"/>
      <c r="BW507" s="67"/>
      <c r="BX507" s="67">
        <v>0</v>
      </c>
      <c r="BY507" s="67">
        <v>0</v>
      </c>
      <c r="BZ507" s="67">
        <v>0</v>
      </c>
      <c r="CA507" s="67"/>
      <c r="CB507" s="67">
        <v>0</v>
      </c>
      <c r="CC507" s="67"/>
      <c r="CD507" s="67"/>
      <c r="CE507" s="67">
        <v>0</v>
      </c>
      <c r="CF507" s="67"/>
      <c r="CG507" s="67"/>
      <c r="CH507" s="67"/>
      <c r="CI507" s="67"/>
      <c r="CJ507" s="67"/>
      <c r="CK507" s="67">
        <v>0</v>
      </c>
      <c r="CL507" s="67"/>
      <c r="CM507" s="67"/>
      <c r="CN507" s="67"/>
      <c r="CO507" s="67">
        <v>0</v>
      </c>
      <c r="CP507" s="67"/>
      <c r="CQ507" s="67"/>
      <c r="CR507" s="67"/>
      <c r="CS507" s="67"/>
      <c r="CT507" s="67"/>
      <c r="CU507" s="67">
        <v>0</v>
      </c>
      <c r="CV507" s="67"/>
      <c r="CW507" s="67"/>
      <c r="CX507" s="67"/>
      <c r="CY507" s="67">
        <v>0</v>
      </c>
      <c r="CZ507" s="67"/>
      <c r="DA507" s="67"/>
      <c r="DB507" s="67"/>
      <c r="DC507" s="67"/>
      <c r="DF507" s="67"/>
      <c r="DG507" s="67">
        <v>0</v>
      </c>
      <c r="DH507" s="67">
        <v>0</v>
      </c>
      <c r="DI507" s="67">
        <v>0</v>
      </c>
      <c r="DJ507" s="67"/>
      <c r="DK507" s="67">
        <v>0</v>
      </c>
      <c r="DL507" s="67">
        <v>0</v>
      </c>
      <c r="DM507" s="67">
        <v>0</v>
      </c>
      <c r="DN507" s="67"/>
      <c r="DO507" s="67"/>
      <c r="DP507" s="67"/>
      <c r="DQ507" s="67">
        <v>0</v>
      </c>
      <c r="DR507" s="67">
        <v>0</v>
      </c>
      <c r="DS507" s="67"/>
      <c r="DT507" s="67"/>
      <c r="DU507" s="67">
        <v>0</v>
      </c>
      <c r="DV507" s="67">
        <v>0</v>
      </c>
      <c r="DW507" s="67">
        <v>0</v>
      </c>
      <c r="DX507" s="67">
        <v>0</v>
      </c>
      <c r="DY507" s="67"/>
      <c r="DZ507" s="67">
        <v>0</v>
      </c>
      <c r="EA507" s="67"/>
      <c r="EB507" s="67">
        <v>0</v>
      </c>
      <c r="EC507" s="67"/>
      <c r="ED507" s="67">
        <v>0</v>
      </c>
      <c r="EE507" s="67"/>
      <c r="EF507" s="67">
        <v>0</v>
      </c>
      <c r="EG507" s="67"/>
      <c r="EH507" s="67"/>
      <c r="EI507" s="67"/>
      <c r="EJ507" s="67"/>
      <c r="EK507" s="67"/>
      <c r="EL507" s="67"/>
      <c r="EM507" s="67"/>
      <c r="EN507" s="67"/>
      <c r="EO507" s="67"/>
      <c r="EP507" s="67">
        <v>0</v>
      </c>
      <c r="EQ507" s="67">
        <v>0</v>
      </c>
      <c r="ER507" s="67">
        <v>0</v>
      </c>
      <c r="ES507" s="67"/>
      <c r="ET507">
        <v>0</v>
      </c>
      <c r="EX507" s="67"/>
      <c r="EY507" s="67"/>
      <c r="EZ507" s="67"/>
      <c r="FA507" s="67">
        <v>0</v>
      </c>
      <c r="FB507" s="67">
        <v>0</v>
      </c>
      <c r="FC507" s="67"/>
      <c r="FD507" s="67"/>
      <c r="FE507" s="67"/>
      <c r="FF507" s="67"/>
      <c r="FG507" s="67"/>
      <c r="FH507" s="67"/>
      <c r="FI507" s="67" t="s">
        <v>1734</v>
      </c>
    </row>
    <row r="508" spans="2:165" ht="24" x14ac:dyDescent="0.2">
      <c r="B508" s="67" t="s">
        <v>1329</v>
      </c>
      <c r="C508" s="67"/>
      <c r="D508" s="67" t="s">
        <v>1330</v>
      </c>
      <c r="E508" s="67" t="s">
        <v>13</v>
      </c>
      <c r="F508" s="67" t="s">
        <v>1331</v>
      </c>
      <c r="G508" s="67" t="s">
        <v>694</v>
      </c>
      <c r="H508" s="67"/>
      <c r="I508" s="67" t="s">
        <v>43</v>
      </c>
      <c r="J508" s="67"/>
      <c r="K508" s="67"/>
      <c r="L508" s="67" t="s">
        <v>1242</v>
      </c>
      <c r="M508" s="67" t="s">
        <v>752</v>
      </c>
      <c r="N508" s="67"/>
      <c r="O508" s="67" t="s">
        <v>1605</v>
      </c>
      <c r="P508" s="67" t="s">
        <v>942</v>
      </c>
      <c r="Q508" s="67">
        <v>0</v>
      </c>
      <c r="R508" s="67">
        <v>0</v>
      </c>
      <c r="S508" s="67">
        <v>0</v>
      </c>
      <c r="T508" s="67">
        <v>0</v>
      </c>
      <c r="U508" s="67">
        <v>0</v>
      </c>
      <c r="V508" s="67">
        <v>0</v>
      </c>
      <c r="W508" s="67">
        <v>0</v>
      </c>
      <c r="X508" s="67">
        <v>0</v>
      </c>
      <c r="Y508" s="67">
        <v>0</v>
      </c>
      <c r="Z508" s="67">
        <v>0</v>
      </c>
      <c r="AA508" s="67">
        <v>0</v>
      </c>
      <c r="AB508" s="67">
        <v>0</v>
      </c>
      <c r="AC508" s="67">
        <v>0</v>
      </c>
      <c r="AD508" s="67">
        <v>0</v>
      </c>
      <c r="AE508" s="67">
        <v>0</v>
      </c>
      <c r="AF508" s="67">
        <v>0</v>
      </c>
      <c r="AG508" s="67">
        <v>0</v>
      </c>
      <c r="AH508" s="67">
        <v>0</v>
      </c>
      <c r="AI508" s="67">
        <v>0</v>
      </c>
      <c r="AJ508" s="67">
        <v>0</v>
      </c>
      <c r="AK508" s="67">
        <v>0</v>
      </c>
      <c r="AL508" s="67">
        <v>0</v>
      </c>
      <c r="AM508" s="67">
        <v>0</v>
      </c>
      <c r="AN508" s="67">
        <v>0</v>
      </c>
      <c r="AO508" s="67">
        <v>0</v>
      </c>
      <c r="AP508" s="67">
        <v>0</v>
      </c>
      <c r="AQ508" s="67">
        <v>0</v>
      </c>
      <c r="AR508" s="67">
        <v>0</v>
      </c>
      <c r="AS508" s="67">
        <v>0</v>
      </c>
      <c r="AT508" s="67"/>
      <c r="AU508" s="67"/>
      <c r="AV508" s="67"/>
      <c r="AW508" s="67">
        <v>0</v>
      </c>
      <c r="AX508" s="67">
        <v>0</v>
      </c>
      <c r="AY508" s="67"/>
      <c r="AZ508" s="67"/>
      <c r="BA508" s="67"/>
      <c r="BB508" s="67"/>
      <c r="BC508" s="67"/>
      <c r="BD508" s="67"/>
      <c r="BE508" s="67"/>
      <c r="BG508" s="67"/>
      <c r="BH508" s="67"/>
      <c r="BI508" s="67"/>
      <c r="BJ508" s="67">
        <v>0</v>
      </c>
      <c r="BK508" s="67"/>
      <c r="BL508" s="67"/>
      <c r="BP508" s="67"/>
      <c r="BQ508" s="67">
        <v>0</v>
      </c>
      <c r="BR508" s="67"/>
      <c r="BS508" s="67"/>
      <c r="BT508" s="67">
        <v>0</v>
      </c>
      <c r="BU508" s="67">
        <v>0</v>
      </c>
      <c r="BV508" s="67"/>
      <c r="BW508" s="67"/>
      <c r="BX508" s="67">
        <v>0</v>
      </c>
      <c r="BY508" s="67">
        <v>0</v>
      </c>
      <c r="BZ508" s="67">
        <v>0</v>
      </c>
      <c r="CA508" s="67"/>
      <c r="CB508" s="67">
        <v>0</v>
      </c>
      <c r="CC508" s="67"/>
      <c r="CD508" s="67"/>
      <c r="CE508" s="67">
        <v>0</v>
      </c>
      <c r="CF508" s="67"/>
      <c r="CG508" s="67"/>
      <c r="CH508" s="67"/>
      <c r="CI508" s="67"/>
      <c r="CJ508" s="67"/>
      <c r="CK508" s="67">
        <v>0</v>
      </c>
      <c r="CL508" s="67"/>
      <c r="CM508" s="67"/>
      <c r="CN508" s="67"/>
      <c r="CO508" s="67">
        <v>0</v>
      </c>
      <c r="CP508" s="67"/>
      <c r="CQ508" s="67"/>
      <c r="CR508" s="67"/>
      <c r="CS508" s="67"/>
      <c r="CT508" s="67"/>
      <c r="CU508" s="67">
        <v>0</v>
      </c>
      <c r="CV508" s="67"/>
      <c r="CW508" s="67"/>
      <c r="CX508" s="67"/>
      <c r="CY508" s="67">
        <v>0</v>
      </c>
      <c r="CZ508" s="67"/>
      <c r="DA508" s="67"/>
      <c r="DB508" s="67"/>
      <c r="DC508" s="67"/>
      <c r="DF508" s="67"/>
      <c r="DG508" s="67">
        <v>0</v>
      </c>
      <c r="DH508" s="67">
        <v>0</v>
      </c>
      <c r="DI508" s="67">
        <v>0</v>
      </c>
      <c r="DJ508" s="67"/>
      <c r="DK508" s="67">
        <v>0</v>
      </c>
      <c r="DL508" s="67">
        <v>0</v>
      </c>
      <c r="DM508" s="67">
        <v>0</v>
      </c>
      <c r="DN508" s="67"/>
      <c r="DO508" s="67"/>
      <c r="DP508" s="67"/>
      <c r="DQ508" s="67">
        <v>0</v>
      </c>
      <c r="DR508" s="67">
        <v>0</v>
      </c>
      <c r="DS508" s="67"/>
      <c r="DT508" s="67"/>
      <c r="DU508" s="67">
        <v>0</v>
      </c>
      <c r="DV508" s="67">
        <v>0</v>
      </c>
      <c r="DW508" s="67">
        <v>0</v>
      </c>
      <c r="DX508" s="67">
        <v>0</v>
      </c>
      <c r="DY508" s="67"/>
      <c r="DZ508" s="67">
        <v>0</v>
      </c>
      <c r="EA508" s="67"/>
      <c r="EB508" s="67">
        <v>0</v>
      </c>
      <c r="EC508" s="67"/>
      <c r="ED508" s="67">
        <v>0</v>
      </c>
      <c r="EE508" s="67"/>
      <c r="EF508" s="67">
        <v>0</v>
      </c>
      <c r="EG508" s="67"/>
      <c r="EH508" s="67"/>
      <c r="EI508" s="67"/>
      <c r="EJ508" s="67"/>
      <c r="EK508" s="67"/>
      <c r="EL508" s="67"/>
      <c r="EM508" s="67"/>
      <c r="EN508" s="67"/>
      <c r="EO508" s="67"/>
      <c r="EP508" s="67">
        <v>0</v>
      </c>
      <c r="EQ508" s="67">
        <v>0</v>
      </c>
      <c r="ER508" s="67">
        <v>0</v>
      </c>
      <c r="ES508" s="67"/>
      <c r="ET508">
        <v>0</v>
      </c>
      <c r="EX508" s="67"/>
      <c r="EY508" s="67"/>
      <c r="EZ508" s="67"/>
      <c r="FA508" s="67">
        <v>0</v>
      </c>
      <c r="FB508" s="67">
        <v>0</v>
      </c>
      <c r="FC508" s="67"/>
      <c r="FD508" s="67"/>
      <c r="FE508" s="67"/>
      <c r="FF508" s="67"/>
      <c r="FG508" s="67"/>
      <c r="FH508" s="67"/>
      <c r="FI508" s="67" t="s">
        <v>1734</v>
      </c>
    </row>
    <row r="509" spans="2:165" ht="24" x14ac:dyDescent="0.2">
      <c r="B509" s="67" t="s">
        <v>1334</v>
      </c>
      <c r="C509" s="67"/>
      <c r="D509" s="67" t="s">
        <v>1335</v>
      </c>
      <c r="E509" s="67" t="s">
        <v>13</v>
      </c>
      <c r="F509" s="67" t="s">
        <v>1331</v>
      </c>
      <c r="G509" s="67" t="s">
        <v>694</v>
      </c>
      <c r="H509" s="67"/>
      <c r="I509" s="67" t="s">
        <v>43</v>
      </c>
      <c r="J509" s="67"/>
      <c r="K509" s="67"/>
      <c r="L509" s="67" t="s">
        <v>1242</v>
      </c>
      <c r="M509" s="67" t="s">
        <v>752</v>
      </c>
      <c r="N509" s="67"/>
      <c r="O509" s="67" t="s">
        <v>1605</v>
      </c>
      <c r="P509" s="67" t="s">
        <v>942</v>
      </c>
      <c r="Q509" s="67">
        <v>0</v>
      </c>
      <c r="R509" s="67">
        <v>0</v>
      </c>
      <c r="S509" s="67">
        <v>0</v>
      </c>
      <c r="T509" s="67">
        <v>0</v>
      </c>
      <c r="U509" s="67">
        <v>0</v>
      </c>
      <c r="V509" s="67">
        <v>0</v>
      </c>
      <c r="W509" s="67">
        <v>0</v>
      </c>
      <c r="X509" s="67">
        <v>0</v>
      </c>
      <c r="Y509" s="67">
        <v>0</v>
      </c>
      <c r="Z509" s="67">
        <v>0</v>
      </c>
      <c r="AA509" s="67">
        <v>0</v>
      </c>
      <c r="AB509" s="67">
        <v>0</v>
      </c>
      <c r="AC509" s="67">
        <v>0</v>
      </c>
      <c r="AD509" s="67">
        <v>0</v>
      </c>
      <c r="AE509" s="67">
        <v>0</v>
      </c>
      <c r="AF509" s="67">
        <v>0</v>
      </c>
      <c r="AG509" s="67">
        <v>0</v>
      </c>
      <c r="AH509" s="67">
        <v>0</v>
      </c>
      <c r="AI509" s="67">
        <v>0</v>
      </c>
      <c r="AJ509" s="67">
        <v>0</v>
      </c>
      <c r="AK509" s="67">
        <v>0</v>
      </c>
      <c r="AL509" s="67">
        <v>0</v>
      </c>
      <c r="AM509" s="67">
        <v>0</v>
      </c>
      <c r="AN509" s="67">
        <v>0</v>
      </c>
      <c r="AO509" s="67">
        <v>0</v>
      </c>
      <c r="AP509" s="67">
        <v>0</v>
      </c>
      <c r="AQ509" s="67">
        <v>0</v>
      </c>
      <c r="AR509" s="67">
        <v>0</v>
      </c>
      <c r="AS509" s="67">
        <v>0</v>
      </c>
      <c r="AT509" s="67"/>
      <c r="AU509" s="67"/>
      <c r="AV509" s="67"/>
      <c r="AW509" s="67">
        <v>0</v>
      </c>
      <c r="AX509" s="67">
        <v>0</v>
      </c>
      <c r="AY509" s="67"/>
      <c r="AZ509" s="67"/>
      <c r="BA509" s="67"/>
      <c r="BB509" s="67"/>
      <c r="BC509" s="67"/>
      <c r="BD509" s="67"/>
      <c r="BE509" s="67"/>
      <c r="BG509" s="67"/>
      <c r="BH509" s="67"/>
      <c r="BI509" s="67"/>
      <c r="BJ509" s="67">
        <v>0</v>
      </c>
      <c r="BK509" s="67"/>
      <c r="BL509" s="67"/>
      <c r="BP509" s="67"/>
      <c r="BQ509" s="67">
        <v>0</v>
      </c>
      <c r="BR509" s="67"/>
      <c r="BS509" s="67"/>
      <c r="BT509" s="67">
        <v>0</v>
      </c>
      <c r="BU509" s="67">
        <v>0</v>
      </c>
      <c r="BV509" s="67"/>
      <c r="BW509" s="67"/>
      <c r="BX509" s="67">
        <v>0</v>
      </c>
      <c r="BY509" s="67">
        <v>0</v>
      </c>
      <c r="BZ509" s="67">
        <v>0</v>
      </c>
      <c r="CA509" s="67"/>
      <c r="CB509" s="67">
        <v>0</v>
      </c>
      <c r="CC509" s="67"/>
      <c r="CD509" s="67"/>
      <c r="CE509" s="67">
        <v>0</v>
      </c>
      <c r="CF509" s="67"/>
      <c r="CG509" s="67"/>
      <c r="CH509" s="67"/>
      <c r="CI509" s="67"/>
      <c r="CJ509" s="67"/>
      <c r="CK509" s="67">
        <v>0</v>
      </c>
      <c r="CL509" s="67"/>
      <c r="CM509" s="67"/>
      <c r="CN509" s="67"/>
      <c r="CO509" s="67">
        <v>0</v>
      </c>
      <c r="CP509" s="67"/>
      <c r="CQ509" s="67"/>
      <c r="CR509" s="67"/>
      <c r="CS509" s="67"/>
      <c r="CT509" s="67"/>
      <c r="CU509" s="67">
        <v>0</v>
      </c>
      <c r="CV509" s="67"/>
      <c r="CW509" s="67"/>
      <c r="CX509" s="67"/>
      <c r="CY509" s="67">
        <v>0</v>
      </c>
      <c r="CZ509" s="67"/>
      <c r="DA509" s="67"/>
      <c r="DB509" s="67"/>
      <c r="DC509" s="67"/>
      <c r="DF509" s="67"/>
      <c r="DG509" s="67">
        <v>0</v>
      </c>
      <c r="DH509" s="67">
        <v>0</v>
      </c>
      <c r="DI509" s="67">
        <v>0</v>
      </c>
      <c r="DJ509" s="67"/>
      <c r="DK509" s="67">
        <v>0</v>
      </c>
      <c r="DL509" s="67">
        <v>0</v>
      </c>
      <c r="DM509" s="67">
        <v>0</v>
      </c>
      <c r="DN509" s="67"/>
      <c r="DO509" s="67"/>
      <c r="DP509" s="67"/>
      <c r="DQ509" s="67">
        <v>0</v>
      </c>
      <c r="DR509" s="67">
        <v>0</v>
      </c>
      <c r="DS509" s="67"/>
      <c r="DT509" s="67"/>
      <c r="DU509" s="67">
        <v>0</v>
      </c>
      <c r="DV509" s="67">
        <v>0</v>
      </c>
      <c r="DW509" s="67">
        <v>0</v>
      </c>
      <c r="DX509" s="67">
        <v>0</v>
      </c>
      <c r="DY509" s="67"/>
      <c r="DZ509" s="67">
        <v>0</v>
      </c>
      <c r="EA509" s="67"/>
      <c r="EB509" s="67">
        <v>0</v>
      </c>
      <c r="EC509" s="67"/>
      <c r="ED509" s="67">
        <v>0</v>
      </c>
      <c r="EE509" s="67"/>
      <c r="EF509" s="67">
        <v>0</v>
      </c>
      <c r="EG509" s="67"/>
      <c r="EH509" s="67"/>
      <c r="EI509" s="67"/>
      <c r="EJ509" s="67"/>
      <c r="EK509" s="67"/>
      <c r="EL509" s="67"/>
      <c r="EM509" s="67"/>
      <c r="EN509" s="67"/>
      <c r="EO509" s="67"/>
      <c r="EP509" s="67">
        <v>0</v>
      </c>
      <c r="EQ509" s="67">
        <v>0</v>
      </c>
      <c r="ER509" s="67">
        <v>0</v>
      </c>
      <c r="ES509" s="67"/>
      <c r="ET509">
        <v>0</v>
      </c>
      <c r="EX509" s="67"/>
      <c r="EY509" s="67"/>
      <c r="EZ509" s="67"/>
      <c r="FA509" s="67">
        <v>0</v>
      </c>
      <c r="FB509" s="67">
        <v>0</v>
      </c>
      <c r="FC509" s="67"/>
      <c r="FD509" s="67"/>
      <c r="FE509" s="67"/>
      <c r="FF509" s="67"/>
      <c r="FG509" s="67"/>
      <c r="FH509" s="67"/>
      <c r="FI509" s="67" t="s">
        <v>1734</v>
      </c>
    </row>
    <row r="510" spans="2:165" x14ac:dyDescent="0.2">
      <c r="B510" s="67" t="s">
        <v>1337</v>
      </c>
      <c r="C510" s="67"/>
      <c r="D510" s="67" t="s">
        <v>1338</v>
      </c>
      <c r="E510" s="67" t="s">
        <v>732</v>
      </c>
      <c r="F510" s="67"/>
      <c r="G510" s="67" t="s">
        <v>694</v>
      </c>
      <c r="H510" s="67"/>
      <c r="I510" s="67" t="s">
        <v>786</v>
      </c>
      <c r="J510" s="67"/>
      <c r="K510" s="67" t="s">
        <v>733</v>
      </c>
      <c r="L510" s="67"/>
      <c r="M510" s="67"/>
      <c r="N510" s="67">
        <v>44197</v>
      </c>
      <c r="O510" s="67" t="s">
        <v>1605</v>
      </c>
      <c r="P510" s="67" t="s">
        <v>734</v>
      </c>
      <c r="Q510" s="67">
        <v>0</v>
      </c>
      <c r="R510" s="67">
        <v>0</v>
      </c>
      <c r="S510" s="67">
        <v>0</v>
      </c>
      <c r="T510" s="67">
        <v>0</v>
      </c>
      <c r="U510" s="67">
        <v>0</v>
      </c>
      <c r="V510" s="67">
        <v>0</v>
      </c>
      <c r="W510" s="67">
        <v>0</v>
      </c>
      <c r="X510" s="67">
        <v>0</v>
      </c>
      <c r="Y510" s="67">
        <v>0</v>
      </c>
      <c r="Z510" s="67">
        <v>0</v>
      </c>
      <c r="AA510" s="67">
        <v>0</v>
      </c>
      <c r="AB510" s="67">
        <v>0</v>
      </c>
      <c r="AC510" s="67">
        <v>0</v>
      </c>
      <c r="AD510" s="67">
        <v>0</v>
      </c>
      <c r="AE510" s="67">
        <v>0</v>
      </c>
      <c r="AF510" s="67">
        <v>0</v>
      </c>
      <c r="AG510" s="67">
        <v>0</v>
      </c>
      <c r="AH510" s="67">
        <v>0</v>
      </c>
      <c r="AI510" s="67">
        <v>0</v>
      </c>
      <c r="AJ510" s="67">
        <v>0</v>
      </c>
      <c r="AK510" s="67">
        <v>0</v>
      </c>
      <c r="AL510" s="67">
        <v>0</v>
      </c>
      <c r="AM510" s="67">
        <v>0</v>
      </c>
      <c r="AN510" s="67">
        <v>0</v>
      </c>
      <c r="AO510" s="67">
        <v>0</v>
      </c>
      <c r="AP510" s="67">
        <v>0</v>
      </c>
      <c r="AQ510" s="67">
        <v>0</v>
      </c>
      <c r="AR510" s="67">
        <v>0</v>
      </c>
      <c r="AS510" s="67">
        <v>0</v>
      </c>
      <c r="AT510" s="67"/>
      <c r="AU510" s="67"/>
      <c r="AV510" s="67"/>
      <c r="AW510" s="67">
        <v>0</v>
      </c>
      <c r="AX510" s="67">
        <v>0</v>
      </c>
      <c r="AY510" s="67"/>
      <c r="AZ510" s="67"/>
      <c r="BA510" s="67"/>
      <c r="BB510" s="67"/>
      <c r="BC510" s="67"/>
      <c r="BD510" s="67"/>
      <c r="BE510" s="67"/>
      <c r="BG510" s="67"/>
      <c r="BH510" s="67"/>
      <c r="BI510" s="67"/>
      <c r="BJ510" s="67">
        <v>0</v>
      </c>
      <c r="BK510" s="67"/>
      <c r="BL510" s="67"/>
      <c r="BP510" s="67"/>
      <c r="BQ510" s="67">
        <v>0</v>
      </c>
      <c r="BR510" s="67"/>
      <c r="BS510" s="67"/>
      <c r="BT510" s="67">
        <v>0</v>
      </c>
      <c r="BU510" s="67">
        <v>0</v>
      </c>
      <c r="BV510" s="67"/>
      <c r="BW510" s="67"/>
      <c r="BX510" s="67">
        <v>0</v>
      </c>
      <c r="BY510" s="67">
        <v>0</v>
      </c>
      <c r="BZ510" s="67">
        <v>0</v>
      </c>
      <c r="CA510" s="67"/>
      <c r="CB510" s="67">
        <v>0</v>
      </c>
      <c r="CC510" s="67"/>
      <c r="CD510" s="67"/>
      <c r="CE510" s="67">
        <v>0</v>
      </c>
      <c r="CF510" s="67"/>
      <c r="CG510" s="67"/>
      <c r="CH510" s="67"/>
      <c r="CI510" s="67"/>
      <c r="CJ510" s="67"/>
      <c r="CK510" s="67">
        <v>0</v>
      </c>
      <c r="CL510" s="67"/>
      <c r="CM510" s="67"/>
      <c r="CN510" s="67"/>
      <c r="CO510" s="67">
        <v>0</v>
      </c>
      <c r="CP510" s="67"/>
      <c r="CQ510" s="67"/>
      <c r="CR510" s="67"/>
      <c r="CS510" s="67"/>
      <c r="CT510" s="67"/>
      <c r="CU510" s="67">
        <v>0</v>
      </c>
      <c r="CV510" s="67"/>
      <c r="CW510" s="67"/>
      <c r="CX510" s="67"/>
      <c r="CY510" s="67">
        <v>0</v>
      </c>
      <c r="CZ510" s="67"/>
      <c r="DA510" s="67"/>
      <c r="DB510" s="67"/>
      <c r="DC510" s="67"/>
      <c r="DF510" s="67"/>
      <c r="DG510" s="67">
        <v>0</v>
      </c>
      <c r="DH510" s="67">
        <v>0</v>
      </c>
      <c r="DI510" s="67">
        <v>0</v>
      </c>
      <c r="DJ510" s="67"/>
      <c r="DK510" s="67">
        <v>0</v>
      </c>
      <c r="DL510" s="67">
        <v>0</v>
      </c>
      <c r="DM510" s="67">
        <v>0</v>
      </c>
      <c r="DN510" s="67"/>
      <c r="DO510" s="67"/>
      <c r="DP510" s="67"/>
      <c r="DQ510" s="67">
        <v>0</v>
      </c>
      <c r="DR510" s="67">
        <v>0</v>
      </c>
      <c r="DS510" s="67"/>
      <c r="DT510" s="67"/>
      <c r="DU510" s="67">
        <v>0</v>
      </c>
      <c r="DV510" s="67">
        <v>0</v>
      </c>
      <c r="DW510" s="67">
        <v>0</v>
      </c>
      <c r="DX510" s="67">
        <v>0</v>
      </c>
      <c r="DY510" s="67"/>
      <c r="DZ510" s="67">
        <v>0</v>
      </c>
      <c r="EA510" s="67"/>
      <c r="EB510" s="67">
        <v>0</v>
      </c>
      <c r="EC510" s="67"/>
      <c r="ED510" s="67">
        <v>0</v>
      </c>
      <c r="EE510" s="67"/>
      <c r="EF510" s="67">
        <v>0</v>
      </c>
      <c r="EG510" s="67"/>
      <c r="EH510" s="67"/>
      <c r="EI510" s="67"/>
      <c r="EJ510" s="67"/>
      <c r="EK510" s="67"/>
      <c r="EL510" s="67"/>
      <c r="EM510" s="67"/>
      <c r="EN510" s="67"/>
      <c r="EO510" s="67"/>
      <c r="EP510" s="67">
        <v>0</v>
      </c>
      <c r="EQ510" s="67">
        <v>0</v>
      </c>
      <c r="ER510" s="67">
        <v>0</v>
      </c>
      <c r="ES510" s="67"/>
      <c r="ET510">
        <v>0</v>
      </c>
      <c r="EX510" s="67"/>
      <c r="EY510" s="67"/>
      <c r="EZ510" s="67"/>
      <c r="FA510" s="67">
        <v>0</v>
      </c>
      <c r="FB510" s="67">
        <v>0</v>
      </c>
      <c r="FC510" s="67"/>
      <c r="FD510" s="67"/>
      <c r="FE510" s="67"/>
      <c r="FF510" s="67"/>
      <c r="FG510" s="67"/>
      <c r="FH510" s="67"/>
      <c r="FI510" s="67" t="s">
        <v>1734</v>
      </c>
    </row>
    <row r="511" spans="2:165" ht="24" x14ac:dyDescent="0.2">
      <c r="B511" s="67" t="s">
        <v>1339</v>
      </c>
      <c r="C511" s="67"/>
      <c r="D511" s="67" t="s">
        <v>1340</v>
      </c>
      <c r="E511" s="67" t="s">
        <v>13</v>
      </c>
      <c r="F511" s="67" t="s">
        <v>1331</v>
      </c>
      <c r="G511" s="67" t="s">
        <v>694</v>
      </c>
      <c r="H511" s="67"/>
      <c r="I511" s="67" t="s">
        <v>43</v>
      </c>
      <c r="J511" s="67"/>
      <c r="K511" s="67"/>
      <c r="L511" s="67" t="s">
        <v>1242</v>
      </c>
      <c r="M511" s="67" t="s">
        <v>752</v>
      </c>
      <c r="N511" s="67"/>
      <c r="O511" s="67" t="s">
        <v>1605</v>
      </c>
      <c r="P511" s="67" t="s">
        <v>942</v>
      </c>
      <c r="Q511" s="67">
        <v>0</v>
      </c>
      <c r="R511" s="67">
        <v>0</v>
      </c>
      <c r="S511" s="67">
        <v>0</v>
      </c>
      <c r="T511" s="67">
        <v>0</v>
      </c>
      <c r="U511" s="67">
        <v>0</v>
      </c>
      <c r="V511" s="67">
        <v>0</v>
      </c>
      <c r="W511" s="67">
        <v>0</v>
      </c>
      <c r="X511" s="67">
        <v>0</v>
      </c>
      <c r="Y511" s="67">
        <v>0</v>
      </c>
      <c r="Z511" s="67">
        <v>0</v>
      </c>
      <c r="AA511" s="67">
        <v>0</v>
      </c>
      <c r="AB511" s="67">
        <v>0</v>
      </c>
      <c r="AC511" s="67">
        <v>0</v>
      </c>
      <c r="AD511" s="67">
        <v>0</v>
      </c>
      <c r="AE511" s="67">
        <v>0</v>
      </c>
      <c r="AF511" s="67">
        <v>0</v>
      </c>
      <c r="AG511" s="67">
        <v>0</v>
      </c>
      <c r="AH511" s="67">
        <v>0</v>
      </c>
      <c r="AI511" s="67">
        <v>0</v>
      </c>
      <c r="AJ511" s="67">
        <v>0</v>
      </c>
      <c r="AK511" s="67">
        <v>0</v>
      </c>
      <c r="AL511" s="67">
        <v>0</v>
      </c>
      <c r="AM511" s="67">
        <v>0</v>
      </c>
      <c r="AN511" s="67">
        <v>0</v>
      </c>
      <c r="AO511" s="67">
        <v>0</v>
      </c>
      <c r="AP511" s="67">
        <v>0</v>
      </c>
      <c r="AQ511" s="67">
        <v>0</v>
      </c>
      <c r="AR511" s="67">
        <v>0</v>
      </c>
      <c r="AS511" s="67">
        <v>0</v>
      </c>
      <c r="AT511" s="67"/>
      <c r="AU511" s="67"/>
      <c r="AV511" s="67"/>
      <c r="AW511" s="67">
        <v>0</v>
      </c>
      <c r="AX511" s="67">
        <v>0</v>
      </c>
      <c r="AY511" s="67"/>
      <c r="AZ511" s="67"/>
      <c r="BA511" s="67"/>
      <c r="BB511" s="67"/>
      <c r="BC511" s="67"/>
      <c r="BD511" s="67"/>
      <c r="BE511" s="67"/>
      <c r="BG511" s="67"/>
      <c r="BH511" s="67"/>
      <c r="BI511" s="67"/>
      <c r="BJ511" s="67">
        <v>0</v>
      </c>
      <c r="BK511" s="67"/>
      <c r="BL511" s="67"/>
      <c r="BP511" s="67"/>
      <c r="BQ511" s="67">
        <v>0</v>
      </c>
      <c r="BR511" s="67"/>
      <c r="BS511" s="67"/>
      <c r="BT511" s="67">
        <v>0</v>
      </c>
      <c r="BU511" s="67">
        <v>0</v>
      </c>
      <c r="BV511" s="67"/>
      <c r="BW511" s="67"/>
      <c r="BX511" s="67">
        <v>0</v>
      </c>
      <c r="BY511" s="67">
        <v>0</v>
      </c>
      <c r="BZ511" s="67">
        <v>0</v>
      </c>
      <c r="CA511" s="67"/>
      <c r="CB511" s="67">
        <v>0</v>
      </c>
      <c r="CC511" s="67"/>
      <c r="CD511" s="67"/>
      <c r="CE511" s="67">
        <v>0</v>
      </c>
      <c r="CF511" s="67"/>
      <c r="CG511" s="67"/>
      <c r="CH511" s="67"/>
      <c r="CI511" s="67"/>
      <c r="CJ511" s="67"/>
      <c r="CK511" s="67">
        <v>0</v>
      </c>
      <c r="CL511" s="67"/>
      <c r="CM511" s="67"/>
      <c r="CN511" s="67"/>
      <c r="CO511" s="67">
        <v>0</v>
      </c>
      <c r="CP511" s="67"/>
      <c r="CQ511" s="67"/>
      <c r="CR511" s="67"/>
      <c r="CS511" s="67"/>
      <c r="CT511" s="67"/>
      <c r="CU511" s="67">
        <v>0</v>
      </c>
      <c r="CV511" s="67"/>
      <c r="CW511" s="67"/>
      <c r="CX511" s="67"/>
      <c r="CY511" s="67">
        <v>0</v>
      </c>
      <c r="CZ511" s="67"/>
      <c r="DA511" s="67"/>
      <c r="DB511" s="67"/>
      <c r="DC511" s="67"/>
      <c r="DF511" s="67"/>
      <c r="DG511" s="67">
        <v>0</v>
      </c>
      <c r="DH511" s="67">
        <v>0</v>
      </c>
      <c r="DI511" s="67">
        <v>0</v>
      </c>
      <c r="DJ511" s="67"/>
      <c r="DK511" s="67">
        <v>0</v>
      </c>
      <c r="DL511" s="67">
        <v>0</v>
      </c>
      <c r="DM511" s="67">
        <v>0</v>
      </c>
      <c r="DN511" s="67"/>
      <c r="DO511" s="67"/>
      <c r="DP511" s="67"/>
      <c r="DQ511" s="67">
        <v>0</v>
      </c>
      <c r="DR511" s="67">
        <v>0</v>
      </c>
      <c r="DS511" s="67"/>
      <c r="DT511" s="67"/>
      <c r="DU511" s="67">
        <v>0</v>
      </c>
      <c r="DV511" s="67">
        <v>0</v>
      </c>
      <c r="DW511" s="67">
        <v>0</v>
      </c>
      <c r="DX511" s="67">
        <v>0</v>
      </c>
      <c r="DY511" s="67"/>
      <c r="DZ511" s="67">
        <v>0</v>
      </c>
      <c r="EA511" s="67"/>
      <c r="EB511" s="67">
        <v>0</v>
      </c>
      <c r="EC511" s="67"/>
      <c r="ED511" s="67">
        <v>0</v>
      </c>
      <c r="EE511" s="67"/>
      <c r="EF511" s="67">
        <v>0</v>
      </c>
      <c r="EG511" s="67"/>
      <c r="EH511" s="67"/>
      <c r="EI511" s="67"/>
      <c r="EJ511" s="67"/>
      <c r="EK511" s="67"/>
      <c r="EL511" s="67"/>
      <c r="EM511" s="67"/>
      <c r="EN511" s="67"/>
      <c r="EO511" s="67"/>
      <c r="EP511" s="67">
        <v>0</v>
      </c>
      <c r="EQ511" s="67">
        <v>0</v>
      </c>
      <c r="ER511" s="67">
        <v>0</v>
      </c>
      <c r="ES511" s="67"/>
      <c r="ET511">
        <v>0</v>
      </c>
      <c r="EX511" s="67"/>
      <c r="EY511" s="67"/>
      <c r="EZ511" s="67"/>
      <c r="FA511" s="67">
        <v>0</v>
      </c>
      <c r="FB511" s="67">
        <v>0</v>
      </c>
      <c r="FC511" s="67"/>
      <c r="FD511" s="67"/>
      <c r="FE511" s="67"/>
      <c r="FF511" s="67"/>
      <c r="FG511" s="67"/>
      <c r="FH511" s="67"/>
      <c r="FI511" s="67" t="s">
        <v>1734</v>
      </c>
    </row>
    <row r="512" spans="2:165" ht="24" x14ac:dyDescent="0.2">
      <c r="B512" s="67" t="s">
        <v>1342</v>
      </c>
      <c r="C512" s="67"/>
      <c r="D512" s="67" t="s">
        <v>1343</v>
      </c>
      <c r="E512" s="67" t="s">
        <v>13</v>
      </c>
      <c r="F512" s="67" t="s">
        <v>1331</v>
      </c>
      <c r="G512" s="67" t="s">
        <v>694</v>
      </c>
      <c r="H512" s="67"/>
      <c r="I512" s="67" t="s">
        <v>43</v>
      </c>
      <c r="J512" s="67"/>
      <c r="K512" s="67"/>
      <c r="L512" s="67" t="s">
        <v>1242</v>
      </c>
      <c r="M512" s="67" t="s">
        <v>752</v>
      </c>
      <c r="N512" s="67"/>
      <c r="O512" s="67" t="s">
        <v>1605</v>
      </c>
      <c r="P512" s="67" t="s">
        <v>942</v>
      </c>
      <c r="Q512" s="67">
        <v>0</v>
      </c>
      <c r="R512" s="67">
        <v>0</v>
      </c>
      <c r="S512" s="67">
        <v>0</v>
      </c>
      <c r="T512" s="67">
        <v>0</v>
      </c>
      <c r="U512" s="67">
        <v>0</v>
      </c>
      <c r="V512" s="67">
        <v>0</v>
      </c>
      <c r="W512" s="67">
        <v>0</v>
      </c>
      <c r="X512" s="67">
        <v>0</v>
      </c>
      <c r="Y512" s="67">
        <v>0</v>
      </c>
      <c r="Z512" s="67">
        <v>0</v>
      </c>
      <c r="AA512" s="67">
        <v>0</v>
      </c>
      <c r="AB512" s="67">
        <v>0</v>
      </c>
      <c r="AC512" s="67">
        <v>0</v>
      </c>
      <c r="AD512" s="67">
        <v>0</v>
      </c>
      <c r="AE512" s="67">
        <v>0</v>
      </c>
      <c r="AF512" s="67">
        <v>0</v>
      </c>
      <c r="AG512" s="67">
        <v>0</v>
      </c>
      <c r="AH512" s="67">
        <v>0</v>
      </c>
      <c r="AI512" s="67">
        <v>0</v>
      </c>
      <c r="AJ512" s="67">
        <v>0</v>
      </c>
      <c r="AK512" s="67">
        <v>0</v>
      </c>
      <c r="AL512" s="67">
        <v>0</v>
      </c>
      <c r="AM512" s="67">
        <v>0</v>
      </c>
      <c r="AN512" s="67">
        <v>0</v>
      </c>
      <c r="AO512" s="67">
        <v>0</v>
      </c>
      <c r="AP512" s="67">
        <v>0</v>
      </c>
      <c r="AQ512" s="67">
        <v>0</v>
      </c>
      <c r="AR512" s="67">
        <v>0</v>
      </c>
      <c r="AS512" s="67">
        <v>0</v>
      </c>
      <c r="AT512" s="67"/>
      <c r="AU512" s="67"/>
      <c r="AV512" s="67"/>
      <c r="AW512" s="67">
        <v>0</v>
      </c>
      <c r="AX512" s="67">
        <v>0</v>
      </c>
      <c r="AY512" s="67"/>
      <c r="AZ512" s="67"/>
      <c r="BA512" s="67"/>
      <c r="BB512" s="67"/>
      <c r="BC512" s="67"/>
      <c r="BD512" s="67"/>
      <c r="BE512" s="67"/>
      <c r="BG512" s="67"/>
      <c r="BH512" s="67"/>
      <c r="BI512" s="67"/>
      <c r="BJ512" s="67">
        <v>0</v>
      </c>
      <c r="BK512" s="67"/>
      <c r="BL512" s="67"/>
      <c r="BP512" s="67"/>
      <c r="BQ512" s="67">
        <v>0</v>
      </c>
      <c r="BR512" s="67"/>
      <c r="BS512" s="67"/>
      <c r="BT512" s="67">
        <v>0</v>
      </c>
      <c r="BU512" s="67">
        <v>0</v>
      </c>
      <c r="BV512" s="67"/>
      <c r="BW512" s="67"/>
      <c r="BX512" s="67">
        <v>0</v>
      </c>
      <c r="BY512" s="67">
        <v>0</v>
      </c>
      <c r="BZ512" s="67">
        <v>0</v>
      </c>
      <c r="CA512" s="67"/>
      <c r="CB512" s="67">
        <v>0</v>
      </c>
      <c r="CC512" s="67"/>
      <c r="CD512" s="67"/>
      <c r="CE512" s="67">
        <v>0</v>
      </c>
      <c r="CF512" s="67"/>
      <c r="CG512" s="67"/>
      <c r="CH512" s="67"/>
      <c r="CI512" s="67"/>
      <c r="CJ512" s="67"/>
      <c r="CK512" s="67">
        <v>0</v>
      </c>
      <c r="CL512" s="67"/>
      <c r="CM512" s="67"/>
      <c r="CN512" s="67"/>
      <c r="CO512" s="67">
        <v>0</v>
      </c>
      <c r="CP512" s="67"/>
      <c r="CQ512" s="67"/>
      <c r="CR512" s="67"/>
      <c r="CS512" s="67"/>
      <c r="CT512" s="67"/>
      <c r="CU512" s="67">
        <v>0</v>
      </c>
      <c r="CV512" s="67"/>
      <c r="CW512" s="67"/>
      <c r="CX512" s="67"/>
      <c r="CY512" s="67">
        <v>0</v>
      </c>
      <c r="CZ512" s="67"/>
      <c r="DA512" s="67"/>
      <c r="DB512" s="67"/>
      <c r="DC512" s="67"/>
      <c r="DF512" s="67"/>
      <c r="DG512" s="67">
        <v>0</v>
      </c>
      <c r="DH512" s="67">
        <v>0</v>
      </c>
      <c r="DI512" s="67">
        <v>0</v>
      </c>
      <c r="DJ512" s="67"/>
      <c r="DK512" s="67">
        <v>0</v>
      </c>
      <c r="DL512" s="67">
        <v>0</v>
      </c>
      <c r="DM512" s="67">
        <v>0</v>
      </c>
      <c r="DN512" s="67"/>
      <c r="DO512" s="67"/>
      <c r="DP512" s="67"/>
      <c r="DQ512" s="67">
        <v>0</v>
      </c>
      <c r="DR512" s="67">
        <v>0</v>
      </c>
      <c r="DS512" s="67"/>
      <c r="DT512" s="67"/>
      <c r="DU512" s="67">
        <v>0</v>
      </c>
      <c r="DV512" s="67">
        <v>0</v>
      </c>
      <c r="DW512" s="67">
        <v>0</v>
      </c>
      <c r="DX512" s="67">
        <v>0</v>
      </c>
      <c r="DY512" s="67"/>
      <c r="DZ512" s="67">
        <v>0</v>
      </c>
      <c r="EA512" s="67"/>
      <c r="EB512" s="67">
        <v>0</v>
      </c>
      <c r="EC512" s="67"/>
      <c r="ED512" s="67">
        <v>0</v>
      </c>
      <c r="EE512" s="67"/>
      <c r="EF512" s="67">
        <v>0</v>
      </c>
      <c r="EG512" s="67"/>
      <c r="EH512" s="67"/>
      <c r="EI512" s="67"/>
      <c r="EJ512" s="67"/>
      <c r="EK512" s="67"/>
      <c r="EL512" s="67"/>
      <c r="EM512" s="67"/>
      <c r="EN512" s="67"/>
      <c r="EO512" s="67"/>
      <c r="EP512" s="67">
        <v>0</v>
      </c>
      <c r="EQ512" s="67">
        <v>0</v>
      </c>
      <c r="ER512" s="67">
        <v>0</v>
      </c>
      <c r="ES512" s="67"/>
      <c r="ET512">
        <v>0</v>
      </c>
      <c r="EX512" s="67"/>
      <c r="EY512" s="67"/>
      <c r="EZ512" s="67"/>
      <c r="FA512" s="67">
        <v>0</v>
      </c>
      <c r="FB512" s="67">
        <v>0</v>
      </c>
      <c r="FC512" s="67"/>
      <c r="FD512" s="67"/>
      <c r="FE512" s="67"/>
      <c r="FF512" s="67"/>
      <c r="FG512" s="67"/>
      <c r="FH512" s="67"/>
      <c r="FI512" s="67" t="s">
        <v>1734</v>
      </c>
    </row>
    <row r="513" spans="2:165" ht="24" x14ac:dyDescent="0.2">
      <c r="B513" s="67" t="s">
        <v>1344</v>
      </c>
      <c r="C513" s="67"/>
      <c r="D513" s="67" t="s">
        <v>1345</v>
      </c>
      <c r="E513" s="67" t="s">
        <v>13</v>
      </c>
      <c r="F513" s="67" t="s">
        <v>1331</v>
      </c>
      <c r="G513" s="67" t="s">
        <v>694</v>
      </c>
      <c r="H513" s="67"/>
      <c r="I513" s="67" t="s">
        <v>43</v>
      </c>
      <c r="J513" s="67"/>
      <c r="K513" s="67"/>
      <c r="L513" s="67" t="s">
        <v>1242</v>
      </c>
      <c r="M513" s="67" t="s">
        <v>752</v>
      </c>
      <c r="N513" s="67"/>
      <c r="O513" s="67" t="s">
        <v>1605</v>
      </c>
      <c r="P513" s="67" t="s">
        <v>942</v>
      </c>
      <c r="Q513" s="67">
        <v>0</v>
      </c>
      <c r="R513" s="67">
        <v>0</v>
      </c>
      <c r="S513" s="67">
        <v>0</v>
      </c>
      <c r="T513" s="67">
        <v>0</v>
      </c>
      <c r="U513" s="67">
        <v>0</v>
      </c>
      <c r="V513" s="67">
        <v>0</v>
      </c>
      <c r="W513" s="67">
        <v>0</v>
      </c>
      <c r="X513" s="67">
        <v>0</v>
      </c>
      <c r="Y513" s="67">
        <v>0</v>
      </c>
      <c r="Z513" s="67">
        <v>0</v>
      </c>
      <c r="AA513" s="67">
        <v>0</v>
      </c>
      <c r="AB513" s="67">
        <v>0</v>
      </c>
      <c r="AC513" s="67">
        <v>0</v>
      </c>
      <c r="AD513" s="67">
        <v>0</v>
      </c>
      <c r="AE513" s="67">
        <v>0</v>
      </c>
      <c r="AF513" s="67">
        <v>0</v>
      </c>
      <c r="AG513" s="67">
        <v>0</v>
      </c>
      <c r="AH513" s="67">
        <v>0</v>
      </c>
      <c r="AI513" s="67">
        <v>0</v>
      </c>
      <c r="AJ513" s="67">
        <v>0</v>
      </c>
      <c r="AK513" s="67">
        <v>0</v>
      </c>
      <c r="AL513" s="67">
        <v>0</v>
      </c>
      <c r="AM513" s="67">
        <v>0</v>
      </c>
      <c r="AN513" s="67">
        <v>0</v>
      </c>
      <c r="AO513" s="67">
        <v>0</v>
      </c>
      <c r="AP513" s="67">
        <v>0</v>
      </c>
      <c r="AQ513" s="67">
        <v>0</v>
      </c>
      <c r="AR513" s="67">
        <v>0</v>
      </c>
      <c r="AS513" s="67">
        <v>0</v>
      </c>
      <c r="AT513" s="67"/>
      <c r="AU513" s="67"/>
      <c r="AV513" s="67"/>
      <c r="AW513" s="67">
        <v>0</v>
      </c>
      <c r="AX513" s="67">
        <v>0</v>
      </c>
      <c r="AY513" s="67"/>
      <c r="AZ513" s="67"/>
      <c r="BA513" s="67"/>
      <c r="BB513" s="67"/>
      <c r="BC513" s="67"/>
      <c r="BD513" s="67"/>
      <c r="BE513" s="67"/>
      <c r="BG513" s="67"/>
      <c r="BH513" s="67"/>
      <c r="BI513" s="67"/>
      <c r="BJ513" s="67">
        <v>0</v>
      </c>
      <c r="BK513" s="67"/>
      <c r="BL513" s="67"/>
      <c r="BP513" s="67"/>
      <c r="BQ513" s="67">
        <v>0</v>
      </c>
      <c r="BR513" s="67"/>
      <c r="BS513" s="67"/>
      <c r="BT513" s="67">
        <v>0</v>
      </c>
      <c r="BU513" s="67">
        <v>0</v>
      </c>
      <c r="BV513" s="67"/>
      <c r="BW513" s="67"/>
      <c r="BX513" s="67">
        <v>0</v>
      </c>
      <c r="BY513" s="67">
        <v>0</v>
      </c>
      <c r="BZ513" s="67">
        <v>0</v>
      </c>
      <c r="CA513" s="67"/>
      <c r="CB513" s="67">
        <v>0</v>
      </c>
      <c r="CC513" s="67"/>
      <c r="CD513" s="67"/>
      <c r="CE513" s="67">
        <v>0</v>
      </c>
      <c r="CF513" s="67"/>
      <c r="CG513" s="67"/>
      <c r="CH513" s="67"/>
      <c r="CI513" s="67"/>
      <c r="CJ513" s="67"/>
      <c r="CK513" s="67">
        <v>0</v>
      </c>
      <c r="CL513" s="67"/>
      <c r="CM513" s="67"/>
      <c r="CN513" s="67"/>
      <c r="CO513" s="67">
        <v>0</v>
      </c>
      <c r="CP513" s="67"/>
      <c r="CQ513" s="67"/>
      <c r="CR513" s="67"/>
      <c r="CS513" s="67"/>
      <c r="CT513" s="67"/>
      <c r="CU513" s="67">
        <v>0</v>
      </c>
      <c r="CV513" s="67"/>
      <c r="CW513" s="67"/>
      <c r="CX513" s="67"/>
      <c r="CY513" s="67">
        <v>0</v>
      </c>
      <c r="CZ513" s="67"/>
      <c r="DA513" s="67"/>
      <c r="DB513" s="67"/>
      <c r="DC513" s="67"/>
      <c r="DF513" s="67"/>
      <c r="DG513" s="67">
        <v>0</v>
      </c>
      <c r="DH513" s="67">
        <v>0</v>
      </c>
      <c r="DI513" s="67">
        <v>0</v>
      </c>
      <c r="DJ513" s="67"/>
      <c r="DK513" s="67">
        <v>0</v>
      </c>
      <c r="DL513" s="67">
        <v>0</v>
      </c>
      <c r="DM513" s="67">
        <v>0</v>
      </c>
      <c r="DN513" s="67"/>
      <c r="DO513" s="67"/>
      <c r="DP513" s="67"/>
      <c r="DQ513" s="67">
        <v>0</v>
      </c>
      <c r="DR513" s="67">
        <v>0</v>
      </c>
      <c r="DS513" s="67"/>
      <c r="DT513" s="67"/>
      <c r="DU513" s="67">
        <v>0</v>
      </c>
      <c r="DV513" s="67">
        <v>0</v>
      </c>
      <c r="DW513" s="67">
        <v>0</v>
      </c>
      <c r="DX513" s="67">
        <v>0</v>
      </c>
      <c r="DY513" s="67"/>
      <c r="DZ513" s="67">
        <v>0</v>
      </c>
      <c r="EA513" s="67"/>
      <c r="EB513" s="67">
        <v>0</v>
      </c>
      <c r="EC513" s="67"/>
      <c r="ED513" s="67">
        <v>0</v>
      </c>
      <c r="EE513" s="67"/>
      <c r="EF513" s="67">
        <v>0</v>
      </c>
      <c r="EG513" s="67"/>
      <c r="EH513" s="67"/>
      <c r="EI513" s="67"/>
      <c r="EJ513" s="67"/>
      <c r="EK513" s="67"/>
      <c r="EL513" s="67"/>
      <c r="EM513" s="67"/>
      <c r="EN513" s="67"/>
      <c r="EO513" s="67"/>
      <c r="EP513" s="67">
        <v>0</v>
      </c>
      <c r="EQ513" s="67">
        <v>0</v>
      </c>
      <c r="ER513" s="67">
        <v>0</v>
      </c>
      <c r="ES513" s="67"/>
      <c r="ET513">
        <v>0</v>
      </c>
      <c r="EX513" s="67"/>
      <c r="EY513" s="67"/>
      <c r="EZ513" s="67"/>
      <c r="FA513" s="67">
        <v>0</v>
      </c>
      <c r="FB513" s="67">
        <v>0</v>
      </c>
      <c r="FC513" s="67"/>
      <c r="FD513" s="67"/>
      <c r="FE513" s="67"/>
      <c r="FF513" s="67"/>
      <c r="FG513" s="67"/>
      <c r="FH513" s="67"/>
      <c r="FI513" s="67" t="s">
        <v>1734</v>
      </c>
    </row>
    <row r="514" spans="2:165" ht="24" x14ac:dyDescent="0.2">
      <c r="B514" s="67" t="s">
        <v>1346</v>
      </c>
      <c r="C514" s="67"/>
      <c r="D514" s="67" t="s">
        <v>1347</v>
      </c>
      <c r="E514" s="67" t="s">
        <v>13</v>
      </c>
      <c r="F514" s="67" t="s">
        <v>1331</v>
      </c>
      <c r="G514" s="67" t="s">
        <v>694</v>
      </c>
      <c r="H514" s="67"/>
      <c r="I514" s="67" t="s">
        <v>43</v>
      </c>
      <c r="J514" s="67"/>
      <c r="K514" s="67"/>
      <c r="L514" s="67" t="s">
        <v>1242</v>
      </c>
      <c r="M514" s="67" t="s">
        <v>752</v>
      </c>
      <c r="N514" s="67"/>
      <c r="O514" s="67" t="s">
        <v>1605</v>
      </c>
      <c r="P514" s="67" t="s">
        <v>942</v>
      </c>
      <c r="Q514" s="67">
        <v>0</v>
      </c>
      <c r="R514" s="67">
        <v>0</v>
      </c>
      <c r="S514" s="67">
        <v>0</v>
      </c>
      <c r="T514" s="67">
        <v>0</v>
      </c>
      <c r="U514" s="67">
        <v>0</v>
      </c>
      <c r="V514" s="67">
        <v>0</v>
      </c>
      <c r="W514" s="67">
        <v>0</v>
      </c>
      <c r="X514" s="67">
        <v>0</v>
      </c>
      <c r="Y514" s="67">
        <v>0</v>
      </c>
      <c r="Z514" s="67">
        <v>0</v>
      </c>
      <c r="AA514" s="67">
        <v>0</v>
      </c>
      <c r="AB514" s="67">
        <v>0</v>
      </c>
      <c r="AC514" s="67">
        <v>0</v>
      </c>
      <c r="AD514" s="67">
        <v>0</v>
      </c>
      <c r="AE514" s="67">
        <v>0</v>
      </c>
      <c r="AF514" s="67">
        <v>0</v>
      </c>
      <c r="AG514" s="67">
        <v>0</v>
      </c>
      <c r="AH514" s="67">
        <v>0</v>
      </c>
      <c r="AI514" s="67">
        <v>0</v>
      </c>
      <c r="AJ514" s="67">
        <v>0</v>
      </c>
      <c r="AK514" s="67">
        <v>0</v>
      </c>
      <c r="AL514" s="67">
        <v>0</v>
      </c>
      <c r="AM514" s="67">
        <v>0</v>
      </c>
      <c r="AN514" s="67">
        <v>0</v>
      </c>
      <c r="AO514" s="67">
        <v>0</v>
      </c>
      <c r="AP514" s="67">
        <v>0</v>
      </c>
      <c r="AQ514" s="67">
        <v>0</v>
      </c>
      <c r="AR514" s="67">
        <v>0</v>
      </c>
      <c r="AS514" s="67">
        <v>0</v>
      </c>
      <c r="AT514" s="67"/>
      <c r="AU514" s="67"/>
      <c r="AV514" s="67"/>
      <c r="AW514" s="67">
        <v>0</v>
      </c>
      <c r="AX514" s="67">
        <v>0</v>
      </c>
      <c r="AY514" s="67"/>
      <c r="AZ514" s="67"/>
      <c r="BA514" s="67"/>
      <c r="BB514" s="67"/>
      <c r="BC514" s="67"/>
      <c r="BD514" s="67"/>
      <c r="BE514" s="67"/>
      <c r="BG514" s="67"/>
      <c r="BH514" s="67"/>
      <c r="BI514" s="67"/>
      <c r="BJ514" s="67">
        <v>0</v>
      </c>
      <c r="BK514" s="67"/>
      <c r="BL514" s="67"/>
      <c r="BP514" s="67"/>
      <c r="BQ514" s="67">
        <v>0</v>
      </c>
      <c r="BR514" s="67"/>
      <c r="BS514" s="67"/>
      <c r="BT514" s="67">
        <v>0</v>
      </c>
      <c r="BU514" s="67">
        <v>0</v>
      </c>
      <c r="BV514" s="67"/>
      <c r="BW514" s="67"/>
      <c r="BX514" s="67">
        <v>0</v>
      </c>
      <c r="BY514" s="67">
        <v>0</v>
      </c>
      <c r="BZ514" s="67">
        <v>0</v>
      </c>
      <c r="CA514" s="67"/>
      <c r="CB514" s="67">
        <v>0</v>
      </c>
      <c r="CC514" s="67"/>
      <c r="CD514" s="67"/>
      <c r="CE514" s="67">
        <v>0</v>
      </c>
      <c r="CF514" s="67"/>
      <c r="CG514" s="67"/>
      <c r="CH514" s="67"/>
      <c r="CI514" s="67"/>
      <c r="CJ514" s="67"/>
      <c r="CK514" s="67">
        <v>0</v>
      </c>
      <c r="CL514" s="67"/>
      <c r="CM514" s="67"/>
      <c r="CN514" s="67"/>
      <c r="CO514" s="67">
        <v>0</v>
      </c>
      <c r="CP514" s="67"/>
      <c r="CQ514" s="67"/>
      <c r="CR514" s="67"/>
      <c r="CS514" s="67"/>
      <c r="CT514" s="67"/>
      <c r="CU514" s="67">
        <v>0</v>
      </c>
      <c r="CV514" s="67"/>
      <c r="CW514" s="67"/>
      <c r="CX514" s="67"/>
      <c r="CY514" s="67">
        <v>0</v>
      </c>
      <c r="CZ514" s="67"/>
      <c r="DA514" s="67"/>
      <c r="DB514" s="67"/>
      <c r="DC514" s="67"/>
      <c r="DF514" s="67"/>
      <c r="DG514" s="67">
        <v>0</v>
      </c>
      <c r="DH514" s="67">
        <v>0</v>
      </c>
      <c r="DI514" s="67">
        <v>0</v>
      </c>
      <c r="DJ514" s="67"/>
      <c r="DK514" s="67">
        <v>0</v>
      </c>
      <c r="DL514" s="67">
        <v>0</v>
      </c>
      <c r="DM514" s="67">
        <v>0</v>
      </c>
      <c r="DN514" s="67"/>
      <c r="DO514" s="67"/>
      <c r="DP514" s="67"/>
      <c r="DQ514" s="67">
        <v>0</v>
      </c>
      <c r="DR514" s="67">
        <v>0</v>
      </c>
      <c r="DS514" s="67"/>
      <c r="DT514" s="67"/>
      <c r="DU514" s="67">
        <v>0</v>
      </c>
      <c r="DV514" s="67">
        <v>0</v>
      </c>
      <c r="DW514" s="67">
        <v>0</v>
      </c>
      <c r="DX514" s="67">
        <v>0</v>
      </c>
      <c r="DY514" s="67"/>
      <c r="DZ514" s="67">
        <v>0</v>
      </c>
      <c r="EA514" s="67"/>
      <c r="EB514" s="67">
        <v>0</v>
      </c>
      <c r="EC514" s="67"/>
      <c r="ED514" s="67">
        <v>0</v>
      </c>
      <c r="EE514" s="67"/>
      <c r="EF514" s="67">
        <v>0</v>
      </c>
      <c r="EG514" s="67"/>
      <c r="EH514" s="67"/>
      <c r="EI514" s="67"/>
      <c r="EJ514" s="67"/>
      <c r="EK514" s="67"/>
      <c r="EL514" s="67"/>
      <c r="EM514" s="67"/>
      <c r="EN514" s="67"/>
      <c r="EO514" s="67"/>
      <c r="EP514" s="67">
        <v>0</v>
      </c>
      <c r="EQ514" s="67">
        <v>0</v>
      </c>
      <c r="ER514" s="67">
        <v>0</v>
      </c>
      <c r="ES514" s="67"/>
      <c r="ET514">
        <v>0</v>
      </c>
      <c r="EX514" s="67"/>
      <c r="EY514" s="67"/>
      <c r="EZ514" s="67"/>
      <c r="FA514" s="67">
        <v>0</v>
      </c>
      <c r="FB514" s="67">
        <v>0</v>
      </c>
      <c r="FC514" s="67"/>
      <c r="FD514" s="67"/>
      <c r="FE514" s="67"/>
      <c r="FF514" s="67"/>
      <c r="FG514" s="67"/>
      <c r="FH514" s="67"/>
      <c r="FI514" s="67" t="s">
        <v>1734</v>
      </c>
    </row>
    <row r="515" spans="2:165" ht="24" x14ac:dyDescent="0.2">
      <c r="B515" s="67" t="s">
        <v>1348</v>
      </c>
      <c r="C515" s="67"/>
      <c r="D515" s="67" t="s">
        <v>1349</v>
      </c>
      <c r="E515" s="67" t="s">
        <v>13</v>
      </c>
      <c r="F515" s="67" t="s">
        <v>1331</v>
      </c>
      <c r="G515" s="67" t="s">
        <v>694</v>
      </c>
      <c r="H515" s="67"/>
      <c r="I515" s="67" t="s">
        <v>43</v>
      </c>
      <c r="J515" s="67"/>
      <c r="K515" s="67"/>
      <c r="L515" s="67" t="s">
        <v>1242</v>
      </c>
      <c r="M515" s="67" t="s">
        <v>752</v>
      </c>
      <c r="N515" s="67"/>
      <c r="O515" s="67" t="s">
        <v>1605</v>
      </c>
      <c r="P515" s="67" t="s">
        <v>942</v>
      </c>
      <c r="Q515" s="67">
        <v>0</v>
      </c>
      <c r="R515" s="67">
        <v>0</v>
      </c>
      <c r="S515" s="67">
        <v>0</v>
      </c>
      <c r="T515" s="67">
        <v>0</v>
      </c>
      <c r="U515" s="67">
        <v>0</v>
      </c>
      <c r="V515" s="67">
        <v>0</v>
      </c>
      <c r="W515" s="67">
        <v>0</v>
      </c>
      <c r="X515" s="67">
        <v>0</v>
      </c>
      <c r="Y515" s="67">
        <v>0</v>
      </c>
      <c r="Z515" s="67">
        <v>0</v>
      </c>
      <c r="AA515" s="67">
        <v>0</v>
      </c>
      <c r="AB515" s="67">
        <v>0</v>
      </c>
      <c r="AC515" s="67">
        <v>0</v>
      </c>
      <c r="AD515" s="67">
        <v>0</v>
      </c>
      <c r="AE515" s="67">
        <v>0</v>
      </c>
      <c r="AF515" s="67">
        <v>0</v>
      </c>
      <c r="AG515" s="67">
        <v>0</v>
      </c>
      <c r="AH515" s="67">
        <v>0</v>
      </c>
      <c r="AI515" s="67">
        <v>0</v>
      </c>
      <c r="AJ515" s="67">
        <v>0</v>
      </c>
      <c r="AK515" s="67">
        <v>0</v>
      </c>
      <c r="AL515" s="67">
        <v>0</v>
      </c>
      <c r="AM515" s="67">
        <v>0</v>
      </c>
      <c r="AN515" s="67">
        <v>0</v>
      </c>
      <c r="AO515" s="67">
        <v>0</v>
      </c>
      <c r="AP515" s="67">
        <v>0</v>
      </c>
      <c r="AQ515" s="67">
        <v>0</v>
      </c>
      <c r="AR515" s="67">
        <v>0</v>
      </c>
      <c r="AS515" s="67">
        <v>0</v>
      </c>
      <c r="AT515" s="67"/>
      <c r="AU515" s="67"/>
      <c r="AV515" s="67"/>
      <c r="AW515" s="67">
        <v>0</v>
      </c>
      <c r="AX515" s="67">
        <v>0</v>
      </c>
      <c r="AY515" s="67"/>
      <c r="AZ515" s="67"/>
      <c r="BA515" s="67"/>
      <c r="BB515" s="67"/>
      <c r="BC515" s="67"/>
      <c r="BD515" s="67"/>
      <c r="BE515" s="67"/>
      <c r="BG515" s="67"/>
      <c r="BH515" s="67"/>
      <c r="BI515" s="67"/>
      <c r="BJ515" s="67">
        <v>0</v>
      </c>
      <c r="BK515" s="67"/>
      <c r="BL515" s="67"/>
      <c r="BP515" s="67"/>
      <c r="BQ515" s="67">
        <v>0</v>
      </c>
      <c r="BR515" s="67"/>
      <c r="BS515" s="67"/>
      <c r="BT515" s="67">
        <v>0</v>
      </c>
      <c r="BU515" s="67">
        <v>0</v>
      </c>
      <c r="BV515" s="67"/>
      <c r="BW515" s="67"/>
      <c r="BX515" s="67">
        <v>0</v>
      </c>
      <c r="BY515" s="67">
        <v>0</v>
      </c>
      <c r="BZ515" s="67">
        <v>0</v>
      </c>
      <c r="CA515" s="67"/>
      <c r="CB515" s="67">
        <v>0</v>
      </c>
      <c r="CC515" s="67"/>
      <c r="CD515" s="67"/>
      <c r="CE515" s="67">
        <v>0</v>
      </c>
      <c r="CF515" s="67"/>
      <c r="CG515" s="67"/>
      <c r="CH515" s="67"/>
      <c r="CI515" s="67"/>
      <c r="CJ515" s="67"/>
      <c r="CK515" s="67">
        <v>0</v>
      </c>
      <c r="CL515" s="67"/>
      <c r="CM515" s="67"/>
      <c r="CN515" s="67"/>
      <c r="CO515" s="67">
        <v>0</v>
      </c>
      <c r="CP515" s="67"/>
      <c r="CQ515" s="67"/>
      <c r="CR515" s="67"/>
      <c r="CS515" s="67"/>
      <c r="CT515" s="67"/>
      <c r="CU515" s="67">
        <v>0</v>
      </c>
      <c r="CV515" s="67"/>
      <c r="CW515" s="67"/>
      <c r="CX515" s="67"/>
      <c r="CY515" s="67">
        <v>0</v>
      </c>
      <c r="CZ515" s="67"/>
      <c r="DA515" s="67"/>
      <c r="DB515" s="67"/>
      <c r="DC515" s="67"/>
      <c r="DF515" s="67"/>
      <c r="DG515" s="67">
        <v>0</v>
      </c>
      <c r="DH515" s="67">
        <v>0</v>
      </c>
      <c r="DI515" s="67">
        <v>0</v>
      </c>
      <c r="DJ515" s="67"/>
      <c r="DK515" s="67">
        <v>0</v>
      </c>
      <c r="DL515" s="67">
        <v>0</v>
      </c>
      <c r="DM515" s="67">
        <v>0</v>
      </c>
      <c r="DN515" s="67"/>
      <c r="DO515" s="67"/>
      <c r="DP515" s="67"/>
      <c r="DQ515" s="67">
        <v>0</v>
      </c>
      <c r="DR515" s="67">
        <v>0</v>
      </c>
      <c r="DS515" s="67"/>
      <c r="DT515" s="67"/>
      <c r="DU515" s="67">
        <v>0</v>
      </c>
      <c r="DV515" s="67">
        <v>0</v>
      </c>
      <c r="DW515" s="67">
        <v>0</v>
      </c>
      <c r="DX515" s="67">
        <v>0</v>
      </c>
      <c r="DY515" s="67"/>
      <c r="DZ515" s="67">
        <v>0</v>
      </c>
      <c r="EA515" s="67"/>
      <c r="EB515" s="67">
        <v>0</v>
      </c>
      <c r="EC515" s="67"/>
      <c r="ED515" s="67">
        <v>0</v>
      </c>
      <c r="EE515" s="67"/>
      <c r="EF515" s="67">
        <v>0</v>
      </c>
      <c r="EG515" s="67"/>
      <c r="EH515" s="67"/>
      <c r="EI515" s="67"/>
      <c r="EJ515" s="67"/>
      <c r="EK515" s="67"/>
      <c r="EL515" s="67"/>
      <c r="EM515" s="67"/>
      <c r="EN515" s="67"/>
      <c r="EO515" s="67"/>
      <c r="EP515" s="67">
        <v>0</v>
      </c>
      <c r="EQ515" s="67">
        <v>0</v>
      </c>
      <c r="ER515" s="67">
        <v>0</v>
      </c>
      <c r="ES515" s="67"/>
      <c r="ET515">
        <v>0</v>
      </c>
      <c r="EX515" s="67"/>
      <c r="EY515" s="67"/>
      <c r="EZ515" s="67"/>
      <c r="FA515" s="67">
        <v>0</v>
      </c>
      <c r="FB515" s="67">
        <v>0</v>
      </c>
      <c r="FC515" s="67"/>
      <c r="FD515" s="67"/>
      <c r="FE515" s="67"/>
      <c r="FF515" s="67"/>
      <c r="FG515" s="67"/>
      <c r="FH515" s="67"/>
      <c r="FI515" s="67" t="s">
        <v>1734</v>
      </c>
    </row>
    <row r="516" spans="2:165" ht="24" x14ac:dyDescent="0.2">
      <c r="B516" s="67" t="s">
        <v>1350</v>
      </c>
      <c r="C516" s="67"/>
      <c r="D516" s="67" t="s">
        <v>1351</v>
      </c>
      <c r="E516" s="67" t="s">
        <v>13</v>
      </c>
      <c r="F516" s="67" t="s">
        <v>1331</v>
      </c>
      <c r="G516" s="67" t="s">
        <v>694</v>
      </c>
      <c r="H516" s="67"/>
      <c r="I516" s="67" t="s">
        <v>43</v>
      </c>
      <c r="J516" s="67"/>
      <c r="K516" s="67"/>
      <c r="L516" s="67" t="s">
        <v>1242</v>
      </c>
      <c r="M516" s="67" t="s">
        <v>752</v>
      </c>
      <c r="N516" s="67"/>
      <c r="O516" s="67" t="s">
        <v>1599</v>
      </c>
      <c r="P516" s="67" t="s">
        <v>942</v>
      </c>
      <c r="Q516" s="67">
        <v>569</v>
      </c>
      <c r="R516" s="67">
        <v>0</v>
      </c>
      <c r="S516" s="67">
        <v>0</v>
      </c>
      <c r="T516" s="67">
        <v>0</v>
      </c>
      <c r="U516" s="67">
        <v>0</v>
      </c>
      <c r="V516" s="67">
        <v>0</v>
      </c>
      <c r="W516" s="67">
        <v>0</v>
      </c>
      <c r="X516" s="67">
        <v>0</v>
      </c>
      <c r="Y516" s="67">
        <v>0</v>
      </c>
      <c r="Z516" s="67">
        <v>0</v>
      </c>
      <c r="AA516" s="67">
        <v>0</v>
      </c>
      <c r="AB516" s="67">
        <v>0</v>
      </c>
      <c r="AC516" s="67">
        <v>0</v>
      </c>
      <c r="AD516" s="67">
        <v>0</v>
      </c>
      <c r="AE516" s="67">
        <v>0</v>
      </c>
      <c r="AF516" s="67">
        <v>0</v>
      </c>
      <c r="AG516" s="67">
        <v>0</v>
      </c>
      <c r="AH516" s="67">
        <v>0</v>
      </c>
      <c r="AI516" s="67">
        <v>0</v>
      </c>
      <c r="AJ516" s="67">
        <v>0</v>
      </c>
      <c r="AK516" s="67">
        <v>0</v>
      </c>
      <c r="AL516" s="67">
        <v>0</v>
      </c>
      <c r="AM516" s="67">
        <v>0</v>
      </c>
      <c r="AN516" s="67">
        <v>0</v>
      </c>
      <c r="AO516" s="67">
        <v>569</v>
      </c>
      <c r="AP516" s="67">
        <v>0</v>
      </c>
      <c r="AQ516" s="67">
        <v>0</v>
      </c>
      <c r="AR516" s="67">
        <v>0</v>
      </c>
      <c r="AS516" s="67">
        <v>0</v>
      </c>
      <c r="AT516" s="67"/>
      <c r="AU516" s="67"/>
      <c r="AV516" s="67"/>
      <c r="AW516" s="67">
        <v>0</v>
      </c>
      <c r="AX516" s="67">
        <v>0</v>
      </c>
      <c r="AY516" s="67"/>
      <c r="AZ516" s="67"/>
      <c r="BA516" s="67"/>
      <c r="BB516" s="67"/>
      <c r="BC516" s="67"/>
      <c r="BD516" s="67"/>
      <c r="BE516" s="67"/>
      <c r="BG516" s="67"/>
      <c r="BH516" s="67"/>
      <c r="BI516" s="67"/>
      <c r="BJ516" s="67">
        <v>0</v>
      </c>
      <c r="BK516" s="67"/>
      <c r="BL516" s="67"/>
      <c r="BP516" s="67"/>
      <c r="BQ516" s="67">
        <v>0</v>
      </c>
      <c r="BR516" s="67"/>
      <c r="BS516" s="67"/>
      <c r="BT516" s="67">
        <v>0</v>
      </c>
      <c r="BU516" s="67">
        <v>0</v>
      </c>
      <c r="BV516" s="67"/>
      <c r="BW516" s="67"/>
      <c r="BX516" s="67">
        <v>0</v>
      </c>
      <c r="BY516" s="67">
        <v>0</v>
      </c>
      <c r="BZ516" s="67">
        <v>0</v>
      </c>
      <c r="CA516" s="67"/>
      <c r="CB516" s="67">
        <v>0</v>
      </c>
      <c r="CC516" s="67"/>
      <c r="CD516" s="67"/>
      <c r="CE516" s="67">
        <v>0</v>
      </c>
      <c r="CF516" s="67"/>
      <c r="CG516" s="67"/>
      <c r="CH516" s="67"/>
      <c r="CI516" s="67"/>
      <c r="CJ516" s="67"/>
      <c r="CK516" s="67">
        <v>0</v>
      </c>
      <c r="CL516" s="67"/>
      <c r="CM516" s="67"/>
      <c r="CN516" s="67"/>
      <c r="CO516" s="67">
        <v>0</v>
      </c>
      <c r="CP516" s="67"/>
      <c r="CQ516" s="67"/>
      <c r="CR516" s="67"/>
      <c r="CS516" s="67"/>
      <c r="CT516" s="67"/>
      <c r="CU516" s="67">
        <v>0</v>
      </c>
      <c r="CV516" s="67"/>
      <c r="CW516" s="67"/>
      <c r="CX516" s="67"/>
      <c r="CY516" s="67">
        <v>0</v>
      </c>
      <c r="CZ516" s="67"/>
      <c r="DA516" s="67"/>
      <c r="DB516" s="67"/>
      <c r="DC516" s="67"/>
      <c r="DF516" s="67"/>
      <c r="DG516" s="67">
        <v>0</v>
      </c>
      <c r="DH516" s="67">
        <v>0</v>
      </c>
      <c r="DI516" s="67">
        <v>0</v>
      </c>
      <c r="DJ516" s="67"/>
      <c r="DK516" s="67">
        <v>0</v>
      </c>
      <c r="DL516" s="67">
        <v>0</v>
      </c>
      <c r="DM516" s="67">
        <v>0</v>
      </c>
      <c r="DN516" s="67"/>
      <c r="DO516" s="67"/>
      <c r="DP516" s="67"/>
      <c r="DQ516" s="67">
        <v>0</v>
      </c>
      <c r="DR516" s="67">
        <v>0</v>
      </c>
      <c r="DS516" s="67"/>
      <c r="DT516" s="67"/>
      <c r="DU516" s="67">
        <v>0</v>
      </c>
      <c r="DV516" s="67">
        <v>0</v>
      </c>
      <c r="DW516" s="67">
        <v>0</v>
      </c>
      <c r="DX516" s="67">
        <v>0</v>
      </c>
      <c r="DY516" s="67"/>
      <c r="DZ516" s="67">
        <v>0</v>
      </c>
      <c r="EA516" s="67"/>
      <c r="EB516" s="67">
        <v>0</v>
      </c>
      <c r="EC516" s="67"/>
      <c r="ED516" s="67">
        <v>0</v>
      </c>
      <c r="EE516" s="67"/>
      <c r="EF516" s="67">
        <v>0</v>
      </c>
      <c r="EG516" s="67"/>
      <c r="EH516" s="67"/>
      <c r="EI516" s="67"/>
      <c r="EJ516" s="67"/>
      <c r="EK516" s="67"/>
      <c r="EL516" s="67"/>
      <c r="EM516" s="67"/>
      <c r="EN516" s="67"/>
      <c r="EO516" s="67"/>
      <c r="EP516" s="67">
        <v>0</v>
      </c>
      <c r="EQ516" s="67">
        <v>0</v>
      </c>
      <c r="ER516" s="67">
        <v>0</v>
      </c>
      <c r="ES516" s="67"/>
      <c r="ET516">
        <v>0</v>
      </c>
      <c r="EX516" s="67"/>
      <c r="EY516" s="67"/>
      <c r="EZ516" s="67"/>
      <c r="FA516" s="67">
        <v>569</v>
      </c>
      <c r="FB516" s="67">
        <v>0</v>
      </c>
      <c r="FC516" s="67"/>
      <c r="FD516" s="67"/>
      <c r="FE516" s="67"/>
      <c r="FF516" s="67"/>
      <c r="FG516" s="67"/>
      <c r="FH516" s="67"/>
      <c r="FI516" s="67" t="s">
        <v>1734</v>
      </c>
    </row>
    <row r="517" spans="2:165" ht="24" x14ac:dyDescent="0.2">
      <c r="B517" s="67" t="s">
        <v>1352</v>
      </c>
      <c r="C517" s="67"/>
      <c r="D517" s="67" t="s">
        <v>1353</v>
      </c>
      <c r="E517" s="67" t="s">
        <v>13</v>
      </c>
      <c r="F517" s="67" t="s">
        <v>1331</v>
      </c>
      <c r="G517" s="67" t="s">
        <v>694</v>
      </c>
      <c r="H517" s="67"/>
      <c r="I517" s="67" t="s">
        <v>43</v>
      </c>
      <c r="J517" s="67"/>
      <c r="K517" s="67"/>
      <c r="L517" s="67" t="s">
        <v>1242</v>
      </c>
      <c r="M517" s="67" t="s">
        <v>752</v>
      </c>
      <c r="N517" s="67"/>
      <c r="O517" s="67" t="s">
        <v>1605</v>
      </c>
      <c r="P517" s="67" t="s">
        <v>942</v>
      </c>
      <c r="Q517" s="67">
        <v>0</v>
      </c>
      <c r="R517" s="67">
        <v>0</v>
      </c>
      <c r="S517" s="67">
        <v>0</v>
      </c>
      <c r="T517" s="67">
        <v>0</v>
      </c>
      <c r="U517" s="67">
        <v>0</v>
      </c>
      <c r="V517" s="67">
        <v>0</v>
      </c>
      <c r="W517" s="67">
        <v>0</v>
      </c>
      <c r="X517" s="67">
        <v>0</v>
      </c>
      <c r="Y517" s="67">
        <v>0</v>
      </c>
      <c r="Z517" s="67">
        <v>0</v>
      </c>
      <c r="AA517" s="67">
        <v>0</v>
      </c>
      <c r="AB517" s="67">
        <v>0</v>
      </c>
      <c r="AC517" s="67">
        <v>0</v>
      </c>
      <c r="AD517" s="67">
        <v>0</v>
      </c>
      <c r="AE517" s="67">
        <v>0</v>
      </c>
      <c r="AF517" s="67">
        <v>0</v>
      </c>
      <c r="AG517" s="67">
        <v>0</v>
      </c>
      <c r="AH517" s="67">
        <v>0</v>
      </c>
      <c r="AI517" s="67">
        <v>0</v>
      </c>
      <c r="AJ517" s="67">
        <v>0</v>
      </c>
      <c r="AK517" s="67">
        <v>0</v>
      </c>
      <c r="AL517" s="67">
        <v>0</v>
      </c>
      <c r="AM517" s="67">
        <v>0</v>
      </c>
      <c r="AN517" s="67">
        <v>0</v>
      </c>
      <c r="AO517" s="67">
        <v>0</v>
      </c>
      <c r="AP517" s="67">
        <v>0</v>
      </c>
      <c r="AQ517" s="67">
        <v>0</v>
      </c>
      <c r="AR517" s="67">
        <v>0</v>
      </c>
      <c r="AS517" s="67">
        <v>0</v>
      </c>
      <c r="AT517" s="67"/>
      <c r="AU517" s="67"/>
      <c r="AV517" s="67"/>
      <c r="AW517" s="67">
        <v>0</v>
      </c>
      <c r="AX517" s="67">
        <v>0</v>
      </c>
      <c r="AY517" s="67"/>
      <c r="AZ517" s="67"/>
      <c r="BA517" s="67"/>
      <c r="BB517" s="67"/>
      <c r="BC517" s="67"/>
      <c r="BD517" s="67"/>
      <c r="BE517" s="67"/>
      <c r="BG517" s="67"/>
      <c r="BH517" s="67"/>
      <c r="BI517" s="67"/>
      <c r="BJ517" s="67">
        <v>0</v>
      </c>
      <c r="BK517" s="67"/>
      <c r="BL517" s="67"/>
      <c r="BP517" s="67"/>
      <c r="BQ517" s="67">
        <v>0</v>
      </c>
      <c r="BR517" s="67"/>
      <c r="BS517" s="67"/>
      <c r="BT517" s="67">
        <v>0</v>
      </c>
      <c r="BU517" s="67">
        <v>0</v>
      </c>
      <c r="BV517" s="67"/>
      <c r="BW517" s="67"/>
      <c r="BX517" s="67">
        <v>0</v>
      </c>
      <c r="BY517" s="67">
        <v>0</v>
      </c>
      <c r="BZ517" s="67">
        <v>0</v>
      </c>
      <c r="CA517" s="67"/>
      <c r="CB517" s="67">
        <v>0</v>
      </c>
      <c r="CC517" s="67"/>
      <c r="CD517" s="67"/>
      <c r="CE517" s="67">
        <v>0</v>
      </c>
      <c r="CF517" s="67"/>
      <c r="CG517" s="67"/>
      <c r="CH517" s="67"/>
      <c r="CI517" s="67"/>
      <c r="CJ517" s="67"/>
      <c r="CK517" s="67">
        <v>0</v>
      </c>
      <c r="CL517" s="67"/>
      <c r="CM517" s="67"/>
      <c r="CN517" s="67"/>
      <c r="CO517" s="67">
        <v>0</v>
      </c>
      <c r="CP517" s="67"/>
      <c r="CQ517" s="67"/>
      <c r="CR517" s="67"/>
      <c r="CS517" s="67"/>
      <c r="CT517" s="67"/>
      <c r="CU517" s="67">
        <v>0</v>
      </c>
      <c r="CV517" s="67"/>
      <c r="CW517" s="67"/>
      <c r="CX517" s="67"/>
      <c r="CY517" s="67">
        <v>0</v>
      </c>
      <c r="CZ517" s="67"/>
      <c r="DA517" s="67"/>
      <c r="DB517" s="67"/>
      <c r="DC517" s="67"/>
      <c r="DF517" s="67"/>
      <c r="DG517" s="67">
        <v>0</v>
      </c>
      <c r="DH517" s="67">
        <v>0</v>
      </c>
      <c r="DI517" s="67">
        <v>0</v>
      </c>
      <c r="DJ517" s="67"/>
      <c r="DK517" s="67">
        <v>0</v>
      </c>
      <c r="DL517" s="67">
        <v>0</v>
      </c>
      <c r="DM517" s="67">
        <v>0</v>
      </c>
      <c r="DN517" s="67"/>
      <c r="DO517" s="67"/>
      <c r="DP517" s="67"/>
      <c r="DQ517" s="67">
        <v>0</v>
      </c>
      <c r="DR517" s="67">
        <v>0</v>
      </c>
      <c r="DS517" s="67"/>
      <c r="DT517" s="67"/>
      <c r="DU517" s="67">
        <v>0</v>
      </c>
      <c r="DV517" s="67">
        <v>0</v>
      </c>
      <c r="DW517" s="67">
        <v>0</v>
      </c>
      <c r="DX517" s="67">
        <v>0</v>
      </c>
      <c r="DY517" s="67"/>
      <c r="DZ517" s="67">
        <v>0</v>
      </c>
      <c r="EA517" s="67"/>
      <c r="EB517" s="67">
        <v>0</v>
      </c>
      <c r="EC517" s="67"/>
      <c r="ED517" s="67">
        <v>0</v>
      </c>
      <c r="EE517" s="67"/>
      <c r="EF517" s="67">
        <v>0</v>
      </c>
      <c r="EG517" s="67"/>
      <c r="EH517" s="67"/>
      <c r="EI517" s="67"/>
      <c r="EJ517" s="67"/>
      <c r="EK517" s="67"/>
      <c r="EL517" s="67"/>
      <c r="EM517" s="67"/>
      <c r="EN517" s="67"/>
      <c r="EO517" s="67"/>
      <c r="EP517" s="67">
        <v>0</v>
      </c>
      <c r="EQ517" s="67">
        <v>0</v>
      </c>
      <c r="ER517" s="67">
        <v>0</v>
      </c>
      <c r="ES517" s="67"/>
      <c r="ET517">
        <v>0</v>
      </c>
      <c r="EX517" s="67"/>
      <c r="EY517" s="67"/>
      <c r="EZ517" s="67"/>
      <c r="FA517" s="67">
        <v>0</v>
      </c>
      <c r="FB517" s="67">
        <v>0</v>
      </c>
      <c r="FC517" s="67"/>
      <c r="FD517" s="67"/>
      <c r="FE517" s="67"/>
      <c r="FF517" s="67"/>
      <c r="FG517" s="67"/>
      <c r="FH517" s="67"/>
      <c r="FI517" s="67" t="s">
        <v>1734</v>
      </c>
    </row>
    <row r="518" spans="2:165" ht="24" x14ac:dyDescent="0.2">
      <c r="B518" s="67" t="s">
        <v>1355</v>
      </c>
      <c r="C518" s="67"/>
      <c r="D518" s="67" t="s">
        <v>1356</v>
      </c>
      <c r="E518" s="67" t="s">
        <v>13</v>
      </c>
      <c r="F518" s="67" t="s">
        <v>1331</v>
      </c>
      <c r="G518" s="67" t="s">
        <v>694</v>
      </c>
      <c r="H518" s="67"/>
      <c r="I518" s="67" t="s">
        <v>43</v>
      </c>
      <c r="J518" s="67"/>
      <c r="K518" s="67"/>
      <c r="L518" s="67" t="s">
        <v>1242</v>
      </c>
      <c r="M518" s="67" t="s">
        <v>752</v>
      </c>
      <c r="N518" s="67"/>
      <c r="O518" s="67" t="s">
        <v>1605</v>
      </c>
      <c r="P518" s="67" t="s">
        <v>942</v>
      </c>
      <c r="Q518" s="67">
        <v>0</v>
      </c>
      <c r="R518" s="67">
        <v>0</v>
      </c>
      <c r="S518" s="67">
        <v>0</v>
      </c>
      <c r="T518" s="67">
        <v>0</v>
      </c>
      <c r="U518" s="67">
        <v>0</v>
      </c>
      <c r="V518" s="67">
        <v>0</v>
      </c>
      <c r="W518" s="67">
        <v>0</v>
      </c>
      <c r="X518" s="67">
        <v>0</v>
      </c>
      <c r="Y518" s="67">
        <v>0</v>
      </c>
      <c r="Z518" s="67">
        <v>0</v>
      </c>
      <c r="AA518" s="67">
        <v>0</v>
      </c>
      <c r="AB518" s="67">
        <v>0</v>
      </c>
      <c r="AC518" s="67">
        <v>0</v>
      </c>
      <c r="AD518" s="67">
        <v>0</v>
      </c>
      <c r="AE518" s="67">
        <v>0</v>
      </c>
      <c r="AF518" s="67">
        <v>0</v>
      </c>
      <c r="AG518" s="67">
        <v>0</v>
      </c>
      <c r="AH518" s="67">
        <v>0</v>
      </c>
      <c r="AI518" s="67">
        <v>0</v>
      </c>
      <c r="AJ518" s="67">
        <v>0</v>
      </c>
      <c r="AK518" s="67">
        <v>0</v>
      </c>
      <c r="AL518" s="67">
        <v>0</v>
      </c>
      <c r="AM518" s="67">
        <v>0</v>
      </c>
      <c r="AN518" s="67">
        <v>0</v>
      </c>
      <c r="AO518" s="67">
        <v>0</v>
      </c>
      <c r="AP518" s="67">
        <v>0</v>
      </c>
      <c r="AQ518" s="67">
        <v>0</v>
      </c>
      <c r="AR518" s="67">
        <v>0</v>
      </c>
      <c r="AS518" s="67">
        <v>0</v>
      </c>
      <c r="AT518" s="67"/>
      <c r="AU518" s="67"/>
      <c r="AV518" s="67"/>
      <c r="AW518" s="67">
        <v>0</v>
      </c>
      <c r="AX518" s="67">
        <v>0</v>
      </c>
      <c r="AY518" s="67"/>
      <c r="AZ518" s="67"/>
      <c r="BA518" s="67"/>
      <c r="BB518" s="67"/>
      <c r="BC518" s="67"/>
      <c r="BD518" s="67"/>
      <c r="BE518" s="67"/>
      <c r="BG518" s="67"/>
      <c r="BH518" s="67"/>
      <c r="BI518" s="67"/>
      <c r="BJ518" s="67">
        <v>0</v>
      </c>
      <c r="BK518" s="67"/>
      <c r="BL518" s="67"/>
      <c r="BP518" s="67"/>
      <c r="BQ518" s="67">
        <v>0</v>
      </c>
      <c r="BR518" s="67"/>
      <c r="BS518" s="67"/>
      <c r="BT518" s="67">
        <v>0</v>
      </c>
      <c r="BU518" s="67">
        <v>0</v>
      </c>
      <c r="BV518" s="67"/>
      <c r="BW518" s="67"/>
      <c r="BX518" s="67">
        <v>0</v>
      </c>
      <c r="BY518" s="67">
        <v>0</v>
      </c>
      <c r="BZ518" s="67">
        <v>0</v>
      </c>
      <c r="CA518" s="67"/>
      <c r="CB518" s="67">
        <v>0</v>
      </c>
      <c r="CC518" s="67"/>
      <c r="CD518" s="67"/>
      <c r="CE518" s="67">
        <v>0</v>
      </c>
      <c r="CF518" s="67"/>
      <c r="CG518" s="67"/>
      <c r="CH518" s="67"/>
      <c r="CI518" s="67"/>
      <c r="CJ518" s="67"/>
      <c r="CK518" s="67">
        <v>0</v>
      </c>
      <c r="CL518" s="67"/>
      <c r="CM518" s="67"/>
      <c r="CN518" s="67"/>
      <c r="CO518" s="67">
        <v>0</v>
      </c>
      <c r="CP518" s="67"/>
      <c r="CQ518" s="67"/>
      <c r="CR518" s="67"/>
      <c r="CS518" s="67"/>
      <c r="CT518" s="67"/>
      <c r="CU518" s="67">
        <v>0</v>
      </c>
      <c r="CV518" s="67"/>
      <c r="CW518" s="67"/>
      <c r="CX518" s="67"/>
      <c r="CY518" s="67">
        <v>0</v>
      </c>
      <c r="CZ518" s="67"/>
      <c r="DA518" s="67"/>
      <c r="DB518" s="67"/>
      <c r="DC518" s="67"/>
      <c r="DF518" s="67"/>
      <c r="DG518" s="67">
        <v>0</v>
      </c>
      <c r="DH518" s="67">
        <v>0</v>
      </c>
      <c r="DI518" s="67">
        <v>0</v>
      </c>
      <c r="DJ518" s="67"/>
      <c r="DK518" s="67">
        <v>0</v>
      </c>
      <c r="DL518" s="67">
        <v>0</v>
      </c>
      <c r="DM518" s="67">
        <v>0</v>
      </c>
      <c r="DN518" s="67"/>
      <c r="DO518" s="67"/>
      <c r="DP518" s="67"/>
      <c r="DQ518" s="67">
        <v>0</v>
      </c>
      <c r="DR518" s="67">
        <v>0</v>
      </c>
      <c r="DS518" s="67"/>
      <c r="DT518" s="67"/>
      <c r="DU518" s="67">
        <v>0</v>
      </c>
      <c r="DV518" s="67">
        <v>0</v>
      </c>
      <c r="DW518" s="67">
        <v>0</v>
      </c>
      <c r="DX518" s="67">
        <v>0</v>
      </c>
      <c r="DY518" s="67"/>
      <c r="DZ518" s="67">
        <v>0</v>
      </c>
      <c r="EA518" s="67"/>
      <c r="EB518" s="67">
        <v>0</v>
      </c>
      <c r="EC518" s="67"/>
      <c r="ED518" s="67">
        <v>0</v>
      </c>
      <c r="EE518" s="67"/>
      <c r="EF518" s="67">
        <v>0</v>
      </c>
      <c r="EG518" s="67"/>
      <c r="EH518" s="67"/>
      <c r="EI518" s="67"/>
      <c r="EJ518" s="67"/>
      <c r="EK518" s="67"/>
      <c r="EL518" s="67"/>
      <c r="EM518" s="67"/>
      <c r="EN518" s="67"/>
      <c r="EO518" s="67"/>
      <c r="EP518" s="67">
        <v>0</v>
      </c>
      <c r="EQ518" s="67">
        <v>0</v>
      </c>
      <c r="ER518" s="67">
        <v>0</v>
      </c>
      <c r="ES518" s="67"/>
      <c r="ET518">
        <v>0</v>
      </c>
      <c r="EX518" s="67"/>
      <c r="EY518" s="67"/>
      <c r="EZ518" s="67"/>
      <c r="FA518" s="67">
        <v>0</v>
      </c>
      <c r="FB518" s="67">
        <v>0</v>
      </c>
      <c r="FC518" s="67"/>
      <c r="FD518" s="67"/>
      <c r="FE518" s="67"/>
      <c r="FF518" s="67"/>
      <c r="FG518" s="67"/>
      <c r="FH518" s="67"/>
      <c r="FI518" s="67" t="s">
        <v>1734</v>
      </c>
    </row>
    <row r="519" spans="2:165" ht="24" x14ac:dyDescent="0.2">
      <c r="B519" s="67" t="s">
        <v>1357</v>
      </c>
      <c r="C519" s="67"/>
      <c r="D519" s="67" t="s">
        <v>1358</v>
      </c>
      <c r="E519" s="67" t="s">
        <v>889</v>
      </c>
      <c r="F519" s="67" t="s">
        <v>1331</v>
      </c>
      <c r="G519" s="67" t="s">
        <v>694</v>
      </c>
      <c r="H519" s="67"/>
      <c r="I519" s="67" t="s">
        <v>43</v>
      </c>
      <c r="J519" s="67"/>
      <c r="K519" s="67"/>
      <c r="L519" s="67" t="s">
        <v>1242</v>
      </c>
      <c r="M519" s="67" t="s">
        <v>752</v>
      </c>
      <c r="N519" s="67"/>
      <c r="O519" s="67" t="s">
        <v>1605</v>
      </c>
      <c r="P519" s="67" t="s">
        <v>942</v>
      </c>
      <c r="Q519" s="67">
        <v>0</v>
      </c>
      <c r="R519" s="67">
        <v>0</v>
      </c>
      <c r="S519" s="67">
        <v>0</v>
      </c>
      <c r="T519" s="67">
        <v>0</v>
      </c>
      <c r="U519" s="67">
        <v>0</v>
      </c>
      <c r="V519" s="67">
        <v>0</v>
      </c>
      <c r="W519" s="67">
        <v>0</v>
      </c>
      <c r="X519" s="67">
        <v>0</v>
      </c>
      <c r="Y519" s="67">
        <v>0</v>
      </c>
      <c r="Z519" s="67">
        <v>0</v>
      </c>
      <c r="AA519" s="67">
        <v>0</v>
      </c>
      <c r="AB519" s="67">
        <v>0</v>
      </c>
      <c r="AC519" s="67">
        <v>0</v>
      </c>
      <c r="AD519" s="67">
        <v>0</v>
      </c>
      <c r="AE519" s="67">
        <v>0</v>
      </c>
      <c r="AF519" s="67">
        <v>0</v>
      </c>
      <c r="AG519" s="67">
        <v>0</v>
      </c>
      <c r="AH519" s="67">
        <v>0</v>
      </c>
      <c r="AI519" s="67">
        <v>0</v>
      </c>
      <c r="AJ519" s="67">
        <v>0</v>
      </c>
      <c r="AK519" s="67">
        <v>0</v>
      </c>
      <c r="AL519" s="67">
        <v>0</v>
      </c>
      <c r="AM519" s="67">
        <v>0</v>
      </c>
      <c r="AN519" s="67">
        <v>0</v>
      </c>
      <c r="AO519" s="67">
        <v>0</v>
      </c>
      <c r="AP519" s="67">
        <v>0</v>
      </c>
      <c r="AQ519" s="67">
        <v>0</v>
      </c>
      <c r="AR519" s="67">
        <v>0</v>
      </c>
      <c r="AS519" s="67">
        <v>0</v>
      </c>
      <c r="AT519" s="67"/>
      <c r="AU519" s="67"/>
      <c r="AV519" s="67"/>
      <c r="AW519" s="67">
        <v>0</v>
      </c>
      <c r="AX519" s="67">
        <v>0</v>
      </c>
      <c r="AY519" s="67"/>
      <c r="AZ519" s="67"/>
      <c r="BA519" s="67"/>
      <c r="BB519" s="67"/>
      <c r="BC519" s="67"/>
      <c r="BD519" s="67"/>
      <c r="BE519" s="67"/>
      <c r="BG519" s="67"/>
      <c r="BH519" s="67"/>
      <c r="BI519" s="67"/>
      <c r="BJ519" s="67">
        <v>0</v>
      </c>
      <c r="BK519" s="67"/>
      <c r="BL519" s="67"/>
      <c r="BP519" s="67"/>
      <c r="BQ519" s="67">
        <v>0</v>
      </c>
      <c r="BR519" s="67"/>
      <c r="BS519" s="67"/>
      <c r="BT519" s="67">
        <v>0</v>
      </c>
      <c r="BU519" s="67">
        <v>0</v>
      </c>
      <c r="BV519" s="67"/>
      <c r="BW519" s="67"/>
      <c r="BX519" s="67">
        <v>0</v>
      </c>
      <c r="BY519" s="67">
        <v>0</v>
      </c>
      <c r="BZ519" s="67">
        <v>0</v>
      </c>
      <c r="CA519" s="67"/>
      <c r="CB519" s="67">
        <v>0</v>
      </c>
      <c r="CC519" s="67"/>
      <c r="CD519" s="67"/>
      <c r="CE519" s="67">
        <v>0</v>
      </c>
      <c r="CF519" s="67"/>
      <c r="CG519" s="67"/>
      <c r="CH519" s="67"/>
      <c r="CI519" s="67"/>
      <c r="CJ519" s="67"/>
      <c r="CK519" s="67">
        <v>0</v>
      </c>
      <c r="CL519" s="67"/>
      <c r="CM519" s="67"/>
      <c r="CN519" s="67"/>
      <c r="CO519" s="67">
        <v>0</v>
      </c>
      <c r="CP519" s="67"/>
      <c r="CQ519" s="67"/>
      <c r="CR519" s="67"/>
      <c r="CS519" s="67"/>
      <c r="CT519" s="67"/>
      <c r="CU519" s="67">
        <v>0</v>
      </c>
      <c r="CV519" s="67"/>
      <c r="CW519" s="67"/>
      <c r="CX519" s="67"/>
      <c r="CY519" s="67">
        <v>0</v>
      </c>
      <c r="CZ519" s="67"/>
      <c r="DA519" s="67"/>
      <c r="DB519" s="67"/>
      <c r="DC519" s="67"/>
      <c r="DF519" s="67"/>
      <c r="DG519" s="67">
        <v>0</v>
      </c>
      <c r="DH519" s="67">
        <v>0</v>
      </c>
      <c r="DI519" s="67">
        <v>0</v>
      </c>
      <c r="DJ519" s="67"/>
      <c r="DK519" s="67">
        <v>0</v>
      </c>
      <c r="DL519" s="67">
        <v>0</v>
      </c>
      <c r="DM519" s="67">
        <v>0</v>
      </c>
      <c r="DN519" s="67"/>
      <c r="DO519" s="67"/>
      <c r="DP519" s="67"/>
      <c r="DQ519" s="67">
        <v>0</v>
      </c>
      <c r="DR519" s="67">
        <v>0</v>
      </c>
      <c r="DS519" s="67"/>
      <c r="DT519" s="67"/>
      <c r="DU519" s="67">
        <v>0</v>
      </c>
      <c r="DV519" s="67">
        <v>0</v>
      </c>
      <c r="DW519" s="67">
        <v>0</v>
      </c>
      <c r="DX519" s="67">
        <v>0</v>
      </c>
      <c r="DY519" s="67"/>
      <c r="DZ519" s="67">
        <v>0</v>
      </c>
      <c r="EA519" s="67"/>
      <c r="EB519" s="67">
        <v>0</v>
      </c>
      <c r="EC519" s="67"/>
      <c r="ED519" s="67">
        <v>0</v>
      </c>
      <c r="EE519" s="67"/>
      <c r="EF519" s="67">
        <v>0</v>
      </c>
      <c r="EG519" s="67"/>
      <c r="EH519" s="67"/>
      <c r="EI519" s="67"/>
      <c r="EJ519" s="67"/>
      <c r="EK519" s="67"/>
      <c r="EL519" s="67"/>
      <c r="EM519" s="67"/>
      <c r="EN519" s="67"/>
      <c r="EO519" s="67"/>
      <c r="EP519" s="67">
        <v>0</v>
      </c>
      <c r="EQ519" s="67">
        <v>0</v>
      </c>
      <c r="ER519" s="67">
        <v>0</v>
      </c>
      <c r="ES519" s="67"/>
      <c r="ET519">
        <v>0</v>
      </c>
      <c r="EX519" s="67"/>
      <c r="EY519" s="67"/>
      <c r="EZ519" s="67"/>
      <c r="FA519" s="67">
        <v>0</v>
      </c>
      <c r="FB519" s="67">
        <v>0</v>
      </c>
      <c r="FC519" s="67"/>
      <c r="FD519" s="67"/>
      <c r="FE519" s="67"/>
      <c r="FF519" s="67"/>
      <c r="FG519" s="67"/>
      <c r="FH519" s="67"/>
      <c r="FI519" s="67" t="s">
        <v>1734</v>
      </c>
    </row>
    <row r="520" spans="2:165" ht="24" x14ac:dyDescent="0.2">
      <c r="B520" s="67" t="s">
        <v>1359</v>
      </c>
      <c r="C520" s="67"/>
      <c r="D520" s="67" t="s">
        <v>1360</v>
      </c>
      <c r="E520" s="67" t="s">
        <v>13</v>
      </c>
      <c r="F520" s="67" t="s">
        <v>1331</v>
      </c>
      <c r="G520" s="67" t="s">
        <v>694</v>
      </c>
      <c r="H520" s="67"/>
      <c r="I520" s="67" t="s">
        <v>43</v>
      </c>
      <c r="J520" s="67"/>
      <c r="K520" s="67"/>
      <c r="L520" s="67" t="s">
        <v>1242</v>
      </c>
      <c r="M520" s="67" t="s">
        <v>752</v>
      </c>
      <c r="N520" s="67"/>
      <c r="O520" s="67" t="s">
        <v>1605</v>
      </c>
      <c r="P520" s="67"/>
      <c r="Q520" s="67">
        <v>0</v>
      </c>
      <c r="R520" s="67">
        <v>0</v>
      </c>
      <c r="S520" s="67">
        <v>0</v>
      </c>
      <c r="T520" s="67">
        <v>0</v>
      </c>
      <c r="U520" s="67">
        <v>0</v>
      </c>
      <c r="V520" s="67">
        <v>0</v>
      </c>
      <c r="W520" s="67">
        <v>0</v>
      </c>
      <c r="X520" s="67">
        <v>0</v>
      </c>
      <c r="Y520" s="67">
        <v>0</v>
      </c>
      <c r="Z520" s="67">
        <v>0</v>
      </c>
      <c r="AA520" s="67">
        <v>0</v>
      </c>
      <c r="AB520" s="67">
        <v>0</v>
      </c>
      <c r="AC520" s="67">
        <v>0</v>
      </c>
      <c r="AD520" s="67">
        <v>0</v>
      </c>
      <c r="AE520" s="67">
        <v>0</v>
      </c>
      <c r="AF520" s="67">
        <v>0</v>
      </c>
      <c r="AG520" s="67">
        <v>0</v>
      </c>
      <c r="AH520" s="67">
        <v>0</v>
      </c>
      <c r="AI520" s="67">
        <v>0</v>
      </c>
      <c r="AJ520" s="67">
        <v>0</v>
      </c>
      <c r="AK520" s="67">
        <v>0</v>
      </c>
      <c r="AL520" s="67">
        <v>0</v>
      </c>
      <c r="AM520" s="67">
        <v>0</v>
      </c>
      <c r="AN520" s="67">
        <v>0</v>
      </c>
      <c r="AO520" s="67">
        <v>0</v>
      </c>
      <c r="AP520" s="67">
        <v>0</v>
      </c>
      <c r="AQ520" s="67">
        <v>0</v>
      </c>
      <c r="AR520" s="67">
        <v>0</v>
      </c>
      <c r="AS520" s="67">
        <v>0</v>
      </c>
      <c r="AT520" s="67"/>
      <c r="AU520" s="67"/>
      <c r="AV520" s="67"/>
      <c r="AW520" s="67">
        <v>0</v>
      </c>
      <c r="AX520" s="67">
        <v>0</v>
      </c>
      <c r="AY520" s="67"/>
      <c r="AZ520" s="67"/>
      <c r="BA520" s="67"/>
      <c r="BB520" s="67"/>
      <c r="BC520" s="67"/>
      <c r="BD520" s="67"/>
      <c r="BE520" s="67"/>
      <c r="BG520" s="67"/>
      <c r="BH520" s="67"/>
      <c r="BI520" s="67"/>
      <c r="BJ520" s="67">
        <v>0</v>
      </c>
      <c r="BK520" s="67"/>
      <c r="BL520" s="67"/>
      <c r="BP520" s="67"/>
      <c r="BQ520" s="67">
        <v>0</v>
      </c>
      <c r="BR520" s="67"/>
      <c r="BS520" s="67"/>
      <c r="BT520" s="67">
        <v>0</v>
      </c>
      <c r="BU520" s="67">
        <v>0</v>
      </c>
      <c r="BV520" s="67"/>
      <c r="BW520" s="67"/>
      <c r="BX520" s="67">
        <v>0</v>
      </c>
      <c r="BY520" s="67">
        <v>0</v>
      </c>
      <c r="BZ520" s="67">
        <v>0</v>
      </c>
      <c r="CA520" s="67"/>
      <c r="CB520" s="67">
        <v>0</v>
      </c>
      <c r="CC520" s="67"/>
      <c r="CD520" s="67"/>
      <c r="CE520" s="67">
        <v>0</v>
      </c>
      <c r="CF520" s="67"/>
      <c r="CG520" s="67"/>
      <c r="CH520" s="67"/>
      <c r="CI520" s="67"/>
      <c r="CJ520" s="67"/>
      <c r="CK520" s="67">
        <v>0</v>
      </c>
      <c r="CL520" s="67"/>
      <c r="CM520" s="67"/>
      <c r="CN520" s="67"/>
      <c r="CO520" s="67">
        <v>0</v>
      </c>
      <c r="CP520" s="67"/>
      <c r="CQ520" s="67"/>
      <c r="CR520" s="67"/>
      <c r="CS520" s="67"/>
      <c r="CT520" s="67"/>
      <c r="CU520" s="67">
        <v>0</v>
      </c>
      <c r="CV520" s="67"/>
      <c r="CW520" s="67"/>
      <c r="CX520" s="67"/>
      <c r="CY520" s="67">
        <v>0</v>
      </c>
      <c r="CZ520" s="67"/>
      <c r="DA520" s="67"/>
      <c r="DB520" s="67"/>
      <c r="DC520" s="67"/>
      <c r="DF520" s="67"/>
      <c r="DG520" s="67">
        <v>0</v>
      </c>
      <c r="DH520" s="67">
        <v>0</v>
      </c>
      <c r="DI520" s="67">
        <v>0</v>
      </c>
      <c r="DJ520" s="67"/>
      <c r="DK520" s="67">
        <v>0</v>
      </c>
      <c r="DL520" s="67">
        <v>0</v>
      </c>
      <c r="DM520" s="67">
        <v>0</v>
      </c>
      <c r="DN520" s="67"/>
      <c r="DO520" s="67"/>
      <c r="DP520" s="67"/>
      <c r="DQ520" s="67">
        <v>0</v>
      </c>
      <c r="DR520" s="67">
        <v>0</v>
      </c>
      <c r="DS520" s="67"/>
      <c r="DT520" s="67"/>
      <c r="DU520" s="67">
        <v>0</v>
      </c>
      <c r="DV520" s="67">
        <v>0</v>
      </c>
      <c r="DW520" s="67">
        <v>0</v>
      </c>
      <c r="DX520" s="67">
        <v>0</v>
      </c>
      <c r="DY520" s="67"/>
      <c r="DZ520" s="67">
        <v>0</v>
      </c>
      <c r="EA520" s="67"/>
      <c r="EB520" s="67">
        <v>0</v>
      </c>
      <c r="EC520" s="67"/>
      <c r="ED520" s="67">
        <v>0</v>
      </c>
      <c r="EE520" s="67"/>
      <c r="EF520" s="67">
        <v>0</v>
      </c>
      <c r="EG520" s="67"/>
      <c r="EH520" s="67"/>
      <c r="EI520" s="67"/>
      <c r="EJ520" s="67"/>
      <c r="EK520" s="67"/>
      <c r="EL520" s="67"/>
      <c r="EM520" s="67"/>
      <c r="EN520" s="67"/>
      <c r="EO520" s="67"/>
      <c r="EP520" s="67">
        <v>0</v>
      </c>
      <c r="EQ520" s="67">
        <v>0</v>
      </c>
      <c r="ER520" s="67">
        <v>0</v>
      </c>
      <c r="ES520" s="67"/>
      <c r="ET520">
        <v>0</v>
      </c>
      <c r="EX520" s="67"/>
      <c r="EY520" s="67"/>
      <c r="EZ520" s="67"/>
      <c r="FA520" s="67">
        <v>0</v>
      </c>
      <c r="FB520" s="67">
        <v>0</v>
      </c>
      <c r="FC520" s="67"/>
      <c r="FD520" s="67"/>
      <c r="FE520" s="67"/>
      <c r="FF520" s="67"/>
      <c r="FG520" s="67"/>
      <c r="FH520" s="67"/>
      <c r="FI520" s="67" t="s">
        <v>1734</v>
      </c>
    </row>
    <row r="521" spans="2:165" ht="24" x14ac:dyDescent="0.2">
      <c r="B521" s="67" t="s">
        <v>1361</v>
      </c>
      <c r="C521" s="67"/>
      <c r="D521" s="67" t="s">
        <v>1362</v>
      </c>
      <c r="E521" s="67" t="s">
        <v>889</v>
      </c>
      <c r="F521" s="67" t="s">
        <v>1331</v>
      </c>
      <c r="G521" s="67" t="s">
        <v>694</v>
      </c>
      <c r="H521" s="67"/>
      <c r="I521" s="67" t="s">
        <v>43</v>
      </c>
      <c r="J521" s="67"/>
      <c r="K521" s="67"/>
      <c r="L521" s="67" t="s">
        <v>1242</v>
      </c>
      <c r="M521" s="67" t="s">
        <v>752</v>
      </c>
      <c r="N521" s="67"/>
      <c r="O521" s="67" t="s">
        <v>1599</v>
      </c>
      <c r="P521" s="67" t="s">
        <v>942</v>
      </c>
      <c r="Q521" s="67">
        <v>220</v>
      </c>
      <c r="R521" s="67">
        <v>0</v>
      </c>
      <c r="S521" s="67">
        <v>0</v>
      </c>
      <c r="T521" s="67">
        <v>0</v>
      </c>
      <c r="U521" s="67">
        <v>0</v>
      </c>
      <c r="V521" s="67">
        <v>0</v>
      </c>
      <c r="W521" s="67">
        <v>0</v>
      </c>
      <c r="X521" s="67">
        <v>0</v>
      </c>
      <c r="Y521" s="67">
        <v>0</v>
      </c>
      <c r="Z521" s="67">
        <v>0</v>
      </c>
      <c r="AA521" s="67">
        <v>0</v>
      </c>
      <c r="AB521" s="67">
        <v>0</v>
      </c>
      <c r="AC521" s="67">
        <v>0</v>
      </c>
      <c r="AD521" s="67">
        <v>0</v>
      </c>
      <c r="AE521" s="67">
        <v>0</v>
      </c>
      <c r="AF521" s="67">
        <v>0</v>
      </c>
      <c r="AG521" s="67">
        <v>0</v>
      </c>
      <c r="AH521" s="67">
        <v>0</v>
      </c>
      <c r="AI521" s="67">
        <v>0</v>
      </c>
      <c r="AJ521" s="67">
        <v>0</v>
      </c>
      <c r="AK521" s="67">
        <v>0</v>
      </c>
      <c r="AL521" s="67">
        <v>0</v>
      </c>
      <c r="AM521" s="67">
        <v>0</v>
      </c>
      <c r="AN521" s="67">
        <v>0</v>
      </c>
      <c r="AO521" s="67">
        <v>220</v>
      </c>
      <c r="AP521" s="67">
        <v>0</v>
      </c>
      <c r="AQ521" s="67">
        <v>0</v>
      </c>
      <c r="AR521" s="67">
        <v>0</v>
      </c>
      <c r="AS521" s="67">
        <v>0</v>
      </c>
      <c r="AT521" s="67"/>
      <c r="AU521" s="67"/>
      <c r="AV521" s="67"/>
      <c r="AW521" s="67">
        <v>0</v>
      </c>
      <c r="AX521" s="67">
        <v>0</v>
      </c>
      <c r="AY521" s="67"/>
      <c r="AZ521" s="67"/>
      <c r="BA521" s="67"/>
      <c r="BB521" s="67"/>
      <c r="BC521" s="67"/>
      <c r="BD521" s="67"/>
      <c r="BE521" s="67"/>
      <c r="BG521" s="67"/>
      <c r="BH521" s="67"/>
      <c r="BI521" s="67"/>
      <c r="BJ521" s="67">
        <v>0</v>
      </c>
      <c r="BK521" s="67"/>
      <c r="BL521" s="67"/>
      <c r="BP521" s="67"/>
      <c r="BQ521" s="67">
        <v>0</v>
      </c>
      <c r="BR521" s="67"/>
      <c r="BS521" s="67"/>
      <c r="BT521" s="67">
        <v>0</v>
      </c>
      <c r="BU521" s="67">
        <v>0</v>
      </c>
      <c r="BV521" s="67"/>
      <c r="BW521" s="67"/>
      <c r="BX521" s="67">
        <v>0</v>
      </c>
      <c r="BY521" s="67">
        <v>0</v>
      </c>
      <c r="BZ521" s="67">
        <v>0</v>
      </c>
      <c r="CA521" s="67"/>
      <c r="CB521" s="67">
        <v>0</v>
      </c>
      <c r="CC521" s="67"/>
      <c r="CD521" s="67"/>
      <c r="CE521" s="67">
        <v>0</v>
      </c>
      <c r="CF521" s="67"/>
      <c r="CG521" s="67"/>
      <c r="CH521" s="67"/>
      <c r="CI521" s="67"/>
      <c r="CJ521" s="67"/>
      <c r="CK521" s="67">
        <v>0</v>
      </c>
      <c r="CL521" s="67"/>
      <c r="CM521" s="67"/>
      <c r="CN521" s="67"/>
      <c r="CO521" s="67">
        <v>0</v>
      </c>
      <c r="CP521" s="67"/>
      <c r="CQ521" s="67"/>
      <c r="CR521" s="67"/>
      <c r="CS521" s="67"/>
      <c r="CT521" s="67"/>
      <c r="CU521" s="67">
        <v>0</v>
      </c>
      <c r="CV521" s="67"/>
      <c r="CW521" s="67"/>
      <c r="CX521" s="67"/>
      <c r="CY521" s="67">
        <v>0</v>
      </c>
      <c r="CZ521" s="67"/>
      <c r="DA521" s="67"/>
      <c r="DB521" s="67"/>
      <c r="DC521" s="67"/>
      <c r="DF521" s="67"/>
      <c r="DG521" s="67">
        <v>0</v>
      </c>
      <c r="DH521" s="67">
        <v>0</v>
      </c>
      <c r="DI521" s="67">
        <v>0</v>
      </c>
      <c r="DJ521" s="67"/>
      <c r="DK521" s="67">
        <v>0</v>
      </c>
      <c r="DL521" s="67">
        <v>0</v>
      </c>
      <c r="DM521" s="67">
        <v>0</v>
      </c>
      <c r="DN521" s="67"/>
      <c r="DO521" s="67"/>
      <c r="DP521" s="67"/>
      <c r="DQ521" s="67">
        <v>0</v>
      </c>
      <c r="DR521" s="67">
        <v>0</v>
      </c>
      <c r="DS521" s="67"/>
      <c r="DT521" s="67"/>
      <c r="DU521" s="67">
        <v>0</v>
      </c>
      <c r="DV521" s="67">
        <v>0</v>
      </c>
      <c r="DW521" s="67">
        <v>0</v>
      </c>
      <c r="DX521" s="67">
        <v>0</v>
      </c>
      <c r="DY521" s="67"/>
      <c r="DZ521" s="67">
        <v>0</v>
      </c>
      <c r="EA521" s="67"/>
      <c r="EB521" s="67">
        <v>0</v>
      </c>
      <c r="EC521" s="67"/>
      <c r="ED521" s="67">
        <v>0</v>
      </c>
      <c r="EE521" s="67"/>
      <c r="EF521" s="67">
        <v>0</v>
      </c>
      <c r="EG521" s="67"/>
      <c r="EH521" s="67"/>
      <c r="EI521" s="67"/>
      <c r="EJ521" s="67"/>
      <c r="EK521" s="67"/>
      <c r="EL521" s="67"/>
      <c r="EM521" s="67"/>
      <c r="EN521" s="67"/>
      <c r="EO521" s="67"/>
      <c r="EP521" s="67">
        <v>0</v>
      </c>
      <c r="EQ521" s="67">
        <v>0</v>
      </c>
      <c r="ER521" s="67">
        <v>0</v>
      </c>
      <c r="ES521" s="67"/>
      <c r="ET521">
        <v>0</v>
      </c>
      <c r="EX521" s="67"/>
      <c r="EY521" s="67"/>
      <c r="EZ521" s="67"/>
      <c r="FA521" s="67">
        <v>220</v>
      </c>
      <c r="FB521" s="67">
        <v>0</v>
      </c>
      <c r="FC521" s="67"/>
      <c r="FD521" s="67"/>
      <c r="FE521" s="67"/>
      <c r="FF521" s="67"/>
      <c r="FG521" s="67"/>
      <c r="FH521" s="67"/>
      <c r="FI521" s="67" t="s">
        <v>1734</v>
      </c>
    </row>
    <row r="522" spans="2:165" ht="24" x14ac:dyDescent="0.2">
      <c r="B522" s="67" t="s">
        <v>1363</v>
      </c>
      <c r="C522" s="67"/>
      <c r="D522" s="67" t="s">
        <v>1364</v>
      </c>
      <c r="E522" s="67" t="s">
        <v>13</v>
      </c>
      <c r="F522" s="67" t="s">
        <v>1241</v>
      </c>
      <c r="G522" s="67" t="s">
        <v>694</v>
      </c>
      <c r="H522" s="67"/>
      <c r="I522" s="67" t="s">
        <v>41</v>
      </c>
      <c r="J522" s="67"/>
      <c r="K522" s="67"/>
      <c r="L522" s="67" t="s">
        <v>1242</v>
      </c>
      <c r="M522" s="67" t="s">
        <v>752</v>
      </c>
      <c r="N522" s="67"/>
      <c r="O522" s="67" t="s">
        <v>1605</v>
      </c>
      <c r="P522" s="67" t="s">
        <v>942</v>
      </c>
      <c r="Q522" s="67">
        <v>0</v>
      </c>
      <c r="R522" s="67">
        <v>0</v>
      </c>
      <c r="S522" s="67">
        <v>0</v>
      </c>
      <c r="T522" s="67">
        <v>0</v>
      </c>
      <c r="U522" s="67">
        <v>0</v>
      </c>
      <c r="V522" s="67">
        <v>0</v>
      </c>
      <c r="W522" s="67">
        <v>0</v>
      </c>
      <c r="X522" s="67">
        <v>0</v>
      </c>
      <c r="Y522" s="67">
        <v>0</v>
      </c>
      <c r="Z522" s="67">
        <v>0</v>
      </c>
      <c r="AA522" s="67">
        <v>0</v>
      </c>
      <c r="AB522" s="67">
        <v>0</v>
      </c>
      <c r="AC522" s="67">
        <v>0</v>
      </c>
      <c r="AD522" s="67">
        <v>0</v>
      </c>
      <c r="AE522" s="67">
        <v>0</v>
      </c>
      <c r="AF522" s="67">
        <v>0</v>
      </c>
      <c r="AG522" s="67">
        <v>0</v>
      </c>
      <c r="AH522" s="67">
        <v>0</v>
      </c>
      <c r="AI522" s="67">
        <v>0</v>
      </c>
      <c r="AJ522" s="67">
        <v>0</v>
      </c>
      <c r="AK522" s="67">
        <v>0</v>
      </c>
      <c r="AL522" s="67">
        <v>0</v>
      </c>
      <c r="AM522" s="67">
        <v>0</v>
      </c>
      <c r="AN522" s="67">
        <v>0</v>
      </c>
      <c r="AO522" s="67">
        <v>0</v>
      </c>
      <c r="AP522" s="67">
        <v>0</v>
      </c>
      <c r="AQ522" s="67">
        <v>0</v>
      </c>
      <c r="AR522" s="67">
        <v>0</v>
      </c>
      <c r="AS522" s="67">
        <v>0</v>
      </c>
      <c r="AT522" s="67"/>
      <c r="AU522" s="67"/>
      <c r="AV522" s="67"/>
      <c r="AW522" s="67">
        <v>0</v>
      </c>
      <c r="AX522" s="67">
        <v>0</v>
      </c>
      <c r="AY522" s="67"/>
      <c r="AZ522" s="67"/>
      <c r="BA522" s="67"/>
      <c r="BB522" s="67"/>
      <c r="BC522" s="67"/>
      <c r="BD522" s="67"/>
      <c r="BE522" s="67"/>
      <c r="BG522" s="67"/>
      <c r="BH522" s="67"/>
      <c r="BI522" s="67"/>
      <c r="BJ522" s="67">
        <v>0</v>
      </c>
      <c r="BK522" s="67"/>
      <c r="BL522" s="67"/>
      <c r="BP522" s="67"/>
      <c r="BQ522" s="67">
        <v>0</v>
      </c>
      <c r="BR522" s="67"/>
      <c r="BS522" s="67"/>
      <c r="BT522" s="67">
        <v>0</v>
      </c>
      <c r="BU522" s="67">
        <v>0</v>
      </c>
      <c r="BV522" s="67"/>
      <c r="BW522" s="67"/>
      <c r="BX522" s="67">
        <v>0</v>
      </c>
      <c r="BY522" s="67">
        <v>0</v>
      </c>
      <c r="BZ522" s="67">
        <v>0</v>
      </c>
      <c r="CA522" s="67"/>
      <c r="CB522" s="67">
        <v>0</v>
      </c>
      <c r="CC522" s="67"/>
      <c r="CD522" s="67"/>
      <c r="CE522" s="67">
        <v>0</v>
      </c>
      <c r="CF522" s="67"/>
      <c r="CG522" s="67"/>
      <c r="CH522" s="67"/>
      <c r="CI522" s="67"/>
      <c r="CJ522" s="67"/>
      <c r="CK522" s="67">
        <v>0</v>
      </c>
      <c r="CL522" s="67"/>
      <c r="CM522" s="67"/>
      <c r="CN522" s="67"/>
      <c r="CO522" s="67">
        <v>0</v>
      </c>
      <c r="CP522" s="67"/>
      <c r="CQ522" s="67"/>
      <c r="CR522" s="67"/>
      <c r="CS522" s="67"/>
      <c r="CT522" s="67"/>
      <c r="CU522" s="67">
        <v>0</v>
      </c>
      <c r="CV522" s="67"/>
      <c r="CW522" s="67"/>
      <c r="CX522" s="67"/>
      <c r="CY522" s="67">
        <v>0</v>
      </c>
      <c r="CZ522" s="67"/>
      <c r="DA522" s="67"/>
      <c r="DB522" s="67"/>
      <c r="DC522" s="67"/>
      <c r="DF522" s="67"/>
      <c r="DG522" s="67">
        <v>0</v>
      </c>
      <c r="DH522" s="67">
        <v>0</v>
      </c>
      <c r="DI522" s="67">
        <v>0</v>
      </c>
      <c r="DJ522" s="67"/>
      <c r="DK522" s="67">
        <v>0</v>
      </c>
      <c r="DL522" s="67">
        <v>0</v>
      </c>
      <c r="DM522" s="67">
        <v>0</v>
      </c>
      <c r="DN522" s="67"/>
      <c r="DO522" s="67"/>
      <c r="DP522" s="67"/>
      <c r="DQ522" s="67">
        <v>0</v>
      </c>
      <c r="DR522" s="67">
        <v>0</v>
      </c>
      <c r="DS522" s="67"/>
      <c r="DT522" s="67"/>
      <c r="DU522" s="67">
        <v>0</v>
      </c>
      <c r="DV522" s="67">
        <v>0</v>
      </c>
      <c r="DW522" s="67">
        <v>0</v>
      </c>
      <c r="DX522" s="67">
        <v>0</v>
      </c>
      <c r="DY522" s="67"/>
      <c r="DZ522" s="67">
        <v>0</v>
      </c>
      <c r="EA522" s="67"/>
      <c r="EB522" s="67">
        <v>0</v>
      </c>
      <c r="EC522" s="67"/>
      <c r="ED522" s="67">
        <v>0</v>
      </c>
      <c r="EE522" s="67"/>
      <c r="EF522" s="67">
        <v>0</v>
      </c>
      <c r="EG522" s="67"/>
      <c r="EH522" s="67"/>
      <c r="EI522" s="67"/>
      <c r="EJ522" s="67"/>
      <c r="EK522" s="67"/>
      <c r="EL522" s="67"/>
      <c r="EM522" s="67"/>
      <c r="EN522" s="67"/>
      <c r="EO522" s="67"/>
      <c r="EP522" s="67">
        <v>0</v>
      </c>
      <c r="EQ522" s="67">
        <v>0</v>
      </c>
      <c r="ER522" s="67">
        <v>0</v>
      </c>
      <c r="ES522" s="67"/>
      <c r="ET522">
        <v>0</v>
      </c>
      <c r="EX522" s="67"/>
      <c r="EY522" s="67"/>
      <c r="EZ522" s="67"/>
      <c r="FA522" s="67">
        <v>0</v>
      </c>
      <c r="FB522" s="67">
        <v>0</v>
      </c>
      <c r="FC522" s="67"/>
      <c r="FD522" s="67"/>
      <c r="FE522" s="67"/>
      <c r="FF522" s="67"/>
      <c r="FG522" s="67"/>
      <c r="FH522" s="67"/>
      <c r="FI522" s="67" t="s">
        <v>1734</v>
      </c>
    </row>
    <row r="523" spans="2:165" ht="24" x14ac:dyDescent="0.2">
      <c r="B523" s="67" t="s">
        <v>1365</v>
      </c>
      <c r="C523" s="67"/>
      <c r="D523" s="67" t="s">
        <v>1366</v>
      </c>
      <c r="E523" s="67" t="s">
        <v>13</v>
      </c>
      <c r="F523" s="67" t="s">
        <v>1241</v>
      </c>
      <c r="G523" s="67" t="s">
        <v>694</v>
      </c>
      <c r="H523" s="67"/>
      <c r="I523" s="67" t="s">
        <v>41</v>
      </c>
      <c r="J523" s="67"/>
      <c r="K523" s="67"/>
      <c r="L523" s="67" t="s">
        <v>787</v>
      </c>
      <c r="M523" s="67" t="s">
        <v>752</v>
      </c>
      <c r="N523" s="67"/>
      <c r="O523" s="67" t="s">
        <v>1605</v>
      </c>
      <c r="P523" s="67" t="s">
        <v>942</v>
      </c>
      <c r="Q523" s="67">
        <v>0</v>
      </c>
      <c r="R523" s="67">
        <v>0</v>
      </c>
      <c r="S523" s="67">
        <v>0</v>
      </c>
      <c r="T523" s="67">
        <v>0</v>
      </c>
      <c r="U523" s="67">
        <v>0</v>
      </c>
      <c r="V523" s="67">
        <v>0</v>
      </c>
      <c r="W523" s="67">
        <v>0</v>
      </c>
      <c r="X523" s="67">
        <v>0</v>
      </c>
      <c r="Y523" s="67">
        <v>0</v>
      </c>
      <c r="Z523" s="67">
        <v>0</v>
      </c>
      <c r="AA523" s="67">
        <v>0</v>
      </c>
      <c r="AB523" s="67">
        <v>0</v>
      </c>
      <c r="AC523" s="67">
        <v>0</v>
      </c>
      <c r="AD523" s="67">
        <v>0</v>
      </c>
      <c r="AE523" s="67">
        <v>0</v>
      </c>
      <c r="AF523" s="67">
        <v>0</v>
      </c>
      <c r="AG523" s="67">
        <v>0</v>
      </c>
      <c r="AH523" s="67">
        <v>0</v>
      </c>
      <c r="AI523" s="67">
        <v>0</v>
      </c>
      <c r="AJ523" s="67">
        <v>0</v>
      </c>
      <c r="AK523" s="67">
        <v>0</v>
      </c>
      <c r="AL523" s="67">
        <v>0</v>
      </c>
      <c r="AM523" s="67">
        <v>0</v>
      </c>
      <c r="AN523" s="67">
        <v>0</v>
      </c>
      <c r="AO523" s="67">
        <v>0</v>
      </c>
      <c r="AP523" s="67">
        <v>0</v>
      </c>
      <c r="AQ523" s="67">
        <v>0</v>
      </c>
      <c r="AR523" s="67">
        <v>0</v>
      </c>
      <c r="AS523" s="67">
        <v>0</v>
      </c>
      <c r="AT523" s="67"/>
      <c r="AU523" s="67"/>
      <c r="AV523" s="67"/>
      <c r="AW523" s="67">
        <v>0</v>
      </c>
      <c r="AX523" s="67">
        <v>0</v>
      </c>
      <c r="AY523" s="67"/>
      <c r="AZ523" s="67"/>
      <c r="BA523" s="67"/>
      <c r="BB523" s="67"/>
      <c r="BC523" s="67"/>
      <c r="BD523" s="67"/>
      <c r="BE523" s="67"/>
      <c r="BG523" s="67"/>
      <c r="BH523" s="67"/>
      <c r="BI523" s="67"/>
      <c r="BJ523" s="67">
        <v>0</v>
      </c>
      <c r="BK523" s="67"/>
      <c r="BL523" s="67"/>
      <c r="BP523" s="67"/>
      <c r="BQ523" s="67">
        <v>0</v>
      </c>
      <c r="BR523" s="67"/>
      <c r="BS523" s="67"/>
      <c r="BT523" s="67">
        <v>0</v>
      </c>
      <c r="BU523" s="67">
        <v>0</v>
      </c>
      <c r="BV523" s="67"/>
      <c r="BW523" s="67"/>
      <c r="BX523" s="67">
        <v>0</v>
      </c>
      <c r="BY523" s="67">
        <v>0</v>
      </c>
      <c r="BZ523" s="67">
        <v>0</v>
      </c>
      <c r="CA523" s="67"/>
      <c r="CB523" s="67">
        <v>0</v>
      </c>
      <c r="CC523" s="67"/>
      <c r="CD523" s="67"/>
      <c r="CE523" s="67">
        <v>0</v>
      </c>
      <c r="CF523" s="67"/>
      <c r="CG523" s="67"/>
      <c r="CH523" s="67"/>
      <c r="CI523" s="67"/>
      <c r="CJ523" s="67"/>
      <c r="CK523" s="67">
        <v>0</v>
      </c>
      <c r="CL523" s="67"/>
      <c r="CM523" s="67"/>
      <c r="CN523" s="67"/>
      <c r="CO523" s="67">
        <v>0</v>
      </c>
      <c r="CP523" s="67"/>
      <c r="CQ523" s="67"/>
      <c r="CR523" s="67"/>
      <c r="CS523" s="67"/>
      <c r="CT523" s="67"/>
      <c r="CU523" s="67">
        <v>0</v>
      </c>
      <c r="CV523" s="67"/>
      <c r="CW523" s="67"/>
      <c r="CX523" s="67"/>
      <c r="CY523" s="67">
        <v>0</v>
      </c>
      <c r="CZ523" s="67"/>
      <c r="DA523" s="67"/>
      <c r="DB523" s="67"/>
      <c r="DC523" s="67"/>
      <c r="DF523" s="67"/>
      <c r="DG523" s="67">
        <v>0</v>
      </c>
      <c r="DH523" s="67">
        <v>0</v>
      </c>
      <c r="DI523" s="67">
        <v>0</v>
      </c>
      <c r="DJ523" s="67"/>
      <c r="DK523" s="67">
        <v>0</v>
      </c>
      <c r="DL523" s="67">
        <v>0</v>
      </c>
      <c r="DM523" s="67">
        <v>0</v>
      </c>
      <c r="DN523" s="67"/>
      <c r="DO523" s="67"/>
      <c r="DP523" s="67"/>
      <c r="DQ523" s="67">
        <v>0</v>
      </c>
      <c r="DR523" s="67">
        <v>0</v>
      </c>
      <c r="DS523" s="67"/>
      <c r="DT523" s="67"/>
      <c r="DU523" s="67">
        <v>0</v>
      </c>
      <c r="DV523" s="67">
        <v>0</v>
      </c>
      <c r="DW523" s="67">
        <v>0</v>
      </c>
      <c r="DX523" s="67">
        <v>0</v>
      </c>
      <c r="DY523" s="67"/>
      <c r="DZ523" s="67">
        <v>0</v>
      </c>
      <c r="EA523" s="67"/>
      <c r="EB523" s="67">
        <v>0</v>
      </c>
      <c r="EC523" s="67"/>
      <c r="ED523" s="67">
        <v>0</v>
      </c>
      <c r="EE523" s="67"/>
      <c r="EF523" s="67">
        <v>0</v>
      </c>
      <c r="EG523" s="67"/>
      <c r="EH523" s="67"/>
      <c r="EI523" s="67"/>
      <c r="EJ523" s="67"/>
      <c r="EK523" s="67"/>
      <c r="EL523" s="67"/>
      <c r="EM523" s="67"/>
      <c r="EN523" s="67"/>
      <c r="EO523" s="67"/>
      <c r="EP523" s="67">
        <v>0</v>
      </c>
      <c r="EQ523" s="67">
        <v>0</v>
      </c>
      <c r="ER523" s="67">
        <v>0</v>
      </c>
      <c r="ES523" s="67"/>
      <c r="ET523">
        <v>0</v>
      </c>
      <c r="EX523" s="67"/>
      <c r="EY523" s="67"/>
      <c r="EZ523" s="67"/>
      <c r="FA523" s="67">
        <v>0</v>
      </c>
      <c r="FB523" s="67">
        <v>0</v>
      </c>
      <c r="FC523" s="67"/>
      <c r="FD523" s="67"/>
      <c r="FE523" s="67"/>
      <c r="FF523" s="67"/>
      <c r="FG523" s="67"/>
      <c r="FH523" s="67"/>
      <c r="FI523" s="67" t="s">
        <v>1734</v>
      </c>
    </row>
    <row r="524" spans="2:165" x14ac:dyDescent="0.2">
      <c r="B524" s="67" t="s">
        <v>1367</v>
      </c>
      <c r="C524" s="67"/>
      <c r="D524" s="67" t="s">
        <v>1368</v>
      </c>
      <c r="E524" s="67" t="s">
        <v>20</v>
      </c>
      <c r="F524" s="67" t="s">
        <v>810</v>
      </c>
      <c r="G524" s="67" t="s">
        <v>694</v>
      </c>
      <c r="H524" s="67"/>
      <c r="I524" s="67" t="s">
        <v>786</v>
      </c>
      <c r="J524" s="67"/>
      <c r="K524" s="67"/>
      <c r="L524" s="67" t="s">
        <v>779</v>
      </c>
      <c r="M524" s="67" t="s">
        <v>752</v>
      </c>
      <c r="N524" s="67"/>
      <c r="O524" s="67" t="s">
        <v>1599</v>
      </c>
      <c r="P524" s="67"/>
      <c r="Q524" s="67">
        <v>100</v>
      </c>
      <c r="R524" s="67">
        <v>0</v>
      </c>
      <c r="S524" s="67">
        <v>0</v>
      </c>
      <c r="T524" s="67">
        <v>0</v>
      </c>
      <c r="U524" s="67">
        <v>0</v>
      </c>
      <c r="V524" s="67">
        <v>0</v>
      </c>
      <c r="W524" s="67">
        <v>100</v>
      </c>
      <c r="X524" s="67">
        <v>0</v>
      </c>
      <c r="Y524" s="67">
        <v>0</v>
      </c>
      <c r="Z524" s="67">
        <v>0</v>
      </c>
      <c r="AA524" s="67">
        <v>0</v>
      </c>
      <c r="AB524" s="67">
        <v>0</v>
      </c>
      <c r="AC524" s="67">
        <v>0</v>
      </c>
      <c r="AD524" s="67">
        <v>0</v>
      </c>
      <c r="AE524" s="67">
        <v>0</v>
      </c>
      <c r="AF524" s="67">
        <v>0</v>
      </c>
      <c r="AG524" s="67">
        <v>0</v>
      </c>
      <c r="AH524" s="67">
        <v>0</v>
      </c>
      <c r="AI524" s="67">
        <v>0</v>
      </c>
      <c r="AJ524" s="67">
        <v>0</v>
      </c>
      <c r="AK524" s="67">
        <v>0</v>
      </c>
      <c r="AL524" s="67">
        <v>0</v>
      </c>
      <c r="AM524" s="67">
        <v>0</v>
      </c>
      <c r="AN524" s="67">
        <v>0</v>
      </c>
      <c r="AO524" s="67">
        <v>0</v>
      </c>
      <c r="AP524" s="67">
        <v>0</v>
      </c>
      <c r="AQ524" s="67">
        <v>0</v>
      </c>
      <c r="AR524" s="67">
        <v>0</v>
      </c>
      <c r="AS524" s="67">
        <v>0</v>
      </c>
      <c r="AT524" s="67"/>
      <c r="AU524" s="67"/>
      <c r="AV524" s="67"/>
      <c r="AW524" s="67">
        <v>0</v>
      </c>
      <c r="AX524" s="67">
        <v>0</v>
      </c>
      <c r="AY524" s="67"/>
      <c r="AZ524" s="67"/>
      <c r="BA524" s="67"/>
      <c r="BB524" s="67"/>
      <c r="BC524" s="67"/>
      <c r="BD524" s="67"/>
      <c r="BE524" s="67"/>
      <c r="BG524" s="67"/>
      <c r="BH524" s="67"/>
      <c r="BI524" s="67"/>
      <c r="BJ524" s="67">
        <v>0</v>
      </c>
      <c r="BK524" s="67"/>
      <c r="BL524" s="67"/>
      <c r="BP524" s="67"/>
      <c r="BQ524" s="67">
        <v>0</v>
      </c>
      <c r="BR524" s="67"/>
      <c r="BS524" s="67"/>
      <c r="BT524" s="67">
        <v>0</v>
      </c>
      <c r="BU524" s="67">
        <v>0</v>
      </c>
      <c r="BV524" s="67"/>
      <c r="BW524" s="67"/>
      <c r="BX524" s="67">
        <v>0</v>
      </c>
      <c r="BY524" s="67">
        <v>0</v>
      </c>
      <c r="BZ524" s="67">
        <v>0</v>
      </c>
      <c r="CA524" s="67"/>
      <c r="CB524" s="67">
        <v>0</v>
      </c>
      <c r="CC524" s="67"/>
      <c r="CD524" s="67"/>
      <c r="CE524" s="67">
        <v>0</v>
      </c>
      <c r="CF524" s="67"/>
      <c r="CG524" s="67"/>
      <c r="CH524" s="67"/>
      <c r="CI524" s="67"/>
      <c r="CJ524" s="67"/>
      <c r="CK524" s="67">
        <v>0</v>
      </c>
      <c r="CL524" s="67"/>
      <c r="CM524" s="67"/>
      <c r="CN524" s="67"/>
      <c r="CO524" s="67">
        <v>0</v>
      </c>
      <c r="CP524" s="67"/>
      <c r="CQ524" s="67"/>
      <c r="CR524" s="67"/>
      <c r="CS524" s="67"/>
      <c r="CT524" s="67"/>
      <c r="CU524" s="67">
        <v>0</v>
      </c>
      <c r="CV524" s="67"/>
      <c r="CW524" s="67"/>
      <c r="CX524" s="67"/>
      <c r="CY524" s="67">
        <v>0</v>
      </c>
      <c r="CZ524" s="67"/>
      <c r="DA524" s="67"/>
      <c r="DB524" s="67"/>
      <c r="DC524" s="67"/>
      <c r="DF524" s="67"/>
      <c r="DG524" s="67">
        <v>0</v>
      </c>
      <c r="DH524" s="67">
        <v>0</v>
      </c>
      <c r="DI524" s="67">
        <v>0</v>
      </c>
      <c r="DJ524" s="67"/>
      <c r="DK524" s="67">
        <v>0</v>
      </c>
      <c r="DL524" s="67">
        <v>0</v>
      </c>
      <c r="DM524" s="67">
        <v>0</v>
      </c>
      <c r="DN524" s="67"/>
      <c r="DO524" s="67"/>
      <c r="DP524" s="67"/>
      <c r="DQ524" s="67">
        <v>0</v>
      </c>
      <c r="DR524" s="67">
        <v>0</v>
      </c>
      <c r="DS524" s="67"/>
      <c r="DT524" s="67"/>
      <c r="DU524" s="67">
        <v>0</v>
      </c>
      <c r="DV524" s="67">
        <v>0</v>
      </c>
      <c r="DW524" s="67">
        <v>0</v>
      </c>
      <c r="DX524" s="67">
        <v>0</v>
      </c>
      <c r="DY524" s="67"/>
      <c r="DZ524" s="67">
        <v>0</v>
      </c>
      <c r="EA524" s="67"/>
      <c r="EB524" s="67">
        <v>0</v>
      </c>
      <c r="EC524" s="67"/>
      <c r="ED524" s="67">
        <v>0</v>
      </c>
      <c r="EE524" s="67"/>
      <c r="EF524" s="67">
        <v>0</v>
      </c>
      <c r="EG524" s="67"/>
      <c r="EH524" s="67"/>
      <c r="EI524" s="67"/>
      <c r="EJ524" s="67"/>
      <c r="EK524" s="67"/>
      <c r="EL524" s="67"/>
      <c r="EM524" s="67"/>
      <c r="EN524" s="67"/>
      <c r="EO524" s="67"/>
      <c r="EP524" s="67">
        <v>0</v>
      </c>
      <c r="EQ524" s="67">
        <v>0</v>
      </c>
      <c r="ER524" s="67">
        <v>0</v>
      </c>
      <c r="ES524" s="67"/>
      <c r="ET524">
        <v>0</v>
      </c>
      <c r="EX524" s="67"/>
      <c r="EY524" s="67"/>
      <c r="EZ524" s="67"/>
      <c r="FA524" s="67">
        <v>100</v>
      </c>
      <c r="FB524" s="67">
        <v>0</v>
      </c>
      <c r="FC524" s="67"/>
      <c r="FD524" s="67"/>
      <c r="FE524" s="67"/>
      <c r="FF524" s="67"/>
      <c r="FG524" s="67"/>
      <c r="FH524" s="67"/>
      <c r="FI524" s="67" t="s">
        <v>1734</v>
      </c>
    </row>
    <row r="525" spans="2:165" x14ac:dyDescent="0.2">
      <c r="B525" s="67" t="s">
        <v>1369</v>
      </c>
      <c r="C525" s="67"/>
      <c r="D525" s="67" t="s">
        <v>1370</v>
      </c>
      <c r="E525" s="67" t="s">
        <v>732</v>
      </c>
      <c r="F525" s="67"/>
      <c r="G525" s="67" t="s">
        <v>694</v>
      </c>
      <c r="H525" s="67"/>
      <c r="I525" s="67" t="s">
        <v>43</v>
      </c>
      <c r="J525" s="67"/>
      <c r="K525" s="67"/>
      <c r="L525" s="67"/>
      <c r="M525" s="67"/>
      <c r="N525" s="67">
        <v>44197</v>
      </c>
      <c r="O525" s="67" t="s">
        <v>1605</v>
      </c>
      <c r="P525" s="67" t="s">
        <v>1371</v>
      </c>
      <c r="Q525" s="67">
        <v>0</v>
      </c>
      <c r="R525" s="67">
        <v>0</v>
      </c>
      <c r="S525" s="67">
        <v>0</v>
      </c>
      <c r="T525" s="67">
        <v>0</v>
      </c>
      <c r="U525" s="67">
        <v>0</v>
      </c>
      <c r="V525" s="67">
        <v>0</v>
      </c>
      <c r="W525" s="67">
        <v>0</v>
      </c>
      <c r="X525" s="67">
        <v>0</v>
      </c>
      <c r="Y525" s="67">
        <v>0</v>
      </c>
      <c r="Z525" s="67">
        <v>0</v>
      </c>
      <c r="AA525" s="67">
        <v>0</v>
      </c>
      <c r="AB525" s="67">
        <v>0</v>
      </c>
      <c r="AC525" s="67">
        <v>0</v>
      </c>
      <c r="AD525" s="67">
        <v>0</v>
      </c>
      <c r="AE525" s="67">
        <v>0</v>
      </c>
      <c r="AF525" s="67">
        <v>0</v>
      </c>
      <c r="AG525" s="67">
        <v>0</v>
      </c>
      <c r="AH525" s="67">
        <v>0</v>
      </c>
      <c r="AI525" s="67">
        <v>0</v>
      </c>
      <c r="AJ525" s="67">
        <v>0</v>
      </c>
      <c r="AK525" s="67">
        <v>0</v>
      </c>
      <c r="AL525" s="67">
        <v>0</v>
      </c>
      <c r="AM525" s="67">
        <v>0</v>
      </c>
      <c r="AN525" s="67">
        <v>0</v>
      </c>
      <c r="AO525" s="67">
        <v>0</v>
      </c>
      <c r="AP525" s="67">
        <v>0</v>
      </c>
      <c r="AQ525" s="67">
        <v>0</v>
      </c>
      <c r="AR525" s="67">
        <v>0</v>
      </c>
      <c r="AS525" s="67">
        <v>0</v>
      </c>
      <c r="AT525" s="67"/>
      <c r="AU525" s="67"/>
      <c r="AV525" s="67"/>
      <c r="AW525" s="67">
        <v>0</v>
      </c>
      <c r="AX525" s="67">
        <v>0</v>
      </c>
      <c r="AY525" s="67"/>
      <c r="AZ525" s="67"/>
      <c r="BA525" s="67"/>
      <c r="BB525" s="67"/>
      <c r="BC525" s="67"/>
      <c r="BD525" s="67"/>
      <c r="BE525" s="67"/>
      <c r="BG525" s="67"/>
      <c r="BH525" s="67"/>
      <c r="BI525" s="67"/>
      <c r="BJ525" s="67">
        <v>0</v>
      </c>
      <c r="BK525" s="67"/>
      <c r="BL525" s="67"/>
      <c r="BP525" s="67"/>
      <c r="BQ525" s="67">
        <v>0</v>
      </c>
      <c r="BR525" s="67"/>
      <c r="BS525" s="67"/>
      <c r="BT525" s="67">
        <v>0</v>
      </c>
      <c r="BU525" s="67">
        <v>0</v>
      </c>
      <c r="BV525" s="67"/>
      <c r="BW525" s="67"/>
      <c r="BX525" s="67">
        <v>0</v>
      </c>
      <c r="BY525" s="67">
        <v>0</v>
      </c>
      <c r="BZ525" s="67">
        <v>0</v>
      </c>
      <c r="CA525" s="67"/>
      <c r="CB525" s="67">
        <v>0</v>
      </c>
      <c r="CC525" s="67"/>
      <c r="CD525" s="67"/>
      <c r="CE525" s="67">
        <v>0</v>
      </c>
      <c r="CF525" s="67"/>
      <c r="CG525" s="67"/>
      <c r="CH525" s="67"/>
      <c r="CI525" s="67"/>
      <c r="CJ525" s="67"/>
      <c r="CK525" s="67">
        <v>0</v>
      </c>
      <c r="CL525" s="67"/>
      <c r="CM525" s="67"/>
      <c r="CN525" s="67"/>
      <c r="CO525" s="67">
        <v>0</v>
      </c>
      <c r="CP525" s="67"/>
      <c r="CQ525" s="67"/>
      <c r="CR525" s="67"/>
      <c r="CS525" s="67"/>
      <c r="CT525" s="67"/>
      <c r="CU525" s="67">
        <v>0</v>
      </c>
      <c r="CV525" s="67"/>
      <c r="CW525" s="67"/>
      <c r="CX525" s="67"/>
      <c r="CY525" s="67">
        <v>0</v>
      </c>
      <c r="CZ525" s="67"/>
      <c r="DA525" s="67"/>
      <c r="DB525" s="67"/>
      <c r="DC525" s="67"/>
      <c r="DF525" s="67"/>
      <c r="DG525" s="67">
        <v>0</v>
      </c>
      <c r="DH525" s="67">
        <v>0</v>
      </c>
      <c r="DI525" s="67">
        <v>0</v>
      </c>
      <c r="DJ525" s="67"/>
      <c r="DK525" s="67">
        <v>0</v>
      </c>
      <c r="DL525" s="67">
        <v>0</v>
      </c>
      <c r="DM525" s="67">
        <v>0</v>
      </c>
      <c r="DN525" s="67"/>
      <c r="DO525" s="67"/>
      <c r="DP525" s="67"/>
      <c r="DQ525" s="67">
        <v>0</v>
      </c>
      <c r="DR525" s="67">
        <v>0</v>
      </c>
      <c r="DS525" s="67"/>
      <c r="DT525" s="67"/>
      <c r="DU525" s="67">
        <v>0</v>
      </c>
      <c r="DV525" s="67">
        <v>0</v>
      </c>
      <c r="DW525" s="67">
        <v>0</v>
      </c>
      <c r="DX525" s="67">
        <v>0</v>
      </c>
      <c r="DY525" s="67"/>
      <c r="DZ525" s="67">
        <v>0</v>
      </c>
      <c r="EA525" s="67"/>
      <c r="EB525" s="67">
        <v>0</v>
      </c>
      <c r="EC525" s="67"/>
      <c r="ED525" s="67">
        <v>0</v>
      </c>
      <c r="EE525" s="67"/>
      <c r="EF525" s="67">
        <v>0</v>
      </c>
      <c r="EG525" s="67"/>
      <c r="EH525" s="67"/>
      <c r="EI525" s="67"/>
      <c r="EJ525" s="67"/>
      <c r="EK525" s="67"/>
      <c r="EL525" s="67"/>
      <c r="EM525" s="67"/>
      <c r="EN525" s="67"/>
      <c r="EO525" s="67"/>
      <c r="EP525" s="67">
        <v>0</v>
      </c>
      <c r="EQ525" s="67">
        <v>0</v>
      </c>
      <c r="ER525" s="67">
        <v>0</v>
      </c>
      <c r="ES525" s="67"/>
      <c r="ET525">
        <v>0</v>
      </c>
      <c r="EX525" s="67"/>
      <c r="EY525" s="67"/>
      <c r="EZ525" s="67"/>
      <c r="FA525" s="67">
        <v>0</v>
      </c>
      <c r="FB525" s="67">
        <v>0</v>
      </c>
      <c r="FC525" s="67"/>
      <c r="FD525" s="67"/>
      <c r="FE525" s="67"/>
      <c r="FF525" s="67"/>
      <c r="FG525" s="67"/>
      <c r="FH525" s="67"/>
      <c r="FI525" s="67" t="s">
        <v>1734</v>
      </c>
    </row>
    <row r="526" spans="2:165" x14ac:dyDescent="0.2">
      <c r="B526" s="67" t="s">
        <v>1372</v>
      </c>
      <c r="C526" s="67"/>
      <c r="D526" s="67" t="s">
        <v>1373</v>
      </c>
      <c r="E526" s="67" t="s">
        <v>20</v>
      </c>
      <c r="F526" s="67"/>
      <c r="G526" s="67" t="s">
        <v>694</v>
      </c>
      <c r="H526" s="67"/>
      <c r="I526" s="67" t="s">
        <v>786</v>
      </c>
      <c r="J526" s="67"/>
      <c r="K526" s="67"/>
      <c r="L526" s="67"/>
      <c r="M526" s="67"/>
      <c r="N526" s="67"/>
      <c r="O526" s="67" t="s">
        <v>1605</v>
      </c>
      <c r="P526" s="67"/>
      <c r="Q526" s="67">
        <v>0</v>
      </c>
      <c r="R526" s="67">
        <v>0</v>
      </c>
      <c r="S526" s="67">
        <v>0</v>
      </c>
      <c r="T526" s="67">
        <v>0</v>
      </c>
      <c r="U526" s="67">
        <v>0</v>
      </c>
      <c r="V526" s="67">
        <v>0</v>
      </c>
      <c r="W526" s="67">
        <v>0</v>
      </c>
      <c r="X526" s="67">
        <v>0</v>
      </c>
      <c r="Y526" s="67">
        <v>0</v>
      </c>
      <c r="Z526" s="67">
        <v>0</v>
      </c>
      <c r="AA526" s="67">
        <v>0</v>
      </c>
      <c r="AB526" s="67">
        <v>0</v>
      </c>
      <c r="AC526" s="67">
        <v>0</v>
      </c>
      <c r="AD526" s="67">
        <v>0</v>
      </c>
      <c r="AE526" s="67">
        <v>0</v>
      </c>
      <c r="AF526" s="67">
        <v>0</v>
      </c>
      <c r="AG526" s="67">
        <v>0</v>
      </c>
      <c r="AH526" s="67">
        <v>0</v>
      </c>
      <c r="AI526" s="67">
        <v>0</v>
      </c>
      <c r="AJ526" s="67">
        <v>0</v>
      </c>
      <c r="AK526" s="67">
        <v>0</v>
      </c>
      <c r="AL526" s="67">
        <v>0</v>
      </c>
      <c r="AM526" s="67">
        <v>0</v>
      </c>
      <c r="AN526" s="67">
        <v>0</v>
      </c>
      <c r="AO526" s="67">
        <v>0</v>
      </c>
      <c r="AP526" s="67">
        <v>0</v>
      </c>
      <c r="AQ526" s="67">
        <v>0</v>
      </c>
      <c r="AR526" s="67">
        <v>0</v>
      </c>
      <c r="AS526" s="67">
        <v>0</v>
      </c>
      <c r="AT526" s="67"/>
      <c r="AU526" s="67"/>
      <c r="AV526" s="67"/>
      <c r="AW526" s="67">
        <v>0</v>
      </c>
      <c r="AX526" s="67">
        <v>0</v>
      </c>
      <c r="AY526" s="67"/>
      <c r="AZ526" s="67"/>
      <c r="BA526" s="67"/>
      <c r="BB526" s="67"/>
      <c r="BC526" s="67"/>
      <c r="BD526" s="67"/>
      <c r="BE526" s="67"/>
      <c r="BG526" s="67"/>
      <c r="BH526" s="67"/>
      <c r="BI526" s="67"/>
      <c r="BJ526" s="67">
        <v>0</v>
      </c>
      <c r="BK526" s="67"/>
      <c r="BL526" s="67"/>
      <c r="BP526" s="67"/>
      <c r="BQ526" s="67">
        <v>0</v>
      </c>
      <c r="BR526" s="67"/>
      <c r="BS526" s="67"/>
      <c r="BT526" s="67">
        <v>0</v>
      </c>
      <c r="BU526" s="67">
        <v>0</v>
      </c>
      <c r="BV526" s="67"/>
      <c r="BW526" s="67"/>
      <c r="BX526" s="67">
        <v>0</v>
      </c>
      <c r="BY526" s="67">
        <v>0</v>
      </c>
      <c r="BZ526" s="67">
        <v>0</v>
      </c>
      <c r="CA526" s="67"/>
      <c r="CB526" s="67">
        <v>0</v>
      </c>
      <c r="CC526" s="67"/>
      <c r="CD526" s="67"/>
      <c r="CE526" s="67">
        <v>0</v>
      </c>
      <c r="CF526" s="67"/>
      <c r="CG526" s="67"/>
      <c r="CH526" s="67"/>
      <c r="CI526" s="67"/>
      <c r="CJ526" s="67"/>
      <c r="CK526" s="67">
        <v>0</v>
      </c>
      <c r="CL526" s="67"/>
      <c r="CM526" s="67"/>
      <c r="CN526" s="67"/>
      <c r="CO526" s="67">
        <v>0</v>
      </c>
      <c r="CP526" s="67"/>
      <c r="CQ526" s="67"/>
      <c r="CR526" s="67"/>
      <c r="CS526" s="67"/>
      <c r="CT526" s="67"/>
      <c r="CU526" s="67">
        <v>0</v>
      </c>
      <c r="CV526" s="67"/>
      <c r="CW526" s="67"/>
      <c r="CX526" s="67"/>
      <c r="CY526" s="67">
        <v>0</v>
      </c>
      <c r="CZ526" s="67"/>
      <c r="DA526" s="67"/>
      <c r="DB526" s="67"/>
      <c r="DC526" s="67"/>
      <c r="DF526" s="67"/>
      <c r="DG526" s="67">
        <v>0</v>
      </c>
      <c r="DH526" s="67">
        <v>0</v>
      </c>
      <c r="DI526" s="67">
        <v>0</v>
      </c>
      <c r="DJ526" s="67"/>
      <c r="DK526" s="67">
        <v>0</v>
      </c>
      <c r="DL526" s="67">
        <v>0</v>
      </c>
      <c r="DM526" s="67">
        <v>0</v>
      </c>
      <c r="DN526" s="67"/>
      <c r="DO526" s="67"/>
      <c r="DP526" s="67"/>
      <c r="DQ526" s="67">
        <v>0</v>
      </c>
      <c r="DR526" s="67">
        <v>0</v>
      </c>
      <c r="DS526" s="67"/>
      <c r="DT526" s="67"/>
      <c r="DU526" s="67">
        <v>0</v>
      </c>
      <c r="DV526" s="67">
        <v>0</v>
      </c>
      <c r="DW526" s="67">
        <v>0</v>
      </c>
      <c r="DX526" s="67">
        <v>0</v>
      </c>
      <c r="DY526" s="67"/>
      <c r="DZ526" s="67">
        <v>0</v>
      </c>
      <c r="EA526" s="67"/>
      <c r="EB526" s="67">
        <v>0</v>
      </c>
      <c r="EC526" s="67"/>
      <c r="ED526" s="67">
        <v>0</v>
      </c>
      <c r="EE526" s="67"/>
      <c r="EF526" s="67">
        <v>0</v>
      </c>
      <c r="EG526" s="67"/>
      <c r="EH526" s="67"/>
      <c r="EI526" s="67"/>
      <c r="EJ526" s="67"/>
      <c r="EK526" s="67"/>
      <c r="EL526" s="67"/>
      <c r="EM526" s="67"/>
      <c r="EN526" s="67"/>
      <c r="EO526" s="67"/>
      <c r="EP526" s="67">
        <v>0</v>
      </c>
      <c r="EQ526" s="67">
        <v>0</v>
      </c>
      <c r="ER526" s="67">
        <v>0</v>
      </c>
      <c r="ES526" s="67"/>
      <c r="ET526">
        <v>0</v>
      </c>
      <c r="EX526" s="67"/>
      <c r="EY526" s="67"/>
      <c r="EZ526" s="67"/>
      <c r="FA526" s="67">
        <v>0</v>
      </c>
      <c r="FB526" s="67">
        <v>0</v>
      </c>
      <c r="FC526" s="67"/>
      <c r="FD526" s="67"/>
      <c r="FE526" s="67"/>
      <c r="FF526" s="67"/>
      <c r="FG526" s="67"/>
      <c r="FH526" s="67"/>
      <c r="FI526" s="67" t="s">
        <v>1734</v>
      </c>
    </row>
    <row r="527" spans="2:165" x14ac:dyDescent="0.2">
      <c r="B527" s="67" t="s">
        <v>1374</v>
      </c>
      <c r="C527" s="67"/>
      <c r="D527" s="67" t="s">
        <v>1375</v>
      </c>
      <c r="E527" s="67" t="s">
        <v>20</v>
      </c>
      <c r="F527" s="67"/>
      <c r="G527" s="67" t="s">
        <v>694</v>
      </c>
      <c r="H527" s="67"/>
      <c r="I527" s="67" t="s">
        <v>786</v>
      </c>
      <c r="J527" s="67"/>
      <c r="K527" s="67"/>
      <c r="L527" s="67"/>
      <c r="M527" s="67"/>
      <c r="N527" s="67"/>
      <c r="O527" s="67" t="s">
        <v>1605</v>
      </c>
      <c r="P527" s="67"/>
      <c r="Q527" s="67">
        <v>0</v>
      </c>
      <c r="R527" s="67">
        <v>0</v>
      </c>
      <c r="S527" s="67">
        <v>0</v>
      </c>
      <c r="T527" s="67">
        <v>0</v>
      </c>
      <c r="U527" s="67">
        <v>0</v>
      </c>
      <c r="V527" s="67">
        <v>0</v>
      </c>
      <c r="W527" s="67">
        <v>0</v>
      </c>
      <c r="X527" s="67">
        <v>0</v>
      </c>
      <c r="Y527" s="67">
        <v>0</v>
      </c>
      <c r="Z527" s="67">
        <v>0</v>
      </c>
      <c r="AA527" s="67">
        <v>0</v>
      </c>
      <c r="AB527" s="67">
        <v>0</v>
      </c>
      <c r="AC527" s="67">
        <v>0</v>
      </c>
      <c r="AD527" s="67">
        <v>0</v>
      </c>
      <c r="AE527" s="67">
        <v>0</v>
      </c>
      <c r="AF527" s="67">
        <v>0</v>
      </c>
      <c r="AG527" s="67">
        <v>0</v>
      </c>
      <c r="AH527" s="67">
        <v>0</v>
      </c>
      <c r="AI527" s="67">
        <v>0</v>
      </c>
      <c r="AJ527" s="67">
        <v>0</v>
      </c>
      <c r="AK527" s="67">
        <v>0</v>
      </c>
      <c r="AL527" s="67">
        <v>0</v>
      </c>
      <c r="AM527" s="67">
        <v>0</v>
      </c>
      <c r="AN527" s="67">
        <v>0</v>
      </c>
      <c r="AO527" s="67">
        <v>0</v>
      </c>
      <c r="AP527" s="67">
        <v>0</v>
      </c>
      <c r="AQ527" s="67">
        <v>0</v>
      </c>
      <c r="AR527" s="67">
        <v>0</v>
      </c>
      <c r="AS527" s="67">
        <v>0</v>
      </c>
      <c r="AT527" s="67"/>
      <c r="AU527" s="67"/>
      <c r="AV527" s="67"/>
      <c r="AW527" s="67">
        <v>0</v>
      </c>
      <c r="AX527" s="67">
        <v>0</v>
      </c>
      <c r="AY527" s="67"/>
      <c r="AZ527" s="67"/>
      <c r="BA527" s="67"/>
      <c r="BB527" s="67"/>
      <c r="BC527" s="67"/>
      <c r="BD527" s="67"/>
      <c r="BE527" s="67"/>
      <c r="BG527" s="67"/>
      <c r="BH527" s="67"/>
      <c r="BI527" s="67"/>
      <c r="BJ527" s="67">
        <v>0</v>
      </c>
      <c r="BK527" s="67"/>
      <c r="BL527" s="67"/>
      <c r="BP527" s="67"/>
      <c r="BQ527" s="67">
        <v>0</v>
      </c>
      <c r="BR527" s="67"/>
      <c r="BS527" s="67"/>
      <c r="BT527" s="67">
        <v>0</v>
      </c>
      <c r="BU527" s="67">
        <v>0</v>
      </c>
      <c r="BV527" s="67"/>
      <c r="BW527" s="67"/>
      <c r="BX527" s="67">
        <v>0</v>
      </c>
      <c r="BY527" s="67">
        <v>0</v>
      </c>
      <c r="BZ527" s="67">
        <v>0</v>
      </c>
      <c r="CA527" s="67"/>
      <c r="CB527" s="67">
        <v>0</v>
      </c>
      <c r="CC527" s="67"/>
      <c r="CD527" s="67"/>
      <c r="CE527" s="67">
        <v>0</v>
      </c>
      <c r="CF527" s="67"/>
      <c r="CG527" s="67"/>
      <c r="CH527" s="67"/>
      <c r="CI527" s="67"/>
      <c r="CJ527" s="67"/>
      <c r="CK527" s="67">
        <v>0</v>
      </c>
      <c r="CL527" s="67"/>
      <c r="CM527" s="67"/>
      <c r="CN527" s="67"/>
      <c r="CO527" s="67">
        <v>0</v>
      </c>
      <c r="CP527" s="67"/>
      <c r="CQ527" s="67"/>
      <c r="CR527" s="67"/>
      <c r="CS527" s="67"/>
      <c r="CT527" s="67"/>
      <c r="CU527" s="67">
        <v>0</v>
      </c>
      <c r="CV527" s="67"/>
      <c r="CW527" s="67"/>
      <c r="CX527" s="67"/>
      <c r="CY527" s="67">
        <v>0</v>
      </c>
      <c r="CZ527" s="67"/>
      <c r="DA527" s="67"/>
      <c r="DB527" s="67"/>
      <c r="DC527" s="67"/>
      <c r="DF527" s="67"/>
      <c r="DG527" s="67">
        <v>0</v>
      </c>
      <c r="DH527" s="67">
        <v>0</v>
      </c>
      <c r="DI527" s="67">
        <v>0</v>
      </c>
      <c r="DJ527" s="67"/>
      <c r="DK527" s="67">
        <v>0</v>
      </c>
      <c r="DL527" s="67">
        <v>0</v>
      </c>
      <c r="DM527" s="67">
        <v>0</v>
      </c>
      <c r="DN527" s="67"/>
      <c r="DO527" s="67"/>
      <c r="DP527" s="67"/>
      <c r="DQ527" s="67">
        <v>0</v>
      </c>
      <c r="DR527" s="67">
        <v>0</v>
      </c>
      <c r="DS527" s="67"/>
      <c r="DT527" s="67"/>
      <c r="DU527" s="67">
        <v>0</v>
      </c>
      <c r="DV527" s="67">
        <v>0</v>
      </c>
      <c r="DW527" s="67">
        <v>0</v>
      </c>
      <c r="DX527" s="67">
        <v>0</v>
      </c>
      <c r="DY527" s="67"/>
      <c r="DZ527" s="67">
        <v>0</v>
      </c>
      <c r="EA527" s="67"/>
      <c r="EB527" s="67">
        <v>0</v>
      </c>
      <c r="EC527" s="67"/>
      <c r="ED527" s="67">
        <v>0</v>
      </c>
      <c r="EE527" s="67"/>
      <c r="EF527" s="67">
        <v>0</v>
      </c>
      <c r="EG527" s="67"/>
      <c r="EH527" s="67"/>
      <c r="EI527" s="67"/>
      <c r="EJ527" s="67"/>
      <c r="EK527" s="67"/>
      <c r="EL527" s="67"/>
      <c r="EM527" s="67"/>
      <c r="EN527" s="67"/>
      <c r="EO527" s="67"/>
      <c r="EP527" s="67">
        <v>0</v>
      </c>
      <c r="EQ527" s="67">
        <v>0</v>
      </c>
      <c r="ER527" s="67">
        <v>0</v>
      </c>
      <c r="ES527" s="67"/>
      <c r="ET527">
        <v>0</v>
      </c>
      <c r="EX527" s="67"/>
      <c r="EY527" s="67"/>
      <c r="EZ527" s="67"/>
      <c r="FA527" s="67">
        <v>0</v>
      </c>
      <c r="FB527" s="67">
        <v>0</v>
      </c>
      <c r="FC527" s="67"/>
      <c r="FD527" s="67"/>
      <c r="FE527" s="67"/>
      <c r="FF527" s="67"/>
      <c r="FG527" s="67"/>
      <c r="FH527" s="67"/>
      <c r="FI527" s="67" t="s">
        <v>1734</v>
      </c>
    </row>
    <row r="528" spans="2:165" x14ac:dyDescent="0.2">
      <c r="B528" s="67" t="s">
        <v>1376</v>
      </c>
      <c r="C528" s="67"/>
      <c r="D528" s="67" t="s">
        <v>1377</v>
      </c>
      <c r="E528" s="67"/>
      <c r="F528" s="67"/>
      <c r="G528" s="67" t="s">
        <v>694</v>
      </c>
      <c r="H528" s="67"/>
      <c r="I528" s="67"/>
      <c r="J528" s="67"/>
      <c r="K528" s="67"/>
      <c r="L528" s="67"/>
      <c r="M528" s="67"/>
      <c r="N528" s="67"/>
      <c r="O528" s="67" t="s">
        <v>1605</v>
      </c>
      <c r="P528" s="67"/>
      <c r="Q528" s="67">
        <v>0</v>
      </c>
      <c r="R528" s="67">
        <v>0</v>
      </c>
      <c r="S528" s="67">
        <v>0</v>
      </c>
      <c r="T528" s="67">
        <v>0</v>
      </c>
      <c r="U528" s="67">
        <v>0</v>
      </c>
      <c r="V528" s="67">
        <v>0</v>
      </c>
      <c r="W528" s="67">
        <v>0</v>
      </c>
      <c r="X528" s="67">
        <v>0</v>
      </c>
      <c r="Y528" s="67">
        <v>0</v>
      </c>
      <c r="Z528" s="67">
        <v>0</v>
      </c>
      <c r="AA528" s="67">
        <v>0</v>
      </c>
      <c r="AB528" s="67">
        <v>0</v>
      </c>
      <c r="AC528" s="67">
        <v>0</v>
      </c>
      <c r="AD528" s="67">
        <v>0</v>
      </c>
      <c r="AE528" s="67">
        <v>0</v>
      </c>
      <c r="AF528" s="67">
        <v>0</v>
      </c>
      <c r="AG528" s="67">
        <v>0</v>
      </c>
      <c r="AH528" s="67">
        <v>0</v>
      </c>
      <c r="AI528" s="67">
        <v>0</v>
      </c>
      <c r="AJ528" s="67">
        <v>0</v>
      </c>
      <c r="AK528" s="67">
        <v>0</v>
      </c>
      <c r="AL528" s="67">
        <v>0</v>
      </c>
      <c r="AM528" s="67">
        <v>0</v>
      </c>
      <c r="AN528" s="67">
        <v>0</v>
      </c>
      <c r="AO528" s="67">
        <v>0</v>
      </c>
      <c r="AP528" s="67">
        <v>0</v>
      </c>
      <c r="AQ528" s="67">
        <v>0</v>
      </c>
      <c r="AR528" s="67">
        <v>0</v>
      </c>
      <c r="AS528" s="67">
        <v>0</v>
      </c>
      <c r="AT528" s="67"/>
      <c r="AU528" s="67"/>
      <c r="AV528" s="67"/>
      <c r="AW528" s="67">
        <v>0</v>
      </c>
      <c r="AX528" s="67">
        <v>0</v>
      </c>
      <c r="AY528" s="67"/>
      <c r="AZ528" s="67"/>
      <c r="BA528" s="67"/>
      <c r="BB528" s="67"/>
      <c r="BC528" s="67"/>
      <c r="BD528" s="67"/>
      <c r="BE528" s="67"/>
      <c r="BG528" s="67"/>
      <c r="BH528" s="67"/>
      <c r="BI528" s="67"/>
      <c r="BJ528" s="67">
        <v>0</v>
      </c>
      <c r="BK528" s="67"/>
      <c r="BL528" s="67"/>
      <c r="BP528" s="67"/>
      <c r="BQ528" s="67">
        <v>0</v>
      </c>
      <c r="BR528" s="67"/>
      <c r="BS528" s="67"/>
      <c r="BT528" s="67">
        <v>0</v>
      </c>
      <c r="BU528" s="67">
        <v>0</v>
      </c>
      <c r="BV528" s="67"/>
      <c r="BW528" s="67"/>
      <c r="BX528" s="67">
        <v>0</v>
      </c>
      <c r="BY528" s="67">
        <v>0</v>
      </c>
      <c r="BZ528" s="67">
        <v>0</v>
      </c>
      <c r="CA528" s="67"/>
      <c r="CB528" s="67">
        <v>0</v>
      </c>
      <c r="CC528" s="67"/>
      <c r="CD528" s="67"/>
      <c r="CE528" s="67">
        <v>0</v>
      </c>
      <c r="CF528" s="67"/>
      <c r="CG528" s="67"/>
      <c r="CH528" s="67"/>
      <c r="CI528" s="67"/>
      <c r="CJ528" s="67"/>
      <c r="CK528" s="67">
        <v>0</v>
      </c>
      <c r="CL528" s="67"/>
      <c r="CM528" s="67"/>
      <c r="CN528" s="67"/>
      <c r="CO528" s="67">
        <v>0</v>
      </c>
      <c r="CP528" s="67"/>
      <c r="CQ528" s="67"/>
      <c r="CR528" s="67"/>
      <c r="CS528" s="67"/>
      <c r="CT528" s="67"/>
      <c r="CU528" s="67">
        <v>0</v>
      </c>
      <c r="CV528" s="67"/>
      <c r="CW528" s="67"/>
      <c r="CX528" s="67"/>
      <c r="CY528" s="67">
        <v>0</v>
      </c>
      <c r="CZ528" s="67"/>
      <c r="DA528" s="67"/>
      <c r="DB528" s="67"/>
      <c r="DC528" s="67"/>
      <c r="DF528" s="67"/>
      <c r="DG528" s="67">
        <v>0</v>
      </c>
      <c r="DH528" s="67">
        <v>0</v>
      </c>
      <c r="DI528" s="67">
        <v>0</v>
      </c>
      <c r="DJ528" s="67"/>
      <c r="DK528" s="67">
        <v>0</v>
      </c>
      <c r="DL528" s="67">
        <v>0</v>
      </c>
      <c r="DM528" s="67">
        <v>0</v>
      </c>
      <c r="DN528" s="67"/>
      <c r="DO528" s="67"/>
      <c r="DP528" s="67"/>
      <c r="DQ528" s="67">
        <v>0</v>
      </c>
      <c r="DR528" s="67">
        <v>0</v>
      </c>
      <c r="DS528" s="67"/>
      <c r="DT528" s="67"/>
      <c r="DU528" s="67">
        <v>0</v>
      </c>
      <c r="DV528" s="67">
        <v>0</v>
      </c>
      <c r="DW528" s="67">
        <v>0</v>
      </c>
      <c r="DX528" s="67">
        <v>0</v>
      </c>
      <c r="DY528" s="67"/>
      <c r="DZ528" s="67">
        <v>0</v>
      </c>
      <c r="EA528" s="67"/>
      <c r="EB528" s="67">
        <v>0</v>
      </c>
      <c r="EC528" s="67"/>
      <c r="ED528" s="67">
        <v>0</v>
      </c>
      <c r="EE528" s="67"/>
      <c r="EF528" s="67">
        <v>0</v>
      </c>
      <c r="EG528" s="67"/>
      <c r="EH528" s="67"/>
      <c r="EI528" s="67"/>
      <c r="EJ528" s="67"/>
      <c r="EK528" s="67"/>
      <c r="EL528" s="67"/>
      <c r="EM528" s="67"/>
      <c r="EN528" s="67"/>
      <c r="EO528" s="67"/>
      <c r="EP528" s="67">
        <v>0</v>
      </c>
      <c r="EQ528" s="67">
        <v>0</v>
      </c>
      <c r="ER528" s="67">
        <v>0</v>
      </c>
      <c r="ES528" s="67"/>
      <c r="ET528">
        <v>0</v>
      </c>
      <c r="EX528" s="67"/>
      <c r="EY528" s="67"/>
      <c r="EZ528" s="67"/>
      <c r="FA528" s="67">
        <v>0</v>
      </c>
      <c r="FB528" s="67">
        <v>0</v>
      </c>
      <c r="FC528" s="67"/>
      <c r="FD528" s="67"/>
      <c r="FE528" s="67"/>
      <c r="FF528" s="67"/>
      <c r="FG528" s="67"/>
      <c r="FH528" s="67"/>
      <c r="FI528" s="67" t="s">
        <v>1734</v>
      </c>
    </row>
    <row r="529" spans="2:165" ht="24" x14ac:dyDescent="0.2">
      <c r="B529" s="67" t="s">
        <v>1378</v>
      </c>
      <c r="C529" s="67"/>
      <c r="D529" s="67" t="s">
        <v>1379</v>
      </c>
      <c r="E529" s="67" t="s">
        <v>13</v>
      </c>
      <c r="F529" s="67" t="s">
        <v>1224</v>
      </c>
      <c r="G529" s="67" t="s">
        <v>694</v>
      </c>
      <c r="H529" s="67"/>
      <c r="I529" s="67" t="s">
        <v>41</v>
      </c>
      <c r="J529" s="67"/>
      <c r="K529" s="67"/>
      <c r="L529" s="67" t="s">
        <v>1285</v>
      </c>
      <c r="M529" s="67" t="s">
        <v>752</v>
      </c>
      <c r="N529" s="67"/>
      <c r="O529" s="67" t="s">
        <v>1605</v>
      </c>
      <c r="P529" s="67"/>
      <c r="Q529" s="67">
        <v>0</v>
      </c>
      <c r="R529" s="67">
        <v>0</v>
      </c>
      <c r="S529" s="67">
        <v>0</v>
      </c>
      <c r="T529" s="67">
        <v>0</v>
      </c>
      <c r="U529" s="67">
        <v>0</v>
      </c>
      <c r="V529" s="67">
        <v>0</v>
      </c>
      <c r="W529" s="67">
        <v>0</v>
      </c>
      <c r="X529" s="67">
        <v>0</v>
      </c>
      <c r="Y529" s="67">
        <v>0</v>
      </c>
      <c r="Z529" s="67">
        <v>0</v>
      </c>
      <c r="AA529" s="67">
        <v>0</v>
      </c>
      <c r="AB529" s="67">
        <v>0</v>
      </c>
      <c r="AC529" s="67">
        <v>0</v>
      </c>
      <c r="AD529" s="67">
        <v>0</v>
      </c>
      <c r="AE529" s="67">
        <v>0</v>
      </c>
      <c r="AF529" s="67">
        <v>0</v>
      </c>
      <c r="AG529" s="67">
        <v>0</v>
      </c>
      <c r="AH529" s="67">
        <v>0</v>
      </c>
      <c r="AI529" s="67">
        <v>0</v>
      </c>
      <c r="AJ529" s="67">
        <v>0</v>
      </c>
      <c r="AK529" s="67">
        <v>0</v>
      </c>
      <c r="AL529" s="67">
        <v>0</v>
      </c>
      <c r="AM529" s="67">
        <v>0</v>
      </c>
      <c r="AN529" s="67">
        <v>0</v>
      </c>
      <c r="AO529" s="67">
        <v>0</v>
      </c>
      <c r="AP529" s="67">
        <v>0</v>
      </c>
      <c r="AQ529" s="67">
        <v>0</v>
      </c>
      <c r="AR529" s="67">
        <v>0</v>
      </c>
      <c r="AS529" s="67">
        <v>0</v>
      </c>
      <c r="AT529" s="67"/>
      <c r="AU529" s="67"/>
      <c r="AV529" s="67"/>
      <c r="AW529" s="67">
        <v>0</v>
      </c>
      <c r="AX529" s="67">
        <v>0</v>
      </c>
      <c r="AY529" s="67"/>
      <c r="AZ529" s="67"/>
      <c r="BA529" s="67"/>
      <c r="BB529" s="67"/>
      <c r="BC529" s="67"/>
      <c r="BD529" s="67"/>
      <c r="BE529" s="67"/>
      <c r="BG529" s="67"/>
      <c r="BH529" s="67"/>
      <c r="BI529" s="67"/>
      <c r="BJ529" s="67">
        <v>0</v>
      </c>
      <c r="BK529" s="67"/>
      <c r="BL529" s="67"/>
      <c r="BP529" s="67"/>
      <c r="BQ529" s="67">
        <v>0</v>
      </c>
      <c r="BR529" s="67"/>
      <c r="BS529" s="67"/>
      <c r="BT529" s="67">
        <v>0</v>
      </c>
      <c r="BU529" s="67">
        <v>0</v>
      </c>
      <c r="BV529" s="67"/>
      <c r="BW529" s="67"/>
      <c r="BX529" s="67">
        <v>0</v>
      </c>
      <c r="BY529" s="67">
        <v>0</v>
      </c>
      <c r="BZ529" s="67">
        <v>0</v>
      </c>
      <c r="CA529" s="67"/>
      <c r="CB529" s="67">
        <v>0</v>
      </c>
      <c r="CC529" s="67"/>
      <c r="CD529" s="67"/>
      <c r="CE529" s="67">
        <v>0</v>
      </c>
      <c r="CF529" s="67"/>
      <c r="CG529" s="67"/>
      <c r="CH529" s="67"/>
      <c r="CI529" s="67"/>
      <c r="CJ529" s="67"/>
      <c r="CK529" s="67">
        <v>0</v>
      </c>
      <c r="CL529" s="67"/>
      <c r="CM529" s="67"/>
      <c r="CN529" s="67"/>
      <c r="CO529" s="67">
        <v>0</v>
      </c>
      <c r="CP529" s="67"/>
      <c r="CQ529" s="67"/>
      <c r="CR529" s="67"/>
      <c r="CS529" s="67"/>
      <c r="CT529" s="67"/>
      <c r="CU529" s="67">
        <v>0</v>
      </c>
      <c r="CV529" s="67"/>
      <c r="CW529" s="67"/>
      <c r="CX529" s="67"/>
      <c r="CY529" s="67">
        <v>0</v>
      </c>
      <c r="CZ529" s="67"/>
      <c r="DA529" s="67"/>
      <c r="DB529" s="67"/>
      <c r="DC529" s="67"/>
      <c r="DF529" s="67"/>
      <c r="DG529" s="67">
        <v>0</v>
      </c>
      <c r="DH529" s="67">
        <v>0</v>
      </c>
      <c r="DI529" s="67">
        <v>0</v>
      </c>
      <c r="DJ529" s="67"/>
      <c r="DK529" s="67">
        <v>0</v>
      </c>
      <c r="DL529" s="67">
        <v>0</v>
      </c>
      <c r="DM529" s="67">
        <v>0</v>
      </c>
      <c r="DN529" s="67"/>
      <c r="DO529" s="67"/>
      <c r="DP529" s="67"/>
      <c r="DQ529" s="67">
        <v>0</v>
      </c>
      <c r="DR529" s="67">
        <v>0</v>
      </c>
      <c r="DS529" s="67"/>
      <c r="DT529" s="67"/>
      <c r="DU529" s="67">
        <v>0</v>
      </c>
      <c r="DV529" s="67">
        <v>0</v>
      </c>
      <c r="DW529" s="67">
        <v>0</v>
      </c>
      <c r="DX529" s="67">
        <v>0</v>
      </c>
      <c r="DY529" s="67"/>
      <c r="DZ529" s="67">
        <v>0</v>
      </c>
      <c r="EA529" s="67"/>
      <c r="EB529" s="67">
        <v>0</v>
      </c>
      <c r="EC529" s="67"/>
      <c r="ED529" s="67">
        <v>0</v>
      </c>
      <c r="EE529" s="67"/>
      <c r="EF529" s="67">
        <v>0</v>
      </c>
      <c r="EG529" s="67"/>
      <c r="EH529" s="67"/>
      <c r="EI529" s="67"/>
      <c r="EJ529" s="67"/>
      <c r="EK529" s="67"/>
      <c r="EL529" s="67"/>
      <c r="EM529" s="67"/>
      <c r="EN529" s="67"/>
      <c r="EO529" s="67"/>
      <c r="EP529" s="67">
        <v>0</v>
      </c>
      <c r="EQ529" s="67">
        <v>0</v>
      </c>
      <c r="ER529" s="67">
        <v>0</v>
      </c>
      <c r="ES529" s="67"/>
      <c r="ET529">
        <v>0</v>
      </c>
      <c r="EX529" s="67"/>
      <c r="EY529" s="67"/>
      <c r="EZ529" s="67"/>
      <c r="FA529" s="67">
        <v>0</v>
      </c>
      <c r="FB529" s="67">
        <v>0</v>
      </c>
      <c r="FC529" s="67"/>
      <c r="FD529" s="67"/>
      <c r="FE529" s="67"/>
      <c r="FF529" s="67"/>
      <c r="FG529" s="67"/>
      <c r="FH529" s="67"/>
      <c r="FI529" s="67" t="s">
        <v>1734</v>
      </c>
    </row>
    <row r="530" spans="2:165" ht="24" x14ac:dyDescent="0.2">
      <c r="B530" s="67" t="s">
        <v>1380</v>
      </c>
      <c r="C530" s="67"/>
      <c r="D530" s="67" t="s">
        <v>1381</v>
      </c>
      <c r="E530" s="67" t="s">
        <v>889</v>
      </c>
      <c r="F530" s="67" t="s">
        <v>1230</v>
      </c>
      <c r="G530" s="67" t="s">
        <v>694</v>
      </c>
      <c r="H530" s="67"/>
      <c r="I530" s="67" t="s">
        <v>43</v>
      </c>
      <c r="J530" s="67"/>
      <c r="K530" s="67"/>
      <c r="L530" s="67" t="s">
        <v>787</v>
      </c>
      <c r="M530" s="67" t="s">
        <v>752</v>
      </c>
      <c r="N530" s="67"/>
      <c r="O530" s="67" t="s">
        <v>1605</v>
      </c>
      <c r="P530" s="67"/>
      <c r="Q530" s="67">
        <v>0</v>
      </c>
      <c r="R530" s="67">
        <v>0</v>
      </c>
      <c r="S530" s="67">
        <v>0</v>
      </c>
      <c r="T530" s="67">
        <v>0</v>
      </c>
      <c r="U530" s="67">
        <v>0</v>
      </c>
      <c r="V530" s="67">
        <v>0</v>
      </c>
      <c r="W530" s="67">
        <v>0</v>
      </c>
      <c r="X530" s="67">
        <v>0</v>
      </c>
      <c r="Y530" s="67">
        <v>0</v>
      </c>
      <c r="Z530" s="67">
        <v>0</v>
      </c>
      <c r="AA530" s="67">
        <v>0</v>
      </c>
      <c r="AB530" s="67">
        <v>0</v>
      </c>
      <c r="AC530" s="67">
        <v>0</v>
      </c>
      <c r="AD530" s="67">
        <v>0</v>
      </c>
      <c r="AE530" s="67">
        <v>0</v>
      </c>
      <c r="AF530" s="67">
        <v>0</v>
      </c>
      <c r="AG530" s="67">
        <v>0</v>
      </c>
      <c r="AH530" s="67">
        <v>0</v>
      </c>
      <c r="AI530" s="67">
        <v>0</v>
      </c>
      <c r="AJ530" s="67">
        <v>0</v>
      </c>
      <c r="AK530" s="67">
        <v>0</v>
      </c>
      <c r="AL530" s="67">
        <v>0</v>
      </c>
      <c r="AM530" s="67">
        <v>0</v>
      </c>
      <c r="AN530" s="67">
        <v>0</v>
      </c>
      <c r="AO530" s="67">
        <v>0</v>
      </c>
      <c r="AP530" s="67">
        <v>0</v>
      </c>
      <c r="AQ530" s="67">
        <v>0</v>
      </c>
      <c r="AR530" s="67">
        <v>0</v>
      </c>
      <c r="AS530" s="67">
        <v>0</v>
      </c>
      <c r="AT530" s="67"/>
      <c r="AU530" s="67"/>
      <c r="AV530" s="67"/>
      <c r="AW530" s="67">
        <v>0</v>
      </c>
      <c r="AX530" s="67">
        <v>0</v>
      </c>
      <c r="AY530" s="67"/>
      <c r="AZ530" s="67"/>
      <c r="BA530" s="67"/>
      <c r="BB530" s="67"/>
      <c r="BC530" s="67"/>
      <c r="BD530" s="67"/>
      <c r="BE530" s="67"/>
      <c r="BG530" s="67"/>
      <c r="BH530" s="67"/>
      <c r="BI530" s="67"/>
      <c r="BJ530" s="67">
        <v>0</v>
      </c>
      <c r="BK530" s="67"/>
      <c r="BL530" s="67"/>
      <c r="BP530" s="67"/>
      <c r="BQ530" s="67">
        <v>0</v>
      </c>
      <c r="BR530" s="67"/>
      <c r="BS530" s="67"/>
      <c r="BT530" s="67">
        <v>0</v>
      </c>
      <c r="BU530" s="67">
        <v>0</v>
      </c>
      <c r="BV530" s="67"/>
      <c r="BW530" s="67"/>
      <c r="BX530" s="67">
        <v>0</v>
      </c>
      <c r="BY530" s="67">
        <v>0</v>
      </c>
      <c r="BZ530" s="67">
        <v>0</v>
      </c>
      <c r="CA530" s="67"/>
      <c r="CB530" s="67">
        <v>0</v>
      </c>
      <c r="CC530" s="67"/>
      <c r="CD530" s="67"/>
      <c r="CE530" s="67">
        <v>0</v>
      </c>
      <c r="CF530" s="67"/>
      <c r="CG530" s="67"/>
      <c r="CH530" s="67"/>
      <c r="CI530" s="67"/>
      <c r="CJ530" s="67"/>
      <c r="CK530" s="67">
        <v>0</v>
      </c>
      <c r="CL530" s="67"/>
      <c r="CM530" s="67"/>
      <c r="CN530" s="67"/>
      <c r="CO530" s="67">
        <v>0</v>
      </c>
      <c r="CP530" s="67"/>
      <c r="CQ530" s="67"/>
      <c r="CR530" s="67"/>
      <c r="CS530" s="67"/>
      <c r="CT530" s="67"/>
      <c r="CU530" s="67">
        <v>0</v>
      </c>
      <c r="CV530" s="67"/>
      <c r="CW530" s="67"/>
      <c r="CX530" s="67"/>
      <c r="CY530" s="67">
        <v>0</v>
      </c>
      <c r="CZ530" s="67"/>
      <c r="DA530" s="67"/>
      <c r="DB530" s="67"/>
      <c r="DC530" s="67"/>
      <c r="DF530" s="67"/>
      <c r="DG530" s="67">
        <v>0</v>
      </c>
      <c r="DH530" s="67">
        <v>0</v>
      </c>
      <c r="DI530" s="67">
        <v>0</v>
      </c>
      <c r="DJ530" s="67"/>
      <c r="DK530" s="67">
        <v>0</v>
      </c>
      <c r="DL530" s="67">
        <v>0</v>
      </c>
      <c r="DM530" s="67">
        <v>0</v>
      </c>
      <c r="DN530" s="67"/>
      <c r="DO530" s="67"/>
      <c r="DP530" s="67"/>
      <c r="DQ530" s="67">
        <v>0</v>
      </c>
      <c r="DR530" s="67">
        <v>0</v>
      </c>
      <c r="DS530" s="67"/>
      <c r="DT530" s="67"/>
      <c r="DU530" s="67">
        <v>0</v>
      </c>
      <c r="DV530" s="67">
        <v>0</v>
      </c>
      <c r="DW530" s="67">
        <v>0</v>
      </c>
      <c r="DX530" s="67">
        <v>0</v>
      </c>
      <c r="DY530" s="67"/>
      <c r="DZ530" s="67">
        <v>0</v>
      </c>
      <c r="EA530" s="67"/>
      <c r="EB530" s="67">
        <v>0</v>
      </c>
      <c r="EC530" s="67"/>
      <c r="ED530" s="67">
        <v>0</v>
      </c>
      <c r="EE530" s="67"/>
      <c r="EF530" s="67">
        <v>0</v>
      </c>
      <c r="EG530" s="67"/>
      <c r="EH530" s="67"/>
      <c r="EI530" s="67"/>
      <c r="EJ530" s="67"/>
      <c r="EK530" s="67"/>
      <c r="EL530" s="67"/>
      <c r="EM530" s="67"/>
      <c r="EN530" s="67"/>
      <c r="EO530" s="67"/>
      <c r="EP530" s="67">
        <v>0</v>
      </c>
      <c r="EQ530" s="67">
        <v>0</v>
      </c>
      <c r="ER530" s="67">
        <v>0</v>
      </c>
      <c r="ES530" s="67"/>
      <c r="ET530">
        <v>0</v>
      </c>
      <c r="EX530" s="67"/>
      <c r="EY530" s="67"/>
      <c r="EZ530" s="67"/>
      <c r="FA530" s="67">
        <v>0</v>
      </c>
      <c r="FB530" s="67">
        <v>0</v>
      </c>
      <c r="FC530" s="67"/>
      <c r="FD530" s="67"/>
      <c r="FE530" s="67"/>
      <c r="FF530" s="67"/>
      <c r="FG530" s="67"/>
      <c r="FH530" s="67"/>
      <c r="FI530" s="67" t="s">
        <v>1734</v>
      </c>
    </row>
    <row r="531" spans="2:165" ht="24" x14ac:dyDescent="0.2">
      <c r="B531" s="67" t="s">
        <v>1382</v>
      </c>
      <c r="C531" s="67"/>
      <c r="D531" s="67" t="s">
        <v>1383</v>
      </c>
      <c r="E531" s="67" t="s">
        <v>889</v>
      </c>
      <c r="F531" s="67" t="s">
        <v>1230</v>
      </c>
      <c r="G531" s="67" t="s">
        <v>694</v>
      </c>
      <c r="H531" s="67"/>
      <c r="I531" s="67" t="s">
        <v>43</v>
      </c>
      <c r="J531" s="67"/>
      <c r="K531" s="67"/>
      <c r="L531" s="67" t="s">
        <v>787</v>
      </c>
      <c r="M531" s="67" t="s">
        <v>752</v>
      </c>
      <c r="N531" s="67"/>
      <c r="O531" s="67" t="s">
        <v>1599</v>
      </c>
      <c r="P531" s="67"/>
      <c r="Q531" s="67">
        <v>500</v>
      </c>
      <c r="R531" s="67">
        <v>0</v>
      </c>
      <c r="S531" s="67">
        <v>0</v>
      </c>
      <c r="T531" s="67">
        <v>0</v>
      </c>
      <c r="U531" s="67">
        <v>0</v>
      </c>
      <c r="V531" s="67">
        <v>0</v>
      </c>
      <c r="W531" s="67">
        <v>0</v>
      </c>
      <c r="X531" s="67">
        <v>0</v>
      </c>
      <c r="Y531" s="67">
        <v>500</v>
      </c>
      <c r="Z531" s="67">
        <v>0</v>
      </c>
      <c r="AA531" s="67">
        <v>0</v>
      </c>
      <c r="AB531" s="67">
        <v>0</v>
      </c>
      <c r="AC531" s="67">
        <v>0</v>
      </c>
      <c r="AD531" s="67">
        <v>0</v>
      </c>
      <c r="AE531" s="67">
        <v>0</v>
      </c>
      <c r="AF531" s="67">
        <v>0</v>
      </c>
      <c r="AG531" s="67">
        <v>0</v>
      </c>
      <c r="AH531" s="67">
        <v>0</v>
      </c>
      <c r="AI531" s="67">
        <v>0</v>
      </c>
      <c r="AJ531" s="67">
        <v>0</v>
      </c>
      <c r="AK531" s="67">
        <v>0</v>
      </c>
      <c r="AL531" s="67">
        <v>0</v>
      </c>
      <c r="AM531" s="67">
        <v>0</v>
      </c>
      <c r="AN531" s="67">
        <v>0</v>
      </c>
      <c r="AO531" s="67">
        <v>0</v>
      </c>
      <c r="AP531" s="67">
        <v>0</v>
      </c>
      <c r="AQ531" s="67">
        <v>0</v>
      </c>
      <c r="AR531" s="67">
        <v>0</v>
      </c>
      <c r="AS531" s="67">
        <v>0</v>
      </c>
      <c r="AT531" s="67"/>
      <c r="AU531" s="67"/>
      <c r="AV531" s="67"/>
      <c r="AW531" s="67">
        <v>0</v>
      </c>
      <c r="AX531" s="67">
        <v>0</v>
      </c>
      <c r="AY531" s="67"/>
      <c r="AZ531" s="67"/>
      <c r="BA531" s="67"/>
      <c r="BB531" s="67"/>
      <c r="BC531" s="67"/>
      <c r="BD531" s="67"/>
      <c r="BE531" s="67"/>
      <c r="BG531" s="67"/>
      <c r="BH531" s="67"/>
      <c r="BI531" s="67"/>
      <c r="BJ531" s="67">
        <v>0</v>
      </c>
      <c r="BK531" s="67"/>
      <c r="BL531" s="67"/>
      <c r="BP531" s="67"/>
      <c r="BQ531" s="67">
        <v>0</v>
      </c>
      <c r="BR531" s="67"/>
      <c r="BS531" s="67"/>
      <c r="BT531" s="67">
        <v>0</v>
      </c>
      <c r="BU531" s="67">
        <v>0</v>
      </c>
      <c r="BV531" s="67"/>
      <c r="BW531" s="67"/>
      <c r="BX531" s="67">
        <v>0</v>
      </c>
      <c r="BY531" s="67">
        <v>0</v>
      </c>
      <c r="BZ531" s="67">
        <v>0</v>
      </c>
      <c r="CA531" s="67"/>
      <c r="CB531" s="67">
        <v>0</v>
      </c>
      <c r="CC531" s="67"/>
      <c r="CD531" s="67"/>
      <c r="CE531" s="67">
        <v>0</v>
      </c>
      <c r="CF531" s="67"/>
      <c r="CG531" s="67"/>
      <c r="CH531" s="67"/>
      <c r="CI531" s="67"/>
      <c r="CJ531" s="67"/>
      <c r="CK531" s="67">
        <v>0</v>
      </c>
      <c r="CL531" s="67"/>
      <c r="CM531" s="67"/>
      <c r="CN531" s="67"/>
      <c r="CO531" s="67">
        <v>0</v>
      </c>
      <c r="CP531" s="67"/>
      <c r="CQ531" s="67"/>
      <c r="CR531" s="67"/>
      <c r="CS531" s="67"/>
      <c r="CT531" s="67"/>
      <c r="CU531" s="67">
        <v>0</v>
      </c>
      <c r="CV531" s="67"/>
      <c r="CW531" s="67"/>
      <c r="CX531" s="67"/>
      <c r="CY531" s="67">
        <v>0</v>
      </c>
      <c r="CZ531" s="67"/>
      <c r="DA531" s="67"/>
      <c r="DB531" s="67"/>
      <c r="DC531" s="67"/>
      <c r="DF531" s="67"/>
      <c r="DG531" s="67">
        <v>0</v>
      </c>
      <c r="DH531" s="67">
        <v>0</v>
      </c>
      <c r="DI531" s="67">
        <v>0</v>
      </c>
      <c r="DJ531" s="67"/>
      <c r="DK531" s="67">
        <v>0</v>
      </c>
      <c r="DL531" s="67">
        <v>0</v>
      </c>
      <c r="DM531" s="67">
        <v>0</v>
      </c>
      <c r="DN531" s="67"/>
      <c r="DO531" s="67"/>
      <c r="DP531" s="67"/>
      <c r="DQ531" s="67">
        <v>0</v>
      </c>
      <c r="DR531" s="67">
        <v>0</v>
      </c>
      <c r="DS531" s="67"/>
      <c r="DT531" s="67"/>
      <c r="DU531" s="67">
        <v>0</v>
      </c>
      <c r="DV531" s="67">
        <v>0</v>
      </c>
      <c r="DW531" s="67">
        <v>0</v>
      </c>
      <c r="DX531" s="67">
        <v>0</v>
      </c>
      <c r="DY531" s="67"/>
      <c r="DZ531" s="67">
        <v>0</v>
      </c>
      <c r="EA531" s="67"/>
      <c r="EB531" s="67">
        <v>0</v>
      </c>
      <c r="EC531" s="67"/>
      <c r="ED531" s="67">
        <v>0</v>
      </c>
      <c r="EE531" s="67"/>
      <c r="EF531" s="67">
        <v>0</v>
      </c>
      <c r="EG531" s="67"/>
      <c r="EH531" s="67"/>
      <c r="EI531" s="67"/>
      <c r="EJ531" s="67"/>
      <c r="EK531" s="67"/>
      <c r="EL531" s="67"/>
      <c r="EM531" s="67"/>
      <c r="EN531" s="67"/>
      <c r="EO531" s="67"/>
      <c r="EP531" s="67">
        <v>0</v>
      </c>
      <c r="EQ531" s="67">
        <v>0</v>
      </c>
      <c r="ER531" s="67">
        <v>0</v>
      </c>
      <c r="ES531" s="67"/>
      <c r="ET531">
        <v>0</v>
      </c>
      <c r="EX531" s="67"/>
      <c r="EY531" s="67"/>
      <c r="EZ531" s="67"/>
      <c r="FA531" s="67">
        <v>500</v>
      </c>
      <c r="FB531" s="67">
        <v>0</v>
      </c>
      <c r="FC531" s="67"/>
      <c r="FD531" s="67"/>
      <c r="FE531" s="67"/>
      <c r="FF531" s="67"/>
      <c r="FG531" s="67"/>
      <c r="FH531" s="67"/>
      <c r="FI531" s="67" t="s">
        <v>1734</v>
      </c>
    </row>
    <row r="532" spans="2:165" x14ac:dyDescent="0.2">
      <c r="B532" s="67" t="s">
        <v>1384</v>
      </c>
      <c r="C532" s="67"/>
      <c r="D532" s="67" t="s">
        <v>1385</v>
      </c>
      <c r="E532" s="67" t="s">
        <v>23</v>
      </c>
      <c r="F532" s="67" t="s">
        <v>1230</v>
      </c>
      <c r="G532" s="67" t="s">
        <v>694</v>
      </c>
      <c r="H532" s="67"/>
      <c r="I532" s="67" t="s">
        <v>43</v>
      </c>
      <c r="J532" s="67"/>
      <c r="K532" s="67"/>
      <c r="L532" s="67" t="s">
        <v>787</v>
      </c>
      <c r="M532" s="67" t="s">
        <v>752</v>
      </c>
      <c r="N532" s="67"/>
      <c r="O532" s="67" t="s">
        <v>1599</v>
      </c>
      <c r="P532" s="67"/>
      <c r="Q532" s="67">
        <v>1600</v>
      </c>
      <c r="R532" s="67">
        <v>0</v>
      </c>
      <c r="S532" s="67">
        <v>0</v>
      </c>
      <c r="T532" s="67">
        <v>0</v>
      </c>
      <c r="U532" s="67">
        <v>0</v>
      </c>
      <c r="V532" s="67">
        <v>0</v>
      </c>
      <c r="W532" s="67">
        <v>0</v>
      </c>
      <c r="X532" s="67">
        <v>0</v>
      </c>
      <c r="Y532" s="67">
        <v>1600</v>
      </c>
      <c r="Z532" s="67">
        <v>0</v>
      </c>
      <c r="AA532" s="67">
        <v>0</v>
      </c>
      <c r="AB532" s="67">
        <v>0</v>
      </c>
      <c r="AC532" s="67">
        <v>0</v>
      </c>
      <c r="AD532" s="67">
        <v>0</v>
      </c>
      <c r="AE532" s="67">
        <v>0</v>
      </c>
      <c r="AF532" s="67">
        <v>0</v>
      </c>
      <c r="AG532" s="67">
        <v>0</v>
      </c>
      <c r="AH532" s="67">
        <v>0</v>
      </c>
      <c r="AI532" s="67">
        <v>0</v>
      </c>
      <c r="AJ532" s="67">
        <v>0</v>
      </c>
      <c r="AK532" s="67">
        <v>0</v>
      </c>
      <c r="AL532" s="67">
        <v>0</v>
      </c>
      <c r="AM532" s="67">
        <v>0</v>
      </c>
      <c r="AN532" s="67">
        <v>0</v>
      </c>
      <c r="AO532" s="67">
        <v>0</v>
      </c>
      <c r="AP532" s="67">
        <v>0</v>
      </c>
      <c r="AQ532" s="67">
        <v>0</v>
      </c>
      <c r="AR532" s="67">
        <v>0</v>
      </c>
      <c r="AS532" s="67">
        <v>0</v>
      </c>
      <c r="AT532" s="67"/>
      <c r="AU532" s="67"/>
      <c r="AV532" s="67"/>
      <c r="AW532" s="67">
        <v>0</v>
      </c>
      <c r="AX532" s="67">
        <v>0</v>
      </c>
      <c r="AY532" s="67"/>
      <c r="AZ532" s="67"/>
      <c r="BA532" s="67"/>
      <c r="BB532" s="67"/>
      <c r="BC532" s="67"/>
      <c r="BD532" s="67"/>
      <c r="BE532" s="67"/>
      <c r="BG532" s="67"/>
      <c r="BH532" s="67"/>
      <c r="BI532" s="67"/>
      <c r="BJ532" s="67">
        <v>0</v>
      </c>
      <c r="BK532" s="67"/>
      <c r="BL532" s="67"/>
      <c r="BP532" s="67"/>
      <c r="BQ532" s="67">
        <v>0</v>
      </c>
      <c r="BR532" s="67"/>
      <c r="BS532" s="67"/>
      <c r="BT532" s="67">
        <v>0</v>
      </c>
      <c r="BU532" s="67">
        <v>0</v>
      </c>
      <c r="BV532" s="67"/>
      <c r="BW532" s="67"/>
      <c r="BX532" s="67">
        <v>0</v>
      </c>
      <c r="BY532" s="67">
        <v>0</v>
      </c>
      <c r="BZ532" s="67">
        <v>0</v>
      </c>
      <c r="CA532" s="67"/>
      <c r="CB532" s="67">
        <v>0</v>
      </c>
      <c r="CC532" s="67"/>
      <c r="CD532" s="67"/>
      <c r="CE532" s="67">
        <v>0</v>
      </c>
      <c r="CF532" s="67"/>
      <c r="CG532" s="67"/>
      <c r="CH532" s="67"/>
      <c r="CI532" s="67"/>
      <c r="CJ532" s="67"/>
      <c r="CK532" s="67">
        <v>0</v>
      </c>
      <c r="CL532" s="67"/>
      <c r="CM532" s="67"/>
      <c r="CN532" s="67"/>
      <c r="CO532" s="67">
        <v>0</v>
      </c>
      <c r="CP532" s="67"/>
      <c r="CQ532" s="67"/>
      <c r="CR532" s="67"/>
      <c r="CS532" s="67"/>
      <c r="CT532" s="67"/>
      <c r="CU532" s="67">
        <v>0</v>
      </c>
      <c r="CV532" s="67"/>
      <c r="CW532" s="67"/>
      <c r="CX532" s="67"/>
      <c r="CY532" s="67">
        <v>0</v>
      </c>
      <c r="CZ532" s="67"/>
      <c r="DA532" s="67"/>
      <c r="DB532" s="67"/>
      <c r="DC532" s="67"/>
      <c r="DF532" s="67"/>
      <c r="DG532" s="67">
        <v>0</v>
      </c>
      <c r="DH532" s="67">
        <v>0</v>
      </c>
      <c r="DI532" s="67">
        <v>0</v>
      </c>
      <c r="DJ532" s="67"/>
      <c r="DK532" s="67">
        <v>0</v>
      </c>
      <c r="DL532" s="67">
        <v>0</v>
      </c>
      <c r="DM532" s="67">
        <v>0</v>
      </c>
      <c r="DN532" s="67"/>
      <c r="DO532" s="67"/>
      <c r="DP532" s="67"/>
      <c r="DQ532" s="67">
        <v>0</v>
      </c>
      <c r="DR532" s="67">
        <v>0</v>
      </c>
      <c r="DS532" s="67"/>
      <c r="DT532" s="67"/>
      <c r="DU532" s="67">
        <v>0</v>
      </c>
      <c r="DV532" s="67">
        <v>0</v>
      </c>
      <c r="DW532" s="67">
        <v>0</v>
      </c>
      <c r="DX532" s="67">
        <v>0</v>
      </c>
      <c r="DY532" s="67"/>
      <c r="DZ532" s="67">
        <v>0</v>
      </c>
      <c r="EA532" s="67"/>
      <c r="EB532" s="67">
        <v>0</v>
      </c>
      <c r="EC532" s="67"/>
      <c r="ED532" s="67">
        <v>0</v>
      </c>
      <c r="EE532" s="67"/>
      <c r="EF532" s="67">
        <v>0</v>
      </c>
      <c r="EG532" s="67"/>
      <c r="EH532" s="67"/>
      <c r="EI532" s="67"/>
      <c r="EJ532" s="67"/>
      <c r="EK532" s="67"/>
      <c r="EL532" s="67"/>
      <c r="EM532" s="67"/>
      <c r="EN532" s="67"/>
      <c r="EO532" s="67"/>
      <c r="EP532" s="67">
        <v>0</v>
      </c>
      <c r="EQ532" s="67">
        <v>0</v>
      </c>
      <c r="ER532" s="67">
        <v>0</v>
      </c>
      <c r="ES532" s="67"/>
      <c r="ET532">
        <v>0</v>
      </c>
      <c r="EX532" s="67"/>
      <c r="EY532" s="67"/>
      <c r="EZ532" s="67"/>
      <c r="FA532" s="67">
        <v>1600</v>
      </c>
      <c r="FB532" s="67">
        <v>0</v>
      </c>
      <c r="FC532" s="67"/>
      <c r="FD532" s="67"/>
      <c r="FE532" s="67"/>
      <c r="FF532" s="67"/>
      <c r="FG532" s="67"/>
      <c r="FH532" s="67"/>
      <c r="FI532" s="67" t="s">
        <v>1734</v>
      </c>
    </row>
    <row r="533" spans="2:165" x14ac:dyDescent="0.2">
      <c r="B533" s="67" t="s">
        <v>1386</v>
      </c>
      <c r="C533" s="67"/>
      <c r="D533" s="67" t="s">
        <v>1387</v>
      </c>
      <c r="E533" s="67" t="s">
        <v>23</v>
      </c>
      <c r="F533" s="67" t="s">
        <v>1230</v>
      </c>
      <c r="G533" s="67" t="s">
        <v>694</v>
      </c>
      <c r="H533" s="67"/>
      <c r="I533" s="67" t="s">
        <v>43</v>
      </c>
      <c r="J533" s="67"/>
      <c r="K533" s="67"/>
      <c r="L533" s="67" t="s">
        <v>787</v>
      </c>
      <c r="M533" s="67" t="s">
        <v>752</v>
      </c>
      <c r="N533" s="67"/>
      <c r="O533" s="67" t="s">
        <v>1599</v>
      </c>
      <c r="P533" s="67"/>
      <c r="Q533" s="67">
        <v>3206</v>
      </c>
      <c r="R533" s="67">
        <v>0</v>
      </c>
      <c r="S533" s="67">
        <v>0</v>
      </c>
      <c r="T533" s="67">
        <v>0</v>
      </c>
      <c r="U533" s="67">
        <v>0</v>
      </c>
      <c r="V533" s="67">
        <v>0</v>
      </c>
      <c r="W533" s="67">
        <v>0</v>
      </c>
      <c r="X533" s="67">
        <v>0</v>
      </c>
      <c r="Y533" s="67">
        <v>3206</v>
      </c>
      <c r="Z533" s="67">
        <v>0</v>
      </c>
      <c r="AA533" s="67">
        <v>0</v>
      </c>
      <c r="AB533" s="67">
        <v>0</v>
      </c>
      <c r="AC533" s="67">
        <v>0</v>
      </c>
      <c r="AD533" s="67">
        <v>0</v>
      </c>
      <c r="AE533" s="67">
        <v>0</v>
      </c>
      <c r="AF533" s="67">
        <v>0</v>
      </c>
      <c r="AG533" s="67">
        <v>0</v>
      </c>
      <c r="AH533" s="67">
        <v>0</v>
      </c>
      <c r="AI533" s="67">
        <v>0</v>
      </c>
      <c r="AJ533" s="67">
        <v>0</v>
      </c>
      <c r="AK533" s="67">
        <v>0</v>
      </c>
      <c r="AL533" s="67">
        <v>0</v>
      </c>
      <c r="AM533" s="67">
        <v>0</v>
      </c>
      <c r="AN533" s="67">
        <v>0</v>
      </c>
      <c r="AO533" s="67">
        <v>0</v>
      </c>
      <c r="AP533" s="67">
        <v>0</v>
      </c>
      <c r="AQ533" s="67">
        <v>0</v>
      </c>
      <c r="AR533" s="67">
        <v>0</v>
      </c>
      <c r="AS533" s="67">
        <v>0</v>
      </c>
      <c r="AT533" s="67"/>
      <c r="AU533" s="67"/>
      <c r="AV533" s="67"/>
      <c r="AW533" s="67">
        <v>0</v>
      </c>
      <c r="AX533" s="67">
        <v>0</v>
      </c>
      <c r="AY533" s="67"/>
      <c r="AZ533" s="67"/>
      <c r="BA533" s="67"/>
      <c r="BB533" s="67"/>
      <c r="BC533" s="67"/>
      <c r="BD533" s="67"/>
      <c r="BE533" s="67"/>
      <c r="BG533" s="67"/>
      <c r="BH533" s="67"/>
      <c r="BI533" s="67"/>
      <c r="BJ533" s="67">
        <v>0</v>
      </c>
      <c r="BK533" s="67"/>
      <c r="BL533" s="67"/>
      <c r="BP533" s="67"/>
      <c r="BQ533" s="67">
        <v>0</v>
      </c>
      <c r="BR533" s="67"/>
      <c r="BS533" s="67"/>
      <c r="BT533" s="67">
        <v>0</v>
      </c>
      <c r="BU533" s="67">
        <v>0</v>
      </c>
      <c r="BV533" s="67"/>
      <c r="BW533" s="67"/>
      <c r="BX533" s="67">
        <v>0</v>
      </c>
      <c r="BY533" s="67">
        <v>0</v>
      </c>
      <c r="BZ533" s="67">
        <v>0</v>
      </c>
      <c r="CA533" s="67"/>
      <c r="CB533" s="67">
        <v>0</v>
      </c>
      <c r="CC533" s="67"/>
      <c r="CD533" s="67"/>
      <c r="CE533" s="67">
        <v>0</v>
      </c>
      <c r="CF533" s="67"/>
      <c r="CG533" s="67"/>
      <c r="CH533" s="67"/>
      <c r="CI533" s="67"/>
      <c r="CJ533" s="67"/>
      <c r="CK533" s="67">
        <v>0</v>
      </c>
      <c r="CL533" s="67"/>
      <c r="CM533" s="67"/>
      <c r="CN533" s="67"/>
      <c r="CO533" s="67">
        <v>0</v>
      </c>
      <c r="CP533" s="67"/>
      <c r="CQ533" s="67"/>
      <c r="CR533" s="67"/>
      <c r="CS533" s="67"/>
      <c r="CT533" s="67"/>
      <c r="CU533" s="67">
        <v>0</v>
      </c>
      <c r="CV533" s="67"/>
      <c r="CW533" s="67"/>
      <c r="CX533" s="67"/>
      <c r="CY533" s="67">
        <v>0</v>
      </c>
      <c r="CZ533" s="67"/>
      <c r="DA533" s="67"/>
      <c r="DB533" s="67"/>
      <c r="DC533" s="67"/>
      <c r="DF533" s="67"/>
      <c r="DG533" s="67">
        <v>0</v>
      </c>
      <c r="DH533" s="67">
        <v>0</v>
      </c>
      <c r="DI533" s="67">
        <v>0</v>
      </c>
      <c r="DJ533" s="67"/>
      <c r="DK533" s="67">
        <v>0</v>
      </c>
      <c r="DL533" s="67">
        <v>0</v>
      </c>
      <c r="DM533" s="67">
        <v>0</v>
      </c>
      <c r="DN533" s="67"/>
      <c r="DO533" s="67"/>
      <c r="DP533" s="67"/>
      <c r="DQ533" s="67">
        <v>0</v>
      </c>
      <c r="DR533" s="67">
        <v>0</v>
      </c>
      <c r="DS533" s="67"/>
      <c r="DT533" s="67"/>
      <c r="DU533" s="67">
        <v>0</v>
      </c>
      <c r="DV533" s="67">
        <v>0</v>
      </c>
      <c r="DW533" s="67">
        <v>0</v>
      </c>
      <c r="DX533" s="67">
        <v>0</v>
      </c>
      <c r="DY533" s="67"/>
      <c r="DZ533" s="67">
        <v>0</v>
      </c>
      <c r="EA533" s="67"/>
      <c r="EB533" s="67">
        <v>0</v>
      </c>
      <c r="EC533" s="67"/>
      <c r="ED533" s="67">
        <v>0</v>
      </c>
      <c r="EE533" s="67"/>
      <c r="EF533" s="67">
        <v>0</v>
      </c>
      <c r="EG533" s="67"/>
      <c r="EH533" s="67"/>
      <c r="EI533" s="67"/>
      <c r="EJ533" s="67"/>
      <c r="EK533" s="67"/>
      <c r="EL533" s="67"/>
      <c r="EM533" s="67"/>
      <c r="EN533" s="67"/>
      <c r="EO533" s="67"/>
      <c r="EP533" s="67">
        <v>0</v>
      </c>
      <c r="EQ533" s="67">
        <v>0</v>
      </c>
      <c r="ER533" s="67">
        <v>0</v>
      </c>
      <c r="ES533" s="67"/>
      <c r="ET533">
        <v>0</v>
      </c>
      <c r="EX533" s="67"/>
      <c r="EY533" s="67"/>
      <c r="EZ533" s="67"/>
      <c r="FA533" s="67">
        <v>3206</v>
      </c>
      <c r="FB533" s="67">
        <v>0</v>
      </c>
      <c r="FC533" s="67"/>
      <c r="FD533" s="67"/>
      <c r="FE533" s="67"/>
      <c r="FF533" s="67"/>
      <c r="FG533" s="67"/>
      <c r="FH533" s="67"/>
      <c r="FI533" s="67" t="s">
        <v>1734</v>
      </c>
    </row>
    <row r="534" spans="2:165" x14ac:dyDescent="0.2">
      <c r="B534" s="67" t="s">
        <v>1388</v>
      </c>
      <c r="C534" s="67"/>
      <c r="D534" s="67" t="s">
        <v>1389</v>
      </c>
      <c r="E534" s="67" t="s">
        <v>23</v>
      </c>
      <c r="F534" s="67" t="s">
        <v>1224</v>
      </c>
      <c r="G534" s="67" t="s">
        <v>694</v>
      </c>
      <c r="H534" s="67"/>
      <c r="I534" s="67" t="s">
        <v>43</v>
      </c>
      <c r="J534" s="67"/>
      <c r="K534" s="67"/>
      <c r="L534" s="67" t="s">
        <v>787</v>
      </c>
      <c r="M534" s="67" t="s">
        <v>752</v>
      </c>
      <c r="N534" s="67"/>
      <c r="O534" s="67" t="s">
        <v>1605</v>
      </c>
      <c r="P534" s="67"/>
      <c r="Q534" s="67">
        <v>0</v>
      </c>
      <c r="R534" s="67">
        <v>0</v>
      </c>
      <c r="S534" s="67">
        <v>0</v>
      </c>
      <c r="T534" s="67">
        <v>0</v>
      </c>
      <c r="U534" s="67">
        <v>0</v>
      </c>
      <c r="V534" s="67">
        <v>0</v>
      </c>
      <c r="W534" s="67">
        <v>0</v>
      </c>
      <c r="X534" s="67">
        <v>0</v>
      </c>
      <c r="Y534" s="67">
        <v>0</v>
      </c>
      <c r="Z534" s="67">
        <v>0</v>
      </c>
      <c r="AA534" s="67">
        <v>0</v>
      </c>
      <c r="AB534" s="67">
        <v>0</v>
      </c>
      <c r="AC534" s="67">
        <v>0</v>
      </c>
      <c r="AD534" s="67">
        <v>0</v>
      </c>
      <c r="AE534" s="67">
        <v>0</v>
      </c>
      <c r="AF534" s="67">
        <v>0</v>
      </c>
      <c r="AG534" s="67">
        <v>0</v>
      </c>
      <c r="AH534" s="67">
        <v>0</v>
      </c>
      <c r="AI534" s="67">
        <v>0</v>
      </c>
      <c r="AJ534" s="67">
        <v>0</v>
      </c>
      <c r="AK534" s="67">
        <v>0</v>
      </c>
      <c r="AL534" s="67">
        <v>0</v>
      </c>
      <c r="AM534" s="67">
        <v>0</v>
      </c>
      <c r="AN534" s="67">
        <v>0</v>
      </c>
      <c r="AO534" s="67">
        <v>0</v>
      </c>
      <c r="AP534" s="67">
        <v>0</v>
      </c>
      <c r="AQ534" s="67">
        <v>0</v>
      </c>
      <c r="AR534" s="67">
        <v>0</v>
      </c>
      <c r="AS534" s="67">
        <v>0</v>
      </c>
      <c r="AT534" s="67"/>
      <c r="AU534" s="67"/>
      <c r="AV534" s="67"/>
      <c r="AW534" s="67">
        <v>0</v>
      </c>
      <c r="AX534" s="67">
        <v>0</v>
      </c>
      <c r="AY534" s="67"/>
      <c r="AZ534" s="67"/>
      <c r="BA534" s="67"/>
      <c r="BB534" s="67"/>
      <c r="BC534" s="67"/>
      <c r="BD534" s="67"/>
      <c r="BE534" s="67"/>
      <c r="BG534" s="67"/>
      <c r="BH534" s="67"/>
      <c r="BI534" s="67"/>
      <c r="BJ534" s="67">
        <v>0</v>
      </c>
      <c r="BK534" s="67"/>
      <c r="BL534" s="67"/>
      <c r="BP534" s="67"/>
      <c r="BQ534" s="67">
        <v>0</v>
      </c>
      <c r="BR534" s="67"/>
      <c r="BS534" s="67"/>
      <c r="BT534" s="67">
        <v>0</v>
      </c>
      <c r="BU534" s="67">
        <v>0</v>
      </c>
      <c r="BV534" s="67"/>
      <c r="BW534" s="67"/>
      <c r="BX534" s="67">
        <v>0</v>
      </c>
      <c r="BY534" s="67">
        <v>0</v>
      </c>
      <c r="BZ534" s="67">
        <v>0</v>
      </c>
      <c r="CA534" s="67"/>
      <c r="CB534" s="67">
        <v>0</v>
      </c>
      <c r="CC534" s="67"/>
      <c r="CD534" s="67"/>
      <c r="CE534" s="67">
        <v>0</v>
      </c>
      <c r="CF534" s="67"/>
      <c r="CG534" s="67"/>
      <c r="CH534" s="67"/>
      <c r="CI534" s="67"/>
      <c r="CJ534" s="67"/>
      <c r="CK534" s="67">
        <v>0</v>
      </c>
      <c r="CL534" s="67"/>
      <c r="CM534" s="67"/>
      <c r="CN534" s="67"/>
      <c r="CO534" s="67">
        <v>0</v>
      </c>
      <c r="CP534" s="67"/>
      <c r="CQ534" s="67"/>
      <c r="CR534" s="67"/>
      <c r="CS534" s="67"/>
      <c r="CT534" s="67"/>
      <c r="CU534" s="67">
        <v>0</v>
      </c>
      <c r="CV534" s="67"/>
      <c r="CW534" s="67"/>
      <c r="CX534" s="67"/>
      <c r="CY534" s="67">
        <v>0</v>
      </c>
      <c r="CZ534" s="67"/>
      <c r="DA534" s="67"/>
      <c r="DB534" s="67"/>
      <c r="DC534" s="67"/>
      <c r="DF534" s="67"/>
      <c r="DG534" s="67">
        <v>0</v>
      </c>
      <c r="DH534" s="67">
        <v>0</v>
      </c>
      <c r="DI534" s="67">
        <v>0</v>
      </c>
      <c r="DJ534" s="67"/>
      <c r="DK534" s="67">
        <v>0</v>
      </c>
      <c r="DL534" s="67">
        <v>0</v>
      </c>
      <c r="DM534" s="67">
        <v>0</v>
      </c>
      <c r="DN534" s="67"/>
      <c r="DO534" s="67"/>
      <c r="DP534" s="67"/>
      <c r="DQ534" s="67">
        <v>0</v>
      </c>
      <c r="DR534" s="67">
        <v>0</v>
      </c>
      <c r="DS534" s="67"/>
      <c r="DT534" s="67"/>
      <c r="DU534" s="67">
        <v>0</v>
      </c>
      <c r="DV534" s="67">
        <v>0</v>
      </c>
      <c r="DW534" s="67">
        <v>0</v>
      </c>
      <c r="DX534" s="67">
        <v>0</v>
      </c>
      <c r="DY534" s="67"/>
      <c r="DZ534" s="67">
        <v>0</v>
      </c>
      <c r="EA534" s="67"/>
      <c r="EB534" s="67">
        <v>0</v>
      </c>
      <c r="EC534" s="67"/>
      <c r="ED534" s="67">
        <v>0</v>
      </c>
      <c r="EE534" s="67"/>
      <c r="EF534" s="67">
        <v>0</v>
      </c>
      <c r="EG534" s="67"/>
      <c r="EH534" s="67"/>
      <c r="EI534" s="67"/>
      <c r="EJ534" s="67"/>
      <c r="EK534" s="67"/>
      <c r="EL534" s="67"/>
      <c r="EM534" s="67"/>
      <c r="EN534" s="67"/>
      <c r="EO534" s="67"/>
      <c r="EP534" s="67">
        <v>0</v>
      </c>
      <c r="EQ534" s="67">
        <v>0</v>
      </c>
      <c r="ER534" s="67">
        <v>0</v>
      </c>
      <c r="ES534" s="67"/>
      <c r="ET534">
        <v>0</v>
      </c>
      <c r="EX534" s="67"/>
      <c r="EY534" s="67"/>
      <c r="EZ534" s="67"/>
      <c r="FA534" s="67">
        <v>0</v>
      </c>
      <c r="FB534" s="67">
        <v>0</v>
      </c>
      <c r="FC534" s="67"/>
      <c r="FD534" s="67"/>
      <c r="FE534" s="67"/>
      <c r="FF534" s="67"/>
      <c r="FG534" s="67"/>
      <c r="FH534" s="67"/>
      <c r="FI534" s="67" t="s">
        <v>1734</v>
      </c>
    </row>
    <row r="535" spans="2:165" x14ac:dyDescent="0.2">
      <c r="B535" s="67" t="s">
        <v>1390</v>
      </c>
      <c r="C535" s="67"/>
      <c r="D535" s="67" t="s">
        <v>1391</v>
      </c>
      <c r="E535" s="67" t="s">
        <v>732</v>
      </c>
      <c r="F535" s="67"/>
      <c r="G535" s="67" t="s">
        <v>345</v>
      </c>
      <c r="H535" s="67"/>
      <c r="I535" s="67" t="s">
        <v>43</v>
      </c>
      <c r="J535" s="67"/>
      <c r="K535" s="67"/>
      <c r="L535" s="67" t="s">
        <v>767</v>
      </c>
      <c r="M535" s="67" t="s">
        <v>1392</v>
      </c>
      <c r="N535" s="67">
        <v>44197</v>
      </c>
      <c r="O535" s="67" t="s">
        <v>1605</v>
      </c>
      <c r="P535" s="67" t="s">
        <v>734</v>
      </c>
      <c r="Q535" s="67">
        <v>0</v>
      </c>
      <c r="R535" s="67">
        <v>0</v>
      </c>
      <c r="S535" s="67">
        <v>0</v>
      </c>
      <c r="T535" s="67">
        <v>0</v>
      </c>
      <c r="U535" s="67">
        <v>0</v>
      </c>
      <c r="V535" s="67">
        <v>0</v>
      </c>
      <c r="W535" s="67">
        <v>0</v>
      </c>
      <c r="X535" s="67">
        <v>0</v>
      </c>
      <c r="Y535" s="67">
        <v>0</v>
      </c>
      <c r="Z535" s="67">
        <v>0</v>
      </c>
      <c r="AA535" s="67">
        <v>0</v>
      </c>
      <c r="AB535" s="67">
        <v>0</v>
      </c>
      <c r="AC535" s="67">
        <v>0</v>
      </c>
      <c r="AD535" s="67">
        <v>0</v>
      </c>
      <c r="AE535" s="67">
        <v>0</v>
      </c>
      <c r="AF535" s="67">
        <v>0</v>
      </c>
      <c r="AG535" s="67">
        <v>0</v>
      </c>
      <c r="AH535" s="67">
        <v>0</v>
      </c>
      <c r="AI535" s="67">
        <v>0</v>
      </c>
      <c r="AJ535" s="67">
        <v>0</v>
      </c>
      <c r="AK535" s="67">
        <v>0</v>
      </c>
      <c r="AL535" s="67">
        <v>0</v>
      </c>
      <c r="AM535" s="67">
        <v>0</v>
      </c>
      <c r="AN535" s="67">
        <v>0</v>
      </c>
      <c r="AO535" s="67">
        <v>0</v>
      </c>
      <c r="AP535" s="67">
        <v>0</v>
      </c>
      <c r="AQ535" s="67">
        <v>0</v>
      </c>
      <c r="AR535" s="67">
        <v>0</v>
      </c>
      <c r="AS535" s="67">
        <v>0</v>
      </c>
      <c r="AT535" s="67"/>
      <c r="AU535" s="67"/>
      <c r="AV535" s="67"/>
      <c r="AW535" s="67">
        <v>0</v>
      </c>
      <c r="AX535" s="67">
        <v>0</v>
      </c>
      <c r="AY535" s="67"/>
      <c r="AZ535" s="67"/>
      <c r="BA535" s="67"/>
      <c r="BB535" s="67"/>
      <c r="BC535" s="67"/>
      <c r="BD535" s="67"/>
      <c r="BE535" s="67"/>
      <c r="BG535" s="67"/>
      <c r="BH535" s="67"/>
      <c r="BI535" s="67"/>
      <c r="BJ535" s="67">
        <v>0</v>
      </c>
      <c r="BK535" s="67"/>
      <c r="BL535" s="67"/>
      <c r="BP535" s="67"/>
      <c r="BQ535" s="67">
        <v>0</v>
      </c>
      <c r="BR535" s="67"/>
      <c r="BS535" s="67"/>
      <c r="BT535" s="67">
        <v>0</v>
      </c>
      <c r="BU535" s="67">
        <v>0</v>
      </c>
      <c r="BV535" s="67"/>
      <c r="BW535" s="67"/>
      <c r="BX535" s="67">
        <v>0</v>
      </c>
      <c r="BY535" s="67">
        <v>0</v>
      </c>
      <c r="BZ535" s="67">
        <v>0</v>
      </c>
      <c r="CA535" s="67"/>
      <c r="CB535" s="67">
        <v>0</v>
      </c>
      <c r="CC535" s="67"/>
      <c r="CD535" s="67"/>
      <c r="CE535" s="67">
        <v>0</v>
      </c>
      <c r="CF535" s="67"/>
      <c r="CG535" s="67"/>
      <c r="CH535" s="67"/>
      <c r="CI535" s="67"/>
      <c r="CJ535" s="67"/>
      <c r="CK535" s="67">
        <v>0</v>
      </c>
      <c r="CL535" s="67"/>
      <c r="CM535" s="67"/>
      <c r="CN535" s="67"/>
      <c r="CO535" s="67">
        <v>0</v>
      </c>
      <c r="CP535" s="67"/>
      <c r="CQ535" s="67"/>
      <c r="CR535" s="67"/>
      <c r="CS535" s="67"/>
      <c r="CT535" s="67"/>
      <c r="CU535" s="67">
        <v>0</v>
      </c>
      <c r="CV535" s="67"/>
      <c r="CW535" s="67"/>
      <c r="CX535" s="67"/>
      <c r="CY535" s="67">
        <v>0</v>
      </c>
      <c r="CZ535" s="67"/>
      <c r="DA535" s="67"/>
      <c r="DB535" s="67"/>
      <c r="DC535" s="67"/>
      <c r="DF535" s="67"/>
      <c r="DG535" s="67">
        <v>0</v>
      </c>
      <c r="DH535" s="67">
        <v>0</v>
      </c>
      <c r="DI535" s="67">
        <v>0</v>
      </c>
      <c r="DJ535" s="67"/>
      <c r="DK535" s="67">
        <v>0</v>
      </c>
      <c r="DL535" s="67">
        <v>0</v>
      </c>
      <c r="DM535" s="67">
        <v>0</v>
      </c>
      <c r="DN535" s="67"/>
      <c r="DO535" s="67"/>
      <c r="DP535" s="67"/>
      <c r="DQ535" s="67">
        <v>0</v>
      </c>
      <c r="DR535" s="67">
        <v>0</v>
      </c>
      <c r="DS535" s="67"/>
      <c r="DT535" s="67"/>
      <c r="DU535" s="67">
        <v>0</v>
      </c>
      <c r="DV535" s="67">
        <v>0</v>
      </c>
      <c r="DW535" s="67">
        <v>0</v>
      </c>
      <c r="DX535" s="67">
        <v>0</v>
      </c>
      <c r="DY535" s="67"/>
      <c r="DZ535" s="67">
        <v>0</v>
      </c>
      <c r="EA535" s="67"/>
      <c r="EB535" s="67">
        <v>0</v>
      </c>
      <c r="EC535" s="67"/>
      <c r="ED535" s="67">
        <v>0</v>
      </c>
      <c r="EE535" s="67"/>
      <c r="EF535" s="67">
        <v>0</v>
      </c>
      <c r="EG535" s="67"/>
      <c r="EH535" s="67"/>
      <c r="EI535" s="67"/>
      <c r="EJ535" s="67"/>
      <c r="EK535" s="67"/>
      <c r="EL535" s="67"/>
      <c r="EM535" s="67"/>
      <c r="EN535" s="67"/>
      <c r="EO535" s="67"/>
      <c r="EP535" s="67">
        <v>0</v>
      </c>
      <c r="EQ535" s="67">
        <v>0</v>
      </c>
      <c r="ER535" s="67">
        <v>0</v>
      </c>
      <c r="ES535" s="67"/>
      <c r="ET535">
        <v>0</v>
      </c>
      <c r="EX535" s="67"/>
      <c r="EY535" s="67"/>
      <c r="EZ535" s="67"/>
      <c r="FA535" s="67">
        <v>0</v>
      </c>
      <c r="FB535" s="67">
        <v>0</v>
      </c>
      <c r="FC535" s="67"/>
      <c r="FD535" s="67"/>
      <c r="FE535" s="67"/>
      <c r="FF535" s="67"/>
      <c r="FG535" s="67"/>
      <c r="FH535" s="67"/>
      <c r="FI535" s="67" t="s">
        <v>1734</v>
      </c>
    </row>
    <row r="536" spans="2:165" x14ac:dyDescent="0.2">
      <c r="B536" s="67" t="s">
        <v>1395</v>
      </c>
      <c r="C536" s="67"/>
      <c r="D536" s="67" t="s">
        <v>1396</v>
      </c>
      <c r="E536" s="67"/>
      <c r="F536" s="67"/>
      <c r="G536" s="67" t="s">
        <v>345</v>
      </c>
      <c r="H536" s="67"/>
      <c r="I536" s="67"/>
      <c r="J536" s="67"/>
      <c r="K536" s="67"/>
      <c r="L536" s="67"/>
      <c r="M536" s="67"/>
      <c r="N536" s="67"/>
      <c r="O536" s="67" t="s">
        <v>1605</v>
      </c>
      <c r="P536" s="67" t="s">
        <v>346</v>
      </c>
      <c r="Q536" s="67">
        <v>0</v>
      </c>
      <c r="R536" s="67">
        <v>0</v>
      </c>
      <c r="S536" s="67">
        <v>0</v>
      </c>
      <c r="T536" s="67">
        <v>0</v>
      </c>
      <c r="U536" s="67">
        <v>0</v>
      </c>
      <c r="V536" s="67">
        <v>0</v>
      </c>
      <c r="W536" s="67">
        <v>0</v>
      </c>
      <c r="X536" s="67">
        <v>0</v>
      </c>
      <c r="Y536" s="67">
        <v>0</v>
      </c>
      <c r="Z536" s="67">
        <v>0</v>
      </c>
      <c r="AA536" s="67">
        <v>0</v>
      </c>
      <c r="AB536" s="67">
        <v>0</v>
      </c>
      <c r="AC536" s="67">
        <v>0</v>
      </c>
      <c r="AD536" s="67">
        <v>0</v>
      </c>
      <c r="AE536" s="67">
        <v>0</v>
      </c>
      <c r="AF536" s="67">
        <v>0</v>
      </c>
      <c r="AG536" s="67">
        <v>0</v>
      </c>
      <c r="AH536" s="67">
        <v>0</v>
      </c>
      <c r="AI536" s="67">
        <v>0</v>
      </c>
      <c r="AJ536" s="67">
        <v>0</v>
      </c>
      <c r="AK536" s="67">
        <v>0</v>
      </c>
      <c r="AL536" s="67">
        <v>0</v>
      </c>
      <c r="AM536" s="67">
        <v>0</v>
      </c>
      <c r="AN536" s="67">
        <v>0</v>
      </c>
      <c r="AO536" s="67">
        <v>0</v>
      </c>
      <c r="AP536" s="67">
        <v>0</v>
      </c>
      <c r="AQ536" s="67">
        <v>0</v>
      </c>
      <c r="AR536" s="67">
        <v>0</v>
      </c>
      <c r="AS536" s="67">
        <v>0</v>
      </c>
      <c r="AT536" s="67"/>
      <c r="AU536" s="67"/>
      <c r="AV536" s="67"/>
      <c r="AW536" s="67">
        <v>0</v>
      </c>
      <c r="AX536" s="67">
        <v>0</v>
      </c>
      <c r="AY536" s="67"/>
      <c r="AZ536" s="67"/>
      <c r="BA536" s="67"/>
      <c r="BB536" s="67"/>
      <c r="BC536" s="67"/>
      <c r="BD536" s="67"/>
      <c r="BE536" s="67"/>
      <c r="BG536" s="67"/>
      <c r="BH536" s="67"/>
      <c r="BI536" s="67"/>
      <c r="BJ536" s="67">
        <v>0</v>
      </c>
      <c r="BK536" s="67"/>
      <c r="BL536" s="67"/>
      <c r="BP536" s="67"/>
      <c r="BQ536" s="67">
        <v>0</v>
      </c>
      <c r="BR536" s="67"/>
      <c r="BS536" s="67"/>
      <c r="BT536" s="67">
        <v>0</v>
      </c>
      <c r="BU536" s="67">
        <v>0</v>
      </c>
      <c r="BV536" s="67"/>
      <c r="BW536" s="67"/>
      <c r="BX536" s="67">
        <v>0</v>
      </c>
      <c r="BY536" s="67">
        <v>0</v>
      </c>
      <c r="BZ536" s="67">
        <v>0</v>
      </c>
      <c r="CA536" s="67"/>
      <c r="CB536" s="67">
        <v>0</v>
      </c>
      <c r="CC536" s="67"/>
      <c r="CD536" s="67"/>
      <c r="CE536" s="67">
        <v>0</v>
      </c>
      <c r="CF536" s="67"/>
      <c r="CG536" s="67"/>
      <c r="CH536" s="67"/>
      <c r="CI536" s="67"/>
      <c r="CJ536" s="67"/>
      <c r="CK536" s="67">
        <v>0</v>
      </c>
      <c r="CL536" s="67"/>
      <c r="CM536" s="67"/>
      <c r="CN536" s="67"/>
      <c r="CO536" s="67">
        <v>0</v>
      </c>
      <c r="CP536" s="67"/>
      <c r="CQ536" s="67"/>
      <c r="CR536" s="67"/>
      <c r="CS536" s="67"/>
      <c r="CT536" s="67"/>
      <c r="CU536" s="67">
        <v>0</v>
      </c>
      <c r="CV536" s="67"/>
      <c r="CW536" s="67"/>
      <c r="CX536" s="67"/>
      <c r="CY536" s="67">
        <v>0</v>
      </c>
      <c r="CZ536" s="67"/>
      <c r="DA536" s="67"/>
      <c r="DB536" s="67"/>
      <c r="DC536" s="67"/>
      <c r="DF536" s="67"/>
      <c r="DG536" s="67">
        <v>0</v>
      </c>
      <c r="DH536" s="67">
        <v>0</v>
      </c>
      <c r="DI536" s="67">
        <v>0</v>
      </c>
      <c r="DJ536" s="67"/>
      <c r="DK536" s="67">
        <v>0</v>
      </c>
      <c r="DL536" s="67">
        <v>0</v>
      </c>
      <c r="DM536" s="67">
        <v>0</v>
      </c>
      <c r="DN536" s="67"/>
      <c r="DO536" s="67"/>
      <c r="DP536" s="67"/>
      <c r="DQ536" s="67">
        <v>0</v>
      </c>
      <c r="DR536" s="67">
        <v>0</v>
      </c>
      <c r="DS536" s="67"/>
      <c r="DT536" s="67"/>
      <c r="DU536" s="67">
        <v>0</v>
      </c>
      <c r="DV536" s="67">
        <v>0</v>
      </c>
      <c r="DW536" s="67">
        <v>0</v>
      </c>
      <c r="DX536" s="67">
        <v>0</v>
      </c>
      <c r="DY536" s="67"/>
      <c r="DZ536" s="67">
        <v>0</v>
      </c>
      <c r="EA536" s="67"/>
      <c r="EB536" s="67">
        <v>0</v>
      </c>
      <c r="EC536" s="67"/>
      <c r="ED536" s="67">
        <v>0</v>
      </c>
      <c r="EE536" s="67"/>
      <c r="EF536" s="67">
        <v>0</v>
      </c>
      <c r="EG536" s="67"/>
      <c r="EH536" s="67"/>
      <c r="EI536" s="67"/>
      <c r="EJ536" s="67"/>
      <c r="EK536" s="67"/>
      <c r="EL536" s="67"/>
      <c r="EM536" s="67"/>
      <c r="EN536" s="67"/>
      <c r="EO536" s="67"/>
      <c r="EP536" s="67">
        <v>0</v>
      </c>
      <c r="EQ536" s="67">
        <v>0</v>
      </c>
      <c r="ER536" s="67">
        <v>0</v>
      </c>
      <c r="ES536" s="67"/>
      <c r="ET536">
        <v>0</v>
      </c>
      <c r="EX536" s="67"/>
      <c r="EY536" s="67"/>
      <c r="EZ536" s="67"/>
      <c r="FA536" s="67">
        <v>0</v>
      </c>
      <c r="FB536" s="67">
        <v>0</v>
      </c>
      <c r="FC536" s="67"/>
      <c r="FD536" s="67"/>
      <c r="FE536" s="67"/>
      <c r="FF536" s="67"/>
      <c r="FG536" s="67"/>
      <c r="FH536" s="67"/>
      <c r="FI536" s="67" t="s">
        <v>1734</v>
      </c>
    </row>
    <row r="537" spans="2:165" ht="24" x14ac:dyDescent="0.2">
      <c r="B537" s="67" t="s">
        <v>1397</v>
      </c>
      <c r="C537" s="67"/>
      <c r="D537" s="67" t="s">
        <v>1398</v>
      </c>
      <c r="E537" s="67" t="s">
        <v>13</v>
      </c>
      <c r="F537" s="67"/>
      <c r="G537" s="67" t="s">
        <v>345</v>
      </c>
      <c r="H537" s="67"/>
      <c r="I537" s="67" t="s">
        <v>41</v>
      </c>
      <c r="J537" s="67"/>
      <c r="K537" s="67"/>
      <c r="L537" s="67" t="s">
        <v>751</v>
      </c>
      <c r="M537" s="67" t="s">
        <v>1399</v>
      </c>
      <c r="N537" s="67"/>
      <c r="O537" s="67" t="s">
        <v>1599</v>
      </c>
      <c r="P537" s="67" t="s">
        <v>1400</v>
      </c>
      <c r="Q537" s="67">
        <v>2515</v>
      </c>
      <c r="R537" s="67">
        <v>0</v>
      </c>
      <c r="S537" s="67">
        <v>0</v>
      </c>
      <c r="T537" s="67">
        <v>1615</v>
      </c>
      <c r="U537" s="67">
        <v>0</v>
      </c>
      <c r="V537" s="67">
        <v>0</v>
      </c>
      <c r="W537" s="67">
        <v>0</v>
      </c>
      <c r="X537" s="67">
        <v>0</v>
      </c>
      <c r="Y537" s="67">
        <v>0</v>
      </c>
      <c r="Z537" s="67">
        <v>0</v>
      </c>
      <c r="AA537" s="67">
        <v>0</v>
      </c>
      <c r="AB537" s="67">
        <v>0</v>
      </c>
      <c r="AC537" s="67">
        <v>0</v>
      </c>
      <c r="AD537" s="67">
        <v>0</v>
      </c>
      <c r="AE537" s="67">
        <v>0</v>
      </c>
      <c r="AF537" s="67">
        <v>0</v>
      </c>
      <c r="AG537" s="67">
        <v>0</v>
      </c>
      <c r="AH537" s="67">
        <v>0</v>
      </c>
      <c r="AI537" s="67">
        <v>0</v>
      </c>
      <c r="AJ537" s="67">
        <v>0</v>
      </c>
      <c r="AK537" s="67">
        <v>0</v>
      </c>
      <c r="AL537" s="67">
        <v>0</v>
      </c>
      <c r="AM537" s="67">
        <v>0</v>
      </c>
      <c r="AN537" s="67">
        <v>900</v>
      </c>
      <c r="AO537" s="67">
        <v>0</v>
      </c>
      <c r="AP537" s="67">
        <v>0</v>
      </c>
      <c r="AQ537" s="67">
        <v>0</v>
      </c>
      <c r="AR537" s="67">
        <v>0</v>
      </c>
      <c r="AS537" s="67">
        <v>0</v>
      </c>
      <c r="AT537" s="67"/>
      <c r="AU537" s="67"/>
      <c r="AV537" s="67"/>
      <c r="AW537" s="67">
        <v>0</v>
      </c>
      <c r="AX537" s="67">
        <v>0</v>
      </c>
      <c r="AY537" s="67"/>
      <c r="AZ537" s="67"/>
      <c r="BA537" s="67"/>
      <c r="BB537" s="67"/>
      <c r="BC537" s="67"/>
      <c r="BD537" s="67"/>
      <c r="BE537" s="67"/>
      <c r="BG537" s="67"/>
      <c r="BH537" s="67"/>
      <c r="BI537" s="67"/>
      <c r="BJ537" s="67">
        <v>0</v>
      </c>
      <c r="BK537" s="67"/>
      <c r="BL537" s="67"/>
      <c r="BP537" s="67"/>
      <c r="BQ537" s="67">
        <v>0</v>
      </c>
      <c r="BR537" s="67"/>
      <c r="BS537" s="67"/>
      <c r="BT537" s="67">
        <v>0</v>
      </c>
      <c r="BU537" s="67">
        <v>0</v>
      </c>
      <c r="BV537" s="67"/>
      <c r="BW537" s="67"/>
      <c r="BX537" s="67">
        <v>0</v>
      </c>
      <c r="BY537" s="67">
        <v>0</v>
      </c>
      <c r="BZ537" s="67">
        <v>0</v>
      </c>
      <c r="CA537" s="67"/>
      <c r="CB537" s="67">
        <v>0</v>
      </c>
      <c r="CC537" s="67"/>
      <c r="CD537" s="67"/>
      <c r="CE537" s="67">
        <v>0</v>
      </c>
      <c r="CF537" s="67"/>
      <c r="CG537" s="67"/>
      <c r="CH537" s="67"/>
      <c r="CI537" s="67"/>
      <c r="CJ537" s="67"/>
      <c r="CK537" s="67">
        <v>0</v>
      </c>
      <c r="CL537" s="67"/>
      <c r="CM537" s="67"/>
      <c r="CN537" s="67"/>
      <c r="CO537" s="67">
        <v>0</v>
      </c>
      <c r="CP537" s="67"/>
      <c r="CQ537" s="67"/>
      <c r="CR537" s="67"/>
      <c r="CS537" s="67"/>
      <c r="CT537" s="67"/>
      <c r="CU537" s="67">
        <v>0</v>
      </c>
      <c r="CV537" s="67"/>
      <c r="CW537" s="67"/>
      <c r="CX537" s="67"/>
      <c r="CY537" s="67">
        <v>0</v>
      </c>
      <c r="CZ537" s="67"/>
      <c r="DA537" s="67"/>
      <c r="DB537" s="67"/>
      <c r="DC537" s="67"/>
      <c r="DF537" s="67"/>
      <c r="DG537" s="67">
        <v>0</v>
      </c>
      <c r="DH537" s="67">
        <v>0</v>
      </c>
      <c r="DI537" s="67">
        <v>0</v>
      </c>
      <c r="DJ537" s="67"/>
      <c r="DK537" s="67">
        <v>0</v>
      </c>
      <c r="DL537" s="67">
        <v>0</v>
      </c>
      <c r="DM537" s="67">
        <v>0</v>
      </c>
      <c r="DN537" s="67"/>
      <c r="DO537" s="67"/>
      <c r="DP537" s="67"/>
      <c r="DQ537" s="67">
        <v>0</v>
      </c>
      <c r="DR537" s="67">
        <v>0</v>
      </c>
      <c r="DS537" s="67"/>
      <c r="DT537" s="67"/>
      <c r="DU537" s="67">
        <v>0</v>
      </c>
      <c r="DV537" s="67">
        <v>0</v>
      </c>
      <c r="DW537" s="67">
        <v>0</v>
      </c>
      <c r="DX537" s="67">
        <v>0</v>
      </c>
      <c r="DY537" s="67"/>
      <c r="DZ537" s="67">
        <v>0</v>
      </c>
      <c r="EA537" s="67"/>
      <c r="EB537" s="67">
        <v>0</v>
      </c>
      <c r="EC537" s="67"/>
      <c r="ED537" s="67">
        <v>0</v>
      </c>
      <c r="EE537" s="67"/>
      <c r="EF537" s="67">
        <v>0</v>
      </c>
      <c r="EG537" s="67"/>
      <c r="EH537" s="67"/>
      <c r="EI537" s="67"/>
      <c r="EJ537" s="67"/>
      <c r="EK537" s="67"/>
      <c r="EL537" s="67"/>
      <c r="EM537" s="67"/>
      <c r="EN537" s="67"/>
      <c r="EO537" s="67"/>
      <c r="EP537" s="67">
        <v>0</v>
      </c>
      <c r="EQ537" s="67">
        <v>0</v>
      </c>
      <c r="ER537" s="67">
        <v>0</v>
      </c>
      <c r="ES537" s="67"/>
      <c r="ET537">
        <v>0</v>
      </c>
      <c r="EX537" s="67"/>
      <c r="EY537" s="67"/>
      <c r="EZ537" s="67"/>
      <c r="FA537" s="67">
        <v>2515</v>
      </c>
      <c r="FB537" s="67">
        <v>0</v>
      </c>
      <c r="FC537" s="67"/>
      <c r="FD537" s="67"/>
      <c r="FE537" s="67"/>
      <c r="FF537" s="67"/>
      <c r="FG537" s="67"/>
      <c r="FH537" s="67"/>
      <c r="FI537" s="67" t="s">
        <v>1734</v>
      </c>
    </row>
    <row r="538" spans="2:165" ht="24" x14ac:dyDescent="0.2">
      <c r="B538" s="67" t="s">
        <v>1404</v>
      </c>
      <c r="C538" s="67"/>
      <c r="D538" s="67" t="s">
        <v>1405</v>
      </c>
      <c r="E538" s="67" t="s">
        <v>13</v>
      </c>
      <c r="F538" s="67"/>
      <c r="G538" s="67" t="s">
        <v>345</v>
      </c>
      <c r="H538" s="67"/>
      <c r="I538" s="67" t="s">
        <v>41</v>
      </c>
      <c r="J538" s="67"/>
      <c r="K538" s="67"/>
      <c r="L538" s="67" t="s">
        <v>751</v>
      </c>
      <c r="M538" s="67" t="s">
        <v>1399</v>
      </c>
      <c r="N538" s="67"/>
      <c r="O538" s="67" t="s">
        <v>1599</v>
      </c>
      <c r="P538" s="67" t="s">
        <v>298</v>
      </c>
      <c r="Q538" s="67">
        <v>6318</v>
      </c>
      <c r="R538" s="67">
        <v>0</v>
      </c>
      <c r="S538" s="67">
        <v>0</v>
      </c>
      <c r="T538" s="67">
        <v>5348</v>
      </c>
      <c r="U538" s="67">
        <v>0</v>
      </c>
      <c r="V538" s="67">
        <v>0</v>
      </c>
      <c r="W538" s="67">
        <v>0</v>
      </c>
      <c r="X538" s="67">
        <v>0</v>
      </c>
      <c r="Y538" s="67">
        <v>0</v>
      </c>
      <c r="Z538" s="67">
        <v>0</v>
      </c>
      <c r="AA538" s="67">
        <v>0</v>
      </c>
      <c r="AB538" s="67">
        <v>0</v>
      </c>
      <c r="AC538" s="67">
        <v>0</v>
      </c>
      <c r="AD538" s="67">
        <v>0</v>
      </c>
      <c r="AE538" s="67">
        <v>0</v>
      </c>
      <c r="AF538" s="67">
        <v>0</v>
      </c>
      <c r="AG538" s="67">
        <v>0</v>
      </c>
      <c r="AH538" s="67">
        <v>0</v>
      </c>
      <c r="AI538" s="67">
        <v>0</v>
      </c>
      <c r="AJ538" s="67">
        <v>0</v>
      </c>
      <c r="AK538" s="67">
        <v>0</v>
      </c>
      <c r="AL538" s="67">
        <v>0</v>
      </c>
      <c r="AM538" s="67">
        <v>0</v>
      </c>
      <c r="AN538" s="67">
        <v>970</v>
      </c>
      <c r="AO538" s="67">
        <v>0</v>
      </c>
      <c r="AP538" s="67">
        <v>0</v>
      </c>
      <c r="AQ538" s="67">
        <v>0</v>
      </c>
      <c r="AR538" s="67">
        <v>0</v>
      </c>
      <c r="AS538" s="67">
        <v>0</v>
      </c>
      <c r="AT538" s="67"/>
      <c r="AU538" s="67"/>
      <c r="AV538" s="67"/>
      <c r="AW538" s="67">
        <v>0</v>
      </c>
      <c r="AX538" s="67">
        <v>0</v>
      </c>
      <c r="AY538" s="67"/>
      <c r="AZ538" s="67"/>
      <c r="BA538" s="67"/>
      <c r="BB538" s="67"/>
      <c r="BC538" s="67"/>
      <c r="BD538" s="67"/>
      <c r="BE538" s="67"/>
      <c r="BG538" s="67"/>
      <c r="BH538" s="67"/>
      <c r="BI538" s="67"/>
      <c r="BJ538" s="67">
        <v>0</v>
      </c>
      <c r="BK538" s="67"/>
      <c r="BL538" s="67"/>
      <c r="BP538" s="67"/>
      <c r="BQ538" s="67">
        <v>0</v>
      </c>
      <c r="BR538" s="67"/>
      <c r="BS538" s="67"/>
      <c r="BT538" s="67">
        <v>0</v>
      </c>
      <c r="BU538" s="67">
        <v>0</v>
      </c>
      <c r="BV538" s="67"/>
      <c r="BW538" s="67"/>
      <c r="BX538" s="67">
        <v>0</v>
      </c>
      <c r="BY538" s="67">
        <v>0</v>
      </c>
      <c r="BZ538" s="67">
        <v>0</v>
      </c>
      <c r="CA538" s="67"/>
      <c r="CB538" s="67">
        <v>0</v>
      </c>
      <c r="CC538" s="67"/>
      <c r="CD538" s="67"/>
      <c r="CE538" s="67">
        <v>0</v>
      </c>
      <c r="CF538" s="67"/>
      <c r="CG538" s="67"/>
      <c r="CH538" s="67"/>
      <c r="CI538" s="67"/>
      <c r="CJ538" s="67"/>
      <c r="CK538" s="67">
        <v>0</v>
      </c>
      <c r="CL538" s="67"/>
      <c r="CM538" s="67"/>
      <c r="CN538" s="67"/>
      <c r="CO538" s="67">
        <v>0</v>
      </c>
      <c r="CP538" s="67"/>
      <c r="CQ538" s="67"/>
      <c r="CR538" s="67"/>
      <c r="CS538" s="67"/>
      <c r="CT538" s="67"/>
      <c r="CU538" s="67">
        <v>0</v>
      </c>
      <c r="CV538" s="67"/>
      <c r="CW538" s="67"/>
      <c r="CX538" s="67"/>
      <c r="CY538" s="67">
        <v>0</v>
      </c>
      <c r="CZ538" s="67"/>
      <c r="DA538" s="67"/>
      <c r="DB538" s="67"/>
      <c r="DC538" s="67"/>
      <c r="DF538" s="67"/>
      <c r="DG538" s="67">
        <v>0</v>
      </c>
      <c r="DH538" s="67">
        <v>0</v>
      </c>
      <c r="DI538" s="67">
        <v>0</v>
      </c>
      <c r="DJ538" s="67"/>
      <c r="DK538" s="67">
        <v>300</v>
      </c>
      <c r="DL538" s="67"/>
      <c r="DM538" s="67">
        <v>0</v>
      </c>
      <c r="DN538" s="67"/>
      <c r="DO538" s="67"/>
      <c r="DP538" s="67"/>
      <c r="DQ538" s="67">
        <v>300</v>
      </c>
      <c r="DR538" s="67">
        <v>78</v>
      </c>
      <c r="DS538" s="67"/>
      <c r="DT538" s="67"/>
      <c r="DU538" s="67">
        <v>0</v>
      </c>
      <c r="DV538" s="67">
        <v>0</v>
      </c>
      <c r="DW538" s="67">
        <v>222</v>
      </c>
      <c r="DX538" s="67">
        <v>0</v>
      </c>
      <c r="DY538" s="67"/>
      <c r="DZ538" s="67">
        <v>0</v>
      </c>
      <c r="EA538" s="67"/>
      <c r="EB538" s="67">
        <v>0</v>
      </c>
      <c r="EC538" s="67"/>
      <c r="ED538" s="67">
        <v>0</v>
      </c>
      <c r="EE538" s="67"/>
      <c r="EF538" s="67">
        <v>0</v>
      </c>
      <c r="EG538" s="67"/>
      <c r="EH538" s="67"/>
      <c r="EI538" s="67"/>
      <c r="EJ538" s="67"/>
      <c r="EK538" s="67"/>
      <c r="EL538" s="67"/>
      <c r="EM538" s="67"/>
      <c r="EN538" s="67"/>
      <c r="EO538" s="67"/>
      <c r="EP538" s="67">
        <v>0</v>
      </c>
      <c r="EQ538" s="67">
        <v>25</v>
      </c>
      <c r="ER538" s="67">
        <v>25</v>
      </c>
      <c r="ES538" s="67"/>
      <c r="ET538">
        <v>0</v>
      </c>
      <c r="EX538" s="67"/>
      <c r="EY538" s="67"/>
      <c r="EZ538" s="67"/>
      <c r="FA538" s="67">
        <v>6618</v>
      </c>
      <c r="FB538" s="67">
        <v>0</v>
      </c>
      <c r="FC538" s="67"/>
      <c r="FD538" s="67"/>
      <c r="FE538" s="67"/>
      <c r="FF538" s="67"/>
      <c r="FG538" s="67"/>
      <c r="FH538" s="67"/>
      <c r="FI538" s="67" t="s">
        <v>1734</v>
      </c>
    </row>
    <row r="539" spans="2:165" x14ac:dyDescent="0.2">
      <c r="B539" s="67" t="s">
        <v>1406</v>
      </c>
      <c r="C539" s="67"/>
      <c r="D539" s="67" t="s">
        <v>1407</v>
      </c>
      <c r="E539" s="67"/>
      <c r="F539" s="67"/>
      <c r="G539" s="67" t="s">
        <v>345</v>
      </c>
      <c r="H539" s="67"/>
      <c r="I539" s="67"/>
      <c r="J539" s="67"/>
      <c r="K539" s="67"/>
      <c r="L539" s="67"/>
      <c r="M539" s="67"/>
      <c r="N539" s="67"/>
      <c r="O539" s="67" t="s">
        <v>1605</v>
      </c>
      <c r="P539" s="67" t="s">
        <v>346</v>
      </c>
      <c r="Q539" s="67">
        <v>0</v>
      </c>
      <c r="R539" s="67">
        <v>0</v>
      </c>
      <c r="S539" s="67">
        <v>0</v>
      </c>
      <c r="T539" s="67">
        <v>0</v>
      </c>
      <c r="U539" s="67">
        <v>0</v>
      </c>
      <c r="V539" s="67">
        <v>0</v>
      </c>
      <c r="W539" s="67">
        <v>0</v>
      </c>
      <c r="X539" s="67">
        <v>0</v>
      </c>
      <c r="Y539" s="67">
        <v>0</v>
      </c>
      <c r="Z539" s="67">
        <v>0</v>
      </c>
      <c r="AA539" s="67">
        <v>0</v>
      </c>
      <c r="AB539" s="67">
        <v>0</v>
      </c>
      <c r="AC539" s="67">
        <v>0</v>
      </c>
      <c r="AD539" s="67">
        <v>0</v>
      </c>
      <c r="AE539" s="67">
        <v>0</v>
      </c>
      <c r="AF539" s="67">
        <v>0</v>
      </c>
      <c r="AG539" s="67">
        <v>0</v>
      </c>
      <c r="AH539" s="67">
        <v>0</v>
      </c>
      <c r="AI539" s="67">
        <v>0</v>
      </c>
      <c r="AJ539" s="67">
        <v>0</v>
      </c>
      <c r="AK539" s="67">
        <v>0</v>
      </c>
      <c r="AL539" s="67">
        <v>0</v>
      </c>
      <c r="AM539" s="67">
        <v>0</v>
      </c>
      <c r="AN539" s="67">
        <v>0</v>
      </c>
      <c r="AO539" s="67">
        <v>0</v>
      </c>
      <c r="AP539" s="67">
        <v>0</v>
      </c>
      <c r="AQ539" s="67">
        <v>0</v>
      </c>
      <c r="AR539" s="67">
        <v>0</v>
      </c>
      <c r="AS539" s="67">
        <v>0</v>
      </c>
      <c r="AT539" s="67"/>
      <c r="AU539" s="67"/>
      <c r="AV539" s="67"/>
      <c r="AW539" s="67">
        <v>0</v>
      </c>
      <c r="AX539" s="67">
        <v>0</v>
      </c>
      <c r="AY539" s="67"/>
      <c r="AZ539" s="67"/>
      <c r="BA539" s="67"/>
      <c r="BB539" s="67"/>
      <c r="BC539" s="67"/>
      <c r="BD539" s="67"/>
      <c r="BE539" s="67"/>
      <c r="BG539" s="67"/>
      <c r="BH539" s="67"/>
      <c r="BI539" s="67"/>
      <c r="BJ539" s="67">
        <v>0</v>
      </c>
      <c r="BK539" s="67"/>
      <c r="BL539" s="67"/>
      <c r="BP539" s="67"/>
      <c r="BQ539" s="67">
        <v>0</v>
      </c>
      <c r="BR539" s="67"/>
      <c r="BS539" s="67"/>
      <c r="BT539" s="67">
        <v>0</v>
      </c>
      <c r="BU539" s="67">
        <v>0</v>
      </c>
      <c r="BV539" s="67"/>
      <c r="BW539" s="67"/>
      <c r="BX539" s="67">
        <v>0</v>
      </c>
      <c r="BY539" s="67">
        <v>0</v>
      </c>
      <c r="BZ539" s="67">
        <v>0</v>
      </c>
      <c r="CA539" s="67"/>
      <c r="CB539" s="67">
        <v>0</v>
      </c>
      <c r="CC539" s="67"/>
      <c r="CD539" s="67"/>
      <c r="CE539" s="67">
        <v>0</v>
      </c>
      <c r="CF539" s="67"/>
      <c r="CG539" s="67"/>
      <c r="CH539" s="67"/>
      <c r="CI539" s="67"/>
      <c r="CJ539" s="67"/>
      <c r="CK539" s="67">
        <v>0</v>
      </c>
      <c r="CL539" s="67"/>
      <c r="CM539" s="67"/>
      <c r="CN539" s="67"/>
      <c r="CO539" s="67">
        <v>0</v>
      </c>
      <c r="CP539" s="67"/>
      <c r="CQ539" s="67"/>
      <c r="CR539" s="67"/>
      <c r="CS539" s="67"/>
      <c r="CT539" s="67"/>
      <c r="CU539" s="67">
        <v>0</v>
      </c>
      <c r="CV539" s="67"/>
      <c r="CW539" s="67"/>
      <c r="CX539" s="67"/>
      <c r="CY539" s="67">
        <v>0</v>
      </c>
      <c r="CZ539" s="67"/>
      <c r="DA539" s="67"/>
      <c r="DB539" s="67"/>
      <c r="DC539" s="67"/>
      <c r="DF539" s="67"/>
      <c r="DG539" s="67">
        <v>0</v>
      </c>
      <c r="DH539" s="67">
        <v>0</v>
      </c>
      <c r="DI539" s="67">
        <v>0</v>
      </c>
      <c r="DJ539" s="67"/>
      <c r="DK539" s="67">
        <v>0</v>
      </c>
      <c r="DL539" s="67">
        <v>0</v>
      </c>
      <c r="DM539" s="67">
        <v>0</v>
      </c>
      <c r="DN539" s="67"/>
      <c r="DO539" s="67"/>
      <c r="DP539" s="67"/>
      <c r="DQ539" s="67">
        <v>0</v>
      </c>
      <c r="DR539" s="67">
        <v>0</v>
      </c>
      <c r="DS539" s="67"/>
      <c r="DT539" s="67"/>
      <c r="DU539" s="67">
        <v>0</v>
      </c>
      <c r="DV539" s="67">
        <v>0</v>
      </c>
      <c r="DW539" s="67">
        <v>0</v>
      </c>
      <c r="DX539" s="67">
        <v>0</v>
      </c>
      <c r="DY539" s="67"/>
      <c r="DZ539" s="67">
        <v>0</v>
      </c>
      <c r="EA539" s="67"/>
      <c r="EB539" s="67">
        <v>0</v>
      </c>
      <c r="EC539" s="67"/>
      <c r="ED539" s="67">
        <v>0</v>
      </c>
      <c r="EE539" s="67"/>
      <c r="EF539" s="67">
        <v>0</v>
      </c>
      <c r="EG539" s="67"/>
      <c r="EH539" s="67"/>
      <c r="EI539" s="67"/>
      <c r="EJ539" s="67"/>
      <c r="EK539" s="67"/>
      <c r="EL539" s="67"/>
      <c r="EM539" s="67"/>
      <c r="EN539" s="67"/>
      <c r="EO539" s="67"/>
      <c r="EP539" s="67">
        <v>0</v>
      </c>
      <c r="EQ539" s="67">
        <v>0</v>
      </c>
      <c r="ER539" s="67">
        <v>0</v>
      </c>
      <c r="ES539" s="67"/>
      <c r="ET539">
        <v>0</v>
      </c>
      <c r="EX539" s="67"/>
      <c r="EY539" s="67"/>
      <c r="EZ539" s="67"/>
      <c r="FA539" s="67">
        <v>0</v>
      </c>
      <c r="FB539" s="67">
        <v>0</v>
      </c>
      <c r="FC539" s="67"/>
      <c r="FD539" s="67"/>
      <c r="FE539" s="67"/>
      <c r="FF539" s="67"/>
      <c r="FG539" s="67"/>
      <c r="FH539" s="67"/>
      <c r="FI539" s="67" t="s">
        <v>1734</v>
      </c>
    </row>
    <row r="540" spans="2:165" x14ac:dyDescent="0.2">
      <c r="B540" s="67" t="s">
        <v>1408</v>
      </c>
      <c r="C540" s="67"/>
      <c r="D540" s="67" t="s">
        <v>1409</v>
      </c>
      <c r="E540" s="67"/>
      <c r="F540" s="67"/>
      <c r="G540" s="67" t="s">
        <v>345</v>
      </c>
      <c r="H540" s="67"/>
      <c r="I540" s="67"/>
      <c r="J540" s="67"/>
      <c r="K540" s="67"/>
      <c r="L540" s="67"/>
      <c r="M540" s="67"/>
      <c r="N540" s="67"/>
      <c r="O540" s="67" t="s">
        <v>1605</v>
      </c>
      <c r="P540" s="67" t="s">
        <v>346</v>
      </c>
      <c r="Q540" s="67">
        <v>0</v>
      </c>
      <c r="R540" s="67">
        <v>0</v>
      </c>
      <c r="S540" s="67">
        <v>0</v>
      </c>
      <c r="T540" s="67">
        <v>0</v>
      </c>
      <c r="U540" s="67">
        <v>0</v>
      </c>
      <c r="V540" s="67">
        <v>0</v>
      </c>
      <c r="W540" s="67">
        <v>0</v>
      </c>
      <c r="X540" s="67">
        <v>0</v>
      </c>
      <c r="Y540" s="67">
        <v>0</v>
      </c>
      <c r="Z540" s="67">
        <v>0</v>
      </c>
      <c r="AA540" s="67">
        <v>0</v>
      </c>
      <c r="AB540" s="67">
        <v>0</v>
      </c>
      <c r="AC540" s="67">
        <v>0</v>
      </c>
      <c r="AD540" s="67">
        <v>0</v>
      </c>
      <c r="AE540" s="67">
        <v>0</v>
      </c>
      <c r="AF540" s="67">
        <v>0</v>
      </c>
      <c r="AG540" s="67">
        <v>0</v>
      </c>
      <c r="AH540" s="67">
        <v>0</v>
      </c>
      <c r="AI540" s="67">
        <v>0</v>
      </c>
      <c r="AJ540" s="67">
        <v>0</v>
      </c>
      <c r="AK540" s="67">
        <v>0</v>
      </c>
      <c r="AL540" s="67">
        <v>0</v>
      </c>
      <c r="AM540" s="67">
        <v>0</v>
      </c>
      <c r="AN540" s="67">
        <v>0</v>
      </c>
      <c r="AO540" s="67">
        <v>0</v>
      </c>
      <c r="AP540" s="67">
        <v>0</v>
      </c>
      <c r="AQ540" s="67">
        <v>0</v>
      </c>
      <c r="AR540" s="67">
        <v>0</v>
      </c>
      <c r="AS540" s="67">
        <v>0</v>
      </c>
      <c r="AT540" s="67"/>
      <c r="AU540" s="67"/>
      <c r="AV540" s="67"/>
      <c r="AW540" s="67">
        <v>0</v>
      </c>
      <c r="AX540" s="67">
        <v>0</v>
      </c>
      <c r="AY540" s="67"/>
      <c r="AZ540" s="67"/>
      <c r="BA540" s="67"/>
      <c r="BB540" s="67"/>
      <c r="BC540" s="67"/>
      <c r="BD540" s="67"/>
      <c r="BE540" s="67"/>
      <c r="BG540" s="67"/>
      <c r="BH540" s="67"/>
      <c r="BI540" s="67"/>
      <c r="BJ540" s="67">
        <v>0</v>
      </c>
      <c r="BK540" s="67"/>
      <c r="BL540" s="67"/>
      <c r="BP540" s="67"/>
      <c r="BQ540" s="67">
        <v>0</v>
      </c>
      <c r="BR540" s="67"/>
      <c r="BS540" s="67"/>
      <c r="BT540" s="67">
        <v>0</v>
      </c>
      <c r="BU540" s="67">
        <v>0</v>
      </c>
      <c r="BV540" s="67"/>
      <c r="BW540" s="67"/>
      <c r="BX540" s="67">
        <v>0</v>
      </c>
      <c r="BY540" s="67">
        <v>0</v>
      </c>
      <c r="BZ540" s="67">
        <v>0</v>
      </c>
      <c r="CA540" s="67"/>
      <c r="CB540" s="67">
        <v>0</v>
      </c>
      <c r="CC540" s="67"/>
      <c r="CD540" s="67"/>
      <c r="CE540" s="67">
        <v>0</v>
      </c>
      <c r="CF540" s="67"/>
      <c r="CG540" s="67"/>
      <c r="CH540" s="67"/>
      <c r="CI540" s="67"/>
      <c r="CJ540" s="67"/>
      <c r="CK540" s="67">
        <v>0</v>
      </c>
      <c r="CL540" s="67"/>
      <c r="CM540" s="67"/>
      <c r="CN540" s="67"/>
      <c r="CO540" s="67">
        <v>0</v>
      </c>
      <c r="CP540" s="67"/>
      <c r="CQ540" s="67"/>
      <c r="CR540" s="67"/>
      <c r="CS540" s="67"/>
      <c r="CT540" s="67"/>
      <c r="CU540" s="67">
        <v>0</v>
      </c>
      <c r="CV540" s="67"/>
      <c r="CW540" s="67"/>
      <c r="CX540" s="67"/>
      <c r="CY540" s="67">
        <v>0</v>
      </c>
      <c r="CZ540" s="67"/>
      <c r="DA540" s="67"/>
      <c r="DB540" s="67"/>
      <c r="DC540" s="67"/>
      <c r="DF540" s="67"/>
      <c r="DG540" s="67">
        <v>0</v>
      </c>
      <c r="DH540" s="67">
        <v>0</v>
      </c>
      <c r="DI540" s="67">
        <v>0</v>
      </c>
      <c r="DJ540" s="67"/>
      <c r="DK540" s="67">
        <v>0</v>
      </c>
      <c r="DL540" s="67">
        <v>0</v>
      </c>
      <c r="DM540" s="67">
        <v>0</v>
      </c>
      <c r="DN540" s="67"/>
      <c r="DO540" s="67"/>
      <c r="DP540" s="67"/>
      <c r="DQ540" s="67">
        <v>0</v>
      </c>
      <c r="DR540" s="67">
        <v>0</v>
      </c>
      <c r="DS540" s="67"/>
      <c r="DT540" s="67"/>
      <c r="DU540" s="67">
        <v>0</v>
      </c>
      <c r="DV540" s="67">
        <v>0</v>
      </c>
      <c r="DW540" s="67">
        <v>0</v>
      </c>
      <c r="DX540" s="67">
        <v>0</v>
      </c>
      <c r="DY540" s="67"/>
      <c r="DZ540" s="67">
        <v>0</v>
      </c>
      <c r="EA540" s="67"/>
      <c r="EB540" s="67">
        <v>0</v>
      </c>
      <c r="EC540" s="67"/>
      <c r="ED540" s="67">
        <v>0</v>
      </c>
      <c r="EE540" s="67"/>
      <c r="EF540" s="67">
        <v>0</v>
      </c>
      <c r="EG540" s="67"/>
      <c r="EH540" s="67"/>
      <c r="EI540" s="67"/>
      <c r="EJ540" s="67"/>
      <c r="EK540" s="67"/>
      <c r="EL540" s="67"/>
      <c r="EM540" s="67"/>
      <c r="EN540" s="67"/>
      <c r="EO540" s="67"/>
      <c r="EP540" s="67">
        <v>0</v>
      </c>
      <c r="EQ540" s="67">
        <v>0</v>
      </c>
      <c r="ER540" s="67">
        <v>0</v>
      </c>
      <c r="ES540" s="67"/>
      <c r="ET540">
        <v>0</v>
      </c>
      <c r="EX540" s="67"/>
      <c r="EY540" s="67"/>
      <c r="EZ540" s="67"/>
      <c r="FA540" s="67">
        <v>0</v>
      </c>
      <c r="FB540" s="67">
        <v>0</v>
      </c>
      <c r="FC540" s="67"/>
      <c r="FD540" s="67"/>
      <c r="FE540" s="67"/>
      <c r="FF540" s="67"/>
      <c r="FG540" s="67"/>
      <c r="FH540" s="67"/>
      <c r="FI540" s="67" t="s">
        <v>1734</v>
      </c>
    </row>
    <row r="541" spans="2:165" ht="24" x14ac:dyDescent="0.2">
      <c r="B541" s="67" t="s">
        <v>1410</v>
      </c>
      <c r="C541" s="67"/>
      <c r="D541" s="67" t="s">
        <v>1411</v>
      </c>
      <c r="E541" s="67"/>
      <c r="F541" s="67"/>
      <c r="G541" s="67" t="s">
        <v>345</v>
      </c>
      <c r="H541" s="67"/>
      <c r="I541" s="67"/>
      <c r="J541" s="67"/>
      <c r="K541" s="67" t="s">
        <v>1412</v>
      </c>
      <c r="L541" s="67"/>
      <c r="M541" s="67"/>
      <c r="N541" s="67"/>
      <c r="O541" s="67" t="s">
        <v>1605</v>
      </c>
      <c r="P541" s="67" t="s">
        <v>1413</v>
      </c>
      <c r="Q541" s="67">
        <v>0</v>
      </c>
      <c r="R541" s="67">
        <v>0</v>
      </c>
      <c r="S541" s="67">
        <v>0</v>
      </c>
      <c r="T541" s="67">
        <v>0</v>
      </c>
      <c r="U541" s="67">
        <v>0</v>
      </c>
      <c r="V541" s="67">
        <v>0</v>
      </c>
      <c r="W541" s="67">
        <v>0</v>
      </c>
      <c r="X541" s="67">
        <v>0</v>
      </c>
      <c r="Y541" s="67">
        <v>0</v>
      </c>
      <c r="Z541" s="67">
        <v>0</v>
      </c>
      <c r="AA541" s="67">
        <v>0</v>
      </c>
      <c r="AB541" s="67">
        <v>0</v>
      </c>
      <c r="AC541" s="67">
        <v>0</v>
      </c>
      <c r="AD541" s="67">
        <v>0</v>
      </c>
      <c r="AE541" s="67">
        <v>0</v>
      </c>
      <c r="AF541" s="67">
        <v>0</v>
      </c>
      <c r="AG541" s="67">
        <v>0</v>
      </c>
      <c r="AH541" s="67">
        <v>0</v>
      </c>
      <c r="AI541" s="67">
        <v>0</v>
      </c>
      <c r="AJ541" s="67">
        <v>0</v>
      </c>
      <c r="AK541" s="67">
        <v>0</v>
      </c>
      <c r="AL541" s="67">
        <v>0</v>
      </c>
      <c r="AM541" s="67">
        <v>0</v>
      </c>
      <c r="AN541" s="67">
        <v>0</v>
      </c>
      <c r="AO541" s="67">
        <v>0</v>
      </c>
      <c r="AP541" s="67">
        <v>0</v>
      </c>
      <c r="AQ541" s="67">
        <v>0</v>
      </c>
      <c r="AR541" s="67">
        <v>0</v>
      </c>
      <c r="AS541" s="67">
        <v>0</v>
      </c>
      <c r="AT541" s="67"/>
      <c r="AU541" s="67"/>
      <c r="AV541" s="67"/>
      <c r="AW541" s="67">
        <v>0</v>
      </c>
      <c r="AX541" s="67">
        <v>0</v>
      </c>
      <c r="AY541" s="67"/>
      <c r="AZ541" s="67"/>
      <c r="BA541" s="67"/>
      <c r="BB541" s="67"/>
      <c r="BC541" s="67"/>
      <c r="BD541" s="67"/>
      <c r="BE541" s="67"/>
      <c r="BG541" s="67"/>
      <c r="BH541" s="67"/>
      <c r="BI541" s="67"/>
      <c r="BJ541" s="67">
        <v>0</v>
      </c>
      <c r="BK541" s="67"/>
      <c r="BL541" s="67"/>
      <c r="BP541" s="67"/>
      <c r="BQ541" s="67">
        <v>0</v>
      </c>
      <c r="BR541" s="67"/>
      <c r="BS541" s="67"/>
      <c r="BT541" s="67">
        <v>0</v>
      </c>
      <c r="BU541" s="67">
        <v>0</v>
      </c>
      <c r="BV541" s="67"/>
      <c r="BW541" s="67"/>
      <c r="BX541" s="67">
        <v>0</v>
      </c>
      <c r="BY541" s="67">
        <v>0</v>
      </c>
      <c r="BZ541" s="67">
        <v>0</v>
      </c>
      <c r="CA541" s="67"/>
      <c r="CB541" s="67">
        <v>0</v>
      </c>
      <c r="CC541" s="67"/>
      <c r="CD541" s="67"/>
      <c r="CE541" s="67">
        <v>0</v>
      </c>
      <c r="CF541" s="67"/>
      <c r="CG541" s="67"/>
      <c r="CH541" s="67"/>
      <c r="CI541" s="67"/>
      <c r="CJ541" s="67"/>
      <c r="CK541" s="67">
        <v>0</v>
      </c>
      <c r="CL541" s="67"/>
      <c r="CM541" s="67"/>
      <c r="CN541" s="67"/>
      <c r="CO541" s="67">
        <v>0</v>
      </c>
      <c r="CP541" s="67"/>
      <c r="CQ541" s="67"/>
      <c r="CR541" s="67"/>
      <c r="CS541" s="67"/>
      <c r="CT541" s="67"/>
      <c r="CU541" s="67">
        <v>0</v>
      </c>
      <c r="CV541" s="67"/>
      <c r="CW541" s="67"/>
      <c r="CX541" s="67"/>
      <c r="CY541" s="67">
        <v>0</v>
      </c>
      <c r="CZ541" s="67"/>
      <c r="DA541" s="67"/>
      <c r="DB541" s="67"/>
      <c r="DC541" s="67"/>
      <c r="DF541" s="67"/>
      <c r="DG541" s="67">
        <v>0</v>
      </c>
      <c r="DH541" s="67">
        <v>0</v>
      </c>
      <c r="DI541" s="67">
        <v>0</v>
      </c>
      <c r="DJ541" s="67"/>
      <c r="DK541" s="67">
        <v>0</v>
      </c>
      <c r="DL541" s="67">
        <v>0</v>
      </c>
      <c r="DM541" s="67">
        <v>0</v>
      </c>
      <c r="DN541" s="67"/>
      <c r="DO541" s="67"/>
      <c r="DP541" s="67"/>
      <c r="DQ541" s="67">
        <v>0</v>
      </c>
      <c r="DR541" s="67">
        <v>0</v>
      </c>
      <c r="DS541" s="67"/>
      <c r="DT541" s="67"/>
      <c r="DU541" s="67">
        <v>0</v>
      </c>
      <c r="DV541" s="67">
        <v>0</v>
      </c>
      <c r="DW541" s="67">
        <v>0</v>
      </c>
      <c r="DX541" s="67">
        <v>0</v>
      </c>
      <c r="DY541" s="67"/>
      <c r="DZ541" s="67">
        <v>0</v>
      </c>
      <c r="EA541" s="67"/>
      <c r="EB541" s="67">
        <v>0</v>
      </c>
      <c r="EC541" s="67"/>
      <c r="ED541" s="67">
        <v>0</v>
      </c>
      <c r="EE541" s="67"/>
      <c r="EF541" s="67">
        <v>0</v>
      </c>
      <c r="EG541" s="67"/>
      <c r="EH541" s="67"/>
      <c r="EI541" s="67"/>
      <c r="EJ541" s="67"/>
      <c r="EK541" s="67"/>
      <c r="EL541" s="67"/>
      <c r="EM541" s="67"/>
      <c r="EN541" s="67"/>
      <c r="EO541" s="67"/>
      <c r="EP541" s="67">
        <v>0</v>
      </c>
      <c r="EQ541" s="67">
        <v>0</v>
      </c>
      <c r="ER541" s="67">
        <v>0</v>
      </c>
      <c r="ES541" s="67"/>
      <c r="ET541">
        <v>0</v>
      </c>
      <c r="EX541" s="67"/>
      <c r="EY541" s="67"/>
      <c r="EZ541" s="67"/>
      <c r="FA541" s="67">
        <v>0</v>
      </c>
      <c r="FB541" s="67">
        <v>0</v>
      </c>
      <c r="FC541" s="67"/>
      <c r="FD541" s="67"/>
      <c r="FE541" s="67"/>
      <c r="FF541" s="67"/>
      <c r="FG541" s="67"/>
      <c r="FH541" s="67"/>
      <c r="FI541" s="67" t="s">
        <v>1734</v>
      </c>
    </row>
    <row r="542" spans="2:165" ht="24" x14ac:dyDescent="0.2">
      <c r="B542" s="67" t="s">
        <v>1414</v>
      </c>
      <c r="C542" s="67"/>
      <c r="D542" s="67" t="s">
        <v>1415</v>
      </c>
      <c r="E542" s="67" t="s">
        <v>13</v>
      </c>
      <c r="F542" s="67"/>
      <c r="G542" s="67" t="s">
        <v>345</v>
      </c>
      <c r="H542" s="67"/>
      <c r="I542" s="67" t="s">
        <v>41</v>
      </c>
      <c r="J542" s="67"/>
      <c r="K542" s="67"/>
      <c r="L542" s="67" t="s">
        <v>779</v>
      </c>
      <c r="M542" s="67" t="s">
        <v>1416</v>
      </c>
      <c r="N542" s="67"/>
      <c r="O542" s="67" t="s">
        <v>1599</v>
      </c>
      <c r="P542" s="67"/>
      <c r="Q542" s="67">
        <v>1650</v>
      </c>
      <c r="R542" s="67">
        <v>0</v>
      </c>
      <c r="S542" s="67">
        <v>0</v>
      </c>
      <c r="T542" s="67">
        <v>0</v>
      </c>
      <c r="U542" s="67">
        <v>0</v>
      </c>
      <c r="V542" s="67">
        <v>0</v>
      </c>
      <c r="W542" s="67">
        <v>1115</v>
      </c>
      <c r="X542" s="67">
        <v>0</v>
      </c>
      <c r="Y542" s="67">
        <v>0</v>
      </c>
      <c r="Z542" s="67">
        <v>105</v>
      </c>
      <c r="AA542" s="67">
        <v>0</v>
      </c>
      <c r="AB542" s="67">
        <v>0</v>
      </c>
      <c r="AC542" s="67">
        <v>0</v>
      </c>
      <c r="AD542" s="67">
        <v>0</v>
      </c>
      <c r="AE542" s="67">
        <v>0</v>
      </c>
      <c r="AF542" s="67">
        <v>0</v>
      </c>
      <c r="AG542" s="67">
        <v>0</v>
      </c>
      <c r="AH542" s="67">
        <v>0</v>
      </c>
      <c r="AI542" s="67">
        <v>0</v>
      </c>
      <c r="AJ542" s="67">
        <v>0</v>
      </c>
      <c r="AK542" s="67">
        <v>0</v>
      </c>
      <c r="AL542" s="67">
        <v>0</v>
      </c>
      <c r="AM542" s="67">
        <v>0</v>
      </c>
      <c r="AN542" s="67">
        <v>430</v>
      </c>
      <c r="AO542" s="67">
        <v>0</v>
      </c>
      <c r="AP542" s="67">
        <v>0</v>
      </c>
      <c r="AQ542" s="67">
        <v>0</v>
      </c>
      <c r="AR542" s="67">
        <v>0</v>
      </c>
      <c r="AS542" s="67">
        <v>0</v>
      </c>
      <c r="AT542" s="67"/>
      <c r="AU542" s="67"/>
      <c r="AV542" s="67"/>
      <c r="AW542" s="67">
        <v>0</v>
      </c>
      <c r="AX542" s="67">
        <v>0</v>
      </c>
      <c r="AY542" s="67"/>
      <c r="AZ542" s="67"/>
      <c r="BA542" s="67"/>
      <c r="BB542" s="67"/>
      <c r="BC542" s="67"/>
      <c r="BD542" s="67"/>
      <c r="BE542" s="67"/>
      <c r="BG542" s="67"/>
      <c r="BH542" s="67"/>
      <c r="BI542" s="67"/>
      <c r="BJ542" s="67">
        <v>0</v>
      </c>
      <c r="BK542" s="67"/>
      <c r="BL542" s="67"/>
      <c r="BP542" s="67"/>
      <c r="BQ542" s="67">
        <v>0</v>
      </c>
      <c r="BR542" s="67"/>
      <c r="BS542" s="67"/>
      <c r="BT542" s="67">
        <v>775</v>
      </c>
      <c r="BU542" s="67">
        <v>775</v>
      </c>
      <c r="BV542" s="67"/>
      <c r="BW542" s="67"/>
      <c r="BX542" s="67">
        <v>0</v>
      </c>
      <c r="BY542" s="67">
        <v>0</v>
      </c>
      <c r="BZ542" s="67">
        <v>0</v>
      </c>
      <c r="CA542" s="67"/>
      <c r="CB542" s="67">
        <v>0</v>
      </c>
      <c r="CC542" s="67"/>
      <c r="CD542" s="67"/>
      <c r="CE542" s="67">
        <v>0</v>
      </c>
      <c r="CF542" s="67"/>
      <c r="CG542" s="67"/>
      <c r="CH542" s="67"/>
      <c r="CI542" s="67"/>
      <c r="CJ542" s="67"/>
      <c r="CK542" s="67">
        <v>0</v>
      </c>
      <c r="CL542" s="67"/>
      <c r="CM542" s="67"/>
      <c r="CN542" s="67"/>
      <c r="CO542" s="67">
        <v>0</v>
      </c>
      <c r="CP542" s="67"/>
      <c r="CQ542" s="67"/>
      <c r="CR542" s="67"/>
      <c r="CS542" s="67"/>
      <c r="CT542" s="67"/>
      <c r="CU542" s="67">
        <v>0</v>
      </c>
      <c r="CV542" s="67"/>
      <c r="CW542" s="67"/>
      <c r="CX542" s="67"/>
      <c r="CY542" s="67">
        <v>0</v>
      </c>
      <c r="CZ542" s="67"/>
      <c r="DA542" s="67"/>
      <c r="DB542" s="67"/>
      <c r="DC542" s="67"/>
      <c r="DF542" s="67"/>
      <c r="DG542" s="67">
        <v>0</v>
      </c>
      <c r="DH542" s="67">
        <v>0</v>
      </c>
      <c r="DI542" s="67">
        <v>0</v>
      </c>
      <c r="DJ542" s="67"/>
      <c r="DK542" s="67">
        <v>0</v>
      </c>
      <c r="DL542" s="67">
        <v>0</v>
      </c>
      <c r="DM542" s="67">
        <v>0</v>
      </c>
      <c r="DN542" s="67"/>
      <c r="DO542" s="67"/>
      <c r="DP542" s="67"/>
      <c r="DQ542" s="67">
        <v>0</v>
      </c>
      <c r="DR542" s="67">
        <v>0</v>
      </c>
      <c r="DS542" s="67"/>
      <c r="DT542" s="67"/>
      <c r="DU542" s="67">
        <v>0</v>
      </c>
      <c r="DV542" s="67">
        <v>0</v>
      </c>
      <c r="DW542" s="67">
        <v>0</v>
      </c>
      <c r="DX542" s="67">
        <v>0</v>
      </c>
      <c r="DY542" s="67"/>
      <c r="DZ542" s="67">
        <v>0</v>
      </c>
      <c r="EA542" s="67"/>
      <c r="EB542" s="67">
        <v>0</v>
      </c>
      <c r="EC542" s="67"/>
      <c r="ED542" s="67">
        <v>0</v>
      </c>
      <c r="EE542" s="67"/>
      <c r="EF542" s="67">
        <v>0</v>
      </c>
      <c r="EG542" s="67"/>
      <c r="EH542" s="67"/>
      <c r="EI542" s="67"/>
      <c r="EJ542" s="67"/>
      <c r="EK542" s="67"/>
      <c r="EL542" s="67"/>
      <c r="EM542" s="67"/>
      <c r="EN542" s="67"/>
      <c r="EO542" s="67"/>
      <c r="EP542" s="67">
        <v>0</v>
      </c>
      <c r="EQ542" s="67">
        <v>0</v>
      </c>
      <c r="ER542" s="67">
        <v>0</v>
      </c>
      <c r="ES542" s="67"/>
      <c r="ET542">
        <v>0</v>
      </c>
      <c r="EX542" s="67"/>
      <c r="EY542" s="67"/>
      <c r="EZ542" s="67"/>
      <c r="FA542" s="67">
        <v>2425</v>
      </c>
      <c r="FB542" s="67">
        <v>0</v>
      </c>
      <c r="FC542" s="67"/>
      <c r="FD542" s="67"/>
      <c r="FE542" s="67"/>
      <c r="FF542" s="67"/>
      <c r="FG542" s="67"/>
      <c r="FH542" s="67"/>
      <c r="FI542" s="67" t="s">
        <v>1734</v>
      </c>
    </row>
    <row r="543" spans="2:165" ht="24" x14ac:dyDescent="0.2">
      <c r="B543" s="67" t="s">
        <v>1418</v>
      </c>
      <c r="C543" s="67"/>
      <c r="D543" s="67" t="s">
        <v>1419</v>
      </c>
      <c r="E543" s="67" t="s">
        <v>13</v>
      </c>
      <c r="F543" s="67"/>
      <c r="G543" s="67" t="s">
        <v>345</v>
      </c>
      <c r="H543" s="67"/>
      <c r="I543" s="67" t="s">
        <v>41</v>
      </c>
      <c r="J543" s="67"/>
      <c r="K543" s="67"/>
      <c r="L543" s="67" t="s">
        <v>779</v>
      </c>
      <c r="M543" s="67" t="s">
        <v>1416</v>
      </c>
      <c r="N543" s="67"/>
      <c r="O543" s="67" t="s">
        <v>1599</v>
      </c>
      <c r="P543" s="67"/>
      <c r="Q543" s="67">
        <v>1750</v>
      </c>
      <c r="R543" s="67">
        <v>0</v>
      </c>
      <c r="S543" s="67">
        <v>0</v>
      </c>
      <c r="T543" s="67">
        <v>50</v>
      </c>
      <c r="U543" s="67">
        <v>0</v>
      </c>
      <c r="V543" s="67">
        <v>0</v>
      </c>
      <c r="W543" s="67">
        <v>50</v>
      </c>
      <c r="X543" s="67">
        <v>0</v>
      </c>
      <c r="Y543" s="67">
        <v>0</v>
      </c>
      <c r="Z543" s="67">
        <v>0</v>
      </c>
      <c r="AA543" s="67">
        <v>0</v>
      </c>
      <c r="AB543" s="67">
        <v>0</v>
      </c>
      <c r="AC543" s="67">
        <v>0</v>
      </c>
      <c r="AD543" s="67">
        <v>0</v>
      </c>
      <c r="AE543" s="67">
        <v>0</v>
      </c>
      <c r="AF543" s="67">
        <v>0</v>
      </c>
      <c r="AG543" s="67">
        <v>0</v>
      </c>
      <c r="AH543" s="67">
        <v>0</v>
      </c>
      <c r="AI543" s="67">
        <v>0</v>
      </c>
      <c r="AJ543" s="67">
        <v>0</v>
      </c>
      <c r="AK543" s="67">
        <v>0</v>
      </c>
      <c r="AL543" s="67">
        <v>0</v>
      </c>
      <c r="AM543" s="67">
        <v>0</v>
      </c>
      <c r="AN543" s="67">
        <v>1650</v>
      </c>
      <c r="AO543" s="67">
        <v>0</v>
      </c>
      <c r="AP543" s="67">
        <v>0</v>
      </c>
      <c r="AQ543" s="67">
        <v>0</v>
      </c>
      <c r="AR543" s="67">
        <v>0</v>
      </c>
      <c r="AS543" s="67">
        <v>0</v>
      </c>
      <c r="AT543" s="67"/>
      <c r="AU543" s="67"/>
      <c r="AV543" s="67"/>
      <c r="AW543" s="67">
        <v>0</v>
      </c>
      <c r="AX543" s="67">
        <v>0</v>
      </c>
      <c r="AY543" s="67"/>
      <c r="AZ543" s="67"/>
      <c r="BA543" s="67"/>
      <c r="BB543" s="67"/>
      <c r="BC543" s="67"/>
      <c r="BD543" s="67"/>
      <c r="BE543" s="67"/>
      <c r="BG543" s="67"/>
      <c r="BH543" s="67"/>
      <c r="BI543" s="67"/>
      <c r="BJ543" s="67">
        <v>0</v>
      </c>
      <c r="BK543" s="67"/>
      <c r="BL543" s="67"/>
      <c r="BP543" s="67"/>
      <c r="BQ543" s="67">
        <v>0</v>
      </c>
      <c r="BR543" s="67"/>
      <c r="BS543" s="67"/>
      <c r="BT543" s="67">
        <v>50</v>
      </c>
      <c r="BU543" s="67">
        <v>50</v>
      </c>
      <c r="BV543" s="67"/>
      <c r="BW543" s="67"/>
      <c r="BX543" s="67">
        <v>0</v>
      </c>
      <c r="BY543" s="67">
        <v>0</v>
      </c>
      <c r="BZ543" s="67">
        <v>0</v>
      </c>
      <c r="CA543" s="67"/>
      <c r="CB543" s="67">
        <v>0</v>
      </c>
      <c r="CC543" s="67"/>
      <c r="CD543" s="67"/>
      <c r="CE543" s="67">
        <v>0</v>
      </c>
      <c r="CF543" s="67"/>
      <c r="CG543" s="67"/>
      <c r="CH543" s="67"/>
      <c r="CI543" s="67"/>
      <c r="CJ543" s="67"/>
      <c r="CK543" s="67">
        <v>0</v>
      </c>
      <c r="CL543" s="67"/>
      <c r="CM543" s="67"/>
      <c r="CN543" s="67"/>
      <c r="CO543" s="67">
        <v>0</v>
      </c>
      <c r="CP543" s="67"/>
      <c r="CQ543" s="67"/>
      <c r="CR543" s="67"/>
      <c r="CS543" s="67"/>
      <c r="CT543" s="67"/>
      <c r="CU543" s="67">
        <v>0</v>
      </c>
      <c r="CV543" s="67"/>
      <c r="CW543" s="67"/>
      <c r="CX543" s="67"/>
      <c r="CY543" s="67">
        <v>0</v>
      </c>
      <c r="CZ543" s="67"/>
      <c r="DA543" s="67"/>
      <c r="DB543" s="67"/>
      <c r="DC543" s="67"/>
      <c r="DF543" s="67"/>
      <c r="DG543" s="67">
        <v>0</v>
      </c>
      <c r="DH543" s="67">
        <v>0</v>
      </c>
      <c r="DI543" s="67">
        <v>0</v>
      </c>
      <c r="DJ543" s="67"/>
      <c r="DK543" s="67">
        <v>0</v>
      </c>
      <c r="DL543" s="67">
        <v>0</v>
      </c>
      <c r="DM543" s="67">
        <v>0</v>
      </c>
      <c r="DN543" s="67"/>
      <c r="DO543" s="67"/>
      <c r="DP543" s="67"/>
      <c r="DQ543" s="67">
        <v>0</v>
      </c>
      <c r="DR543" s="67">
        <v>0</v>
      </c>
      <c r="DS543" s="67"/>
      <c r="DT543" s="67"/>
      <c r="DU543" s="67">
        <v>0</v>
      </c>
      <c r="DV543" s="67">
        <v>0</v>
      </c>
      <c r="DW543" s="67">
        <v>0</v>
      </c>
      <c r="DX543" s="67">
        <v>0</v>
      </c>
      <c r="DY543" s="67"/>
      <c r="DZ543" s="67">
        <v>0</v>
      </c>
      <c r="EA543" s="67"/>
      <c r="EB543" s="67">
        <v>0</v>
      </c>
      <c r="EC543" s="67"/>
      <c r="ED543" s="67">
        <v>0</v>
      </c>
      <c r="EE543" s="67"/>
      <c r="EF543" s="67">
        <v>0</v>
      </c>
      <c r="EG543" s="67"/>
      <c r="EH543" s="67"/>
      <c r="EI543" s="67"/>
      <c r="EJ543" s="67"/>
      <c r="EK543" s="67"/>
      <c r="EL543" s="67"/>
      <c r="EM543" s="67"/>
      <c r="EN543" s="67"/>
      <c r="EO543" s="67"/>
      <c r="EP543" s="67">
        <v>0</v>
      </c>
      <c r="EQ543" s="67">
        <v>0</v>
      </c>
      <c r="ER543" s="67">
        <v>0</v>
      </c>
      <c r="ES543" s="67"/>
      <c r="ET543">
        <v>0</v>
      </c>
      <c r="EX543" s="67"/>
      <c r="EY543" s="67"/>
      <c r="EZ543" s="67"/>
      <c r="FA543" s="67">
        <v>1800</v>
      </c>
      <c r="FB543" s="67">
        <v>0</v>
      </c>
      <c r="FC543" s="67"/>
      <c r="FD543" s="67"/>
      <c r="FE543" s="67"/>
      <c r="FF543" s="67"/>
      <c r="FG543" s="67"/>
      <c r="FH543" s="67"/>
      <c r="FI543" s="67" t="s">
        <v>1734</v>
      </c>
    </row>
    <row r="544" spans="2:165" ht="24" x14ac:dyDescent="0.2">
      <c r="B544" s="67" t="s">
        <v>1420</v>
      </c>
      <c r="C544" s="67"/>
      <c r="D544" s="67" t="s">
        <v>1421</v>
      </c>
      <c r="E544" s="67" t="s">
        <v>13</v>
      </c>
      <c r="F544" s="67"/>
      <c r="G544" s="67" t="s">
        <v>345</v>
      </c>
      <c r="H544" s="67"/>
      <c r="I544" s="67" t="s">
        <v>41</v>
      </c>
      <c r="J544" s="67"/>
      <c r="K544" s="67"/>
      <c r="L544" s="67" t="s">
        <v>767</v>
      </c>
      <c r="M544" s="67" t="s">
        <v>1392</v>
      </c>
      <c r="N544" s="67"/>
      <c r="O544" s="67" t="s">
        <v>1599</v>
      </c>
      <c r="P544" s="67"/>
      <c r="Q544" s="67">
        <v>675</v>
      </c>
      <c r="R544" s="67">
        <v>0</v>
      </c>
      <c r="S544" s="67">
        <v>0</v>
      </c>
      <c r="T544" s="67">
        <v>0</v>
      </c>
      <c r="U544" s="67">
        <v>0</v>
      </c>
      <c r="V544" s="67">
        <v>0</v>
      </c>
      <c r="W544" s="67">
        <v>0</v>
      </c>
      <c r="X544" s="67">
        <v>0</v>
      </c>
      <c r="Y544" s="67">
        <v>0</v>
      </c>
      <c r="Z544" s="67">
        <v>0</v>
      </c>
      <c r="AA544" s="67">
        <v>0</v>
      </c>
      <c r="AB544" s="67">
        <v>0</v>
      </c>
      <c r="AC544" s="67">
        <v>0</v>
      </c>
      <c r="AD544" s="67">
        <v>0</v>
      </c>
      <c r="AE544" s="67">
        <v>0</v>
      </c>
      <c r="AF544" s="67">
        <v>0</v>
      </c>
      <c r="AG544" s="67">
        <v>600</v>
      </c>
      <c r="AH544" s="67">
        <v>0</v>
      </c>
      <c r="AI544" s="67">
        <v>0</v>
      </c>
      <c r="AJ544" s="67">
        <v>0</v>
      </c>
      <c r="AK544" s="67">
        <v>0</v>
      </c>
      <c r="AL544" s="67">
        <v>0</v>
      </c>
      <c r="AM544" s="67">
        <v>0</v>
      </c>
      <c r="AN544" s="67">
        <v>0</v>
      </c>
      <c r="AO544" s="67">
        <v>75</v>
      </c>
      <c r="AP544" s="67">
        <v>0</v>
      </c>
      <c r="AQ544" s="67">
        <v>0</v>
      </c>
      <c r="AR544" s="67">
        <v>0</v>
      </c>
      <c r="AS544" s="67">
        <v>0</v>
      </c>
      <c r="AT544" s="67"/>
      <c r="AU544" s="67"/>
      <c r="AV544" s="67"/>
      <c r="AW544" s="67">
        <v>0</v>
      </c>
      <c r="AX544" s="67">
        <v>0</v>
      </c>
      <c r="AY544" s="67"/>
      <c r="AZ544" s="67"/>
      <c r="BA544" s="67"/>
      <c r="BB544" s="67"/>
      <c r="BC544" s="67"/>
      <c r="BD544" s="67"/>
      <c r="BE544" s="67"/>
      <c r="BG544" s="67"/>
      <c r="BH544" s="67"/>
      <c r="BI544" s="67"/>
      <c r="BJ544" s="67">
        <v>0</v>
      </c>
      <c r="BK544" s="67"/>
      <c r="BL544" s="67"/>
      <c r="BP544" s="67"/>
      <c r="BQ544" s="67">
        <v>0</v>
      </c>
      <c r="BR544" s="67"/>
      <c r="BS544" s="67"/>
      <c r="BT544" s="67">
        <v>0</v>
      </c>
      <c r="BU544" s="67">
        <v>0</v>
      </c>
      <c r="BV544" s="67"/>
      <c r="BW544" s="67"/>
      <c r="BX544" s="67">
        <v>0</v>
      </c>
      <c r="BY544" s="67">
        <v>0</v>
      </c>
      <c r="BZ544" s="67">
        <v>0</v>
      </c>
      <c r="CA544" s="67"/>
      <c r="CB544" s="67">
        <v>0</v>
      </c>
      <c r="CC544" s="67"/>
      <c r="CD544" s="67"/>
      <c r="CE544" s="67">
        <v>0</v>
      </c>
      <c r="CF544" s="67"/>
      <c r="CG544" s="67"/>
      <c r="CH544" s="67"/>
      <c r="CI544" s="67"/>
      <c r="CJ544" s="67"/>
      <c r="CK544" s="67">
        <v>0</v>
      </c>
      <c r="CL544" s="67"/>
      <c r="CM544" s="67"/>
      <c r="CN544" s="67"/>
      <c r="CO544" s="67">
        <v>0</v>
      </c>
      <c r="CP544" s="67"/>
      <c r="CQ544" s="67"/>
      <c r="CR544" s="67"/>
      <c r="CS544" s="67"/>
      <c r="CT544" s="67"/>
      <c r="CU544" s="67">
        <v>0</v>
      </c>
      <c r="CV544" s="67"/>
      <c r="CW544" s="67"/>
      <c r="CX544" s="67"/>
      <c r="CY544" s="67">
        <v>0</v>
      </c>
      <c r="CZ544" s="67"/>
      <c r="DA544" s="67"/>
      <c r="DB544" s="67"/>
      <c r="DC544" s="67"/>
      <c r="DF544" s="67"/>
      <c r="DG544" s="67">
        <v>0</v>
      </c>
      <c r="DH544" s="67">
        <v>0</v>
      </c>
      <c r="DI544" s="67">
        <v>0</v>
      </c>
      <c r="DJ544" s="67"/>
      <c r="DK544" s="67">
        <v>0</v>
      </c>
      <c r="DL544" s="67">
        <v>0</v>
      </c>
      <c r="DM544" s="67">
        <v>0</v>
      </c>
      <c r="DN544" s="67"/>
      <c r="DO544" s="67"/>
      <c r="DP544" s="67"/>
      <c r="DQ544" s="67">
        <v>0</v>
      </c>
      <c r="DR544" s="67">
        <v>0</v>
      </c>
      <c r="DS544" s="67"/>
      <c r="DT544" s="67"/>
      <c r="DU544" s="67">
        <v>0</v>
      </c>
      <c r="DV544" s="67">
        <v>0</v>
      </c>
      <c r="DW544" s="67">
        <v>0</v>
      </c>
      <c r="DX544" s="67">
        <v>0</v>
      </c>
      <c r="DY544" s="67"/>
      <c r="DZ544" s="67">
        <v>0</v>
      </c>
      <c r="EA544" s="67"/>
      <c r="EB544" s="67">
        <v>0</v>
      </c>
      <c r="EC544" s="67"/>
      <c r="ED544" s="67">
        <v>0</v>
      </c>
      <c r="EE544" s="67"/>
      <c r="EF544" s="67">
        <v>0</v>
      </c>
      <c r="EG544" s="67"/>
      <c r="EH544" s="67"/>
      <c r="EI544" s="67"/>
      <c r="EJ544" s="67"/>
      <c r="EK544" s="67"/>
      <c r="EL544" s="67"/>
      <c r="EM544" s="67"/>
      <c r="EN544" s="67"/>
      <c r="EO544" s="67"/>
      <c r="EP544" s="67">
        <v>0</v>
      </c>
      <c r="EQ544" s="67">
        <v>0</v>
      </c>
      <c r="ER544" s="67">
        <v>0</v>
      </c>
      <c r="ES544" s="67"/>
      <c r="ET544">
        <v>0</v>
      </c>
      <c r="EX544" s="67"/>
      <c r="EY544" s="67"/>
      <c r="EZ544" s="67"/>
      <c r="FA544" s="67">
        <v>675</v>
      </c>
      <c r="FB544" s="67">
        <v>0</v>
      </c>
      <c r="FC544" s="67"/>
      <c r="FD544" s="67"/>
      <c r="FE544" s="67"/>
      <c r="FF544" s="67"/>
      <c r="FG544" s="67"/>
      <c r="FH544" s="67"/>
      <c r="FI544" s="67" t="s">
        <v>1734</v>
      </c>
    </row>
    <row r="545" spans="2:165" x14ac:dyDescent="0.2">
      <c r="B545" s="67" t="s">
        <v>1423</v>
      </c>
      <c r="C545" s="67"/>
      <c r="D545" s="67" t="s">
        <v>1424</v>
      </c>
      <c r="E545" s="67"/>
      <c r="F545" s="67"/>
      <c r="G545" s="67" t="s">
        <v>345</v>
      </c>
      <c r="H545" s="67"/>
      <c r="I545" s="67"/>
      <c r="J545" s="67"/>
      <c r="K545" s="67"/>
      <c r="L545" s="67" t="s">
        <v>767</v>
      </c>
      <c r="M545" s="67" t="s">
        <v>1392</v>
      </c>
      <c r="N545" s="67"/>
      <c r="O545" s="67" t="s">
        <v>1606</v>
      </c>
      <c r="P545" s="67"/>
      <c r="Q545" s="67">
        <v>295</v>
      </c>
      <c r="R545" s="67">
        <v>0</v>
      </c>
      <c r="S545" s="67">
        <v>0</v>
      </c>
      <c r="T545" s="67">
        <v>0</v>
      </c>
      <c r="U545" s="67">
        <v>0</v>
      </c>
      <c r="V545" s="67">
        <v>0</v>
      </c>
      <c r="W545" s="67">
        <v>0</v>
      </c>
      <c r="X545" s="67">
        <v>0</v>
      </c>
      <c r="Y545" s="67">
        <v>0</v>
      </c>
      <c r="Z545" s="67">
        <v>0</v>
      </c>
      <c r="AA545" s="67">
        <v>0</v>
      </c>
      <c r="AB545" s="67">
        <v>0</v>
      </c>
      <c r="AC545" s="67">
        <v>0</v>
      </c>
      <c r="AD545" s="67">
        <v>0</v>
      </c>
      <c r="AE545" s="67">
        <v>0</v>
      </c>
      <c r="AF545" s="67">
        <v>0</v>
      </c>
      <c r="AG545" s="67">
        <v>0</v>
      </c>
      <c r="AH545" s="67">
        <v>0</v>
      </c>
      <c r="AI545" s="67">
        <v>0</v>
      </c>
      <c r="AJ545" s="67">
        <v>0</v>
      </c>
      <c r="AK545" s="67">
        <v>0</v>
      </c>
      <c r="AL545" s="67">
        <v>0</v>
      </c>
      <c r="AM545" s="67">
        <v>0</v>
      </c>
      <c r="AN545" s="67">
        <v>295</v>
      </c>
      <c r="AO545" s="67">
        <v>0</v>
      </c>
      <c r="AP545" s="67">
        <v>0</v>
      </c>
      <c r="AQ545" s="67">
        <v>0</v>
      </c>
      <c r="AR545" s="67">
        <v>0</v>
      </c>
      <c r="AS545" s="67">
        <v>0</v>
      </c>
      <c r="AT545" s="67"/>
      <c r="AU545" s="67"/>
      <c r="AV545" s="67"/>
      <c r="AW545" s="67">
        <v>0</v>
      </c>
      <c r="AX545" s="67">
        <v>0</v>
      </c>
      <c r="AY545" s="67"/>
      <c r="AZ545" s="67"/>
      <c r="BA545" s="67"/>
      <c r="BB545" s="67"/>
      <c r="BC545" s="67"/>
      <c r="BD545" s="67"/>
      <c r="BE545" s="67"/>
      <c r="BG545" s="67"/>
      <c r="BH545" s="67"/>
      <c r="BI545" s="67"/>
      <c r="BJ545" s="67">
        <v>0</v>
      </c>
      <c r="BK545" s="67"/>
      <c r="BL545" s="67"/>
      <c r="BP545" s="67"/>
      <c r="BQ545" s="67">
        <v>0</v>
      </c>
      <c r="BR545" s="67"/>
      <c r="BS545" s="67"/>
      <c r="BT545" s="67">
        <v>0</v>
      </c>
      <c r="BU545" s="67">
        <v>0</v>
      </c>
      <c r="BV545" s="67"/>
      <c r="BW545" s="67"/>
      <c r="BX545" s="67">
        <v>0</v>
      </c>
      <c r="BY545" s="67">
        <v>0</v>
      </c>
      <c r="BZ545" s="67">
        <v>0</v>
      </c>
      <c r="CA545" s="67"/>
      <c r="CB545" s="67">
        <v>0</v>
      </c>
      <c r="CC545" s="67"/>
      <c r="CD545" s="67"/>
      <c r="CE545" s="67">
        <v>0</v>
      </c>
      <c r="CF545" s="67"/>
      <c r="CG545" s="67"/>
      <c r="CH545" s="67"/>
      <c r="CI545" s="67"/>
      <c r="CJ545" s="67"/>
      <c r="CK545" s="67">
        <v>0</v>
      </c>
      <c r="CL545" s="67"/>
      <c r="CM545" s="67"/>
      <c r="CN545" s="67"/>
      <c r="CO545" s="67">
        <v>0</v>
      </c>
      <c r="CP545" s="67"/>
      <c r="CQ545" s="67"/>
      <c r="CR545" s="67"/>
      <c r="CS545" s="67"/>
      <c r="CT545" s="67"/>
      <c r="CU545" s="67">
        <v>0</v>
      </c>
      <c r="CV545" s="67"/>
      <c r="CW545" s="67"/>
      <c r="CX545" s="67"/>
      <c r="CY545" s="67">
        <v>0</v>
      </c>
      <c r="CZ545" s="67"/>
      <c r="DA545" s="67"/>
      <c r="DB545" s="67"/>
      <c r="DC545" s="67"/>
      <c r="DF545" s="67"/>
      <c r="DG545" s="67">
        <v>0</v>
      </c>
      <c r="DH545" s="67">
        <v>0</v>
      </c>
      <c r="DI545" s="67">
        <v>0</v>
      </c>
      <c r="DJ545" s="67"/>
      <c r="DK545" s="67">
        <v>0</v>
      </c>
      <c r="DL545" s="67">
        <v>0</v>
      </c>
      <c r="DM545" s="67">
        <v>0</v>
      </c>
      <c r="DN545" s="67"/>
      <c r="DO545" s="67"/>
      <c r="DP545" s="67"/>
      <c r="DQ545" s="67">
        <v>0</v>
      </c>
      <c r="DR545" s="67">
        <v>0</v>
      </c>
      <c r="DS545" s="67"/>
      <c r="DT545" s="67"/>
      <c r="DU545" s="67">
        <v>0</v>
      </c>
      <c r="DV545" s="67">
        <v>0</v>
      </c>
      <c r="DW545" s="67">
        <v>0</v>
      </c>
      <c r="DX545" s="67">
        <v>0</v>
      </c>
      <c r="DY545" s="67"/>
      <c r="DZ545" s="67">
        <v>0</v>
      </c>
      <c r="EA545" s="67"/>
      <c r="EB545" s="67">
        <v>0</v>
      </c>
      <c r="EC545" s="67"/>
      <c r="ED545" s="67">
        <v>0</v>
      </c>
      <c r="EE545" s="67"/>
      <c r="EF545" s="67">
        <v>0</v>
      </c>
      <c r="EG545" s="67"/>
      <c r="EH545" s="67"/>
      <c r="EI545" s="67"/>
      <c r="EJ545" s="67"/>
      <c r="EK545" s="67"/>
      <c r="EL545" s="67"/>
      <c r="EM545" s="67"/>
      <c r="EN545" s="67"/>
      <c r="EO545" s="67"/>
      <c r="EP545" s="67">
        <v>0</v>
      </c>
      <c r="EQ545" s="67">
        <v>0</v>
      </c>
      <c r="ER545" s="67">
        <v>0</v>
      </c>
      <c r="ES545" s="67"/>
      <c r="ET545">
        <v>0</v>
      </c>
      <c r="EX545" s="67"/>
      <c r="EY545" s="67"/>
      <c r="EZ545" s="67"/>
      <c r="FA545" s="67">
        <v>295</v>
      </c>
      <c r="FB545" s="67">
        <v>0</v>
      </c>
      <c r="FC545" s="67"/>
      <c r="FD545" s="67"/>
      <c r="FE545" s="67"/>
      <c r="FF545" s="67"/>
      <c r="FG545" s="67"/>
      <c r="FH545" s="67"/>
      <c r="FI545" s="67" t="s">
        <v>1734</v>
      </c>
    </row>
    <row r="546" spans="2:165" ht="24" x14ac:dyDescent="0.2">
      <c r="B546" s="67" t="s">
        <v>1425</v>
      </c>
      <c r="C546" s="67"/>
      <c r="D546" s="67" t="s">
        <v>1426</v>
      </c>
      <c r="E546" s="67" t="s">
        <v>13</v>
      </c>
      <c r="F546" s="67"/>
      <c r="G546" s="67" t="s">
        <v>345</v>
      </c>
      <c r="H546" s="67"/>
      <c r="I546" s="67" t="s">
        <v>41</v>
      </c>
      <c r="J546" s="67"/>
      <c r="K546" s="67"/>
      <c r="L546" s="67" t="s">
        <v>767</v>
      </c>
      <c r="M546" s="67" t="s">
        <v>1392</v>
      </c>
      <c r="N546" s="67"/>
      <c r="O546" s="67" t="s">
        <v>1599</v>
      </c>
      <c r="P546" s="67"/>
      <c r="Q546" s="67">
        <v>653</v>
      </c>
      <c r="R546" s="67">
        <v>0</v>
      </c>
      <c r="S546" s="67">
        <v>0</v>
      </c>
      <c r="T546" s="67">
        <v>0</v>
      </c>
      <c r="U546" s="67">
        <v>0</v>
      </c>
      <c r="V546" s="67">
        <v>0</v>
      </c>
      <c r="W546" s="67">
        <v>0</v>
      </c>
      <c r="X546" s="67">
        <v>0</v>
      </c>
      <c r="Y546" s="67">
        <v>0</v>
      </c>
      <c r="Z546" s="67">
        <v>0</v>
      </c>
      <c r="AA546" s="67">
        <v>0</v>
      </c>
      <c r="AB546" s="67">
        <v>0</v>
      </c>
      <c r="AC546" s="67">
        <v>0</v>
      </c>
      <c r="AD546" s="67">
        <v>0</v>
      </c>
      <c r="AE546" s="67">
        <v>0</v>
      </c>
      <c r="AF546" s="67">
        <v>0</v>
      </c>
      <c r="AG546" s="67">
        <v>397</v>
      </c>
      <c r="AH546" s="67">
        <v>0</v>
      </c>
      <c r="AI546" s="67">
        <v>0</v>
      </c>
      <c r="AJ546" s="67">
        <v>0</v>
      </c>
      <c r="AK546" s="67">
        <v>0</v>
      </c>
      <c r="AL546" s="67">
        <v>0</v>
      </c>
      <c r="AM546" s="67">
        <v>0</v>
      </c>
      <c r="AN546" s="67">
        <v>0</v>
      </c>
      <c r="AO546" s="67">
        <v>256</v>
      </c>
      <c r="AP546" s="67">
        <v>0</v>
      </c>
      <c r="AQ546" s="67">
        <v>0</v>
      </c>
      <c r="AR546" s="67">
        <v>0</v>
      </c>
      <c r="AS546" s="67">
        <v>0</v>
      </c>
      <c r="AT546" s="67"/>
      <c r="AU546" s="67"/>
      <c r="AV546" s="67"/>
      <c r="AW546" s="67">
        <v>0</v>
      </c>
      <c r="AX546" s="67">
        <v>0</v>
      </c>
      <c r="AY546" s="67"/>
      <c r="AZ546" s="67"/>
      <c r="BA546" s="67"/>
      <c r="BB546" s="67"/>
      <c r="BC546" s="67"/>
      <c r="BD546" s="67"/>
      <c r="BE546" s="67"/>
      <c r="BG546" s="67"/>
      <c r="BH546" s="67"/>
      <c r="BI546" s="67"/>
      <c r="BJ546" s="67">
        <v>0</v>
      </c>
      <c r="BK546" s="67"/>
      <c r="BL546" s="67"/>
      <c r="BP546" s="67"/>
      <c r="BQ546" s="67">
        <v>0</v>
      </c>
      <c r="BR546" s="67"/>
      <c r="BS546" s="67"/>
      <c r="BT546" s="67">
        <v>0</v>
      </c>
      <c r="BU546" s="67">
        <v>0</v>
      </c>
      <c r="BV546" s="67"/>
      <c r="BW546" s="67"/>
      <c r="BX546" s="67">
        <v>0</v>
      </c>
      <c r="BY546" s="67">
        <v>0</v>
      </c>
      <c r="BZ546" s="67">
        <v>0</v>
      </c>
      <c r="CA546" s="67"/>
      <c r="CB546" s="67">
        <v>0</v>
      </c>
      <c r="CC546" s="67"/>
      <c r="CD546" s="67"/>
      <c r="CE546" s="67">
        <v>0</v>
      </c>
      <c r="CF546" s="67"/>
      <c r="CG546" s="67"/>
      <c r="CH546" s="67"/>
      <c r="CI546" s="67"/>
      <c r="CJ546" s="67"/>
      <c r="CK546" s="67">
        <v>0</v>
      </c>
      <c r="CL546" s="67"/>
      <c r="CM546" s="67"/>
      <c r="CN546" s="67"/>
      <c r="CO546" s="67">
        <v>0</v>
      </c>
      <c r="CP546" s="67"/>
      <c r="CQ546" s="67"/>
      <c r="CR546" s="67"/>
      <c r="CS546" s="67"/>
      <c r="CT546" s="67"/>
      <c r="CU546" s="67">
        <v>0</v>
      </c>
      <c r="CV546" s="67"/>
      <c r="CW546" s="67"/>
      <c r="CX546" s="67"/>
      <c r="CY546" s="67">
        <v>0</v>
      </c>
      <c r="CZ546" s="67"/>
      <c r="DA546" s="67"/>
      <c r="DB546" s="67"/>
      <c r="DC546" s="67"/>
      <c r="DF546" s="67"/>
      <c r="DG546" s="67">
        <v>0</v>
      </c>
      <c r="DH546" s="67">
        <v>0</v>
      </c>
      <c r="DI546" s="67">
        <v>0</v>
      </c>
      <c r="DJ546" s="67"/>
      <c r="DK546" s="67">
        <v>0</v>
      </c>
      <c r="DL546" s="67">
        <v>0</v>
      </c>
      <c r="DM546" s="67">
        <v>0</v>
      </c>
      <c r="DN546" s="67"/>
      <c r="DO546" s="67"/>
      <c r="DP546" s="67"/>
      <c r="DQ546" s="67">
        <v>0</v>
      </c>
      <c r="DR546" s="67">
        <v>0</v>
      </c>
      <c r="DS546" s="67"/>
      <c r="DT546" s="67"/>
      <c r="DU546" s="67">
        <v>0</v>
      </c>
      <c r="DV546" s="67">
        <v>0</v>
      </c>
      <c r="DW546" s="67">
        <v>0</v>
      </c>
      <c r="DX546" s="67">
        <v>0</v>
      </c>
      <c r="DY546" s="67"/>
      <c r="DZ546" s="67">
        <v>0</v>
      </c>
      <c r="EA546" s="67"/>
      <c r="EB546" s="67">
        <v>0</v>
      </c>
      <c r="EC546" s="67"/>
      <c r="ED546" s="67">
        <v>0</v>
      </c>
      <c r="EE546" s="67"/>
      <c r="EF546" s="67">
        <v>0</v>
      </c>
      <c r="EG546" s="67"/>
      <c r="EH546" s="67"/>
      <c r="EI546" s="67"/>
      <c r="EJ546" s="67"/>
      <c r="EK546" s="67"/>
      <c r="EL546" s="67"/>
      <c r="EM546" s="67"/>
      <c r="EN546" s="67"/>
      <c r="EO546" s="67"/>
      <c r="EP546" s="67">
        <v>0</v>
      </c>
      <c r="EQ546" s="67">
        <v>0</v>
      </c>
      <c r="ER546" s="67">
        <v>0</v>
      </c>
      <c r="ES546" s="67"/>
      <c r="ET546">
        <v>0</v>
      </c>
      <c r="EX546" s="67"/>
      <c r="EY546" s="67"/>
      <c r="EZ546" s="67"/>
      <c r="FA546" s="67">
        <v>653</v>
      </c>
      <c r="FB546" s="67">
        <v>0</v>
      </c>
      <c r="FC546" s="67"/>
      <c r="FD546" s="67"/>
      <c r="FE546" s="67"/>
      <c r="FF546" s="67"/>
      <c r="FG546" s="67"/>
      <c r="FH546" s="67"/>
      <c r="FI546" s="67" t="s">
        <v>1734</v>
      </c>
    </row>
    <row r="547" spans="2:165" x14ac:dyDescent="0.2">
      <c r="B547" s="67" t="s">
        <v>1427</v>
      </c>
      <c r="C547" s="67"/>
      <c r="D547" s="67" t="s">
        <v>1428</v>
      </c>
      <c r="E547" s="67"/>
      <c r="F547" s="67"/>
      <c r="G547" s="67" t="s">
        <v>345</v>
      </c>
      <c r="H547" s="67"/>
      <c r="I547" s="67"/>
      <c r="J547" s="67"/>
      <c r="K547" s="67"/>
      <c r="L547" s="67" t="s">
        <v>767</v>
      </c>
      <c r="M547" s="67" t="s">
        <v>1392</v>
      </c>
      <c r="N547" s="67"/>
      <c r="O547" s="67" t="s">
        <v>1599</v>
      </c>
      <c r="P547" s="67"/>
      <c r="Q547" s="67">
        <v>640</v>
      </c>
      <c r="R547" s="67">
        <v>0</v>
      </c>
      <c r="S547" s="67">
        <v>0</v>
      </c>
      <c r="T547" s="67">
        <v>0</v>
      </c>
      <c r="U547" s="67">
        <v>0</v>
      </c>
      <c r="V547" s="67">
        <v>0</v>
      </c>
      <c r="W547" s="67">
        <v>0</v>
      </c>
      <c r="X547" s="67">
        <v>0</v>
      </c>
      <c r="Y547" s="67">
        <v>0</v>
      </c>
      <c r="Z547" s="67">
        <v>0</v>
      </c>
      <c r="AA547" s="67">
        <v>0</v>
      </c>
      <c r="AB547" s="67">
        <v>0</v>
      </c>
      <c r="AC547" s="67">
        <v>0</v>
      </c>
      <c r="AD547" s="67">
        <v>0</v>
      </c>
      <c r="AE547" s="67">
        <v>0</v>
      </c>
      <c r="AF547" s="67">
        <v>0</v>
      </c>
      <c r="AG547" s="67">
        <v>0</v>
      </c>
      <c r="AH547" s="67">
        <v>0</v>
      </c>
      <c r="AI547" s="67">
        <v>0</v>
      </c>
      <c r="AJ547" s="67">
        <v>0</v>
      </c>
      <c r="AK547" s="67">
        <v>0</v>
      </c>
      <c r="AL547" s="67">
        <v>0</v>
      </c>
      <c r="AM547" s="67">
        <v>0</v>
      </c>
      <c r="AN547" s="67">
        <v>0</v>
      </c>
      <c r="AO547" s="67">
        <v>640</v>
      </c>
      <c r="AP547" s="67">
        <v>0</v>
      </c>
      <c r="AQ547" s="67">
        <v>0</v>
      </c>
      <c r="AR547" s="67">
        <v>0</v>
      </c>
      <c r="AS547" s="67">
        <v>0</v>
      </c>
      <c r="AT547" s="67"/>
      <c r="AU547" s="67"/>
      <c r="AV547" s="67"/>
      <c r="AW547" s="67">
        <v>0</v>
      </c>
      <c r="AX547" s="67">
        <v>0</v>
      </c>
      <c r="AY547" s="67"/>
      <c r="AZ547" s="67"/>
      <c r="BA547" s="67"/>
      <c r="BB547" s="67"/>
      <c r="BC547" s="67"/>
      <c r="BD547" s="67"/>
      <c r="BE547" s="67"/>
      <c r="BG547" s="67"/>
      <c r="BH547" s="67"/>
      <c r="BI547" s="67"/>
      <c r="BJ547" s="67">
        <v>0</v>
      </c>
      <c r="BK547" s="67"/>
      <c r="BL547" s="67"/>
      <c r="BP547" s="67"/>
      <c r="BQ547" s="67">
        <v>0</v>
      </c>
      <c r="BR547" s="67"/>
      <c r="BS547" s="67"/>
      <c r="BT547" s="67">
        <v>0</v>
      </c>
      <c r="BU547" s="67">
        <v>0</v>
      </c>
      <c r="BV547" s="67"/>
      <c r="BW547" s="67"/>
      <c r="BX547" s="67">
        <v>0</v>
      </c>
      <c r="BY547" s="67">
        <v>0</v>
      </c>
      <c r="BZ547" s="67">
        <v>0</v>
      </c>
      <c r="CA547" s="67"/>
      <c r="CB547" s="67">
        <v>0</v>
      </c>
      <c r="CC547" s="67"/>
      <c r="CD547" s="67"/>
      <c r="CE547" s="67">
        <v>0</v>
      </c>
      <c r="CF547" s="67"/>
      <c r="CG547" s="67"/>
      <c r="CH547" s="67"/>
      <c r="CI547" s="67"/>
      <c r="CJ547" s="67"/>
      <c r="CK547" s="67">
        <v>0</v>
      </c>
      <c r="CL547" s="67"/>
      <c r="CM547" s="67"/>
      <c r="CN547" s="67"/>
      <c r="CO547" s="67">
        <v>0</v>
      </c>
      <c r="CP547" s="67"/>
      <c r="CQ547" s="67"/>
      <c r="CR547" s="67"/>
      <c r="CS547" s="67"/>
      <c r="CT547" s="67"/>
      <c r="CU547" s="67">
        <v>0</v>
      </c>
      <c r="CV547" s="67"/>
      <c r="CW547" s="67"/>
      <c r="CX547" s="67"/>
      <c r="CY547" s="67">
        <v>0</v>
      </c>
      <c r="CZ547" s="67"/>
      <c r="DA547" s="67"/>
      <c r="DB547" s="67"/>
      <c r="DC547" s="67"/>
      <c r="DF547" s="67"/>
      <c r="DG547" s="67">
        <v>0</v>
      </c>
      <c r="DH547" s="67">
        <v>0</v>
      </c>
      <c r="DI547" s="67">
        <v>0</v>
      </c>
      <c r="DJ547" s="67"/>
      <c r="DK547" s="67">
        <v>0</v>
      </c>
      <c r="DL547" s="67">
        <v>0</v>
      </c>
      <c r="DM547" s="67">
        <v>0</v>
      </c>
      <c r="DN547" s="67"/>
      <c r="DO547" s="67"/>
      <c r="DP547" s="67"/>
      <c r="DQ547" s="67">
        <v>0</v>
      </c>
      <c r="DR547" s="67">
        <v>0</v>
      </c>
      <c r="DS547" s="67"/>
      <c r="DT547" s="67"/>
      <c r="DU547" s="67">
        <v>0</v>
      </c>
      <c r="DV547" s="67">
        <v>0</v>
      </c>
      <c r="DW547" s="67">
        <v>0</v>
      </c>
      <c r="DX547" s="67">
        <v>0</v>
      </c>
      <c r="DY547" s="67"/>
      <c r="DZ547" s="67">
        <v>0</v>
      </c>
      <c r="EA547" s="67"/>
      <c r="EB547" s="67">
        <v>0</v>
      </c>
      <c r="EC547" s="67"/>
      <c r="ED547" s="67">
        <v>0</v>
      </c>
      <c r="EE547" s="67"/>
      <c r="EF547" s="67">
        <v>0</v>
      </c>
      <c r="EG547" s="67"/>
      <c r="EH547" s="67"/>
      <c r="EI547" s="67"/>
      <c r="EJ547" s="67"/>
      <c r="EK547" s="67"/>
      <c r="EL547" s="67"/>
      <c r="EM547" s="67"/>
      <c r="EN547" s="67"/>
      <c r="EO547" s="67"/>
      <c r="EP547" s="67">
        <v>0</v>
      </c>
      <c r="EQ547" s="67">
        <v>0</v>
      </c>
      <c r="ER547" s="67">
        <v>0</v>
      </c>
      <c r="ES547" s="67"/>
      <c r="ET547">
        <v>0</v>
      </c>
      <c r="EX547" s="67"/>
      <c r="EY547" s="67"/>
      <c r="EZ547" s="67"/>
      <c r="FA547" s="67">
        <v>640</v>
      </c>
      <c r="FB547" s="67">
        <v>0</v>
      </c>
      <c r="FC547" s="67"/>
      <c r="FD547" s="67"/>
      <c r="FE547" s="67"/>
      <c r="FF547" s="67"/>
      <c r="FG547" s="67"/>
      <c r="FH547" s="67"/>
      <c r="FI547" s="67" t="s">
        <v>1734</v>
      </c>
    </row>
    <row r="548" spans="2:165" x14ac:dyDescent="0.2">
      <c r="B548" s="67" t="s">
        <v>1429</v>
      </c>
      <c r="C548" s="67"/>
      <c r="D548" s="67" t="s">
        <v>1430</v>
      </c>
      <c r="E548" s="67"/>
      <c r="F548" s="67"/>
      <c r="G548" s="67" t="s">
        <v>345</v>
      </c>
      <c r="H548" s="67"/>
      <c r="I548" s="67"/>
      <c r="J548" s="67"/>
      <c r="K548" s="67"/>
      <c r="L548" s="67" t="s">
        <v>767</v>
      </c>
      <c r="M548" s="67" t="s">
        <v>1392</v>
      </c>
      <c r="N548" s="67"/>
      <c r="O548" s="67" t="s">
        <v>1608</v>
      </c>
      <c r="P548" s="67"/>
      <c r="Q548" s="67">
        <v>950</v>
      </c>
      <c r="R548" s="67">
        <v>0</v>
      </c>
      <c r="S548" s="67">
        <v>0</v>
      </c>
      <c r="T548" s="67">
        <v>0</v>
      </c>
      <c r="U548" s="67">
        <v>0</v>
      </c>
      <c r="V548" s="67">
        <v>0</v>
      </c>
      <c r="W548" s="67">
        <v>0</v>
      </c>
      <c r="X548" s="67">
        <v>0</v>
      </c>
      <c r="Y548" s="67">
        <v>0</v>
      </c>
      <c r="Z548" s="67">
        <v>0</v>
      </c>
      <c r="AA548" s="67">
        <v>0</v>
      </c>
      <c r="AB548" s="67">
        <v>0</v>
      </c>
      <c r="AC548" s="67">
        <v>0</v>
      </c>
      <c r="AD548" s="67">
        <v>0</v>
      </c>
      <c r="AE548" s="67">
        <v>0</v>
      </c>
      <c r="AF548" s="67">
        <v>0</v>
      </c>
      <c r="AG548" s="67">
        <v>0</v>
      </c>
      <c r="AH548" s="67">
        <v>0</v>
      </c>
      <c r="AI548" s="67">
        <v>0</v>
      </c>
      <c r="AJ548" s="67">
        <v>0</v>
      </c>
      <c r="AK548" s="67">
        <v>0</v>
      </c>
      <c r="AL548" s="67">
        <v>0</v>
      </c>
      <c r="AM548" s="67">
        <v>0</v>
      </c>
      <c r="AN548" s="67">
        <v>950</v>
      </c>
      <c r="AO548" s="67">
        <v>0</v>
      </c>
      <c r="AP548" s="67">
        <v>0</v>
      </c>
      <c r="AQ548" s="67">
        <v>0</v>
      </c>
      <c r="AR548" s="67">
        <v>0</v>
      </c>
      <c r="AS548" s="67">
        <v>0</v>
      </c>
      <c r="AT548" s="67"/>
      <c r="AU548" s="67"/>
      <c r="AV548" s="67"/>
      <c r="AW548" s="67">
        <v>0</v>
      </c>
      <c r="AX548" s="67">
        <v>0</v>
      </c>
      <c r="AY548" s="67"/>
      <c r="AZ548" s="67"/>
      <c r="BA548" s="67"/>
      <c r="BB548" s="67"/>
      <c r="BC548" s="67"/>
      <c r="BD548" s="67"/>
      <c r="BE548" s="67"/>
      <c r="BG548" s="67"/>
      <c r="BH548" s="67"/>
      <c r="BI548" s="67"/>
      <c r="BJ548" s="67">
        <v>0</v>
      </c>
      <c r="BK548" s="67"/>
      <c r="BL548" s="67"/>
      <c r="BP548" s="67"/>
      <c r="BQ548" s="67">
        <v>0</v>
      </c>
      <c r="BR548" s="67"/>
      <c r="BS548" s="67"/>
      <c r="BT548" s="67">
        <v>0</v>
      </c>
      <c r="BU548" s="67">
        <v>0</v>
      </c>
      <c r="BV548" s="67"/>
      <c r="BW548" s="67"/>
      <c r="BX548" s="67">
        <v>0</v>
      </c>
      <c r="BY548" s="67">
        <v>0</v>
      </c>
      <c r="BZ548" s="67">
        <v>0</v>
      </c>
      <c r="CA548" s="67"/>
      <c r="CB548" s="67">
        <v>0</v>
      </c>
      <c r="CC548" s="67"/>
      <c r="CD548" s="67"/>
      <c r="CE548" s="67">
        <v>0</v>
      </c>
      <c r="CF548" s="67"/>
      <c r="CG548" s="67"/>
      <c r="CH548" s="67"/>
      <c r="CI548" s="67"/>
      <c r="CJ548" s="67"/>
      <c r="CK548" s="67">
        <v>0</v>
      </c>
      <c r="CL548" s="67"/>
      <c r="CM548" s="67"/>
      <c r="CN548" s="67"/>
      <c r="CO548" s="67">
        <v>0</v>
      </c>
      <c r="CP548" s="67"/>
      <c r="CQ548" s="67"/>
      <c r="CR548" s="67"/>
      <c r="CS548" s="67"/>
      <c r="CT548" s="67"/>
      <c r="CU548" s="67">
        <v>0</v>
      </c>
      <c r="CV548" s="67"/>
      <c r="CW548" s="67"/>
      <c r="CX548" s="67"/>
      <c r="CY548" s="67">
        <v>0</v>
      </c>
      <c r="CZ548" s="67"/>
      <c r="DA548" s="67"/>
      <c r="DB548" s="67"/>
      <c r="DC548" s="67"/>
      <c r="DF548" s="67"/>
      <c r="DG548" s="67">
        <v>0</v>
      </c>
      <c r="DH548" s="67">
        <v>0</v>
      </c>
      <c r="DI548" s="67">
        <v>0</v>
      </c>
      <c r="DJ548" s="67"/>
      <c r="DK548" s="67">
        <v>0</v>
      </c>
      <c r="DL548" s="67">
        <v>0</v>
      </c>
      <c r="DM548" s="67">
        <v>0</v>
      </c>
      <c r="DN548" s="67"/>
      <c r="DO548" s="67"/>
      <c r="DP548" s="67"/>
      <c r="DQ548" s="67">
        <v>0</v>
      </c>
      <c r="DR548" s="67">
        <v>0</v>
      </c>
      <c r="DS548" s="67"/>
      <c r="DT548" s="67"/>
      <c r="DU548" s="67">
        <v>0</v>
      </c>
      <c r="DV548" s="67">
        <v>0</v>
      </c>
      <c r="DW548" s="67">
        <v>0</v>
      </c>
      <c r="DX548" s="67">
        <v>0</v>
      </c>
      <c r="DY548" s="67"/>
      <c r="DZ548" s="67">
        <v>0</v>
      </c>
      <c r="EA548" s="67"/>
      <c r="EB548" s="67">
        <v>0</v>
      </c>
      <c r="EC548" s="67"/>
      <c r="ED548" s="67">
        <v>0</v>
      </c>
      <c r="EE548" s="67"/>
      <c r="EF548" s="67">
        <v>0</v>
      </c>
      <c r="EG548" s="67"/>
      <c r="EH548" s="67"/>
      <c r="EI548" s="67"/>
      <c r="EJ548" s="67"/>
      <c r="EK548" s="67"/>
      <c r="EL548" s="67"/>
      <c r="EM548" s="67"/>
      <c r="EN548" s="67"/>
      <c r="EO548" s="67"/>
      <c r="EP548" s="67">
        <v>0</v>
      </c>
      <c r="EQ548" s="67">
        <v>0</v>
      </c>
      <c r="ER548" s="67">
        <v>0</v>
      </c>
      <c r="ES548" s="67"/>
      <c r="ET548">
        <v>0</v>
      </c>
      <c r="EX548" s="67"/>
      <c r="EY548" s="67"/>
      <c r="EZ548" s="67"/>
      <c r="FA548" s="67">
        <v>950</v>
      </c>
      <c r="FB548" s="67">
        <v>0</v>
      </c>
      <c r="FC548" s="67"/>
      <c r="FD548" s="67"/>
      <c r="FE548" s="67"/>
      <c r="FF548" s="67"/>
      <c r="FG548" s="67"/>
      <c r="FH548" s="67"/>
      <c r="FI548" s="67" t="s">
        <v>1734</v>
      </c>
    </row>
    <row r="549" spans="2:165" ht="24" x14ac:dyDescent="0.2">
      <c r="B549" s="67" t="s">
        <v>1431</v>
      </c>
      <c r="C549" s="67"/>
      <c r="D549" s="67" t="s">
        <v>1432</v>
      </c>
      <c r="E549" s="67" t="s">
        <v>13</v>
      </c>
      <c r="F549" s="67"/>
      <c r="G549" s="67" t="s">
        <v>345</v>
      </c>
      <c r="H549" s="67"/>
      <c r="I549" s="67" t="s">
        <v>41</v>
      </c>
      <c r="J549" s="67"/>
      <c r="K549" s="67"/>
      <c r="L549" s="67" t="s">
        <v>767</v>
      </c>
      <c r="M549" s="67" t="s">
        <v>1392</v>
      </c>
      <c r="N549" s="67"/>
      <c r="O549" s="67" t="s">
        <v>1608</v>
      </c>
      <c r="P549" s="67"/>
      <c r="Q549" s="67">
        <v>840</v>
      </c>
      <c r="R549" s="67">
        <v>0</v>
      </c>
      <c r="S549" s="67">
        <v>0</v>
      </c>
      <c r="T549" s="67">
        <v>0</v>
      </c>
      <c r="U549" s="67">
        <v>0</v>
      </c>
      <c r="V549" s="67">
        <v>0</v>
      </c>
      <c r="W549" s="67">
        <v>0</v>
      </c>
      <c r="X549" s="67">
        <v>0</v>
      </c>
      <c r="Y549" s="67">
        <v>0</v>
      </c>
      <c r="Z549" s="67">
        <v>0</v>
      </c>
      <c r="AA549" s="67">
        <v>0</v>
      </c>
      <c r="AB549" s="67">
        <v>0</v>
      </c>
      <c r="AC549" s="67">
        <v>0</v>
      </c>
      <c r="AD549" s="67">
        <v>0</v>
      </c>
      <c r="AE549" s="67">
        <v>0</v>
      </c>
      <c r="AF549" s="67">
        <v>0</v>
      </c>
      <c r="AG549" s="67">
        <v>840</v>
      </c>
      <c r="AH549" s="67">
        <v>0</v>
      </c>
      <c r="AI549" s="67">
        <v>0</v>
      </c>
      <c r="AJ549" s="67">
        <v>0</v>
      </c>
      <c r="AK549" s="67">
        <v>0</v>
      </c>
      <c r="AL549" s="67">
        <v>0</v>
      </c>
      <c r="AM549" s="67">
        <v>0</v>
      </c>
      <c r="AN549" s="67">
        <v>0</v>
      </c>
      <c r="AO549" s="67">
        <v>0</v>
      </c>
      <c r="AP549" s="67">
        <v>0</v>
      </c>
      <c r="AQ549" s="67">
        <v>0</v>
      </c>
      <c r="AR549" s="67">
        <v>0</v>
      </c>
      <c r="AS549" s="67">
        <v>0</v>
      </c>
      <c r="AT549" s="67"/>
      <c r="AU549" s="67"/>
      <c r="AV549" s="67"/>
      <c r="AW549" s="67">
        <v>0</v>
      </c>
      <c r="AX549" s="67">
        <v>0</v>
      </c>
      <c r="AY549" s="67"/>
      <c r="AZ549" s="67"/>
      <c r="BA549" s="67"/>
      <c r="BB549" s="67"/>
      <c r="BC549" s="67"/>
      <c r="BD549" s="67"/>
      <c r="BE549" s="67"/>
      <c r="BG549" s="67"/>
      <c r="BH549" s="67"/>
      <c r="BI549" s="67"/>
      <c r="BJ549" s="67">
        <v>0</v>
      </c>
      <c r="BK549" s="67"/>
      <c r="BL549" s="67"/>
      <c r="BP549" s="67"/>
      <c r="BQ549" s="67">
        <v>0</v>
      </c>
      <c r="BR549" s="67"/>
      <c r="BS549" s="67"/>
      <c r="BT549" s="67">
        <v>0</v>
      </c>
      <c r="BU549" s="67">
        <v>0</v>
      </c>
      <c r="BV549" s="67"/>
      <c r="BW549" s="67"/>
      <c r="BX549" s="67">
        <v>0</v>
      </c>
      <c r="BY549" s="67">
        <v>0</v>
      </c>
      <c r="BZ549" s="67">
        <v>0</v>
      </c>
      <c r="CA549" s="67"/>
      <c r="CB549" s="67">
        <v>0</v>
      </c>
      <c r="CC549" s="67"/>
      <c r="CD549" s="67"/>
      <c r="CE549" s="67">
        <v>0</v>
      </c>
      <c r="CF549" s="67"/>
      <c r="CG549" s="67"/>
      <c r="CH549" s="67"/>
      <c r="CI549" s="67"/>
      <c r="CJ549" s="67"/>
      <c r="CK549" s="67">
        <v>0</v>
      </c>
      <c r="CL549" s="67"/>
      <c r="CM549" s="67"/>
      <c r="CN549" s="67"/>
      <c r="CO549" s="67">
        <v>0</v>
      </c>
      <c r="CP549" s="67"/>
      <c r="CQ549" s="67"/>
      <c r="CR549" s="67"/>
      <c r="CS549" s="67"/>
      <c r="CT549" s="67"/>
      <c r="CU549" s="67">
        <v>0</v>
      </c>
      <c r="CV549" s="67"/>
      <c r="CW549" s="67"/>
      <c r="CX549" s="67"/>
      <c r="CY549" s="67">
        <v>0</v>
      </c>
      <c r="CZ549" s="67"/>
      <c r="DA549" s="67"/>
      <c r="DB549" s="67"/>
      <c r="DC549" s="67"/>
      <c r="DF549" s="67"/>
      <c r="DG549" s="67">
        <v>0</v>
      </c>
      <c r="DH549" s="67">
        <v>0</v>
      </c>
      <c r="DI549" s="67">
        <v>0</v>
      </c>
      <c r="DJ549" s="67"/>
      <c r="DK549" s="67">
        <v>0</v>
      </c>
      <c r="DL549" s="67">
        <v>0</v>
      </c>
      <c r="DM549" s="67">
        <v>0</v>
      </c>
      <c r="DN549" s="67"/>
      <c r="DO549" s="67"/>
      <c r="DP549" s="67"/>
      <c r="DQ549" s="67">
        <v>0</v>
      </c>
      <c r="DR549" s="67">
        <v>0</v>
      </c>
      <c r="DS549" s="67"/>
      <c r="DT549" s="67"/>
      <c r="DU549" s="67">
        <v>0</v>
      </c>
      <c r="DV549" s="67">
        <v>0</v>
      </c>
      <c r="DW549" s="67">
        <v>0</v>
      </c>
      <c r="DX549" s="67">
        <v>0</v>
      </c>
      <c r="DY549" s="67"/>
      <c r="DZ549" s="67">
        <v>0</v>
      </c>
      <c r="EA549" s="67"/>
      <c r="EB549" s="67">
        <v>0</v>
      </c>
      <c r="EC549" s="67"/>
      <c r="ED549" s="67">
        <v>0</v>
      </c>
      <c r="EE549" s="67"/>
      <c r="EF549" s="67">
        <v>0</v>
      </c>
      <c r="EG549" s="67"/>
      <c r="EH549" s="67"/>
      <c r="EI549" s="67"/>
      <c r="EJ549" s="67"/>
      <c r="EK549" s="67"/>
      <c r="EL549" s="67"/>
      <c r="EM549" s="67"/>
      <c r="EN549" s="67"/>
      <c r="EO549" s="67"/>
      <c r="EP549" s="67">
        <v>0</v>
      </c>
      <c r="EQ549" s="67">
        <v>0</v>
      </c>
      <c r="ER549" s="67">
        <v>0</v>
      </c>
      <c r="ES549" s="67"/>
      <c r="ET549">
        <v>0</v>
      </c>
      <c r="EX549" s="67"/>
      <c r="EY549" s="67"/>
      <c r="EZ549" s="67"/>
      <c r="FA549" s="67">
        <v>840</v>
      </c>
      <c r="FB549" s="67">
        <v>0</v>
      </c>
      <c r="FC549" s="67"/>
      <c r="FD549" s="67"/>
      <c r="FE549" s="67"/>
      <c r="FF549" s="67"/>
      <c r="FG549" s="67"/>
      <c r="FH549" s="67"/>
      <c r="FI549" s="67" t="s">
        <v>1734</v>
      </c>
    </row>
    <row r="550" spans="2:165" ht="24" x14ac:dyDescent="0.2">
      <c r="B550" s="67" t="s">
        <v>1433</v>
      </c>
      <c r="C550" s="67"/>
      <c r="D550" s="67" t="s">
        <v>1434</v>
      </c>
      <c r="E550" s="67" t="s">
        <v>13</v>
      </c>
      <c r="F550" s="67"/>
      <c r="G550" s="67" t="s">
        <v>345</v>
      </c>
      <c r="H550" s="67"/>
      <c r="I550" s="67" t="s">
        <v>41</v>
      </c>
      <c r="J550" s="67"/>
      <c r="K550" s="67"/>
      <c r="L550" s="67" t="s">
        <v>767</v>
      </c>
      <c r="M550" s="67" t="s">
        <v>1392</v>
      </c>
      <c r="N550" s="67"/>
      <c r="O550" s="67" t="s">
        <v>1605</v>
      </c>
      <c r="P550" s="67"/>
      <c r="Q550" s="67">
        <v>0</v>
      </c>
      <c r="R550" s="67">
        <v>0</v>
      </c>
      <c r="S550" s="67">
        <v>0</v>
      </c>
      <c r="T550" s="67">
        <v>0</v>
      </c>
      <c r="U550" s="67">
        <v>0</v>
      </c>
      <c r="V550" s="67">
        <v>0</v>
      </c>
      <c r="W550" s="67">
        <v>0</v>
      </c>
      <c r="X550" s="67">
        <v>0</v>
      </c>
      <c r="Y550" s="67">
        <v>0</v>
      </c>
      <c r="Z550" s="67">
        <v>0</v>
      </c>
      <c r="AA550" s="67">
        <v>0</v>
      </c>
      <c r="AB550" s="67">
        <v>0</v>
      </c>
      <c r="AC550" s="67">
        <v>0</v>
      </c>
      <c r="AD550" s="67">
        <v>0</v>
      </c>
      <c r="AE550" s="67">
        <v>0</v>
      </c>
      <c r="AF550" s="67">
        <v>0</v>
      </c>
      <c r="AG550" s="67">
        <v>0</v>
      </c>
      <c r="AH550" s="67">
        <v>0</v>
      </c>
      <c r="AI550" s="67">
        <v>0</v>
      </c>
      <c r="AJ550" s="67">
        <v>0</v>
      </c>
      <c r="AK550" s="67">
        <v>0</v>
      </c>
      <c r="AL550" s="67">
        <v>0</v>
      </c>
      <c r="AM550" s="67">
        <v>0</v>
      </c>
      <c r="AN550" s="67">
        <v>0</v>
      </c>
      <c r="AO550" s="67">
        <v>0</v>
      </c>
      <c r="AP550" s="67">
        <v>0</v>
      </c>
      <c r="AQ550" s="67">
        <v>0</v>
      </c>
      <c r="AR550" s="67">
        <v>0</v>
      </c>
      <c r="AS550" s="67">
        <v>0</v>
      </c>
      <c r="AT550" s="67"/>
      <c r="AU550" s="67"/>
      <c r="AV550" s="67"/>
      <c r="AW550" s="67">
        <v>0</v>
      </c>
      <c r="AX550" s="67">
        <v>0</v>
      </c>
      <c r="AY550" s="67"/>
      <c r="AZ550" s="67"/>
      <c r="BA550" s="67"/>
      <c r="BB550" s="67"/>
      <c r="BC550" s="67"/>
      <c r="BD550" s="67"/>
      <c r="BE550" s="67"/>
      <c r="BG550" s="67"/>
      <c r="BH550" s="67"/>
      <c r="BI550" s="67"/>
      <c r="BJ550" s="67">
        <v>0</v>
      </c>
      <c r="BK550" s="67"/>
      <c r="BL550" s="67"/>
      <c r="BP550" s="67"/>
      <c r="BQ550" s="67">
        <v>0</v>
      </c>
      <c r="BR550" s="67"/>
      <c r="BS550" s="67"/>
      <c r="BT550" s="67">
        <v>0</v>
      </c>
      <c r="BU550" s="67">
        <v>0</v>
      </c>
      <c r="BV550" s="67"/>
      <c r="BW550" s="67"/>
      <c r="BX550" s="67">
        <v>0</v>
      </c>
      <c r="BY550" s="67">
        <v>0</v>
      </c>
      <c r="BZ550" s="67">
        <v>0</v>
      </c>
      <c r="CA550" s="67"/>
      <c r="CB550" s="67">
        <v>0</v>
      </c>
      <c r="CC550" s="67"/>
      <c r="CD550" s="67"/>
      <c r="CE550" s="67">
        <v>0</v>
      </c>
      <c r="CF550" s="67"/>
      <c r="CG550" s="67"/>
      <c r="CH550" s="67"/>
      <c r="CI550" s="67"/>
      <c r="CJ550" s="67"/>
      <c r="CK550" s="67">
        <v>0</v>
      </c>
      <c r="CL550" s="67"/>
      <c r="CM550" s="67"/>
      <c r="CN550" s="67"/>
      <c r="CO550" s="67">
        <v>0</v>
      </c>
      <c r="CP550" s="67"/>
      <c r="CQ550" s="67"/>
      <c r="CR550" s="67"/>
      <c r="CS550" s="67"/>
      <c r="CT550" s="67"/>
      <c r="CU550" s="67">
        <v>0</v>
      </c>
      <c r="CV550" s="67"/>
      <c r="CW550" s="67"/>
      <c r="CX550" s="67"/>
      <c r="CY550" s="67">
        <v>0</v>
      </c>
      <c r="CZ550" s="67"/>
      <c r="DA550" s="67"/>
      <c r="DB550" s="67"/>
      <c r="DC550" s="67"/>
      <c r="DF550" s="67"/>
      <c r="DG550" s="67">
        <v>0</v>
      </c>
      <c r="DH550" s="67">
        <v>0</v>
      </c>
      <c r="DI550" s="67">
        <v>0</v>
      </c>
      <c r="DJ550" s="67"/>
      <c r="DK550" s="67">
        <v>0</v>
      </c>
      <c r="DL550" s="67">
        <v>0</v>
      </c>
      <c r="DM550" s="67">
        <v>0</v>
      </c>
      <c r="DN550" s="67"/>
      <c r="DO550" s="67"/>
      <c r="DP550" s="67"/>
      <c r="DQ550" s="67">
        <v>0</v>
      </c>
      <c r="DR550" s="67">
        <v>0</v>
      </c>
      <c r="DS550" s="67"/>
      <c r="DT550" s="67"/>
      <c r="DU550" s="67">
        <v>0</v>
      </c>
      <c r="DV550" s="67">
        <v>0</v>
      </c>
      <c r="DW550" s="67">
        <v>0</v>
      </c>
      <c r="DX550" s="67">
        <v>0</v>
      </c>
      <c r="DY550" s="67"/>
      <c r="DZ550" s="67">
        <v>0</v>
      </c>
      <c r="EA550" s="67"/>
      <c r="EB550" s="67">
        <v>0</v>
      </c>
      <c r="EC550" s="67"/>
      <c r="ED550" s="67">
        <v>0</v>
      </c>
      <c r="EE550" s="67"/>
      <c r="EF550" s="67">
        <v>0</v>
      </c>
      <c r="EG550" s="67"/>
      <c r="EH550" s="67"/>
      <c r="EI550" s="67"/>
      <c r="EJ550" s="67"/>
      <c r="EK550" s="67"/>
      <c r="EL550" s="67"/>
      <c r="EM550" s="67"/>
      <c r="EN550" s="67"/>
      <c r="EO550" s="67"/>
      <c r="EP550" s="67">
        <v>0</v>
      </c>
      <c r="EQ550" s="67">
        <v>0</v>
      </c>
      <c r="ER550" s="67">
        <v>0</v>
      </c>
      <c r="ES550" s="67"/>
      <c r="ET550">
        <v>0</v>
      </c>
      <c r="EX550" s="67"/>
      <c r="EY550" s="67"/>
      <c r="EZ550" s="67"/>
      <c r="FA550" s="67">
        <v>0</v>
      </c>
      <c r="FB550" s="67">
        <v>0</v>
      </c>
      <c r="FC550" s="67"/>
      <c r="FD550" s="67"/>
      <c r="FE550" s="67"/>
      <c r="FF550" s="67"/>
      <c r="FG550" s="67"/>
      <c r="FH550" s="67"/>
      <c r="FI550" s="67" t="s">
        <v>1734</v>
      </c>
    </row>
    <row r="551" spans="2:165" ht="24" x14ac:dyDescent="0.2">
      <c r="B551" s="67" t="s">
        <v>1435</v>
      </c>
      <c r="C551" s="67"/>
      <c r="D551" s="67" t="s">
        <v>1436</v>
      </c>
      <c r="E551" s="67" t="s">
        <v>13</v>
      </c>
      <c r="F551" s="67"/>
      <c r="G551" s="67" t="s">
        <v>345</v>
      </c>
      <c r="H551" s="67"/>
      <c r="I551" s="67" t="s">
        <v>41</v>
      </c>
      <c r="J551" s="67"/>
      <c r="K551" s="67"/>
      <c r="L551" s="67" t="s">
        <v>767</v>
      </c>
      <c r="M551" s="67" t="s">
        <v>1392</v>
      </c>
      <c r="N551" s="67"/>
      <c r="O551" s="67" t="s">
        <v>1599</v>
      </c>
      <c r="P551" s="67"/>
      <c r="Q551" s="67">
        <v>1490</v>
      </c>
      <c r="R551" s="67">
        <v>0</v>
      </c>
      <c r="S551" s="67">
        <v>0</v>
      </c>
      <c r="T551" s="67">
        <v>0</v>
      </c>
      <c r="U551" s="67">
        <v>0</v>
      </c>
      <c r="V551" s="67">
        <v>0</v>
      </c>
      <c r="W551" s="67">
        <v>0</v>
      </c>
      <c r="X551" s="67">
        <v>0</v>
      </c>
      <c r="Y551" s="67">
        <v>0</v>
      </c>
      <c r="Z551" s="67">
        <v>0</v>
      </c>
      <c r="AA551" s="67">
        <v>0</v>
      </c>
      <c r="AB551" s="67">
        <v>0</v>
      </c>
      <c r="AC551" s="67">
        <v>0</v>
      </c>
      <c r="AD551" s="67">
        <v>0</v>
      </c>
      <c r="AE551" s="67">
        <v>0</v>
      </c>
      <c r="AF551" s="67">
        <v>0</v>
      </c>
      <c r="AG551" s="67">
        <v>1390</v>
      </c>
      <c r="AH551" s="67">
        <v>0</v>
      </c>
      <c r="AI551" s="67">
        <v>0</v>
      </c>
      <c r="AJ551" s="67">
        <v>0</v>
      </c>
      <c r="AK551" s="67">
        <v>0</v>
      </c>
      <c r="AL551" s="67">
        <v>0</v>
      </c>
      <c r="AM551" s="67">
        <v>0</v>
      </c>
      <c r="AN551" s="67">
        <v>0</v>
      </c>
      <c r="AO551" s="67">
        <v>100</v>
      </c>
      <c r="AP551" s="67">
        <v>0</v>
      </c>
      <c r="AQ551" s="67">
        <v>0</v>
      </c>
      <c r="AR551" s="67">
        <v>0</v>
      </c>
      <c r="AS551" s="67">
        <v>0</v>
      </c>
      <c r="AT551" s="67"/>
      <c r="AU551" s="67"/>
      <c r="AV551" s="67"/>
      <c r="AW551" s="67">
        <v>0</v>
      </c>
      <c r="AX551" s="67">
        <v>0</v>
      </c>
      <c r="AY551" s="67"/>
      <c r="AZ551" s="67"/>
      <c r="BA551" s="67"/>
      <c r="BB551" s="67"/>
      <c r="BC551" s="67"/>
      <c r="BD551" s="67"/>
      <c r="BE551" s="67"/>
      <c r="BG551" s="67"/>
      <c r="BH551" s="67"/>
      <c r="BI551" s="67"/>
      <c r="BJ551" s="67">
        <v>0</v>
      </c>
      <c r="BK551" s="67"/>
      <c r="BL551" s="67"/>
      <c r="BP551" s="67"/>
      <c r="BQ551" s="67">
        <v>0</v>
      </c>
      <c r="BR551" s="67"/>
      <c r="BS551" s="67"/>
      <c r="BT551" s="67">
        <v>0</v>
      </c>
      <c r="BU551" s="67">
        <v>0</v>
      </c>
      <c r="BV551" s="67"/>
      <c r="BW551" s="67"/>
      <c r="BX551" s="67">
        <v>0</v>
      </c>
      <c r="BY551" s="67">
        <v>0</v>
      </c>
      <c r="BZ551" s="67">
        <v>0</v>
      </c>
      <c r="CA551" s="67"/>
      <c r="CB551" s="67">
        <v>0</v>
      </c>
      <c r="CC551" s="67"/>
      <c r="CD551" s="67"/>
      <c r="CE551" s="67">
        <v>0</v>
      </c>
      <c r="CF551" s="67"/>
      <c r="CG551" s="67"/>
      <c r="CH551" s="67"/>
      <c r="CI551" s="67"/>
      <c r="CJ551" s="67"/>
      <c r="CK551" s="67">
        <v>0</v>
      </c>
      <c r="CL551" s="67"/>
      <c r="CM551" s="67"/>
      <c r="CN551" s="67"/>
      <c r="CO551" s="67">
        <v>0</v>
      </c>
      <c r="CP551" s="67"/>
      <c r="CQ551" s="67"/>
      <c r="CR551" s="67"/>
      <c r="CS551" s="67"/>
      <c r="CT551" s="67"/>
      <c r="CU551" s="67">
        <v>0</v>
      </c>
      <c r="CV551" s="67"/>
      <c r="CW551" s="67"/>
      <c r="CX551" s="67"/>
      <c r="CY551" s="67">
        <v>0</v>
      </c>
      <c r="CZ551" s="67"/>
      <c r="DA551" s="67"/>
      <c r="DB551" s="67"/>
      <c r="DC551" s="67"/>
      <c r="DF551" s="67"/>
      <c r="DG551" s="67">
        <v>576</v>
      </c>
      <c r="DH551" s="67">
        <v>576</v>
      </c>
      <c r="DI551" s="67">
        <v>0</v>
      </c>
      <c r="DJ551" s="67"/>
      <c r="DK551" s="67">
        <v>0</v>
      </c>
      <c r="DL551" s="67">
        <v>0</v>
      </c>
      <c r="DM551" s="67">
        <v>0</v>
      </c>
      <c r="DN551" s="67"/>
      <c r="DO551" s="67"/>
      <c r="DP551" s="67"/>
      <c r="DQ551" s="67">
        <v>0</v>
      </c>
      <c r="DR551" s="67">
        <v>0</v>
      </c>
      <c r="DS551" s="67"/>
      <c r="DT551" s="67"/>
      <c r="DU551" s="67">
        <v>0</v>
      </c>
      <c r="DV551" s="67">
        <v>0</v>
      </c>
      <c r="DW551" s="67">
        <v>0</v>
      </c>
      <c r="DX551" s="67">
        <v>0</v>
      </c>
      <c r="DY551" s="67"/>
      <c r="DZ551" s="67">
        <v>0</v>
      </c>
      <c r="EA551" s="67"/>
      <c r="EB551" s="67">
        <v>0</v>
      </c>
      <c r="EC551" s="67"/>
      <c r="ED551" s="67">
        <v>0</v>
      </c>
      <c r="EE551" s="67"/>
      <c r="EF551" s="67">
        <v>0</v>
      </c>
      <c r="EG551" s="67"/>
      <c r="EH551" s="67"/>
      <c r="EI551" s="67"/>
      <c r="EJ551" s="67"/>
      <c r="EK551" s="67"/>
      <c r="EL551" s="67"/>
      <c r="EM551" s="67"/>
      <c r="EN551" s="67"/>
      <c r="EO551" s="67"/>
      <c r="EP551" s="67">
        <v>0</v>
      </c>
      <c r="EQ551" s="67">
        <v>0</v>
      </c>
      <c r="ER551" s="67">
        <v>0</v>
      </c>
      <c r="ES551" s="67"/>
      <c r="ET551">
        <v>0</v>
      </c>
      <c r="EX551" s="67"/>
      <c r="EY551" s="67"/>
      <c r="EZ551" s="67"/>
      <c r="FA551" s="67">
        <v>2066</v>
      </c>
      <c r="FB551" s="67">
        <v>0</v>
      </c>
      <c r="FC551" s="67"/>
      <c r="FD551" s="67"/>
      <c r="FE551" s="67"/>
      <c r="FF551" s="67"/>
      <c r="FG551" s="67"/>
      <c r="FH551" s="67"/>
      <c r="FI551" s="67" t="s">
        <v>1734</v>
      </c>
    </row>
    <row r="552" spans="2:165" ht="24" x14ac:dyDescent="0.2">
      <c r="B552" s="67" t="s">
        <v>1437</v>
      </c>
      <c r="C552" s="67"/>
      <c r="D552" s="67" t="s">
        <v>1438</v>
      </c>
      <c r="E552" s="67" t="s">
        <v>13</v>
      </c>
      <c r="F552" s="67"/>
      <c r="G552" s="67" t="s">
        <v>345</v>
      </c>
      <c r="H552" s="67"/>
      <c r="I552" s="67" t="s">
        <v>41</v>
      </c>
      <c r="J552" s="67"/>
      <c r="K552" s="67"/>
      <c r="L552" s="67" t="s">
        <v>767</v>
      </c>
      <c r="M552" s="67" t="s">
        <v>1392</v>
      </c>
      <c r="N552" s="67"/>
      <c r="O552" s="67" t="s">
        <v>1599</v>
      </c>
      <c r="P552" s="67"/>
      <c r="Q552" s="67">
        <v>240</v>
      </c>
      <c r="R552" s="67">
        <v>0</v>
      </c>
      <c r="S552" s="67">
        <v>0</v>
      </c>
      <c r="T552" s="67">
        <v>0</v>
      </c>
      <c r="U552" s="67">
        <v>0</v>
      </c>
      <c r="V552" s="67">
        <v>0</v>
      </c>
      <c r="W552" s="67">
        <v>0</v>
      </c>
      <c r="X552" s="67">
        <v>0</v>
      </c>
      <c r="Y552" s="67">
        <v>0</v>
      </c>
      <c r="Z552" s="67">
        <v>0</v>
      </c>
      <c r="AA552" s="67">
        <v>0</v>
      </c>
      <c r="AB552" s="67">
        <v>0</v>
      </c>
      <c r="AC552" s="67">
        <v>0</v>
      </c>
      <c r="AD552" s="67">
        <v>0</v>
      </c>
      <c r="AE552" s="67">
        <v>0</v>
      </c>
      <c r="AF552" s="67">
        <v>0</v>
      </c>
      <c r="AG552" s="67">
        <v>240</v>
      </c>
      <c r="AH552" s="67">
        <v>0</v>
      </c>
      <c r="AI552" s="67">
        <v>0</v>
      </c>
      <c r="AJ552" s="67">
        <v>0</v>
      </c>
      <c r="AK552" s="67">
        <v>0</v>
      </c>
      <c r="AL552" s="67">
        <v>0</v>
      </c>
      <c r="AM552" s="67">
        <v>0</v>
      </c>
      <c r="AN552" s="67">
        <v>0</v>
      </c>
      <c r="AO552" s="67">
        <v>0</v>
      </c>
      <c r="AP552" s="67">
        <v>0</v>
      </c>
      <c r="AQ552" s="67">
        <v>0</v>
      </c>
      <c r="AR552" s="67">
        <v>0</v>
      </c>
      <c r="AS552" s="67">
        <v>0</v>
      </c>
      <c r="AT552" s="67"/>
      <c r="AU552" s="67"/>
      <c r="AV552" s="67"/>
      <c r="AW552" s="67">
        <v>0</v>
      </c>
      <c r="AX552" s="67">
        <v>0</v>
      </c>
      <c r="AY552" s="67"/>
      <c r="AZ552" s="67"/>
      <c r="BA552" s="67"/>
      <c r="BB552" s="67"/>
      <c r="BC552" s="67"/>
      <c r="BD552" s="67"/>
      <c r="BE552" s="67"/>
      <c r="BG552" s="67"/>
      <c r="BH552" s="67"/>
      <c r="BI552" s="67"/>
      <c r="BJ552" s="67">
        <v>0</v>
      </c>
      <c r="BK552" s="67"/>
      <c r="BL552" s="67"/>
      <c r="BP552" s="67"/>
      <c r="BQ552" s="67">
        <v>0</v>
      </c>
      <c r="BR552" s="67"/>
      <c r="BS552" s="67"/>
      <c r="BT552" s="67">
        <v>0</v>
      </c>
      <c r="BU552" s="67">
        <v>0</v>
      </c>
      <c r="BV552" s="67"/>
      <c r="BW552" s="67"/>
      <c r="BX552" s="67">
        <v>0</v>
      </c>
      <c r="BY552" s="67">
        <v>0</v>
      </c>
      <c r="BZ552" s="67">
        <v>0</v>
      </c>
      <c r="CA552" s="67"/>
      <c r="CB552" s="67">
        <v>0</v>
      </c>
      <c r="CC552" s="67"/>
      <c r="CD552" s="67"/>
      <c r="CE552" s="67">
        <v>0</v>
      </c>
      <c r="CF552" s="67"/>
      <c r="CG552" s="67"/>
      <c r="CH552" s="67"/>
      <c r="CI552" s="67"/>
      <c r="CJ552" s="67"/>
      <c r="CK552" s="67">
        <v>0</v>
      </c>
      <c r="CL552" s="67"/>
      <c r="CM552" s="67"/>
      <c r="CN552" s="67"/>
      <c r="CO552" s="67">
        <v>0</v>
      </c>
      <c r="CP552" s="67"/>
      <c r="CQ552" s="67"/>
      <c r="CR552" s="67"/>
      <c r="CS552" s="67"/>
      <c r="CT552" s="67"/>
      <c r="CU552" s="67">
        <v>0</v>
      </c>
      <c r="CV552" s="67"/>
      <c r="CW552" s="67"/>
      <c r="CX552" s="67"/>
      <c r="CY552" s="67">
        <v>0</v>
      </c>
      <c r="CZ552" s="67"/>
      <c r="DA552" s="67"/>
      <c r="DB552" s="67"/>
      <c r="DC552" s="67"/>
      <c r="DF552" s="67"/>
      <c r="DG552" s="67">
        <v>0</v>
      </c>
      <c r="DH552" s="67">
        <v>0</v>
      </c>
      <c r="DI552" s="67">
        <v>0</v>
      </c>
      <c r="DJ552" s="67"/>
      <c r="DK552" s="67">
        <v>0</v>
      </c>
      <c r="DL552" s="67">
        <v>0</v>
      </c>
      <c r="DM552" s="67">
        <v>0</v>
      </c>
      <c r="DN552" s="67"/>
      <c r="DO552" s="67"/>
      <c r="DP552" s="67"/>
      <c r="DQ552" s="67">
        <v>0</v>
      </c>
      <c r="DR552" s="67">
        <v>0</v>
      </c>
      <c r="DS552" s="67"/>
      <c r="DT552" s="67"/>
      <c r="DU552" s="67">
        <v>0</v>
      </c>
      <c r="DV552" s="67">
        <v>0</v>
      </c>
      <c r="DW552" s="67">
        <v>0</v>
      </c>
      <c r="DX552" s="67">
        <v>0</v>
      </c>
      <c r="DY552" s="67"/>
      <c r="DZ552" s="67">
        <v>0</v>
      </c>
      <c r="EA552" s="67"/>
      <c r="EB552" s="67">
        <v>0</v>
      </c>
      <c r="EC552" s="67"/>
      <c r="ED552" s="67">
        <v>0</v>
      </c>
      <c r="EE552" s="67"/>
      <c r="EF552" s="67">
        <v>0</v>
      </c>
      <c r="EG552" s="67"/>
      <c r="EH552" s="67"/>
      <c r="EI552" s="67"/>
      <c r="EJ552" s="67"/>
      <c r="EK552" s="67"/>
      <c r="EL552" s="67"/>
      <c r="EM552" s="67"/>
      <c r="EN552" s="67"/>
      <c r="EO552" s="67"/>
      <c r="EP552" s="67">
        <v>0</v>
      </c>
      <c r="EQ552" s="67">
        <v>0</v>
      </c>
      <c r="ER552" s="67">
        <v>0</v>
      </c>
      <c r="ES552" s="67"/>
      <c r="ET552">
        <v>0</v>
      </c>
      <c r="EX552" s="67"/>
      <c r="EY552" s="67"/>
      <c r="EZ552" s="67"/>
      <c r="FA552" s="67">
        <v>240</v>
      </c>
      <c r="FB552" s="67">
        <v>0</v>
      </c>
      <c r="FC552" s="67"/>
      <c r="FD552" s="67"/>
      <c r="FE552" s="67"/>
      <c r="FF552" s="67"/>
      <c r="FG552" s="67"/>
      <c r="FH552" s="67"/>
      <c r="FI552" s="67" t="s">
        <v>1734</v>
      </c>
    </row>
    <row r="553" spans="2:165" x14ac:dyDescent="0.2">
      <c r="B553" s="67" t="s">
        <v>1439</v>
      </c>
      <c r="C553" s="67"/>
      <c r="D553" s="67" t="s">
        <v>1440</v>
      </c>
      <c r="E553" s="67"/>
      <c r="F553" s="67"/>
      <c r="G553" s="67" t="s">
        <v>345</v>
      </c>
      <c r="H553" s="67"/>
      <c r="I553" s="67"/>
      <c r="J553" s="67"/>
      <c r="K553" s="67"/>
      <c r="L553" s="67" t="s">
        <v>767</v>
      </c>
      <c r="M553" s="67" t="s">
        <v>1392</v>
      </c>
      <c r="N553" s="67"/>
      <c r="O553" s="67" t="s">
        <v>1599</v>
      </c>
      <c r="P553" s="67"/>
      <c r="Q553" s="67">
        <v>900</v>
      </c>
      <c r="R553" s="67">
        <v>0</v>
      </c>
      <c r="S553" s="67">
        <v>0</v>
      </c>
      <c r="T553" s="67">
        <v>0</v>
      </c>
      <c r="U553" s="67">
        <v>0</v>
      </c>
      <c r="V553" s="67">
        <v>0</v>
      </c>
      <c r="W553" s="67">
        <v>0</v>
      </c>
      <c r="X553" s="67">
        <v>0</v>
      </c>
      <c r="Y553" s="67">
        <v>0</v>
      </c>
      <c r="Z553" s="67">
        <v>0</v>
      </c>
      <c r="AA553" s="67">
        <v>0</v>
      </c>
      <c r="AB553" s="67">
        <v>0</v>
      </c>
      <c r="AC553" s="67">
        <v>0</v>
      </c>
      <c r="AD553" s="67">
        <v>0</v>
      </c>
      <c r="AE553" s="67">
        <v>0</v>
      </c>
      <c r="AF553" s="67">
        <v>0</v>
      </c>
      <c r="AG553" s="67">
        <v>900</v>
      </c>
      <c r="AH553" s="67">
        <v>0</v>
      </c>
      <c r="AI553" s="67">
        <v>0</v>
      </c>
      <c r="AJ553" s="67">
        <v>0</v>
      </c>
      <c r="AK553" s="67">
        <v>0</v>
      </c>
      <c r="AL553" s="67">
        <v>0</v>
      </c>
      <c r="AM553" s="67">
        <v>0</v>
      </c>
      <c r="AN553" s="67">
        <v>0</v>
      </c>
      <c r="AO553" s="67">
        <v>0</v>
      </c>
      <c r="AP553" s="67">
        <v>0</v>
      </c>
      <c r="AQ553" s="67">
        <v>0</v>
      </c>
      <c r="AR553" s="67">
        <v>0</v>
      </c>
      <c r="AS553" s="67">
        <v>0</v>
      </c>
      <c r="AT553" s="67"/>
      <c r="AU553" s="67"/>
      <c r="AV553" s="67"/>
      <c r="AW553" s="67">
        <v>0</v>
      </c>
      <c r="AX553" s="67">
        <v>0</v>
      </c>
      <c r="AY553" s="67"/>
      <c r="AZ553" s="67"/>
      <c r="BA553" s="67"/>
      <c r="BB553" s="67"/>
      <c r="BC553" s="67"/>
      <c r="BD553" s="67"/>
      <c r="BE553" s="67"/>
      <c r="BG553" s="67"/>
      <c r="BH553" s="67"/>
      <c r="BI553" s="67"/>
      <c r="BJ553" s="67">
        <v>0</v>
      </c>
      <c r="BK553" s="67"/>
      <c r="BL553" s="67"/>
      <c r="BP553" s="67"/>
      <c r="BQ553" s="67">
        <v>0</v>
      </c>
      <c r="BR553" s="67"/>
      <c r="BS553" s="67"/>
      <c r="BT553" s="67">
        <v>0</v>
      </c>
      <c r="BU553" s="67">
        <v>0</v>
      </c>
      <c r="BV553" s="67"/>
      <c r="BW553" s="67"/>
      <c r="BX553" s="67">
        <v>0</v>
      </c>
      <c r="BY553" s="67">
        <v>0</v>
      </c>
      <c r="BZ553" s="67">
        <v>0</v>
      </c>
      <c r="CA553" s="67"/>
      <c r="CB553" s="67">
        <v>0</v>
      </c>
      <c r="CC553" s="67"/>
      <c r="CD553" s="67"/>
      <c r="CE553" s="67">
        <v>0</v>
      </c>
      <c r="CF553" s="67"/>
      <c r="CG553" s="67"/>
      <c r="CH553" s="67"/>
      <c r="CI553" s="67"/>
      <c r="CJ553" s="67"/>
      <c r="CK553" s="67">
        <v>0</v>
      </c>
      <c r="CL553" s="67"/>
      <c r="CM553" s="67"/>
      <c r="CN553" s="67"/>
      <c r="CO553" s="67">
        <v>0</v>
      </c>
      <c r="CP553" s="67"/>
      <c r="CQ553" s="67"/>
      <c r="CR553" s="67"/>
      <c r="CS553" s="67"/>
      <c r="CT553" s="67"/>
      <c r="CU553" s="67">
        <v>0</v>
      </c>
      <c r="CV553" s="67"/>
      <c r="CW553" s="67"/>
      <c r="CX553" s="67"/>
      <c r="CY553" s="67">
        <v>0</v>
      </c>
      <c r="CZ553" s="67"/>
      <c r="DA553" s="67"/>
      <c r="DB553" s="67"/>
      <c r="DC553" s="67"/>
      <c r="DF553" s="67"/>
      <c r="DG553" s="67">
        <v>0</v>
      </c>
      <c r="DH553" s="67">
        <v>0</v>
      </c>
      <c r="DI553" s="67">
        <v>0</v>
      </c>
      <c r="DJ553" s="67"/>
      <c r="DK553" s="67">
        <v>0</v>
      </c>
      <c r="DL553" s="67">
        <v>0</v>
      </c>
      <c r="DM553" s="67">
        <v>0</v>
      </c>
      <c r="DN553" s="67"/>
      <c r="DO553" s="67"/>
      <c r="DP553" s="67"/>
      <c r="DQ553" s="67">
        <v>0</v>
      </c>
      <c r="DR553" s="67">
        <v>0</v>
      </c>
      <c r="DS553" s="67"/>
      <c r="DT553" s="67"/>
      <c r="DU553" s="67">
        <v>0</v>
      </c>
      <c r="DV553" s="67">
        <v>0</v>
      </c>
      <c r="DW553" s="67">
        <v>0</v>
      </c>
      <c r="DX553" s="67">
        <v>0</v>
      </c>
      <c r="DY553" s="67"/>
      <c r="DZ553" s="67">
        <v>0</v>
      </c>
      <c r="EA553" s="67"/>
      <c r="EB553" s="67">
        <v>0</v>
      </c>
      <c r="EC553" s="67"/>
      <c r="ED553" s="67">
        <v>0</v>
      </c>
      <c r="EE553" s="67"/>
      <c r="EF553" s="67">
        <v>0</v>
      </c>
      <c r="EG553" s="67"/>
      <c r="EH553" s="67"/>
      <c r="EI553" s="67"/>
      <c r="EJ553" s="67"/>
      <c r="EK553" s="67"/>
      <c r="EL553" s="67"/>
      <c r="EM553" s="67"/>
      <c r="EN553" s="67"/>
      <c r="EO553" s="67"/>
      <c r="EP553" s="67">
        <v>0</v>
      </c>
      <c r="EQ553" s="67">
        <v>0</v>
      </c>
      <c r="ER553" s="67">
        <v>0</v>
      </c>
      <c r="ES553" s="67"/>
      <c r="ET553">
        <v>0</v>
      </c>
      <c r="EX553" s="67"/>
      <c r="EY553" s="67"/>
      <c r="EZ553" s="67"/>
      <c r="FA553" s="67">
        <v>900</v>
      </c>
      <c r="FB553" s="67">
        <v>0</v>
      </c>
      <c r="FC553" s="67"/>
      <c r="FD553" s="67"/>
      <c r="FE553" s="67"/>
      <c r="FF553" s="67"/>
      <c r="FG553" s="67"/>
      <c r="FH553" s="67"/>
      <c r="FI553" s="67" t="s">
        <v>1734</v>
      </c>
    </row>
    <row r="554" spans="2:165" x14ac:dyDescent="0.2">
      <c r="B554" s="67" t="s">
        <v>1441</v>
      </c>
      <c r="C554" s="67"/>
      <c r="D554" s="67" t="s">
        <v>1442</v>
      </c>
      <c r="E554" s="67"/>
      <c r="F554" s="67"/>
      <c r="G554" s="67" t="s">
        <v>345</v>
      </c>
      <c r="H554" s="67"/>
      <c r="I554" s="67"/>
      <c r="J554" s="67"/>
      <c r="K554" s="67"/>
      <c r="L554" s="67" t="s">
        <v>767</v>
      </c>
      <c r="M554" s="67" t="s">
        <v>1392</v>
      </c>
      <c r="N554" s="67"/>
      <c r="O554" s="67" t="s">
        <v>1606</v>
      </c>
      <c r="P554" s="67"/>
      <c r="Q554" s="67">
        <v>300</v>
      </c>
      <c r="R554" s="67">
        <v>0</v>
      </c>
      <c r="S554" s="67">
        <v>0</v>
      </c>
      <c r="T554" s="67">
        <v>0</v>
      </c>
      <c r="U554" s="67">
        <v>0</v>
      </c>
      <c r="V554" s="67">
        <v>0</v>
      </c>
      <c r="W554" s="67">
        <v>0</v>
      </c>
      <c r="X554" s="67">
        <v>0</v>
      </c>
      <c r="Y554" s="67">
        <v>0</v>
      </c>
      <c r="Z554" s="67">
        <v>0</v>
      </c>
      <c r="AA554" s="67">
        <v>0</v>
      </c>
      <c r="AB554" s="67">
        <v>0</v>
      </c>
      <c r="AC554" s="67">
        <v>0</v>
      </c>
      <c r="AD554" s="67">
        <v>0</v>
      </c>
      <c r="AE554" s="67">
        <v>0</v>
      </c>
      <c r="AF554" s="67">
        <v>0</v>
      </c>
      <c r="AG554" s="67">
        <v>0</v>
      </c>
      <c r="AH554" s="67">
        <v>0</v>
      </c>
      <c r="AI554" s="67">
        <v>0</v>
      </c>
      <c r="AJ554" s="67">
        <v>0</v>
      </c>
      <c r="AK554" s="67">
        <v>0</v>
      </c>
      <c r="AL554" s="67">
        <v>0</v>
      </c>
      <c r="AM554" s="67">
        <v>0</v>
      </c>
      <c r="AN554" s="67">
        <v>0</v>
      </c>
      <c r="AO554" s="67">
        <v>300</v>
      </c>
      <c r="AP554" s="67">
        <v>0</v>
      </c>
      <c r="AQ554" s="67">
        <v>0</v>
      </c>
      <c r="AR554" s="67">
        <v>0</v>
      </c>
      <c r="AS554" s="67">
        <v>0</v>
      </c>
      <c r="AT554" s="67"/>
      <c r="AU554" s="67"/>
      <c r="AV554" s="67"/>
      <c r="AW554" s="67">
        <v>0</v>
      </c>
      <c r="AX554" s="67">
        <v>0</v>
      </c>
      <c r="AY554" s="67"/>
      <c r="AZ554" s="67"/>
      <c r="BA554" s="67"/>
      <c r="BB554" s="67"/>
      <c r="BC554" s="67"/>
      <c r="BD554" s="67"/>
      <c r="BE554" s="67"/>
      <c r="BG554" s="67"/>
      <c r="BH554" s="67"/>
      <c r="BI554" s="67"/>
      <c r="BJ554" s="67">
        <v>0</v>
      </c>
      <c r="BK554" s="67"/>
      <c r="BL554" s="67"/>
      <c r="BP554" s="67"/>
      <c r="BQ554" s="67">
        <v>0</v>
      </c>
      <c r="BR554" s="67"/>
      <c r="BS554" s="67"/>
      <c r="BT554" s="67">
        <v>0</v>
      </c>
      <c r="BU554" s="67">
        <v>0</v>
      </c>
      <c r="BV554" s="67"/>
      <c r="BW554" s="67"/>
      <c r="BX554" s="67">
        <v>0</v>
      </c>
      <c r="BY554" s="67">
        <v>0</v>
      </c>
      <c r="BZ554" s="67">
        <v>0</v>
      </c>
      <c r="CA554" s="67"/>
      <c r="CB554" s="67">
        <v>0</v>
      </c>
      <c r="CC554" s="67"/>
      <c r="CD554" s="67"/>
      <c r="CE554" s="67">
        <v>0</v>
      </c>
      <c r="CF554" s="67"/>
      <c r="CG554" s="67"/>
      <c r="CH554" s="67"/>
      <c r="CI554" s="67"/>
      <c r="CJ554" s="67"/>
      <c r="CK554" s="67">
        <v>0</v>
      </c>
      <c r="CL554" s="67"/>
      <c r="CM554" s="67"/>
      <c r="CN554" s="67"/>
      <c r="CO554" s="67">
        <v>0</v>
      </c>
      <c r="CP554" s="67"/>
      <c r="CQ554" s="67"/>
      <c r="CR554" s="67"/>
      <c r="CS554" s="67"/>
      <c r="CT554" s="67"/>
      <c r="CU554" s="67">
        <v>0</v>
      </c>
      <c r="CV554" s="67"/>
      <c r="CW554" s="67"/>
      <c r="CX554" s="67"/>
      <c r="CY554" s="67">
        <v>0</v>
      </c>
      <c r="CZ554" s="67"/>
      <c r="DA554" s="67"/>
      <c r="DB554" s="67"/>
      <c r="DC554" s="67"/>
      <c r="DF554" s="67"/>
      <c r="DG554" s="67">
        <v>0</v>
      </c>
      <c r="DH554" s="67">
        <v>0</v>
      </c>
      <c r="DI554" s="67">
        <v>0</v>
      </c>
      <c r="DJ554" s="67"/>
      <c r="DK554" s="67">
        <v>0</v>
      </c>
      <c r="DL554" s="67">
        <v>0</v>
      </c>
      <c r="DM554" s="67">
        <v>0</v>
      </c>
      <c r="DN554" s="67"/>
      <c r="DO554" s="67"/>
      <c r="DP554" s="67"/>
      <c r="DQ554" s="67">
        <v>0</v>
      </c>
      <c r="DR554" s="67">
        <v>0</v>
      </c>
      <c r="DS554" s="67"/>
      <c r="DT554" s="67"/>
      <c r="DU554" s="67">
        <v>0</v>
      </c>
      <c r="DV554" s="67">
        <v>0</v>
      </c>
      <c r="DW554" s="67">
        <v>0</v>
      </c>
      <c r="DX554" s="67">
        <v>0</v>
      </c>
      <c r="DY554" s="67"/>
      <c r="DZ554" s="67">
        <v>0</v>
      </c>
      <c r="EA554" s="67"/>
      <c r="EB554" s="67">
        <v>0</v>
      </c>
      <c r="EC554" s="67"/>
      <c r="ED554" s="67">
        <v>0</v>
      </c>
      <c r="EE554" s="67"/>
      <c r="EF554" s="67">
        <v>0</v>
      </c>
      <c r="EG554" s="67"/>
      <c r="EH554" s="67"/>
      <c r="EI554" s="67"/>
      <c r="EJ554" s="67"/>
      <c r="EK554" s="67"/>
      <c r="EL554" s="67"/>
      <c r="EM554" s="67"/>
      <c r="EN554" s="67"/>
      <c r="EO554" s="67"/>
      <c r="EP554" s="67">
        <v>0</v>
      </c>
      <c r="EQ554" s="67">
        <v>0</v>
      </c>
      <c r="ER554" s="67">
        <v>0</v>
      </c>
      <c r="ES554" s="67"/>
      <c r="ET554">
        <v>0</v>
      </c>
      <c r="EX554" s="67"/>
      <c r="EY554" s="67"/>
      <c r="EZ554" s="67"/>
      <c r="FA554" s="67">
        <v>300</v>
      </c>
      <c r="FB554" s="67">
        <v>0</v>
      </c>
      <c r="FC554" s="67"/>
      <c r="FD554" s="67"/>
      <c r="FE554" s="67"/>
      <c r="FF554" s="67"/>
      <c r="FG554" s="67"/>
      <c r="FH554" s="67"/>
      <c r="FI554" s="67" t="s">
        <v>1734</v>
      </c>
    </row>
    <row r="555" spans="2:165" x14ac:dyDescent="0.2">
      <c r="B555" s="67" t="s">
        <v>1443</v>
      </c>
      <c r="C555" s="67"/>
      <c r="D555" s="67" t="s">
        <v>1444</v>
      </c>
      <c r="E555" s="67"/>
      <c r="F555" s="67"/>
      <c r="G555" s="67" t="s">
        <v>345</v>
      </c>
      <c r="H555" s="67"/>
      <c r="I555" s="67"/>
      <c r="J555" s="67"/>
      <c r="K555" s="67"/>
      <c r="L555" s="67" t="s">
        <v>767</v>
      </c>
      <c r="M555" s="67" t="s">
        <v>1392</v>
      </c>
      <c r="N555" s="67"/>
      <c r="O555" s="67" t="s">
        <v>1608</v>
      </c>
      <c r="P555" s="67"/>
      <c r="Q555" s="67">
        <v>600</v>
      </c>
      <c r="R555" s="67">
        <v>0</v>
      </c>
      <c r="S555" s="67">
        <v>0</v>
      </c>
      <c r="T555" s="67">
        <v>0</v>
      </c>
      <c r="U555" s="67">
        <v>0</v>
      </c>
      <c r="V555" s="67">
        <v>0</v>
      </c>
      <c r="W555" s="67">
        <v>0</v>
      </c>
      <c r="X555" s="67">
        <v>0</v>
      </c>
      <c r="Y555" s="67">
        <v>0</v>
      </c>
      <c r="Z555" s="67">
        <v>0</v>
      </c>
      <c r="AA555" s="67">
        <v>0</v>
      </c>
      <c r="AB555" s="67">
        <v>0</v>
      </c>
      <c r="AC555" s="67">
        <v>0</v>
      </c>
      <c r="AD555" s="67">
        <v>0</v>
      </c>
      <c r="AE555" s="67">
        <v>0</v>
      </c>
      <c r="AF555" s="67">
        <v>0</v>
      </c>
      <c r="AG555" s="67">
        <v>0</v>
      </c>
      <c r="AH555" s="67">
        <v>0</v>
      </c>
      <c r="AI555" s="67">
        <v>0</v>
      </c>
      <c r="AJ555" s="67">
        <v>0</v>
      </c>
      <c r="AK555" s="67">
        <v>0</v>
      </c>
      <c r="AL555" s="67">
        <v>0</v>
      </c>
      <c r="AM555" s="67">
        <v>0</v>
      </c>
      <c r="AN555" s="67">
        <v>600</v>
      </c>
      <c r="AO555" s="67">
        <v>0</v>
      </c>
      <c r="AP555" s="67">
        <v>0</v>
      </c>
      <c r="AQ555" s="67">
        <v>0</v>
      </c>
      <c r="AR555" s="67">
        <v>0</v>
      </c>
      <c r="AS555" s="67">
        <v>0</v>
      </c>
      <c r="AT555" s="67"/>
      <c r="AU555" s="67"/>
      <c r="AV555" s="67"/>
      <c r="AW555" s="67">
        <v>0</v>
      </c>
      <c r="AX555" s="67">
        <v>0</v>
      </c>
      <c r="AY555" s="67"/>
      <c r="AZ555" s="67"/>
      <c r="BA555" s="67"/>
      <c r="BB555" s="67"/>
      <c r="BC555" s="67"/>
      <c r="BD555" s="67"/>
      <c r="BE555" s="67"/>
      <c r="BG555" s="67"/>
      <c r="BH555" s="67"/>
      <c r="BI555" s="67"/>
      <c r="BJ555" s="67">
        <v>0</v>
      </c>
      <c r="BK555" s="67"/>
      <c r="BL555" s="67"/>
      <c r="BP555" s="67"/>
      <c r="BQ555" s="67">
        <v>0</v>
      </c>
      <c r="BR555" s="67"/>
      <c r="BS555" s="67"/>
      <c r="BT555" s="67">
        <v>0</v>
      </c>
      <c r="BU555" s="67">
        <v>0</v>
      </c>
      <c r="BV555" s="67"/>
      <c r="BW555" s="67"/>
      <c r="BX555" s="67">
        <v>0</v>
      </c>
      <c r="BY555" s="67">
        <v>0</v>
      </c>
      <c r="BZ555" s="67">
        <v>0</v>
      </c>
      <c r="CA555" s="67"/>
      <c r="CB555" s="67">
        <v>0</v>
      </c>
      <c r="CC555" s="67"/>
      <c r="CD555" s="67"/>
      <c r="CE555" s="67">
        <v>0</v>
      </c>
      <c r="CF555" s="67"/>
      <c r="CG555" s="67"/>
      <c r="CH555" s="67"/>
      <c r="CI555" s="67"/>
      <c r="CJ555" s="67"/>
      <c r="CK555" s="67">
        <v>0</v>
      </c>
      <c r="CL555" s="67"/>
      <c r="CM555" s="67"/>
      <c r="CN555" s="67"/>
      <c r="CO555" s="67">
        <v>0</v>
      </c>
      <c r="CP555" s="67"/>
      <c r="CQ555" s="67"/>
      <c r="CR555" s="67"/>
      <c r="CS555" s="67"/>
      <c r="CT555" s="67"/>
      <c r="CU555" s="67">
        <v>0</v>
      </c>
      <c r="CV555" s="67"/>
      <c r="CW555" s="67"/>
      <c r="CX555" s="67"/>
      <c r="CY555" s="67">
        <v>0</v>
      </c>
      <c r="CZ555" s="67"/>
      <c r="DA555" s="67"/>
      <c r="DB555" s="67"/>
      <c r="DC555" s="67"/>
      <c r="DF555" s="67"/>
      <c r="DG555" s="67">
        <v>0</v>
      </c>
      <c r="DH555" s="67">
        <v>0</v>
      </c>
      <c r="DI555" s="67">
        <v>0</v>
      </c>
      <c r="DJ555" s="67"/>
      <c r="DK555" s="67">
        <v>0</v>
      </c>
      <c r="DL555" s="67">
        <v>0</v>
      </c>
      <c r="DM555" s="67">
        <v>0</v>
      </c>
      <c r="DN555" s="67"/>
      <c r="DO555" s="67"/>
      <c r="DP555" s="67"/>
      <c r="DQ555" s="67">
        <v>0</v>
      </c>
      <c r="DR555" s="67">
        <v>0</v>
      </c>
      <c r="DS555" s="67"/>
      <c r="DT555" s="67"/>
      <c r="DU555" s="67">
        <v>0</v>
      </c>
      <c r="DV555" s="67">
        <v>0</v>
      </c>
      <c r="DW555" s="67">
        <v>0</v>
      </c>
      <c r="DX555" s="67">
        <v>0</v>
      </c>
      <c r="DY555" s="67"/>
      <c r="DZ555" s="67">
        <v>0</v>
      </c>
      <c r="EA555" s="67"/>
      <c r="EB555" s="67">
        <v>0</v>
      </c>
      <c r="EC555" s="67"/>
      <c r="ED555" s="67">
        <v>0</v>
      </c>
      <c r="EE555" s="67"/>
      <c r="EF555" s="67">
        <v>0</v>
      </c>
      <c r="EG555" s="67"/>
      <c r="EH555" s="67"/>
      <c r="EI555" s="67"/>
      <c r="EJ555" s="67"/>
      <c r="EK555" s="67"/>
      <c r="EL555" s="67"/>
      <c r="EM555" s="67"/>
      <c r="EN555" s="67"/>
      <c r="EO555" s="67"/>
      <c r="EP555" s="67">
        <v>0</v>
      </c>
      <c r="EQ555" s="67">
        <v>0</v>
      </c>
      <c r="ER555" s="67">
        <v>0</v>
      </c>
      <c r="ES555" s="67"/>
      <c r="ET555">
        <v>0</v>
      </c>
      <c r="EX555" s="67"/>
      <c r="EY555" s="67"/>
      <c r="EZ555" s="67"/>
      <c r="FA555" s="67">
        <v>600</v>
      </c>
      <c r="FB555" s="67">
        <v>0</v>
      </c>
      <c r="FC555" s="67"/>
      <c r="FD555" s="67"/>
      <c r="FE555" s="67"/>
      <c r="FF555" s="67"/>
      <c r="FG555" s="67"/>
      <c r="FH555" s="67"/>
      <c r="FI555" s="67" t="s">
        <v>1734</v>
      </c>
    </row>
    <row r="556" spans="2:165" ht="24" x14ac:dyDescent="0.2">
      <c r="B556" s="67" t="s">
        <v>1445</v>
      </c>
      <c r="C556" s="67"/>
      <c r="D556" s="67" t="s">
        <v>1446</v>
      </c>
      <c r="E556" s="67" t="s">
        <v>13</v>
      </c>
      <c r="F556" s="67" t="s">
        <v>1241</v>
      </c>
      <c r="G556" s="67" t="s">
        <v>345</v>
      </c>
      <c r="H556" s="67"/>
      <c r="I556" s="67" t="s">
        <v>41</v>
      </c>
      <c r="J556" s="67"/>
      <c r="K556" s="67"/>
      <c r="L556" s="67" t="s">
        <v>1242</v>
      </c>
      <c r="M556" s="67" t="s">
        <v>1447</v>
      </c>
      <c r="N556" s="67"/>
      <c r="O556" s="67" t="s">
        <v>1599</v>
      </c>
      <c r="P556" s="67" t="s">
        <v>298</v>
      </c>
      <c r="Q556" s="67">
        <v>0</v>
      </c>
      <c r="R556" s="67">
        <v>0</v>
      </c>
      <c r="S556" s="67">
        <v>0</v>
      </c>
      <c r="T556" s="67">
        <v>0</v>
      </c>
      <c r="U556" s="67">
        <v>0</v>
      </c>
      <c r="V556" s="67">
        <v>0</v>
      </c>
      <c r="W556" s="67">
        <v>0</v>
      </c>
      <c r="X556" s="67">
        <v>0</v>
      </c>
      <c r="Y556" s="67">
        <v>0</v>
      </c>
      <c r="Z556" s="67">
        <v>0</v>
      </c>
      <c r="AA556" s="67">
        <v>0</v>
      </c>
      <c r="AB556" s="67">
        <v>0</v>
      </c>
      <c r="AC556" s="67">
        <v>0</v>
      </c>
      <c r="AD556" s="67">
        <v>0</v>
      </c>
      <c r="AE556" s="67">
        <v>0</v>
      </c>
      <c r="AF556" s="67">
        <v>0</v>
      </c>
      <c r="AG556" s="67">
        <v>0</v>
      </c>
      <c r="AH556" s="67">
        <v>0</v>
      </c>
      <c r="AI556" s="67">
        <v>0</v>
      </c>
      <c r="AJ556" s="67">
        <v>0</v>
      </c>
      <c r="AK556" s="67">
        <v>0</v>
      </c>
      <c r="AL556" s="67">
        <v>0</v>
      </c>
      <c r="AM556" s="67">
        <v>0</v>
      </c>
      <c r="AN556" s="67">
        <v>0</v>
      </c>
      <c r="AO556" s="67">
        <v>0</v>
      </c>
      <c r="AP556" s="67">
        <v>0</v>
      </c>
      <c r="AQ556" s="67">
        <v>0</v>
      </c>
      <c r="AR556" s="67">
        <v>0</v>
      </c>
      <c r="AS556" s="67">
        <v>0</v>
      </c>
      <c r="AT556" s="67"/>
      <c r="AU556" s="67"/>
      <c r="AV556" s="67"/>
      <c r="AW556" s="67">
        <v>0</v>
      </c>
      <c r="AX556" s="67">
        <v>0</v>
      </c>
      <c r="AY556" s="67"/>
      <c r="AZ556" s="67"/>
      <c r="BA556" s="67"/>
      <c r="BB556" s="67"/>
      <c r="BC556" s="67"/>
      <c r="BD556" s="67"/>
      <c r="BE556" s="67"/>
      <c r="BG556" s="67"/>
      <c r="BH556" s="67"/>
      <c r="BI556" s="67"/>
      <c r="BJ556" s="67">
        <v>0</v>
      </c>
      <c r="BK556" s="67"/>
      <c r="BL556" s="67"/>
      <c r="BP556" s="67"/>
      <c r="BQ556" s="67">
        <v>0</v>
      </c>
      <c r="BR556" s="67"/>
      <c r="BS556" s="67"/>
      <c r="BT556" s="67">
        <v>1050</v>
      </c>
      <c r="BU556" s="67">
        <v>1050</v>
      </c>
      <c r="BV556" s="67"/>
      <c r="BW556" s="67"/>
      <c r="BX556" s="67">
        <v>94</v>
      </c>
      <c r="BY556" s="67">
        <v>24</v>
      </c>
      <c r="BZ556" s="67">
        <v>40</v>
      </c>
      <c r="CA556" s="67"/>
      <c r="CB556" s="67">
        <v>30</v>
      </c>
      <c r="CC556" s="67"/>
      <c r="CD556" s="67"/>
      <c r="CE556" s="67">
        <v>0</v>
      </c>
      <c r="CF556" s="67"/>
      <c r="CG556" s="67"/>
      <c r="CH556" s="67"/>
      <c r="CI556" s="67"/>
      <c r="CJ556" s="67"/>
      <c r="CK556" s="67">
        <v>0</v>
      </c>
      <c r="CL556" s="67"/>
      <c r="CM556" s="67"/>
      <c r="CN556" s="67"/>
      <c r="CO556" s="67">
        <v>0</v>
      </c>
      <c r="CP556" s="67"/>
      <c r="CQ556" s="67"/>
      <c r="CR556" s="67"/>
      <c r="CS556" s="67"/>
      <c r="CT556" s="67"/>
      <c r="CU556" s="67">
        <v>0</v>
      </c>
      <c r="CV556" s="67"/>
      <c r="CW556" s="67"/>
      <c r="CX556" s="67"/>
      <c r="CY556" s="67">
        <v>0</v>
      </c>
      <c r="CZ556" s="67"/>
      <c r="DA556" s="67"/>
      <c r="DB556" s="67"/>
      <c r="DC556" s="67"/>
      <c r="DF556" s="67"/>
      <c r="DG556" s="67">
        <v>0</v>
      </c>
      <c r="DH556" s="67">
        <v>0</v>
      </c>
      <c r="DI556" s="67">
        <v>0</v>
      </c>
      <c r="DJ556" s="67"/>
      <c r="DK556" s="67">
        <v>270</v>
      </c>
      <c r="DL556" s="67"/>
      <c r="DM556" s="67">
        <v>0</v>
      </c>
      <c r="DN556" s="67"/>
      <c r="DO556" s="67"/>
      <c r="DP556" s="67"/>
      <c r="DQ556" s="67">
        <v>270</v>
      </c>
      <c r="DR556" s="67">
        <v>70</v>
      </c>
      <c r="DS556" s="67"/>
      <c r="DT556" s="67"/>
      <c r="DU556" s="67">
        <v>0</v>
      </c>
      <c r="DV556" s="67">
        <v>0</v>
      </c>
      <c r="DW556" s="67">
        <v>200</v>
      </c>
      <c r="DX556" s="67">
        <v>0</v>
      </c>
      <c r="DY556" s="67"/>
      <c r="DZ556" s="67">
        <v>0</v>
      </c>
      <c r="EA556" s="67"/>
      <c r="EB556" s="67">
        <v>0</v>
      </c>
      <c r="EC556" s="67"/>
      <c r="ED556" s="67">
        <v>0</v>
      </c>
      <c r="EE556" s="67"/>
      <c r="EF556" s="67">
        <v>1550</v>
      </c>
      <c r="EG556" s="67"/>
      <c r="EH556" s="67"/>
      <c r="EI556" s="67"/>
      <c r="EJ556" s="67"/>
      <c r="EK556" s="67"/>
      <c r="EL556" s="67"/>
      <c r="EM556" s="67"/>
      <c r="EN556" s="67"/>
      <c r="EO556" s="67"/>
      <c r="EP556" s="67">
        <v>1550</v>
      </c>
      <c r="EQ556" s="67">
        <v>0</v>
      </c>
      <c r="ER556" s="67">
        <v>0</v>
      </c>
      <c r="ES556" s="67"/>
      <c r="ET556">
        <v>0</v>
      </c>
      <c r="EX556" s="67"/>
      <c r="EY556" s="67"/>
      <c r="EZ556" s="67"/>
      <c r="FA556" s="67">
        <v>2964</v>
      </c>
      <c r="FB556" s="67">
        <v>0</v>
      </c>
      <c r="FC556" s="67"/>
      <c r="FD556" s="67"/>
      <c r="FE556" s="67"/>
      <c r="FF556" s="67"/>
      <c r="FG556" s="67"/>
      <c r="FH556" s="67"/>
      <c r="FI556" s="67" t="s">
        <v>1734</v>
      </c>
    </row>
    <row r="557" spans="2:165" x14ac:dyDescent="0.2">
      <c r="B557" s="67" t="s">
        <v>1449</v>
      </c>
      <c r="C557" s="67"/>
      <c r="D557" s="67" t="s">
        <v>1450</v>
      </c>
      <c r="E557" s="67"/>
      <c r="F557" s="67"/>
      <c r="G557" s="67" t="s">
        <v>345</v>
      </c>
      <c r="H557" s="67"/>
      <c r="I557" s="67"/>
      <c r="J557" s="67"/>
      <c r="K557" s="67"/>
      <c r="L557" s="67" t="s">
        <v>1242</v>
      </c>
      <c r="M557" s="67" t="s">
        <v>1447</v>
      </c>
      <c r="N557" s="67"/>
      <c r="O557" s="67" t="s">
        <v>1599</v>
      </c>
      <c r="P557" s="67"/>
      <c r="Q557" s="67">
        <v>1340</v>
      </c>
      <c r="R557" s="67">
        <v>0</v>
      </c>
      <c r="S557" s="67">
        <v>0</v>
      </c>
      <c r="T557" s="67">
        <v>0</v>
      </c>
      <c r="U557" s="67">
        <v>0</v>
      </c>
      <c r="V557" s="67">
        <v>0</v>
      </c>
      <c r="W557" s="67">
        <v>0</v>
      </c>
      <c r="X557" s="67">
        <v>0</v>
      </c>
      <c r="Y557" s="67">
        <v>0</v>
      </c>
      <c r="Z557" s="67">
        <v>0</v>
      </c>
      <c r="AA557" s="67">
        <v>0</v>
      </c>
      <c r="AB557" s="67">
        <v>0</v>
      </c>
      <c r="AC557" s="67">
        <v>0</v>
      </c>
      <c r="AD557" s="67">
        <v>0</v>
      </c>
      <c r="AE557" s="67">
        <v>0</v>
      </c>
      <c r="AF557" s="67">
        <v>0</v>
      </c>
      <c r="AG557" s="67">
        <v>0</v>
      </c>
      <c r="AH557" s="67">
        <v>0</v>
      </c>
      <c r="AI557" s="67">
        <v>0</v>
      </c>
      <c r="AJ557" s="67">
        <v>0</v>
      </c>
      <c r="AK557" s="67">
        <v>0</v>
      </c>
      <c r="AL557" s="67">
        <v>0</v>
      </c>
      <c r="AM557" s="67">
        <v>0</v>
      </c>
      <c r="AN557" s="67">
        <v>1340</v>
      </c>
      <c r="AO557" s="67">
        <v>0</v>
      </c>
      <c r="AP557" s="67">
        <v>0</v>
      </c>
      <c r="AQ557" s="67">
        <v>0</v>
      </c>
      <c r="AR557" s="67">
        <v>0</v>
      </c>
      <c r="AS557" s="67">
        <v>0</v>
      </c>
      <c r="AT557" s="67"/>
      <c r="AU557" s="67"/>
      <c r="AV557" s="67"/>
      <c r="AW557" s="67">
        <v>0</v>
      </c>
      <c r="AX557" s="67">
        <v>0</v>
      </c>
      <c r="AY557" s="67"/>
      <c r="AZ557" s="67"/>
      <c r="BA557" s="67"/>
      <c r="BB557" s="67"/>
      <c r="BC557" s="67"/>
      <c r="BD557" s="67"/>
      <c r="BE557" s="67"/>
      <c r="BG557" s="67"/>
      <c r="BH557" s="67"/>
      <c r="BI557" s="67"/>
      <c r="BJ557" s="67">
        <v>0</v>
      </c>
      <c r="BK557" s="67"/>
      <c r="BL557" s="67"/>
      <c r="BP557" s="67"/>
      <c r="BQ557" s="67">
        <v>0</v>
      </c>
      <c r="BR557" s="67"/>
      <c r="BS557" s="67"/>
      <c r="BT557" s="67">
        <v>0</v>
      </c>
      <c r="BU557" s="67">
        <v>0</v>
      </c>
      <c r="BV557" s="67"/>
      <c r="BW557" s="67"/>
      <c r="BX557" s="67">
        <v>0</v>
      </c>
      <c r="BY557" s="67">
        <v>0</v>
      </c>
      <c r="BZ557" s="67">
        <v>0</v>
      </c>
      <c r="CA557" s="67"/>
      <c r="CB557" s="67">
        <v>0</v>
      </c>
      <c r="CC557" s="67"/>
      <c r="CD557" s="67"/>
      <c r="CE557" s="67">
        <v>0</v>
      </c>
      <c r="CF557" s="67"/>
      <c r="CG557" s="67"/>
      <c r="CH557" s="67"/>
      <c r="CI557" s="67"/>
      <c r="CJ557" s="67"/>
      <c r="CK557" s="67">
        <v>0</v>
      </c>
      <c r="CL557" s="67"/>
      <c r="CM557" s="67"/>
      <c r="CN557" s="67"/>
      <c r="CO557" s="67">
        <v>0</v>
      </c>
      <c r="CP557" s="67"/>
      <c r="CQ557" s="67"/>
      <c r="CR557" s="67"/>
      <c r="CS557" s="67"/>
      <c r="CT557" s="67"/>
      <c r="CU557" s="67">
        <v>0</v>
      </c>
      <c r="CV557" s="67"/>
      <c r="CW557" s="67"/>
      <c r="CX557" s="67"/>
      <c r="CY557" s="67">
        <v>0</v>
      </c>
      <c r="CZ557" s="67"/>
      <c r="DA557" s="67"/>
      <c r="DB557" s="67"/>
      <c r="DC557" s="67"/>
      <c r="DF557" s="67"/>
      <c r="DG557" s="67">
        <v>0</v>
      </c>
      <c r="DH557" s="67">
        <v>0</v>
      </c>
      <c r="DI557" s="67">
        <v>0</v>
      </c>
      <c r="DJ557" s="67"/>
      <c r="DK557" s="67">
        <v>0</v>
      </c>
      <c r="DL557" s="67">
        <v>0</v>
      </c>
      <c r="DM557" s="67">
        <v>0</v>
      </c>
      <c r="DN557" s="67"/>
      <c r="DO557" s="67"/>
      <c r="DP557" s="67"/>
      <c r="DQ557" s="67">
        <v>0</v>
      </c>
      <c r="DR557" s="67">
        <v>0</v>
      </c>
      <c r="DS557" s="67"/>
      <c r="DT557" s="67"/>
      <c r="DU557" s="67">
        <v>0</v>
      </c>
      <c r="DV557" s="67">
        <v>0</v>
      </c>
      <c r="DW557" s="67">
        <v>0</v>
      </c>
      <c r="DX557" s="67">
        <v>0</v>
      </c>
      <c r="DY557" s="67"/>
      <c r="DZ557" s="67">
        <v>0</v>
      </c>
      <c r="EA557" s="67"/>
      <c r="EB557" s="67">
        <v>0</v>
      </c>
      <c r="EC557" s="67"/>
      <c r="ED557" s="67">
        <v>0</v>
      </c>
      <c r="EE557" s="67"/>
      <c r="EF557" s="67">
        <v>0</v>
      </c>
      <c r="EG557" s="67"/>
      <c r="EH557" s="67"/>
      <c r="EI557" s="67"/>
      <c r="EJ557" s="67"/>
      <c r="EK557" s="67"/>
      <c r="EL557" s="67"/>
      <c r="EM557" s="67"/>
      <c r="EN557" s="67"/>
      <c r="EO557" s="67"/>
      <c r="EP557" s="67">
        <v>0</v>
      </c>
      <c r="EQ557" s="67">
        <v>0</v>
      </c>
      <c r="ER557" s="67">
        <v>0</v>
      </c>
      <c r="ES557" s="67"/>
      <c r="ET557">
        <v>0</v>
      </c>
      <c r="EX557" s="67"/>
      <c r="EY557" s="67"/>
      <c r="EZ557" s="67"/>
      <c r="FA557" s="67">
        <v>1340</v>
      </c>
      <c r="FB557" s="67">
        <v>0</v>
      </c>
      <c r="FC557" s="67"/>
      <c r="FD557" s="67"/>
      <c r="FE557" s="67"/>
      <c r="FF557" s="67"/>
      <c r="FG557" s="67"/>
      <c r="FH557" s="67"/>
      <c r="FI557" s="67" t="s">
        <v>1734</v>
      </c>
    </row>
    <row r="558" spans="2:165" x14ac:dyDescent="0.2">
      <c r="B558" s="67" t="s">
        <v>1451</v>
      </c>
      <c r="C558" s="67"/>
      <c r="D558" s="67" t="s">
        <v>1452</v>
      </c>
      <c r="E558" s="67"/>
      <c r="F558" s="67"/>
      <c r="G558" s="67" t="s">
        <v>345</v>
      </c>
      <c r="H558" s="67"/>
      <c r="I558" s="67"/>
      <c r="J558" s="67"/>
      <c r="K558" s="67" t="s">
        <v>1453</v>
      </c>
      <c r="L558" s="67"/>
      <c r="M558" s="67"/>
      <c r="N558" s="67"/>
      <c r="O558" s="67" t="s">
        <v>1605</v>
      </c>
      <c r="P558" s="67" t="s">
        <v>1454</v>
      </c>
      <c r="Q558" s="67">
        <v>0</v>
      </c>
      <c r="R558" s="67">
        <v>0</v>
      </c>
      <c r="S558" s="67">
        <v>0</v>
      </c>
      <c r="T558" s="67">
        <v>0</v>
      </c>
      <c r="U558" s="67">
        <v>0</v>
      </c>
      <c r="V558" s="67">
        <v>0</v>
      </c>
      <c r="W558" s="67">
        <v>0</v>
      </c>
      <c r="X558" s="67">
        <v>0</v>
      </c>
      <c r="Y558" s="67">
        <v>0</v>
      </c>
      <c r="Z558" s="67">
        <v>0</v>
      </c>
      <c r="AA558" s="67">
        <v>0</v>
      </c>
      <c r="AB558" s="67">
        <v>0</v>
      </c>
      <c r="AC558" s="67">
        <v>0</v>
      </c>
      <c r="AD558" s="67">
        <v>0</v>
      </c>
      <c r="AE558" s="67">
        <v>0</v>
      </c>
      <c r="AF558" s="67">
        <v>0</v>
      </c>
      <c r="AG558" s="67">
        <v>0</v>
      </c>
      <c r="AH558" s="67">
        <v>0</v>
      </c>
      <c r="AI558" s="67">
        <v>0</v>
      </c>
      <c r="AJ558" s="67">
        <v>0</v>
      </c>
      <c r="AK558" s="67">
        <v>0</v>
      </c>
      <c r="AL558" s="67">
        <v>0</v>
      </c>
      <c r="AM558" s="67">
        <v>0</v>
      </c>
      <c r="AN558" s="67">
        <v>0</v>
      </c>
      <c r="AO558" s="67">
        <v>0</v>
      </c>
      <c r="AP558" s="67">
        <v>0</v>
      </c>
      <c r="AQ558" s="67">
        <v>0</v>
      </c>
      <c r="AR558" s="67">
        <v>0</v>
      </c>
      <c r="AS558" s="67">
        <v>0</v>
      </c>
      <c r="AT558" s="67"/>
      <c r="AU558" s="67"/>
      <c r="AV558" s="67"/>
      <c r="AW558" s="67">
        <v>0</v>
      </c>
      <c r="AX558" s="67">
        <v>0</v>
      </c>
      <c r="AY558" s="67"/>
      <c r="AZ558" s="67"/>
      <c r="BA558" s="67"/>
      <c r="BB558" s="67"/>
      <c r="BC558" s="67"/>
      <c r="BD558" s="67"/>
      <c r="BE558" s="67"/>
      <c r="BG558" s="67"/>
      <c r="BH558" s="67"/>
      <c r="BI558" s="67"/>
      <c r="BJ558" s="67">
        <v>0</v>
      </c>
      <c r="BK558" s="67"/>
      <c r="BL558" s="67"/>
      <c r="BP558" s="67"/>
      <c r="BQ558" s="67">
        <v>0</v>
      </c>
      <c r="BR558" s="67"/>
      <c r="BS558" s="67"/>
      <c r="BT558" s="67">
        <v>0</v>
      </c>
      <c r="BU558" s="67">
        <v>0</v>
      </c>
      <c r="BV558" s="67"/>
      <c r="BW558" s="67"/>
      <c r="BX558" s="67">
        <v>0</v>
      </c>
      <c r="BY558" s="67">
        <v>0</v>
      </c>
      <c r="BZ558" s="67">
        <v>0</v>
      </c>
      <c r="CA558" s="67"/>
      <c r="CB558" s="67">
        <v>0</v>
      </c>
      <c r="CC558" s="67"/>
      <c r="CD558" s="67"/>
      <c r="CE558" s="67">
        <v>0</v>
      </c>
      <c r="CF558" s="67"/>
      <c r="CG558" s="67"/>
      <c r="CH558" s="67"/>
      <c r="CI558" s="67"/>
      <c r="CJ558" s="67"/>
      <c r="CK558" s="67">
        <v>0</v>
      </c>
      <c r="CL558" s="67"/>
      <c r="CM558" s="67"/>
      <c r="CN558" s="67"/>
      <c r="CO558" s="67">
        <v>0</v>
      </c>
      <c r="CP558" s="67"/>
      <c r="CQ558" s="67"/>
      <c r="CR558" s="67"/>
      <c r="CS558" s="67"/>
      <c r="CT558" s="67"/>
      <c r="CU558" s="67">
        <v>0</v>
      </c>
      <c r="CV558" s="67"/>
      <c r="CW558" s="67"/>
      <c r="CX558" s="67"/>
      <c r="CY558" s="67">
        <v>0</v>
      </c>
      <c r="CZ558" s="67"/>
      <c r="DA558" s="67"/>
      <c r="DB558" s="67"/>
      <c r="DC558" s="67"/>
      <c r="DF558" s="67"/>
      <c r="DG558" s="67">
        <v>0</v>
      </c>
      <c r="DH558" s="67">
        <v>0</v>
      </c>
      <c r="DI558" s="67">
        <v>0</v>
      </c>
      <c r="DJ558" s="67"/>
      <c r="DK558" s="67">
        <v>0</v>
      </c>
      <c r="DL558" s="67">
        <v>0</v>
      </c>
      <c r="DM558" s="67">
        <v>0</v>
      </c>
      <c r="DN558" s="67"/>
      <c r="DO558" s="67"/>
      <c r="DP558" s="67"/>
      <c r="DQ558" s="67">
        <v>0</v>
      </c>
      <c r="DR558" s="67">
        <v>0</v>
      </c>
      <c r="DS558" s="67"/>
      <c r="DT558" s="67"/>
      <c r="DU558" s="67">
        <v>0</v>
      </c>
      <c r="DV558" s="67">
        <v>0</v>
      </c>
      <c r="DW558" s="67">
        <v>0</v>
      </c>
      <c r="DX558" s="67">
        <v>0</v>
      </c>
      <c r="DY558" s="67"/>
      <c r="DZ558" s="67">
        <v>0</v>
      </c>
      <c r="EA558" s="67"/>
      <c r="EB558" s="67">
        <v>0</v>
      </c>
      <c r="EC558" s="67"/>
      <c r="ED558" s="67">
        <v>0</v>
      </c>
      <c r="EE558" s="67"/>
      <c r="EF558" s="67">
        <v>0</v>
      </c>
      <c r="EG558" s="67"/>
      <c r="EH558" s="67"/>
      <c r="EI558" s="67"/>
      <c r="EJ558" s="67"/>
      <c r="EK558" s="67"/>
      <c r="EL558" s="67"/>
      <c r="EM558" s="67"/>
      <c r="EN558" s="67"/>
      <c r="EO558" s="67"/>
      <c r="EP558" s="67">
        <v>0</v>
      </c>
      <c r="EQ558" s="67">
        <v>0</v>
      </c>
      <c r="ER558" s="67">
        <v>0</v>
      </c>
      <c r="ES558" s="67"/>
      <c r="ET558">
        <v>0</v>
      </c>
      <c r="EX558" s="67"/>
      <c r="EY558" s="67"/>
      <c r="EZ558" s="67">
        <v>115</v>
      </c>
      <c r="FA558" s="67">
        <v>0</v>
      </c>
      <c r="FB558" s="67">
        <v>0</v>
      </c>
      <c r="FC558" s="67"/>
      <c r="FD558" s="67"/>
      <c r="FE558" s="67"/>
      <c r="FF558" s="67"/>
      <c r="FG558" s="67"/>
      <c r="FH558" s="67"/>
      <c r="FI558" s="67" t="s">
        <v>1734</v>
      </c>
    </row>
    <row r="559" spans="2:165" ht="24" x14ac:dyDescent="0.2">
      <c r="B559" s="67" t="s">
        <v>1455</v>
      </c>
      <c r="C559" s="67"/>
      <c r="D559" s="67" t="s">
        <v>1456</v>
      </c>
      <c r="E559" s="67" t="s">
        <v>13</v>
      </c>
      <c r="F559" s="67" t="s">
        <v>810</v>
      </c>
      <c r="G559" s="67" t="s">
        <v>345</v>
      </c>
      <c r="H559" s="67"/>
      <c r="I559" s="67" t="s">
        <v>41</v>
      </c>
      <c r="J559" s="67"/>
      <c r="K559" s="67"/>
      <c r="L559" s="67" t="s">
        <v>779</v>
      </c>
      <c r="M559" s="67" t="s">
        <v>1416</v>
      </c>
      <c r="N559" s="67"/>
      <c r="O559" s="67" t="s">
        <v>1599</v>
      </c>
      <c r="P559" s="67" t="s">
        <v>1457</v>
      </c>
      <c r="Q559" s="67">
        <v>500</v>
      </c>
      <c r="R559" s="67">
        <v>0</v>
      </c>
      <c r="S559" s="67">
        <v>0</v>
      </c>
      <c r="T559" s="67">
        <v>0</v>
      </c>
      <c r="U559" s="67">
        <v>0</v>
      </c>
      <c r="V559" s="67">
        <v>0</v>
      </c>
      <c r="W559" s="67">
        <v>500</v>
      </c>
      <c r="X559" s="67">
        <v>0</v>
      </c>
      <c r="Y559" s="67">
        <v>0</v>
      </c>
      <c r="Z559" s="67">
        <v>0</v>
      </c>
      <c r="AA559" s="67">
        <v>0</v>
      </c>
      <c r="AB559" s="67">
        <v>0</v>
      </c>
      <c r="AC559" s="67">
        <v>0</v>
      </c>
      <c r="AD559" s="67">
        <v>0</v>
      </c>
      <c r="AE559" s="67">
        <v>0</v>
      </c>
      <c r="AF559" s="67">
        <v>0</v>
      </c>
      <c r="AG559" s="67">
        <v>0</v>
      </c>
      <c r="AH559" s="67">
        <v>0</v>
      </c>
      <c r="AI559" s="67">
        <v>0</v>
      </c>
      <c r="AJ559" s="67">
        <v>0</v>
      </c>
      <c r="AK559" s="67">
        <v>0</v>
      </c>
      <c r="AL559" s="67">
        <v>0</v>
      </c>
      <c r="AM559" s="67">
        <v>0</v>
      </c>
      <c r="AN559" s="67">
        <v>0</v>
      </c>
      <c r="AO559" s="67">
        <v>0</v>
      </c>
      <c r="AP559" s="67">
        <v>0</v>
      </c>
      <c r="AQ559" s="67">
        <v>0</v>
      </c>
      <c r="AR559" s="67">
        <v>0</v>
      </c>
      <c r="AS559" s="67">
        <v>0</v>
      </c>
      <c r="AT559" s="67"/>
      <c r="AU559" s="67"/>
      <c r="AV559" s="67"/>
      <c r="AW559" s="67">
        <v>0</v>
      </c>
      <c r="AX559" s="67">
        <v>0</v>
      </c>
      <c r="AY559" s="67"/>
      <c r="AZ559" s="67"/>
      <c r="BA559" s="67"/>
      <c r="BB559" s="67"/>
      <c r="BC559" s="67"/>
      <c r="BD559" s="67"/>
      <c r="BE559" s="67"/>
      <c r="BG559" s="67"/>
      <c r="BH559" s="67"/>
      <c r="BI559" s="67"/>
      <c r="BJ559" s="67">
        <v>0</v>
      </c>
      <c r="BK559" s="67"/>
      <c r="BL559" s="67"/>
      <c r="BP559" s="67"/>
      <c r="BQ559" s="67">
        <v>0</v>
      </c>
      <c r="BR559" s="67"/>
      <c r="BS559" s="67"/>
      <c r="BT559" s="67">
        <v>0</v>
      </c>
      <c r="BU559" s="67">
        <v>0</v>
      </c>
      <c r="BV559" s="67"/>
      <c r="BW559" s="67"/>
      <c r="BX559" s="67">
        <v>0</v>
      </c>
      <c r="BY559" s="67">
        <v>0</v>
      </c>
      <c r="BZ559" s="67">
        <v>0</v>
      </c>
      <c r="CA559" s="67"/>
      <c r="CB559" s="67">
        <v>0</v>
      </c>
      <c r="CC559" s="67"/>
      <c r="CD559" s="67"/>
      <c r="CE559" s="67">
        <v>0</v>
      </c>
      <c r="CF559" s="67"/>
      <c r="CG559" s="67"/>
      <c r="CH559" s="67"/>
      <c r="CI559" s="67"/>
      <c r="CJ559" s="67"/>
      <c r="CK559" s="67">
        <v>0</v>
      </c>
      <c r="CL559" s="67"/>
      <c r="CM559" s="67"/>
      <c r="CN559" s="67"/>
      <c r="CO559" s="67">
        <v>0</v>
      </c>
      <c r="CP559" s="67"/>
      <c r="CQ559" s="67"/>
      <c r="CR559" s="67"/>
      <c r="CS559" s="67"/>
      <c r="CT559" s="67"/>
      <c r="CU559" s="67">
        <v>0</v>
      </c>
      <c r="CV559" s="67"/>
      <c r="CW559" s="67"/>
      <c r="CX559" s="67"/>
      <c r="CY559" s="67">
        <v>0</v>
      </c>
      <c r="CZ559" s="67"/>
      <c r="DA559" s="67"/>
      <c r="DB559" s="67"/>
      <c r="DC559" s="67"/>
      <c r="DF559" s="67"/>
      <c r="DG559" s="67">
        <v>0</v>
      </c>
      <c r="DH559" s="67">
        <v>0</v>
      </c>
      <c r="DI559" s="67">
        <v>0</v>
      </c>
      <c r="DJ559" s="67"/>
      <c r="DK559" s="67">
        <v>70</v>
      </c>
      <c r="DL559" s="67">
        <v>0</v>
      </c>
      <c r="DM559" s="67">
        <v>70</v>
      </c>
      <c r="DN559" s="67"/>
      <c r="DO559" s="67"/>
      <c r="DP559" s="67"/>
      <c r="DQ559" s="67">
        <v>0</v>
      </c>
      <c r="DR559" s="67">
        <v>0</v>
      </c>
      <c r="DS559" s="67"/>
      <c r="DT559" s="67"/>
      <c r="DU559" s="67">
        <v>0</v>
      </c>
      <c r="DV559" s="67">
        <v>0</v>
      </c>
      <c r="DW559" s="67">
        <v>0</v>
      </c>
      <c r="DX559" s="67">
        <v>0</v>
      </c>
      <c r="DY559" s="67"/>
      <c r="DZ559" s="67">
        <v>0</v>
      </c>
      <c r="EA559" s="67"/>
      <c r="EB559" s="67">
        <v>0</v>
      </c>
      <c r="EC559" s="67"/>
      <c r="ED559" s="67">
        <v>0</v>
      </c>
      <c r="EE559" s="67"/>
      <c r="EF559" s="67">
        <v>0</v>
      </c>
      <c r="EG559" s="67"/>
      <c r="EH559" s="67"/>
      <c r="EI559" s="67"/>
      <c r="EJ559" s="67"/>
      <c r="EK559" s="67"/>
      <c r="EL559" s="67"/>
      <c r="EM559" s="67"/>
      <c r="EN559" s="67"/>
      <c r="EO559" s="67"/>
      <c r="EP559" s="67">
        <v>0</v>
      </c>
      <c r="EQ559" s="67">
        <v>0</v>
      </c>
      <c r="ER559" s="67">
        <v>0</v>
      </c>
      <c r="ES559" s="67"/>
      <c r="ET559">
        <v>0</v>
      </c>
      <c r="EX559" s="67"/>
      <c r="EY559" s="67"/>
      <c r="EZ559" s="67"/>
      <c r="FA559" s="67">
        <v>570</v>
      </c>
      <c r="FB559" s="67">
        <v>0</v>
      </c>
      <c r="FC559" s="67"/>
      <c r="FD559" s="67"/>
      <c r="FE559" s="67"/>
      <c r="FF559" s="67"/>
      <c r="FG559" s="67"/>
      <c r="FH559" s="67"/>
      <c r="FI559" s="67" t="s">
        <v>1734</v>
      </c>
    </row>
    <row r="560" spans="2:165" x14ac:dyDescent="0.2">
      <c r="B560" s="67" t="s">
        <v>1458</v>
      </c>
      <c r="C560" s="67"/>
      <c r="D560" s="67" t="s">
        <v>1459</v>
      </c>
      <c r="E560" s="67"/>
      <c r="F560" s="67"/>
      <c r="G560" s="67" t="s">
        <v>345</v>
      </c>
      <c r="H560" s="67"/>
      <c r="I560" s="67"/>
      <c r="J560" s="67" t="s">
        <v>64</v>
      </c>
      <c r="K560" s="67" t="s">
        <v>1453</v>
      </c>
      <c r="L560" s="67" t="s">
        <v>779</v>
      </c>
      <c r="M560" s="67" t="s">
        <v>1416</v>
      </c>
      <c r="N560" s="67"/>
      <c r="O560" s="67" t="s">
        <v>1610</v>
      </c>
      <c r="P560" s="67" t="s">
        <v>1460</v>
      </c>
      <c r="Q560" s="67">
        <v>60</v>
      </c>
      <c r="R560" s="67">
        <v>0</v>
      </c>
      <c r="S560" s="67">
        <v>0</v>
      </c>
      <c r="T560" s="67">
        <v>0</v>
      </c>
      <c r="U560" s="67">
        <v>0</v>
      </c>
      <c r="V560" s="67">
        <v>0</v>
      </c>
      <c r="W560" s="67">
        <v>0</v>
      </c>
      <c r="X560" s="67">
        <v>0</v>
      </c>
      <c r="Y560" s="67">
        <v>0</v>
      </c>
      <c r="Z560" s="67">
        <v>0</v>
      </c>
      <c r="AA560" s="67">
        <v>0</v>
      </c>
      <c r="AB560" s="67">
        <v>0</v>
      </c>
      <c r="AC560" s="67">
        <v>0</v>
      </c>
      <c r="AD560" s="67">
        <v>0</v>
      </c>
      <c r="AE560" s="67">
        <v>0</v>
      </c>
      <c r="AF560" s="67">
        <v>0</v>
      </c>
      <c r="AG560" s="67">
        <v>0</v>
      </c>
      <c r="AH560" s="67">
        <v>0</v>
      </c>
      <c r="AI560" s="67">
        <v>0</v>
      </c>
      <c r="AJ560" s="67">
        <v>0</v>
      </c>
      <c r="AK560" s="67">
        <v>0</v>
      </c>
      <c r="AL560" s="67">
        <v>0</v>
      </c>
      <c r="AM560" s="67">
        <v>0</v>
      </c>
      <c r="AN560" s="67">
        <v>60</v>
      </c>
      <c r="AO560" s="67">
        <v>0</v>
      </c>
      <c r="AP560" s="67">
        <v>0</v>
      </c>
      <c r="AQ560" s="67">
        <v>0</v>
      </c>
      <c r="AR560" s="67">
        <v>0</v>
      </c>
      <c r="AS560" s="67">
        <v>0</v>
      </c>
      <c r="AT560" s="67"/>
      <c r="AU560" s="67"/>
      <c r="AV560" s="67"/>
      <c r="AW560" s="67">
        <v>0</v>
      </c>
      <c r="AX560" s="67">
        <v>0</v>
      </c>
      <c r="AY560" s="67"/>
      <c r="AZ560" s="67"/>
      <c r="BA560" s="67"/>
      <c r="BB560" s="67"/>
      <c r="BC560" s="67"/>
      <c r="BD560" s="67"/>
      <c r="BE560" s="67"/>
      <c r="BG560" s="67"/>
      <c r="BH560" s="67"/>
      <c r="BI560" s="67"/>
      <c r="BJ560" s="67">
        <v>0</v>
      </c>
      <c r="BK560" s="67"/>
      <c r="BL560" s="67"/>
      <c r="BP560" s="67"/>
      <c r="BQ560" s="67">
        <v>0</v>
      </c>
      <c r="BR560" s="67"/>
      <c r="BS560" s="67"/>
      <c r="BT560" s="67">
        <v>0</v>
      </c>
      <c r="BU560" s="67">
        <v>0</v>
      </c>
      <c r="BV560" s="67"/>
      <c r="BW560" s="67"/>
      <c r="BX560" s="67">
        <v>0</v>
      </c>
      <c r="BY560" s="67">
        <v>0</v>
      </c>
      <c r="BZ560" s="67">
        <v>0</v>
      </c>
      <c r="CA560" s="67"/>
      <c r="CB560" s="67">
        <v>0</v>
      </c>
      <c r="CC560" s="67"/>
      <c r="CD560" s="67"/>
      <c r="CE560" s="67">
        <v>0</v>
      </c>
      <c r="CF560" s="67"/>
      <c r="CG560" s="67"/>
      <c r="CH560" s="67"/>
      <c r="CI560" s="67"/>
      <c r="CJ560" s="67"/>
      <c r="CK560" s="67">
        <v>0</v>
      </c>
      <c r="CL560" s="67"/>
      <c r="CM560" s="67"/>
      <c r="CN560" s="67"/>
      <c r="CO560" s="67">
        <v>0</v>
      </c>
      <c r="CP560" s="67"/>
      <c r="CQ560" s="67"/>
      <c r="CR560" s="67"/>
      <c r="CS560" s="67"/>
      <c r="CT560" s="67"/>
      <c r="CU560" s="67">
        <v>0</v>
      </c>
      <c r="CV560" s="67"/>
      <c r="CW560" s="67"/>
      <c r="CX560" s="67"/>
      <c r="CY560" s="67">
        <v>0</v>
      </c>
      <c r="CZ560" s="67"/>
      <c r="DA560" s="67"/>
      <c r="DB560" s="67"/>
      <c r="DC560" s="67"/>
      <c r="DF560" s="67"/>
      <c r="DG560" s="67">
        <v>0</v>
      </c>
      <c r="DH560" s="67">
        <v>0</v>
      </c>
      <c r="DI560" s="67">
        <v>0</v>
      </c>
      <c r="DJ560" s="67"/>
      <c r="DK560" s="67">
        <v>0</v>
      </c>
      <c r="DL560" s="67">
        <v>0</v>
      </c>
      <c r="DM560" s="67">
        <v>0</v>
      </c>
      <c r="DN560" s="67"/>
      <c r="DO560" s="67"/>
      <c r="DP560" s="67"/>
      <c r="DQ560" s="67">
        <v>0</v>
      </c>
      <c r="DR560" s="67">
        <v>0</v>
      </c>
      <c r="DS560" s="67"/>
      <c r="DT560" s="67"/>
      <c r="DU560" s="67">
        <v>0</v>
      </c>
      <c r="DV560" s="67">
        <v>0</v>
      </c>
      <c r="DW560" s="67">
        <v>0</v>
      </c>
      <c r="DX560" s="67">
        <v>0</v>
      </c>
      <c r="DY560" s="67"/>
      <c r="DZ560" s="67">
        <v>0</v>
      </c>
      <c r="EA560" s="67"/>
      <c r="EB560" s="67">
        <v>0</v>
      </c>
      <c r="EC560" s="67"/>
      <c r="ED560" s="67">
        <v>0</v>
      </c>
      <c r="EE560" s="67"/>
      <c r="EF560" s="67">
        <v>0</v>
      </c>
      <c r="EG560" s="67"/>
      <c r="EH560" s="67"/>
      <c r="EI560" s="67"/>
      <c r="EJ560" s="67"/>
      <c r="EK560" s="67"/>
      <c r="EL560" s="67"/>
      <c r="EM560" s="67"/>
      <c r="EN560" s="67"/>
      <c r="EO560" s="67"/>
      <c r="EP560" s="67">
        <v>0</v>
      </c>
      <c r="EQ560" s="67">
        <v>0</v>
      </c>
      <c r="ER560" s="67">
        <v>0</v>
      </c>
      <c r="ES560" s="67"/>
      <c r="ET560">
        <v>0</v>
      </c>
      <c r="EX560" s="67"/>
      <c r="EY560" s="67"/>
      <c r="EZ560" s="67"/>
      <c r="FA560" s="67">
        <v>60</v>
      </c>
      <c r="FB560" s="67">
        <v>0</v>
      </c>
      <c r="FC560" s="67"/>
      <c r="FD560" s="67"/>
      <c r="FE560" s="67"/>
      <c r="FF560" s="67"/>
      <c r="FG560" s="67"/>
      <c r="FH560" s="67"/>
      <c r="FI560" s="67" t="s">
        <v>1734</v>
      </c>
    </row>
    <row r="561" spans="2:165" x14ac:dyDescent="0.2">
      <c r="B561" s="67" t="s">
        <v>1461</v>
      </c>
      <c r="C561" s="67"/>
      <c r="D561" s="67" t="s">
        <v>1462</v>
      </c>
      <c r="E561" s="67"/>
      <c r="F561" s="67"/>
      <c r="G561" s="67" t="s">
        <v>345</v>
      </c>
      <c r="H561" s="67"/>
      <c r="I561" s="67"/>
      <c r="J561" s="67"/>
      <c r="K561" s="67"/>
      <c r="L561" s="67" t="s">
        <v>767</v>
      </c>
      <c r="M561" s="67" t="s">
        <v>1392</v>
      </c>
      <c r="N561" s="67"/>
      <c r="O561" s="67" t="s">
        <v>1608</v>
      </c>
      <c r="P561" s="67" t="s">
        <v>298</v>
      </c>
      <c r="Q561" s="67">
        <v>0</v>
      </c>
      <c r="R561" s="67">
        <v>0</v>
      </c>
      <c r="S561" s="67">
        <v>0</v>
      </c>
      <c r="T561" s="67">
        <v>0</v>
      </c>
      <c r="U561" s="67">
        <v>0</v>
      </c>
      <c r="V561" s="67">
        <v>0</v>
      </c>
      <c r="W561" s="67">
        <v>0</v>
      </c>
      <c r="X561" s="67">
        <v>0</v>
      </c>
      <c r="Y561" s="67">
        <v>0</v>
      </c>
      <c r="Z561" s="67">
        <v>0</v>
      </c>
      <c r="AA561" s="67">
        <v>0</v>
      </c>
      <c r="AB561" s="67">
        <v>0</v>
      </c>
      <c r="AC561" s="67">
        <v>0</v>
      </c>
      <c r="AD561" s="67">
        <v>0</v>
      </c>
      <c r="AE561" s="67">
        <v>0</v>
      </c>
      <c r="AF561" s="67">
        <v>0</v>
      </c>
      <c r="AG561" s="67">
        <v>0</v>
      </c>
      <c r="AH561" s="67">
        <v>0</v>
      </c>
      <c r="AI561" s="67">
        <v>0</v>
      </c>
      <c r="AJ561" s="67">
        <v>0</v>
      </c>
      <c r="AK561" s="67">
        <v>0</v>
      </c>
      <c r="AL561" s="67">
        <v>0</v>
      </c>
      <c r="AM561" s="67">
        <v>0</v>
      </c>
      <c r="AN561" s="67">
        <v>0</v>
      </c>
      <c r="AO561" s="67">
        <v>0</v>
      </c>
      <c r="AP561" s="67">
        <v>0</v>
      </c>
      <c r="AQ561" s="67">
        <v>0</v>
      </c>
      <c r="AR561" s="67">
        <v>0</v>
      </c>
      <c r="AS561" s="67">
        <v>0</v>
      </c>
      <c r="AT561" s="67"/>
      <c r="AU561" s="67"/>
      <c r="AV561" s="67"/>
      <c r="AW561" s="67">
        <v>0</v>
      </c>
      <c r="AX561" s="67">
        <v>0</v>
      </c>
      <c r="AY561" s="67"/>
      <c r="AZ561" s="67"/>
      <c r="BA561" s="67"/>
      <c r="BB561" s="67"/>
      <c r="BC561" s="67"/>
      <c r="BD561" s="67"/>
      <c r="BE561" s="67"/>
      <c r="BG561" s="67"/>
      <c r="BH561" s="67"/>
      <c r="BI561" s="67"/>
      <c r="BJ561" s="67">
        <v>0</v>
      </c>
      <c r="BK561" s="67"/>
      <c r="BL561" s="67"/>
      <c r="BP561" s="67"/>
      <c r="BQ561" s="67">
        <v>0</v>
      </c>
      <c r="BR561" s="67"/>
      <c r="BS561" s="67"/>
      <c r="BT561" s="67">
        <v>0</v>
      </c>
      <c r="BU561" s="67">
        <v>0</v>
      </c>
      <c r="BV561" s="67"/>
      <c r="BW561" s="67"/>
      <c r="BX561" s="67">
        <v>0</v>
      </c>
      <c r="BY561" s="67">
        <v>0</v>
      </c>
      <c r="BZ561" s="67">
        <v>0</v>
      </c>
      <c r="CA561" s="67"/>
      <c r="CB561" s="67">
        <v>0</v>
      </c>
      <c r="CC561" s="67"/>
      <c r="CD561" s="67"/>
      <c r="CE561" s="67">
        <v>0</v>
      </c>
      <c r="CF561" s="67"/>
      <c r="CG561" s="67"/>
      <c r="CH561" s="67"/>
      <c r="CI561" s="67"/>
      <c r="CJ561" s="67"/>
      <c r="CK561" s="67">
        <v>0</v>
      </c>
      <c r="CL561" s="67"/>
      <c r="CM561" s="67"/>
      <c r="CN561" s="67"/>
      <c r="CO561" s="67">
        <v>0</v>
      </c>
      <c r="CP561" s="67"/>
      <c r="CQ561" s="67"/>
      <c r="CR561" s="67"/>
      <c r="CS561" s="67"/>
      <c r="CT561" s="67"/>
      <c r="CU561" s="67">
        <v>0</v>
      </c>
      <c r="CV561" s="67"/>
      <c r="CW561" s="67"/>
      <c r="CX561" s="67"/>
      <c r="CY561" s="67">
        <v>0</v>
      </c>
      <c r="CZ561" s="67"/>
      <c r="DA561" s="67"/>
      <c r="DB561" s="67"/>
      <c r="DC561" s="67"/>
      <c r="DF561" s="67"/>
      <c r="DG561" s="67">
        <v>0</v>
      </c>
      <c r="DH561" s="67">
        <v>0</v>
      </c>
      <c r="DI561" s="67">
        <v>0</v>
      </c>
      <c r="DJ561" s="67"/>
      <c r="DK561" s="67">
        <v>200</v>
      </c>
      <c r="DL561" s="67"/>
      <c r="DM561" s="67">
        <v>0</v>
      </c>
      <c r="DN561" s="67"/>
      <c r="DO561" s="67"/>
      <c r="DP561" s="67"/>
      <c r="DQ561" s="67">
        <v>200</v>
      </c>
      <c r="DR561" s="67">
        <v>52</v>
      </c>
      <c r="DS561" s="67"/>
      <c r="DT561" s="67"/>
      <c r="DU561" s="67">
        <v>0</v>
      </c>
      <c r="DV561" s="67">
        <v>0</v>
      </c>
      <c r="DW561" s="67">
        <v>148</v>
      </c>
      <c r="DX561" s="67">
        <v>0</v>
      </c>
      <c r="DY561" s="67"/>
      <c r="DZ561" s="67">
        <v>0</v>
      </c>
      <c r="EA561" s="67"/>
      <c r="EB561" s="67">
        <v>0</v>
      </c>
      <c r="EC561" s="67"/>
      <c r="ED561" s="67">
        <v>0</v>
      </c>
      <c r="EE561" s="67"/>
      <c r="EF561" s="67">
        <v>0</v>
      </c>
      <c r="EG561" s="67"/>
      <c r="EH561" s="67"/>
      <c r="EI561" s="67"/>
      <c r="EJ561" s="67"/>
      <c r="EK561" s="67"/>
      <c r="EL561" s="67"/>
      <c r="EM561" s="67"/>
      <c r="EN561" s="67"/>
      <c r="EO561" s="67"/>
      <c r="EP561" s="67">
        <v>0</v>
      </c>
      <c r="EQ561" s="67">
        <v>0</v>
      </c>
      <c r="ER561" s="67">
        <v>0</v>
      </c>
      <c r="ES561" s="67"/>
      <c r="ET561">
        <v>0</v>
      </c>
      <c r="EX561" s="67"/>
      <c r="EY561" s="67"/>
      <c r="EZ561" s="67"/>
      <c r="FA561" s="67">
        <v>200</v>
      </c>
      <c r="FB561" s="67">
        <v>0</v>
      </c>
      <c r="FC561" s="67"/>
      <c r="FD561" s="67"/>
      <c r="FE561" s="67"/>
      <c r="FF561" s="67"/>
      <c r="FG561" s="67"/>
      <c r="FH561" s="67"/>
      <c r="FI561" s="67" t="s">
        <v>1734</v>
      </c>
    </row>
    <row r="562" spans="2:165" x14ac:dyDescent="0.2">
      <c r="B562" s="67" t="s">
        <v>1463</v>
      </c>
      <c r="C562" s="67"/>
      <c r="D562" s="67" t="s">
        <v>1464</v>
      </c>
      <c r="E562" s="67"/>
      <c r="F562" s="67"/>
      <c r="G562" s="67" t="s">
        <v>345</v>
      </c>
      <c r="H562" s="67"/>
      <c r="I562" s="67"/>
      <c r="J562" s="67"/>
      <c r="K562" s="67"/>
      <c r="L562" s="67"/>
      <c r="M562" s="67"/>
      <c r="N562" s="67"/>
      <c r="O562" s="67" t="s">
        <v>1605</v>
      </c>
      <c r="P562" s="67"/>
      <c r="Q562" s="67">
        <v>0</v>
      </c>
      <c r="R562" s="67">
        <v>0</v>
      </c>
      <c r="S562" s="67">
        <v>0</v>
      </c>
      <c r="T562" s="67">
        <v>0</v>
      </c>
      <c r="U562" s="67">
        <v>0</v>
      </c>
      <c r="V562" s="67">
        <v>0</v>
      </c>
      <c r="W562" s="67">
        <v>0</v>
      </c>
      <c r="X562" s="67">
        <v>0</v>
      </c>
      <c r="Y562" s="67">
        <v>0</v>
      </c>
      <c r="Z562" s="67">
        <v>0</v>
      </c>
      <c r="AA562" s="67">
        <v>0</v>
      </c>
      <c r="AB562" s="67">
        <v>0</v>
      </c>
      <c r="AC562" s="67">
        <v>0</v>
      </c>
      <c r="AD562" s="67">
        <v>0</v>
      </c>
      <c r="AE562" s="67">
        <v>0</v>
      </c>
      <c r="AF562" s="67">
        <v>0</v>
      </c>
      <c r="AG562" s="67">
        <v>0</v>
      </c>
      <c r="AH562" s="67">
        <v>0</v>
      </c>
      <c r="AI562" s="67">
        <v>0</v>
      </c>
      <c r="AJ562" s="67">
        <v>0</v>
      </c>
      <c r="AK562" s="67">
        <v>0</v>
      </c>
      <c r="AL562" s="67">
        <v>0</v>
      </c>
      <c r="AM562" s="67">
        <v>0</v>
      </c>
      <c r="AN562" s="67">
        <v>0</v>
      </c>
      <c r="AO562" s="67">
        <v>0</v>
      </c>
      <c r="AP562" s="67">
        <v>0</v>
      </c>
      <c r="AQ562" s="67">
        <v>0</v>
      </c>
      <c r="AR562" s="67">
        <v>0</v>
      </c>
      <c r="AS562" s="67">
        <v>0</v>
      </c>
      <c r="AT562" s="67"/>
      <c r="AU562" s="67"/>
      <c r="AV562" s="67"/>
      <c r="AW562" s="67">
        <v>0</v>
      </c>
      <c r="AX562" s="67">
        <v>0</v>
      </c>
      <c r="AY562" s="67"/>
      <c r="AZ562" s="67"/>
      <c r="BA562" s="67"/>
      <c r="BB562" s="67"/>
      <c r="BC562" s="67"/>
      <c r="BD562" s="67"/>
      <c r="BE562" s="67"/>
      <c r="BG562" s="67"/>
      <c r="BH562" s="67"/>
      <c r="BI562" s="67"/>
      <c r="BJ562" s="67">
        <v>0</v>
      </c>
      <c r="BK562" s="67"/>
      <c r="BL562" s="67"/>
      <c r="BP562" s="67"/>
      <c r="BQ562" s="67">
        <v>0</v>
      </c>
      <c r="BR562" s="67"/>
      <c r="BS562" s="67"/>
      <c r="BT562" s="67">
        <v>0</v>
      </c>
      <c r="BU562" s="67">
        <v>0</v>
      </c>
      <c r="BV562" s="67"/>
      <c r="BW562" s="67"/>
      <c r="BX562" s="67">
        <v>0</v>
      </c>
      <c r="BY562" s="67">
        <v>0</v>
      </c>
      <c r="BZ562" s="67">
        <v>0</v>
      </c>
      <c r="CA562" s="67"/>
      <c r="CB562" s="67">
        <v>0</v>
      </c>
      <c r="CC562" s="67"/>
      <c r="CD562" s="67"/>
      <c r="CE562" s="67">
        <v>0</v>
      </c>
      <c r="CF562" s="67"/>
      <c r="CG562" s="67"/>
      <c r="CH562" s="67"/>
      <c r="CI562" s="67"/>
      <c r="CJ562" s="67"/>
      <c r="CK562" s="67">
        <v>0</v>
      </c>
      <c r="CL562" s="67"/>
      <c r="CM562" s="67"/>
      <c r="CN562" s="67"/>
      <c r="CO562" s="67">
        <v>0</v>
      </c>
      <c r="CP562" s="67"/>
      <c r="CQ562" s="67"/>
      <c r="CR562" s="67"/>
      <c r="CS562" s="67"/>
      <c r="CT562" s="67"/>
      <c r="CU562" s="67">
        <v>0</v>
      </c>
      <c r="CV562" s="67"/>
      <c r="CW562" s="67"/>
      <c r="CX562" s="67"/>
      <c r="CY562" s="67">
        <v>0</v>
      </c>
      <c r="CZ562" s="67"/>
      <c r="DA562" s="67"/>
      <c r="DB562" s="67"/>
      <c r="DC562" s="67"/>
      <c r="DF562" s="67"/>
      <c r="DG562" s="67">
        <v>0</v>
      </c>
      <c r="DH562" s="67">
        <v>0</v>
      </c>
      <c r="DI562" s="67">
        <v>0</v>
      </c>
      <c r="DJ562" s="67"/>
      <c r="DK562" s="67">
        <v>0</v>
      </c>
      <c r="DL562" s="67">
        <v>0</v>
      </c>
      <c r="DM562" s="67">
        <v>0</v>
      </c>
      <c r="DN562" s="67"/>
      <c r="DO562" s="67"/>
      <c r="DP562" s="67"/>
      <c r="DQ562" s="67">
        <v>0</v>
      </c>
      <c r="DR562" s="67">
        <v>0</v>
      </c>
      <c r="DS562" s="67"/>
      <c r="DT562" s="67"/>
      <c r="DU562" s="67">
        <v>0</v>
      </c>
      <c r="DV562" s="67">
        <v>0</v>
      </c>
      <c r="DW562" s="67">
        <v>0</v>
      </c>
      <c r="DX562" s="67">
        <v>0</v>
      </c>
      <c r="DY562" s="67"/>
      <c r="DZ562" s="67">
        <v>0</v>
      </c>
      <c r="EA562" s="67"/>
      <c r="EB562" s="67">
        <v>0</v>
      </c>
      <c r="EC562" s="67"/>
      <c r="ED562" s="67">
        <v>0</v>
      </c>
      <c r="EE562" s="67"/>
      <c r="EF562" s="67">
        <v>0</v>
      </c>
      <c r="EG562" s="67"/>
      <c r="EH562" s="67"/>
      <c r="EI562" s="67"/>
      <c r="EJ562" s="67"/>
      <c r="EK562" s="67"/>
      <c r="EL562" s="67"/>
      <c r="EM562" s="67"/>
      <c r="EN562" s="67"/>
      <c r="EO562" s="67"/>
      <c r="EP562" s="67">
        <v>0</v>
      </c>
      <c r="EQ562" s="67">
        <v>0</v>
      </c>
      <c r="ER562" s="67">
        <v>0</v>
      </c>
      <c r="ES562" s="67"/>
      <c r="ET562">
        <v>0</v>
      </c>
      <c r="EX562" s="67"/>
      <c r="EY562" s="67"/>
      <c r="EZ562" s="67"/>
      <c r="FA562" s="67">
        <v>0</v>
      </c>
      <c r="FB562" s="67">
        <v>0</v>
      </c>
      <c r="FC562" s="67"/>
      <c r="FD562" s="67"/>
      <c r="FE562" s="67"/>
      <c r="FF562" s="67"/>
      <c r="FG562" s="67"/>
      <c r="FH562" s="67"/>
      <c r="FI562" s="67" t="s">
        <v>1734</v>
      </c>
    </row>
    <row r="563" spans="2:165" ht="24" x14ac:dyDescent="0.2">
      <c r="B563" s="67" t="s">
        <v>1465</v>
      </c>
      <c r="C563" s="67"/>
      <c r="D563" s="67" t="s">
        <v>1466</v>
      </c>
      <c r="E563" s="67" t="s">
        <v>13</v>
      </c>
      <c r="F563" s="67"/>
      <c r="G563" s="67" t="s">
        <v>345</v>
      </c>
      <c r="H563" s="67"/>
      <c r="I563" s="67" t="s">
        <v>41</v>
      </c>
      <c r="J563" s="67"/>
      <c r="K563" s="67"/>
      <c r="L563" s="67" t="s">
        <v>751</v>
      </c>
      <c r="M563" s="67" t="s">
        <v>1399</v>
      </c>
      <c r="N563" s="67"/>
      <c r="O563" s="67" t="s">
        <v>1605</v>
      </c>
      <c r="P563" s="67"/>
      <c r="Q563" s="67">
        <v>0</v>
      </c>
      <c r="R563" s="67">
        <v>0</v>
      </c>
      <c r="S563" s="67">
        <v>0</v>
      </c>
      <c r="T563" s="67">
        <v>0</v>
      </c>
      <c r="U563" s="67">
        <v>0</v>
      </c>
      <c r="V563" s="67">
        <v>0</v>
      </c>
      <c r="W563" s="67">
        <v>0</v>
      </c>
      <c r="X563" s="67">
        <v>0</v>
      </c>
      <c r="Y563" s="67">
        <v>0</v>
      </c>
      <c r="Z563" s="67">
        <v>0</v>
      </c>
      <c r="AA563" s="67">
        <v>0</v>
      </c>
      <c r="AB563" s="67">
        <v>0</v>
      </c>
      <c r="AC563" s="67">
        <v>0</v>
      </c>
      <c r="AD563" s="67">
        <v>0</v>
      </c>
      <c r="AE563" s="67">
        <v>0</v>
      </c>
      <c r="AF563" s="67">
        <v>0</v>
      </c>
      <c r="AG563" s="67">
        <v>0</v>
      </c>
      <c r="AH563" s="67">
        <v>0</v>
      </c>
      <c r="AI563" s="67">
        <v>0</v>
      </c>
      <c r="AJ563" s="67">
        <v>0</v>
      </c>
      <c r="AK563" s="67">
        <v>0</v>
      </c>
      <c r="AL563" s="67">
        <v>0</v>
      </c>
      <c r="AM563" s="67">
        <v>0</v>
      </c>
      <c r="AN563" s="67">
        <v>0</v>
      </c>
      <c r="AO563" s="67">
        <v>0</v>
      </c>
      <c r="AP563" s="67">
        <v>0</v>
      </c>
      <c r="AQ563" s="67">
        <v>0</v>
      </c>
      <c r="AR563" s="67">
        <v>0</v>
      </c>
      <c r="AS563" s="67">
        <v>0</v>
      </c>
      <c r="AT563" s="67"/>
      <c r="AU563" s="67"/>
      <c r="AV563" s="67"/>
      <c r="AW563" s="67">
        <v>0</v>
      </c>
      <c r="AX563" s="67">
        <v>0</v>
      </c>
      <c r="AY563" s="67"/>
      <c r="AZ563" s="67"/>
      <c r="BA563" s="67"/>
      <c r="BB563" s="67"/>
      <c r="BC563" s="67"/>
      <c r="BD563" s="67"/>
      <c r="BE563" s="67"/>
      <c r="BG563" s="67"/>
      <c r="BH563" s="67"/>
      <c r="BI563" s="67"/>
      <c r="BJ563" s="67">
        <v>0</v>
      </c>
      <c r="BK563" s="67"/>
      <c r="BL563" s="67"/>
      <c r="BP563" s="67"/>
      <c r="BQ563" s="67">
        <v>0</v>
      </c>
      <c r="BR563" s="67"/>
      <c r="BS563" s="67"/>
      <c r="BT563" s="67">
        <v>0</v>
      </c>
      <c r="BU563" s="67">
        <v>0</v>
      </c>
      <c r="BV563" s="67"/>
      <c r="BW563" s="67"/>
      <c r="BX563" s="67">
        <v>0</v>
      </c>
      <c r="BY563" s="67">
        <v>0</v>
      </c>
      <c r="BZ563" s="67">
        <v>0</v>
      </c>
      <c r="CA563" s="67"/>
      <c r="CB563" s="67">
        <v>0</v>
      </c>
      <c r="CC563" s="67"/>
      <c r="CD563" s="67"/>
      <c r="CE563" s="67">
        <v>0</v>
      </c>
      <c r="CF563" s="67"/>
      <c r="CG563" s="67"/>
      <c r="CH563" s="67"/>
      <c r="CI563" s="67"/>
      <c r="CJ563" s="67"/>
      <c r="CK563" s="67">
        <v>0</v>
      </c>
      <c r="CL563" s="67"/>
      <c r="CM563" s="67"/>
      <c r="CN563" s="67"/>
      <c r="CO563" s="67">
        <v>0</v>
      </c>
      <c r="CP563" s="67"/>
      <c r="CQ563" s="67"/>
      <c r="CR563" s="67"/>
      <c r="CS563" s="67"/>
      <c r="CT563" s="67"/>
      <c r="CU563" s="67">
        <v>0</v>
      </c>
      <c r="CV563" s="67"/>
      <c r="CW563" s="67"/>
      <c r="CX563" s="67"/>
      <c r="CY563" s="67">
        <v>0</v>
      </c>
      <c r="CZ563" s="67"/>
      <c r="DA563" s="67"/>
      <c r="DB563" s="67"/>
      <c r="DC563" s="67"/>
      <c r="DF563" s="67"/>
      <c r="DG563" s="67">
        <v>0</v>
      </c>
      <c r="DH563" s="67">
        <v>0</v>
      </c>
      <c r="DI563" s="67">
        <v>0</v>
      </c>
      <c r="DJ563" s="67"/>
      <c r="DK563" s="67">
        <v>0</v>
      </c>
      <c r="DL563" s="67">
        <v>0</v>
      </c>
      <c r="DM563" s="67">
        <v>0</v>
      </c>
      <c r="DN563" s="67"/>
      <c r="DO563" s="67"/>
      <c r="DP563" s="67"/>
      <c r="DQ563" s="67">
        <v>0</v>
      </c>
      <c r="DR563" s="67">
        <v>0</v>
      </c>
      <c r="DS563" s="67"/>
      <c r="DT563" s="67"/>
      <c r="DU563" s="67">
        <v>0</v>
      </c>
      <c r="DV563" s="67">
        <v>0</v>
      </c>
      <c r="DW563" s="67">
        <v>0</v>
      </c>
      <c r="DX563" s="67">
        <v>0</v>
      </c>
      <c r="DY563" s="67"/>
      <c r="DZ563" s="67">
        <v>0</v>
      </c>
      <c r="EA563" s="67"/>
      <c r="EB563" s="67">
        <v>0</v>
      </c>
      <c r="EC563" s="67"/>
      <c r="ED563" s="67">
        <v>0</v>
      </c>
      <c r="EE563" s="67"/>
      <c r="EF563" s="67">
        <v>0</v>
      </c>
      <c r="EG563" s="67"/>
      <c r="EH563" s="67"/>
      <c r="EI563" s="67"/>
      <c r="EJ563" s="67"/>
      <c r="EK563" s="67"/>
      <c r="EL563" s="67"/>
      <c r="EM563" s="67"/>
      <c r="EN563" s="67"/>
      <c r="EO563" s="67"/>
      <c r="EP563" s="67">
        <v>0</v>
      </c>
      <c r="EQ563" s="67">
        <v>0</v>
      </c>
      <c r="ER563" s="67">
        <v>0</v>
      </c>
      <c r="ES563" s="67"/>
      <c r="ET563">
        <v>0</v>
      </c>
      <c r="EX563" s="67"/>
      <c r="EY563" s="67"/>
      <c r="EZ563" s="67"/>
      <c r="FA563" s="67">
        <v>0</v>
      </c>
      <c r="FB563" s="67">
        <v>0</v>
      </c>
      <c r="FC563" s="67"/>
      <c r="FD563" s="67"/>
      <c r="FE563" s="67"/>
      <c r="FF563" s="67"/>
      <c r="FG563" s="67"/>
      <c r="FH563" s="67"/>
      <c r="FI563" s="67" t="s">
        <v>1734</v>
      </c>
    </row>
    <row r="564" spans="2:165" ht="24" x14ac:dyDescent="0.2">
      <c r="B564" s="67" t="s">
        <v>1467</v>
      </c>
      <c r="C564" s="67"/>
      <c r="D564" s="67" t="s">
        <v>1468</v>
      </c>
      <c r="E564" s="67"/>
      <c r="F564" s="67"/>
      <c r="G564" s="67" t="s">
        <v>345</v>
      </c>
      <c r="H564" s="67"/>
      <c r="I564" s="67"/>
      <c r="J564" s="67"/>
      <c r="K564" s="67" t="s">
        <v>1469</v>
      </c>
      <c r="L564" s="67"/>
      <c r="M564" s="67"/>
      <c r="N564" s="67"/>
      <c r="O564" s="67" t="s">
        <v>1605</v>
      </c>
      <c r="P564" s="67" t="s">
        <v>1470</v>
      </c>
      <c r="Q564" s="67">
        <v>0</v>
      </c>
      <c r="R564" s="67">
        <v>0</v>
      </c>
      <c r="S564" s="67">
        <v>0</v>
      </c>
      <c r="T564" s="67">
        <v>0</v>
      </c>
      <c r="U564" s="67">
        <v>0</v>
      </c>
      <c r="V564" s="67">
        <v>0</v>
      </c>
      <c r="W564" s="67">
        <v>0</v>
      </c>
      <c r="X564" s="67">
        <v>0</v>
      </c>
      <c r="Y564" s="67">
        <v>0</v>
      </c>
      <c r="Z564" s="67">
        <v>0</v>
      </c>
      <c r="AA564" s="67">
        <v>0</v>
      </c>
      <c r="AB564" s="67">
        <v>0</v>
      </c>
      <c r="AC564" s="67">
        <v>0</v>
      </c>
      <c r="AD564" s="67">
        <v>0</v>
      </c>
      <c r="AE564" s="67">
        <v>0</v>
      </c>
      <c r="AF564" s="67">
        <v>0</v>
      </c>
      <c r="AG564" s="67">
        <v>0</v>
      </c>
      <c r="AH564" s="67">
        <v>0</v>
      </c>
      <c r="AI564" s="67">
        <v>0</v>
      </c>
      <c r="AJ564" s="67">
        <v>0</v>
      </c>
      <c r="AK564" s="67">
        <v>0</v>
      </c>
      <c r="AL564" s="67">
        <v>0</v>
      </c>
      <c r="AM564" s="67">
        <v>0</v>
      </c>
      <c r="AN564" s="67">
        <v>0</v>
      </c>
      <c r="AO564" s="67">
        <v>0</v>
      </c>
      <c r="AP564" s="67">
        <v>0</v>
      </c>
      <c r="AQ564" s="67">
        <v>0</v>
      </c>
      <c r="AR564" s="67">
        <v>0</v>
      </c>
      <c r="AS564" s="67">
        <v>0</v>
      </c>
      <c r="AT564" s="67"/>
      <c r="AU564" s="67"/>
      <c r="AV564" s="67"/>
      <c r="AW564" s="67">
        <v>0</v>
      </c>
      <c r="AX564" s="67">
        <v>0</v>
      </c>
      <c r="AY564" s="67"/>
      <c r="AZ564" s="67"/>
      <c r="BA564" s="67"/>
      <c r="BB564" s="67"/>
      <c r="BC564" s="67"/>
      <c r="BD564" s="67"/>
      <c r="BE564" s="67"/>
      <c r="BG564" s="67"/>
      <c r="BH564" s="67"/>
      <c r="BI564" s="67"/>
      <c r="BJ564" s="67">
        <v>0</v>
      </c>
      <c r="BK564" s="67"/>
      <c r="BL564" s="67"/>
      <c r="BP564" s="67"/>
      <c r="BQ564" s="67">
        <v>0</v>
      </c>
      <c r="BR564" s="67"/>
      <c r="BS564" s="67"/>
      <c r="BT564" s="67">
        <v>0</v>
      </c>
      <c r="BU564" s="67">
        <v>0</v>
      </c>
      <c r="BV564" s="67"/>
      <c r="BW564" s="67"/>
      <c r="BX564" s="67">
        <v>0</v>
      </c>
      <c r="BY564" s="67">
        <v>0</v>
      </c>
      <c r="BZ564" s="67">
        <v>0</v>
      </c>
      <c r="CA564" s="67"/>
      <c r="CB564" s="67">
        <v>0</v>
      </c>
      <c r="CC564" s="67"/>
      <c r="CD564" s="67"/>
      <c r="CE564" s="67">
        <v>0</v>
      </c>
      <c r="CF564" s="67"/>
      <c r="CG564" s="67"/>
      <c r="CH564" s="67"/>
      <c r="CI564" s="67"/>
      <c r="CJ564" s="67"/>
      <c r="CK564" s="67">
        <v>0</v>
      </c>
      <c r="CL564" s="67"/>
      <c r="CM564" s="67"/>
      <c r="CN564" s="67"/>
      <c r="CO564" s="67">
        <v>0</v>
      </c>
      <c r="CP564" s="67"/>
      <c r="CQ564" s="67"/>
      <c r="CR564" s="67"/>
      <c r="CS564" s="67"/>
      <c r="CT564" s="67"/>
      <c r="CU564" s="67">
        <v>0</v>
      </c>
      <c r="CV564" s="67"/>
      <c r="CW564" s="67"/>
      <c r="CX564" s="67"/>
      <c r="CY564" s="67">
        <v>0</v>
      </c>
      <c r="CZ564" s="67"/>
      <c r="DA564" s="67"/>
      <c r="DB564" s="67"/>
      <c r="DC564" s="67"/>
      <c r="DF564" s="67"/>
      <c r="DG564" s="67">
        <v>0</v>
      </c>
      <c r="DH564" s="67">
        <v>0</v>
      </c>
      <c r="DI564" s="67">
        <v>0</v>
      </c>
      <c r="DJ564" s="67"/>
      <c r="DK564" s="67">
        <v>0</v>
      </c>
      <c r="DL564" s="67">
        <v>0</v>
      </c>
      <c r="DM564" s="67">
        <v>0</v>
      </c>
      <c r="DN564" s="67"/>
      <c r="DO564" s="67"/>
      <c r="DP564" s="67"/>
      <c r="DQ564" s="67">
        <v>0</v>
      </c>
      <c r="DR564" s="67">
        <v>0</v>
      </c>
      <c r="DS564" s="67"/>
      <c r="DT564" s="67"/>
      <c r="DU564" s="67">
        <v>0</v>
      </c>
      <c r="DV564" s="67">
        <v>0</v>
      </c>
      <c r="DW564" s="67">
        <v>0</v>
      </c>
      <c r="DX564" s="67">
        <v>0</v>
      </c>
      <c r="DY564" s="67"/>
      <c r="DZ564" s="67">
        <v>0</v>
      </c>
      <c r="EA564" s="67"/>
      <c r="EB564" s="67">
        <v>0</v>
      </c>
      <c r="EC564" s="67"/>
      <c r="ED564" s="67">
        <v>0</v>
      </c>
      <c r="EE564" s="67"/>
      <c r="EF564" s="67">
        <v>0</v>
      </c>
      <c r="EG564" s="67"/>
      <c r="EH564" s="67"/>
      <c r="EI564" s="67"/>
      <c r="EJ564" s="67"/>
      <c r="EK564" s="67"/>
      <c r="EL564" s="67"/>
      <c r="EM564" s="67"/>
      <c r="EN564" s="67"/>
      <c r="EO564" s="67"/>
      <c r="EP564" s="67">
        <v>0</v>
      </c>
      <c r="EQ564" s="67">
        <v>0</v>
      </c>
      <c r="ER564" s="67">
        <v>0</v>
      </c>
      <c r="ES564" s="67"/>
      <c r="ET564">
        <v>0</v>
      </c>
      <c r="EX564" s="67"/>
      <c r="EY564" s="67"/>
      <c r="EZ564" s="67"/>
      <c r="FA564" s="67">
        <v>0</v>
      </c>
      <c r="FB564" s="67">
        <v>0</v>
      </c>
      <c r="FC564" s="67"/>
      <c r="FD564" s="67"/>
      <c r="FE564" s="67"/>
      <c r="FF564" s="67"/>
      <c r="FG564" s="67"/>
      <c r="FH564" s="67"/>
      <c r="FI564" s="67" t="s">
        <v>1734</v>
      </c>
    </row>
    <row r="565" spans="2:165" x14ac:dyDescent="0.2">
      <c r="B565" s="67" t="s">
        <v>1471</v>
      </c>
      <c r="C565" s="67"/>
      <c r="D565" s="67" t="s">
        <v>1472</v>
      </c>
      <c r="E565" s="67"/>
      <c r="F565" s="67" t="s">
        <v>1473</v>
      </c>
      <c r="G565" s="67" t="s">
        <v>345</v>
      </c>
      <c r="H565" s="67"/>
      <c r="I565" s="67"/>
      <c r="J565" s="67"/>
      <c r="K565" s="67"/>
      <c r="L565" s="67" t="s">
        <v>779</v>
      </c>
      <c r="M565" s="67" t="s">
        <v>1392</v>
      </c>
      <c r="N565" s="67"/>
      <c r="O565" s="67" t="s">
        <v>1606</v>
      </c>
      <c r="P565" s="67"/>
      <c r="Q565" s="67">
        <v>420</v>
      </c>
      <c r="R565" s="67">
        <v>0</v>
      </c>
      <c r="S565" s="67">
        <v>0</v>
      </c>
      <c r="T565" s="67">
        <v>320</v>
      </c>
      <c r="U565" s="67">
        <v>0</v>
      </c>
      <c r="V565" s="67">
        <v>0</v>
      </c>
      <c r="W565" s="67">
        <v>0</v>
      </c>
      <c r="X565" s="67">
        <v>0</v>
      </c>
      <c r="Y565" s="67">
        <v>0</v>
      </c>
      <c r="Z565" s="67">
        <v>0</v>
      </c>
      <c r="AA565" s="67">
        <v>0</v>
      </c>
      <c r="AB565" s="67">
        <v>0</v>
      </c>
      <c r="AC565" s="67">
        <v>0</v>
      </c>
      <c r="AD565" s="67">
        <v>0</v>
      </c>
      <c r="AE565" s="67">
        <v>0</v>
      </c>
      <c r="AF565" s="67">
        <v>0</v>
      </c>
      <c r="AG565" s="67">
        <v>100</v>
      </c>
      <c r="AH565" s="67">
        <v>0</v>
      </c>
      <c r="AI565" s="67">
        <v>0</v>
      </c>
      <c r="AJ565" s="67">
        <v>0</v>
      </c>
      <c r="AK565" s="67">
        <v>0</v>
      </c>
      <c r="AL565" s="67">
        <v>0</v>
      </c>
      <c r="AM565" s="67">
        <v>0</v>
      </c>
      <c r="AN565" s="67">
        <v>0</v>
      </c>
      <c r="AO565" s="67">
        <v>0</v>
      </c>
      <c r="AP565" s="67">
        <v>0</v>
      </c>
      <c r="AQ565" s="67">
        <v>0</v>
      </c>
      <c r="AR565" s="67">
        <v>0</v>
      </c>
      <c r="AS565" s="67">
        <v>0</v>
      </c>
      <c r="AT565" s="67"/>
      <c r="AU565" s="67"/>
      <c r="AV565" s="67"/>
      <c r="AW565" s="67">
        <v>0</v>
      </c>
      <c r="AX565" s="67">
        <v>0</v>
      </c>
      <c r="AY565" s="67"/>
      <c r="AZ565" s="67"/>
      <c r="BA565" s="67"/>
      <c r="BB565" s="67"/>
      <c r="BC565" s="67"/>
      <c r="BD565" s="67"/>
      <c r="BE565" s="67"/>
      <c r="BG565" s="67"/>
      <c r="BH565" s="67"/>
      <c r="BI565" s="67"/>
      <c r="BJ565" s="67">
        <v>0</v>
      </c>
      <c r="BK565" s="67"/>
      <c r="BL565" s="67"/>
      <c r="BP565" s="67"/>
      <c r="BQ565" s="67">
        <v>0</v>
      </c>
      <c r="BR565" s="67"/>
      <c r="BS565" s="67"/>
      <c r="BT565" s="67">
        <v>0</v>
      </c>
      <c r="BU565" s="67">
        <v>0</v>
      </c>
      <c r="BV565" s="67"/>
      <c r="BW565" s="67"/>
      <c r="BX565" s="67">
        <v>0</v>
      </c>
      <c r="BY565" s="67">
        <v>0</v>
      </c>
      <c r="BZ565" s="67">
        <v>0</v>
      </c>
      <c r="CA565" s="67"/>
      <c r="CB565" s="67">
        <v>0</v>
      </c>
      <c r="CC565" s="67"/>
      <c r="CD565" s="67"/>
      <c r="CE565" s="67">
        <v>0</v>
      </c>
      <c r="CF565" s="67"/>
      <c r="CG565" s="67"/>
      <c r="CH565" s="67"/>
      <c r="CI565" s="67"/>
      <c r="CJ565" s="67"/>
      <c r="CK565" s="67">
        <v>0</v>
      </c>
      <c r="CL565" s="67"/>
      <c r="CM565" s="67"/>
      <c r="CN565" s="67"/>
      <c r="CO565" s="67">
        <v>0</v>
      </c>
      <c r="CP565" s="67"/>
      <c r="CQ565" s="67"/>
      <c r="CR565" s="67"/>
      <c r="CS565" s="67"/>
      <c r="CT565" s="67"/>
      <c r="CU565" s="67">
        <v>0</v>
      </c>
      <c r="CV565" s="67"/>
      <c r="CW565" s="67"/>
      <c r="CX565" s="67"/>
      <c r="CY565" s="67">
        <v>0</v>
      </c>
      <c r="CZ565" s="67"/>
      <c r="DA565" s="67"/>
      <c r="DB565" s="67"/>
      <c r="DC565" s="67"/>
      <c r="DF565" s="67"/>
      <c r="DG565" s="67">
        <v>0</v>
      </c>
      <c r="DH565" s="67">
        <v>0</v>
      </c>
      <c r="DI565" s="67">
        <v>0</v>
      </c>
      <c r="DJ565" s="67"/>
      <c r="DK565" s="67">
        <v>0</v>
      </c>
      <c r="DL565" s="67">
        <v>0</v>
      </c>
      <c r="DM565" s="67">
        <v>0</v>
      </c>
      <c r="DN565" s="67"/>
      <c r="DO565" s="67"/>
      <c r="DP565" s="67"/>
      <c r="DQ565" s="67">
        <v>0</v>
      </c>
      <c r="DR565" s="67">
        <v>0</v>
      </c>
      <c r="DS565" s="67"/>
      <c r="DT565" s="67"/>
      <c r="DU565" s="67">
        <v>0</v>
      </c>
      <c r="DV565" s="67">
        <v>0</v>
      </c>
      <c r="DW565" s="67">
        <v>0</v>
      </c>
      <c r="DX565" s="67">
        <v>0</v>
      </c>
      <c r="DY565" s="67"/>
      <c r="DZ565" s="67">
        <v>0</v>
      </c>
      <c r="EA565" s="67"/>
      <c r="EB565" s="67">
        <v>0</v>
      </c>
      <c r="EC565" s="67"/>
      <c r="ED565" s="67">
        <v>0</v>
      </c>
      <c r="EE565" s="67"/>
      <c r="EF565" s="67">
        <v>0</v>
      </c>
      <c r="EG565" s="67"/>
      <c r="EH565" s="67"/>
      <c r="EI565" s="67"/>
      <c r="EJ565" s="67"/>
      <c r="EK565" s="67"/>
      <c r="EL565" s="67"/>
      <c r="EM565" s="67"/>
      <c r="EN565" s="67"/>
      <c r="EO565" s="67"/>
      <c r="EP565" s="67">
        <v>0</v>
      </c>
      <c r="EQ565" s="67">
        <v>50</v>
      </c>
      <c r="ER565" s="67">
        <v>50</v>
      </c>
      <c r="ES565" s="67"/>
      <c r="ET565">
        <v>0</v>
      </c>
      <c r="EX565" s="67"/>
      <c r="EY565" s="67"/>
      <c r="EZ565" s="67"/>
      <c r="FA565" s="67">
        <v>420</v>
      </c>
      <c r="FB565" s="67">
        <v>0</v>
      </c>
      <c r="FC565" s="67"/>
      <c r="FD565" s="67"/>
      <c r="FE565" s="67"/>
      <c r="FF565" s="67"/>
      <c r="FG565" s="67"/>
      <c r="FH565" s="67"/>
      <c r="FI565" s="67" t="s">
        <v>1734</v>
      </c>
    </row>
    <row r="566" spans="2:165" ht="24" x14ac:dyDescent="0.2">
      <c r="B566" s="67" t="s">
        <v>1474</v>
      </c>
      <c r="C566" s="67"/>
      <c r="D566" s="67" t="s">
        <v>664</v>
      </c>
      <c r="E566" s="67" t="s">
        <v>13</v>
      </c>
      <c r="F566" s="67" t="s">
        <v>1241</v>
      </c>
      <c r="G566" s="67" t="s">
        <v>345</v>
      </c>
      <c r="H566" s="67"/>
      <c r="I566" s="67"/>
      <c r="J566" s="67"/>
      <c r="K566" s="67"/>
      <c r="L566" s="67" t="s">
        <v>1242</v>
      </c>
      <c r="M566" s="67" t="s">
        <v>1447</v>
      </c>
      <c r="N566" s="67"/>
      <c r="O566" s="67" t="s">
        <v>1605</v>
      </c>
      <c r="P566" s="67" t="s">
        <v>942</v>
      </c>
      <c r="Q566" s="67">
        <v>0</v>
      </c>
      <c r="R566" s="67">
        <v>0</v>
      </c>
      <c r="S566" s="67">
        <v>0</v>
      </c>
      <c r="T566" s="67">
        <v>0</v>
      </c>
      <c r="U566" s="67">
        <v>0</v>
      </c>
      <c r="V566" s="67">
        <v>0</v>
      </c>
      <c r="W566" s="67">
        <v>0</v>
      </c>
      <c r="X566" s="67">
        <v>0</v>
      </c>
      <c r="Y566" s="67">
        <v>0</v>
      </c>
      <c r="Z566" s="67">
        <v>0</v>
      </c>
      <c r="AA566" s="67">
        <v>0</v>
      </c>
      <c r="AB566" s="67">
        <v>0</v>
      </c>
      <c r="AC566" s="67">
        <v>0</v>
      </c>
      <c r="AD566" s="67">
        <v>0</v>
      </c>
      <c r="AE566" s="67">
        <v>0</v>
      </c>
      <c r="AF566" s="67">
        <v>0</v>
      </c>
      <c r="AG566" s="67">
        <v>0</v>
      </c>
      <c r="AH566" s="67">
        <v>0</v>
      </c>
      <c r="AI566" s="67">
        <v>0</v>
      </c>
      <c r="AJ566" s="67">
        <v>0</v>
      </c>
      <c r="AK566" s="67">
        <v>0</v>
      </c>
      <c r="AL566" s="67">
        <v>0</v>
      </c>
      <c r="AM566" s="67">
        <v>0</v>
      </c>
      <c r="AN566" s="67">
        <v>0</v>
      </c>
      <c r="AO566" s="67">
        <v>0</v>
      </c>
      <c r="AP566" s="67">
        <v>0</v>
      </c>
      <c r="AQ566" s="67">
        <v>0</v>
      </c>
      <c r="AR566" s="67">
        <v>0</v>
      </c>
      <c r="AS566" s="67">
        <v>0</v>
      </c>
      <c r="AT566" s="67"/>
      <c r="AU566" s="67"/>
      <c r="AV566" s="67"/>
      <c r="AW566" s="67">
        <v>0</v>
      </c>
      <c r="AX566" s="67">
        <v>0</v>
      </c>
      <c r="AY566" s="67"/>
      <c r="AZ566" s="67"/>
      <c r="BA566" s="67"/>
      <c r="BB566" s="67"/>
      <c r="BC566" s="67"/>
      <c r="BD566" s="67"/>
      <c r="BE566" s="67"/>
      <c r="BG566" s="67"/>
      <c r="BH566" s="67"/>
      <c r="BI566" s="67"/>
      <c r="BJ566" s="67">
        <v>0</v>
      </c>
      <c r="BK566" s="67"/>
      <c r="BL566" s="67"/>
      <c r="BP566" s="67"/>
      <c r="BQ566" s="67">
        <v>0</v>
      </c>
      <c r="BR566" s="67"/>
      <c r="BS566" s="67"/>
      <c r="BT566" s="67">
        <v>0</v>
      </c>
      <c r="BU566" s="67">
        <v>0</v>
      </c>
      <c r="BV566" s="67"/>
      <c r="BW566" s="67"/>
      <c r="BX566" s="67">
        <v>0</v>
      </c>
      <c r="BY566" s="67">
        <v>0</v>
      </c>
      <c r="BZ566" s="67">
        <v>0</v>
      </c>
      <c r="CA566" s="67"/>
      <c r="CB566" s="67">
        <v>0</v>
      </c>
      <c r="CC566" s="67"/>
      <c r="CD566" s="67"/>
      <c r="CE566" s="67">
        <v>0</v>
      </c>
      <c r="CF566" s="67"/>
      <c r="CG566" s="67"/>
      <c r="CH566" s="67"/>
      <c r="CI566" s="67"/>
      <c r="CJ566" s="67"/>
      <c r="CK566" s="67">
        <v>0</v>
      </c>
      <c r="CL566" s="67"/>
      <c r="CM566" s="67"/>
      <c r="CN566" s="67"/>
      <c r="CO566" s="67">
        <v>0</v>
      </c>
      <c r="CP566" s="67"/>
      <c r="CQ566" s="67"/>
      <c r="CR566" s="67"/>
      <c r="CS566" s="67"/>
      <c r="CT566" s="67"/>
      <c r="CU566" s="67">
        <v>0</v>
      </c>
      <c r="CV566" s="67"/>
      <c r="CW566" s="67"/>
      <c r="CX566" s="67"/>
      <c r="CY566" s="67">
        <v>0</v>
      </c>
      <c r="CZ566" s="67"/>
      <c r="DA566" s="67"/>
      <c r="DB566" s="67"/>
      <c r="DC566" s="67"/>
      <c r="DF566" s="67"/>
      <c r="DG566" s="67">
        <v>0</v>
      </c>
      <c r="DH566" s="67">
        <v>0</v>
      </c>
      <c r="DI566" s="67">
        <v>0</v>
      </c>
      <c r="DJ566" s="67"/>
      <c r="DK566" s="67">
        <v>0</v>
      </c>
      <c r="DL566" s="67">
        <v>0</v>
      </c>
      <c r="DM566" s="67">
        <v>0</v>
      </c>
      <c r="DN566" s="67"/>
      <c r="DO566" s="67"/>
      <c r="DP566" s="67"/>
      <c r="DQ566" s="67">
        <v>0</v>
      </c>
      <c r="DR566" s="67">
        <v>0</v>
      </c>
      <c r="DS566" s="67"/>
      <c r="DT566" s="67"/>
      <c r="DU566" s="67">
        <v>0</v>
      </c>
      <c r="DV566" s="67">
        <v>0</v>
      </c>
      <c r="DW566" s="67">
        <v>0</v>
      </c>
      <c r="DX566" s="67">
        <v>0</v>
      </c>
      <c r="DY566" s="67"/>
      <c r="DZ566" s="67">
        <v>0</v>
      </c>
      <c r="EA566" s="67"/>
      <c r="EB566" s="67">
        <v>0</v>
      </c>
      <c r="EC566" s="67"/>
      <c r="ED566" s="67">
        <v>0</v>
      </c>
      <c r="EE566" s="67"/>
      <c r="EF566" s="67">
        <v>0</v>
      </c>
      <c r="EG566" s="67"/>
      <c r="EH566" s="67"/>
      <c r="EI566" s="67"/>
      <c r="EJ566" s="67"/>
      <c r="EK566" s="67"/>
      <c r="EL566" s="67"/>
      <c r="EM566" s="67"/>
      <c r="EN566" s="67"/>
      <c r="EO566" s="67"/>
      <c r="EP566" s="67">
        <v>0</v>
      </c>
      <c r="EQ566" s="67">
        <v>0</v>
      </c>
      <c r="ER566" s="67">
        <v>0</v>
      </c>
      <c r="ES566" s="67"/>
      <c r="ET566">
        <v>0</v>
      </c>
      <c r="EX566" s="67"/>
      <c r="EY566" s="67"/>
      <c r="EZ566" s="67"/>
      <c r="FA566" s="67">
        <v>0</v>
      </c>
      <c r="FB566" s="67">
        <v>0</v>
      </c>
      <c r="FC566" s="67"/>
      <c r="FD566" s="67"/>
      <c r="FE566" s="67"/>
      <c r="FF566" s="67"/>
      <c r="FG566" s="67"/>
      <c r="FH566" s="67"/>
      <c r="FI566" s="67" t="s">
        <v>1734</v>
      </c>
    </row>
    <row r="567" spans="2:165" x14ac:dyDescent="0.2">
      <c r="B567" s="67" t="s">
        <v>1475</v>
      </c>
      <c r="C567" s="67"/>
      <c r="D567" s="67" t="s">
        <v>1476</v>
      </c>
      <c r="E567" s="67"/>
      <c r="F567" s="67"/>
      <c r="G567" s="67" t="s">
        <v>694</v>
      </c>
      <c r="H567" s="67"/>
      <c r="I567" s="67"/>
      <c r="J567" s="67"/>
      <c r="K567" s="67" t="s">
        <v>733</v>
      </c>
      <c r="L567" s="67"/>
      <c r="M567" s="67"/>
      <c r="N567" s="67"/>
      <c r="O567" s="67" t="s">
        <v>1605</v>
      </c>
      <c r="P567" s="67"/>
      <c r="Q567" s="67">
        <v>0</v>
      </c>
      <c r="R567" s="67">
        <v>0</v>
      </c>
      <c r="S567" s="67">
        <v>0</v>
      </c>
      <c r="T567" s="67">
        <v>0</v>
      </c>
      <c r="U567" s="67">
        <v>0</v>
      </c>
      <c r="V567" s="67">
        <v>0</v>
      </c>
      <c r="W567" s="67">
        <v>0</v>
      </c>
      <c r="X567" s="67">
        <v>0</v>
      </c>
      <c r="Y567" s="67">
        <v>0</v>
      </c>
      <c r="Z567" s="67">
        <v>0</v>
      </c>
      <c r="AA567" s="67">
        <v>0</v>
      </c>
      <c r="AB567" s="67">
        <v>0</v>
      </c>
      <c r="AC567" s="67">
        <v>0</v>
      </c>
      <c r="AD567" s="67">
        <v>0</v>
      </c>
      <c r="AE567" s="67">
        <v>0</v>
      </c>
      <c r="AF567" s="67">
        <v>0</v>
      </c>
      <c r="AG567" s="67">
        <v>0</v>
      </c>
      <c r="AH567" s="67">
        <v>0</v>
      </c>
      <c r="AI567" s="67">
        <v>0</v>
      </c>
      <c r="AJ567" s="67">
        <v>0</v>
      </c>
      <c r="AK567" s="67">
        <v>0</v>
      </c>
      <c r="AL567" s="67">
        <v>0</v>
      </c>
      <c r="AM567" s="67">
        <v>0</v>
      </c>
      <c r="AN567" s="67">
        <v>0</v>
      </c>
      <c r="AO567" s="67">
        <v>0</v>
      </c>
      <c r="AP567" s="67">
        <v>0</v>
      </c>
      <c r="AQ567" s="67">
        <v>0</v>
      </c>
      <c r="AR567" s="67">
        <v>0</v>
      </c>
      <c r="AS567" s="67">
        <v>0</v>
      </c>
      <c r="AT567" s="67"/>
      <c r="AU567" s="67"/>
      <c r="AV567" s="67"/>
      <c r="AW567" s="67">
        <v>0</v>
      </c>
      <c r="AX567" s="67">
        <v>0</v>
      </c>
      <c r="AY567" s="67"/>
      <c r="AZ567" s="67"/>
      <c r="BA567" s="67"/>
      <c r="BB567" s="67"/>
      <c r="BC567" s="67"/>
      <c r="BD567" s="67"/>
      <c r="BE567" s="67"/>
      <c r="BG567" s="67"/>
      <c r="BH567" s="67"/>
      <c r="BI567" s="67"/>
      <c r="BJ567" s="67">
        <v>0</v>
      </c>
      <c r="BK567" s="67"/>
      <c r="BL567" s="67"/>
      <c r="BP567" s="67"/>
      <c r="BQ567" s="67">
        <v>0</v>
      </c>
      <c r="BR567" s="67"/>
      <c r="BS567" s="67"/>
      <c r="BT567" s="67">
        <v>0</v>
      </c>
      <c r="BU567" s="67">
        <v>0</v>
      </c>
      <c r="BV567" s="67"/>
      <c r="BW567" s="67"/>
      <c r="BX567" s="67">
        <v>0</v>
      </c>
      <c r="BY567" s="67">
        <v>0</v>
      </c>
      <c r="BZ567" s="67">
        <v>0</v>
      </c>
      <c r="CA567" s="67"/>
      <c r="CB567" s="67">
        <v>0</v>
      </c>
      <c r="CC567" s="67"/>
      <c r="CD567" s="67"/>
      <c r="CE567" s="67">
        <v>0</v>
      </c>
      <c r="CF567" s="67"/>
      <c r="CG567" s="67"/>
      <c r="CH567" s="67"/>
      <c r="CI567" s="67"/>
      <c r="CJ567" s="67"/>
      <c r="CK567" s="67">
        <v>0</v>
      </c>
      <c r="CL567" s="67"/>
      <c r="CM567" s="67"/>
      <c r="CN567" s="67"/>
      <c r="CO567" s="67">
        <v>0</v>
      </c>
      <c r="CP567" s="67"/>
      <c r="CQ567" s="67"/>
      <c r="CR567" s="67"/>
      <c r="CS567" s="67"/>
      <c r="CT567" s="67"/>
      <c r="CU567" s="67">
        <v>0</v>
      </c>
      <c r="CV567" s="67"/>
      <c r="CW567" s="67"/>
      <c r="CX567" s="67"/>
      <c r="CY567" s="67">
        <v>0</v>
      </c>
      <c r="CZ567" s="67"/>
      <c r="DA567" s="67"/>
      <c r="DB567" s="67"/>
      <c r="DC567" s="67"/>
      <c r="DF567" s="67"/>
      <c r="DG567" s="67">
        <v>0</v>
      </c>
      <c r="DH567" s="67">
        <v>0</v>
      </c>
      <c r="DI567" s="67">
        <v>0</v>
      </c>
      <c r="DJ567" s="67"/>
      <c r="DK567" s="67">
        <v>0</v>
      </c>
      <c r="DL567" s="67">
        <v>0</v>
      </c>
      <c r="DM567" s="67">
        <v>0</v>
      </c>
      <c r="DN567" s="67"/>
      <c r="DO567" s="67"/>
      <c r="DP567" s="67"/>
      <c r="DQ567" s="67">
        <v>0</v>
      </c>
      <c r="DR567" s="67">
        <v>0</v>
      </c>
      <c r="DS567" s="67"/>
      <c r="DT567" s="67"/>
      <c r="DU567" s="67">
        <v>0</v>
      </c>
      <c r="DV567" s="67">
        <v>0</v>
      </c>
      <c r="DW567" s="67">
        <v>0</v>
      </c>
      <c r="DX567" s="67">
        <v>0</v>
      </c>
      <c r="DY567" s="67"/>
      <c r="DZ567" s="67">
        <v>0</v>
      </c>
      <c r="EA567" s="67"/>
      <c r="EB567" s="67">
        <v>0</v>
      </c>
      <c r="EC567" s="67"/>
      <c r="ED567" s="67">
        <v>0</v>
      </c>
      <c r="EE567" s="67"/>
      <c r="EF567" s="67">
        <v>0</v>
      </c>
      <c r="EG567" s="67"/>
      <c r="EH567" s="67"/>
      <c r="EI567" s="67"/>
      <c r="EJ567" s="67"/>
      <c r="EK567" s="67"/>
      <c r="EL567" s="67"/>
      <c r="EM567" s="67"/>
      <c r="EN567" s="67"/>
      <c r="EO567" s="67"/>
      <c r="EP567" s="67">
        <v>0</v>
      </c>
      <c r="EQ567" s="67">
        <v>0</v>
      </c>
      <c r="ER567" s="67">
        <v>0</v>
      </c>
      <c r="ES567" s="67"/>
      <c r="ET567">
        <v>0</v>
      </c>
      <c r="EX567" s="67"/>
      <c r="EY567" s="67"/>
      <c r="EZ567" s="67"/>
      <c r="FA567" s="67">
        <v>0</v>
      </c>
      <c r="FB567" s="67">
        <v>0</v>
      </c>
      <c r="FC567" s="67"/>
      <c r="FD567" s="67"/>
      <c r="FE567" s="67"/>
      <c r="FF567" s="67"/>
      <c r="FG567" s="67"/>
      <c r="FH567" s="67"/>
      <c r="FI567" s="67" t="s">
        <v>1734</v>
      </c>
    </row>
    <row r="568" spans="2:165" x14ac:dyDescent="0.2">
      <c r="B568" s="67" t="s">
        <v>1477</v>
      </c>
      <c r="C568" s="67"/>
      <c r="D568" s="67" t="s">
        <v>1478</v>
      </c>
      <c r="E568" s="67" t="s">
        <v>20</v>
      </c>
      <c r="F568" s="67"/>
      <c r="G568" s="67" t="s">
        <v>694</v>
      </c>
      <c r="H568" s="67"/>
      <c r="I568" s="67"/>
      <c r="J568" s="67"/>
      <c r="K568" s="67" t="s">
        <v>733</v>
      </c>
      <c r="L568" s="67"/>
      <c r="M568" s="67"/>
      <c r="N568" s="67"/>
      <c r="O568" s="67" t="s">
        <v>1605</v>
      </c>
      <c r="P568" s="67"/>
      <c r="Q568" s="67">
        <v>0</v>
      </c>
      <c r="R568" s="67">
        <v>0</v>
      </c>
      <c r="S568" s="67">
        <v>0</v>
      </c>
      <c r="T568" s="67">
        <v>0</v>
      </c>
      <c r="U568" s="67">
        <v>0</v>
      </c>
      <c r="V568" s="67">
        <v>0</v>
      </c>
      <c r="W568" s="67">
        <v>0</v>
      </c>
      <c r="X568" s="67">
        <v>0</v>
      </c>
      <c r="Y568" s="67">
        <v>0</v>
      </c>
      <c r="Z568" s="67">
        <v>0</v>
      </c>
      <c r="AA568" s="67">
        <v>0</v>
      </c>
      <c r="AB568" s="67">
        <v>0</v>
      </c>
      <c r="AC568" s="67">
        <v>0</v>
      </c>
      <c r="AD568" s="67">
        <v>0</v>
      </c>
      <c r="AE568" s="67">
        <v>0</v>
      </c>
      <c r="AF568" s="67">
        <v>0</v>
      </c>
      <c r="AG568" s="67">
        <v>0</v>
      </c>
      <c r="AH568" s="67">
        <v>0</v>
      </c>
      <c r="AI568" s="67">
        <v>0</v>
      </c>
      <c r="AJ568" s="67">
        <v>0</v>
      </c>
      <c r="AK568" s="67">
        <v>0</v>
      </c>
      <c r="AL568" s="67">
        <v>0</v>
      </c>
      <c r="AM568" s="67">
        <v>0</v>
      </c>
      <c r="AN568" s="67">
        <v>0</v>
      </c>
      <c r="AO568" s="67">
        <v>0</v>
      </c>
      <c r="AP568" s="67">
        <v>0</v>
      </c>
      <c r="AQ568" s="67">
        <v>0</v>
      </c>
      <c r="AR568" s="67">
        <v>0</v>
      </c>
      <c r="AS568" s="67">
        <v>0</v>
      </c>
      <c r="AT568" s="67"/>
      <c r="AU568" s="67"/>
      <c r="AV568" s="67"/>
      <c r="AW568" s="67">
        <v>0</v>
      </c>
      <c r="AX568" s="67">
        <v>0</v>
      </c>
      <c r="AY568" s="67"/>
      <c r="AZ568" s="67"/>
      <c r="BA568" s="67"/>
      <c r="BB568" s="67"/>
      <c r="BC568" s="67"/>
      <c r="BD568" s="67"/>
      <c r="BE568" s="67"/>
      <c r="BG568" s="67"/>
      <c r="BH568" s="67"/>
      <c r="BI568" s="67"/>
      <c r="BJ568" s="67">
        <v>0</v>
      </c>
      <c r="BK568" s="67"/>
      <c r="BL568" s="67"/>
      <c r="BP568" s="67"/>
      <c r="BQ568" s="67">
        <v>0</v>
      </c>
      <c r="BR568" s="67"/>
      <c r="BS568" s="67"/>
      <c r="BT568" s="67">
        <v>0</v>
      </c>
      <c r="BU568" s="67">
        <v>0</v>
      </c>
      <c r="BV568" s="67"/>
      <c r="BW568" s="67"/>
      <c r="BX568" s="67">
        <v>0</v>
      </c>
      <c r="BY568" s="67">
        <v>0</v>
      </c>
      <c r="BZ568" s="67">
        <v>0</v>
      </c>
      <c r="CA568" s="67"/>
      <c r="CB568" s="67">
        <v>0</v>
      </c>
      <c r="CC568" s="67"/>
      <c r="CD568" s="67"/>
      <c r="CE568" s="67">
        <v>0</v>
      </c>
      <c r="CF568" s="67"/>
      <c r="CG568" s="67"/>
      <c r="CH568" s="67"/>
      <c r="CI568" s="67"/>
      <c r="CJ568" s="67"/>
      <c r="CK568" s="67">
        <v>0</v>
      </c>
      <c r="CL568" s="67"/>
      <c r="CM568" s="67"/>
      <c r="CN568" s="67"/>
      <c r="CO568" s="67">
        <v>0</v>
      </c>
      <c r="CP568" s="67"/>
      <c r="CQ568" s="67"/>
      <c r="CR568" s="67"/>
      <c r="CS568" s="67"/>
      <c r="CT568" s="67"/>
      <c r="CU568" s="67">
        <v>0</v>
      </c>
      <c r="CV568" s="67"/>
      <c r="CW568" s="67"/>
      <c r="CX568" s="67"/>
      <c r="CY568" s="67">
        <v>0</v>
      </c>
      <c r="CZ568" s="67"/>
      <c r="DA568" s="67"/>
      <c r="DB568" s="67"/>
      <c r="DC568" s="67"/>
      <c r="DF568" s="67"/>
      <c r="DG568" s="67">
        <v>0</v>
      </c>
      <c r="DH568" s="67">
        <v>0</v>
      </c>
      <c r="DI568" s="67">
        <v>0</v>
      </c>
      <c r="DJ568" s="67"/>
      <c r="DK568" s="67">
        <v>0</v>
      </c>
      <c r="DL568" s="67">
        <v>0</v>
      </c>
      <c r="DM568" s="67">
        <v>0</v>
      </c>
      <c r="DN568" s="67"/>
      <c r="DO568" s="67"/>
      <c r="DP568" s="67"/>
      <c r="DQ568" s="67">
        <v>0</v>
      </c>
      <c r="DR568" s="67">
        <v>0</v>
      </c>
      <c r="DS568" s="67"/>
      <c r="DT568" s="67"/>
      <c r="DU568" s="67">
        <v>0</v>
      </c>
      <c r="DV568" s="67">
        <v>0</v>
      </c>
      <c r="DW568" s="67">
        <v>0</v>
      </c>
      <c r="DX568" s="67">
        <v>0</v>
      </c>
      <c r="DY568" s="67"/>
      <c r="DZ568" s="67">
        <v>0</v>
      </c>
      <c r="EA568" s="67"/>
      <c r="EB568" s="67">
        <v>0</v>
      </c>
      <c r="EC568" s="67"/>
      <c r="ED568" s="67">
        <v>0</v>
      </c>
      <c r="EE568" s="67"/>
      <c r="EF568" s="67">
        <v>0</v>
      </c>
      <c r="EG568" s="67"/>
      <c r="EH568" s="67"/>
      <c r="EI568" s="67"/>
      <c r="EJ568" s="67"/>
      <c r="EK568" s="67"/>
      <c r="EL568" s="67"/>
      <c r="EM568" s="67"/>
      <c r="EN568" s="67"/>
      <c r="EO568" s="67"/>
      <c r="EP568" s="67">
        <v>0</v>
      </c>
      <c r="EQ568" s="67">
        <v>0</v>
      </c>
      <c r="ER568" s="67">
        <v>0</v>
      </c>
      <c r="ES568" s="67"/>
      <c r="ET568">
        <v>0</v>
      </c>
      <c r="EX568" s="67"/>
      <c r="EY568" s="67"/>
      <c r="EZ568" s="67"/>
      <c r="FA568" s="67">
        <v>0</v>
      </c>
      <c r="FB568" s="67">
        <v>0</v>
      </c>
      <c r="FC568" s="67"/>
      <c r="FD568" s="67"/>
      <c r="FE568" s="67"/>
      <c r="FF568" s="67"/>
      <c r="FG568" s="67"/>
      <c r="FH568" s="67"/>
      <c r="FI568" s="67" t="s">
        <v>1734</v>
      </c>
    </row>
    <row r="569" spans="2:165" x14ac:dyDescent="0.2">
      <c r="B569" s="67" t="s">
        <v>1479</v>
      </c>
      <c r="C569" s="67"/>
      <c r="D569" s="67" t="s">
        <v>1480</v>
      </c>
      <c r="E569" s="67" t="s">
        <v>20</v>
      </c>
      <c r="F569" s="67"/>
      <c r="G569" s="67" t="s">
        <v>694</v>
      </c>
      <c r="H569" s="67"/>
      <c r="I569" s="67"/>
      <c r="J569" s="67"/>
      <c r="K569" s="67" t="s">
        <v>733</v>
      </c>
      <c r="L569" s="67"/>
      <c r="M569" s="67"/>
      <c r="N569" s="67"/>
      <c r="O569" s="67" t="s">
        <v>1605</v>
      </c>
      <c r="P569" s="67"/>
      <c r="Q569" s="67">
        <v>0</v>
      </c>
      <c r="R569" s="67">
        <v>0</v>
      </c>
      <c r="S569" s="67">
        <v>0</v>
      </c>
      <c r="T569" s="67">
        <v>0</v>
      </c>
      <c r="U569" s="67">
        <v>0</v>
      </c>
      <c r="V569" s="67">
        <v>0</v>
      </c>
      <c r="W569" s="67">
        <v>0</v>
      </c>
      <c r="X569" s="67">
        <v>0</v>
      </c>
      <c r="Y569" s="67">
        <v>0</v>
      </c>
      <c r="Z569" s="67">
        <v>0</v>
      </c>
      <c r="AA569" s="67">
        <v>0</v>
      </c>
      <c r="AB569" s="67">
        <v>0</v>
      </c>
      <c r="AC569" s="67">
        <v>0</v>
      </c>
      <c r="AD569" s="67">
        <v>0</v>
      </c>
      <c r="AE569" s="67">
        <v>0</v>
      </c>
      <c r="AF569" s="67">
        <v>0</v>
      </c>
      <c r="AG569" s="67">
        <v>0</v>
      </c>
      <c r="AH569" s="67">
        <v>0</v>
      </c>
      <c r="AI569" s="67">
        <v>0</v>
      </c>
      <c r="AJ569" s="67">
        <v>0</v>
      </c>
      <c r="AK569" s="67">
        <v>0</v>
      </c>
      <c r="AL569" s="67">
        <v>0</v>
      </c>
      <c r="AM569" s="67">
        <v>0</v>
      </c>
      <c r="AN569" s="67">
        <v>0</v>
      </c>
      <c r="AO569" s="67">
        <v>0</v>
      </c>
      <c r="AP569" s="67">
        <v>0</v>
      </c>
      <c r="AQ569" s="67">
        <v>0</v>
      </c>
      <c r="AR569" s="67">
        <v>0</v>
      </c>
      <c r="AS569" s="67">
        <v>0</v>
      </c>
      <c r="AT569" s="67"/>
      <c r="AU569" s="67"/>
      <c r="AV569" s="67"/>
      <c r="AW569" s="67">
        <v>0</v>
      </c>
      <c r="AX569" s="67">
        <v>0</v>
      </c>
      <c r="AY569" s="67"/>
      <c r="AZ569" s="67"/>
      <c r="BA569" s="67"/>
      <c r="BB569" s="67"/>
      <c r="BC569" s="67"/>
      <c r="BD569" s="67"/>
      <c r="BE569" s="67"/>
      <c r="BG569" s="67"/>
      <c r="BH569" s="67"/>
      <c r="BI569" s="67"/>
      <c r="BJ569" s="67">
        <v>0</v>
      </c>
      <c r="BK569" s="67"/>
      <c r="BL569" s="67"/>
      <c r="BP569" s="67"/>
      <c r="BQ569" s="67">
        <v>0</v>
      </c>
      <c r="BR569" s="67"/>
      <c r="BS569" s="67"/>
      <c r="BT569" s="67">
        <v>0</v>
      </c>
      <c r="BU569" s="67">
        <v>0</v>
      </c>
      <c r="BV569" s="67"/>
      <c r="BW569" s="67"/>
      <c r="BX569" s="67">
        <v>0</v>
      </c>
      <c r="BY569" s="67">
        <v>0</v>
      </c>
      <c r="BZ569" s="67">
        <v>0</v>
      </c>
      <c r="CA569" s="67"/>
      <c r="CB569" s="67">
        <v>0</v>
      </c>
      <c r="CC569" s="67"/>
      <c r="CD569" s="67"/>
      <c r="CE569" s="67">
        <v>0</v>
      </c>
      <c r="CF569" s="67"/>
      <c r="CG569" s="67"/>
      <c r="CH569" s="67"/>
      <c r="CI569" s="67"/>
      <c r="CJ569" s="67"/>
      <c r="CK569" s="67">
        <v>0</v>
      </c>
      <c r="CL569" s="67"/>
      <c r="CM569" s="67"/>
      <c r="CN569" s="67"/>
      <c r="CO569" s="67">
        <v>0</v>
      </c>
      <c r="CP569" s="67"/>
      <c r="CQ569" s="67"/>
      <c r="CR569" s="67"/>
      <c r="CS569" s="67"/>
      <c r="CT569" s="67"/>
      <c r="CU569" s="67">
        <v>0</v>
      </c>
      <c r="CV569" s="67"/>
      <c r="CW569" s="67"/>
      <c r="CX569" s="67"/>
      <c r="CY569" s="67">
        <v>0</v>
      </c>
      <c r="CZ569" s="67"/>
      <c r="DA569" s="67"/>
      <c r="DB569" s="67"/>
      <c r="DC569" s="67"/>
      <c r="DF569" s="67"/>
      <c r="DG569" s="67">
        <v>0</v>
      </c>
      <c r="DH569" s="67">
        <v>0</v>
      </c>
      <c r="DI569" s="67">
        <v>0</v>
      </c>
      <c r="DJ569" s="67"/>
      <c r="DK569" s="67">
        <v>0</v>
      </c>
      <c r="DL569" s="67">
        <v>0</v>
      </c>
      <c r="DM569" s="67">
        <v>0</v>
      </c>
      <c r="DN569" s="67"/>
      <c r="DO569" s="67"/>
      <c r="DP569" s="67"/>
      <c r="DQ569" s="67">
        <v>0</v>
      </c>
      <c r="DR569" s="67">
        <v>0</v>
      </c>
      <c r="DS569" s="67"/>
      <c r="DT569" s="67"/>
      <c r="DU569" s="67">
        <v>0</v>
      </c>
      <c r="DV569" s="67">
        <v>0</v>
      </c>
      <c r="DW569" s="67">
        <v>0</v>
      </c>
      <c r="DX569" s="67">
        <v>0</v>
      </c>
      <c r="DY569" s="67"/>
      <c r="DZ569" s="67">
        <v>0</v>
      </c>
      <c r="EA569" s="67"/>
      <c r="EB569" s="67">
        <v>0</v>
      </c>
      <c r="EC569" s="67"/>
      <c r="ED569" s="67">
        <v>0</v>
      </c>
      <c r="EE569" s="67"/>
      <c r="EF569" s="67">
        <v>0</v>
      </c>
      <c r="EG569" s="67"/>
      <c r="EH569" s="67"/>
      <c r="EI569" s="67"/>
      <c r="EJ569" s="67"/>
      <c r="EK569" s="67"/>
      <c r="EL569" s="67"/>
      <c r="EM569" s="67"/>
      <c r="EN569" s="67"/>
      <c r="EO569" s="67"/>
      <c r="EP569" s="67">
        <v>0</v>
      </c>
      <c r="EQ569" s="67">
        <v>0</v>
      </c>
      <c r="ER569" s="67">
        <v>0</v>
      </c>
      <c r="ES569" s="67"/>
      <c r="ET569">
        <v>0</v>
      </c>
      <c r="EX569" s="67"/>
      <c r="EY569" s="67"/>
      <c r="EZ569" s="67"/>
      <c r="FA569" s="67">
        <v>0</v>
      </c>
      <c r="FB569" s="67">
        <v>0</v>
      </c>
      <c r="FC569" s="67"/>
      <c r="FD569" s="67"/>
      <c r="FE569" s="67"/>
      <c r="FF569" s="67"/>
      <c r="FG569" s="67"/>
      <c r="FH569" s="67"/>
      <c r="FI569" s="67" t="s">
        <v>1734</v>
      </c>
    </row>
    <row r="570" spans="2:165" x14ac:dyDescent="0.2">
      <c r="B570" s="67" t="s">
        <v>1481</v>
      </c>
      <c r="C570" s="67"/>
      <c r="D570" s="67" t="s">
        <v>1482</v>
      </c>
      <c r="E570" s="67" t="s">
        <v>20</v>
      </c>
      <c r="F570" s="67"/>
      <c r="G570" s="67" t="s">
        <v>694</v>
      </c>
      <c r="H570" s="67"/>
      <c r="I570" s="67"/>
      <c r="J570" s="67"/>
      <c r="K570" s="67" t="s">
        <v>733</v>
      </c>
      <c r="L570" s="67"/>
      <c r="M570" s="67"/>
      <c r="N570" s="67"/>
      <c r="O570" s="67" t="s">
        <v>1605</v>
      </c>
      <c r="P570" s="67"/>
      <c r="Q570" s="67">
        <v>0</v>
      </c>
      <c r="R570" s="67">
        <v>0</v>
      </c>
      <c r="S570" s="67">
        <v>0</v>
      </c>
      <c r="T570" s="67">
        <v>0</v>
      </c>
      <c r="U570" s="67">
        <v>0</v>
      </c>
      <c r="V570" s="67">
        <v>0</v>
      </c>
      <c r="W570" s="67">
        <v>0</v>
      </c>
      <c r="X570" s="67">
        <v>0</v>
      </c>
      <c r="Y570" s="67">
        <v>0</v>
      </c>
      <c r="Z570" s="67">
        <v>0</v>
      </c>
      <c r="AA570" s="67">
        <v>0</v>
      </c>
      <c r="AB570" s="67">
        <v>0</v>
      </c>
      <c r="AC570" s="67">
        <v>0</v>
      </c>
      <c r="AD570" s="67">
        <v>0</v>
      </c>
      <c r="AE570" s="67">
        <v>0</v>
      </c>
      <c r="AF570" s="67">
        <v>0</v>
      </c>
      <c r="AG570" s="67">
        <v>0</v>
      </c>
      <c r="AH570" s="67">
        <v>0</v>
      </c>
      <c r="AI570" s="67">
        <v>0</v>
      </c>
      <c r="AJ570" s="67">
        <v>0</v>
      </c>
      <c r="AK570" s="67">
        <v>0</v>
      </c>
      <c r="AL570" s="67">
        <v>0</v>
      </c>
      <c r="AM570" s="67">
        <v>0</v>
      </c>
      <c r="AN570" s="67">
        <v>0</v>
      </c>
      <c r="AO570" s="67">
        <v>0</v>
      </c>
      <c r="AP570" s="67">
        <v>0</v>
      </c>
      <c r="AQ570" s="67">
        <v>0</v>
      </c>
      <c r="AR570" s="67">
        <v>0</v>
      </c>
      <c r="AS570" s="67">
        <v>0</v>
      </c>
      <c r="AT570" s="67"/>
      <c r="AU570" s="67"/>
      <c r="AV570" s="67"/>
      <c r="AW570" s="67">
        <v>0</v>
      </c>
      <c r="AX570" s="67">
        <v>0</v>
      </c>
      <c r="AY570" s="67"/>
      <c r="AZ570" s="67"/>
      <c r="BA570" s="67"/>
      <c r="BB570" s="67"/>
      <c r="BC570" s="67"/>
      <c r="BD570" s="67"/>
      <c r="BE570" s="67"/>
      <c r="BG570" s="67"/>
      <c r="BH570" s="67"/>
      <c r="BI570" s="67"/>
      <c r="BJ570" s="67">
        <v>0</v>
      </c>
      <c r="BK570" s="67"/>
      <c r="BL570" s="67"/>
      <c r="BP570" s="67"/>
      <c r="BQ570" s="67">
        <v>0</v>
      </c>
      <c r="BR570" s="67"/>
      <c r="BS570" s="67"/>
      <c r="BT570" s="67">
        <v>0</v>
      </c>
      <c r="BU570" s="67">
        <v>0</v>
      </c>
      <c r="BV570" s="67"/>
      <c r="BW570" s="67"/>
      <c r="BX570" s="67">
        <v>0</v>
      </c>
      <c r="BY570" s="67">
        <v>0</v>
      </c>
      <c r="BZ570" s="67">
        <v>0</v>
      </c>
      <c r="CA570" s="67"/>
      <c r="CB570" s="67">
        <v>0</v>
      </c>
      <c r="CC570" s="67"/>
      <c r="CD570" s="67"/>
      <c r="CE570" s="67">
        <v>0</v>
      </c>
      <c r="CF570" s="67"/>
      <c r="CG570" s="67"/>
      <c r="CH570" s="67"/>
      <c r="CI570" s="67"/>
      <c r="CJ570" s="67"/>
      <c r="CK570" s="67">
        <v>0</v>
      </c>
      <c r="CL570" s="67"/>
      <c r="CM570" s="67"/>
      <c r="CN570" s="67"/>
      <c r="CO570" s="67">
        <v>0</v>
      </c>
      <c r="CP570" s="67"/>
      <c r="CQ570" s="67"/>
      <c r="CR570" s="67"/>
      <c r="CS570" s="67"/>
      <c r="CT570" s="67"/>
      <c r="CU570" s="67">
        <v>0</v>
      </c>
      <c r="CV570" s="67"/>
      <c r="CW570" s="67"/>
      <c r="CX570" s="67"/>
      <c r="CY570" s="67">
        <v>0</v>
      </c>
      <c r="CZ570" s="67"/>
      <c r="DA570" s="67"/>
      <c r="DB570" s="67"/>
      <c r="DC570" s="67"/>
      <c r="DF570" s="67"/>
      <c r="DG570" s="67">
        <v>0</v>
      </c>
      <c r="DH570" s="67">
        <v>0</v>
      </c>
      <c r="DI570" s="67">
        <v>0</v>
      </c>
      <c r="DJ570" s="67"/>
      <c r="DK570" s="67">
        <v>0</v>
      </c>
      <c r="DL570" s="67">
        <v>0</v>
      </c>
      <c r="DM570" s="67">
        <v>0</v>
      </c>
      <c r="DN570" s="67"/>
      <c r="DO570" s="67"/>
      <c r="DP570" s="67"/>
      <c r="DQ570" s="67">
        <v>0</v>
      </c>
      <c r="DR570" s="67">
        <v>0</v>
      </c>
      <c r="DS570" s="67"/>
      <c r="DT570" s="67"/>
      <c r="DU570" s="67">
        <v>0</v>
      </c>
      <c r="DV570" s="67">
        <v>0</v>
      </c>
      <c r="DW570" s="67">
        <v>0</v>
      </c>
      <c r="DX570" s="67">
        <v>0</v>
      </c>
      <c r="DY570" s="67"/>
      <c r="DZ570" s="67">
        <v>0</v>
      </c>
      <c r="EA570" s="67"/>
      <c r="EB570" s="67">
        <v>0</v>
      </c>
      <c r="EC570" s="67"/>
      <c r="ED570" s="67">
        <v>0</v>
      </c>
      <c r="EE570" s="67"/>
      <c r="EF570" s="67">
        <v>0</v>
      </c>
      <c r="EG570" s="67"/>
      <c r="EH570" s="67"/>
      <c r="EI570" s="67"/>
      <c r="EJ570" s="67"/>
      <c r="EK570" s="67"/>
      <c r="EL570" s="67"/>
      <c r="EM570" s="67"/>
      <c r="EN570" s="67"/>
      <c r="EO570" s="67"/>
      <c r="EP570" s="67">
        <v>0</v>
      </c>
      <c r="EQ570" s="67">
        <v>0</v>
      </c>
      <c r="ER570" s="67">
        <v>0</v>
      </c>
      <c r="ES570" s="67"/>
      <c r="ET570">
        <v>0</v>
      </c>
      <c r="EX570" s="67"/>
      <c r="EY570" s="67"/>
      <c r="EZ570" s="67"/>
      <c r="FA570" s="67">
        <v>0</v>
      </c>
      <c r="FB570" s="67">
        <v>0</v>
      </c>
      <c r="FC570" s="67"/>
      <c r="FD570" s="67"/>
      <c r="FE570" s="67"/>
      <c r="FF570" s="67"/>
      <c r="FG570" s="67"/>
      <c r="FH570" s="67"/>
      <c r="FI570" s="67" t="s">
        <v>1734</v>
      </c>
    </row>
    <row r="571" spans="2:165" x14ac:dyDescent="0.2">
      <c r="B571" s="67" t="s">
        <v>1483</v>
      </c>
      <c r="C571" s="67"/>
      <c r="D571" s="67" t="s">
        <v>1484</v>
      </c>
      <c r="E571" s="67" t="s">
        <v>20</v>
      </c>
      <c r="F571" s="67"/>
      <c r="G571" s="67" t="s">
        <v>694</v>
      </c>
      <c r="H571" s="67"/>
      <c r="I571" s="67"/>
      <c r="J571" s="67"/>
      <c r="K571" s="67" t="s">
        <v>733</v>
      </c>
      <c r="L571" s="67"/>
      <c r="M571" s="67"/>
      <c r="N571" s="67"/>
      <c r="O571" s="67" t="s">
        <v>1605</v>
      </c>
      <c r="P571" s="67"/>
      <c r="Q571" s="67">
        <v>0</v>
      </c>
      <c r="R571" s="67">
        <v>0</v>
      </c>
      <c r="S571" s="67">
        <v>0</v>
      </c>
      <c r="T571" s="67">
        <v>0</v>
      </c>
      <c r="U571" s="67">
        <v>0</v>
      </c>
      <c r="V571" s="67">
        <v>0</v>
      </c>
      <c r="W571" s="67">
        <v>0</v>
      </c>
      <c r="X571" s="67">
        <v>0</v>
      </c>
      <c r="Y571" s="67">
        <v>0</v>
      </c>
      <c r="Z571" s="67">
        <v>0</v>
      </c>
      <c r="AA571" s="67">
        <v>0</v>
      </c>
      <c r="AB571" s="67">
        <v>0</v>
      </c>
      <c r="AC571" s="67">
        <v>0</v>
      </c>
      <c r="AD571" s="67">
        <v>0</v>
      </c>
      <c r="AE571" s="67">
        <v>0</v>
      </c>
      <c r="AF571" s="67">
        <v>0</v>
      </c>
      <c r="AG571" s="67">
        <v>0</v>
      </c>
      <c r="AH571" s="67">
        <v>0</v>
      </c>
      <c r="AI571" s="67">
        <v>0</v>
      </c>
      <c r="AJ571" s="67">
        <v>0</v>
      </c>
      <c r="AK571" s="67">
        <v>0</v>
      </c>
      <c r="AL571" s="67">
        <v>0</v>
      </c>
      <c r="AM571" s="67">
        <v>0</v>
      </c>
      <c r="AN571" s="67">
        <v>0</v>
      </c>
      <c r="AO571" s="67">
        <v>0</v>
      </c>
      <c r="AP571" s="67">
        <v>0</v>
      </c>
      <c r="AQ571" s="67">
        <v>0</v>
      </c>
      <c r="AR571" s="67">
        <v>0</v>
      </c>
      <c r="AS571" s="67">
        <v>0</v>
      </c>
      <c r="AT571" s="67"/>
      <c r="AU571" s="67"/>
      <c r="AV571" s="67"/>
      <c r="AW571" s="67">
        <v>0</v>
      </c>
      <c r="AX571" s="67">
        <v>0</v>
      </c>
      <c r="AY571" s="67"/>
      <c r="AZ571" s="67"/>
      <c r="BA571" s="67"/>
      <c r="BB571" s="67"/>
      <c r="BC571" s="67"/>
      <c r="BD571" s="67"/>
      <c r="BE571" s="67"/>
      <c r="BG571" s="67"/>
      <c r="BH571" s="67"/>
      <c r="BI571" s="67"/>
      <c r="BJ571" s="67">
        <v>0</v>
      </c>
      <c r="BK571" s="67"/>
      <c r="BL571" s="67"/>
      <c r="BP571" s="67"/>
      <c r="BQ571" s="67">
        <v>0</v>
      </c>
      <c r="BR571" s="67"/>
      <c r="BS571" s="67"/>
      <c r="BT571" s="67">
        <v>0</v>
      </c>
      <c r="BU571" s="67">
        <v>0</v>
      </c>
      <c r="BV571" s="67"/>
      <c r="BW571" s="67"/>
      <c r="BX571" s="67">
        <v>0</v>
      </c>
      <c r="BY571" s="67">
        <v>0</v>
      </c>
      <c r="BZ571" s="67">
        <v>0</v>
      </c>
      <c r="CA571" s="67"/>
      <c r="CB571" s="67">
        <v>0</v>
      </c>
      <c r="CC571" s="67"/>
      <c r="CD571" s="67"/>
      <c r="CE571" s="67">
        <v>0</v>
      </c>
      <c r="CF571" s="67"/>
      <c r="CG571" s="67"/>
      <c r="CH571" s="67"/>
      <c r="CI571" s="67"/>
      <c r="CJ571" s="67"/>
      <c r="CK571" s="67">
        <v>0</v>
      </c>
      <c r="CL571" s="67"/>
      <c r="CM571" s="67"/>
      <c r="CN571" s="67"/>
      <c r="CO571" s="67">
        <v>0</v>
      </c>
      <c r="CP571" s="67"/>
      <c r="CQ571" s="67"/>
      <c r="CR571" s="67"/>
      <c r="CS571" s="67"/>
      <c r="CT571" s="67"/>
      <c r="CU571" s="67">
        <v>0</v>
      </c>
      <c r="CV571" s="67"/>
      <c r="CW571" s="67"/>
      <c r="CX571" s="67"/>
      <c r="CY571" s="67">
        <v>0</v>
      </c>
      <c r="CZ571" s="67"/>
      <c r="DA571" s="67"/>
      <c r="DB571" s="67"/>
      <c r="DC571" s="67"/>
      <c r="DF571" s="67"/>
      <c r="DG571" s="67">
        <v>0</v>
      </c>
      <c r="DH571" s="67">
        <v>0</v>
      </c>
      <c r="DI571" s="67">
        <v>0</v>
      </c>
      <c r="DJ571" s="67"/>
      <c r="DK571" s="67">
        <v>0</v>
      </c>
      <c r="DL571" s="67">
        <v>0</v>
      </c>
      <c r="DM571" s="67">
        <v>0</v>
      </c>
      <c r="DN571" s="67"/>
      <c r="DO571" s="67"/>
      <c r="DP571" s="67"/>
      <c r="DQ571" s="67">
        <v>0</v>
      </c>
      <c r="DR571" s="67">
        <v>0</v>
      </c>
      <c r="DS571" s="67"/>
      <c r="DT571" s="67"/>
      <c r="DU571" s="67">
        <v>0</v>
      </c>
      <c r="DV571" s="67">
        <v>0</v>
      </c>
      <c r="DW571" s="67">
        <v>0</v>
      </c>
      <c r="DX571" s="67">
        <v>0</v>
      </c>
      <c r="DY571" s="67"/>
      <c r="DZ571" s="67">
        <v>0</v>
      </c>
      <c r="EA571" s="67"/>
      <c r="EB571" s="67">
        <v>0</v>
      </c>
      <c r="EC571" s="67"/>
      <c r="ED571" s="67">
        <v>0</v>
      </c>
      <c r="EE571" s="67"/>
      <c r="EF571" s="67">
        <v>0</v>
      </c>
      <c r="EG571" s="67"/>
      <c r="EH571" s="67"/>
      <c r="EI571" s="67"/>
      <c r="EJ571" s="67"/>
      <c r="EK571" s="67"/>
      <c r="EL571" s="67"/>
      <c r="EM571" s="67"/>
      <c r="EN571" s="67"/>
      <c r="EO571" s="67"/>
      <c r="EP571" s="67">
        <v>0</v>
      </c>
      <c r="EQ571" s="67">
        <v>0</v>
      </c>
      <c r="ER571" s="67">
        <v>0</v>
      </c>
      <c r="ES571" s="67"/>
      <c r="ET571">
        <v>0</v>
      </c>
      <c r="EX571" s="67"/>
      <c r="EY571" s="67"/>
      <c r="EZ571" s="67"/>
      <c r="FA571" s="67">
        <v>0</v>
      </c>
      <c r="FB571" s="67">
        <v>0</v>
      </c>
      <c r="FC571" s="67"/>
      <c r="FD571" s="67"/>
      <c r="FE571" s="67"/>
      <c r="FF571" s="67"/>
      <c r="FG571" s="67"/>
      <c r="FH571" s="67"/>
      <c r="FI571" s="67" t="s">
        <v>1734</v>
      </c>
    </row>
    <row r="572" spans="2:165" x14ac:dyDescent="0.2">
      <c r="B572" s="67" t="s">
        <v>1485</v>
      </c>
      <c r="C572" s="67"/>
      <c r="D572" s="67" t="s">
        <v>1486</v>
      </c>
      <c r="E572" s="67" t="s">
        <v>20</v>
      </c>
      <c r="F572" s="67"/>
      <c r="G572" s="67" t="s">
        <v>694</v>
      </c>
      <c r="H572" s="67"/>
      <c r="I572" s="67"/>
      <c r="J572" s="67"/>
      <c r="K572" s="67" t="s">
        <v>733</v>
      </c>
      <c r="L572" s="67"/>
      <c r="M572" s="67"/>
      <c r="N572" s="67"/>
      <c r="O572" s="67" t="s">
        <v>1605</v>
      </c>
      <c r="P572" s="67"/>
      <c r="Q572" s="67">
        <v>0</v>
      </c>
      <c r="R572" s="67">
        <v>0</v>
      </c>
      <c r="S572" s="67">
        <v>0</v>
      </c>
      <c r="T572" s="67">
        <v>0</v>
      </c>
      <c r="U572" s="67">
        <v>0</v>
      </c>
      <c r="V572" s="67">
        <v>0</v>
      </c>
      <c r="W572" s="67">
        <v>0</v>
      </c>
      <c r="X572" s="67">
        <v>0</v>
      </c>
      <c r="Y572" s="67">
        <v>0</v>
      </c>
      <c r="Z572" s="67">
        <v>0</v>
      </c>
      <c r="AA572" s="67">
        <v>0</v>
      </c>
      <c r="AB572" s="67">
        <v>0</v>
      </c>
      <c r="AC572" s="67">
        <v>0</v>
      </c>
      <c r="AD572" s="67">
        <v>0</v>
      </c>
      <c r="AE572" s="67">
        <v>0</v>
      </c>
      <c r="AF572" s="67">
        <v>0</v>
      </c>
      <c r="AG572" s="67">
        <v>0</v>
      </c>
      <c r="AH572" s="67">
        <v>0</v>
      </c>
      <c r="AI572" s="67">
        <v>0</v>
      </c>
      <c r="AJ572" s="67">
        <v>0</v>
      </c>
      <c r="AK572" s="67">
        <v>0</v>
      </c>
      <c r="AL572" s="67">
        <v>0</v>
      </c>
      <c r="AM572" s="67">
        <v>0</v>
      </c>
      <c r="AN572" s="67">
        <v>0</v>
      </c>
      <c r="AO572" s="67">
        <v>0</v>
      </c>
      <c r="AP572" s="67">
        <v>0</v>
      </c>
      <c r="AQ572" s="67">
        <v>0</v>
      </c>
      <c r="AR572" s="67">
        <v>0</v>
      </c>
      <c r="AS572" s="67">
        <v>0</v>
      </c>
      <c r="AT572" s="67"/>
      <c r="AU572" s="67"/>
      <c r="AV572" s="67"/>
      <c r="AW572" s="67">
        <v>0</v>
      </c>
      <c r="AX572" s="67">
        <v>0</v>
      </c>
      <c r="AY572" s="67"/>
      <c r="AZ572" s="67"/>
      <c r="BA572" s="67"/>
      <c r="BB572" s="67"/>
      <c r="BC572" s="67"/>
      <c r="BD572" s="67"/>
      <c r="BE572" s="67"/>
      <c r="BG572" s="67"/>
      <c r="BH572" s="67"/>
      <c r="BI572" s="67"/>
      <c r="BJ572" s="67">
        <v>0</v>
      </c>
      <c r="BK572" s="67"/>
      <c r="BL572" s="67"/>
      <c r="BP572" s="67"/>
      <c r="BQ572" s="67">
        <v>0</v>
      </c>
      <c r="BR572" s="67"/>
      <c r="BS572" s="67"/>
      <c r="BT572" s="67">
        <v>0</v>
      </c>
      <c r="BU572" s="67">
        <v>0</v>
      </c>
      <c r="BV572" s="67"/>
      <c r="BW572" s="67"/>
      <c r="BX572" s="67">
        <v>0</v>
      </c>
      <c r="BY572" s="67">
        <v>0</v>
      </c>
      <c r="BZ572" s="67">
        <v>0</v>
      </c>
      <c r="CA572" s="67"/>
      <c r="CB572" s="67">
        <v>0</v>
      </c>
      <c r="CC572" s="67"/>
      <c r="CD572" s="67"/>
      <c r="CE572" s="67">
        <v>0</v>
      </c>
      <c r="CF572" s="67"/>
      <c r="CG572" s="67"/>
      <c r="CH572" s="67"/>
      <c r="CI572" s="67"/>
      <c r="CJ572" s="67"/>
      <c r="CK572" s="67">
        <v>0</v>
      </c>
      <c r="CL572" s="67"/>
      <c r="CM572" s="67"/>
      <c r="CN572" s="67"/>
      <c r="CO572" s="67">
        <v>0</v>
      </c>
      <c r="CP572" s="67"/>
      <c r="CQ572" s="67"/>
      <c r="CR572" s="67"/>
      <c r="CS572" s="67"/>
      <c r="CT572" s="67"/>
      <c r="CU572" s="67">
        <v>0</v>
      </c>
      <c r="CV572" s="67"/>
      <c r="CW572" s="67"/>
      <c r="CX572" s="67"/>
      <c r="CY572" s="67">
        <v>0</v>
      </c>
      <c r="CZ572" s="67"/>
      <c r="DA572" s="67"/>
      <c r="DB572" s="67"/>
      <c r="DC572" s="67"/>
      <c r="DF572" s="67"/>
      <c r="DG572" s="67">
        <v>0</v>
      </c>
      <c r="DH572" s="67">
        <v>0</v>
      </c>
      <c r="DI572" s="67">
        <v>0</v>
      </c>
      <c r="DJ572" s="67"/>
      <c r="DK572" s="67">
        <v>0</v>
      </c>
      <c r="DL572" s="67">
        <v>0</v>
      </c>
      <c r="DM572" s="67">
        <v>0</v>
      </c>
      <c r="DN572" s="67"/>
      <c r="DO572" s="67"/>
      <c r="DP572" s="67"/>
      <c r="DQ572" s="67">
        <v>0</v>
      </c>
      <c r="DR572" s="67">
        <v>0</v>
      </c>
      <c r="DS572" s="67"/>
      <c r="DT572" s="67"/>
      <c r="DU572" s="67">
        <v>0</v>
      </c>
      <c r="DV572" s="67">
        <v>0</v>
      </c>
      <c r="DW572" s="67">
        <v>0</v>
      </c>
      <c r="DX572" s="67">
        <v>0</v>
      </c>
      <c r="DY572" s="67"/>
      <c r="DZ572" s="67">
        <v>0</v>
      </c>
      <c r="EA572" s="67"/>
      <c r="EB572" s="67">
        <v>0</v>
      </c>
      <c r="EC572" s="67"/>
      <c r="ED572" s="67">
        <v>0</v>
      </c>
      <c r="EE572" s="67"/>
      <c r="EF572" s="67">
        <v>0</v>
      </c>
      <c r="EG572" s="67"/>
      <c r="EH572" s="67"/>
      <c r="EI572" s="67"/>
      <c r="EJ572" s="67"/>
      <c r="EK572" s="67"/>
      <c r="EL572" s="67"/>
      <c r="EM572" s="67"/>
      <c r="EN572" s="67"/>
      <c r="EO572" s="67"/>
      <c r="EP572" s="67">
        <v>0</v>
      </c>
      <c r="EQ572" s="67">
        <v>0</v>
      </c>
      <c r="ER572" s="67">
        <v>0</v>
      </c>
      <c r="ES572" s="67"/>
      <c r="ET572">
        <v>0</v>
      </c>
      <c r="EX572" s="67"/>
      <c r="EY572" s="67"/>
      <c r="EZ572" s="67"/>
      <c r="FA572" s="67">
        <v>0</v>
      </c>
      <c r="FB572" s="67">
        <v>0</v>
      </c>
      <c r="FC572" s="67"/>
      <c r="FD572" s="67"/>
      <c r="FE572" s="67"/>
      <c r="FF572" s="67"/>
      <c r="FG572" s="67"/>
      <c r="FH572" s="67"/>
      <c r="FI572" s="67" t="s">
        <v>1734</v>
      </c>
    </row>
    <row r="573" spans="2:165" x14ac:dyDescent="0.2">
      <c r="B573" s="67" t="s">
        <v>1487</v>
      </c>
      <c r="C573" s="67"/>
      <c r="D573" s="67" t="s">
        <v>1488</v>
      </c>
      <c r="E573" s="67" t="s">
        <v>20</v>
      </c>
      <c r="F573" s="67"/>
      <c r="G573" s="67" t="s">
        <v>694</v>
      </c>
      <c r="H573" s="67"/>
      <c r="I573" s="67"/>
      <c r="J573" s="67"/>
      <c r="K573" s="67" t="s">
        <v>733</v>
      </c>
      <c r="L573" s="67"/>
      <c r="M573" s="67"/>
      <c r="N573" s="67"/>
      <c r="O573" s="67" t="s">
        <v>1605</v>
      </c>
      <c r="P573" s="67"/>
      <c r="Q573" s="67">
        <v>0</v>
      </c>
      <c r="R573" s="67">
        <v>0</v>
      </c>
      <c r="S573" s="67">
        <v>0</v>
      </c>
      <c r="T573" s="67">
        <v>0</v>
      </c>
      <c r="U573" s="67">
        <v>0</v>
      </c>
      <c r="V573" s="67">
        <v>0</v>
      </c>
      <c r="W573" s="67">
        <v>0</v>
      </c>
      <c r="X573" s="67">
        <v>0</v>
      </c>
      <c r="Y573" s="67">
        <v>0</v>
      </c>
      <c r="Z573" s="67">
        <v>0</v>
      </c>
      <c r="AA573" s="67">
        <v>0</v>
      </c>
      <c r="AB573" s="67">
        <v>0</v>
      </c>
      <c r="AC573" s="67">
        <v>0</v>
      </c>
      <c r="AD573" s="67">
        <v>0</v>
      </c>
      <c r="AE573" s="67">
        <v>0</v>
      </c>
      <c r="AF573" s="67">
        <v>0</v>
      </c>
      <c r="AG573" s="67">
        <v>0</v>
      </c>
      <c r="AH573" s="67">
        <v>0</v>
      </c>
      <c r="AI573" s="67">
        <v>0</v>
      </c>
      <c r="AJ573" s="67">
        <v>0</v>
      </c>
      <c r="AK573" s="67">
        <v>0</v>
      </c>
      <c r="AL573" s="67">
        <v>0</v>
      </c>
      <c r="AM573" s="67">
        <v>0</v>
      </c>
      <c r="AN573" s="67">
        <v>0</v>
      </c>
      <c r="AO573" s="67">
        <v>0</v>
      </c>
      <c r="AP573" s="67">
        <v>0</v>
      </c>
      <c r="AQ573" s="67">
        <v>0</v>
      </c>
      <c r="AR573" s="67">
        <v>0</v>
      </c>
      <c r="AS573" s="67">
        <v>0</v>
      </c>
      <c r="AT573" s="67"/>
      <c r="AU573" s="67"/>
      <c r="AV573" s="67"/>
      <c r="AW573" s="67">
        <v>0</v>
      </c>
      <c r="AX573" s="67">
        <v>0</v>
      </c>
      <c r="AY573" s="67"/>
      <c r="AZ573" s="67"/>
      <c r="BA573" s="67"/>
      <c r="BB573" s="67"/>
      <c r="BC573" s="67"/>
      <c r="BD573" s="67"/>
      <c r="BE573" s="67"/>
      <c r="BG573" s="67"/>
      <c r="BH573" s="67"/>
      <c r="BI573" s="67"/>
      <c r="BJ573" s="67">
        <v>0</v>
      </c>
      <c r="BK573" s="67"/>
      <c r="BL573" s="67"/>
      <c r="BP573" s="67"/>
      <c r="BQ573" s="67">
        <v>0</v>
      </c>
      <c r="BR573" s="67"/>
      <c r="BS573" s="67"/>
      <c r="BT573" s="67">
        <v>0</v>
      </c>
      <c r="BU573" s="67">
        <v>0</v>
      </c>
      <c r="BV573" s="67"/>
      <c r="BW573" s="67"/>
      <c r="BX573" s="67">
        <v>0</v>
      </c>
      <c r="BY573" s="67">
        <v>0</v>
      </c>
      <c r="BZ573" s="67">
        <v>0</v>
      </c>
      <c r="CA573" s="67"/>
      <c r="CB573" s="67">
        <v>0</v>
      </c>
      <c r="CC573" s="67"/>
      <c r="CD573" s="67"/>
      <c r="CE573" s="67">
        <v>0</v>
      </c>
      <c r="CF573" s="67"/>
      <c r="CG573" s="67"/>
      <c r="CH573" s="67"/>
      <c r="CI573" s="67"/>
      <c r="CJ573" s="67"/>
      <c r="CK573" s="67">
        <v>0</v>
      </c>
      <c r="CL573" s="67"/>
      <c r="CM573" s="67"/>
      <c r="CN573" s="67"/>
      <c r="CO573" s="67">
        <v>0</v>
      </c>
      <c r="CP573" s="67"/>
      <c r="CQ573" s="67"/>
      <c r="CR573" s="67"/>
      <c r="CS573" s="67"/>
      <c r="CT573" s="67"/>
      <c r="CU573" s="67">
        <v>0</v>
      </c>
      <c r="CV573" s="67"/>
      <c r="CW573" s="67"/>
      <c r="CX573" s="67"/>
      <c r="CY573" s="67">
        <v>0</v>
      </c>
      <c r="CZ573" s="67"/>
      <c r="DA573" s="67"/>
      <c r="DB573" s="67"/>
      <c r="DC573" s="67"/>
      <c r="DF573" s="67"/>
      <c r="DG573" s="67">
        <v>0</v>
      </c>
      <c r="DH573" s="67">
        <v>0</v>
      </c>
      <c r="DI573" s="67">
        <v>0</v>
      </c>
      <c r="DJ573" s="67"/>
      <c r="DK573" s="67">
        <v>0</v>
      </c>
      <c r="DL573" s="67">
        <v>0</v>
      </c>
      <c r="DM573" s="67">
        <v>0</v>
      </c>
      <c r="DN573" s="67"/>
      <c r="DO573" s="67"/>
      <c r="DP573" s="67"/>
      <c r="DQ573" s="67">
        <v>0</v>
      </c>
      <c r="DR573" s="67">
        <v>0</v>
      </c>
      <c r="DS573" s="67"/>
      <c r="DT573" s="67"/>
      <c r="DU573" s="67">
        <v>0</v>
      </c>
      <c r="DV573" s="67">
        <v>0</v>
      </c>
      <c r="DW573" s="67">
        <v>0</v>
      </c>
      <c r="DX573" s="67">
        <v>0</v>
      </c>
      <c r="DY573" s="67"/>
      <c r="DZ573" s="67">
        <v>0</v>
      </c>
      <c r="EA573" s="67"/>
      <c r="EB573" s="67">
        <v>0</v>
      </c>
      <c r="EC573" s="67"/>
      <c r="ED573" s="67">
        <v>0</v>
      </c>
      <c r="EE573" s="67"/>
      <c r="EF573" s="67">
        <v>0</v>
      </c>
      <c r="EG573" s="67"/>
      <c r="EH573" s="67"/>
      <c r="EI573" s="67"/>
      <c r="EJ573" s="67"/>
      <c r="EK573" s="67"/>
      <c r="EL573" s="67"/>
      <c r="EM573" s="67"/>
      <c r="EN573" s="67"/>
      <c r="EO573" s="67"/>
      <c r="EP573" s="67">
        <v>0</v>
      </c>
      <c r="EQ573" s="67">
        <v>0</v>
      </c>
      <c r="ER573" s="67">
        <v>0</v>
      </c>
      <c r="ES573" s="67"/>
      <c r="ET573">
        <v>0</v>
      </c>
      <c r="EX573" s="67"/>
      <c r="EY573" s="67"/>
      <c r="EZ573" s="67"/>
      <c r="FA573" s="67">
        <v>0</v>
      </c>
      <c r="FB573" s="67">
        <v>0</v>
      </c>
      <c r="FC573" s="67"/>
      <c r="FD573" s="67"/>
      <c r="FE573" s="67"/>
      <c r="FF573" s="67"/>
      <c r="FG573" s="67"/>
      <c r="FH573" s="67"/>
      <c r="FI573" s="67" t="s">
        <v>1734</v>
      </c>
    </row>
    <row r="574" spans="2:165" x14ac:dyDescent="0.2">
      <c r="B574" s="67" t="s">
        <v>1489</v>
      </c>
      <c r="C574" s="67"/>
      <c r="D574" s="67" t="s">
        <v>1490</v>
      </c>
      <c r="E574" s="67" t="s">
        <v>20</v>
      </c>
      <c r="F574" s="67"/>
      <c r="G574" s="67" t="s">
        <v>694</v>
      </c>
      <c r="H574" s="67"/>
      <c r="I574" s="67"/>
      <c r="J574" s="67"/>
      <c r="K574" s="67" t="s">
        <v>733</v>
      </c>
      <c r="L574" s="67"/>
      <c r="M574" s="67"/>
      <c r="N574" s="67"/>
      <c r="O574" s="67" t="s">
        <v>1605</v>
      </c>
      <c r="P574" s="67"/>
      <c r="Q574" s="67">
        <v>0</v>
      </c>
      <c r="R574" s="67">
        <v>0</v>
      </c>
      <c r="S574" s="67">
        <v>0</v>
      </c>
      <c r="T574" s="67">
        <v>0</v>
      </c>
      <c r="U574" s="67">
        <v>0</v>
      </c>
      <c r="V574" s="67">
        <v>0</v>
      </c>
      <c r="W574" s="67">
        <v>0</v>
      </c>
      <c r="X574" s="67">
        <v>0</v>
      </c>
      <c r="Y574" s="67">
        <v>0</v>
      </c>
      <c r="Z574" s="67">
        <v>0</v>
      </c>
      <c r="AA574" s="67">
        <v>0</v>
      </c>
      <c r="AB574" s="67">
        <v>0</v>
      </c>
      <c r="AC574" s="67">
        <v>0</v>
      </c>
      <c r="AD574" s="67">
        <v>0</v>
      </c>
      <c r="AE574" s="67">
        <v>0</v>
      </c>
      <c r="AF574" s="67">
        <v>0</v>
      </c>
      <c r="AG574" s="67">
        <v>0</v>
      </c>
      <c r="AH574" s="67">
        <v>0</v>
      </c>
      <c r="AI574" s="67">
        <v>0</v>
      </c>
      <c r="AJ574" s="67">
        <v>0</v>
      </c>
      <c r="AK574" s="67">
        <v>0</v>
      </c>
      <c r="AL574" s="67">
        <v>0</v>
      </c>
      <c r="AM574" s="67">
        <v>0</v>
      </c>
      <c r="AN574" s="67">
        <v>0</v>
      </c>
      <c r="AO574" s="67">
        <v>0</v>
      </c>
      <c r="AP574" s="67">
        <v>0</v>
      </c>
      <c r="AQ574" s="67">
        <v>0</v>
      </c>
      <c r="AR574" s="67">
        <v>0</v>
      </c>
      <c r="AS574" s="67">
        <v>0</v>
      </c>
      <c r="AT574" s="67"/>
      <c r="AU574" s="67"/>
      <c r="AV574" s="67"/>
      <c r="AW574" s="67">
        <v>0</v>
      </c>
      <c r="AX574" s="67">
        <v>0</v>
      </c>
      <c r="AY574" s="67"/>
      <c r="AZ574" s="67"/>
      <c r="BA574" s="67"/>
      <c r="BB574" s="67"/>
      <c r="BC574" s="67"/>
      <c r="BD574" s="67"/>
      <c r="BE574" s="67"/>
      <c r="BG574" s="67"/>
      <c r="BH574" s="67"/>
      <c r="BI574" s="67"/>
      <c r="BJ574" s="67">
        <v>0</v>
      </c>
      <c r="BK574" s="67"/>
      <c r="BL574" s="67"/>
      <c r="BP574" s="67"/>
      <c r="BQ574" s="67">
        <v>0</v>
      </c>
      <c r="BR574" s="67"/>
      <c r="BS574" s="67"/>
      <c r="BT574" s="67">
        <v>0</v>
      </c>
      <c r="BU574" s="67">
        <v>0</v>
      </c>
      <c r="BV574" s="67"/>
      <c r="BW574" s="67"/>
      <c r="BX574" s="67">
        <v>0</v>
      </c>
      <c r="BY574" s="67">
        <v>0</v>
      </c>
      <c r="BZ574" s="67">
        <v>0</v>
      </c>
      <c r="CA574" s="67"/>
      <c r="CB574" s="67">
        <v>0</v>
      </c>
      <c r="CC574" s="67"/>
      <c r="CD574" s="67"/>
      <c r="CE574" s="67">
        <v>0</v>
      </c>
      <c r="CF574" s="67"/>
      <c r="CG574" s="67"/>
      <c r="CH574" s="67"/>
      <c r="CI574" s="67"/>
      <c r="CJ574" s="67"/>
      <c r="CK574" s="67">
        <v>0</v>
      </c>
      <c r="CL574" s="67"/>
      <c r="CM574" s="67"/>
      <c r="CN574" s="67"/>
      <c r="CO574" s="67">
        <v>0</v>
      </c>
      <c r="CP574" s="67"/>
      <c r="CQ574" s="67"/>
      <c r="CR574" s="67"/>
      <c r="CS574" s="67"/>
      <c r="CT574" s="67"/>
      <c r="CU574" s="67">
        <v>0</v>
      </c>
      <c r="CV574" s="67"/>
      <c r="CW574" s="67"/>
      <c r="CX574" s="67"/>
      <c r="CY574" s="67">
        <v>0</v>
      </c>
      <c r="CZ574" s="67"/>
      <c r="DA574" s="67"/>
      <c r="DB574" s="67"/>
      <c r="DC574" s="67"/>
      <c r="DF574" s="67"/>
      <c r="DG574" s="67">
        <v>0</v>
      </c>
      <c r="DH574" s="67">
        <v>0</v>
      </c>
      <c r="DI574" s="67">
        <v>0</v>
      </c>
      <c r="DJ574" s="67"/>
      <c r="DK574" s="67">
        <v>0</v>
      </c>
      <c r="DL574" s="67">
        <v>0</v>
      </c>
      <c r="DM574" s="67">
        <v>0</v>
      </c>
      <c r="DN574" s="67"/>
      <c r="DO574" s="67"/>
      <c r="DP574" s="67"/>
      <c r="DQ574" s="67">
        <v>0</v>
      </c>
      <c r="DR574" s="67">
        <v>0</v>
      </c>
      <c r="DS574" s="67"/>
      <c r="DT574" s="67"/>
      <c r="DU574" s="67">
        <v>0</v>
      </c>
      <c r="DV574" s="67">
        <v>0</v>
      </c>
      <c r="DW574" s="67">
        <v>0</v>
      </c>
      <c r="DX574" s="67">
        <v>0</v>
      </c>
      <c r="DY574" s="67"/>
      <c r="DZ574" s="67">
        <v>0</v>
      </c>
      <c r="EA574" s="67"/>
      <c r="EB574" s="67">
        <v>0</v>
      </c>
      <c r="EC574" s="67"/>
      <c r="ED574" s="67">
        <v>0</v>
      </c>
      <c r="EE574" s="67"/>
      <c r="EF574" s="67">
        <v>0</v>
      </c>
      <c r="EG574" s="67"/>
      <c r="EH574" s="67"/>
      <c r="EI574" s="67"/>
      <c r="EJ574" s="67"/>
      <c r="EK574" s="67"/>
      <c r="EL574" s="67"/>
      <c r="EM574" s="67"/>
      <c r="EN574" s="67"/>
      <c r="EO574" s="67"/>
      <c r="EP574" s="67">
        <v>0</v>
      </c>
      <c r="EQ574" s="67">
        <v>0</v>
      </c>
      <c r="ER574" s="67">
        <v>0</v>
      </c>
      <c r="ES574" s="67"/>
      <c r="ET574">
        <v>0</v>
      </c>
      <c r="EX574" s="67"/>
      <c r="EY574" s="67"/>
      <c r="EZ574" s="67"/>
      <c r="FA574" s="67">
        <v>0</v>
      </c>
      <c r="FB574" s="67">
        <v>0</v>
      </c>
      <c r="FC574" s="67"/>
      <c r="FD574" s="67"/>
      <c r="FE574" s="67"/>
      <c r="FF574" s="67"/>
      <c r="FG574" s="67"/>
      <c r="FH574" s="67"/>
      <c r="FI574" s="67" t="s">
        <v>1734</v>
      </c>
    </row>
    <row r="575" spans="2:165" x14ac:dyDescent="0.2">
      <c r="B575" s="67" t="s">
        <v>1491</v>
      </c>
      <c r="C575" s="67"/>
      <c r="D575" s="67" t="s">
        <v>1492</v>
      </c>
      <c r="E575" s="67" t="s">
        <v>20</v>
      </c>
      <c r="F575" s="67"/>
      <c r="G575" s="67" t="s">
        <v>694</v>
      </c>
      <c r="H575" s="67"/>
      <c r="I575" s="67"/>
      <c r="J575" s="67"/>
      <c r="K575" s="67" t="s">
        <v>733</v>
      </c>
      <c r="L575" s="67"/>
      <c r="M575" s="67"/>
      <c r="N575" s="67"/>
      <c r="O575" s="67" t="s">
        <v>1605</v>
      </c>
      <c r="P575" s="67"/>
      <c r="Q575" s="67">
        <v>0</v>
      </c>
      <c r="R575" s="67">
        <v>0</v>
      </c>
      <c r="S575" s="67">
        <v>0</v>
      </c>
      <c r="T575" s="67">
        <v>0</v>
      </c>
      <c r="U575" s="67">
        <v>0</v>
      </c>
      <c r="V575" s="67">
        <v>0</v>
      </c>
      <c r="W575" s="67">
        <v>0</v>
      </c>
      <c r="X575" s="67">
        <v>0</v>
      </c>
      <c r="Y575" s="67">
        <v>0</v>
      </c>
      <c r="Z575" s="67">
        <v>0</v>
      </c>
      <c r="AA575" s="67">
        <v>0</v>
      </c>
      <c r="AB575" s="67">
        <v>0</v>
      </c>
      <c r="AC575" s="67">
        <v>0</v>
      </c>
      <c r="AD575" s="67">
        <v>0</v>
      </c>
      <c r="AE575" s="67">
        <v>0</v>
      </c>
      <c r="AF575" s="67">
        <v>0</v>
      </c>
      <c r="AG575" s="67">
        <v>0</v>
      </c>
      <c r="AH575" s="67">
        <v>0</v>
      </c>
      <c r="AI575" s="67">
        <v>0</v>
      </c>
      <c r="AJ575" s="67">
        <v>0</v>
      </c>
      <c r="AK575" s="67">
        <v>0</v>
      </c>
      <c r="AL575" s="67">
        <v>0</v>
      </c>
      <c r="AM575" s="67">
        <v>0</v>
      </c>
      <c r="AN575" s="67">
        <v>0</v>
      </c>
      <c r="AO575" s="67">
        <v>0</v>
      </c>
      <c r="AP575" s="67">
        <v>0</v>
      </c>
      <c r="AQ575" s="67">
        <v>0</v>
      </c>
      <c r="AR575" s="67">
        <v>0</v>
      </c>
      <c r="AS575" s="67">
        <v>0</v>
      </c>
      <c r="AT575" s="67"/>
      <c r="AU575" s="67"/>
      <c r="AV575" s="67"/>
      <c r="AW575" s="67">
        <v>0</v>
      </c>
      <c r="AX575" s="67">
        <v>0</v>
      </c>
      <c r="AY575" s="67"/>
      <c r="AZ575" s="67"/>
      <c r="BA575" s="67"/>
      <c r="BB575" s="67"/>
      <c r="BC575" s="67"/>
      <c r="BD575" s="67"/>
      <c r="BE575" s="67"/>
      <c r="BG575" s="67"/>
      <c r="BH575" s="67"/>
      <c r="BI575" s="67"/>
      <c r="BJ575" s="67">
        <v>0</v>
      </c>
      <c r="BK575" s="67"/>
      <c r="BL575" s="67"/>
      <c r="BP575" s="67"/>
      <c r="BQ575" s="67">
        <v>0</v>
      </c>
      <c r="BR575" s="67"/>
      <c r="BS575" s="67"/>
      <c r="BT575" s="67">
        <v>0</v>
      </c>
      <c r="BU575" s="67">
        <v>0</v>
      </c>
      <c r="BV575" s="67"/>
      <c r="BW575" s="67"/>
      <c r="BX575" s="67">
        <v>0</v>
      </c>
      <c r="BY575" s="67">
        <v>0</v>
      </c>
      <c r="BZ575" s="67">
        <v>0</v>
      </c>
      <c r="CA575" s="67"/>
      <c r="CB575" s="67">
        <v>0</v>
      </c>
      <c r="CC575" s="67"/>
      <c r="CD575" s="67"/>
      <c r="CE575" s="67">
        <v>0</v>
      </c>
      <c r="CF575" s="67"/>
      <c r="CG575" s="67"/>
      <c r="CH575" s="67"/>
      <c r="CI575" s="67"/>
      <c r="CJ575" s="67"/>
      <c r="CK575" s="67">
        <v>0</v>
      </c>
      <c r="CL575" s="67"/>
      <c r="CM575" s="67"/>
      <c r="CN575" s="67"/>
      <c r="CO575" s="67">
        <v>0</v>
      </c>
      <c r="CP575" s="67"/>
      <c r="CQ575" s="67"/>
      <c r="CR575" s="67"/>
      <c r="CS575" s="67"/>
      <c r="CT575" s="67"/>
      <c r="CU575" s="67">
        <v>0</v>
      </c>
      <c r="CV575" s="67"/>
      <c r="CW575" s="67"/>
      <c r="CX575" s="67"/>
      <c r="CY575" s="67">
        <v>0</v>
      </c>
      <c r="CZ575" s="67"/>
      <c r="DA575" s="67"/>
      <c r="DB575" s="67"/>
      <c r="DC575" s="67"/>
      <c r="DF575" s="67"/>
      <c r="DG575" s="67">
        <v>0</v>
      </c>
      <c r="DH575" s="67">
        <v>0</v>
      </c>
      <c r="DI575" s="67">
        <v>0</v>
      </c>
      <c r="DJ575" s="67"/>
      <c r="DK575" s="67">
        <v>0</v>
      </c>
      <c r="DL575" s="67">
        <v>0</v>
      </c>
      <c r="DM575" s="67">
        <v>0</v>
      </c>
      <c r="DN575" s="67"/>
      <c r="DO575" s="67"/>
      <c r="DP575" s="67"/>
      <c r="DQ575" s="67">
        <v>0</v>
      </c>
      <c r="DR575" s="67">
        <v>0</v>
      </c>
      <c r="DS575" s="67"/>
      <c r="DT575" s="67"/>
      <c r="DU575" s="67">
        <v>0</v>
      </c>
      <c r="DV575" s="67">
        <v>0</v>
      </c>
      <c r="DW575" s="67">
        <v>0</v>
      </c>
      <c r="DX575" s="67">
        <v>0</v>
      </c>
      <c r="DY575" s="67"/>
      <c r="DZ575" s="67">
        <v>0</v>
      </c>
      <c r="EA575" s="67"/>
      <c r="EB575" s="67">
        <v>0</v>
      </c>
      <c r="EC575" s="67"/>
      <c r="ED575" s="67">
        <v>0</v>
      </c>
      <c r="EE575" s="67"/>
      <c r="EF575" s="67">
        <v>0</v>
      </c>
      <c r="EG575" s="67"/>
      <c r="EH575" s="67"/>
      <c r="EI575" s="67"/>
      <c r="EJ575" s="67"/>
      <c r="EK575" s="67"/>
      <c r="EL575" s="67"/>
      <c r="EM575" s="67"/>
      <c r="EN575" s="67"/>
      <c r="EO575" s="67"/>
      <c r="EP575" s="67">
        <v>0</v>
      </c>
      <c r="EQ575" s="67">
        <v>0</v>
      </c>
      <c r="ER575" s="67">
        <v>0</v>
      </c>
      <c r="ES575" s="67"/>
      <c r="ET575">
        <v>0</v>
      </c>
      <c r="EX575" s="67"/>
      <c r="EY575" s="67"/>
      <c r="EZ575" s="67"/>
      <c r="FA575" s="67">
        <v>0</v>
      </c>
      <c r="FB575" s="67">
        <v>0</v>
      </c>
      <c r="FC575" s="67"/>
      <c r="FD575" s="67"/>
      <c r="FE575" s="67"/>
      <c r="FF575" s="67"/>
      <c r="FG575" s="67"/>
      <c r="FH575" s="67"/>
      <c r="FI575" s="67" t="s">
        <v>1734</v>
      </c>
    </row>
    <row r="576" spans="2:165" x14ac:dyDescent="0.2">
      <c r="B576" s="67" t="s">
        <v>1493</v>
      </c>
      <c r="C576" s="67"/>
      <c r="D576" s="67" t="s">
        <v>1494</v>
      </c>
      <c r="E576" s="67" t="s">
        <v>20</v>
      </c>
      <c r="F576" s="67"/>
      <c r="G576" s="67" t="s">
        <v>694</v>
      </c>
      <c r="H576" s="67"/>
      <c r="I576" s="67"/>
      <c r="J576" s="67"/>
      <c r="K576" s="67" t="s">
        <v>733</v>
      </c>
      <c r="L576" s="67"/>
      <c r="M576" s="67"/>
      <c r="N576" s="67"/>
      <c r="O576" s="67" t="s">
        <v>1605</v>
      </c>
      <c r="P576" s="67"/>
      <c r="Q576" s="67">
        <v>0</v>
      </c>
      <c r="R576" s="67">
        <v>0</v>
      </c>
      <c r="S576" s="67">
        <v>0</v>
      </c>
      <c r="T576" s="67">
        <v>0</v>
      </c>
      <c r="U576" s="67">
        <v>0</v>
      </c>
      <c r="V576" s="67">
        <v>0</v>
      </c>
      <c r="W576" s="67">
        <v>0</v>
      </c>
      <c r="X576" s="67">
        <v>0</v>
      </c>
      <c r="Y576" s="67">
        <v>0</v>
      </c>
      <c r="Z576" s="67">
        <v>0</v>
      </c>
      <c r="AA576" s="67">
        <v>0</v>
      </c>
      <c r="AB576" s="67">
        <v>0</v>
      </c>
      <c r="AC576" s="67">
        <v>0</v>
      </c>
      <c r="AD576" s="67">
        <v>0</v>
      </c>
      <c r="AE576" s="67">
        <v>0</v>
      </c>
      <c r="AF576" s="67">
        <v>0</v>
      </c>
      <c r="AG576" s="67">
        <v>0</v>
      </c>
      <c r="AH576" s="67">
        <v>0</v>
      </c>
      <c r="AI576" s="67">
        <v>0</v>
      </c>
      <c r="AJ576" s="67">
        <v>0</v>
      </c>
      <c r="AK576" s="67">
        <v>0</v>
      </c>
      <c r="AL576" s="67">
        <v>0</v>
      </c>
      <c r="AM576" s="67">
        <v>0</v>
      </c>
      <c r="AN576" s="67">
        <v>0</v>
      </c>
      <c r="AO576" s="67">
        <v>0</v>
      </c>
      <c r="AP576" s="67">
        <v>0</v>
      </c>
      <c r="AQ576" s="67">
        <v>0</v>
      </c>
      <c r="AR576" s="67">
        <v>0</v>
      </c>
      <c r="AS576" s="67">
        <v>0</v>
      </c>
      <c r="AT576" s="67"/>
      <c r="AU576" s="67"/>
      <c r="AV576" s="67"/>
      <c r="AW576" s="67">
        <v>0</v>
      </c>
      <c r="AX576" s="67">
        <v>0</v>
      </c>
      <c r="AY576" s="67"/>
      <c r="AZ576" s="67"/>
      <c r="BA576" s="67"/>
      <c r="BB576" s="67"/>
      <c r="BC576" s="67"/>
      <c r="BD576" s="67"/>
      <c r="BE576" s="67"/>
      <c r="BG576" s="67"/>
      <c r="BH576" s="67"/>
      <c r="BI576" s="67"/>
      <c r="BJ576" s="67">
        <v>0</v>
      </c>
      <c r="BK576" s="67"/>
      <c r="BL576" s="67"/>
      <c r="BP576" s="67"/>
      <c r="BQ576" s="67">
        <v>0</v>
      </c>
      <c r="BR576" s="67"/>
      <c r="BS576" s="67"/>
      <c r="BT576" s="67">
        <v>0</v>
      </c>
      <c r="BU576" s="67">
        <v>0</v>
      </c>
      <c r="BV576" s="67"/>
      <c r="BW576" s="67"/>
      <c r="BX576" s="67">
        <v>0</v>
      </c>
      <c r="BY576" s="67">
        <v>0</v>
      </c>
      <c r="BZ576" s="67">
        <v>0</v>
      </c>
      <c r="CA576" s="67"/>
      <c r="CB576" s="67">
        <v>0</v>
      </c>
      <c r="CC576" s="67"/>
      <c r="CD576" s="67"/>
      <c r="CE576" s="67">
        <v>0</v>
      </c>
      <c r="CF576" s="67"/>
      <c r="CG576" s="67"/>
      <c r="CH576" s="67"/>
      <c r="CI576" s="67"/>
      <c r="CJ576" s="67"/>
      <c r="CK576" s="67">
        <v>0</v>
      </c>
      <c r="CL576" s="67"/>
      <c r="CM576" s="67"/>
      <c r="CN576" s="67"/>
      <c r="CO576" s="67">
        <v>0</v>
      </c>
      <c r="CP576" s="67"/>
      <c r="CQ576" s="67"/>
      <c r="CR576" s="67"/>
      <c r="CS576" s="67"/>
      <c r="CT576" s="67"/>
      <c r="CU576" s="67">
        <v>0</v>
      </c>
      <c r="CV576" s="67"/>
      <c r="CW576" s="67"/>
      <c r="CX576" s="67"/>
      <c r="CY576" s="67">
        <v>0</v>
      </c>
      <c r="CZ576" s="67"/>
      <c r="DA576" s="67"/>
      <c r="DB576" s="67"/>
      <c r="DC576" s="67"/>
      <c r="DF576" s="67"/>
      <c r="DG576" s="67">
        <v>0</v>
      </c>
      <c r="DH576" s="67">
        <v>0</v>
      </c>
      <c r="DI576" s="67">
        <v>0</v>
      </c>
      <c r="DJ576" s="67"/>
      <c r="DK576" s="67">
        <v>0</v>
      </c>
      <c r="DL576" s="67">
        <v>0</v>
      </c>
      <c r="DM576" s="67">
        <v>0</v>
      </c>
      <c r="DN576" s="67"/>
      <c r="DO576" s="67"/>
      <c r="DP576" s="67"/>
      <c r="DQ576" s="67">
        <v>0</v>
      </c>
      <c r="DR576" s="67">
        <v>0</v>
      </c>
      <c r="DS576" s="67"/>
      <c r="DT576" s="67"/>
      <c r="DU576" s="67">
        <v>0</v>
      </c>
      <c r="DV576" s="67">
        <v>0</v>
      </c>
      <c r="DW576" s="67">
        <v>0</v>
      </c>
      <c r="DX576" s="67">
        <v>0</v>
      </c>
      <c r="DY576" s="67"/>
      <c r="DZ576" s="67">
        <v>0</v>
      </c>
      <c r="EA576" s="67"/>
      <c r="EB576" s="67">
        <v>0</v>
      </c>
      <c r="EC576" s="67"/>
      <c r="ED576" s="67">
        <v>0</v>
      </c>
      <c r="EE576" s="67"/>
      <c r="EF576" s="67">
        <v>0</v>
      </c>
      <c r="EG576" s="67"/>
      <c r="EH576" s="67"/>
      <c r="EI576" s="67"/>
      <c r="EJ576" s="67"/>
      <c r="EK576" s="67"/>
      <c r="EL576" s="67"/>
      <c r="EM576" s="67"/>
      <c r="EN576" s="67"/>
      <c r="EO576" s="67"/>
      <c r="EP576" s="67">
        <v>0</v>
      </c>
      <c r="EQ576" s="67">
        <v>0</v>
      </c>
      <c r="ER576" s="67">
        <v>0</v>
      </c>
      <c r="ES576" s="67"/>
      <c r="ET576">
        <v>0</v>
      </c>
      <c r="EX576" s="67"/>
      <c r="EY576" s="67"/>
      <c r="EZ576" s="67"/>
      <c r="FA576" s="67">
        <v>0</v>
      </c>
      <c r="FB576" s="67">
        <v>0</v>
      </c>
      <c r="FC576" s="67"/>
      <c r="FD576" s="67"/>
      <c r="FE576" s="67"/>
      <c r="FF576" s="67"/>
      <c r="FG576" s="67"/>
      <c r="FH576" s="67"/>
      <c r="FI576" s="67" t="s">
        <v>1734</v>
      </c>
    </row>
    <row r="577" spans="2:165" x14ac:dyDescent="0.2">
      <c r="B577" s="67" t="s">
        <v>1495</v>
      </c>
      <c r="C577" s="67"/>
      <c r="D577" s="67" t="s">
        <v>1496</v>
      </c>
      <c r="E577" s="67" t="s">
        <v>20</v>
      </c>
      <c r="F577" s="67"/>
      <c r="G577" s="67" t="s">
        <v>694</v>
      </c>
      <c r="H577" s="67"/>
      <c r="I577" s="67"/>
      <c r="J577" s="67"/>
      <c r="K577" s="67" t="s">
        <v>733</v>
      </c>
      <c r="L577" s="67"/>
      <c r="M577" s="67"/>
      <c r="N577" s="67"/>
      <c r="O577" s="67" t="s">
        <v>1605</v>
      </c>
      <c r="P577" s="67"/>
      <c r="Q577" s="67">
        <v>0</v>
      </c>
      <c r="R577" s="67">
        <v>0</v>
      </c>
      <c r="S577" s="67">
        <v>0</v>
      </c>
      <c r="T577" s="67">
        <v>0</v>
      </c>
      <c r="U577" s="67">
        <v>0</v>
      </c>
      <c r="V577" s="67">
        <v>0</v>
      </c>
      <c r="W577" s="67">
        <v>0</v>
      </c>
      <c r="X577" s="67">
        <v>0</v>
      </c>
      <c r="Y577" s="67">
        <v>0</v>
      </c>
      <c r="Z577" s="67">
        <v>0</v>
      </c>
      <c r="AA577" s="67">
        <v>0</v>
      </c>
      <c r="AB577" s="67">
        <v>0</v>
      </c>
      <c r="AC577" s="67">
        <v>0</v>
      </c>
      <c r="AD577" s="67">
        <v>0</v>
      </c>
      <c r="AE577" s="67">
        <v>0</v>
      </c>
      <c r="AF577" s="67">
        <v>0</v>
      </c>
      <c r="AG577" s="67">
        <v>0</v>
      </c>
      <c r="AH577" s="67">
        <v>0</v>
      </c>
      <c r="AI577" s="67">
        <v>0</v>
      </c>
      <c r="AJ577" s="67">
        <v>0</v>
      </c>
      <c r="AK577" s="67">
        <v>0</v>
      </c>
      <c r="AL577" s="67">
        <v>0</v>
      </c>
      <c r="AM577" s="67">
        <v>0</v>
      </c>
      <c r="AN577" s="67">
        <v>0</v>
      </c>
      <c r="AO577" s="67">
        <v>0</v>
      </c>
      <c r="AP577" s="67">
        <v>0</v>
      </c>
      <c r="AQ577" s="67">
        <v>0</v>
      </c>
      <c r="AR577" s="67">
        <v>0</v>
      </c>
      <c r="AS577" s="67">
        <v>0</v>
      </c>
      <c r="AT577" s="67"/>
      <c r="AU577" s="67"/>
      <c r="AV577" s="67"/>
      <c r="AW577" s="67">
        <v>0</v>
      </c>
      <c r="AX577" s="67">
        <v>0</v>
      </c>
      <c r="AY577" s="67"/>
      <c r="AZ577" s="67"/>
      <c r="BA577" s="67"/>
      <c r="BB577" s="67"/>
      <c r="BC577" s="67"/>
      <c r="BD577" s="67"/>
      <c r="BE577" s="67"/>
      <c r="BG577" s="67"/>
      <c r="BH577" s="67"/>
      <c r="BI577" s="67"/>
      <c r="BJ577" s="67">
        <v>0</v>
      </c>
      <c r="BK577" s="67"/>
      <c r="BL577" s="67"/>
      <c r="BP577" s="67"/>
      <c r="BQ577" s="67">
        <v>0</v>
      </c>
      <c r="BR577" s="67"/>
      <c r="BS577" s="67"/>
      <c r="BT577" s="67">
        <v>0</v>
      </c>
      <c r="BU577" s="67">
        <v>0</v>
      </c>
      <c r="BV577" s="67"/>
      <c r="BW577" s="67"/>
      <c r="BX577" s="67">
        <v>0</v>
      </c>
      <c r="BY577" s="67">
        <v>0</v>
      </c>
      <c r="BZ577" s="67">
        <v>0</v>
      </c>
      <c r="CA577" s="67"/>
      <c r="CB577" s="67">
        <v>0</v>
      </c>
      <c r="CC577" s="67"/>
      <c r="CD577" s="67"/>
      <c r="CE577" s="67">
        <v>0</v>
      </c>
      <c r="CF577" s="67"/>
      <c r="CG577" s="67"/>
      <c r="CH577" s="67"/>
      <c r="CI577" s="67"/>
      <c r="CJ577" s="67"/>
      <c r="CK577" s="67">
        <v>0</v>
      </c>
      <c r="CL577" s="67"/>
      <c r="CM577" s="67"/>
      <c r="CN577" s="67"/>
      <c r="CO577" s="67">
        <v>0</v>
      </c>
      <c r="CP577" s="67"/>
      <c r="CQ577" s="67"/>
      <c r="CR577" s="67"/>
      <c r="CS577" s="67"/>
      <c r="CT577" s="67"/>
      <c r="CU577" s="67">
        <v>0</v>
      </c>
      <c r="CV577" s="67"/>
      <c r="CW577" s="67"/>
      <c r="CX577" s="67"/>
      <c r="CY577" s="67">
        <v>0</v>
      </c>
      <c r="CZ577" s="67"/>
      <c r="DA577" s="67"/>
      <c r="DB577" s="67"/>
      <c r="DC577" s="67"/>
      <c r="DF577" s="67"/>
      <c r="DG577" s="67">
        <v>0</v>
      </c>
      <c r="DH577" s="67">
        <v>0</v>
      </c>
      <c r="DI577" s="67">
        <v>0</v>
      </c>
      <c r="DJ577" s="67"/>
      <c r="DK577" s="67">
        <v>0</v>
      </c>
      <c r="DL577" s="67">
        <v>0</v>
      </c>
      <c r="DM577" s="67">
        <v>0</v>
      </c>
      <c r="DN577" s="67"/>
      <c r="DO577" s="67"/>
      <c r="DP577" s="67"/>
      <c r="DQ577" s="67">
        <v>0</v>
      </c>
      <c r="DR577" s="67">
        <v>0</v>
      </c>
      <c r="DS577" s="67"/>
      <c r="DT577" s="67"/>
      <c r="DU577" s="67">
        <v>0</v>
      </c>
      <c r="DV577" s="67">
        <v>0</v>
      </c>
      <c r="DW577" s="67">
        <v>0</v>
      </c>
      <c r="DX577" s="67">
        <v>0</v>
      </c>
      <c r="DY577" s="67"/>
      <c r="DZ577" s="67">
        <v>0</v>
      </c>
      <c r="EA577" s="67"/>
      <c r="EB577" s="67">
        <v>0</v>
      </c>
      <c r="EC577" s="67"/>
      <c r="ED577" s="67">
        <v>0</v>
      </c>
      <c r="EE577" s="67"/>
      <c r="EF577" s="67">
        <v>0</v>
      </c>
      <c r="EG577" s="67"/>
      <c r="EH577" s="67"/>
      <c r="EI577" s="67"/>
      <c r="EJ577" s="67"/>
      <c r="EK577" s="67"/>
      <c r="EL577" s="67"/>
      <c r="EM577" s="67"/>
      <c r="EN577" s="67"/>
      <c r="EO577" s="67"/>
      <c r="EP577" s="67">
        <v>0</v>
      </c>
      <c r="EQ577" s="67">
        <v>0</v>
      </c>
      <c r="ER577" s="67">
        <v>0</v>
      </c>
      <c r="ES577" s="67"/>
      <c r="ET577">
        <v>0</v>
      </c>
      <c r="EX577" s="67"/>
      <c r="EY577" s="67"/>
      <c r="EZ577" s="67"/>
      <c r="FA577" s="67">
        <v>0</v>
      </c>
      <c r="FB577" s="67">
        <v>0</v>
      </c>
      <c r="FC577" s="67"/>
      <c r="FD577" s="67"/>
      <c r="FE577" s="67"/>
      <c r="FF577" s="67"/>
      <c r="FG577" s="67"/>
      <c r="FH577" s="67"/>
      <c r="FI577" s="67" t="s">
        <v>1734</v>
      </c>
    </row>
    <row r="578" spans="2:165" x14ac:dyDescent="0.2">
      <c r="B578" s="67" t="s">
        <v>1497</v>
      </c>
      <c r="C578" s="67"/>
      <c r="D578" s="67" t="s">
        <v>1498</v>
      </c>
      <c r="E578" s="67" t="s">
        <v>20</v>
      </c>
      <c r="F578" s="67"/>
      <c r="G578" s="67" t="s">
        <v>694</v>
      </c>
      <c r="H578" s="67"/>
      <c r="I578" s="67"/>
      <c r="J578" s="67"/>
      <c r="K578" s="67" t="s">
        <v>733</v>
      </c>
      <c r="L578" s="67"/>
      <c r="M578" s="67"/>
      <c r="N578" s="67"/>
      <c r="O578" s="67" t="s">
        <v>1605</v>
      </c>
      <c r="P578" s="67"/>
      <c r="Q578" s="67">
        <v>0</v>
      </c>
      <c r="R578" s="67">
        <v>0</v>
      </c>
      <c r="S578" s="67">
        <v>0</v>
      </c>
      <c r="T578" s="67">
        <v>0</v>
      </c>
      <c r="U578" s="67">
        <v>0</v>
      </c>
      <c r="V578" s="67">
        <v>0</v>
      </c>
      <c r="W578" s="67">
        <v>0</v>
      </c>
      <c r="X578" s="67">
        <v>0</v>
      </c>
      <c r="Y578" s="67">
        <v>0</v>
      </c>
      <c r="Z578" s="67">
        <v>0</v>
      </c>
      <c r="AA578" s="67">
        <v>0</v>
      </c>
      <c r="AB578" s="67">
        <v>0</v>
      </c>
      <c r="AC578" s="67">
        <v>0</v>
      </c>
      <c r="AD578" s="67">
        <v>0</v>
      </c>
      <c r="AE578" s="67">
        <v>0</v>
      </c>
      <c r="AF578" s="67">
        <v>0</v>
      </c>
      <c r="AG578" s="67">
        <v>0</v>
      </c>
      <c r="AH578" s="67">
        <v>0</v>
      </c>
      <c r="AI578" s="67">
        <v>0</v>
      </c>
      <c r="AJ578" s="67">
        <v>0</v>
      </c>
      <c r="AK578" s="67">
        <v>0</v>
      </c>
      <c r="AL578" s="67">
        <v>0</v>
      </c>
      <c r="AM578" s="67">
        <v>0</v>
      </c>
      <c r="AN578" s="67">
        <v>0</v>
      </c>
      <c r="AO578" s="67">
        <v>0</v>
      </c>
      <c r="AP578" s="67">
        <v>0</v>
      </c>
      <c r="AQ578" s="67">
        <v>0</v>
      </c>
      <c r="AR578" s="67">
        <v>0</v>
      </c>
      <c r="AS578" s="67">
        <v>0</v>
      </c>
      <c r="AT578" s="67"/>
      <c r="AU578" s="67"/>
      <c r="AV578" s="67"/>
      <c r="AW578" s="67">
        <v>0</v>
      </c>
      <c r="AX578" s="67">
        <v>0</v>
      </c>
      <c r="AY578" s="67"/>
      <c r="AZ578" s="67"/>
      <c r="BA578" s="67"/>
      <c r="BB578" s="67"/>
      <c r="BC578" s="67"/>
      <c r="BD578" s="67"/>
      <c r="BE578" s="67"/>
      <c r="BG578" s="67"/>
      <c r="BH578" s="67"/>
      <c r="BI578" s="67"/>
      <c r="BJ578" s="67">
        <v>0</v>
      </c>
      <c r="BK578" s="67"/>
      <c r="BL578" s="67"/>
      <c r="BP578" s="67"/>
      <c r="BQ578" s="67">
        <v>0</v>
      </c>
      <c r="BR578" s="67"/>
      <c r="BS578" s="67"/>
      <c r="BT578" s="67">
        <v>0</v>
      </c>
      <c r="BU578" s="67">
        <v>0</v>
      </c>
      <c r="BV578" s="67"/>
      <c r="BW578" s="67"/>
      <c r="BX578" s="67">
        <v>0</v>
      </c>
      <c r="BY578" s="67">
        <v>0</v>
      </c>
      <c r="BZ578" s="67">
        <v>0</v>
      </c>
      <c r="CA578" s="67"/>
      <c r="CB578" s="67">
        <v>0</v>
      </c>
      <c r="CC578" s="67"/>
      <c r="CD578" s="67"/>
      <c r="CE578" s="67">
        <v>0</v>
      </c>
      <c r="CF578" s="67"/>
      <c r="CG578" s="67"/>
      <c r="CH578" s="67"/>
      <c r="CI578" s="67"/>
      <c r="CJ578" s="67"/>
      <c r="CK578" s="67">
        <v>0</v>
      </c>
      <c r="CL578" s="67"/>
      <c r="CM578" s="67"/>
      <c r="CN578" s="67"/>
      <c r="CO578" s="67">
        <v>0</v>
      </c>
      <c r="CP578" s="67"/>
      <c r="CQ578" s="67"/>
      <c r="CR578" s="67"/>
      <c r="CS578" s="67"/>
      <c r="CT578" s="67"/>
      <c r="CU578" s="67">
        <v>0</v>
      </c>
      <c r="CV578" s="67"/>
      <c r="CW578" s="67"/>
      <c r="CX578" s="67"/>
      <c r="CY578" s="67">
        <v>0</v>
      </c>
      <c r="CZ578" s="67"/>
      <c r="DA578" s="67"/>
      <c r="DB578" s="67"/>
      <c r="DC578" s="67"/>
      <c r="DF578" s="67"/>
      <c r="DG578" s="67">
        <v>0</v>
      </c>
      <c r="DH578" s="67">
        <v>0</v>
      </c>
      <c r="DI578" s="67">
        <v>0</v>
      </c>
      <c r="DJ578" s="67"/>
      <c r="DK578" s="67">
        <v>0</v>
      </c>
      <c r="DL578" s="67">
        <v>0</v>
      </c>
      <c r="DM578" s="67">
        <v>0</v>
      </c>
      <c r="DN578" s="67"/>
      <c r="DO578" s="67"/>
      <c r="DP578" s="67"/>
      <c r="DQ578" s="67">
        <v>0</v>
      </c>
      <c r="DR578" s="67">
        <v>0</v>
      </c>
      <c r="DS578" s="67"/>
      <c r="DT578" s="67"/>
      <c r="DU578" s="67">
        <v>0</v>
      </c>
      <c r="DV578" s="67">
        <v>0</v>
      </c>
      <c r="DW578" s="67">
        <v>0</v>
      </c>
      <c r="DX578" s="67">
        <v>0</v>
      </c>
      <c r="DY578" s="67"/>
      <c r="DZ578" s="67">
        <v>0</v>
      </c>
      <c r="EA578" s="67"/>
      <c r="EB578" s="67">
        <v>0</v>
      </c>
      <c r="EC578" s="67"/>
      <c r="ED578" s="67">
        <v>0</v>
      </c>
      <c r="EE578" s="67"/>
      <c r="EF578" s="67">
        <v>0</v>
      </c>
      <c r="EG578" s="67"/>
      <c r="EH578" s="67"/>
      <c r="EI578" s="67"/>
      <c r="EJ578" s="67"/>
      <c r="EK578" s="67"/>
      <c r="EL578" s="67"/>
      <c r="EM578" s="67"/>
      <c r="EN578" s="67"/>
      <c r="EO578" s="67"/>
      <c r="EP578" s="67">
        <v>0</v>
      </c>
      <c r="EQ578" s="67">
        <v>0</v>
      </c>
      <c r="ER578" s="67">
        <v>0</v>
      </c>
      <c r="ES578" s="67"/>
      <c r="ET578">
        <v>0</v>
      </c>
      <c r="EX578" s="67"/>
      <c r="EY578" s="67"/>
      <c r="EZ578" s="67"/>
      <c r="FA578" s="67">
        <v>0</v>
      </c>
      <c r="FB578" s="67">
        <v>0</v>
      </c>
      <c r="FC578" s="67"/>
      <c r="FD578" s="67"/>
      <c r="FE578" s="67"/>
      <c r="FF578" s="67"/>
      <c r="FG578" s="67"/>
      <c r="FH578" s="67"/>
      <c r="FI578" s="67" t="s">
        <v>1734</v>
      </c>
    </row>
    <row r="579" spans="2:165" x14ac:dyDescent="0.2">
      <c r="B579" s="67" t="s">
        <v>1499</v>
      </c>
      <c r="C579" s="67"/>
      <c r="D579" s="67" t="s">
        <v>1500</v>
      </c>
      <c r="E579" s="67" t="s">
        <v>20</v>
      </c>
      <c r="F579" s="67"/>
      <c r="G579" s="67" t="s">
        <v>694</v>
      </c>
      <c r="H579" s="67"/>
      <c r="I579" s="67"/>
      <c r="J579" s="67"/>
      <c r="K579" s="67" t="s">
        <v>733</v>
      </c>
      <c r="L579" s="67"/>
      <c r="M579" s="67"/>
      <c r="N579" s="67"/>
      <c r="O579" s="67" t="s">
        <v>1605</v>
      </c>
      <c r="P579" s="67"/>
      <c r="Q579" s="67">
        <v>0</v>
      </c>
      <c r="R579" s="67">
        <v>0</v>
      </c>
      <c r="S579" s="67">
        <v>0</v>
      </c>
      <c r="T579" s="67">
        <v>0</v>
      </c>
      <c r="U579" s="67">
        <v>0</v>
      </c>
      <c r="V579" s="67">
        <v>0</v>
      </c>
      <c r="W579" s="67">
        <v>0</v>
      </c>
      <c r="X579" s="67">
        <v>0</v>
      </c>
      <c r="Y579" s="67">
        <v>0</v>
      </c>
      <c r="Z579" s="67">
        <v>0</v>
      </c>
      <c r="AA579" s="67">
        <v>0</v>
      </c>
      <c r="AB579" s="67">
        <v>0</v>
      </c>
      <c r="AC579" s="67">
        <v>0</v>
      </c>
      <c r="AD579" s="67">
        <v>0</v>
      </c>
      <c r="AE579" s="67">
        <v>0</v>
      </c>
      <c r="AF579" s="67">
        <v>0</v>
      </c>
      <c r="AG579" s="67">
        <v>0</v>
      </c>
      <c r="AH579" s="67">
        <v>0</v>
      </c>
      <c r="AI579" s="67">
        <v>0</v>
      </c>
      <c r="AJ579" s="67">
        <v>0</v>
      </c>
      <c r="AK579" s="67">
        <v>0</v>
      </c>
      <c r="AL579" s="67">
        <v>0</v>
      </c>
      <c r="AM579" s="67">
        <v>0</v>
      </c>
      <c r="AN579" s="67">
        <v>0</v>
      </c>
      <c r="AO579" s="67">
        <v>0</v>
      </c>
      <c r="AP579" s="67">
        <v>0</v>
      </c>
      <c r="AQ579" s="67">
        <v>0</v>
      </c>
      <c r="AR579" s="67">
        <v>0</v>
      </c>
      <c r="AS579" s="67">
        <v>0</v>
      </c>
      <c r="AT579" s="67"/>
      <c r="AU579" s="67"/>
      <c r="AV579" s="67"/>
      <c r="AW579" s="67">
        <v>0</v>
      </c>
      <c r="AX579" s="67">
        <v>0</v>
      </c>
      <c r="AY579" s="67"/>
      <c r="AZ579" s="67"/>
      <c r="BA579" s="67"/>
      <c r="BB579" s="67"/>
      <c r="BC579" s="67"/>
      <c r="BD579" s="67"/>
      <c r="BE579" s="67"/>
      <c r="BG579" s="67"/>
      <c r="BH579" s="67"/>
      <c r="BI579" s="67"/>
      <c r="BJ579" s="67">
        <v>0</v>
      </c>
      <c r="BK579" s="67"/>
      <c r="BL579" s="67"/>
      <c r="BP579" s="67"/>
      <c r="BQ579" s="67">
        <v>0</v>
      </c>
      <c r="BR579" s="67"/>
      <c r="BS579" s="67"/>
      <c r="BT579" s="67">
        <v>0</v>
      </c>
      <c r="BU579" s="67">
        <v>0</v>
      </c>
      <c r="BV579" s="67"/>
      <c r="BW579" s="67"/>
      <c r="BX579" s="67">
        <v>0</v>
      </c>
      <c r="BY579" s="67">
        <v>0</v>
      </c>
      <c r="BZ579" s="67">
        <v>0</v>
      </c>
      <c r="CA579" s="67"/>
      <c r="CB579" s="67">
        <v>0</v>
      </c>
      <c r="CC579" s="67"/>
      <c r="CD579" s="67"/>
      <c r="CE579" s="67">
        <v>0</v>
      </c>
      <c r="CF579" s="67"/>
      <c r="CG579" s="67"/>
      <c r="CH579" s="67"/>
      <c r="CI579" s="67"/>
      <c r="CJ579" s="67"/>
      <c r="CK579" s="67">
        <v>0</v>
      </c>
      <c r="CL579" s="67"/>
      <c r="CM579" s="67"/>
      <c r="CN579" s="67"/>
      <c r="CO579" s="67">
        <v>0</v>
      </c>
      <c r="CP579" s="67"/>
      <c r="CQ579" s="67"/>
      <c r="CR579" s="67"/>
      <c r="CS579" s="67"/>
      <c r="CT579" s="67"/>
      <c r="CU579" s="67">
        <v>0</v>
      </c>
      <c r="CV579" s="67"/>
      <c r="CW579" s="67"/>
      <c r="CX579" s="67"/>
      <c r="CY579" s="67">
        <v>0</v>
      </c>
      <c r="CZ579" s="67"/>
      <c r="DA579" s="67"/>
      <c r="DB579" s="67"/>
      <c r="DC579" s="67"/>
      <c r="DF579" s="67"/>
      <c r="DG579" s="67">
        <v>0</v>
      </c>
      <c r="DH579" s="67">
        <v>0</v>
      </c>
      <c r="DI579" s="67">
        <v>0</v>
      </c>
      <c r="DJ579" s="67"/>
      <c r="DK579" s="67">
        <v>0</v>
      </c>
      <c r="DL579" s="67">
        <v>0</v>
      </c>
      <c r="DM579" s="67">
        <v>0</v>
      </c>
      <c r="DN579" s="67"/>
      <c r="DO579" s="67"/>
      <c r="DP579" s="67"/>
      <c r="DQ579" s="67">
        <v>0</v>
      </c>
      <c r="DR579" s="67">
        <v>0</v>
      </c>
      <c r="DS579" s="67"/>
      <c r="DT579" s="67"/>
      <c r="DU579" s="67">
        <v>0</v>
      </c>
      <c r="DV579" s="67">
        <v>0</v>
      </c>
      <c r="DW579" s="67">
        <v>0</v>
      </c>
      <c r="DX579" s="67">
        <v>0</v>
      </c>
      <c r="DY579" s="67"/>
      <c r="DZ579" s="67">
        <v>0</v>
      </c>
      <c r="EA579" s="67"/>
      <c r="EB579" s="67">
        <v>0</v>
      </c>
      <c r="EC579" s="67"/>
      <c r="ED579" s="67">
        <v>0</v>
      </c>
      <c r="EE579" s="67"/>
      <c r="EF579" s="67">
        <v>0</v>
      </c>
      <c r="EG579" s="67"/>
      <c r="EH579" s="67"/>
      <c r="EI579" s="67"/>
      <c r="EJ579" s="67"/>
      <c r="EK579" s="67"/>
      <c r="EL579" s="67"/>
      <c r="EM579" s="67"/>
      <c r="EN579" s="67"/>
      <c r="EO579" s="67"/>
      <c r="EP579" s="67">
        <v>0</v>
      </c>
      <c r="EQ579" s="67">
        <v>0</v>
      </c>
      <c r="ER579" s="67">
        <v>0</v>
      </c>
      <c r="ES579" s="67"/>
      <c r="ET579">
        <v>0</v>
      </c>
      <c r="EX579" s="67"/>
      <c r="EY579" s="67"/>
      <c r="EZ579" s="67"/>
      <c r="FA579" s="67">
        <v>0</v>
      </c>
      <c r="FB579" s="67">
        <v>0</v>
      </c>
      <c r="FC579" s="67"/>
      <c r="FD579" s="67"/>
      <c r="FE579" s="67"/>
      <c r="FF579" s="67"/>
      <c r="FG579" s="67"/>
      <c r="FH579" s="67"/>
      <c r="FI579" s="67" t="s">
        <v>1734</v>
      </c>
    </row>
    <row r="580" spans="2:165" x14ac:dyDescent="0.2">
      <c r="B580" s="67" t="s">
        <v>1501</v>
      </c>
      <c r="C580" s="67"/>
      <c r="D580" s="67" t="s">
        <v>1502</v>
      </c>
      <c r="E580" s="67"/>
      <c r="F580" s="67"/>
      <c r="G580" s="67" t="s">
        <v>694</v>
      </c>
      <c r="H580" s="67"/>
      <c r="I580" s="67"/>
      <c r="J580" s="67"/>
      <c r="K580" s="67" t="s">
        <v>733</v>
      </c>
      <c r="L580" s="67"/>
      <c r="M580" s="67"/>
      <c r="N580" s="67"/>
      <c r="O580" s="67" t="s">
        <v>1605</v>
      </c>
      <c r="P580" s="67"/>
      <c r="Q580" s="67">
        <v>0</v>
      </c>
      <c r="R580" s="67">
        <v>0</v>
      </c>
      <c r="S580" s="67">
        <v>0</v>
      </c>
      <c r="T580" s="67">
        <v>0</v>
      </c>
      <c r="U580" s="67">
        <v>0</v>
      </c>
      <c r="V580" s="67">
        <v>0</v>
      </c>
      <c r="W580" s="67">
        <v>0</v>
      </c>
      <c r="X580" s="67">
        <v>0</v>
      </c>
      <c r="Y580" s="67">
        <v>0</v>
      </c>
      <c r="Z580" s="67">
        <v>0</v>
      </c>
      <c r="AA580" s="67">
        <v>0</v>
      </c>
      <c r="AB580" s="67">
        <v>0</v>
      </c>
      <c r="AC580" s="67">
        <v>0</v>
      </c>
      <c r="AD580" s="67">
        <v>0</v>
      </c>
      <c r="AE580" s="67">
        <v>0</v>
      </c>
      <c r="AF580" s="67">
        <v>0</v>
      </c>
      <c r="AG580" s="67">
        <v>0</v>
      </c>
      <c r="AH580" s="67">
        <v>0</v>
      </c>
      <c r="AI580" s="67">
        <v>0</v>
      </c>
      <c r="AJ580" s="67">
        <v>0</v>
      </c>
      <c r="AK580" s="67">
        <v>0</v>
      </c>
      <c r="AL580" s="67">
        <v>0</v>
      </c>
      <c r="AM580" s="67">
        <v>0</v>
      </c>
      <c r="AN580" s="67">
        <v>0</v>
      </c>
      <c r="AO580" s="67">
        <v>0</v>
      </c>
      <c r="AP580" s="67">
        <v>0</v>
      </c>
      <c r="AQ580" s="67">
        <v>0</v>
      </c>
      <c r="AR580" s="67">
        <v>0</v>
      </c>
      <c r="AS580" s="67">
        <v>0</v>
      </c>
      <c r="AT580" s="67"/>
      <c r="AU580" s="67"/>
      <c r="AV580" s="67"/>
      <c r="AW580" s="67">
        <v>0</v>
      </c>
      <c r="AX580" s="67">
        <v>0</v>
      </c>
      <c r="AY580" s="67"/>
      <c r="AZ580" s="67"/>
      <c r="BA580" s="67"/>
      <c r="BB580" s="67"/>
      <c r="BC580" s="67"/>
      <c r="BD580" s="67"/>
      <c r="BE580" s="67"/>
      <c r="BG580" s="67"/>
      <c r="BH580" s="67"/>
      <c r="BI580" s="67"/>
      <c r="BJ580" s="67">
        <v>0</v>
      </c>
      <c r="BK580" s="67"/>
      <c r="BL580" s="67"/>
      <c r="BP580" s="67"/>
      <c r="BQ580" s="67">
        <v>0</v>
      </c>
      <c r="BR580" s="67"/>
      <c r="BS580" s="67"/>
      <c r="BT580" s="67">
        <v>0</v>
      </c>
      <c r="BU580" s="67">
        <v>0</v>
      </c>
      <c r="BV580" s="67"/>
      <c r="BW580" s="67"/>
      <c r="BX580" s="67">
        <v>0</v>
      </c>
      <c r="BY580" s="67">
        <v>0</v>
      </c>
      <c r="BZ580" s="67">
        <v>0</v>
      </c>
      <c r="CA580" s="67"/>
      <c r="CB580" s="67">
        <v>0</v>
      </c>
      <c r="CC580" s="67"/>
      <c r="CD580" s="67"/>
      <c r="CE580" s="67">
        <v>0</v>
      </c>
      <c r="CF580" s="67"/>
      <c r="CG580" s="67"/>
      <c r="CH580" s="67"/>
      <c r="CI580" s="67"/>
      <c r="CJ580" s="67"/>
      <c r="CK580" s="67">
        <v>0</v>
      </c>
      <c r="CL580" s="67"/>
      <c r="CM580" s="67"/>
      <c r="CN580" s="67"/>
      <c r="CO580" s="67">
        <v>0</v>
      </c>
      <c r="CP580" s="67"/>
      <c r="CQ580" s="67"/>
      <c r="CR580" s="67"/>
      <c r="CS580" s="67"/>
      <c r="CT580" s="67"/>
      <c r="CU580" s="67">
        <v>0</v>
      </c>
      <c r="CV580" s="67"/>
      <c r="CW580" s="67"/>
      <c r="CX580" s="67"/>
      <c r="CY580" s="67">
        <v>0</v>
      </c>
      <c r="CZ580" s="67"/>
      <c r="DA580" s="67"/>
      <c r="DB580" s="67"/>
      <c r="DC580" s="67"/>
      <c r="DF580" s="67"/>
      <c r="DG580" s="67">
        <v>0</v>
      </c>
      <c r="DH580" s="67">
        <v>0</v>
      </c>
      <c r="DI580" s="67">
        <v>0</v>
      </c>
      <c r="DJ580" s="67"/>
      <c r="DK580" s="67">
        <v>0</v>
      </c>
      <c r="DL580" s="67">
        <v>0</v>
      </c>
      <c r="DM580" s="67">
        <v>0</v>
      </c>
      <c r="DN580" s="67"/>
      <c r="DO580" s="67"/>
      <c r="DP580" s="67"/>
      <c r="DQ580" s="67">
        <v>0</v>
      </c>
      <c r="DR580" s="67">
        <v>0</v>
      </c>
      <c r="DS580" s="67"/>
      <c r="DT580" s="67"/>
      <c r="DU580" s="67">
        <v>0</v>
      </c>
      <c r="DV580" s="67">
        <v>0</v>
      </c>
      <c r="DW580" s="67">
        <v>0</v>
      </c>
      <c r="DX580" s="67">
        <v>0</v>
      </c>
      <c r="DY580" s="67"/>
      <c r="DZ580" s="67">
        <v>0</v>
      </c>
      <c r="EA580" s="67"/>
      <c r="EB580" s="67">
        <v>0</v>
      </c>
      <c r="EC580" s="67"/>
      <c r="ED580" s="67">
        <v>0</v>
      </c>
      <c r="EE580" s="67"/>
      <c r="EF580" s="67">
        <v>0</v>
      </c>
      <c r="EG580" s="67"/>
      <c r="EH580" s="67"/>
      <c r="EI580" s="67"/>
      <c r="EJ580" s="67"/>
      <c r="EK580" s="67"/>
      <c r="EL580" s="67"/>
      <c r="EM580" s="67"/>
      <c r="EN580" s="67"/>
      <c r="EO580" s="67"/>
      <c r="EP580" s="67">
        <v>0</v>
      </c>
      <c r="EQ580" s="67">
        <v>0</v>
      </c>
      <c r="ER580" s="67">
        <v>0</v>
      </c>
      <c r="ES580" s="67"/>
      <c r="ET580">
        <v>0</v>
      </c>
      <c r="EX580" s="67"/>
      <c r="EY580" s="67"/>
      <c r="EZ580" s="67"/>
      <c r="FA580" s="67">
        <v>0</v>
      </c>
      <c r="FB580" s="67">
        <v>0</v>
      </c>
      <c r="FC580" s="67"/>
      <c r="FD580" s="67"/>
      <c r="FE580" s="67"/>
      <c r="FF580" s="67"/>
      <c r="FG580" s="67"/>
      <c r="FH580" s="67"/>
      <c r="FI580" s="67" t="s">
        <v>1734</v>
      </c>
    </row>
    <row r="581" spans="2:165" x14ac:dyDescent="0.2">
      <c r="B581" s="67" t="s">
        <v>1503</v>
      </c>
      <c r="C581" s="67"/>
      <c r="D581" s="67" t="s">
        <v>1504</v>
      </c>
      <c r="E581" s="67"/>
      <c r="F581" s="67"/>
      <c r="G581" s="67" t="s">
        <v>694</v>
      </c>
      <c r="H581" s="67"/>
      <c r="I581" s="67"/>
      <c r="J581" s="67"/>
      <c r="K581" s="67" t="s">
        <v>733</v>
      </c>
      <c r="L581" s="67"/>
      <c r="M581" s="67"/>
      <c r="N581" s="67"/>
      <c r="O581" s="67" t="s">
        <v>1605</v>
      </c>
      <c r="P581" s="67"/>
      <c r="Q581" s="67">
        <v>0</v>
      </c>
      <c r="R581" s="67">
        <v>0</v>
      </c>
      <c r="S581" s="67">
        <v>0</v>
      </c>
      <c r="T581" s="67">
        <v>0</v>
      </c>
      <c r="U581" s="67">
        <v>0</v>
      </c>
      <c r="V581" s="67">
        <v>0</v>
      </c>
      <c r="W581" s="67">
        <v>0</v>
      </c>
      <c r="X581" s="67">
        <v>0</v>
      </c>
      <c r="Y581" s="67">
        <v>0</v>
      </c>
      <c r="Z581" s="67">
        <v>0</v>
      </c>
      <c r="AA581" s="67">
        <v>0</v>
      </c>
      <c r="AB581" s="67">
        <v>0</v>
      </c>
      <c r="AC581" s="67">
        <v>0</v>
      </c>
      <c r="AD581" s="67">
        <v>0</v>
      </c>
      <c r="AE581" s="67">
        <v>0</v>
      </c>
      <c r="AF581" s="67">
        <v>0</v>
      </c>
      <c r="AG581" s="67">
        <v>0</v>
      </c>
      <c r="AH581" s="67">
        <v>0</v>
      </c>
      <c r="AI581" s="67">
        <v>0</v>
      </c>
      <c r="AJ581" s="67">
        <v>0</v>
      </c>
      <c r="AK581" s="67">
        <v>0</v>
      </c>
      <c r="AL581" s="67">
        <v>0</v>
      </c>
      <c r="AM581" s="67">
        <v>0</v>
      </c>
      <c r="AN581" s="67">
        <v>0</v>
      </c>
      <c r="AO581" s="67">
        <v>0</v>
      </c>
      <c r="AP581" s="67">
        <v>0</v>
      </c>
      <c r="AQ581" s="67">
        <v>0</v>
      </c>
      <c r="AR581" s="67">
        <v>0</v>
      </c>
      <c r="AS581" s="67">
        <v>0</v>
      </c>
      <c r="AT581" s="67"/>
      <c r="AU581" s="67"/>
      <c r="AV581" s="67"/>
      <c r="AW581" s="67">
        <v>0</v>
      </c>
      <c r="AX581" s="67">
        <v>0</v>
      </c>
      <c r="AY581" s="67"/>
      <c r="AZ581" s="67"/>
      <c r="BA581" s="67"/>
      <c r="BB581" s="67"/>
      <c r="BC581" s="67"/>
      <c r="BD581" s="67"/>
      <c r="BE581" s="67"/>
      <c r="BG581" s="67"/>
      <c r="BH581" s="67"/>
      <c r="BI581" s="67"/>
      <c r="BJ581" s="67">
        <v>0</v>
      </c>
      <c r="BK581" s="67"/>
      <c r="BL581" s="67"/>
      <c r="BP581" s="67"/>
      <c r="BQ581" s="67">
        <v>0</v>
      </c>
      <c r="BR581" s="67"/>
      <c r="BS581" s="67"/>
      <c r="BT581" s="67">
        <v>0</v>
      </c>
      <c r="BU581" s="67">
        <v>0</v>
      </c>
      <c r="BV581" s="67"/>
      <c r="BW581" s="67"/>
      <c r="BX581" s="67">
        <v>0</v>
      </c>
      <c r="BY581" s="67">
        <v>0</v>
      </c>
      <c r="BZ581" s="67">
        <v>0</v>
      </c>
      <c r="CA581" s="67"/>
      <c r="CB581" s="67">
        <v>0</v>
      </c>
      <c r="CC581" s="67"/>
      <c r="CD581" s="67"/>
      <c r="CE581" s="67">
        <v>0</v>
      </c>
      <c r="CF581" s="67"/>
      <c r="CG581" s="67"/>
      <c r="CH581" s="67"/>
      <c r="CI581" s="67"/>
      <c r="CJ581" s="67"/>
      <c r="CK581" s="67">
        <v>0</v>
      </c>
      <c r="CL581" s="67"/>
      <c r="CM581" s="67"/>
      <c r="CN581" s="67"/>
      <c r="CO581" s="67">
        <v>0</v>
      </c>
      <c r="CP581" s="67"/>
      <c r="CQ581" s="67"/>
      <c r="CR581" s="67"/>
      <c r="CS581" s="67"/>
      <c r="CT581" s="67"/>
      <c r="CU581" s="67">
        <v>0</v>
      </c>
      <c r="CV581" s="67"/>
      <c r="CW581" s="67"/>
      <c r="CX581" s="67"/>
      <c r="CY581" s="67">
        <v>0</v>
      </c>
      <c r="CZ581" s="67"/>
      <c r="DA581" s="67"/>
      <c r="DB581" s="67"/>
      <c r="DC581" s="67"/>
      <c r="DF581" s="67"/>
      <c r="DG581" s="67">
        <v>0</v>
      </c>
      <c r="DH581" s="67">
        <v>0</v>
      </c>
      <c r="DI581" s="67">
        <v>0</v>
      </c>
      <c r="DJ581" s="67"/>
      <c r="DK581" s="67">
        <v>0</v>
      </c>
      <c r="DL581" s="67">
        <v>0</v>
      </c>
      <c r="DM581" s="67">
        <v>0</v>
      </c>
      <c r="DN581" s="67"/>
      <c r="DO581" s="67"/>
      <c r="DP581" s="67"/>
      <c r="DQ581" s="67">
        <v>0</v>
      </c>
      <c r="DR581" s="67">
        <v>0</v>
      </c>
      <c r="DS581" s="67"/>
      <c r="DT581" s="67"/>
      <c r="DU581" s="67">
        <v>0</v>
      </c>
      <c r="DV581" s="67">
        <v>0</v>
      </c>
      <c r="DW581" s="67">
        <v>0</v>
      </c>
      <c r="DX581" s="67">
        <v>0</v>
      </c>
      <c r="DY581" s="67"/>
      <c r="DZ581" s="67">
        <v>0</v>
      </c>
      <c r="EA581" s="67"/>
      <c r="EB581" s="67">
        <v>0</v>
      </c>
      <c r="EC581" s="67"/>
      <c r="ED581" s="67">
        <v>0</v>
      </c>
      <c r="EE581" s="67"/>
      <c r="EF581" s="67">
        <v>0</v>
      </c>
      <c r="EG581" s="67"/>
      <c r="EH581" s="67"/>
      <c r="EI581" s="67"/>
      <c r="EJ581" s="67"/>
      <c r="EK581" s="67"/>
      <c r="EL581" s="67"/>
      <c r="EM581" s="67"/>
      <c r="EN581" s="67"/>
      <c r="EO581" s="67"/>
      <c r="EP581" s="67">
        <v>0</v>
      </c>
      <c r="EQ581" s="67">
        <v>0</v>
      </c>
      <c r="ER581" s="67">
        <v>0</v>
      </c>
      <c r="ES581" s="67"/>
      <c r="ET581">
        <v>0</v>
      </c>
      <c r="EX581" s="67"/>
      <c r="EY581" s="67"/>
      <c r="EZ581" s="67"/>
      <c r="FA581" s="67">
        <v>0</v>
      </c>
      <c r="FB581" s="67">
        <v>0</v>
      </c>
      <c r="FC581" s="67"/>
      <c r="FD581" s="67"/>
      <c r="FE581" s="67"/>
      <c r="FF581" s="67"/>
      <c r="FG581" s="67"/>
      <c r="FH581" s="67"/>
      <c r="FI581" s="67" t="s">
        <v>1734</v>
      </c>
    </row>
    <row r="582" spans="2:165" x14ac:dyDescent="0.2">
      <c r="B582" s="67" t="s">
        <v>1505</v>
      </c>
      <c r="C582" s="67"/>
      <c r="D582" s="67" t="s">
        <v>1506</v>
      </c>
      <c r="E582" s="67" t="s">
        <v>20</v>
      </c>
      <c r="F582" s="67"/>
      <c r="G582" s="67" t="s">
        <v>694</v>
      </c>
      <c r="H582" s="67"/>
      <c r="I582" s="67"/>
      <c r="J582" s="67"/>
      <c r="K582" s="67" t="s">
        <v>733</v>
      </c>
      <c r="L582" s="67"/>
      <c r="M582" s="67"/>
      <c r="N582" s="67"/>
      <c r="O582" s="67" t="s">
        <v>1605</v>
      </c>
      <c r="P582" s="67"/>
      <c r="Q582" s="67">
        <v>0</v>
      </c>
      <c r="R582" s="67">
        <v>0</v>
      </c>
      <c r="S582" s="67">
        <v>0</v>
      </c>
      <c r="T582" s="67">
        <v>0</v>
      </c>
      <c r="U582" s="67">
        <v>0</v>
      </c>
      <c r="V582" s="67">
        <v>0</v>
      </c>
      <c r="W582" s="67">
        <v>0</v>
      </c>
      <c r="X582" s="67">
        <v>0</v>
      </c>
      <c r="Y582" s="67">
        <v>0</v>
      </c>
      <c r="Z582" s="67">
        <v>0</v>
      </c>
      <c r="AA582" s="67">
        <v>0</v>
      </c>
      <c r="AB582" s="67">
        <v>0</v>
      </c>
      <c r="AC582" s="67">
        <v>0</v>
      </c>
      <c r="AD582" s="67">
        <v>0</v>
      </c>
      <c r="AE582" s="67">
        <v>0</v>
      </c>
      <c r="AF582" s="67">
        <v>0</v>
      </c>
      <c r="AG582" s="67">
        <v>0</v>
      </c>
      <c r="AH582" s="67">
        <v>0</v>
      </c>
      <c r="AI582" s="67">
        <v>0</v>
      </c>
      <c r="AJ582" s="67">
        <v>0</v>
      </c>
      <c r="AK582" s="67">
        <v>0</v>
      </c>
      <c r="AL582" s="67">
        <v>0</v>
      </c>
      <c r="AM582" s="67">
        <v>0</v>
      </c>
      <c r="AN582" s="67">
        <v>0</v>
      </c>
      <c r="AO582" s="67">
        <v>0</v>
      </c>
      <c r="AP582" s="67">
        <v>0</v>
      </c>
      <c r="AQ582" s="67">
        <v>0</v>
      </c>
      <c r="AR582" s="67">
        <v>0</v>
      </c>
      <c r="AS582" s="67">
        <v>0</v>
      </c>
      <c r="AT582" s="67"/>
      <c r="AU582" s="67"/>
      <c r="AV582" s="67"/>
      <c r="AW582" s="67">
        <v>0</v>
      </c>
      <c r="AX582" s="67">
        <v>0</v>
      </c>
      <c r="AY582" s="67"/>
      <c r="AZ582" s="67"/>
      <c r="BA582" s="67"/>
      <c r="BB582" s="67"/>
      <c r="BC582" s="67"/>
      <c r="BD582" s="67"/>
      <c r="BE582" s="67"/>
      <c r="BG582" s="67"/>
      <c r="BH582" s="67"/>
      <c r="BI582" s="67"/>
      <c r="BJ582" s="67">
        <v>0</v>
      </c>
      <c r="BK582" s="67"/>
      <c r="BL582" s="67"/>
      <c r="BP582" s="67"/>
      <c r="BQ582" s="67">
        <v>0</v>
      </c>
      <c r="BR582" s="67"/>
      <c r="BS582" s="67"/>
      <c r="BT582" s="67">
        <v>0</v>
      </c>
      <c r="BU582" s="67">
        <v>0</v>
      </c>
      <c r="BV582" s="67"/>
      <c r="BW582" s="67"/>
      <c r="BX582" s="67">
        <v>0</v>
      </c>
      <c r="BY582" s="67">
        <v>0</v>
      </c>
      <c r="BZ582" s="67">
        <v>0</v>
      </c>
      <c r="CA582" s="67"/>
      <c r="CB582" s="67">
        <v>0</v>
      </c>
      <c r="CC582" s="67"/>
      <c r="CD582" s="67"/>
      <c r="CE582" s="67">
        <v>0</v>
      </c>
      <c r="CF582" s="67"/>
      <c r="CG582" s="67"/>
      <c r="CH582" s="67"/>
      <c r="CI582" s="67"/>
      <c r="CJ582" s="67"/>
      <c r="CK582" s="67">
        <v>0</v>
      </c>
      <c r="CL582" s="67"/>
      <c r="CM582" s="67"/>
      <c r="CN582" s="67"/>
      <c r="CO582" s="67">
        <v>0</v>
      </c>
      <c r="CP582" s="67"/>
      <c r="CQ582" s="67"/>
      <c r="CR582" s="67"/>
      <c r="CS582" s="67"/>
      <c r="CT582" s="67"/>
      <c r="CU582" s="67">
        <v>0</v>
      </c>
      <c r="CV582" s="67"/>
      <c r="CW582" s="67"/>
      <c r="CX582" s="67"/>
      <c r="CY582" s="67">
        <v>0</v>
      </c>
      <c r="CZ582" s="67"/>
      <c r="DA582" s="67"/>
      <c r="DB582" s="67"/>
      <c r="DC582" s="67"/>
      <c r="DF582" s="67"/>
      <c r="DG582" s="67">
        <v>0</v>
      </c>
      <c r="DH582" s="67">
        <v>0</v>
      </c>
      <c r="DI582" s="67">
        <v>0</v>
      </c>
      <c r="DJ582" s="67"/>
      <c r="DK582" s="67">
        <v>0</v>
      </c>
      <c r="DL582" s="67">
        <v>0</v>
      </c>
      <c r="DM582" s="67">
        <v>0</v>
      </c>
      <c r="DN582" s="67"/>
      <c r="DO582" s="67"/>
      <c r="DP582" s="67"/>
      <c r="DQ582" s="67">
        <v>0</v>
      </c>
      <c r="DR582" s="67">
        <v>0</v>
      </c>
      <c r="DS582" s="67"/>
      <c r="DT582" s="67"/>
      <c r="DU582" s="67">
        <v>0</v>
      </c>
      <c r="DV582" s="67">
        <v>0</v>
      </c>
      <c r="DW582" s="67">
        <v>0</v>
      </c>
      <c r="DX582" s="67">
        <v>0</v>
      </c>
      <c r="DY582" s="67"/>
      <c r="DZ582" s="67">
        <v>0</v>
      </c>
      <c r="EA582" s="67"/>
      <c r="EB582" s="67">
        <v>0</v>
      </c>
      <c r="EC582" s="67"/>
      <c r="ED582" s="67">
        <v>0</v>
      </c>
      <c r="EE582" s="67"/>
      <c r="EF582" s="67">
        <v>0</v>
      </c>
      <c r="EG582" s="67"/>
      <c r="EH582" s="67"/>
      <c r="EI582" s="67"/>
      <c r="EJ582" s="67"/>
      <c r="EK582" s="67"/>
      <c r="EL582" s="67"/>
      <c r="EM582" s="67"/>
      <c r="EN582" s="67"/>
      <c r="EO582" s="67"/>
      <c r="EP582" s="67">
        <v>0</v>
      </c>
      <c r="EQ582" s="67">
        <v>0</v>
      </c>
      <c r="ER582" s="67">
        <v>0</v>
      </c>
      <c r="ES582" s="67"/>
      <c r="ET582">
        <v>0</v>
      </c>
      <c r="EX582" s="67"/>
      <c r="EY582" s="67"/>
      <c r="EZ582" s="67"/>
      <c r="FA582" s="67">
        <v>0</v>
      </c>
      <c r="FB582" s="67">
        <v>0</v>
      </c>
      <c r="FC582" s="67"/>
      <c r="FD582" s="67"/>
      <c r="FE582" s="67"/>
      <c r="FF582" s="67"/>
      <c r="FG582" s="67"/>
      <c r="FH582" s="67"/>
      <c r="FI582" s="67" t="s">
        <v>1734</v>
      </c>
    </row>
    <row r="583" spans="2:165" x14ac:dyDescent="0.2">
      <c r="B583" s="67" t="s">
        <v>1507</v>
      </c>
      <c r="C583" s="67"/>
      <c r="D583" s="67" t="s">
        <v>1508</v>
      </c>
      <c r="E583" s="67"/>
      <c r="F583" s="67"/>
      <c r="G583" s="67" t="s">
        <v>694</v>
      </c>
      <c r="H583" s="67"/>
      <c r="I583" s="67"/>
      <c r="J583" s="67"/>
      <c r="K583" s="67" t="s">
        <v>733</v>
      </c>
      <c r="L583" s="67"/>
      <c r="M583" s="67"/>
      <c r="N583" s="67"/>
      <c r="O583" s="67" t="s">
        <v>1605</v>
      </c>
      <c r="P583" s="67"/>
      <c r="Q583" s="67">
        <v>0</v>
      </c>
      <c r="R583" s="67">
        <v>0</v>
      </c>
      <c r="S583" s="67">
        <v>0</v>
      </c>
      <c r="T583" s="67">
        <v>0</v>
      </c>
      <c r="U583" s="67">
        <v>0</v>
      </c>
      <c r="V583" s="67">
        <v>0</v>
      </c>
      <c r="W583" s="67">
        <v>0</v>
      </c>
      <c r="X583" s="67">
        <v>0</v>
      </c>
      <c r="Y583" s="67">
        <v>0</v>
      </c>
      <c r="Z583" s="67">
        <v>0</v>
      </c>
      <c r="AA583" s="67">
        <v>0</v>
      </c>
      <c r="AB583" s="67">
        <v>0</v>
      </c>
      <c r="AC583" s="67">
        <v>0</v>
      </c>
      <c r="AD583" s="67">
        <v>0</v>
      </c>
      <c r="AE583" s="67">
        <v>0</v>
      </c>
      <c r="AF583" s="67">
        <v>0</v>
      </c>
      <c r="AG583" s="67">
        <v>0</v>
      </c>
      <c r="AH583" s="67">
        <v>0</v>
      </c>
      <c r="AI583" s="67">
        <v>0</v>
      </c>
      <c r="AJ583" s="67">
        <v>0</v>
      </c>
      <c r="AK583" s="67">
        <v>0</v>
      </c>
      <c r="AL583" s="67">
        <v>0</v>
      </c>
      <c r="AM583" s="67">
        <v>0</v>
      </c>
      <c r="AN583" s="67">
        <v>0</v>
      </c>
      <c r="AO583" s="67">
        <v>0</v>
      </c>
      <c r="AP583" s="67">
        <v>0</v>
      </c>
      <c r="AQ583" s="67">
        <v>0</v>
      </c>
      <c r="AR583" s="67">
        <v>0</v>
      </c>
      <c r="AS583" s="67">
        <v>0</v>
      </c>
      <c r="AT583" s="67"/>
      <c r="AU583" s="67"/>
      <c r="AV583" s="67"/>
      <c r="AW583" s="67">
        <v>0</v>
      </c>
      <c r="AX583" s="67">
        <v>0</v>
      </c>
      <c r="AY583" s="67"/>
      <c r="AZ583" s="67"/>
      <c r="BA583" s="67"/>
      <c r="BB583" s="67"/>
      <c r="BC583" s="67"/>
      <c r="BD583" s="67"/>
      <c r="BE583" s="67"/>
      <c r="BG583" s="67"/>
      <c r="BH583" s="67"/>
      <c r="BI583" s="67"/>
      <c r="BJ583" s="67">
        <v>0</v>
      </c>
      <c r="BK583" s="67"/>
      <c r="BL583" s="67"/>
      <c r="BP583" s="67"/>
      <c r="BQ583" s="67">
        <v>0</v>
      </c>
      <c r="BR583" s="67"/>
      <c r="BS583" s="67"/>
      <c r="BT583" s="67">
        <v>0</v>
      </c>
      <c r="BU583" s="67">
        <v>0</v>
      </c>
      <c r="BV583" s="67"/>
      <c r="BW583" s="67"/>
      <c r="BX583" s="67">
        <v>0</v>
      </c>
      <c r="BY583" s="67">
        <v>0</v>
      </c>
      <c r="BZ583" s="67">
        <v>0</v>
      </c>
      <c r="CA583" s="67"/>
      <c r="CB583" s="67">
        <v>0</v>
      </c>
      <c r="CC583" s="67"/>
      <c r="CD583" s="67"/>
      <c r="CE583" s="67">
        <v>0</v>
      </c>
      <c r="CF583" s="67"/>
      <c r="CG583" s="67"/>
      <c r="CH583" s="67"/>
      <c r="CI583" s="67"/>
      <c r="CJ583" s="67"/>
      <c r="CK583" s="67">
        <v>0</v>
      </c>
      <c r="CL583" s="67"/>
      <c r="CM583" s="67"/>
      <c r="CN583" s="67"/>
      <c r="CO583" s="67">
        <v>0</v>
      </c>
      <c r="CP583" s="67"/>
      <c r="CQ583" s="67"/>
      <c r="CR583" s="67"/>
      <c r="CS583" s="67"/>
      <c r="CT583" s="67"/>
      <c r="CU583" s="67">
        <v>0</v>
      </c>
      <c r="CV583" s="67"/>
      <c r="CW583" s="67"/>
      <c r="CX583" s="67"/>
      <c r="CY583" s="67">
        <v>0</v>
      </c>
      <c r="CZ583" s="67"/>
      <c r="DA583" s="67"/>
      <c r="DB583" s="67"/>
      <c r="DC583" s="67"/>
      <c r="DF583" s="67"/>
      <c r="DG583" s="67">
        <v>0</v>
      </c>
      <c r="DH583" s="67">
        <v>0</v>
      </c>
      <c r="DI583" s="67">
        <v>0</v>
      </c>
      <c r="DJ583" s="67"/>
      <c r="DK583" s="67">
        <v>0</v>
      </c>
      <c r="DL583" s="67">
        <v>0</v>
      </c>
      <c r="DM583" s="67">
        <v>0</v>
      </c>
      <c r="DN583" s="67"/>
      <c r="DO583" s="67"/>
      <c r="DP583" s="67"/>
      <c r="DQ583" s="67">
        <v>0</v>
      </c>
      <c r="DR583" s="67">
        <v>0</v>
      </c>
      <c r="DS583" s="67"/>
      <c r="DT583" s="67"/>
      <c r="DU583" s="67">
        <v>0</v>
      </c>
      <c r="DV583" s="67">
        <v>0</v>
      </c>
      <c r="DW583" s="67">
        <v>0</v>
      </c>
      <c r="DX583" s="67">
        <v>0</v>
      </c>
      <c r="DY583" s="67"/>
      <c r="DZ583" s="67">
        <v>0</v>
      </c>
      <c r="EA583" s="67"/>
      <c r="EB583" s="67">
        <v>0</v>
      </c>
      <c r="EC583" s="67"/>
      <c r="ED583" s="67">
        <v>0</v>
      </c>
      <c r="EE583" s="67"/>
      <c r="EF583" s="67">
        <v>0</v>
      </c>
      <c r="EG583" s="67"/>
      <c r="EH583" s="67"/>
      <c r="EI583" s="67"/>
      <c r="EJ583" s="67"/>
      <c r="EK583" s="67"/>
      <c r="EL583" s="67"/>
      <c r="EM583" s="67"/>
      <c r="EN583" s="67"/>
      <c r="EO583" s="67"/>
      <c r="EP583" s="67">
        <v>0</v>
      </c>
      <c r="EQ583" s="67">
        <v>0</v>
      </c>
      <c r="ER583" s="67">
        <v>0</v>
      </c>
      <c r="ES583" s="67"/>
      <c r="ET583">
        <v>0</v>
      </c>
      <c r="EX583" s="67"/>
      <c r="EY583" s="67"/>
      <c r="EZ583" s="67"/>
      <c r="FA583" s="67">
        <v>0</v>
      </c>
      <c r="FB583" s="67">
        <v>0</v>
      </c>
      <c r="FC583" s="67"/>
      <c r="FD583" s="67"/>
      <c r="FE583" s="67"/>
      <c r="FF583" s="67"/>
      <c r="FG583" s="67"/>
      <c r="FH583" s="67"/>
      <c r="FI583" s="67" t="s">
        <v>1734</v>
      </c>
    </row>
    <row r="584" spans="2:165" x14ac:dyDescent="0.2">
      <c r="B584" s="67" t="s">
        <v>1509</v>
      </c>
      <c r="C584" s="67"/>
      <c r="D584" s="67" t="s">
        <v>1510</v>
      </c>
      <c r="E584" s="67"/>
      <c r="F584" s="67"/>
      <c r="G584" s="67" t="s">
        <v>694</v>
      </c>
      <c r="H584" s="67"/>
      <c r="I584" s="67"/>
      <c r="J584" s="67"/>
      <c r="K584" s="67" t="s">
        <v>733</v>
      </c>
      <c r="L584" s="67"/>
      <c r="M584" s="67"/>
      <c r="N584" s="67"/>
      <c r="O584" s="67" t="s">
        <v>1605</v>
      </c>
      <c r="P584" s="67"/>
      <c r="Q584" s="67">
        <v>0</v>
      </c>
      <c r="R584" s="67">
        <v>0</v>
      </c>
      <c r="S584" s="67">
        <v>0</v>
      </c>
      <c r="T584" s="67">
        <v>0</v>
      </c>
      <c r="U584" s="67">
        <v>0</v>
      </c>
      <c r="V584" s="67">
        <v>0</v>
      </c>
      <c r="W584" s="67">
        <v>0</v>
      </c>
      <c r="X584" s="67">
        <v>0</v>
      </c>
      <c r="Y584" s="67">
        <v>0</v>
      </c>
      <c r="Z584" s="67">
        <v>0</v>
      </c>
      <c r="AA584" s="67">
        <v>0</v>
      </c>
      <c r="AB584" s="67">
        <v>0</v>
      </c>
      <c r="AC584" s="67">
        <v>0</v>
      </c>
      <c r="AD584" s="67">
        <v>0</v>
      </c>
      <c r="AE584" s="67">
        <v>0</v>
      </c>
      <c r="AF584" s="67">
        <v>0</v>
      </c>
      <c r="AG584" s="67">
        <v>0</v>
      </c>
      <c r="AH584" s="67">
        <v>0</v>
      </c>
      <c r="AI584" s="67">
        <v>0</v>
      </c>
      <c r="AJ584" s="67">
        <v>0</v>
      </c>
      <c r="AK584" s="67">
        <v>0</v>
      </c>
      <c r="AL584" s="67">
        <v>0</v>
      </c>
      <c r="AM584" s="67">
        <v>0</v>
      </c>
      <c r="AN584" s="67">
        <v>0</v>
      </c>
      <c r="AO584" s="67">
        <v>0</v>
      </c>
      <c r="AP584" s="67">
        <v>0</v>
      </c>
      <c r="AQ584" s="67">
        <v>0</v>
      </c>
      <c r="AR584" s="67">
        <v>0</v>
      </c>
      <c r="AS584" s="67">
        <v>0</v>
      </c>
      <c r="AT584" s="67"/>
      <c r="AU584" s="67"/>
      <c r="AV584" s="67"/>
      <c r="AW584" s="67">
        <v>0</v>
      </c>
      <c r="AX584" s="67">
        <v>0</v>
      </c>
      <c r="AY584" s="67"/>
      <c r="AZ584" s="67"/>
      <c r="BA584" s="67"/>
      <c r="BB584" s="67"/>
      <c r="BC584" s="67"/>
      <c r="BD584" s="67"/>
      <c r="BE584" s="67"/>
      <c r="BG584" s="67"/>
      <c r="BH584" s="67"/>
      <c r="BI584" s="67"/>
      <c r="BJ584" s="67">
        <v>0</v>
      </c>
      <c r="BK584" s="67"/>
      <c r="BL584" s="67"/>
      <c r="BP584" s="67"/>
      <c r="BQ584" s="67">
        <v>0</v>
      </c>
      <c r="BR584" s="67"/>
      <c r="BS584" s="67"/>
      <c r="BT584" s="67">
        <v>0</v>
      </c>
      <c r="BU584" s="67">
        <v>0</v>
      </c>
      <c r="BV584" s="67"/>
      <c r="BW584" s="67"/>
      <c r="BX584" s="67">
        <v>0</v>
      </c>
      <c r="BY584" s="67">
        <v>0</v>
      </c>
      <c r="BZ584" s="67">
        <v>0</v>
      </c>
      <c r="CA584" s="67"/>
      <c r="CB584" s="67">
        <v>0</v>
      </c>
      <c r="CC584" s="67"/>
      <c r="CD584" s="67"/>
      <c r="CE584" s="67">
        <v>0</v>
      </c>
      <c r="CF584" s="67"/>
      <c r="CG584" s="67"/>
      <c r="CH584" s="67"/>
      <c r="CI584" s="67"/>
      <c r="CJ584" s="67"/>
      <c r="CK584" s="67">
        <v>0</v>
      </c>
      <c r="CL584" s="67"/>
      <c r="CM584" s="67"/>
      <c r="CN584" s="67"/>
      <c r="CO584" s="67">
        <v>0</v>
      </c>
      <c r="CP584" s="67"/>
      <c r="CQ584" s="67"/>
      <c r="CR584" s="67"/>
      <c r="CS584" s="67"/>
      <c r="CT584" s="67"/>
      <c r="CU584" s="67">
        <v>0</v>
      </c>
      <c r="CV584" s="67"/>
      <c r="CW584" s="67"/>
      <c r="CX584" s="67"/>
      <c r="CY584" s="67">
        <v>0</v>
      </c>
      <c r="CZ584" s="67"/>
      <c r="DA584" s="67"/>
      <c r="DB584" s="67"/>
      <c r="DC584" s="67"/>
      <c r="DF584" s="67"/>
      <c r="DG584" s="67">
        <v>0</v>
      </c>
      <c r="DH584" s="67">
        <v>0</v>
      </c>
      <c r="DI584" s="67">
        <v>0</v>
      </c>
      <c r="DJ584" s="67"/>
      <c r="DK584" s="67">
        <v>0</v>
      </c>
      <c r="DL584" s="67">
        <v>0</v>
      </c>
      <c r="DM584" s="67">
        <v>0</v>
      </c>
      <c r="DN584" s="67"/>
      <c r="DO584" s="67"/>
      <c r="DP584" s="67"/>
      <c r="DQ584" s="67">
        <v>0</v>
      </c>
      <c r="DR584" s="67">
        <v>0</v>
      </c>
      <c r="DS584" s="67"/>
      <c r="DT584" s="67"/>
      <c r="DU584" s="67">
        <v>0</v>
      </c>
      <c r="DV584" s="67">
        <v>0</v>
      </c>
      <c r="DW584" s="67">
        <v>0</v>
      </c>
      <c r="DX584" s="67">
        <v>0</v>
      </c>
      <c r="DY584" s="67"/>
      <c r="DZ584" s="67">
        <v>0</v>
      </c>
      <c r="EA584" s="67"/>
      <c r="EB584" s="67">
        <v>0</v>
      </c>
      <c r="EC584" s="67"/>
      <c r="ED584" s="67">
        <v>0</v>
      </c>
      <c r="EE584" s="67"/>
      <c r="EF584" s="67">
        <v>0</v>
      </c>
      <c r="EG584" s="67"/>
      <c r="EH584" s="67"/>
      <c r="EI584" s="67"/>
      <c r="EJ584" s="67"/>
      <c r="EK584" s="67"/>
      <c r="EL584" s="67"/>
      <c r="EM584" s="67"/>
      <c r="EN584" s="67"/>
      <c r="EO584" s="67"/>
      <c r="EP584" s="67">
        <v>0</v>
      </c>
      <c r="EQ584" s="67">
        <v>0</v>
      </c>
      <c r="ER584" s="67">
        <v>0</v>
      </c>
      <c r="ES584" s="67"/>
      <c r="ET584">
        <v>0</v>
      </c>
      <c r="EX584" s="67"/>
      <c r="EY584" s="67"/>
      <c r="EZ584" s="67"/>
      <c r="FA584" s="67">
        <v>0</v>
      </c>
      <c r="FB584" s="67">
        <v>0</v>
      </c>
      <c r="FC584" s="67"/>
      <c r="FD584" s="67"/>
      <c r="FE584" s="67"/>
      <c r="FF584" s="67"/>
      <c r="FG584" s="67"/>
      <c r="FH584" s="67"/>
      <c r="FI584" s="67" t="s">
        <v>1734</v>
      </c>
    </row>
    <row r="585" spans="2:165" x14ac:dyDescent="0.2">
      <c r="B585" s="67" t="s">
        <v>1511</v>
      </c>
      <c r="C585" s="67"/>
      <c r="D585" s="67" t="s">
        <v>1512</v>
      </c>
      <c r="E585" s="67" t="s">
        <v>20</v>
      </c>
      <c r="F585" s="67"/>
      <c r="G585" s="67" t="s">
        <v>694</v>
      </c>
      <c r="H585" s="67"/>
      <c r="I585" s="67"/>
      <c r="J585" s="67"/>
      <c r="K585" s="67" t="s">
        <v>733</v>
      </c>
      <c r="L585" s="67"/>
      <c r="M585" s="67"/>
      <c r="N585" s="67"/>
      <c r="O585" s="67" t="s">
        <v>1605</v>
      </c>
      <c r="P585" s="67"/>
      <c r="Q585" s="67">
        <v>0</v>
      </c>
      <c r="R585" s="67">
        <v>0</v>
      </c>
      <c r="S585" s="67">
        <v>0</v>
      </c>
      <c r="T585" s="67">
        <v>0</v>
      </c>
      <c r="U585" s="67">
        <v>0</v>
      </c>
      <c r="V585" s="67">
        <v>0</v>
      </c>
      <c r="W585" s="67">
        <v>0</v>
      </c>
      <c r="X585" s="67">
        <v>0</v>
      </c>
      <c r="Y585" s="67">
        <v>0</v>
      </c>
      <c r="Z585" s="67">
        <v>0</v>
      </c>
      <c r="AA585" s="67">
        <v>0</v>
      </c>
      <c r="AB585" s="67">
        <v>0</v>
      </c>
      <c r="AC585" s="67">
        <v>0</v>
      </c>
      <c r="AD585" s="67">
        <v>0</v>
      </c>
      <c r="AE585" s="67">
        <v>0</v>
      </c>
      <c r="AF585" s="67">
        <v>0</v>
      </c>
      <c r="AG585" s="67">
        <v>0</v>
      </c>
      <c r="AH585" s="67">
        <v>0</v>
      </c>
      <c r="AI585" s="67">
        <v>0</v>
      </c>
      <c r="AJ585" s="67">
        <v>0</v>
      </c>
      <c r="AK585" s="67">
        <v>0</v>
      </c>
      <c r="AL585" s="67">
        <v>0</v>
      </c>
      <c r="AM585" s="67">
        <v>0</v>
      </c>
      <c r="AN585" s="67">
        <v>0</v>
      </c>
      <c r="AO585" s="67">
        <v>0</v>
      </c>
      <c r="AP585" s="67">
        <v>0</v>
      </c>
      <c r="AQ585" s="67">
        <v>0</v>
      </c>
      <c r="AR585" s="67">
        <v>0</v>
      </c>
      <c r="AS585" s="67">
        <v>0</v>
      </c>
      <c r="AT585" s="67"/>
      <c r="AU585" s="67"/>
      <c r="AV585" s="67"/>
      <c r="AW585" s="67">
        <v>0</v>
      </c>
      <c r="AX585" s="67">
        <v>0</v>
      </c>
      <c r="AY585" s="67"/>
      <c r="AZ585" s="67"/>
      <c r="BA585" s="67"/>
      <c r="BB585" s="67"/>
      <c r="BC585" s="67"/>
      <c r="BD585" s="67"/>
      <c r="BE585" s="67"/>
      <c r="BG585" s="67"/>
      <c r="BH585" s="67"/>
      <c r="BI585" s="67"/>
      <c r="BJ585" s="67">
        <v>0</v>
      </c>
      <c r="BK585" s="67"/>
      <c r="BL585" s="67"/>
      <c r="BP585" s="67"/>
      <c r="BQ585" s="67">
        <v>0</v>
      </c>
      <c r="BR585" s="67"/>
      <c r="BS585" s="67"/>
      <c r="BT585" s="67">
        <v>0</v>
      </c>
      <c r="BU585" s="67">
        <v>0</v>
      </c>
      <c r="BV585" s="67"/>
      <c r="BW585" s="67"/>
      <c r="BX585" s="67">
        <v>0</v>
      </c>
      <c r="BY585" s="67">
        <v>0</v>
      </c>
      <c r="BZ585" s="67">
        <v>0</v>
      </c>
      <c r="CA585" s="67"/>
      <c r="CB585" s="67">
        <v>0</v>
      </c>
      <c r="CC585" s="67"/>
      <c r="CD585" s="67"/>
      <c r="CE585" s="67">
        <v>0</v>
      </c>
      <c r="CF585" s="67"/>
      <c r="CG585" s="67"/>
      <c r="CH585" s="67"/>
      <c r="CI585" s="67"/>
      <c r="CJ585" s="67"/>
      <c r="CK585" s="67">
        <v>0</v>
      </c>
      <c r="CL585" s="67"/>
      <c r="CM585" s="67"/>
      <c r="CN585" s="67"/>
      <c r="CO585" s="67">
        <v>0</v>
      </c>
      <c r="CP585" s="67"/>
      <c r="CQ585" s="67"/>
      <c r="CR585" s="67"/>
      <c r="CS585" s="67"/>
      <c r="CT585" s="67"/>
      <c r="CU585" s="67">
        <v>0</v>
      </c>
      <c r="CV585" s="67"/>
      <c r="CW585" s="67"/>
      <c r="CX585" s="67"/>
      <c r="CY585" s="67">
        <v>0</v>
      </c>
      <c r="CZ585" s="67"/>
      <c r="DA585" s="67"/>
      <c r="DB585" s="67"/>
      <c r="DC585" s="67"/>
      <c r="DF585" s="67"/>
      <c r="DG585" s="67">
        <v>0</v>
      </c>
      <c r="DH585" s="67">
        <v>0</v>
      </c>
      <c r="DI585" s="67">
        <v>0</v>
      </c>
      <c r="DJ585" s="67"/>
      <c r="DK585" s="67">
        <v>0</v>
      </c>
      <c r="DL585" s="67">
        <v>0</v>
      </c>
      <c r="DM585" s="67">
        <v>0</v>
      </c>
      <c r="DN585" s="67"/>
      <c r="DO585" s="67"/>
      <c r="DP585" s="67"/>
      <c r="DQ585" s="67">
        <v>0</v>
      </c>
      <c r="DR585" s="67">
        <v>0</v>
      </c>
      <c r="DS585" s="67"/>
      <c r="DT585" s="67"/>
      <c r="DU585" s="67">
        <v>0</v>
      </c>
      <c r="DV585" s="67">
        <v>0</v>
      </c>
      <c r="DW585" s="67">
        <v>0</v>
      </c>
      <c r="DX585" s="67">
        <v>0</v>
      </c>
      <c r="DY585" s="67"/>
      <c r="DZ585" s="67">
        <v>0</v>
      </c>
      <c r="EA585" s="67"/>
      <c r="EB585" s="67">
        <v>0</v>
      </c>
      <c r="EC585" s="67"/>
      <c r="ED585" s="67">
        <v>0</v>
      </c>
      <c r="EE585" s="67"/>
      <c r="EF585" s="67">
        <v>0</v>
      </c>
      <c r="EG585" s="67"/>
      <c r="EH585" s="67"/>
      <c r="EI585" s="67"/>
      <c r="EJ585" s="67"/>
      <c r="EK585" s="67"/>
      <c r="EL585" s="67"/>
      <c r="EM585" s="67"/>
      <c r="EN585" s="67"/>
      <c r="EO585" s="67"/>
      <c r="EP585" s="67">
        <v>0</v>
      </c>
      <c r="EQ585" s="67">
        <v>0</v>
      </c>
      <c r="ER585" s="67">
        <v>0</v>
      </c>
      <c r="ES585" s="67"/>
      <c r="ET585">
        <v>0</v>
      </c>
      <c r="EX585" s="67"/>
      <c r="EY585" s="67"/>
      <c r="EZ585" s="67"/>
      <c r="FA585" s="67">
        <v>0</v>
      </c>
      <c r="FB585" s="67">
        <v>0</v>
      </c>
      <c r="FC585" s="67"/>
      <c r="FD585" s="67"/>
      <c r="FE585" s="67"/>
      <c r="FF585" s="67"/>
      <c r="FG585" s="67"/>
      <c r="FH585" s="67"/>
      <c r="FI585" s="67" t="s">
        <v>1734</v>
      </c>
    </row>
    <row r="586" spans="2:165" x14ac:dyDescent="0.2">
      <c r="B586" s="67" t="s">
        <v>1513</v>
      </c>
      <c r="C586" s="67"/>
      <c r="D586" s="67" t="s">
        <v>1514</v>
      </c>
      <c r="E586" s="67" t="s">
        <v>20</v>
      </c>
      <c r="F586" s="67"/>
      <c r="G586" s="67" t="s">
        <v>694</v>
      </c>
      <c r="H586" s="67"/>
      <c r="I586" s="67"/>
      <c r="J586" s="67"/>
      <c r="K586" s="67" t="s">
        <v>733</v>
      </c>
      <c r="L586" s="67"/>
      <c r="M586" s="67"/>
      <c r="N586" s="67"/>
      <c r="O586" s="67" t="s">
        <v>1605</v>
      </c>
      <c r="P586" s="67"/>
      <c r="Q586" s="67">
        <v>0</v>
      </c>
      <c r="R586" s="67">
        <v>0</v>
      </c>
      <c r="S586" s="67">
        <v>0</v>
      </c>
      <c r="T586" s="67">
        <v>0</v>
      </c>
      <c r="U586" s="67">
        <v>0</v>
      </c>
      <c r="V586" s="67">
        <v>0</v>
      </c>
      <c r="W586" s="67">
        <v>0</v>
      </c>
      <c r="X586" s="67">
        <v>0</v>
      </c>
      <c r="Y586" s="67">
        <v>0</v>
      </c>
      <c r="Z586" s="67">
        <v>0</v>
      </c>
      <c r="AA586" s="67">
        <v>0</v>
      </c>
      <c r="AB586" s="67">
        <v>0</v>
      </c>
      <c r="AC586" s="67">
        <v>0</v>
      </c>
      <c r="AD586" s="67">
        <v>0</v>
      </c>
      <c r="AE586" s="67">
        <v>0</v>
      </c>
      <c r="AF586" s="67">
        <v>0</v>
      </c>
      <c r="AG586" s="67">
        <v>0</v>
      </c>
      <c r="AH586" s="67">
        <v>0</v>
      </c>
      <c r="AI586" s="67">
        <v>0</v>
      </c>
      <c r="AJ586" s="67">
        <v>0</v>
      </c>
      <c r="AK586" s="67">
        <v>0</v>
      </c>
      <c r="AL586" s="67">
        <v>0</v>
      </c>
      <c r="AM586" s="67">
        <v>0</v>
      </c>
      <c r="AN586" s="67">
        <v>0</v>
      </c>
      <c r="AO586" s="67">
        <v>0</v>
      </c>
      <c r="AP586" s="67">
        <v>0</v>
      </c>
      <c r="AQ586" s="67">
        <v>0</v>
      </c>
      <c r="AR586" s="67">
        <v>0</v>
      </c>
      <c r="AS586" s="67">
        <v>0</v>
      </c>
      <c r="AT586" s="67"/>
      <c r="AU586" s="67"/>
      <c r="AV586" s="67"/>
      <c r="AW586" s="67">
        <v>0</v>
      </c>
      <c r="AX586" s="67">
        <v>0</v>
      </c>
      <c r="AY586" s="67"/>
      <c r="AZ586" s="67"/>
      <c r="BA586" s="67"/>
      <c r="BB586" s="67"/>
      <c r="BC586" s="67"/>
      <c r="BD586" s="67"/>
      <c r="BE586" s="67"/>
      <c r="BG586" s="67"/>
      <c r="BH586" s="67"/>
      <c r="BI586" s="67"/>
      <c r="BJ586" s="67">
        <v>0</v>
      </c>
      <c r="BK586" s="67"/>
      <c r="BL586" s="67"/>
      <c r="BP586" s="67"/>
      <c r="BQ586" s="67">
        <v>0</v>
      </c>
      <c r="BR586" s="67"/>
      <c r="BS586" s="67"/>
      <c r="BT586" s="67">
        <v>0</v>
      </c>
      <c r="BU586" s="67">
        <v>0</v>
      </c>
      <c r="BV586" s="67"/>
      <c r="BW586" s="67"/>
      <c r="BX586" s="67">
        <v>0</v>
      </c>
      <c r="BY586" s="67">
        <v>0</v>
      </c>
      <c r="BZ586" s="67">
        <v>0</v>
      </c>
      <c r="CA586" s="67"/>
      <c r="CB586" s="67">
        <v>0</v>
      </c>
      <c r="CC586" s="67"/>
      <c r="CD586" s="67"/>
      <c r="CE586" s="67">
        <v>0</v>
      </c>
      <c r="CF586" s="67"/>
      <c r="CG586" s="67"/>
      <c r="CH586" s="67"/>
      <c r="CI586" s="67"/>
      <c r="CJ586" s="67"/>
      <c r="CK586" s="67">
        <v>0</v>
      </c>
      <c r="CL586" s="67"/>
      <c r="CM586" s="67"/>
      <c r="CN586" s="67"/>
      <c r="CO586" s="67">
        <v>0</v>
      </c>
      <c r="CP586" s="67"/>
      <c r="CQ586" s="67"/>
      <c r="CR586" s="67"/>
      <c r="CS586" s="67"/>
      <c r="CT586" s="67"/>
      <c r="CU586" s="67">
        <v>0</v>
      </c>
      <c r="CV586" s="67"/>
      <c r="CW586" s="67"/>
      <c r="CX586" s="67"/>
      <c r="CY586" s="67">
        <v>0</v>
      </c>
      <c r="CZ586" s="67"/>
      <c r="DA586" s="67"/>
      <c r="DB586" s="67"/>
      <c r="DC586" s="67"/>
      <c r="DF586" s="67"/>
      <c r="DG586" s="67">
        <v>0</v>
      </c>
      <c r="DH586" s="67">
        <v>0</v>
      </c>
      <c r="DI586" s="67">
        <v>0</v>
      </c>
      <c r="DJ586" s="67"/>
      <c r="DK586" s="67">
        <v>0</v>
      </c>
      <c r="DL586" s="67">
        <v>0</v>
      </c>
      <c r="DM586" s="67">
        <v>0</v>
      </c>
      <c r="DN586" s="67"/>
      <c r="DO586" s="67"/>
      <c r="DP586" s="67"/>
      <c r="DQ586" s="67">
        <v>0</v>
      </c>
      <c r="DR586" s="67">
        <v>0</v>
      </c>
      <c r="DS586" s="67"/>
      <c r="DT586" s="67"/>
      <c r="DU586" s="67">
        <v>0</v>
      </c>
      <c r="DV586" s="67">
        <v>0</v>
      </c>
      <c r="DW586" s="67">
        <v>0</v>
      </c>
      <c r="DX586" s="67">
        <v>0</v>
      </c>
      <c r="DY586" s="67"/>
      <c r="DZ586" s="67">
        <v>0</v>
      </c>
      <c r="EA586" s="67"/>
      <c r="EB586" s="67">
        <v>0</v>
      </c>
      <c r="EC586" s="67"/>
      <c r="ED586" s="67">
        <v>0</v>
      </c>
      <c r="EE586" s="67"/>
      <c r="EF586" s="67">
        <v>0</v>
      </c>
      <c r="EG586" s="67"/>
      <c r="EH586" s="67"/>
      <c r="EI586" s="67"/>
      <c r="EJ586" s="67"/>
      <c r="EK586" s="67"/>
      <c r="EL586" s="67"/>
      <c r="EM586" s="67"/>
      <c r="EN586" s="67"/>
      <c r="EO586" s="67"/>
      <c r="EP586" s="67">
        <v>0</v>
      </c>
      <c r="EQ586" s="67">
        <v>0</v>
      </c>
      <c r="ER586" s="67">
        <v>0</v>
      </c>
      <c r="ES586" s="67"/>
      <c r="ET586">
        <v>0</v>
      </c>
      <c r="EX586" s="67"/>
      <c r="EY586" s="67"/>
      <c r="EZ586" s="67"/>
      <c r="FA586" s="67">
        <v>0</v>
      </c>
      <c r="FB586" s="67">
        <v>0</v>
      </c>
      <c r="FC586" s="67"/>
      <c r="FD586" s="67"/>
      <c r="FE586" s="67"/>
      <c r="FF586" s="67"/>
      <c r="FG586" s="67"/>
      <c r="FH586" s="67"/>
      <c r="FI586" s="67" t="s">
        <v>1734</v>
      </c>
    </row>
    <row r="587" spans="2:165" x14ac:dyDescent="0.2">
      <c r="B587" s="67" t="s">
        <v>1515</v>
      </c>
      <c r="C587" s="67"/>
      <c r="D587" s="67" t="s">
        <v>1516</v>
      </c>
      <c r="E587" s="67"/>
      <c r="F587" s="67"/>
      <c r="G587" s="67" t="s">
        <v>694</v>
      </c>
      <c r="H587" s="67"/>
      <c r="I587" s="67"/>
      <c r="J587" s="67"/>
      <c r="K587" s="67" t="s">
        <v>733</v>
      </c>
      <c r="L587" s="67"/>
      <c r="M587" s="67"/>
      <c r="N587" s="67"/>
      <c r="O587" s="67" t="s">
        <v>1605</v>
      </c>
      <c r="P587" s="67"/>
      <c r="Q587" s="67">
        <v>0</v>
      </c>
      <c r="R587" s="67">
        <v>0</v>
      </c>
      <c r="S587" s="67">
        <v>0</v>
      </c>
      <c r="T587" s="67">
        <v>0</v>
      </c>
      <c r="U587" s="67">
        <v>0</v>
      </c>
      <c r="V587" s="67">
        <v>0</v>
      </c>
      <c r="W587" s="67">
        <v>0</v>
      </c>
      <c r="X587" s="67">
        <v>0</v>
      </c>
      <c r="Y587" s="67">
        <v>0</v>
      </c>
      <c r="Z587" s="67">
        <v>0</v>
      </c>
      <c r="AA587" s="67">
        <v>0</v>
      </c>
      <c r="AB587" s="67">
        <v>0</v>
      </c>
      <c r="AC587" s="67">
        <v>0</v>
      </c>
      <c r="AD587" s="67">
        <v>0</v>
      </c>
      <c r="AE587" s="67">
        <v>0</v>
      </c>
      <c r="AF587" s="67">
        <v>0</v>
      </c>
      <c r="AG587" s="67">
        <v>0</v>
      </c>
      <c r="AH587" s="67">
        <v>0</v>
      </c>
      <c r="AI587" s="67">
        <v>0</v>
      </c>
      <c r="AJ587" s="67">
        <v>0</v>
      </c>
      <c r="AK587" s="67">
        <v>0</v>
      </c>
      <c r="AL587" s="67">
        <v>0</v>
      </c>
      <c r="AM587" s="67">
        <v>0</v>
      </c>
      <c r="AN587" s="67">
        <v>0</v>
      </c>
      <c r="AO587" s="67">
        <v>0</v>
      </c>
      <c r="AP587" s="67">
        <v>0</v>
      </c>
      <c r="AQ587" s="67">
        <v>0</v>
      </c>
      <c r="AR587" s="67">
        <v>0</v>
      </c>
      <c r="AS587" s="67">
        <v>0</v>
      </c>
      <c r="AT587" s="67"/>
      <c r="AU587" s="67"/>
      <c r="AV587" s="67"/>
      <c r="AW587" s="67">
        <v>0</v>
      </c>
      <c r="AX587" s="67">
        <v>0</v>
      </c>
      <c r="AY587" s="67"/>
      <c r="AZ587" s="67"/>
      <c r="BA587" s="67"/>
      <c r="BB587" s="67"/>
      <c r="BC587" s="67"/>
      <c r="BD587" s="67"/>
      <c r="BE587" s="67"/>
      <c r="BG587" s="67"/>
      <c r="BH587" s="67"/>
      <c r="BI587" s="67"/>
      <c r="BJ587" s="67">
        <v>0</v>
      </c>
      <c r="BK587" s="67"/>
      <c r="BL587" s="67"/>
      <c r="BP587" s="67"/>
      <c r="BQ587" s="67">
        <v>0</v>
      </c>
      <c r="BR587" s="67"/>
      <c r="BS587" s="67"/>
      <c r="BT587" s="67">
        <v>0</v>
      </c>
      <c r="BU587" s="67">
        <v>0</v>
      </c>
      <c r="BV587" s="67"/>
      <c r="BW587" s="67"/>
      <c r="BX587" s="67">
        <v>0</v>
      </c>
      <c r="BY587" s="67">
        <v>0</v>
      </c>
      <c r="BZ587" s="67">
        <v>0</v>
      </c>
      <c r="CA587" s="67"/>
      <c r="CB587" s="67">
        <v>0</v>
      </c>
      <c r="CC587" s="67"/>
      <c r="CD587" s="67"/>
      <c r="CE587" s="67">
        <v>0</v>
      </c>
      <c r="CF587" s="67"/>
      <c r="CG587" s="67"/>
      <c r="CH587" s="67"/>
      <c r="CI587" s="67"/>
      <c r="CJ587" s="67"/>
      <c r="CK587" s="67">
        <v>0</v>
      </c>
      <c r="CL587" s="67"/>
      <c r="CM587" s="67"/>
      <c r="CN587" s="67"/>
      <c r="CO587" s="67">
        <v>0</v>
      </c>
      <c r="CP587" s="67"/>
      <c r="CQ587" s="67"/>
      <c r="CR587" s="67"/>
      <c r="CS587" s="67"/>
      <c r="CT587" s="67"/>
      <c r="CU587" s="67">
        <v>0</v>
      </c>
      <c r="CV587" s="67"/>
      <c r="CW587" s="67"/>
      <c r="CX587" s="67"/>
      <c r="CY587" s="67">
        <v>0</v>
      </c>
      <c r="CZ587" s="67"/>
      <c r="DA587" s="67"/>
      <c r="DB587" s="67"/>
      <c r="DC587" s="67"/>
      <c r="DF587" s="67"/>
      <c r="DG587" s="67">
        <v>0</v>
      </c>
      <c r="DH587" s="67">
        <v>0</v>
      </c>
      <c r="DI587" s="67">
        <v>0</v>
      </c>
      <c r="DJ587" s="67"/>
      <c r="DK587" s="67">
        <v>0</v>
      </c>
      <c r="DL587" s="67">
        <v>0</v>
      </c>
      <c r="DM587" s="67">
        <v>0</v>
      </c>
      <c r="DN587" s="67"/>
      <c r="DO587" s="67"/>
      <c r="DP587" s="67"/>
      <c r="DQ587" s="67">
        <v>0</v>
      </c>
      <c r="DR587" s="67">
        <v>0</v>
      </c>
      <c r="DS587" s="67"/>
      <c r="DT587" s="67"/>
      <c r="DU587" s="67">
        <v>0</v>
      </c>
      <c r="DV587" s="67">
        <v>0</v>
      </c>
      <c r="DW587" s="67">
        <v>0</v>
      </c>
      <c r="DX587" s="67">
        <v>0</v>
      </c>
      <c r="DY587" s="67"/>
      <c r="DZ587" s="67">
        <v>0</v>
      </c>
      <c r="EA587" s="67"/>
      <c r="EB587" s="67">
        <v>0</v>
      </c>
      <c r="EC587" s="67"/>
      <c r="ED587" s="67">
        <v>0</v>
      </c>
      <c r="EE587" s="67"/>
      <c r="EF587" s="67">
        <v>0</v>
      </c>
      <c r="EG587" s="67"/>
      <c r="EH587" s="67"/>
      <c r="EI587" s="67"/>
      <c r="EJ587" s="67"/>
      <c r="EK587" s="67"/>
      <c r="EL587" s="67"/>
      <c r="EM587" s="67"/>
      <c r="EN587" s="67"/>
      <c r="EO587" s="67"/>
      <c r="EP587" s="67">
        <v>0</v>
      </c>
      <c r="EQ587" s="67">
        <v>0</v>
      </c>
      <c r="ER587" s="67">
        <v>0</v>
      </c>
      <c r="ES587" s="67"/>
      <c r="ET587">
        <v>0</v>
      </c>
      <c r="EX587" s="67"/>
      <c r="EY587" s="67"/>
      <c r="EZ587" s="67"/>
      <c r="FA587" s="67">
        <v>0</v>
      </c>
      <c r="FB587" s="67">
        <v>0</v>
      </c>
      <c r="FC587" s="67"/>
      <c r="FD587" s="67"/>
      <c r="FE587" s="67"/>
      <c r="FF587" s="67"/>
      <c r="FG587" s="67"/>
      <c r="FH587" s="67"/>
      <c r="FI587" s="67" t="s">
        <v>1734</v>
      </c>
    </row>
    <row r="588" spans="2:165" x14ac:dyDescent="0.2">
      <c r="B588" s="67" t="s">
        <v>1517</v>
      </c>
      <c r="C588" s="67"/>
      <c r="D588" s="67" t="s">
        <v>1518</v>
      </c>
      <c r="E588" s="67" t="s">
        <v>20</v>
      </c>
      <c r="F588" s="67"/>
      <c r="G588" s="67" t="s">
        <v>694</v>
      </c>
      <c r="H588" s="67"/>
      <c r="I588" s="67"/>
      <c r="J588" s="67"/>
      <c r="K588" s="67" t="s">
        <v>733</v>
      </c>
      <c r="L588" s="67"/>
      <c r="M588" s="67"/>
      <c r="N588" s="67"/>
      <c r="O588" s="67" t="s">
        <v>1605</v>
      </c>
      <c r="P588" s="67"/>
      <c r="Q588" s="67">
        <v>0</v>
      </c>
      <c r="R588" s="67">
        <v>0</v>
      </c>
      <c r="S588" s="67">
        <v>0</v>
      </c>
      <c r="T588" s="67">
        <v>0</v>
      </c>
      <c r="U588" s="67">
        <v>0</v>
      </c>
      <c r="V588" s="67">
        <v>0</v>
      </c>
      <c r="W588" s="67">
        <v>0</v>
      </c>
      <c r="X588" s="67">
        <v>0</v>
      </c>
      <c r="Y588" s="67">
        <v>0</v>
      </c>
      <c r="Z588" s="67">
        <v>0</v>
      </c>
      <c r="AA588" s="67">
        <v>0</v>
      </c>
      <c r="AB588" s="67">
        <v>0</v>
      </c>
      <c r="AC588" s="67">
        <v>0</v>
      </c>
      <c r="AD588" s="67">
        <v>0</v>
      </c>
      <c r="AE588" s="67">
        <v>0</v>
      </c>
      <c r="AF588" s="67">
        <v>0</v>
      </c>
      <c r="AG588" s="67">
        <v>0</v>
      </c>
      <c r="AH588" s="67">
        <v>0</v>
      </c>
      <c r="AI588" s="67">
        <v>0</v>
      </c>
      <c r="AJ588" s="67">
        <v>0</v>
      </c>
      <c r="AK588" s="67">
        <v>0</v>
      </c>
      <c r="AL588" s="67">
        <v>0</v>
      </c>
      <c r="AM588" s="67">
        <v>0</v>
      </c>
      <c r="AN588" s="67">
        <v>0</v>
      </c>
      <c r="AO588" s="67">
        <v>0</v>
      </c>
      <c r="AP588" s="67">
        <v>0</v>
      </c>
      <c r="AQ588" s="67">
        <v>0</v>
      </c>
      <c r="AR588" s="67">
        <v>0</v>
      </c>
      <c r="AS588" s="67">
        <v>0</v>
      </c>
      <c r="AT588" s="67"/>
      <c r="AU588" s="67"/>
      <c r="AV588" s="67"/>
      <c r="AW588" s="67">
        <v>0</v>
      </c>
      <c r="AX588" s="67">
        <v>0</v>
      </c>
      <c r="AY588" s="67"/>
      <c r="AZ588" s="67"/>
      <c r="BA588" s="67"/>
      <c r="BB588" s="67"/>
      <c r="BC588" s="67"/>
      <c r="BD588" s="67"/>
      <c r="BE588" s="67"/>
      <c r="BG588" s="67"/>
      <c r="BH588" s="67"/>
      <c r="BI588" s="67"/>
      <c r="BJ588" s="67">
        <v>0</v>
      </c>
      <c r="BK588" s="67"/>
      <c r="BL588" s="67"/>
      <c r="BP588" s="67"/>
      <c r="BQ588" s="67">
        <v>0</v>
      </c>
      <c r="BR588" s="67"/>
      <c r="BS588" s="67"/>
      <c r="BT588" s="67">
        <v>0</v>
      </c>
      <c r="BU588" s="67">
        <v>0</v>
      </c>
      <c r="BV588" s="67"/>
      <c r="BW588" s="67"/>
      <c r="BX588" s="67">
        <v>0</v>
      </c>
      <c r="BY588" s="67">
        <v>0</v>
      </c>
      <c r="BZ588" s="67">
        <v>0</v>
      </c>
      <c r="CA588" s="67"/>
      <c r="CB588" s="67">
        <v>0</v>
      </c>
      <c r="CC588" s="67"/>
      <c r="CD588" s="67"/>
      <c r="CE588" s="67">
        <v>0</v>
      </c>
      <c r="CF588" s="67"/>
      <c r="CG588" s="67"/>
      <c r="CH588" s="67"/>
      <c r="CI588" s="67"/>
      <c r="CJ588" s="67"/>
      <c r="CK588" s="67">
        <v>0</v>
      </c>
      <c r="CL588" s="67"/>
      <c r="CM588" s="67"/>
      <c r="CN588" s="67"/>
      <c r="CO588" s="67">
        <v>0</v>
      </c>
      <c r="CP588" s="67"/>
      <c r="CQ588" s="67"/>
      <c r="CR588" s="67"/>
      <c r="CS588" s="67"/>
      <c r="CT588" s="67"/>
      <c r="CU588" s="67">
        <v>0</v>
      </c>
      <c r="CV588" s="67"/>
      <c r="CW588" s="67"/>
      <c r="CX588" s="67"/>
      <c r="CY588" s="67">
        <v>0</v>
      </c>
      <c r="CZ588" s="67"/>
      <c r="DA588" s="67"/>
      <c r="DB588" s="67"/>
      <c r="DC588" s="67"/>
      <c r="DF588" s="67"/>
      <c r="DG588" s="67">
        <v>0</v>
      </c>
      <c r="DH588" s="67">
        <v>0</v>
      </c>
      <c r="DI588" s="67">
        <v>0</v>
      </c>
      <c r="DJ588" s="67"/>
      <c r="DK588" s="67">
        <v>0</v>
      </c>
      <c r="DL588" s="67">
        <v>0</v>
      </c>
      <c r="DM588" s="67">
        <v>0</v>
      </c>
      <c r="DN588" s="67"/>
      <c r="DO588" s="67"/>
      <c r="DP588" s="67"/>
      <c r="DQ588" s="67">
        <v>0</v>
      </c>
      <c r="DR588" s="67">
        <v>0</v>
      </c>
      <c r="DS588" s="67"/>
      <c r="DT588" s="67"/>
      <c r="DU588" s="67">
        <v>0</v>
      </c>
      <c r="DV588" s="67">
        <v>0</v>
      </c>
      <c r="DW588" s="67">
        <v>0</v>
      </c>
      <c r="DX588" s="67">
        <v>0</v>
      </c>
      <c r="DY588" s="67"/>
      <c r="DZ588" s="67">
        <v>0</v>
      </c>
      <c r="EA588" s="67"/>
      <c r="EB588" s="67">
        <v>0</v>
      </c>
      <c r="EC588" s="67"/>
      <c r="ED588" s="67">
        <v>0</v>
      </c>
      <c r="EE588" s="67"/>
      <c r="EF588" s="67">
        <v>0</v>
      </c>
      <c r="EG588" s="67"/>
      <c r="EH588" s="67"/>
      <c r="EI588" s="67"/>
      <c r="EJ588" s="67"/>
      <c r="EK588" s="67"/>
      <c r="EL588" s="67"/>
      <c r="EM588" s="67"/>
      <c r="EN588" s="67"/>
      <c r="EO588" s="67"/>
      <c r="EP588" s="67">
        <v>0</v>
      </c>
      <c r="EQ588" s="67">
        <v>0</v>
      </c>
      <c r="ER588" s="67">
        <v>0</v>
      </c>
      <c r="ES588" s="67"/>
      <c r="ET588">
        <v>0</v>
      </c>
      <c r="EX588" s="67"/>
      <c r="EY588" s="67"/>
      <c r="EZ588" s="67"/>
      <c r="FA588" s="67">
        <v>0</v>
      </c>
      <c r="FB588" s="67">
        <v>0</v>
      </c>
      <c r="FC588" s="67"/>
      <c r="FD588" s="67"/>
      <c r="FE588" s="67"/>
      <c r="FF588" s="67"/>
      <c r="FG588" s="67"/>
      <c r="FH588" s="67"/>
      <c r="FI588" s="67" t="s">
        <v>1734</v>
      </c>
    </row>
    <row r="589" spans="2:165" x14ac:dyDescent="0.2">
      <c r="B589" s="67" t="s">
        <v>1519</v>
      </c>
      <c r="C589" s="67"/>
      <c r="D589" s="67" t="s">
        <v>1520</v>
      </c>
      <c r="E589" s="67"/>
      <c r="F589" s="67"/>
      <c r="G589" s="67" t="s">
        <v>694</v>
      </c>
      <c r="H589" s="67"/>
      <c r="I589" s="67"/>
      <c r="J589" s="67"/>
      <c r="K589" s="67" t="s">
        <v>733</v>
      </c>
      <c r="L589" s="67"/>
      <c r="M589" s="67"/>
      <c r="N589" s="67"/>
      <c r="O589" s="67" t="s">
        <v>1605</v>
      </c>
      <c r="P589" s="67"/>
      <c r="Q589" s="67">
        <v>0</v>
      </c>
      <c r="R589" s="67">
        <v>0</v>
      </c>
      <c r="S589" s="67">
        <v>0</v>
      </c>
      <c r="T589" s="67">
        <v>0</v>
      </c>
      <c r="U589" s="67">
        <v>0</v>
      </c>
      <c r="V589" s="67">
        <v>0</v>
      </c>
      <c r="W589" s="67">
        <v>0</v>
      </c>
      <c r="X589" s="67">
        <v>0</v>
      </c>
      <c r="Y589" s="67">
        <v>0</v>
      </c>
      <c r="Z589" s="67">
        <v>0</v>
      </c>
      <c r="AA589" s="67">
        <v>0</v>
      </c>
      <c r="AB589" s="67">
        <v>0</v>
      </c>
      <c r="AC589" s="67">
        <v>0</v>
      </c>
      <c r="AD589" s="67">
        <v>0</v>
      </c>
      <c r="AE589" s="67">
        <v>0</v>
      </c>
      <c r="AF589" s="67">
        <v>0</v>
      </c>
      <c r="AG589" s="67">
        <v>0</v>
      </c>
      <c r="AH589" s="67">
        <v>0</v>
      </c>
      <c r="AI589" s="67">
        <v>0</v>
      </c>
      <c r="AJ589" s="67">
        <v>0</v>
      </c>
      <c r="AK589" s="67">
        <v>0</v>
      </c>
      <c r="AL589" s="67">
        <v>0</v>
      </c>
      <c r="AM589" s="67">
        <v>0</v>
      </c>
      <c r="AN589" s="67">
        <v>0</v>
      </c>
      <c r="AO589" s="67">
        <v>0</v>
      </c>
      <c r="AP589" s="67">
        <v>0</v>
      </c>
      <c r="AQ589" s="67">
        <v>0</v>
      </c>
      <c r="AR589" s="67">
        <v>0</v>
      </c>
      <c r="AS589" s="67">
        <v>0</v>
      </c>
      <c r="AT589" s="67"/>
      <c r="AU589" s="67"/>
      <c r="AV589" s="67"/>
      <c r="AW589" s="67">
        <v>0</v>
      </c>
      <c r="AX589" s="67">
        <v>0</v>
      </c>
      <c r="AY589" s="67"/>
      <c r="AZ589" s="67"/>
      <c r="BA589" s="67"/>
      <c r="BB589" s="67"/>
      <c r="BC589" s="67"/>
      <c r="BD589" s="67"/>
      <c r="BE589" s="67"/>
      <c r="BG589" s="67"/>
      <c r="BH589" s="67"/>
      <c r="BI589" s="67"/>
      <c r="BJ589" s="67">
        <v>0</v>
      </c>
      <c r="BK589" s="67"/>
      <c r="BL589" s="67"/>
      <c r="BP589" s="67"/>
      <c r="BQ589" s="67">
        <v>0</v>
      </c>
      <c r="BR589" s="67"/>
      <c r="BS589" s="67"/>
      <c r="BT589" s="67">
        <v>0</v>
      </c>
      <c r="BU589" s="67">
        <v>0</v>
      </c>
      <c r="BV589" s="67"/>
      <c r="BW589" s="67"/>
      <c r="BX589" s="67">
        <v>0</v>
      </c>
      <c r="BY589" s="67">
        <v>0</v>
      </c>
      <c r="BZ589" s="67">
        <v>0</v>
      </c>
      <c r="CA589" s="67"/>
      <c r="CB589" s="67">
        <v>0</v>
      </c>
      <c r="CC589" s="67"/>
      <c r="CD589" s="67"/>
      <c r="CE589" s="67">
        <v>0</v>
      </c>
      <c r="CF589" s="67"/>
      <c r="CG589" s="67"/>
      <c r="CH589" s="67"/>
      <c r="CI589" s="67"/>
      <c r="CJ589" s="67"/>
      <c r="CK589" s="67">
        <v>0</v>
      </c>
      <c r="CL589" s="67"/>
      <c r="CM589" s="67"/>
      <c r="CN589" s="67"/>
      <c r="CO589" s="67">
        <v>0</v>
      </c>
      <c r="CP589" s="67"/>
      <c r="CQ589" s="67"/>
      <c r="CR589" s="67"/>
      <c r="CS589" s="67"/>
      <c r="CT589" s="67"/>
      <c r="CU589" s="67">
        <v>0</v>
      </c>
      <c r="CV589" s="67"/>
      <c r="CW589" s="67"/>
      <c r="CX589" s="67"/>
      <c r="CY589" s="67">
        <v>0</v>
      </c>
      <c r="CZ589" s="67"/>
      <c r="DA589" s="67"/>
      <c r="DB589" s="67"/>
      <c r="DC589" s="67"/>
      <c r="DF589" s="67"/>
      <c r="DG589" s="67">
        <v>0</v>
      </c>
      <c r="DH589" s="67">
        <v>0</v>
      </c>
      <c r="DI589" s="67">
        <v>0</v>
      </c>
      <c r="DJ589" s="67"/>
      <c r="DK589" s="67">
        <v>0</v>
      </c>
      <c r="DL589" s="67">
        <v>0</v>
      </c>
      <c r="DM589" s="67">
        <v>0</v>
      </c>
      <c r="DN589" s="67"/>
      <c r="DO589" s="67"/>
      <c r="DP589" s="67"/>
      <c r="DQ589" s="67">
        <v>0</v>
      </c>
      <c r="DR589" s="67">
        <v>0</v>
      </c>
      <c r="DS589" s="67"/>
      <c r="DT589" s="67"/>
      <c r="DU589" s="67">
        <v>0</v>
      </c>
      <c r="DV589" s="67">
        <v>0</v>
      </c>
      <c r="DW589" s="67">
        <v>0</v>
      </c>
      <c r="DX589" s="67">
        <v>0</v>
      </c>
      <c r="DY589" s="67"/>
      <c r="DZ589" s="67">
        <v>0</v>
      </c>
      <c r="EA589" s="67"/>
      <c r="EB589" s="67">
        <v>0</v>
      </c>
      <c r="EC589" s="67"/>
      <c r="ED589" s="67">
        <v>0</v>
      </c>
      <c r="EE589" s="67"/>
      <c r="EF589" s="67">
        <v>0</v>
      </c>
      <c r="EG589" s="67"/>
      <c r="EH589" s="67"/>
      <c r="EI589" s="67"/>
      <c r="EJ589" s="67"/>
      <c r="EK589" s="67"/>
      <c r="EL589" s="67"/>
      <c r="EM589" s="67"/>
      <c r="EN589" s="67"/>
      <c r="EO589" s="67"/>
      <c r="EP589" s="67">
        <v>0</v>
      </c>
      <c r="EQ589" s="67">
        <v>0</v>
      </c>
      <c r="ER589" s="67">
        <v>0</v>
      </c>
      <c r="ES589" s="67"/>
      <c r="ET589">
        <v>0</v>
      </c>
      <c r="EX589" s="67"/>
      <c r="EY589" s="67"/>
      <c r="EZ589" s="67"/>
      <c r="FA589" s="67">
        <v>0</v>
      </c>
      <c r="FB589" s="67">
        <v>0</v>
      </c>
      <c r="FC589" s="67"/>
      <c r="FD589" s="67"/>
      <c r="FE589" s="67"/>
      <c r="FF589" s="67"/>
      <c r="FG589" s="67"/>
      <c r="FH589" s="67"/>
      <c r="FI589" s="67" t="s">
        <v>1734</v>
      </c>
    </row>
    <row r="590" spans="2:165" x14ac:dyDescent="0.2">
      <c r="B590" s="67" t="s">
        <v>1521</v>
      </c>
      <c r="C590" s="67"/>
      <c r="D590" s="67" t="s">
        <v>1522</v>
      </c>
      <c r="E590" s="67" t="s">
        <v>20</v>
      </c>
      <c r="F590" s="67"/>
      <c r="G590" s="67" t="s">
        <v>694</v>
      </c>
      <c r="H590" s="67"/>
      <c r="I590" s="67"/>
      <c r="J590" s="67"/>
      <c r="K590" s="67" t="s">
        <v>733</v>
      </c>
      <c r="L590" s="67"/>
      <c r="M590" s="67"/>
      <c r="N590" s="67"/>
      <c r="O590" s="67" t="s">
        <v>1605</v>
      </c>
      <c r="P590" s="67"/>
      <c r="Q590" s="67">
        <v>0</v>
      </c>
      <c r="R590" s="67">
        <v>0</v>
      </c>
      <c r="S590" s="67">
        <v>0</v>
      </c>
      <c r="T590" s="67">
        <v>0</v>
      </c>
      <c r="U590" s="67">
        <v>0</v>
      </c>
      <c r="V590" s="67">
        <v>0</v>
      </c>
      <c r="W590" s="67">
        <v>0</v>
      </c>
      <c r="X590" s="67">
        <v>0</v>
      </c>
      <c r="Y590" s="67">
        <v>0</v>
      </c>
      <c r="Z590" s="67">
        <v>0</v>
      </c>
      <c r="AA590" s="67">
        <v>0</v>
      </c>
      <c r="AB590" s="67">
        <v>0</v>
      </c>
      <c r="AC590" s="67">
        <v>0</v>
      </c>
      <c r="AD590" s="67">
        <v>0</v>
      </c>
      <c r="AE590" s="67">
        <v>0</v>
      </c>
      <c r="AF590" s="67">
        <v>0</v>
      </c>
      <c r="AG590" s="67">
        <v>0</v>
      </c>
      <c r="AH590" s="67">
        <v>0</v>
      </c>
      <c r="AI590" s="67">
        <v>0</v>
      </c>
      <c r="AJ590" s="67">
        <v>0</v>
      </c>
      <c r="AK590" s="67">
        <v>0</v>
      </c>
      <c r="AL590" s="67">
        <v>0</v>
      </c>
      <c r="AM590" s="67">
        <v>0</v>
      </c>
      <c r="AN590" s="67">
        <v>0</v>
      </c>
      <c r="AO590" s="67">
        <v>0</v>
      </c>
      <c r="AP590" s="67">
        <v>0</v>
      </c>
      <c r="AQ590" s="67">
        <v>0</v>
      </c>
      <c r="AR590" s="67">
        <v>0</v>
      </c>
      <c r="AS590" s="67">
        <v>0</v>
      </c>
      <c r="AT590" s="67"/>
      <c r="AU590" s="67"/>
      <c r="AV590" s="67"/>
      <c r="AW590" s="67">
        <v>0</v>
      </c>
      <c r="AX590" s="67">
        <v>0</v>
      </c>
      <c r="AY590" s="67"/>
      <c r="AZ590" s="67"/>
      <c r="BA590" s="67"/>
      <c r="BB590" s="67"/>
      <c r="BC590" s="67"/>
      <c r="BD590" s="67"/>
      <c r="BE590" s="67"/>
      <c r="BG590" s="67"/>
      <c r="BH590" s="67"/>
      <c r="BI590" s="67"/>
      <c r="BJ590" s="67">
        <v>0</v>
      </c>
      <c r="BK590" s="67"/>
      <c r="BL590" s="67"/>
      <c r="BP590" s="67"/>
      <c r="BQ590" s="67">
        <v>0</v>
      </c>
      <c r="BR590" s="67"/>
      <c r="BS590" s="67"/>
      <c r="BT590" s="67">
        <v>0</v>
      </c>
      <c r="BU590" s="67">
        <v>0</v>
      </c>
      <c r="BV590" s="67"/>
      <c r="BW590" s="67"/>
      <c r="BX590" s="67">
        <v>0</v>
      </c>
      <c r="BY590" s="67">
        <v>0</v>
      </c>
      <c r="BZ590" s="67">
        <v>0</v>
      </c>
      <c r="CA590" s="67"/>
      <c r="CB590" s="67">
        <v>0</v>
      </c>
      <c r="CC590" s="67"/>
      <c r="CD590" s="67"/>
      <c r="CE590" s="67">
        <v>0</v>
      </c>
      <c r="CF590" s="67"/>
      <c r="CG590" s="67"/>
      <c r="CH590" s="67"/>
      <c r="CI590" s="67"/>
      <c r="CJ590" s="67"/>
      <c r="CK590" s="67">
        <v>0</v>
      </c>
      <c r="CL590" s="67"/>
      <c r="CM590" s="67"/>
      <c r="CN590" s="67"/>
      <c r="CO590" s="67">
        <v>0</v>
      </c>
      <c r="CP590" s="67"/>
      <c r="CQ590" s="67"/>
      <c r="CR590" s="67"/>
      <c r="CS590" s="67"/>
      <c r="CT590" s="67"/>
      <c r="CU590" s="67">
        <v>0</v>
      </c>
      <c r="CV590" s="67"/>
      <c r="CW590" s="67"/>
      <c r="CX590" s="67"/>
      <c r="CY590" s="67">
        <v>0</v>
      </c>
      <c r="CZ590" s="67"/>
      <c r="DA590" s="67"/>
      <c r="DB590" s="67"/>
      <c r="DC590" s="67"/>
      <c r="DF590" s="67"/>
      <c r="DG590" s="67">
        <v>0</v>
      </c>
      <c r="DH590" s="67">
        <v>0</v>
      </c>
      <c r="DI590" s="67">
        <v>0</v>
      </c>
      <c r="DJ590" s="67"/>
      <c r="DK590" s="67">
        <v>0</v>
      </c>
      <c r="DL590" s="67">
        <v>0</v>
      </c>
      <c r="DM590" s="67">
        <v>0</v>
      </c>
      <c r="DN590" s="67"/>
      <c r="DO590" s="67"/>
      <c r="DP590" s="67"/>
      <c r="DQ590" s="67">
        <v>0</v>
      </c>
      <c r="DR590" s="67">
        <v>0</v>
      </c>
      <c r="DS590" s="67"/>
      <c r="DT590" s="67"/>
      <c r="DU590" s="67">
        <v>0</v>
      </c>
      <c r="DV590" s="67">
        <v>0</v>
      </c>
      <c r="DW590" s="67">
        <v>0</v>
      </c>
      <c r="DX590" s="67">
        <v>0</v>
      </c>
      <c r="DY590" s="67"/>
      <c r="DZ590" s="67">
        <v>0</v>
      </c>
      <c r="EA590" s="67"/>
      <c r="EB590" s="67">
        <v>0</v>
      </c>
      <c r="EC590" s="67"/>
      <c r="ED590" s="67">
        <v>0</v>
      </c>
      <c r="EE590" s="67"/>
      <c r="EF590" s="67">
        <v>0</v>
      </c>
      <c r="EG590" s="67"/>
      <c r="EH590" s="67"/>
      <c r="EI590" s="67"/>
      <c r="EJ590" s="67"/>
      <c r="EK590" s="67"/>
      <c r="EL590" s="67"/>
      <c r="EM590" s="67"/>
      <c r="EN590" s="67"/>
      <c r="EO590" s="67"/>
      <c r="EP590" s="67">
        <v>0</v>
      </c>
      <c r="EQ590" s="67">
        <v>0</v>
      </c>
      <c r="ER590" s="67">
        <v>0</v>
      </c>
      <c r="ES590" s="67"/>
      <c r="ET590">
        <v>0</v>
      </c>
      <c r="EX590" s="67"/>
      <c r="EY590" s="67"/>
      <c r="EZ590" s="67"/>
      <c r="FA590" s="67">
        <v>0</v>
      </c>
      <c r="FB590" s="67">
        <v>0</v>
      </c>
      <c r="FC590" s="67"/>
      <c r="FD590" s="67"/>
      <c r="FE590" s="67"/>
      <c r="FF590" s="67"/>
      <c r="FG590" s="67"/>
      <c r="FH590" s="67"/>
      <c r="FI590" s="67" t="s">
        <v>1734</v>
      </c>
    </row>
    <row r="591" spans="2:165" x14ac:dyDescent="0.2">
      <c r="B591" s="67" t="s">
        <v>1523</v>
      </c>
      <c r="C591" s="67"/>
      <c r="D591" s="67" t="s">
        <v>1524</v>
      </c>
      <c r="E591" s="67" t="s">
        <v>20</v>
      </c>
      <c r="F591" s="67"/>
      <c r="G591" s="67" t="s">
        <v>694</v>
      </c>
      <c r="H591" s="67"/>
      <c r="I591" s="67"/>
      <c r="J591" s="67"/>
      <c r="K591" s="67" t="s">
        <v>733</v>
      </c>
      <c r="L591" s="67"/>
      <c r="M591" s="67"/>
      <c r="N591" s="67"/>
      <c r="O591" s="67" t="s">
        <v>1605</v>
      </c>
      <c r="P591" s="67"/>
      <c r="Q591" s="67">
        <v>0</v>
      </c>
      <c r="R591" s="67">
        <v>0</v>
      </c>
      <c r="S591" s="67">
        <v>0</v>
      </c>
      <c r="T591" s="67">
        <v>0</v>
      </c>
      <c r="U591" s="67">
        <v>0</v>
      </c>
      <c r="V591" s="67">
        <v>0</v>
      </c>
      <c r="W591" s="67">
        <v>0</v>
      </c>
      <c r="X591" s="67">
        <v>0</v>
      </c>
      <c r="Y591" s="67">
        <v>0</v>
      </c>
      <c r="Z591" s="67">
        <v>0</v>
      </c>
      <c r="AA591" s="67">
        <v>0</v>
      </c>
      <c r="AB591" s="67">
        <v>0</v>
      </c>
      <c r="AC591" s="67">
        <v>0</v>
      </c>
      <c r="AD591" s="67">
        <v>0</v>
      </c>
      <c r="AE591" s="67">
        <v>0</v>
      </c>
      <c r="AF591" s="67">
        <v>0</v>
      </c>
      <c r="AG591" s="67">
        <v>0</v>
      </c>
      <c r="AH591" s="67">
        <v>0</v>
      </c>
      <c r="AI591" s="67">
        <v>0</v>
      </c>
      <c r="AJ591" s="67">
        <v>0</v>
      </c>
      <c r="AK591" s="67">
        <v>0</v>
      </c>
      <c r="AL591" s="67">
        <v>0</v>
      </c>
      <c r="AM591" s="67">
        <v>0</v>
      </c>
      <c r="AN591" s="67">
        <v>0</v>
      </c>
      <c r="AO591" s="67">
        <v>0</v>
      </c>
      <c r="AP591" s="67">
        <v>0</v>
      </c>
      <c r="AQ591" s="67">
        <v>0</v>
      </c>
      <c r="AR591" s="67">
        <v>0</v>
      </c>
      <c r="AS591" s="67">
        <v>0</v>
      </c>
      <c r="AT591" s="67"/>
      <c r="AU591" s="67"/>
      <c r="AV591" s="67"/>
      <c r="AW591" s="67">
        <v>0</v>
      </c>
      <c r="AX591" s="67">
        <v>0</v>
      </c>
      <c r="AY591" s="67"/>
      <c r="AZ591" s="67"/>
      <c r="BA591" s="67"/>
      <c r="BB591" s="67"/>
      <c r="BC591" s="67"/>
      <c r="BD591" s="67"/>
      <c r="BE591" s="67"/>
      <c r="BG591" s="67"/>
      <c r="BH591" s="67"/>
      <c r="BI591" s="67"/>
      <c r="BJ591" s="67">
        <v>0</v>
      </c>
      <c r="BK591" s="67"/>
      <c r="BL591" s="67"/>
      <c r="BP591" s="67"/>
      <c r="BQ591" s="67">
        <v>0</v>
      </c>
      <c r="BR591" s="67"/>
      <c r="BS591" s="67"/>
      <c r="BT591" s="67">
        <v>0</v>
      </c>
      <c r="BU591" s="67">
        <v>0</v>
      </c>
      <c r="BV591" s="67"/>
      <c r="BW591" s="67"/>
      <c r="BX591" s="67">
        <v>0</v>
      </c>
      <c r="BY591" s="67">
        <v>0</v>
      </c>
      <c r="BZ591" s="67">
        <v>0</v>
      </c>
      <c r="CA591" s="67"/>
      <c r="CB591" s="67">
        <v>0</v>
      </c>
      <c r="CC591" s="67"/>
      <c r="CD591" s="67"/>
      <c r="CE591" s="67">
        <v>0</v>
      </c>
      <c r="CF591" s="67"/>
      <c r="CG591" s="67"/>
      <c r="CH591" s="67"/>
      <c r="CI591" s="67"/>
      <c r="CJ591" s="67"/>
      <c r="CK591" s="67">
        <v>0</v>
      </c>
      <c r="CL591" s="67"/>
      <c r="CM591" s="67"/>
      <c r="CN591" s="67"/>
      <c r="CO591" s="67">
        <v>0</v>
      </c>
      <c r="CP591" s="67"/>
      <c r="CQ591" s="67"/>
      <c r="CR591" s="67"/>
      <c r="CS591" s="67"/>
      <c r="CT591" s="67"/>
      <c r="CU591" s="67">
        <v>0</v>
      </c>
      <c r="CV591" s="67"/>
      <c r="CW591" s="67"/>
      <c r="CX591" s="67"/>
      <c r="CY591" s="67">
        <v>0</v>
      </c>
      <c r="CZ591" s="67"/>
      <c r="DA591" s="67"/>
      <c r="DB591" s="67"/>
      <c r="DC591" s="67"/>
      <c r="DF591" s="67"/>
      <c r="DG591" s="67">
        <v>0</v>
      </c>
      <c r="DH591" s="67">
        <v>0</v>
      </c>
      <c r="DI591" s="67">
        <v>0</v>
      </c>
      <c r="DJ591" s="67"/>
      <c r="DK591" s="67">
        <v>0</v>
      </c>
      <c r="DL591" s="67">
        <v>0</v>
      </c>
      <c r="DM591" s="67">
        <v>0</v>
      </c>
      <c r="DN591" s="67"/>
      <c r="DO591" s="67"/>
      <c r="DP591" s="67"/>
      <c r="DQ591" s="67">
        <v>0</v>
      </c>
      <c r="DR591" s="67">
        <v>0</v>
      </c>
      <c r="DS591" s="67"/>
      <c r="DT591" s="67"/>
      <c r="DU591" s="67">
        <v>0</v>
      </c>
      <c r="DV591" s="67">
        <v>0</v>
      </c>
      <c r="DW591" s="67">
        <v>0</v>
      </c>
      <c r="DX591" s="67">
        <v>0</v>
      </c>
      <c r="DY591" s="67"/>
      <c r="DZ591" s="67">
        <v>0</v>
      </c>
      <c r="EA591" s="67"/>
      <c r="EB591" s="67">
        <v>0</v>
      </c>
      <c r="EC591" s="67"/>
      <c r="ED591" s="67">
        <v>0</v>
      </c>
      <c r="EE591" s="67"/>
      <c r="EF591" s="67">
        <v>0</v>
      </c>
      <c r="EG591" s="67"/>
      <c r="EH591" s="67"/>
      <c r="EI591" s="67"/>
      <c r="EJ591" s="67"/>
      <c r="EK591" s="67"/>
      <c r="EL591" s="67"/>
      <c r="EM591" s="67"/>
      <c r="EN591" s="67"/>
      <c r="EO591" s="67"/>
      <c r="EP591" s="67">
        <v>0</v>
      </c>
      <c r="EQ591" s="67">
        <v>0</v>
      </c>
      <c r="ER591" s="67">
        <v>0</v>
      </c>
      <c r="ES591" s="67"/>
      <c r="ET591">
        <v>0</v>
      </c>
      <c r="EX591" s="67"/>
      <c r="EY591" s="67"/>
      <c r="EZ591" s="67"/>
      <c r="FA591" s="67">
        <v>0</v>
      </c>
      <c r="FB591" s="67">
        <v>0</v>
      </c>
      <c r="FC591" s="67"/>
      <c r="FD591" s="67"/>
      <c r="FE591" s="67"/>
      <c r="FF591" s="67"/>
      <c r="FG591" s="67"/>
      <c r="FH591" s="67"/>
      <c r="FI591" s="67" t="s">
        <v>1734</v>
      </c>
    </row>
    <row r="592" spans="2:165" x14ac:dyDescent="0.2">
      <c r="B592" s="67" t="s">
        <v>1525</v>
      </c>
      <c r="C592" s="67"/>
      <c r="D592" s="67" t="s">
        <v>1526</v>
      </c>
      <c r="E592" s="67"/>
      <c r="F592" s="67"/>
      <c r="G592" s="67" t="s">
        <v>694</v>
      </c>
      <c r="H592" s="67"/>
      <c r="I592" s="67"/>
      <c r="J592" s="67"/>
      <c r="K592" s="67" t="s">
        <v>733</v>
      </c>
      <c r="L592" s="67"/>
      <c r="M592" s="67"/>
      <c r="N592" s="67"/>
      <c r="O592" s="67" t="s">
        <v>1605</v>
      </c>
      <c r="P592" s="67"/>
      <c r="Q592" s="67">
        <v>0</v>
      </c>
      <c r="R592" s="67">
        <v>0</v>
      </c>
      <c r="S592" s="67">
        <v>0</v>
      </c>
      <c r="T592" s="67">
        <v>0</v>
      </c>
      <c r="U592" s="67">
        <v>0</v>
      </c>
      <c r="V592" s="67">
        <v>0</v>
      </c>
      <c r="W592" s="67">
        <v>0</v>
      </c>
      <c r="X592" s="67">
        <v>0</v>
      </c>
      <c r="Y592" s="67">
        <v>0</v>
      </c>
      <c r="Z592" s="67">
        <v>0</v>
      </c>
      <c r="AA592" s="67">
        <v>0</v>
      </c>
      <c r="AB592" s="67">
        <v>0</v>
      </c>
      <c r="AC592" s="67">
        <v>0</v>
      </c>
      <c r="AD592" s="67">
        <v>0</v>
      </c>
      <c r="AE592" s="67">
        <v>0</v>
      </c>
      <c r="AF592" s="67">
        <v>0</v>
      </c>
      <c r="AG592" s="67">
        <v>0</v>
      </c>
      <c r="AH592" s="67">
        <v>0</v>
      </c>
      <c r="AI592" s="67">
        <v>0</v>
      </c>
      <c r="AJ592" s="67">
        <v>0</v>
      </c>
      <c r="AK592" s="67">
        <v>0</v>
      </c>
      <c r="AL592" s="67">
        <v>0</v>
      </c>
      <c r="AM592" s="67">
        <v>0</v>
      </c>
      <c r="AN592" s="67">
        <v>0</v>
      </c>
      <c r="AO592" s="67">
        <v>0</v>
      </c>
      <c r="AP592" s="67">
        <v>0</v>
      </c>
      <c r="AQ592" s="67">
        <v>0</v>
      </c>
      <c r="AR592" s="67">
        <v>0</v>
      </c>
      <c r="AS592" s="67">
        <v>0</v>
      </c>
      <c r="AT592" s="67"/>
      <c r="AU592" s="67"/>
      <c r="AV592" s="67"/>
      <c r="AW592" s="67">
        <v>0</v>
      </c>
      <c r="AX592" s="67">
        <v>0</v>
      </c>
      <c r="AY592" s="67"/>
      <c r="AZ592" s="67"/>
      <c r="BA592" s="67"/>
      <c r="BB592" s="67"/>
      <c r="BC592" s="67"/>
      <c r="BD592" s="67"/>
      <c r="BE592" s="67"/>
      <c r="BG592" s="67"/>
      <c r="BH592" s="67"/>
      <c r="BI592" s="67"/>
      <c r="BJ592" s="67">
        <v>0</v>
      </c>
      <c r="BK592" s="67"/>
      <c r="BL592" s="67"/>
      <c r="BP592" s="67"/>
      <c r="BQ592" s="67">
        <v>0</v>
      </c>
      <c r="BR592" s="67"/>
      <c r="BS592" s="67"/>
      <c r="BT592" s="67">
        <v>0</v>
      </c>
      <c r="BU592" s="67">
        <v>0</v>
      </c>
      <c r="BV592" s="67"/>
      <c r="BW592" s="67"/>
      <c r="BX592" s="67">
        <v>0</v>
      </c>
      <c r="BY592" s="67">
        <v>0</v>
      </c>
      <c r="BZ592" s="67">
        <v>0</v>
      </c>
      <c r="CA592" s="67"/>
      <c r="CB592" s="67">
        <v>0</v>
      </c>
      <c r="CC592" s="67"/>
      <c r="CD592" s="67"/>
      <c r="CE592" s="67">
        <v>0</v>
      </c>
      <c r="CF592" s="67"/>
      <c r="CG592" s="67"/>
      <c r="CH592" s="67"/>
      <c r="CI592" s="67"/>
      <c r="CJ592" s="67"/>
      <c r="CK592" s="67">
        <v>0</v>
      </c>
      <c r="CL592" s="67"/>
      <c r="CM592" s="67"/>
      <c r="CN592" s="67"/>
      <c r="CO592" s="67">
        <v>0</v>
      </c>
      <c r="CP592" s="67"/>
      <c r="CQ592" s="67"/>
      <c r="CR592" s="67"/>
      <c r="CS592" s="67"/>
      <c r="CT592" s="67"/>
      <c r="CU592" s="67">
        <v>0</v>
      </c>
      <c r="CV592" s="67"/>
      <c r="CW592" s="67"/>
      <c r="CX592" s="67"/>
      <c r="CY592" s="67">
        <v>0</v>
      </c>
      <c r="CZ592" s="67"/>
      <c r="DA592" s="67"/>
      <c r="DB592" s="67"/>
      <c r="DC592" s="67"/>
      <c r="DF592" s="67"/>
      <c r="DG592" s="67">
        <v>0</v>
      </c>
      <c r="DH592" s="67">
        <v>0</v>
      </c>
      <c r="DI592" s="67">
        <v>0</v>
      </c>
      <c r="DJ592" s="67"/>
      <c r="DK592" s="67">
        <v>0</v>
      </c>
      <c r="DL592" s="67">
        <v>0</v>
      </c>
      <c r="DM592" s="67">
        <v>0</v>
      </c>
      <c r="DN592" s="67"/>
      <c r="DO592" s="67"/>
      <c r="DP592" s="67"/>
      <c r="DQ592" s="67">
        <v>0</v>
      </c>
      <c r="DR592" s="67">
        <v>0</v>
      </c>
      <c r="DS592" s="67"/>
      <c r="DT592" s="67"/>
      <c r="DU592" s="67">
        <v>0</v>
      </c>
      <c r="DV592" s="67">
        <v>0</v>
      </c>
      <c r="DW592" s="67">
        <v>0</v>
      </c>
      <c r="DX592" s="67">
        <v>0</v>
      </c>
      <c r="DY592" s="67"/>
      <c r="DZ592" s="67">
        <v>0</v>
      </c>
      <c r="EA592" s="67"/>
      <c r="EB592" s="67">
        <v>0</v>
      </c>
      <c r="EC592" s="67"/>
      <c r="ED592" s="67">
        <v>0</v>
      </c>
      <c r="EE592" s="67"/>
      <c r="EF592" s="67">
        <v>0</v>
      </c>
      <c r="EG592" s="67"/>
      <c r="EH592" s="67"/>
      <c r="EI592" s="67"/>
      <c r="EJ592" s="67"/>
      <c r="EK592" s="67"/>
      <c r="EL592" s="67"/>
      <c r="EM592" s="67"/>
      <c r="EN592" s="67"/>
      <c r="EO592" s="67"/>
      <c r="EP592" s="67">
        <v>0</v>
      </c>
      <c r="EQ592" s="67">
        <v>0</v>
      </c>
      <c r="ER592" s="67">
        <v>0</v>
      </c>
      <c r="ES592" s="67"/>
      <c r="ET592">
        <v>0</v>
      </c>
      <c r="EX592" s="67"/>
      <c r="EY592" s="67"/>
      <c r="EZ592" s="67"/>
      <c r="FA592" s="67">
        <v>0</v>
      </c>
      <c r="FB592" s="67">
        <v>0</v>
      </c>
      <c r="FC592" s="67"/>
      <c r="FD592" s="67"/>
      <c r="FE592" s="67"/>
      <c r="FF592" s="67"/>
      <c r="FG592" s="67"/>
      <c r="FH592" s="67"/>
      <c r="FI592" s="67" t="s">
        <v>1734</v>
      </c>
    </row>
    <row r="593" spans="2:165" x14ac:dyDescent="0.2">
      <c r="B593" s="67" t="s">
        <v>1527</v>
      </c>
      <c r="C593" s="67"/>
      <c r="D593" s="67" t="s">
        <v>1526</v>
      </c>
      <c r="E593" s="67"/>
      <c r="F593" s="67"/>
      <c r="G593" s="67" t="s">
        <v>694</v>
      </c>
      <c r="H593" s="67"/>
      <c r="I593" s="67"/>
      <c r="J593" s="67"/>
      <c r="K593" s="67" t="s">
        <v>733</v>
      </c>
      <c r="L593" s="67"/>
      <c r="M593" s="67"/>
      <c r="N593" s="67"/>
      <c r="O593" s="67" t="s">
        <v>1605</v>
      </c>
      <c r="P593" s="67"/>
      <c r="Q593" s="67">
        <v>0</v>
      </c>
      <c r="R593" s="67">
        <v>0</v>
      </c>
      <c r="S593" s="67">
        <v>0</v>
      </c>
      <c r="T593" s="67">
        <v>0</v>
      </c>
      <c r="U593" s="67">
        <v>0</v>
      </c>
      <c r="V593" s="67">
        <v>0</v>
      </c>
      <c r="W593" s="67">
        <v>0</v>
      </c>
      <c r="X593" s="67">
        <v>0</v>
      </c>
      <c r="Y593" s="67">
        <v>0</v>
      </c>
      <c r="Z593" s="67">
        <v>0</v>
      </c>
      <c r="AA593" s="67">
        <v>0</v>
      </c>
      <c r="AB593" s="67">
        <v>0</v>
      </c>
      <c r="AC593" s="67">
        <v>0</v>
      </c>
      <c r="AD593" s="67">
        <v>0</v>
      </c>
      <c r="AE593" s="67">
        <v>0</v>
      </c>
      <c r="AF593" s="67">
        <v>0</v>
      </c>
      <c r="AG593" s="67">
        <v>0</v>
      </c>
      <c r="AH593" s="67">
        <v>0</v>
      </c>
      <c r="AI593" s="67">
        <v>0</v>
      </c>
      <c r="AJ593" s="67">
        <v>0</v>
      </c>
      <c r="AK593" s="67">
        <v>0</v>
      </c>
      <c r="AL593" s="67">
        <v>0</v>
      </c>
      <c r="AM593" s="67">
        <v>0</v>
      </c>
      <c r="AN593" s="67">
        <v>0</v>
      </c>
      <c r="AO593" s="67">
        <v>0</v>
      </c>
      <c r="AP593" s="67">
        <v>0</v>
      </c>
      <c r="AQ593" s="67">
        <v>0</v>
      </c>
      <c r="AR593" s="67">
        <v>0</v>
      </c>
      <c r="AS593" s="67">
        <v>0</v>
      </c>
      <c r="AT593" s="67"/>
      <c r="AU593" s="67"/>
      <c r="AV593" s="67"/>
      <c r="AW593" s="67">
        <v>0</v>
      </c>
      <c r="AX593" s="67">
        <v>0</v>
      </c>
      <c r="AY593" s="67"/>
      <c r="AZ593" s="67"/>
      <c r="BA593" s="67"/>
      <c r="BB593" s="67"/>
      <c r="BC593" s="67"/>
      <c r="BD593" s="67"/>
      <c r="BE593" s="67"/>
      <c r="BG593" s="67"/>
      <c r="BH593" s="67"/>
      <c r="BI593" s="67"/>
      <c r="BJ593" s="67">
        <v>0</v>
      </c>
      <c r="BK593" s="67"/>
      <c r="BL593" s="67"/>
      <c r="BP593" s="67"/>
      <c r="BQ593" s="67">
        <v>0</v>
      </c>
      <c r="BR593" s="67"/>
      <c r="BS593" s="67"/>
      <c r="BT593" s="67">
        <v>0</v>
      </c>
      <c r="BU593" s="67">
        <v>0</v>
      </c>
      <c r="BV593" s="67"/>
      <c r="BW593" s="67"/>
      <c r="BX593" s="67">
        <v>0</v>
      </c>
      <c r="BY593" s="67">
        <v>0</v>
      </c>
      <c r="BZ593" s="67">
        <v>0</v>
      </c>
      <c r="CA593" s="67"/>
      <c r="CB593" s="67">
        <v>0</v>
      </c>
      <c r="CC593" s="67"/>
      <c r="CD593" s="67"/>
      <c r="CE593" s="67">
        <v>0</v>
      </c>
      <c r="CF593" s="67"/>
      <c r="CG593" s="67"/>
      <c r="CH593" s="67"/>
      <c r="CI593" s="67"/>
      <c r="CJ593" s="67"/>
      <c r="CK593" s="67">
        <v>0</v>
      </c>
      <c r="CL593" s="67"/>
      <c r="CM593" s="67"/>
      <c r="CN593" s="67"/>
      <c r="CO593" s="67">
        <v>0</v>
      </c>
      <c r="CP593" s="67"/>
      <c r="CQ593" s="67"/>
      <c r="CR593" s="67"/>
      <c r="CS593" s="67"/>
      <c r="CT593" s="67"/>
      <c r="CU593" s="67">
        <v>0</v>
      </c>
      <c r="CV593" s="67"/>
      <c r="CW593" s="67"/>
      <c r="CX593" s="67"/>
      <c r="CY593" s="67">
        <v>0</v>
      </c>
      <c r="CZ593" s="67"/>
      <c r="DA593" s="67"/>
      <c r="DB593" s="67"/>
      <c r="DC593" s="67"/>
      <c r="DF593" s="67"/>
      <c r="DG593" s="67">
        <v>0</v>
      </c>
      <c r="DH593" s="67">
        <v>0</v>
      </c>
      <c r="DI593" s="67">
        <v>0</v>
      </c>
      <c r="DJ593" s="67"/>
      <c r="DK593" s="67">
        <v>0</v>
      </c>
      <c r="DL593" s="67">
        <v>0</v>
      </c>
      <c r="DM593" s="67">
        <v>0</v>
      </c>
      <c r="DN593" s="67"/>
      <c r="DO593" s="67"/>
      <c r="DP593" s="67"/>
      <c r="DQ593" s="67">
        <v>0</v>
      </c>
      <c r="DR593" s="67">
        <v>0</v>
      </c>
      <c r="DS593" s="67"/>
      <c r="DT593" s="67"/>
      <c r="DU593" s="67">
        <v>0</v>
      </c>
      <c r="DV593" s="67">
        <v>0</v>
      </c>
      <c r="DW593" s="67">
        <v>0</v>
      </c>
      <c r="DX593" s="67">
        <v>0</v>
      </c>
      <c r="DY593" s="67"/>
      <c r="DZ593" s="67">
        <v>0</v>
      </c>
      <c r="EA593" s="67"/>
      <c r="EB593" s="67">
        <v>0</v>
      </c>
      <c r="EC593" s="67"/>
      <c r="ED593" s="67">
        <v>0</v>
      </c>
      <c r="EE593" s="67"/>
      <c r="EF593" s="67">
        <v>0</v>
      </c>
      <c r="EG593" s="67"/>
      <c r="EH593" s="67"/>
      <c r="EI593" s="67"/>
      <c r="EJ593" s="67"/>
      <c r="EK593" s="67"/>
      <c r="EL593" s="67"/>
      <c r="EM593" s="67"/>
      <c r="EN593" s="67"/>
      <c r="EO593" s="67"/>
      <c r="EP593" s="67">
        <v>0</v>
      </c>
      <c r="EQ593" s="67">
        <v>0</v>
      </c>
      <c r="ER593" s="67">
        <v>0</v>
      </c>
      <c r="ES593" s="67"/>
      <c r="ET593">
        <v>0</v>
      </c>
      <c r="EX593" s="67"/>
      <c r="EY593" s="67"/>
      <c r="EZ593" s="67"/>
      <c r="FA593" s="67">
        <v>0</v>
      </c>
      <c r="FB593" s="67">
        <v>0</v>
      </c>
      <c r="FC593" s="67"/>
      <c r="FD593" s="67"/>
      <c r="FE593" s="67"/>
      <c r="FF593" s="67"/>
      <c r="FG593" s="67"/>
      <c r="FH593" s="67"/>
      <c r="FI593" s="67" t="s">
        <v>1734</v>
      </c>
    </row>
    <row r="594" spans="2:165" x14ac:dyDescent="0.2">
      <c r="B594" s="67" t="s">
        <v>1528</v>
      </c>
      <c r="C594" s="67"/>
      <c r="D594" s="67" t="s">
        <v>1529</v>
      </c>
      <c r="E594" s="67"/>
      <c r="F594" s="67" t="s">
        <v>766</v>
      </c>
      <c r="G594" s="67" t="s">
        <v>694</v>
      </c>
      <c r="H594" s="67"/>
      <c r="I594" s="67"/>
      <c r="J594" s="67" t="s">
        <v>68</v>
      </c>
      <c r="K594" s="67" t="s">
        <v>1059</v>
      </c>
      <c r="L594" s="67" t="s">
        <v>767</v>
      </c>
      <c r="M594" s="67" t="s">
        <v>752</v>
      </c>
      <c r="N594" s="67"/>
      <c r="O594" s="67" t="s">
        <v>1599</v>
      </c>
      <c r="P594" s="67" t="s">
        <v>1530</v>
      </c>
      <c r="Q594" s="67">
        <v>1320</v>
      </c>
      <c r="R594" s="67">
        <v>0</v>
      </c>
      <c r="S594" s="67">
        <v>0</v>
      </c>
      <c r="T594" s="67">
        <v>0</v>
      </c>
      <c r="U594" s="67">
        <v>0</v>
      </c>
      <c r="V594" s="67">
        <v>0</v>
      </c>
      <c r="W594" s="67">
        <v>0</v>
      </c>
      <c r="X594" s="67">
        <v>0</v>
      </c>
      <c r="Y594" s="67">
        <v>0</v>
      </c>
      <c r="Z594" s="67">
        <v>0</v>
      </c>
      <c r="AA594" s="67">
        <v>0</v>
      </c>
      <c r="AB594" s="67">
        <v>0</v>
      </c>
      <c r="AC594" s="67">
        <v>0</v>
      </c>
      <c r="AD594" s="67">
        <v>0</v>
      </c>
      <c r="AE594" s="67">
        <v>0</v>
      </c>
      <c r="AF594" s="67">
        <v>0</v>
      </c>
      <c r="AG594" s="67">
        <v>1070</v>
      </c>
      <c r="AH594" s="67">
        <v>0</v>
      </c>
      <c r="AI594" s="67">
        <v>0</v>
      </c>
      <c r="AJ594" s="67">
        <v>0</v>
      </c>
      <c r="AK594" s="67">
        <v>0</v>
      </c>
      <c r="AL594" s="67">
        <v>0</v>
      </c>
      <c r="AM594" s="67">
        <v>0</v>
      </c>
      <c r="AN594" s="67">
        <v>250</v>
      </c>
      <c r="AO594" s="67">
        <v>0</v>
      </c>
      <c r="AP594" s="67">
        <v>0</v>
      </c>
      <c r="AQ594" s="67">
        <v>0</v>
      </c>
      <c r="AR594" s="67">
        <v>0</v>
      </c>
      <c r="AS594" s="67">
        <v>0</v>
      </c>
      <c r="AT594" s="67"/>
      <c r="AU594" s="67"/>
      <c r="AV594" s="67"/>
      <c r="AW594" s="67">
        <v>0</v>
      </c>
      <c r="AX594" s="67">
        <v>0</v>
      </c>
      <c r="AY594" s="67"/>
      <c r="AZ594" s="67"/>
      <c r="BA594" s="67"/>
      <c r="BB594" s="67"/>
      <c r="BC594" s="67"/>
      <c r="BD594" s="67"/>
      <c r="BE594" s="67"/>
      <c r="BG594" s="67"/>
      <c r="BH594" s="67"/>
      <c r="BI594" s="67"/>
      <c r="BJ594" s="67">
        <v>0</v>
      </c>
      <c r="BK594" s="67"/>
      <c r="BL594" s="67"/>
      <c r="BP594" s="67"/>
      <c r="BQ594" s="67">
        <v>0</v>
      </c>
      <c r="BR594" s="67"/>
      <c r="BS594" s="67"/>
      <c r="BT594" s="67">
        <v>0</v>
      </c>
      <c r="BU594" s="67">
        <v>0</v>
      </c>
      <c r="BV594" s="67"/>
      <c r="BW594" s="67"/>
      <c r="BX594" s="67">
        <v>0</v>
      </c>
      <c r="BY594" s="67">
        <v>0</v>
      </c>
      <c r="BZ594" s="67">
        <v>0</v>
      </c>
      <c r="CA594" s="67"/>
      <c r="CB594" s="67">
        <v>0</v>
      </c>
      <c r="CC594" s="67"/>
      <c r="CD594" s="67"/>
      <c r="CE594" s="67">
        <v>0</v>
      </c>
      <c r="CF594" s="67"/>
      <c r="CG594" s="67"/>
      <c r="CH594" s="67"/>
      <c r="CI594" s="67"/>
      <c r="CJ594" s="67"/>
      <c r="CK594" s="67">
        <v>0</v>
      </c>
      <c r="CL594" s="67"/>
      <c r="CM594" s="67"/>
      <c r="CN594" s="67"/>
      <c r="CO594" s="67">
        <v>0</v>
      </c>
      <c r="CP594" s="67"/>
      <c r="CQ594" s="67"/>
      <c r="CR594" s="67"/>
      <c r="CS594" s="67"/>
      <c r="CT594" s="67"/>
      <c r="CU594" s="67">
        <v>0</v>
      </c>
      <c r="CV594" s="67"/>
      <c r="CW594" s="67"/>
      <c r="CX594" s="67"/>
      <c r="CY594" s="67">
        <v>0</v>
      </c>
      <c r="CZ594" s="67"/>
      <c r="DA594" s="67"/>
      <c r="DB594" s="67"/>
      <c r="DC594" s="67"/>
      <c r="DF594" s="67"/>
      <c r="DG594" s="67">
        <v>1400</v>
      </c>
      <c r="DH594" s="67">
        <v>1400</v>
      </c>
      <c r="DI594" s="67">
        <v>0</v>
      </c>
      <c r="DJ594" s="67"/>
      <c r="DK594" s="67">
        <v>0</v>
      </c>
      <c r="DL594" s="67">
        <v>0</v>
      </c>
      <c r="DM594" s="67">
        <v>0</v>
      </c>
      <c r="DN594" s="67"/>
      <c r="DO594" s="67"/>
      <c r="DP594" s="67"/>
      <c r="DQ594" s="67">
        <v>0</v>
      </c>
      <c r="DR594" s="67">
        <v>0</v>
      </c>
      <c r="DS594" s="67"/>
      <c r="DT594" s="67"/>
      <c r="DU594" s="67">
        <v>0</v>
      </c>
      <c r="DV594" s="67">
        <v>0</v>
      </c>
      <c r="DW594" s="67">
        <v>0</v>
      </c>
      <c r="DX594" s="67">
        <v>0</v>
      </c>
      <c r="DY594" s="67"/>
      <c r="DZ594" s="67">
        <v>0</v>
      </c>
      <c r="EA594" s="67"/>
      <c r="EB594" s="67">
        <v>0</v>
      </c>
      <c r="EC594" s="67"/>
      <c r="ED594" s="67">
        <v>0</v>
      </c>
      <c r="EE594" s="67"/>
      <c r="EF594" s="67">
        <v>0</v>
      </c>
      <c r="EG594" s="67"/>
      <c r="EH594" s="67"/>
      <c r="EI594" s="67"/>
      <c r="EJ594" s="67"/>
      <c r="EK594" s="67"/>
      <c r="EL594" s="67"/>
      <c r="EM594" s="67"/>
      <c r="EN594" s="67"/>
      <c r="EO594" s="67"/>
      <c r="EP594" s="67">
        <v>0</v>
      </c>
      <c r="EQ594" s="67">
        <v>0</v>
      </c>
      <c r="ER594" s="67">
        <v>0</v>
      </c>
      <c r="ES594" s="67"/>
      <c r="ET594">
        <v>0</v>
      </c>
      <c r="EX594" s="67"/>
      <c r="EY594" s="67"/>
      <c r="EZ594" s="67"/>
      <c r="FA594" s="67">
        <v>2720</v>
      </c>
      <c r="FB594" s="67">
        <v>0</v>
      </c>
      <c r="FC594" s="67"/>
      <c r="FD594" s="67"/>
      <c r="FE594" s="67"/>
      <c r="FF594" s="67"/>
      <c r="FG594" s="67"/>
      <c r="FH594" s="67"/>
      <c r="FI594" s="67" t="s">
        <v>1734</v>
      </c>
    </row>
    <row r="595" spans="2:165" x14ac:dyDescent="0.2">
      <c r="B595" s="67"/>
      <c r="C595" s="67" t="s">
        <v>1735</v>
      </c>
      <c r="D595" s="67" t="s">
        <v>1532</v>
      </c>
      <c r="E595" s="67"/>
      <c r="F595" s="67"/>
      <c r="G595" s="67"/>
      <c r="H595" s="67"/>
      <c r="I595" s="67"/>
      <c r="J595" s="67"/>
      <c r="K595" s="67"/>
      <c r="L595" s="67"/>
      <c r="M595" s="67"/>
      <c r="N595" s="67"/>
      <c r="O595" s="67"/>
      <c r="P595" s="67"/>
      <c r="Q595" s="67">
        <v>0</v>
      </c>
      <c r="R595" s="67">
        <v>0</v>
      </c>
      <c r="S595" s="67">
        <v>0</v>
      </c>
      <c r="T595" s="67">
        <v>0</v>
      </c>
      <c r="U595" s="67">
        <v>0</v>
      </c>
      <c r="V595" s="67">
        <v>0</v>
      </c>
      <c r="W595" s="67">
        <v>0</v>
      </c>
      <c r="X595" s="67">
        <v>0</v>
      </c>
      <c r="Y595" s="67">
        <v>0</v>
      </c>
      <c r="Z595" s="67">
        <v>0</v>
      </c>
      <c r="AA595" s="67">
        <v>0</v>
      </c>
      <c r="AB595" s="67">
        <v>0</v>
      </c>
      <c r="AC595" s="67">
        <v>0</v>
      </c>
      <c r="AD595" s="67">
        <v>0</v>
      </c>
      <c r="AE595" s="67">
        <v>0</v>
      </c>
      <c r="AF595" s="67">
        <v>0</v>
      </c>
      <c r="AG595" s="67">
        <v>0</v>
      </c>
      <c r="AH595" s="67">
        <v>0</v>
      </c>
      <c r="AI595" s="67">
        <v>0</v>
      </c>
      <c r="AJ595" s="67">
        <v>0</v>
      </c>
      <c r="AK595" s="67">
        <v>0</v>
      </c>
      <c r="AL595" s="67">
        <v>0</v>
      </c>
      <c r="AM595" s="67">
        <v>0</v>
      </c>
      <c r="AN595" s="67">
        <v>0</v>
      </c>
      <c r="AO595" s="67">
        <v>0</v>
      </c>
      <c r="AP595" s="67">
        <v>0</v>
      </c>
      <c r="AQ595" s="67">
        <v>0</v>
      </c>
      <c r="AR595" s="67">
        <v>0</v>
      </c>
      <c r="AS595" s="67">
        <v>0</v>
      </c>
      <c r="AT595" s="67"/>
      <c r="AU595" s="67"/>
      <c r="AV595" s="67"/>
      <c r="AW595" s="67">
        <v>0</v>
      </c>
      <c r="AX595" s="67">
        <v>0</v>
      </c>
      <c r="AY595" s="67"/>
      <c r="AZ595" s="67"/>
      <c r="BA595" s="67"/>
      <c r="BB595" s="67"/>
      <c r="BC595" s="67"/>
      <c r="BD595" s="67"/>
      <c r="BE595" s="67"/>
      <c r="BG595" s="67"/>
      <c r="BH595" s="67"/>
      <c r="BI595" s="67"/>
      <c r="BJ595" s="67">
        <v>0</v>
      </c>
      <c r="BK595" s="67"/>
      <c r="BL595" s="67"/>
      <c r="BP595" s="67"/>
      <c r="BQ595" s="67">
        <v>0</v>
      </c>
      <c r="BR595" s="67"/>
      <c r="BS595" s="67"/>
      <c r="BT595" s="67">
        <v>0</v>
      </c>
      <c r="BU595" s="67">
        <v>0</v>
      </c>
      <c r="BV595" s="67"/>
      <c r="BW595" s="67"/>
      <c r="BX595" s="67">
        <v>0</v>
      </c>
      <c r="BY595" s="67"/>
      <c r="BZ595" s="67"/>
      <c r="CA595" s="67"/>
      <c r="CB595" s="67"/>
      <c r="CC595" s="67"/>
      <c r="CD595" s="67"/>
      <c r="CE595" s="67">
        <v>0</v>
      </c>
      <c r="CF595" s="67"/>
      <c r="CG595" s="67"/>
      <c r="CH595" s="67"/>
      <c r="CI595" s="67"/>
      <c r="CJ595" s="67"/>
      <c r="CK595" s="67">
        <v>0</v>
      </c>
      <c r="CL595" s="67"/>
      <c r="CM595" s="67"/>
      <c r="CN595" s="67"/>
      <c r="CO595" s="67">
        <v>0</v>
      </c>
      <c r="CP595" s="67"/>
      <c r="CQ595" s="67"/>
      <c r="CR595" s="67"/>
      <c r="CS595" s="67"/>
      <c r="CT595" s="67"/>
      <c r="CU595" s="67">
        <v>0</v>
      </c>
      <c r="CV595" s="67"/>
      <c r="CW595" s="67"/>
      <c r="CX595" s="67"/>
      <c r="CY595" s="67">
        <v>0</v>
      </c>
      <c r="CZ595" s="67"/>
      <c r="DA595" s="67"/>
      <c r="DB595" s="67"/>
      <c r="DC595" s="67"/>
      <c r="DF595" s="67"/>
      <c r="DG595" s="67">
        <v>0</v>
      </c>
      <c r="DH595" s="67">
        <v>0</v>
      </c>
      <c r="DI595" s="67">
        <v>0</v>
      </c>
      <c r="DJ595" s="67"/>
      <c r="DK595" s="67">
        <v>0</v>
      </c>
      <c r="DL595" s="67">
        <v>0</v>
      </c>
      <c r="DM595" s="67"/>
      <c r="DN595" s="67"/>
      <c r="DO595" s="67"/>
      <c r="DP595" s="67"/>
      <c r="DQ595" s="67">
        <v>0</v>
      </c>
      <c r="DR595" s="67">
        <v>0</v>
      </c>
      <c r="DS595" s="67"/>
      <c r="DT595" s="67"/>
      <c r="DU595" s="67">
        <v>0</v>
      </c>
      <c r="DV595" s="67">
        <v>0</v>
      </c>
      <c r="DW595" s="67">
        <v>0</v>
      </c>
      <c r="DX595" s="67">
        <v>0</v>
      </c>
      <c r="DY595" s="67"/>
      <c r="DZ595" s="67">
        <v>0</v>
      </c>
      <c r="EA595" s="67"/>
      <c r="EB595" s="67">
        <v>0</v>
      </c>
      <c r="EC595" s="67"/>
      <c r="ED595" s="67">
        <v>0</v>
      </c>
      <c r="EE595" s="67">
        <v>0</v>
      </c>
      <c r="EF595" s="67">
        <v>0</v>
      </c>
      <c r="EG595" s="67"/>
      <c r="EH595" s="67"/>
      <c r="EI595" s="67"/>
      <c r="EJ595" s="67"/>
      <c r="EK595" s="67"/>
      <c r="EL595" s="67"/>
      <c r="EM595" s="67"/>
      <c r="EN595" s="67"/>
      <c r="EO595" s="67"/>
      <c r="EP595" s="67">
        <v>0</v>
      </c>
      <c r="EQ595" s="67">
        <v>0</v>
      </c>
      <c r="ER595" s="67">
        <v>0</v>
      </c>
      <c r="ES595" s="67"/>
      <c r="EX595" s="67"/>
      <c r="EY595" s="67"/>
      <c r="EZ595" s="67"/>
      <c r="FA595" s="67">
        <v>0</v>
      </c>
      <c r="FB595" s="67"/>
      <c r="FC595" s="67"/>
      <c r="FD595" s="67"/>
      <c r="FE595" s="67"/>
      <c r="FF595" s="67"/>
      <c r="FG595" s="67"/>
      <c r="FH595" s="67"/>
      <c r="FI595" s="67" t="s">
        <v>1736</v>
      </c>
    </row>
    <row r="596" spans="2:165" x14ac:dyDescent="0.2">
      <c r="B596" s="67"/>
      <c r="C596" s="67" t="s">
        <v>1737</v>
      </c>
      <c r="D596" s="67" t="s">
        <v>1533</v>
      </c>
      <c r="E596" s="67"/>
      <c r="F596" s="67"/>
      <c r="G596" s="67"/>
      <c r="H596" s="67"/>
      <c r="I596" s="67"/>
      <c r="J596" s="67"/>
      <c r="K596" s="67"/>
      <c r="L596" s="67"/>
      <c r="M596" s="67"/>
      <c r="N596" s="67"/>
      <c r="O596" s="67"/>
      <c r="P596" s="67"/>
      <c r="Q596" s="67">
        <v>0</v>
      </c>
      <c r="R596" s="67">
        <v>0</v>
      </c>
      <c r="S596" s="67">
        <v>0</v>
      </c>
      <c r="T596" s="67">
        <v>0</v>
      </c>
      <c r="U596" s="67">
        <v>0</v>
      </c>
      <c r="V596" s="67">
        <v>0</v>
      </c>
      <c r="W596" s="67">
        <v>0</v>
      </c>
      <c r="X596" s="67">
        <v>0</v>
      </c>
      <c r="Y596" s="67">
        <v>0</v>
      </c>
      <c r="Z596" s="67">
        <v>0</v>
      </c>
      <c r="AA596" s="67">
        <v>0</v>
      </c>
      <c r="AB596" s="67">
        <v>0</v>
      </c>
      <c r="AC596" s="67">
        <v>0</v>
      </c>
      <c r="AD596" s="67">
        <v>0</v>
      </c>
      <c r="AE596" s="67">
        <v>0</v>
      </c>
      <c r="AF596" s="67">
        <v>0</v>
      </c>
      <c r="AG596" s="67">
        <v>0</v>
      </c>
      <c r="AH596" s="67">
        <v>0</v>
      </c>
      <c r="AI596" s="67">
        <v>0</v>
      </c>
      <c r="AJ596" s="67">
        <v>0</v>
      </c>
      <c r="AK596" s="67">
        <v>0</v>
      </c>
      <c r="AL596" s="67">
        <v>0</v>
      </c>
      <c r="AM596" s="67">
        <v>0</v>
      </c>
      <c r="AN596" s="67">
        <v>0</v>
      </c>
      <c r="AO596" s="67">
        <v>0</v>
      </c>
      <c r="AP596" s="67">
        <v>0</v>
      </c>
      <c r="AQ596" s="67">
        <v>0</v>
      </c>
      <c r="AR596" s="67">
        <v>0</v>
      </c>
      <c r="AS596" s="67">
        <v>0</v>
      </c>
      <c r="AT596" s="67"/>
      <c r="AU596" s="67"/>
      <c r="AV596" s="67"/>
      <c r="AW596" s="67">
        <v>0</v>
      </c>
      <c r="AX596" s="67">
        <v>0</v>
      </c>
      <c r="AY596" s="67"/>
      <c r="AZ596" s="67"/>
      <c r="BA596" s="67"/>
      <c r="BB596" s="67"/>
      <c r="BC596" s="67"/>
      <c r="BD596" s="67"/>
      <c r="BE596" s="67"/>
      <c r="BG596" s="67"/>
      <c r="BH596" s="67"/>
      <c r="BI596" s="67"/>
      <c r="BJ596" s="67">
        <v>0</v>
      </c>
      <c r="BK596" s="67"/>
      <c r="BL596" s="67"/>
      <c r="BP596" s="67"/>
      <c r="BQ596" s="67">
        <v>0</v>
      </c>
      <c r="BR596" s="67"/>
      <c r="BS596" s="67"/>
      <c r="BT596" s="67">
        <v>0</v>
      </c>
      <c r="BU596" s="67">
        <v>0</v>
      </c>
      <c r="BV596" s="67"/>
      <c r="BW596" s="67"/>
      <c r="BX596" s="67">
        <v>0</v>
      </c>
      <c r="BY596" s="67"/>
      <c r="BZ596" s="67"/>
      <c r="CA596" s="67"/>
      <c r="CB596" s="67"/>
      <c r="CC596" s="67"/>
      <c r="CD596" s="67"/>
      <c r="CE596" s="67">
        <v>0</v>
      </c>
      <c r="CF596" s="67"/>
      <c r="CG596" s="67"/>
      <c r="CH596" s="67"/>
      <c r="CI596" s="67"/>
      <c r="CJ596" s="67"/>
      <c r="CK596" s="67">
        <v>0</v>
      </c>
      <c r="CL596" s="67"/>
      <c r="CM596" s="67"/>
      <c r="CN596" s="67"/>
      <c r="CO596" s="67">
        <v>0</v>
      </c>
      <c r="CP596" s="67"/>
      <c r="CQ596" s="67"/>
      <c r="CR596" s="67"/>
      <c r="CS596" s="67"/>
      <c r="CT596" s="67"/>
      <c r="CU596" s="67">
        <v>0</v>
      </c>
      <c r="CV596" s="67"/>
      <c r="CW596" s="67"/>
      <c r="CX596" s="67"/>
      <c r="CY596" s="67">
        <v>0</v>
      </c>
      <c r="CZ596" s="67"/>
      <c r="DA596" s="67"/>
      <c r="DB596" s="67"/>
      <c r="DC596" s="67"/>
      <c r="DF596" s="67"/>
      <c r="DG596" s="67">
        <v>0</v>
      </c>
      <c r="DH596" s="67">
        <v>0</v>
      </c>
      <c r="DI596" s="67">
        <v>0</v>
      </c>
      <c r="DJ596" s="67"/>
      <c r="DK596" s="67">
        <v>0</v>
      </c>
      <c r="DL596" s="67">
        <v>0</v>
      </c>
      <c r="DM596" s="67"/>
      <c r="DN596" s="67"/>
      <c r="DO596" s="67"/>
      <c r="DP596" s="67"/>
      <c r="DQ596" s="67">
        <v>0</v>
      </c>
      <c r="DR596" s="67">
        <v>0</v>
      </c>
      <c r="DS596" s="67"/>
      <c r="DT596" s="67"/>
      <c r="DU596" s="67">
        <v>0</v>
      </c>
      <c r="DV596" s="67">
        <v>0</v>
      </c>
      <c r="DW596" s="67">
        <v>0</v>
      </c>
      <c r="DX596" s="67">
        <v>0</v>
      </c>
      <c r="DY596" s="67"/>
      <c r="DZ596" s="67">
        <v>0</v>
      </c>
      <c r="EA596" s="67"/>
      <c r="EB596" s="67">
        <v>0</v>
      </c>
      <c r="EC596" s="67"/>
      <c r="ED596" s="67">
        <v>0</v>
      </c>
      <c r="EE596" s="67"/>
      <c r="EF596" s="67">
        <v>0</v>
      </c>
      <c r="EG596" s="67"/>
      <c r="EH596" s="67"/>
      <c r="EI596" s="67"/>
      <c r="EJ596" s="67"/>
      <c r="EK596" s="67"/>
      <c r="EL596" s="67"/>
      <c r="EM596" s="67"/>
      <c r="EN596" s="67"/>
      <c r="EO596" s="67"/>
      <c r="EP596" s="67">
        <v>0</v>
      </c>
      <c r="EQ596" s="67">
        <v>0</v>
      </c>
      <c r="ER596" s="67">
        <v>0</v>
      </c>
      <c r="ES596" s="67"/>
      <c r="EX596" s="67"/>
      <c r="EY596" s="67"/>
      <c r="EZ596" s="67"/>
      <c r="FA596" s="67">
        <v>0</v>
      </c>
      <c r="FB596" s="67"/>
      <c r="FC596" s="67"/>
      <c r="FD596" s="67"/>
      <c r="FE596" s="67"/>
      <c r="FF596" s="67"/>
      <c r="FG596" s="67"/>
      <c r="FH596" s="67"/>
      <c r="FI596" s="67" t="s">
        <v>1736</v>
      </c>
    </row>
    <row r="597" spans="2:165" x14ac:dyDescent="0.2">
      <c r="B597" s="67"/>
      <c r="C597" s="67" t="s">
        <v>1738</v>
      </c>
      <c r="D597" s="67" t="s">
        <v>1534</v>
      </c>
      <c r="E597" s="67"/>
      <c r="F597" s="67"/>
      <c r="G597" s="67"/>
      <c r="H597" s="67"/>
      <c r="I597" s="67"/>
      <c r="J597" s="67"/>
      <c r="K597" s="67"/>
      <c r="L597" s="67"/>
      <c r="M597" s="67"/>
      <c r="N597" s="67"/>
      <c r="O597" s="67"/>
      <c r="P597" s="67"/>
      <c r="Q597" s="67">
        <v>594</v>
      </c>
      <c r="R597" s="67">
        <v>0</v>
      </c>
      <c r="S597" s="67">
        <v>0</v>
      </c>
      <c r="T597" s="67">
        <v>0</v>
      </c>
      <c r="U597" s="67">
        <v>0</v>
      </c>
      <c r="V597" s="67">
        <v>0</v>
      </c>
      <c r="W597" s="67">
        <v>0</v>
      </c>
      <c r="X597" s="67">
        <v>0</v>
      </c>
      <c r="Y597" s="67">
        <v>0</v>
      </c>
      <c r="Z597" s="67">
        <v>0</v>
      </c>
      <c r="AA597" s="67">
        <v>0</v>
      </c>
      <c r="AB597" s="67">
        <v>0</v>
      </c>
      <c r="AC597" s="67">
        <v>0</v>
      </c>
      <c r="AD597" s="67">
        <v>0</v>
      </c>
      <c r="AE597" s="67">
        <v>0</v>
      </c>
      <c r="AF597" s="67">
        <v>0</v>
      </c>
      <c r="AG597" s="67">
        <v>0</v>
      </c>
      <c r="AH597" s="67">
        <v>0</v>
      </c>
      <c r="AI597" s="67">
        <v>0</v>
      </c>
      <c r="AJ597" s="67">
        <v>594</v>
      </c>
      <c r="AK597" s="67">
        <v>0</v>
      </c>
      <c r="AL597" s="67">
        <v>0</v>
      </c>
      <c r="AM597" s="67">
        <v>0</v>
      </c>
      <c r="AN597" s="67">
        <v>0</v>
      </c>
      <c r="AO597" s="67">
        <v>0</v>
      </c>
      <c r="AP597" s="67">
        <v>0</v>
      </c>
      <c r="AQ597" s="67">
        <v>0</v>
      </c>
      <c r="AR597" s="67">
        <v>0</v>
      </c>
      <c r="AS597" s="67">
        <v>0</v>
      </c>
      <c r="AT597" s="67"/>
      <c r="AU597" s="67"/>
      <c r="AV597" s="67"/>
      <c r="AW597" s="67">
        <v>0</v>
      </c>
      <c r="AX597" s="67">
        <v>0</v>
      </c>
      <c r="AY597" s="67"/>
      <c r="AZ597" s="67"/>
      <c r="BA597" s="67"/>
      <c r="BB597" s="67"/>
      <c r="BC597" s="67"/>
      <c r="BD597" s="67"/>
      <c r="BE597" s="67"/>
      <c r="BG597" s="67"/>
      <c r="BH597" s="67"/>
      <c r="BI597" s="67"/>
      <c r="BJ597" s="67">
        <v>0</v>
      </c>
      <c r="BK597" s="67"/>
      <c r="BL597" s="67"/>
      <c r="BP597" s="67"/>
      <c r="BQ597" s="67">
        <v>0</v>
      </c>
      <c r="BR597" s="67"/>
      <c r="BS597" s="67"/>
      <c r="BT597" s="67">
        <v>0</v>
      </c>
      <c r="BU597" s="67">
        <v>0</v>
      </c>
      <c r="BV597" s="67"/>
      <c r="BW597" s="67"/>
      <c r="BX597" s="67">
        <v>0</v>
      </c>
      <c r="BY597" s="67"/>
      <c r="BZ597" s="67"/>
      <c r="CA597" s="67"/>
      <c r="CB597" s="67"/>
      <c r="CC597" s="67"/>
      <c r="CD597" s="67"/>
      <c r="CE597" s="67">
        <v>0</v>
      </c>
      <c r="CF597" s="67"/>
      <c r="CG597" s="67"/>
      <c r="CH597" s="67"/>
      <c r="CI597" s="67"/>
      <c r="CJ597" s="67"/>
      <c r="CK597" s="67">
        <v>0</v>
      </c>
      <c r="CL597" s="67"/>
      <c r="CM597" s="67"/>
      <c r="CN597" s="67"/>
      <c r="CO597" s="67">
        <v>0</v>
      </c>
      <c r="CP597" s="67"/>
      <c r="CQ597" s="67"/>
      <c r="CR597" s="67"/>
      <c r="CS597" s="67"/>
      <c r="CT597" s="67"/>
      <c r="CU597" s="67">
        <v>0</v>
      </c>
      <c r="CV597" s="67"/>
      <c r="CW597" s="67"/>
      <c r="CX597" s="67"/>
      <c r="CY597" s="67">
        <v>0</v>
      </c>
      <c r="CZ597" s="67"/>
      <c r="DA597" s="67"/>
      <c r="DB597" s="67"/>
      <c r="DC597" s="67"/>
      <c r="DF597" s="67"/>
      <c r="DG597" s="67">
        <v>0</v>
      </c>
      <c r="DH597" s="67">
        <v>0</v>
      </c>
      <c r="DI597" s="67">
        <v>0</v>
      </c>
      <c r="DJ597" s="67"/>
      <c r="DK597" s="67">
        <v>0</v>
      </c>
      <c r="DL597" s="67">
        <v>0</v>
      </c>
      <c r="DM597" s="67"/>
      <c r="DN597" s="67"/>
      <c r="DO597" s="67"/>
      <c r="DP597" s="67"/>
      <c r="DQ597" s="67">
        <v>0</v>
      </c>
      <c r="DR597" s="67">
        <v>0</v>
      </c>
      <c r="DS597" s="67"/>
      <c r="DT597" s="67"/>
      <c r="DU597" s="67">
        <v>0</v>
      </c>
      <c r="DV597" s="67">
        <v>0</v>
      </c>
      <c r="DW597" s="67">
        <v>0</v>
      </c>
      <c r="DX597" s="67">
        <v>0</v>
      </c>
      <c r="DY597" s="67"/>
      <c r="DZ597" s="67">
        <v>0</v>
      </c>
      <c r="EA597" s="67"/>
      <c r="EB597" s="67">
        <v>0</v>
      </c>
      <c r="EC597" s="67"/>
      <c r="ED597" s="67">
        <v>0</v>
      </c>
      <c r="EE597" s="67"/>
      <c r="EF597" s="67">
        <v>0</v>
      </c>
      <c r="EG597" s="67"/>
      <c r="EH597" s="67"/>
      <c r="EI597" s="67"/>
      <c r="EJ597" s="67"/>
      <c r="EK597" s="67"/>
      <c r="EL597" s="67"/>
      <c r="EM597" s="67"/>
      <c r="EN597" s="67"/>
      <c r="EO597" s="67"/>
      <c r="EP597" s="67">
        <v>0</v>
      </c>
      <c r="EQ597" s="67">
        <v>0</v>
      </c>
      <c r="ER597" s="67">
        <v>0</v>
      </c>
      <c r="ES597" s="67"/>
      <c r="EX597" s="67"/>
      <c r="EY597" s="67"/>
      <c r="EZ597" s="67"/>
      <c r="FA597" s="67">
        <v>594</v>
      </c>
      <c r="FB597" s="67"/>
      <c r="FC597" s="67"/>
      <c r="FD597" s="67"/>
      <c r="FE597" s="67"/>
      <c r="FF597" s="67"/>
      <c r="FG597" s="67"/>
      <c r="FH597" s="67"/>
      <c r="FI597" s="67" t="s">
        <v>1736</v>
      </c>
    </row>
    <row r="598" spans="2:165" x14ac:dyDescent="0.2">
      <c r="B598" s="67"/>
      <c r="C598" s="67" t="s">
        <v>1739</v>
      </c>
      <c r="D598" s="67" t="s">
        <v>1535</v>
      </c>
      <c r="E598" s="67"/>
      <c r="F598" s="67"/>
      <c r="G598" s="67"/>
      <c r="H598" s="67"/>
      <c r="I598" s="67"/>
      <c r="J598" s="67"/>
      <c r="K598" s="67"/>
      <c r="L598" s="67"/>
      <c r="M598" s="67"/>
      <c r="N598" s="67"/>
      <c r="O598" s="67"/>
      <c r="P598" s="67"/>
      <c r="Q598" s="67">
        <v>0</v>
      </c>
      <c r="R598" s="67">
        <v>0</v>
      </c>
      <c r="S598" s="67">
        <v>0</v>
      </c>
      <c r="T598" s="67">
        <v>0</v>
      </c>
      <c r="U598" s="67">
        <v>0</v>
      </c>
      <c r="V598" s="67">
        <v>0</v>
      </c>
      <c r="W598" s="67">
        <v>0</v>
      </c>
      <c r="X598" s="67">
        <v>0</v>
      </c>
      <c r="Y598" s="67">
        <v>0</v>
      </c>
      <c r="Z598" s="67">
        <v>0</v>
      </c>
      <c r="AA598" s="67">
        <v>0</v>
      </c>
      <c r="AB598" s="67">
        <v>0</v>
      </c>
      <c r="AC598" s="67">
        <v>0</v>
      </c>
      <c r="AD598" s="67">
        <v>0</v>
      </c>
      <c r="AE598" s="67">
        <v>0</v>
      </c>
      <c r="AF598" s="67">
        <v>0</v>
      </c>
      <c r="AG598" s="67">
        <v>0</v>
      </c>
      <c r="AH598" s="67">
        <v>0</v>
      </c>
      <c r="AI598" s="67">
        <v>0</v>
      </c>
      <c r="AJ598" s="67">
        <v>0</v>
      </c>
      <c r="AK598" s="67">
        <v>0</v>
      </c>
      <c r="AL598" s="67">
        <v>0</v>
      </c>
      <c r="AM598" s="67">
        <v>0</v>
      </c>
      <c r="AN598" s="67">
        <v>0</v>
      </c>
      <c r="AO598" s="67">
        <v>0</v>
      </c>
      <c r="AP598" s="67">
        <v>0</v>
      </c>
      <c r="AQ598" s="67">
        <v>0</v>
      </c>
      <c r="AR598" s="67">
        <v>0</v>
      </c>
      <c r="AS598" s="67">
        <v>0</v>
      </c>
      <c r="AT598" s="67"/>
      <c r="AU598" s="67"/>
      <c r="AV598" s="67"/>
      <c r="AW598" s="67">
        <v>0</v>
      </c>
      <c r="AX598" s="67">
        <v>0</v>
      </c>
      <c r="AY598" s="67"/>
      <c r="AZ598" s="67"/>
      <c r="BA598" s="67"/>
      <c r="BB598" s="67"/>
      <c r="BC598" s="67"/>
      <c r="BD598" s="67"/>
      <c r="BE598" s="67"/>
      <c r="BG598" s="67"/>
      <c r="BH598" s="67"/>
      <c r="BI598" s="67"/>
      <c r="BJ598" s="67">
        <v>0</v>
      </c>
      <c r="BK598" s="67"/>
      <c r="BL598" s="67"/>
      <c r="BP598" s="67"/>
      <c r="BQ598" s="67">
        <v>0</v>
      </c>
      <c r="BR598" s="67"/>
      <c r="BS598" s="67"/>
      <c r="BT598" s="67">
        <v>0</v>
      </c>
      <c r="BU598" s="67">
        <v>0</v>
      </c>
      <c r="BV598" s="67"/>
      <c r="BW598" s="67"/>
      <c r="BX598" s="67">
        <v>0</v>
      </c>
      <c r="BY598" s="67"/>
      <c r="BZ598" s="67"/>
      <c r="CA598" s="67"/>
      <c r="CB598" s="67"/>
      <c r="CC598" s="67"/>
      <c r="CD598" s="67"/>
      <c r="CE598" s="67">
        <v>0</v>
      </c>
      <c r="CF598" s="67"/>
      <c r="CG598" s="67"/>
      <c r="CH598" s="67"/>
      <c r="CI598" s="67"/>
      <c r="CJ598" s="67"/>
      <c r="CK598" s="67">
        <v>0</v>
      </c>
      <c r="CL598" s="67"/>
      <c r="CM598" s="67"/>
      <c r="CN598" s="67"/>
      <c r="CO598" s="67">
        <v>0</v>
      </c>
      <c r="CP598" s="67"/>
      <c r="CQ598" s="67"/>
      <c r="CR598" s="67"/>
      <c r="CS598" s="67"/>
      <c r="CT598" s="67"/>
      <c r="CU598" s="67">
        <v>0</v>
      </c>
      <c r="CV598" s="67"/>
      <c r="CW598" s="67"/>
      <c r="CX598" s="67"/>
      <c r="CY598" s="67">
        <v>0</v>
      </c>
      <c r="CZ598" s="67"/>
      <c r="DA598" s="67"/>
      <c r="DB598" s="67"/>
      <c r="DC598" s="67"/>
      <c r="DF598" s="67"/>
      <c r="DG598" s="67">
        <v>0</v>
      </c>
      <c r="DH598" s="67">
        <v>0</v>
      </c>
      <c r="DI598" s="67">
        <v>0</v>
      </c>
      <c r="DJ598" s="67"/>
      <c r="DK598" s="67">
        <v>0</v>
      </c>
      <c r="DL598" s="67">
        <v>0</v>
      </c>
      <c r="DM598" s="67"/>
      <c r="DN598" s="67"/>
      <c r="DO598" s="67"/>
      <c r="DP598" s="67"/>
      <c r="DQ598" s="67">
        <v>0</v>
      </c>
      <c r="DR598" s="67">
        <v>0</v>
      </c>
      <c r="DS598" s="67"/>
      <c r="DT598" s="67"/>
      <c r="DU598" s="67">
        <v>0</v>
      </c>
      <c r="DV598" s="67">
        <v>0</v>
      </c>
      <c r="DW598" s="67">
        <v>0</v>
      </c>
      <c r="DX598" s="67">
        <v>0</v>
      </c>
      <c r="DY598" s="67"/>
      <c r="DZ598" s="67">
        <v>0</v>
      </c>
      <c r="EA598" s="67"/>
      <c r="EB598" s="67">
        <v>0</v>
      </c>
      <c r="EC598" s="67"/>
      <c r="ED598" s="67">
        <v>0</v>
      </c>
      <c r="EE598" s="67"/>
      <c r="EF598" s="67">
        <v>0</v>
      </c>
      <c r="EG598" s="67"/>
      <c r="EH598" s="67"/>
      <c r="EI598" s="67"/>
      <c r="EJ598" s="67"/>
      <c r="EK598" s="67"/>
      <c r="EL598" s="67"/>
      <c r="EM598" s="67"/>
      <c r="EN598" s="67"/>
      <c r="EO598" s="67"/>
      <c r="EP598" s="67">
        <v>0</v>
      </c>
      <c r="EQ598" s="67">
        <v>0</v>
      </c>
      <c r="ER598" s="67">
        <v>0</v>
      </c>
      <c r="ES598" s="67"/>
      <c r="EX598" s="67"/>
      <c r="EY598" s="67"/>
      <c r="EZ598" s="67"/>
      <c r="FA598" s="67">
        <v>0</v>
      </c>
      <c r="FB598" s="67"/>
      <c r="FC598" s="67"/>
      <c r="FD598" s="67"/>
      <c r="FE598" s="67"/>
      <c r="FF598" s="67"/>
      <c r="FG598" s="67"/>
      <c r="FH598" s="67"/>
      <c r="FI598" s="67" t="s">
        <v>1736</v>
      </c>
    </row>
    <row r="599" spans="2:165" x14ac:dyDescent="0.2">
      <c r="B599" s="67"/>
      <c r="C599" s="67" t="s">
        <v>1740</v>
      </c>
      <c r="D599" s="67" t="s">
        <v>1536</v>
      </c>
      <c r="E599" s="67"/>
      <c r="F599" s="67"/>
      <c r="G599" s="67"/>
      <c r="H599" s="67"/>
      <c r="I599" s="67"/>
      <c r="J599" s="67"/>
      <c r="K599" s="67"/>
      <c r="L599" s="67"/>
      <c r="M599" s="67"/>
      <c r="N599" s="67"/>
      <c r="O599" s="67"/>
      <c r="P599" s="67"/>
      <c r="Q599" s="67">
        <v>360</v>
      </c>
      <c r="R599" s="67">
        <v>0</v>
      </c>
      <c r="S599" s="67">
        <v>0</v>
      </c>
      <c r="T599" s="67">
        <v>0</v>
      </c>
      <c r="U599" s="67">
        <v>0</v>
      </c>
      <c r="V599" s="67">
        <v>0</v>
      </c>
      <c r="W599" s="67">
        <v>0</v>
      </c>
      <c r="X599" s="67">
        <v>0</v>
      </c>
      <c r="Y599" s="67">
        <v>0</v>
      </c>
      <c r="Z599" s="67">
        <v>0</v>
      </c>
      <c r="AA599" s="67">
        <v>0</v>
      </c>
      <c r="AB599" s="67">
        <v>0</v>
      </c>
      <c r="AC599" s="67">
        <v>0</v>
      </c>
      <c r="AD599" s="67">
        <v>0</v>
      </c>
      <c r="AE599" s="67">
        <v>0</v>
      </c>
      <c r="AF599" s="67">
        <v>0</v>
      </c>
      <c r="AG599" s="67">
        <v>0</v>
      </c>
      <c r="AH599" s="67">
        <v>0</v>
      </c>
      <c r="AI599" s="67">
        <v>0</v>
      </c>
      <c r="AJ599" s="67">
        <v>0</v>
      </c>
      <c r="AK599" s="67">
        <v>360</v>
      </c>
      <c r="AL599" s="67">
        <v>0</v>
      </c>
      <c r="AM599" s="67">
        <v>0</v>
      </c>
      <c r="AN599" s="67">
        <v>0</v>
      </c>
      <c r="AO599" s="67">
        <v>0</v>
      </c>
      <c r="AP599" s="67">
        <v>0</v>
      </c>
      <c r="AQ599" s="67">
        <v>0</v>
      </c>
      <c r="AR599" s="67">
        <v>0</v>
      </c>
      <c r="AS599" s="67">
        <v>0</v>
      </c>
      <c r="AT599" s="67"/>
      <c r="AU599" s="67"/>
      <c r="AV599" s="67"/>
      <c r="AW599" s="67">
        <v>0</v>
      </c>
      <c r="AX599" s="67">
        <v>0</v>
      </c>
      <c r="AY599" s="67"/>
      <c r="AZ599" s="67"/>
      <c r="BA599" s="67"/>
      <c r="BB599" s="67"/>
      <c r="BC599" s="67"/>
      <c r="BD599" s="67"/>
      <c r="BE599" s="67"/>
      <c r="BG599" s="67"/>
      <c r="BH599" s="67"/>
      <c r="BI599" s="67"/>
      <c r="BJ599" s="67">
        <v>0</v>
      </c>
      <c r="BK599" s="67"/>
      <c r="BL599" s="67"/>
      <c r="BP599" s="67"/>
      <c r="BQ599" s="67">
        <v>0</v>
      </c>
      <c r="BR599" s="67"/>
      <c r="BS599" s="67"/>
      <c r="BT599" s="67">
        <v>0</v>
      </c>
      <c r="BU599" s="67">
        <v>0</v>
      </c>
      <c r="BV599" s="67"/>
      <c r="BW599" s="67"/>
      <c r="BX599" s="67">
        <v>0</v>
      </c>
      <c r="BY599" s="67"/>
      <c r="BZ599" s="67"/>
      <c r="CA599" s="67"/>
      <c r="CB599" s="67"/>
      <c r="CC599" s="67"/>
      <c r="CD599" s="67"/>
      <c r="CE599" s="67">
        <v>0</v>
      </c>
      <c r="CF599" s="67"/>
      <c r="CG599" s="67"/>
      <c r="CH599" s="67"/>
      <c r="CI599" s="67"/>
      <c r="CJ599" s="67"/>
      <c r="CK599" s="67">
        <v>0</v>
      </c>
      <c r="CL599" s="67"/>
      <c r="CM599" s="67"/>
      <c r="CN599" s="67"/>
      <c r="CO599" s="67">
        <v>0</v>
      </c>
      <c r="CP599" s="67"/>
      <c r="CQ599" s="67"/>
      <c r="CR599" s="67"/>
      <c r="CS599" s="67"/>
      <c r="CT599" s="67"/>
      <c r="CU599" s="67">
        <v>0</v>
      </c>
      <c r="CV599" s="67"/>
      <c r="CW599" s="67"/>
      <c r="CX599" s="67"/>
      <c r="CY599" s="67">
        <v>0</v>
      </c>
      <c r="CZ599" s="67"/>
      <c r="DA599" s="67"/>
      <c r="DB599" s="67"/>
      <c r="DC599" s="67"/>
      <c r="DF599" s="67"/>
      <c r="DG599" s="67">
        <v>0</v>
      </c>
      <c r="DH599" s="67">
        <v>0</v>
      </c>
      <c r="DI599" s="67">
        <v>0</v>
      </c>
      <c r="DJ599" s="67"/>
      <c r="DK599" s="67">
        <v>0</v>
      </c>
      <c r="DL599" s="67">
        <v>0</v>
      </c>
      <c r="DM599" s="67"/>
      <c r="DN599" s="67"/>
      <c r="DO599" s="67"/>
      <c r="DP599" s="67"/>
      <c r="DQ599" s="67">
        <v>0</v>
      </c>
      <c r="DR599" s="67">
        <v>0</v>
      </c>
      <c r="DS599" s="67"/>
      <c r="DT599" s="67"/>
      <c r="DU599" s="67">
        <v>0</v>
      </c>
      <c r="DV599" s="67">
        <v>0</v>
      </c>
      <c r="DW599" s="67">
        <v>0</v>
      </c>
      <c r="DX599" s="67">
        <v>0</v>
      </c>
      <c r="DY599" s="67"/>
      <c r="DZ599" s="67">
        <v>0</v>
      </c>
      <c r="EA599" s="67"/>
      <c r="EB599" s="67">
        <v>0</v>
      </c>
      <c r="EC599" s="67"/>
      <c r="ED599" s="67">
        <v>0</v>
      </c>
      <c r="EE599" s="67"/>
      <c r="EF599" s="67">
        <v>0</v>
      </c>
      <c r="EG599" s="67"/>
      <c r="EH599" s="67"/>
      <c r="EI599" s="67"/>
      <c r="EJ599" s="67"/>
      <c r="EK599" s="67"/>
      <c r="EL599" s="67"/>
      <c r="EM599" s="67"/>
      <c r="EN599" s="67"/>
      <c r="EO599" s="67"/>
      <c r="EP599" s="67">
        <v>0</v>
      </c>
      <c r="EQ599" s="67">
        <v>0</v>
      </c>
      <c r="ER599" s="67">
        <v>0</v>
      </c>
      <c r="ES599" s="67"/>
      <c r="EX599" s="67"/>
      <c r="EY599" s="67"/>
      <c r="EZ599" s="67"/>
      <c r="FA599" s="67">
        <v>360</v>
      </c>
      <c r="FB599" s="67"/>
      <c r="FC599" s="67"/>
      <c r="FD599" s="67"/>
      <c r="FE599" s="67"/>
      <c r="FF599" s="67"/>
      <c r="FG599" s="67"/>
      <c r="FH599" s="67"/>
      <c r="FI599" s="67" t="s">
        <v>1736</v>
      </c>
    </row>
    <row r="600" spans="2:165" x14ac:dyDescent="0.2">
      <c r="B600" s="67"/>
      <c r="C600" s="67" t="s">
        <v>1741</v>
      </c>
      <c r="D600" s="67" t="s">
        <v>1537</v>
      </c>
      <c r="E600" s="67"/>
      <c r="F600" s="67"/>
      <c r="G600" s="67"/>
      <c r="H600" s="67"/>
      <c r="I600" s="67"/>
      <c r="J600" s="67"/>
      <c r="K600" s="67"/>
      <c r="L600" s="67"/>
      <c r="M600" s="67"/>
      <c r="N600" s="67"/>
      <c r="O600" s="67"/>
      <c r="P600" s="67"/>
      <c r="Q600" s="67">
        <v>0</v>
      </c>
      <c r="R600" s="67">
        <v>0</v>
      </c>
      <c r="S600" s="67">
        <v>0</v>
      </c>
      <c r="T600" s="67">
        <v>0</v>
      </c>
      <c r="U600" s="67">
        <v>0</v>
      </c>
      <c r="V600" s="67">
        <v>0</v>
      </c>
      <c r="W600" s="67">
        <v>0</v>
      </c>
      <c r="X600" s="67">
        <v>0</v>
      </c>
      <c r="Y600" s="67">
        <v>0</v>
      </c>
      <c r="Z600" s="67">
        <v>0</v>
      </c>
      <c r="AA600" s="67">
        <v>0</v>
      </c>
      <c r="AB600" s="67">
        <v>0</v>
      </c>
      <c r="AC600" s="67">
        <v>0</v>
      </c>
      <c r="AD600" s="67">
        <v>0</v>
      </c>
      <c r="AE600" s="67">
        <v>0</v>
      </c>
      <c r="AF600" s="67">
        <v>0</v>
      </c>
      <c r="AG600" s="67">
        <v>0</v>
      </c>
      <c r="AH600" s="67">
        <v>0</v>
      </c>
      <c r="AI600" s="67">
        <v>0</v>
      </c>
      <c r="AJ600" s="67">
        <v>0</v>
      </c>
      <c r="AK600" s="67">
        <v>0</v>
      </c>
      <c r="AL600" s="67">
        <v>0</v>
      </c>
      <c r="AM600" s="67">
        <v>0</v>
      </c>
      <c r="AN600" s="67">
        <v>0</v>
      </c>
      <c r="AO600" s="67">
        <v>0</v>
      </c>
      <c r="AP600" s="67">
        <v>0</v>
      </c>
      <c r="AQ600" s="67">
        <v>0</v>
      </c>
      <c r="AR600" s="67">
        <v>0</v>
      </c>
      <c r="AS600" s="67">
        <v>0</v>
      </c>
      <c r="AT600" s="67"/>
      <c r="AU600" s="67"/>
      <c r="AV600" s="67"/>
      <c r="AW600" s="67">
        <v>0</v>
      </c>
      <c r="AX600" s="67">
        <v>0</v>
      </c>
      <c r="AY600" s="67"/>
      <c r="AZ600" s="67"/>
      <c r="BA600" s="67"/>
      <c r="BB600" s="67"/>
      <c r="BC600" s="67"/>
      <c r="BD600" s="67"/>
      <c r="BE600" s="67"/>
      <c r="BG600" s="67"/>
      <c r="BH600" s="67"/>
      <c r="BI600" s="67"/>
      <c r="BJ600" s="67">
        <v>0</v>
      </c>
      <c r="BK600" s="67"/>
      <c r="BL600" s="67"/>
      <c r="BP600" s="67"/>
      <c r="BQ600" s="67">
        <v>0</v>
      </c>
      <c r="BR600" s="67"/>
      <c r="BS600" s="67"/>
      <c r="BT600" s="67">
        <v>0</v>
      </c>
      <c r="BU600" s="67">
        <v>0</v>
      </c>
      <c r="BV600" s="67"/>
      <c r="BW600" s="67"/>
      <c r="BX600" s="67">
        <v>0</v>
      </c>
      <c r="BY600" s="67"/>
      <c r="BZ600" s="67"/>
      <c r="CA600" s="67"/>
      <c r="CB600" s="67"/>
      <c r="CC600" s="67"/>
      <c r="CD600" s="67"/>
      <c r="CE600" s="67">
        <v>0</v>
      </c>
      <c r="CF600" s="67"/>
      <c r="CG600" s="67"/>
      <c r="CH600" s="67"/>
      <c r="CI600" s="67"/>
      <c r="CJ600" s="67"/>
      <c r="CK600" s="67">
        <v>0</v>
      </c>
      <c r="CL600" s="67"/>
      <c r="CM600" s="67"/>
      <c r="CN600" s="67"/>
      <c r="CO600" s="67">
        <v>0</v>
      </c>
      <c r="CP600" s="67"/>
      <c r="CQ600" s="67"/>
      <c r="CR600" s="67"/>
      <c r="CS600" s="67"/>
      <c r="CT600" s="67"/>
      <c r="CU600" s="67">
        <v>0</v>
      </c>
      <c r="CV600" s="67"/>
      <c r="CW600" s="67"/>
      <c r="CX600" s="67"/>
      <c r="CY600" s="67">
        <v>0</v>
      </c>
      <c r="CZ600" s="67"/>
      <c r="DA600" s="67"/>
      <c r="DB600" s="67"/>
      <c r="DC600" s="67"/>
      <c r="DF600" s="67"/>
      <c r="DG600" s="67">
        <v>0</v>
      </c>
      <c r="DH600" s="67">
        <v>0</v>
      </c>
      <c r="DI600" s="67">
        <v>0</v>
      </c>
      <c r="DJ600" s="67"/>
      <c r="DK600" s="67">
        <v>0</v>
      </c>
      <c r="DL600" s="67">
        <v>0</v>
      </c>
      <c r="DM600" s="67"/>
      <c r="DN600" s="67"/>
      <c r="DO600" s="67"/>
      <c r="DP600" s="67"/>
      <c r="DQ600" s="67">
        <v>0</v>
      </c>
      <c r="DR600" s="67">
        <v>0</v>
      </c>
      <c r="DS600" s="67"/>
      <c r="DT600" s="67"/>
      <c r="DU600" s="67">
        <v>0</v>
      </c>
      <c r="DV600" s="67">
        <v>0</v>
      </c>
      <c r="DW600" s="67">
        <v>0</v>
      </c>
      <c r="DX600" s="67">
        <v>0</v>
      </c>
      <c r="DY600" s="67"/>
      <c r="DZ600" s="67">
        <v>0</v>
      </c>
      <c r="EA600" s="67"/>
      <c r="EB600" s="67">
        <v>0</v>
      </c>
      <c r="EC600" s="67"/>
      <c r="ED600" s="67">
        <v>0</v>
      </c>
      <c r="EE600" s="67"/>
      <c r="EF600" s="67">
        <v>0</v>
      </c>
      <c r="EG600" s="67"/>
      <c r="EH600" s="67"/>
      <c r="EI600" s="67"/>
      <c r="EJ600" s="67"/>
      <c r="EK600" s="67"/>
      <c r="EL600" s="67"/>
      <c r="EM600" s="67"/>
      <c r="EN600" s="67"/>
      <c r="EO600" s="67"/>
      <c r="EP600" s="67">
        <v>0</v>
      </c>
      <c r="EQ600" s="67">
        <v>0</v>
      </c>
      <c r="ER600" s="67">
        <v>0</v>
      </c>
      <c r="ES600" s="67"/>
      <c r="EX600" s="67"/>
      <c r="EY600" s="67"/>
      <c r="EZ600" s="67"/>
      <c r="FA600" s="67">
        <v>0</v>
      </c>
      <c r="FB600" s="67"/>
      <c r="FC600" s="67"/>
      <c r="FD600" s="67"/>
      <c r="FE600" s="67"/>
      <c r="FF600" s="67"/>
      <c r="FG600" s="67"/>
      <c r="FH600" s="67"/>
      <c r="FI600" s="67" t="s">
        <v>1736</v>
      </c>
    </row>
    <row r="601" spans="2:165" x14ac:dyDescent="0.2">
      <c r="B601" s="67"/>
      <c r="C601" s="67" t="s">
        <v>1742</v>
      </c>
      <c r="D601" s="67" t="s">
        <v>1538</v>
      </c>
      <c r="E601" s="67"/>
      <c r="F601" s="67"/>
      <c r="G601" s="67"/>
      <c r="H601" s="67"/>
      <c r="I601" s="67"/>
      <c r="J601" s="67"/>
      <c r="K601" s="67"/>
      <c r="L601" s="67"/>
      <c r="M601" s="67"/>
      <c r="N601" s="67"/>
      <c r="O601" s="67"/>
      <c r="P601" s="67"/>
      <c r="Q601" s="67">
        <v>0</v>
      </c>
      <c r="R601" s="67">
        <v>0</v>
      </c>
      <c r="S601" s="67">
        <v>0</v>
      </c>
      <c r="T601" s="67">
        <v>0</v>
      </c>
      <c r="U601" s="67">
        <v>0</v>
      </c>
      <c r="V601" s="67">
        <v>0</v>
      </c>
      <c r="W601" s="67">
        <v>0</v>
      </c>
      <c r="X601" s="67">
        <v>0</v>
      </c>
      <c r="Y601" s="67">
        <v>0</v>
      </c>
      <c r="Z601" s="67">
        <v>0</v>
      </c>
      <c r="AA601" s="67">
        <v>0</v>
      </c>
      <c r="AB601" s="67">
        <v>0</v>
      </c>
      <c r="AC601" s="67">
        <v>0</v>
      </c>
      <c r="AD601" s="67">
        <v>0</v>
      </c>
      <c r="AE601" s="67">
        <v>0</v>
      </c>
      <c r="AF601" s="67">
        <v>0</v>
      </c>
      <c r="AG601" s="67">
        <v>0</v>
      </c>
      <c r="AH601" s="67">
        <v>0</v>
      </c>
      <c r="AI601" s="67">
        <v>0</v>
      </c>
      <c r="AJ601" s="67">
        <v>0</v>
      </c>
      <c r="AK601" s="67">
        <v>0</v>
      </c>
      <c r="AL601" s="67">
        <v>0</v>
      </c>
      <c r="AM601" s="67">
        <v>0</v>
      </c>
      <c r="AN601" s="67">
        <v>0</v>
      </c>
      <c r="AO601" s="67">
        <v>0</v>
      </c>
      <c r="AP601" s="67">
        <v>0</v>
      </c>
      <c r="AQ601" s="67">
        <v>0</v>
      </c>
      <c r="AR601" s="67">
        <v>0</v>
      </c>
      <c r="AS601" s="67">
        <v>0</v>
      </c>
      <c r="AT601" s="67"/>
      <c r="AU601" s="67"/>
      <c r="AV601" s="67"/>
      <c r="AW601" s="67">
        <v>0</v>
      </c>
      <c r="AX601" s="67">
        <v>0</v>
      </c>
      <c r="AY601" s="67"/>
      <c r="AZ601" s="67"/>
      <c r="BA601" s="67"/>
      <c r="BB601" s="67"/>
      <c r="BC601" s="67"/>
      <c r="BD601" s="67"/>
      <c r="BE601" s="67"/>
      <c r="BG601" s="67"/>
      <c r="BH601" s="67"/>
      <c r="BI601" s="67"/>
      <c r="BJ601" s="67">
        <v>0</v>
      </c>
      <c r="BK601" s="67"/>
      <c r="BL601" s="67"/>
      <c r="BP601" s="67"/>
      <c r="BQ601" s="67">
        <v>0</v>
      </c>
      <c r="BR601" s="67"/>
      <c r="BS601" s="67"/>
      <c r="BT601" s="67">
        <v>0</v>
      </c>
      <c r="BU601" s="67">
        <v>0</v>
      </c>
      <c r="BV601" s="67"/>
      <c r="BW601" s="67"/>
      <c r="BX601" s="67">
        <v>0</v>
      </c>
      <c r="BY601" s="67"/>
      <c r="BZ601" s="67"/>
      <c r="CA601" s="67"/>
      <c r="CB601" s="67"/>
      <c r="CC601" s="67"/>
      <c r="CD601" s="67"/>
      <c r="CE601" s="67">
        <v>0</v>
      </c>
      <c r="CF601" s="67"/>
      <c r="CG601" s="67"/>
      <c r="CH601" s="67"/>
      <c r="CI601" s="67"/>
      <c r="CJ601" s="67"/>
      <c r="CK601" s="67">
        <v>0</v>
      </c>
      <c r="CL601" s="67"/>
      <c r="CM601" s="67"/>
      <c r="CN601" s="67"/>
      <c r="CO601" s="67">
        <v>0</v>
      </c>
      <c r="CP601" s="67"/>
      <c r="CQ601" s="67"/>
      <c r="CR601" s="67"/>
      <c r="CS601" s="67"/>
      <c r="CT601" s="67"/>
      <c r="CU601" s="67">
        <v>0</v>
      </c>
      <c r="CV601" s="67"/>
      <c r="CW601" s="67"/>
      <c r="CX601" s="67"/>
      <c r="CY601" s="67">
        <v>0</v>
      </c>
      <c r="CZ601" s="67"/>
      <c r="DA601" s="67"/>
      <c r="DB601" s="67"/>
      <c r="DC601" s="67"/>
      <c r="DF601" s="67"/>
      <c r="DG601" s="67">
        <v>0</v>
      </c>
      <c r="DH601" s="67">
        <v>0</v>
      </c>
      <c r="DI601" s="67">
        <v>0</v>
      </c>
      <c r="DJ601" s="67"/>
      <c r="DK601" s="67">
        <v>0</v>
      </c>
      <c r="DL601" s="67">
        <v>0</v>
      </c>
      <c r="DM601" s="67"/>
      <c r="DN601" s="67"/>
      <c r="DO601" s="67"/>
      <c r="DP601" s="67"/>
      <c r="DQ601" s="67">
        <v>0</v>
      </c>
      <c r="DR601" s="67">
        <v>0</v>
      </c>
      <c r="DS601" s="67"/>
      <c r="DT601" s="67"/>
      <c r="DU601" s="67">
        <v>0</v>
      </c>
      <c r="DV601" s="67">
        <v>0</v>
      </c>
      <c r="DW601" s="67">
        <v>0</v>
      </c>
      <c r="DX601" s="67">
        <v>0</v>
      </c>
      <c r="DY601" s="67"/>
      <c r="DZ601" s="67">
        <v>0</v>
      </c>
      <c r="EA601" s="67"/>
      <c r="EB601" s="67">
        <v>0</v>
      </c>
      <c r="EC601" s="67"/>
      <c r="ED601" s="67">
        <v>0</v>
      </c>
      <c r="EE601" s="67"/>
      <c r="EF601" s="67">
        <v>0</v>
      </c>
      <c r="EG601" s="67"/>
      <c r="EH601" s="67"/>
      <c r="EI601" s="67"/>
      <c r="EJ601" s="67"/>
      <c r="EK601" s="67"/>
      <c r="EL601" s="67"/>
      <c r="EM601" s="67"/>
      <c r="EN601" s="67"/>
      <c r="EO601" s="67"/>
      <c r="EP601" s="67">
        <v>0</v>
      </c>
      <c r="EQ601" s="67">
        <v>0</v>
      </c>
      <c r="ER601" s="67">
        <v>0</v>
      </c>
      <c r="ES601" s="67"/>
      <c r="EX601" s="67"/>
      <c r="EY601" s="67"/>
      <c r="EZ601" s="67"/>
      <c r="FA601" s="67">
        <v>0</v>
      </c>
      <c r="FB601" s="67"/>
      <c r="FC601" s="67"/>
      <c r="FD601" s="67"/>
      <c r="FE601" s="67"/>
      <c r="FF601" s="67"/>
      <c r="FG601" s="67"/>
      <c r="FH601" s="67"/>
      <c r="FI601" s="67" t="s">
        <v>1736</v>
      </c>
    </row>
    <row r="602" spans="2:165" x14ac:dyDescent="0.2">
      <c r="B602" s="67"/>
      <c r="C602" s="67" t="s">
        <v>1743</v>
      </c>
      <c r="D602" s="67" t="s">
        <v>1539</v>
      </c>
      <c r="E602" s="67"/>
      <c r="F602" s="67"/>
      <c r="G602" s="67"/>
      <c r="H602" s="67"/>
      <c r="I602" s="67"/>
      <c r="J602" s="67"/>
      <c r="K602" s="67"/>
      <c r="L602" s="67"/>
      <c r="M602" s="67"/>
      <c r="N602" s="67"/>
      <c r="O602" s="67"/>
      <c r="P602" s="67"/>
      <c r="Q602" s="67">
        <v>0</v>
      </c>
      <c r="R602" s="67">
        <v>0</v>
      </c>
      <c r="S602" s="67">
        <v>0</v>
      </c>
      <c r="T602" s="67">
        <v>0</v>
      </c>
      <c r="U602" s="67">
        <v>0</v>
      </c>
      <c r="V602" s="67">
        <v>0</v>
      </c>
      <c r="W602" s="67">
        <v>0</v>
      </c>
      <c r="X602" s="67">
        <v>0</v>
      </c>
      <c r="Y602" s="67">
        <v>0</v>
      </c>
      <c r="Z602" s="67">
        <v>0</v>
      </c>
      <c r="AA602" s="67">
        <v>0</v>
      </c>
      <c r="AB602" s="67">
        <v>0</v>
      </c>
      <c r="AC602" s="67">
        <v>0</v>
      </c>
      <c r="AD602" s="67">
        <v>0</v>
      </c>
      <c r="AE602" s="67">
        <v>0</v>
      </c>
      <c r="AF602" s="67">
        <v>0</v>
      </c>
      <c r="AG602" s="67">
        <v>0</v>
      </c>
      <c r="AH602" s="67">
        <v>0</v>
      </c>
      <c r="AI602" s="67">
        <v>0</v>
      </c>
      <c r="AJ602" s="67">
        <v>0</v>
      </c>
      <c r="AK602" s="67">
        <v>0</v>
      </c>
      <c r="AL602" s="67">
        <v>0</v>
      </c>
      <c r="AM602" s="67">
        <v>0</v>
      </c>
      <c r="AN602" s="67">
        <v>0</v>
      </c>
      <c r="AO602" s="67">
        <v>0</v>
      </c>
      <c r="AP602" s="67">
        <v>0</v>
      </c>
      <c r="AQ602" s="67">
        <v>0</v>
      </c>
      <c r="AR602" s="67">
        <v>0</v>
      </c>
      <c r="AS602" s="67">
        <v>0</v>
      </c>
      <c r="AT602" s="67"/>
      <c r="AU602" s="67"/>
      <c r="AV602" s="67"/>
      <c r="AW602" s="67">
        <v>0</v>
      </c>
      <c r="AX602" s="67">
        <v>0</v>
      </c>
      <c r="AY602" s="67"/>
      <c r="AZ602" s="67"/>
      <c r="BA602" s="67"/>
      <c r="BB602" s="67"/>
      <c r="BC602" s="67"/>
      <c r="BD602" s="67"/>
      <c r="BE602" s="67"/>
      <c r="BG602" s="67"/>
      <c r="BH602" s="67"/>
      <c r="BI602" s="67"/>
      <c r="BJ602" s="67">
        <v>0</v>
      </c>
      <c r="BK602" s="67"/>
      <c r="BL602" s="67"/>
      <c r="BP602" s="67"/>
      <c r="BQ602" s="67">
        <v>0</v>
      </c>
      <c r="BR602" s="67"/>
      <c r="BS602" s="67"/>
      <c r="BT602" s="67">
        <v>0</v>
      </c>
      <c r="BU602" s="67">
        <v>0</v>
      </c>
      <c r="BV602" s="67"/>
      <c r="BW602" s="67"/>
      <c r="BX602" s="67">
        <v>0</v>
      </c>
      <c r="BY602" s="67"/>
      <c r="BZ602" s="67"/>
      <c r="CA602" s="67"/>
      <c r="CB602" s="67"/>
      <c r="CC602" s="67"/>
      <c r="CD602" s="67"/>
      <c r="CE602" s="67">
        <v>0</v>
      </c>
      <c r="CF602" s="67"/>
      <c r="CG602" s="67"/>
      <c r="CH602" s="67"/>
      <c r="CI602" s="67"/>
      <c r="CJ602" s="67"/>
      <c r="CK602" s="67">
        <v>0</v>
      </c>
      <c r="CL602" s="67"/>
      <c r="CM602" s="67"/>
      <c r="CN602" s="67"/>
      <c r="CO602" s="67">
        <v>0</v>
      </c>
      <c r="CP602" s="67"/>
      <c r="CQ602" s="67"/>
      <c r="CR602" s="67"/>
      <c r="CS602" s="67"/>
      <c r="CT602" s="67"/>
      <c r="CU602" s="67">
        <v>0</v>
      </c>
      <c r="CV602" s="67"/>
      <c r="CW602" s="67"/>
      <c r="CX602" s="67"/>
      <c r="CY602" s="67">
        <v>0</v>
      </c>
      <c r="CZ602" s="67"/>
      <c r="DA602" s="67"/>
      <c r="DB602" s="67"/>
      <c r="DC602" s="67"/>
      <c r="DF602" s="67"/>
      <c r="DG602" s="67">
        <v>0</v>
      </c>
      <c r="DH602" s="67">
        <v>0</v>
      </c>
      <c r="DI602" s="67">
        <v>0</v>
      </c>
      <c r="DJ602" s="67"/>
      <c r="DK602" s="67">
        <v>0</v>
      </c>
      <c r="DL602" s="67">
        <v>0</v>
      </c>
      <c r="DM602" s="67"/>
      <c r="DN602" s="67"/>
      <c r="DO602" s="67"/>
      <c r="DP602" s="67"/>
      <c r="DQ602" s="67">
        <v>0</v>
      </c>
      <c r="DR602" s="67">
        <v>0</v>
      </c>
      <c r="DS602" s="67"/>
      <c r="DT602" s="67"/>
      <c r="DU602" s="67">
        <v>0</v>
      </c>
      <c r="DV602" s="67">
        <v>0</v>
      </c>
      <c r="DW602" s="67">
        <v>0</v>
      </c>
      <c r="DX602" s="67">
        <v>0</v>
      </c>
      <c r="DY602" s="67"/>
      <c r="DZ602" s="67">
        <v>0</v>
      </c>
      <c r="EA602" s="67"/>
      <c r="EB602" s="67">
        <v>0</v>
      </c>
      <c r="EC602" s="67"/>
      <c r="ED602" s="67">
        <v>0</v>
      </c>
      <c r="EE602" s="67"/>
      <c r="EF602" s="67">
        <v>0</v>
      </c>
      <c r="EG602" s="67"/>
      <c r="EH602" s="67"/>
      <c r="EI602" s="67"/>
      <c r="EJ602" s="67"/>
      <c r="EK602" s="67"/>
      <c r="EL602" s="67"/>
      <c r="EM602" s="67"/>
      <c r="EN602" s="67"/>
      <c r="EO602" s="67"/>
      <c r="EP602" s="67">
        <v>0</v>
      </c>
      <c r="EQ602" s="67">
        <v>0</v>
      </c>
      <c r="ER602" s="67">
        <v>0</v>
      </c>
      <c r="ES602" s="67"/>
      <c r="EX602" s="67"/>
      <c r="EY602" s="67"/>
      <c r="EZ602" s="67"/>
      <c r="FA602" s="67">
        <v>0</v>
      </c>
      <c r="FB602" s="67"/>
      <c r="FC602" s="67"/>
      <c r="FD602" s="67"/>
      <c r="FE602" s="67"/>
      <c r="FF602" s="67"/>
      <c r="FG602" s="67"/>
      <c r="FH602" s="67"/>
      <c r="FI602" s="67" t="s">
        <v>1736</v>
      </c>
    </row>
    <row r="603" spans="2:165" x14ac:dyDescent="0.2">
      <c r="B603" s="67"/>
      <c r="C603" s="67" t="s">
        <v>1744</v>
      </c>
      <c r="D603" s="67" t="s">
        <v>1540</v>
      </c>
      <c r="E603" s="67"/>
      <c r="F603" s="67"/>
      <c r="G603" s="67"/>
      <c r="H603" s="67"/>
      <c r="I603" s="67"/>
      <c r="J603" s="67"/>
      <c r="K603" s="67"/>
      <c r="L603" s="67"/>
      <c r="M603" s="67"/>
      <c r="N603" s="67"/>
      <c r="O603" s="67"/>
      <c r="P603" s="67"/>
      <c r="Q603" s="67">
        <v>0</v>
      </c>
      <c r="R603" s="67">
        <v>0</v>
      </c>
      <c r="S603" s="67">
        <v>0</v>
      </c>
      <c r="T603" s="67">
        <v>0</v>
      </c>
      <c r="U603" s="67">
        <v>0</v>
      </c>
      <c r="V603" s="67">
        <v>0</v>
      </c>
      <c r="W603" s="67">
        <v>0</v>
      </c>
      <c r="X603" s="67">
        <v>0</v>
      </c>
      <c r="Y603" s="67">
        <v>0</v>
      </c>
      <c r="Z603" s="67">
        <v>0</v>
      </c>
      <c r="AA603" s="67">
        <v>0</v>
      </c>
      <c r="AB603" s="67">
        <v>0</v>
      </c>
      <c r="AC603" s="67">
        <v>0</v>
      </c>
      <c r="AD603" s="67">
        <v>0</v>
      </c>
      <c r="AE603" s="67">
        <v>0</v>
      </c>
      <c r="AF603" s="67">
        <v>0</v>
      </c>
      <c r="AG603" s="67">
        <v>0</v>
      </c>
      <c r="AH603" s="67">
        <v>0</v>
      </c>
      <c r="AI603" s="67">
        <v>0</v>
      </c>
      <c r="AJ603" s="67">
        <v>0</v>
      </c>
      <c r="AK603" s="67">
        <v>0</v>
      </c>
      <c r="AL603" s="67">
        <v>0</v>
      </c>
      <c r="AM603" s="67">
        <v>0</v>
      </c>
      <c r="AN603" s="67">
        <v>0</v>
      </c>
      <c r="AO603" s="67">
        <v>0</v>
      </c>
      <c r="AP603" s="67">
        <v>0</v>
      </c>
      <c r="AQ603" s="67">
        <v>0</v>
      </c>
      <c r="AR603" s="67">
        <v>0</v>
      </c>
      <c r="AS603" s="67">
        <v>0</v>
      </c>
      <c r="AT603" s="67"/>
      <c r="AU603" s="67"/>
      <c r="AV603" s="67"/>
      <c r="AW603" s="67">
        <v>0</v>
      </c>
      <c r="AX603" s="67">
        <v>0</v>
      </c>
      <c r="AY603" s="67"/>
      <c r="AZ603" s="67"/>
      <c r="BA603" s="67"/>
      <c r="BB603" s="67"/>
      <c r="BC603" s="67"/>
      <c r="BD603" s="67"/>
      <c r="BE603" s="67"/>
      <c r="BG603" s="67"/>
      <c r="BH603" s="67"/>
      <c r="BI603" s="67"/>
      <c r="BJ603" s="67">
        <v>0</v>
      </c>
      <c r="BK603" s="67"/>
      <c r="BL603" s="67"/>
      <c r="BP603" s="67"/>
      <c r="BQ603" s="67">
        <v>0</v>
      </c>
      <c r="BR603" s="67"/>
      <c r="BS603" s="67"/>
      <c r="BT603" s="67">
        <v>0</v>
      </c>
      <c r="BU603" s="67">
        <v>0</v>
      </c>
      <c r="BV603" s="67"/>
      <c r="BW603" s="67"/>
      <c r="BX603" s="67">
        <v>0</v>
      </c>
      <c r="BY603" s="67"/>
      <c r="BZ603" s="67"/>
      <c r="CA603" s="67"/>
      <c r="CB603" s="67"/>
      <c r="CC603" s="67"/>
      <c r="CD603" s="67"/>
      <c r="CE603" s="67">
        <v>0</v>
      </c>
      <c r="CF603" s="67"/>
      <c r="CG603" s="67"/>
      <c r="CH603" s="67"/>
      <c r="CI603" s="67"/>
      <c r="CJ603" s="67"/>
      <c r="CK603" s="67">
        <v>0</v>
      </c>
      <c r="CL603" s="67"/>
      <c r="CM603" s="67"/>
      <c r="CN603" s="67"/>
      <c r="CO603" s="67">
        <v>0</v>
      </c>
      <c r="CP603" s="67"/>
      <c r="CQ603" s="67"/>
      <c r="CR603" s="67"/>
      <c r="CS603" s="67"/>
      <c r="CT603" s="67"/>
      <c r="CU603" s="67">
        <v>0</v>
      </c>
      <c r="CV603" s="67"/>
      <c r="CW603" s="67"/>
      <c r="CX603" s="67"/>
      <c r="CY603" s="67">
        <v>0</v>
      </c>
      <c r="CZ603" s="67"/>
      <c r="DA603" s="67"/>
      <c r="DB603" s="67"/>
      <c r="DC603" s="67"/>
      <c r="DF603" s="67"/>
      <c r="DG603" s="67">
        <v>0</v>
      </c>
      <c r="DH603" s="67">
        <v>0</v>
      </c>
      <c r="DI603" s="67">
        <v>0</v>
      </c>
      <c r="DJ603" s="67"/>
      <c r="DK603" s="67">
        <v>0</v>
      </c>
      <c r="DL603" s="67">
        <v>0</v>
      </c>
      <c r="DM603" s="67"/>
      <c r="DN603" s="67"/>
      <c r="DO603" s="67"/>
      <c r="DP603" s="67"/>
      <c r="DQ603" s="67">
        <v>0</v>
      </c>
      <c r="DR603" s="67">
        <v>0</v>
      </c>
      <c r="DS603" s="67"/>
      <c r="DT603" s="67"/>
      <c r="DU603" s="67">
        <v>0</v>
      </c>
      <c r="DV603" s="67">
        <v>0</v>
      </c>
      <c r="DW603" s="67">
        <v>0</v>
      </c>
      <c r="DX603" s="67">
        <v>0</v>
      </c>
      <c r="DY603" s="67"/>
      <c r="DZ603" s="67">
        <v>0</v>
      </c>
      <c r="EA603" s="67"/>
      <c r="EB603" s="67">
        <v>0</v>
      </c>
      <c r="EC603" s="67"/>
      <c r="ED603" s="67">
        <v>0</v>
      </c>
      <c r="EE603" s="67"/>
      <c r="EF603" s="67">
        <v>0</v>
      </c>
      <c r="EG603" s="67"/>
      <c r="EH603" s="67"/>
      <c r="EI603" s="67"/>
      <c r="EJ603" s="67"/>
      <c r="EK603" s="67"/>
      <c r="EL603" s="67"/>
      <c r="EM603" s="67"/>
      <c r="EN603" s="67"/>
      <c r="EO603" s="67"/>
      <c r="EP603" s="67">
        <v>0</v>
      </c>
      <c r="EQ603" s="67">
        <v>0</v>
      </c>
      <c r="ER603" s="67">
        <v>0</v>
      </c>
      <c r="ES603" s="67"/>
      <c r="EX603" s="67"/>
      <c r="EY603" s="67"/>
      <c r="EZ603" s="67"/>
      <c r="FA603" s="67">
        <v>0</v>
      </c>
      <c r="FB603" s="67"/>
      <c r="FC603" s="67"/>
      <c r="FD603" s="67"/>
      <c r="FE603" s="67"/>
      <c r="FF603" s="67"/>
      <c r="FG603" s="67"/>
      <c r="FH603" s="67"/>
      <c r="FI603" s="67" t="s">
        <v>1736</v>
      </c>
    </row>
    <row r="604" spans="2:165" x14ac:dyDescent="0.2">
      <c r="B604" s="67"/>
      <c r="C604" s="67" t="s">
        <v>1745</v>
      </c>
      <c r="D604" s="67" t="s">
        <v>1541</v>
      </c>
      <c r="E604" s="67"/>
      <c r="F604" s="67"/>
      <c r="G604" s="67"/>
      <c r="H604" s="67"/>
      <c r="I604" s="67"/>
      <c r="J604" s="67"/>
      <c r="K604" s="67"/>
      <c r="L604" s="67"/>
      <c r="M604" s="67"/>
      <c r="N604" s="67"/>
      <c r="O604" s="67"/>
      <c r="P604" s="67"/>
      <c r="Q604" s="67">
        <v>0</v>
      </c>
      <c r="R604" s="67">
        <v>0</v>
      </c>
      <c r="S604" s="67">
        <v>0</v>
      </c>
      <c r="T604" s="67">
        <v>0</v>
      </c>
      <c r="U604" s="67">
        <v>0</v>
      </c>
      <c r="V604" s="67">
        <v>0</v>
      </c>
      <c r="W604" s="67">
        <v>0</v>
      </c>
      <c r="X604" s="67">
        <v>0</v>
      </c>
      <c r="Y604" s="67">
        <v>0</v>
      </c>
      <c r="Z604" s="67">
        <v>0</v>
      </c>
      <c r="AA604" s="67">
        <v>0</v>
      </c>
      <c r="AB604" s="67">
        <v>0</v>
      </c>
      <c r="AC604" s="67">
        <v>0</v>
      </c>
      <c r="AD604" s="67">
        <v>0</v>
      </c>
      <c r="AE604" s="67">
        <v>0</v>
      </c>
      <c r="AF604" s="67">
        <v>0</v>
      </c>
      <c r="AG604" s="67">
        <v>0</v>
      </c>
      <c r="AH604" s="67">
        <v>0</v>
      </c>
      <c r="AI604" s="67">
        <v>0</v>
      </c>
      <c r="AJ604" s="67">
        <v>0</v>
      </c>
      <c r="AK604" s="67">
        <v>0</v>
      </c>
      <c r="AL604" s="67">
        <v>0</v>
      </c>
      <c r="AM604" s="67">
        <v>0</v>
      </c>
      <c r="AN604" s="67">
        <v>0</v>
      </c>
      <c r="AO604" s="67">
        <v>0</v>
      </c>
      <c r="AP604" s="67">
        <v>0</v>
      </c>
      <c r="AQ604" s="67">
        <v>0</v>
      </c>
      <c r="AR604" s="67">
        <v>0</v>
      </c>
      <c r="AS604" s="67">
        <v>0</v>
      </c>
      <c r="AT604" s="67"/>
      <c r="AU604" s="67"/>
      <c r="AV604" s="67"/>
      <c r="AW604" s="67">
        <v>0</v>
      </c>
      <c r="AX604" s="67">
        <v>0</v>
      </c>
      <c r="AY604" s="67"/>
      <c r="AZ604" s="67"/>
      <c r="BA604" s="67"/>
      <c r="BB604" s="67"/>
      <c r="BC604" s="67"/>
      <c r="BD604" s="67"/>
      <c r="BE604" s="67"/>
      <c r="BG604" s="67"/>
      <c r="BH604" s="67"/>
      <c r="BI604" s="67"/>
      <c r="BJ604" s="67">
        <v>0</v>
      </c>
      <c r="BK604" s="67"/>
      <c r="BL604" s="67"/>
      <c r="BP604" s="67"/>
      <c r="BQ604" s="67">
        <v>0</v>
      </c>
      <c r="BR604" s="67"/>
      <c r="BS604" s="67"/>
      <c r="BT604" s="67">
        <v>0</v>
      </c>
      <c r="BU604" s="67">
        <v>0</v>
      </c>
      <c r="BV604" s="67"/>
      <c r="BW604" s="67"/>
      <c r="BX604" s="67">
        <v>0</v>
      </c>
      <c r="BY604" s="67"/>
      <c r="BZ604" s="67"/>
      <c r="CA604" s="67"/>
      <c r="CB604" s="67"/>
      <c r="CC604" s="67"/>
      <c r="CD604" s="67"/>
      <c r="CE604" s="67">
        <v>0</v>
      </c>
      <c r="CF604" s="67"/>
      <c r="CG604" s="67"/>
      <c r="CH604" s="67"/>
      <c r="CI604" s="67"/>
      <c r="CJ604" s="67"/>
      <c r="CK604" s="67">
        <v>0</v>
      </c>
      <c r="CL604" s="67"/>
      <c r="CM604" s="67"/>
      <c r="CN604" s="67"/>
      <c r="CO604" s="67">
        <v>0</v>
      </c>
      <c r="CP604" s="67"/>
      <c r="CQ604" s="67"/>
      <c r="CR604" s="67"/>
      <c r="CS604" s="67"/>
      <c r="CT604" s="67"/>
      <c r="CU604" s="67">
        <v>0</v>
      </c>
      <c r="CV604" s="67"/>
      <c r="CW604" s="67"/>
      <c r="CX604" s="67"/>
      <c r="CY604" s="67">
        <v>0</v>
      </c>
      <c r="CZ604" s="67"/>
      <c r="DA604" s="67"/>
      <c r="DB604" s="67"/>
      <c r="DC604" s="67"/>
      <c r="DF604" s="67"/>
      <c r="DG604" s="67">
        <v>0</v>
      </c>
      <c r="DH604" s="67">
        <v>0</v>
      </c>
      <c r="DI604" s="67">
        <v>0</v>
      </c>
      <c r="DJ604" s="67"/>
      <c r="DK604" s="67">
        <v>0</v>
      </c>
      <c r="DL604" s="67">
        <v>0</v>
      </c>
      <c r="DM604" s="67"/>
      <c r="DN604" s="67"/>
      <c r="DO604" s="67"/>
      <c r="DP604" s="67"/>
      <c r="DQ604" s="67">
        <v>0</v>
      </c>
      <c r="DR604" s="67">
        <v>0</v>
      </c>
      <c r="DS604" s="67"/>
      <c r="DT604" s="67"/>
      <c r="DU604" s="67">
        <v>0</v>
      </c>
      <c r="DV604" s="67">
        <v>0</v>
      </c>
      <c r="DW604" s="67">
        <v>0</v>
      </c>
      <c r="DX604" s="67">
        <v>0</v>
      </c>
      <c r="DY604" s="67"/>
      <c r="DZ604" s="67">
        <v>0</v>
      </c>
      <c r="EA604" s="67"/>
      <c r="EB604" s="67">
        <v>0</v>
      </c>
      <c r="EC604" s="67"/>
      <c r="ED604" s="67">
        <v>0</v>
      </c>
      <c r="EE604" s="67"/>
      <c r="EF604" s="67">
        <v>0</v>
      </c>
      <c r="EG604" s="67"/>
      <c r="EH604" s="67"/>
      <c r="EI604" s="67"/>
      <c r="EJ604" s="67"/>
      <c r="EK604" s="67"/>
      <c r="EL604" s="67"/>
      <c r="EM604" s="67"/>
      <c r="EN604" s="67"/>
      <c r="EO604" s="67"/>
      <c r="EP604" s="67">
        <v>0</v>
      </c>
      <c r="EQ604" s="67">
        <v>0</v>
      </c>
      <c r="ER604" s="67">
        <v>0</v>
      </c>
      <c r="ES604" s="67"/>
      <c r="EX604" s="67"/>
      <c r="EY604" s="67"/>
      <c r="EZ604" s="67"/>
      <c r="FA604" s="67">
        <v>0</v>
      </c>
      <c r="FB604" s="67"/>
      <c r="FC604" s="67"/>
      <c r="FD604" s="67"/>
      <c r="FE604" s="67"/>
      <c r="FF604" s="67"/>
      <c r="FG604" s="67"/>
      <c r="FH604" s="67"/>
      <c r="FI604" s="67" t="s">
        <v>1736</v>
      </c>
    </row>
    <row r="605" spans="2:165" x14ac:dyDescent="0.2">
      <c r="B605" s="67"/>
      <c r="C605" s="67" t="s">
        <v>1746</v>
      </c>
      <c r="D605" s="67" t="s">
        <v>1542</v>
      </c>
      <c r="E605" s="67"/>
      <c r="F605" s="67"/>
      <c r="G605" s="67"/>
      <c r="H605" s="67"/>
      <c r="I605" s="67"/>
      <c r="J605" s="67"/>
      <c r="K605" s="67"/>
      <c r="L605" s="67"/>
      <c r="M605" s="67"/>
      <c r="N605" s="67"/>
      <c r="O605" s="67"/>
      <c r="P605" s="67"/>
      <c r="Q605" s="67">
        <v>0</v>
      </c>
      <c r="R605" s="67">
        <v>0</v>
      </c>
      <c r="S605" s="67">
        <v>0</v>
      </c>
      <c r="T605" s="67">
        <v>0</v>
      </c>
      <c r="U605" s="67">
        <v>0</v>
      </c>
      <c r="V605" s="67">
        <v>0</v>
      </c>
      <c r="W605" s="67">
        <v>0</v>
      </c>
      <c r="X605" s="67">
        <v>0</v>
      </c>
      <c r="Y605" s="67">
        <v>0</v>
      </c>
      <c r="Z605" s="67">
        <v>0</v>
      </c>
      <c r="AA605" s="67">
        <v>0</v>
      </c>
      <c r="AB605" s="67">
        <v>0</v>
      </c>
      <c r="AC605" s="67">
        <v>0</v>
      </c>
      <c r="AD605" s="67">
        <v>0</v>
      </c>
      <c r="AE605" s="67">
        <v>0</v>
      </c>
      <c r="AF605" s="67">
        <v>0</v>
      </c>
      <c r="AG605" s="67">
        <v>0</v>
      </c>
      <c r="AH605" s="67">
        <v>0</v>
      </c>
      <c r="AI605" s="67">
        <v>0</v>
      </c>
      <c r="AJ605" s="67">
        <v>0</v>
      </c>
      <c r="AK605" s="67">
        <v>0</v>
      </c>
      <c r="AL605" s="67">
        <v>0</v>
      </c>
      <c r="AM605" s="67">
        <v>0</v>
      </c>
      <c r="AN605" s="67">
        <v>0</v>
      </c>
      <c r="AO605" s="67">
        <v>0</v>
      </c>
      <c r="AP605" s="67">
        <v>0</v>
      </c>
      <c r="AQ605" s="67">
        <v>0</v>
      </c>
      <c r="AR605" s="67">
        <v>0</v>
      </c>
      <c r="AS605" s="67">
        <v>0</v>
      </c>
      <c r="AT605" s="67"/>
      <c r="AU605" s="67"/>
      <c r="AV605" s="67"/>
      <c r="AW605" s="67">
        <v>0</v>
      </c>
      <c r="AX605" s="67">
        <v>0</v>
      </c>
      <c r="AY605" s="67"/>
      <c r="AZ605" s="67"/>
      <c r="BA605" s="67"/>
      <c r="BB605" s="67"/>
      <c r="BC605" s="67"/>
      <c r="BD605" s="67"/>
      <c r="BE605" s="67"/>
      <c r="BG605" s="67"/>
      <c r="BH605" s="67"/>
      <c r="BI605" s="67"/>
      <c r="BJ605" s="67">
        <v>0</v>
      </c>
      <c r="BK605" s="67"/>
      <c r="BL605" s="67"/>
      <c r="BP605" s="67"/>
      <c r="BQ605" s="67">
        <v>0</v>
      </c>
      <c r="BR605" s="67"/>
      <c r="BS605" s="67"/>
      <c r="BT605" s="67">
        <v>0</v>
      </c>
      <c r="BU605" s="67">
        <v>0</v>
      </c>
      <c r="BV605" s="67"/>
      <c r="BW605" s="67"/>
      <c r="BX605" s="67">
        <v>0</v>
      </c>
      <c r="BY605" s="67"/>
      <c r="BZ605" s="67"/>
      <c r="CA605" s="67"/>
      <c r="CB605" s="67"/>
      <c r="CC605" s="67"/>
      <c r="CD605" s="67"/>
      <c r="CE605" s="67">
        <v>0</v>
      </c>
      <c r="CF605" s="67"/>
      <c r="CG605" s="67"/>
      <c r="CH605" s="67"/>
      <c r="CI605" s="67"/>
      <c r="CJ605" s="67"/>
      <c r="CK605" s="67">
        <v>0</v>
      </c>
      <c r="CL605" s="67"/>
      <c r="CM605" s="67"/>
      <c r="CN605" s="67"/>
      <c r="CO605" s="67">
        <v>0</v>
      </c>
      <c r="CP605" s="67"/>
      <c r="CQ605" s="67"/>
      <c r="CR605" s="67"/>
      <c r="CS605" s="67"/>
      <c r="CT605" s="67"/>
      <c r="CU605" s="67">
        <v>0</v>
      </c>
      <c r="CV605" s="67"/>
      <c r="CW605" s="67"/>
      <c r="CX605" s="67"/>
      <c r="CY605" s="67">
        <v>0</v>
      </c>
      <c r="CZ605" s="67"/>
      <c r="DA605" s="67"/>
      <c r="DB605" s="67"/>
      <c r="DC605" s="67"/>
      <c r="DF605" s="67"/>
      <c r="DG605" s="67">
        <v>0</v>
      </c>
      <c r="DH605" s="67">
        <v>0</v>
      </c>
      <c r="DI605" s="67">
        <v>0</v>
      </c>
      <c r="DJ605" s="67"/>
      <c r="DK605" s="67">
        <v>0</v>
      </c>
      <c r="DL605" s="67">
        <v>0</v>
      </c>
      <c r="DM605" s="67"/>
      <c r="DN605" s="67"/>
      <c r="DO605" s="67"/>
      <c r="DP605" s="67"/>
      <c r="DQ605" s="67">
        <v>0</v>
      </c>
      <c r="DR605" s="67">
        <v>0</v>
      </c>
      <c r="DS605" s="67"/>
      <c r="DT605" s="67"/>
      <c r="DU605" s="67">
        <v>0</v>
      </c>
      <c r="DV605" s="67">
        <v>0</v>
      </c>
      <c r="DW605" s="67">
        <v>0</v>
      </c>
      <c r="DX605" s="67">
        <v>0</v>
      </c>
      <c r="DY605" s="67"/>
      <c r="DZ605" s="67">
        <v>0</v>
      </c>
      <c r="EA605" s="67"/>
      <c r="EB605" s="67">
        <v>0</v>
      </c>
      <c r="EC605" s="67"/>
      <c r="ED605" s="67">
        <v>0</v>
      </c>
      <c r="EE605" s="67"/>
      <c r="EF605" s="67">
        <v>0</v>
      </c>
      <c r="EG605" s="67"/>
      <c r="EH605" s="67"/>
      <c r="EI605" s="67"/>
      <c r="EJ605" s="67"/>
      <c r="EK605" s="67"/>
      <c r="EL605" s="67"/>
      <c r="EM605" s="67"/>
      <c r="EN605" s="67"/>
      <c r="EO605" s="67"/>
      <c r="EP605" s="67">
        <v>0</v>
      </c>
      <c r="EQ605" s="67">
        <v>0</v>
      </c>
      <c r="ER605" s="67">
        <v>0</v>
      </c>
      <c r="ES605" s="67"/>
      <c r="EX605" s="67"/>
      <c r="EY605" s="67"/>
      <c r="EZ605" s="67"/>
      <c r="FA605" s="67">
        <v>0</v>
      </c>
      <c r="FB605" s="67"/>
      <c r="FC605" s="67"/>
      <c r="FD605" s="67"/>
      <c r="FE605" s="67"/>
      <c r="FF605" s="67"/>
      <c r="FG605" s="67"/>
      <c r="FH605" s="67"/>
      <c r="FI605" s="67" t="s">
        <v>1736</v>
      </c>
    </row>
    <row r="606" spans="2:165" x14ac:dyDescent="0.2">
      <c r="B606" s="67"/>
      <c r="C606" s="67" t="s">
        <v>1747</v>
      </c>
      <c r="D606" s="67" t="s">
        <v>1543</v>
      </c>
      <c r="E606" s="67"/>
      <c r="F606" s="67"/>
      <c r="G606" s="67"/>
      <c r="H606" s="67"/>
      <c r="I606" s="67"/>
      <c r="J606" s="67"/>
      <c r="K606" s="67"/>
      <c r="L606" s="67"/>
      <c r="M606" s="67"/>
      <c r="N606" s="67"/>
      <c r="O606" s="67"/>
      <c r="P606" s="67"/>
      <c r="Q606" s="67">
        <v>0</v>
      </c>
      <c r="R606" s="67">
        <v>0</v>
      </c>
      <c r="S606" s="67">
        <v>0</v>
      </c>
      <c r="T606" s="67">
        <v>0</v>
      </c>
      <c r="U606" s="67">
        <v>0</v>
      </c>
      <c r="V606" s="67">
        <v>0</v>
      </c>
      <c r="W606" s="67">
        <v>0</v>
      </c>
      <c r="X606" s="67">
        <v>0</v>
      </c>
      <c r="Y606" s="67">
        <v>0</v>
      </c>
      <c r="Z606" s="67">
        <v>0</v>
      </c>
      <c r="AA606" s="67">
        <v>0</v>
      </c>
      <c r="AB606" s="67">
        <v>0</v>
      </c>
      <c r="AC606" s="67">
        <v>0</v>
      </c>
      <c r="AD606" s="67">
        <v>0</v>
      </c>
      <c r="AE606" s="67">
        <v>0</v>
      </c>
      <c r="AF606" s="67">
        <v>0</v>
      </c>
      <c r="AG606" s="67">
        <v>0</v>
      </c>
      <c r="AH606" s="67">
        <v>0</v>
      </c>
      <c r="AI606" s="67">
        <v>0</v>
      </c>
      <c r="AJ606" s="67">
        <v>0</v>
      </c>
      <c r="AK606" s="67">
        <v>0</v>
      </c>
      <c r="AL606" s="67">
        <v>0</v>
      </c>
      <c r="AM606" s="67">
        <v>0</v>
      </c>
      <c r="AN606" s="67">
        <v>0</v>
      </c>
      <c r="AO606" s="67">
        <v>0</v>
      </c>
      <c r="AP606" s="67">
        <v>0</v>
      </c>
      <c r="AQ606" s="67">
        <v>0</v>
      </c>
      <c r="AR606" s="67">
        <v>0</v>
      </c>
      <c r="AS606" s="67">
        <v>0</v>
      </c>
      <c r="AT606" s="67"/>
      <c r="AU606" s="67"/>
      <c r="AV606" s="67"/>
      <c r="AW606" s="67">
        <v>0</v>
      </c>
      <c r="AX606" s="67">
        <v>0</v>
      </c>
      <c r="AY606" s="67"/>
      <c r="AZ606" s="67"/>
      <c r="BA606" s="67"/>
      <c r="BB606" s="67"/>
      <c r="BC606" s="67"/>
      <c r="BD606" s="67"/>
      <c r="BE606" s="67"/>
      <c r="BG606" s="67"/>
      <c r="BH606" s="67"/>
      <c r="BI606" s="67"/>
      <c r="BJ606" s="67">
        <v>0</v>
      </c>
      <c r="BK606" s="67"/>
      <c r="BL606" s="67"/>
      <c r="BP606" s="67"/>
      <c r="BQ606" s="67">
        <v>0</v>
      </c>
      <c r="BR606" s="67"/>
      <c r="BS606" s="67"/>
      <c r="BT606" s="67">
        <v>0</v>
      </c>
      <c r="BU606" s="67">
        <v>0</v>
      </c>
      <c r="BV606" s="67"/>
      <c r="BW606" s="67"/>
      <c r="BX606" s="67">
        <v>0</v>
      </c>
      <c r="BY606" s="67"/>
      <c r="BZ606" s="67"/>
      <c r="CA606" s="67"/>
      <c r="CB606" s="67"/>
      <c r="CC606" s="67"/>
      <c r="CD606" s="67"/>
      <c r="CE606" s="67">
        <v>0</v>
      </c>
      <c r="CF606" s="67"/>
      <c r="CG606" s="67"/>
      <c r="CH606" s="67"/>
      <c r="CI606" s="67"/>
      <c r="CJ606" s="67"/>
      <c r="CK606" s="67">
        <v>0</v>
      </c>
      <c r="CL606" s="67"/>
      <c r="CM606" s="67"/>
      <c r="CN606" s="67"/>
      <c r="CO606" s="67">
        <v>0</v>
      </c>
      <c r="CP606" s="67"/>
      <c r="CQ606" s="67"/>
      <c r="CR606" s="67"/>
      <c r="CS606" s="67"/>
      <c r="CT606" s="67"/>
      <c r="CU606" s="67">
        <v>0</v>
      </c>
      <c r="CV606" s="67"/>
      <c r="CW606" s="67"/>
      <c r="CX606" s="67"/>
      <c r="CY606" s="67">
        <v>0</v>
      </c>
      <c r="CZ606" s="67"/>
      <c r="DA606" s="67"/>
      <c r="DB606" s="67"/>
      <c r="DC606" s="67"/>
      <c r="DF606" s="67"/>
      <c r="DG606" s="67">
        <v>0</v>
      </c>
      <c r="DH606" s="67">
        <v>0</v>
      </c>
      <c r="DI606" s="67">
        <v>0</v>
      </c>
      <c r="DJ606" s="67"/>
      <c r="DK606" s="67">
        <v>0</v>
      </c>
      <c r="DL606" s="67">
        <v>0</v>
      </c>
      <c r="DM606" s="67"/>
      <c r="DN606" s="67"/>
      <c r="DO606" s="67"/>
      <c r="DP606" s="67"/>
      <c r="DQ606" s="67">
        <v>0</v>
      </c>
      <c r="DR606" s="67">
        <v>0</v>
      </c>
      <c r="DS606" s="67"/>
      <c r="DT606" s="67"/>
      <c r="DU606" s="67">
        <v>0</v>
      </c>
      <c r="DV606" s="67">
        <v>0</v>
      </c>
      <c r="DW606" s="67">
        <v>0</v>
      </c>
      <c r="DX606" s="67">
        <v>0</v>
      </c>
      <c r="DY606" s="67"/>
      <c r="DZ606" s="67">
        <v>0</v>
      </c>
      <c r="EA606" s="67"/>
      <c r="EB606" s="67">
        <v>0</v>
      </c>
      <c r="EC606" s="67"/>
      <c r="ED606" s="67">
        <v>0</v>
      </c>
      <c r="EE606" s="67"/>
      <c r="EF606" s="67">
        <v>0</v>
      </c>
      <c r="EG606" s="67"/>
      <c r="EH606" s="67"/>
      <c r="EI606" s="67"/>
      <c r="EJ606" s="67"/>
      <c r="EK606" s="67"/>
      <c r="EL606" s="67"/>
      <c r="EM606" s="67"/>
      <c r="EN606" s="67"/>
      <c r="EO606" s="67"/>
      <c r="EP606" s="67">
        <v>0</v>
      </c>
      <c r="EQ606" s="67">
        <v>0</v>
      </c>
      <c r="ER606" s="67">
        <v>0</v>
      </c>
      <c r="ES606" s="67"/>
      <c r="EX606" s="67"/>
      <c r="EY606" s="67"/>
      <c r="EZ606" s="67"/>
      <c r="FA606" s="67">
        <v>0</v>
      </c>
      <c r="FB606" s="67"/>
      <c r="FC606" s="67"/>
      <c r="FD606" s="67"/>
      <c r="FE606" s="67"/>
      <c r="FF606" s="67"/>
      <c r="FG606" s="67"/>
      <c r="FH606" s="67"/>
      <c r="FI606" s="67" t="s">
        <v>1736</v>
      </c>
    </row>
    <row r="607" spans="2:165" x14ac:dyDescent="0.2">
      <c r="B607" s="67"/>
      <c r="C607" s="67" t="s">
        <v>1748</v>
      </c>
      <c r="D607" s="67" t="s">
        <v>1544</v>
      </c>
      <c r="E607" s="67"/>
      <c r="F607" s="67"/>
      <c r="G607" s="67"/>
      <c r="H607" s="67"/>
      <c r="I607" s="67"/>
      <c r="J607" s="67"/>
      <c r="K607" s="67"/>
      <c r="L607" s="67"/>
      <c r="M607" s="67"/>
      <c r="N607" s="67"/>
      <c r="O607" s="67"/>
      <c r="P607" s="67"/>
      <c r="Q607" s="67">
        <v>0</v>
      </c>
      <c r="R607" s="67">
        <v>0</v>
      </c>
      <c r="S607" s="67">
        <v>0</v>
      </c>
      <c r="T607" s="67">
        <v>0</v>
      </c>
      <c r="U607" s="67">
        <v>0</v>
      </c>
      <c r="V607" s="67">
        <v>0</v>
      </c>
      <c r="W607" s="67">
        <v>0</v>
      </c>
      <c r="X607" s="67">
        <v>0</v>
      </c>
      <c r="Y607" s="67">
        <v>0</v>
      </c>
      <c r="Z607" s="67">
        <v>0</v>
      </c>
      <c r="AA607" s="67">
        <v>0</v>
      </c>
      <c r="AB607" s="67">
        <v>0</v>
      </c>
      <c r="AC607" s="67">
        <v>0</v>
      </c>
      <c r="AD607" s="67">
        <v>0</v>
      </c>
      <c r="AE607" s="67">
        <v>0</v>
      </c>
      <c r="AF607" s="67">
        <v>0</v>
      </c>
      <c r="AG607" s="67">
        <v>0</v>
      </c>
      <c r="AH607" s="67">
        <v>0</v>
      </c>
      <c r="AI607" s="67">
        <v>0</v>
      </c>
      <c r="AJ607" s="67">
        <v>0</v>
      </c>
      <c r="AK607" s="67">
        <v>0</v>
      </c>
      <c r="AL607" s="67">
        <v>0</v>
      </c>
      <c r="AM607" s="67">
        <v>0</v>
      </c>
      <c r="AN607" s="67">
        <v>0</v>
      </c>
      <c r="AO607" s="67">
        <v>0</v>
      </c>
      <c r="AP607" s="67">
        <v>0</v>
      </c>
      <c r="AQ607" s="67">
        <v>0</v>
      </c>
      <c r="AR607" s="67">
        <v>0</v>
      </c>
      <c r="AS607" s="67">
        <v>0</v>
      </c>
      <c r="AT607" s="67"/>
      <c r="AU607" s="67"/>
      <c r="AV607" s="67"/>
      <c r="AW607" s="67">
        <v>0</v>
      </c>
      <c r="AX607" s="67">
        <v>0</v>
      </c>
      <c r="AY607" s="67"/>
      <c r="AZ607" s="67"/>
      <c r="BA607" s="67"/>
      <c r="BB607" s="67"/>
      <c r="BC607" s="67"/>
      <c r="BD607" s="67"/>
      <c r="BE607" s="67"/>
      <c r="BG607" s="67"/>
      <c r="BH607" s="67"/>
      <c r="BI607" s="67"/>
      <c r="BJ607" s="67">
        <v>0</v>
      </c>
      <c r="BK607" s="67"/>
      <c r="BL607" s="67"/>
      <c r="BP607" s="67"/>
      <c r="BQ607" s="67">
        <v>0</v>
      </c>
      <c r="BR607" s="67"/>
      <c r="BS607" s="67"/>
      <c r="BT607" s="67">
        <v>0</v>
      </c>
      <c r="BU607" s="67">
        <v>0</v>
      </c>
      <c r="BV607" s="67"/>
      <c r="BW607" s="67"/>
      <c r="BX607" s="67">
        <v>0</v>
      </c>
      <c r="BY607" s="67"/>
      <c r="BZ607" s="67"/>
      <c r="CA607" s="67"/>
      <c r="CB607" s="67"/>
      <c r="CC607" s="67"/>
      <c r="CD607" s="67"/>
      <c r="CE607" s="67">
        <v>0</v>
      </c>
      <c r="CF607" s="67"/>
      <c r="CG607" s="67"/>
      <c r="CH607" s="67"/>
      <c r="CI607" s="67"/>
      <c r="CJ607" s="67"/>
      <c r="CK607" s="67">
        <v>0</v>
      </c>
      <c r="CL607" s="67"/>
      <c r="CM607" s="67"/>
      <c r="CN607" s="67"/>
      <c r="CO607" s="67">
        <v>0</v>
      </c>
      <c r="CP607" s="67"/>
      <c r="CQ607" s="67"/>
      <c r="CR607" s="67"/>
      <c r="CS607" s="67"/>
      <c r="CT607" s="67"/>
      <c r="CU607" s="67">
        <v>0</v>
      </c>
      <c r="CV607" s="67"/>
      <c r="CW607" s="67"/>
      <c r="CX607" s="67"/>
      <c r="CY607" s="67">
        <v>0</v>
      </c>
      <c r="CZ607" s="67"/>
      <c r="DA607" s="67"/>
      <c r="DB607" s="67"/>
      <c r="DC607" s="67"/>
      <c r="DF607" s="67"/>
      <c r="DG607" s="67">
        <v>0</v>
      </c>
      <c r="DH607" s="67">
        <v>0</v>
      </c>
      <c r="DI607" s="67">
        <v>0</v>
      </c>
      <c r="DJ607" s="67"/>
      <c r="DK607" s="67">
        <v>0</v>
      </c>
      <c r="DL607" s="67">
        <v>0</v>
      </c>
      <c r="DM607" s="67"/>
      <c r="DN607" s="67"/>
      <c r="DO607" s="67"/>
      <c r="DP607" s="67"/>
      <c r="DQ607" s="67">
        <v>0</v>
      </c>
      <c r="DR607" s="67">
        <v>0</v>
      </c>
      <c r="DS607" s="67"/>
      <c r="DT607" s="67"/>
      <c r="DU607" s="67">
        <v>0</v>
      </c>
      <c r="DV607" s="67">
        <v>0</v>
      </c>
      <c r="DW607" s="67">
        <v>0</v>
      </c>
      <c r="DX607" s="67">
        <v>0</v>
      </c>
      <c r="DY607" s="67"/>
      <c r="DZ607" s="67">
        <v>0</v>
      </c>
      <c r="EA607" s="67"/>
      <c r="EB607" s="67">
        <v>0</v>
      </c>
      <c r="EC607" s="67"/>
      <c r="ED607" s="67">
        <v>0</v>
      </c>
      <c r="EE607" s="67"/>
      <c r="EF607" s="67">
        <v>0</v>
      </c>
      <c r="EG607" s="67"/>
      <c r="EH607" s="67"/>
      <c r="EI607" s="67"/>
      <c r="EJ607" s="67"/>
      <c r="EK607" s="67"/>
      <c r="EL607" s="67"/>
      <c r="EM607" s="67"/>
      <c r="EN607" s="67"/>
      <c r="EO607" s="67"/>
      <c r="EP607" s="67">
        <v>0</v>
      </c>
      <c r="EQ607" s="67">
        <v>0</v>
      </c>
      <c r="ER607" s="67">
        <v>0</v>
      </c>
      <c r="ES607" s="67"/>
      <c r="EX607" s="67"/>
      <c r="EY607" s="67"/>
      <c r="EZ607" s="67"/>
      <c r="FA607" s="67">
        <v>0</v>
      </c>
      <c r="FB607" s="67"/>
      <c r="FC607" s="67"/>
      <c r="FD607" s="67"/>
      <c r="FE607" s="67"/>
      <c r="FF607" s="67"/>
      <c r="FG607" s="67"/>
      <c r="FH607" s="67"/>
      <c r="FI607" s="67" t="s">
        <v>1736</v>
      </c>
    </row>
    <row r="608" spans="2:165" x14ac:dyDescent="0.2">
      <c r="B608" s="67"/>
      <c r="C608" s="67" t="s">
        <v>1749</v>
      </c>
      <c r="D608" s="67" t="s">
        <v>1545</v>
      </c>
      <c r="E608" s="67"/>
      <c r="F608" s="67"/>
      <c r="G608" s="67"/>
      <c r="H608" s="67"/>
      <c r="I608" s="67"/>
      <c r="J608" s="67"/>
      <c r="K608" s="67"/>
      <c r="L608" s="67"/>
      <c r="M608" s="67"/>
      <c r="N608" s="67"/>
      <c r="O608" s="67"/>
      <c r="P608" s="67"/>
      <c r="Q608" s="67">
        <v>0</v>
      </c>
      <c r="R608" s="67">
        <v>0</v>
      </c>
      <c r="S608" s="67">
        <v>0</v>
      </c>
      <c r="T608" s="67">
        <v>0</v>
      </c>
      <c r="U608" s="67">
        <v>0</v>
      </c>
      <c r="V608" s="67">
        <v>0</v>
      </c>
      <c r="W608" s="67">
        <v>0</v>
      </c>
      <c r="X608" s="67">
        <v>0</v>
      </c>
      <c r="Y608" s="67">
        <v>0</v>
      </c>
      <c r="Z608" s="67">
        <v>0</v>
      </c>
      <c r="AA608" s="67">
        <v>0</v>
      </c>
      <c r="AB608" s="67">
        <v>0</v>
      </c>
      <c r="AC608" s="67">
        <v>0</v>
      </c>
      <c r="AD608" s="67">
        <v>0</v>
      </c>
      <c r="AE608" s="67">
        <v>0</v>
      </c>
      <c r="AF608" s="67">
        <v>0</v>
      </c>
      <c r="AG608" s="67">
        <v>0</v>
      </c>
      <c r="AH608" s="67">
        <v>0</v>
      </c>
      <c r="AI608" s="67">
        <v>0</v>
      </c>
      <c r="AJ608" s="67">
        <v>0</v>
      </c>
      <c r="AK608" s="67">
        <v>0</v>
      </c>
      <c r="AL608" s="67">
        <v>0</v>
      </c>
      <c r="AM608" s="67">
        <v>0</v>
      </c>
      <c r="AN608" s="67">
        <v>0</v>
      </c>
      <c r="AO608" s="67">
        <v>0</v>
      </c>
      <c r="AP608" s="67">
        <v>0</v>
      </c>
      <c r="AQ608" s="67">
        <v>0</v>
      </c>
      <c r="AR608" s="67">
        <v>0</v>
      </c>
      <c r="AS608" s="67">
        <v>0</v>
      </c>
      <c r="AT608" s="67"/>
      <c r="AU608" s="67"/>
      <c r="AV608" s="67"/>
      <c r="AW608" s="67">
        <v>0</v>
      </c>
      <c r="AX608" s="67">
        <v>0</v>
      </c>
      <c r="AY608" s="67"/>
      <c r="AZ608" s="67"/>
      <c r="BA608" s="67"/>
      <c r="BB608" s="67"/>
      <c r="BC608" s="67"/>
      <c r="BD608" s="67"/>
      <c r="BE608" s="67"/>
      <c r="BG608" s="67"/>
      <c r="BH608" s="67"/>
      <c r="BI608" s="67"/>
      <c r="BJ608" s="67">
        <v>0</v>
      </c>
      <c r="BK608" s="67"/>
      <c r="BL608" s="67"/>
      <c r="BP608" s="67"/>
      <c r="BQ608" s="67">
        <v>0</v>
      </c>
      <c r="BR608" s="67"/>
      <c r="BS608" s="67"/>
      <c r="BT608" s="67">
        <v>0</v>
      </c>
      <c r="BU608" s="67">
        <v>0</v>
      </c>
      <c r="BV608" s="67"/>
      <c r="BW608" s="67"/>
      <c r="BX608" s="67">
        <v>0</v>
      </c>
      <c r="BY608" s="67"/>
      <c r="BZ608" s="67"/>
      <c r="CA608" s="67"/>
      <c r="CB608" s="67"/>
      <c r="CC608" s="67"/>
      <c r="CD608" s="67"/>
      <c r="CE608" s="67">
        <v>0</v>
      </c>
      <c r="CF608" s="67"/>
      <c r="CG608" s="67"/>
      <c r="CH608" s="67"/>
      <c r="CI608" s="67"/>
      <c r="CJ608" s="67"/>
      <c r="CK608" s="67">
        <v>0</v>
      </c>
      <c r="CL608" s="67"/>
      <c r="CM608" s="67"/>
      <c r="CN608" s="67"/>
      <c r="CO608" s="67">
        <v>0</v>
      </c>
      <c r="CP608" s="67"/>
      <c r="CQ608" s="67"/>
      <c r="CR608" s="67"/>
      <c r="CS608" s="67"/>
      <c r="CT608" s="67"/>
      <c r="CU608" s="67">
        <v>0</v>
      </c>
      <c r="CV608" s="67"/>
      <c r="CW608" s="67"/>
      <c r="CX608" s="67"/>
      <c r="CY608" s="67">
        <v>0</v>
      </c>
      <c r="CZ608" s="67"/>
      <c r="DA608" s="67"/>
      <c r="DB608" s="67"/>
      <c r="DC608" s="67"/>
      <c r="DF608" s="67"/>
      <c r="DG608" s="67">
        <v>0</v>
      </c>
      <c r="DH608" s="67">
        <v>0</v>
      </c>
      <c r="DI608" s="67">
        <v>0</v>
      </c>
      <c r="DJ608" s="67"/>
      <c r="DK608" s="67">
        <v>0</v>
      </c>
      <c r="DL608" s="67">
        <v>0</v>
      </c>
      <c r="DM608" s="67"/>
      <c r="DN608" s="67"/>
      <c r="DO608" s="67"/>
      <c r="DP608" s="67"/>
      <c r="DQ608" s="67">
        <v>0</v>
      </c>
      <c r="DR608" s="67">
        <v>0</v>
      </c>
      <c r="DS608" s="67"/>
      <c r="DT608" s="67"/>
      <c r="DU608" s="67">
        <v>0</v>
      </c>
      <c r="DV608" s="67">
        <v>0</v>
      </c>
      <c r="DW608" s="67">
        <v>0</v>
      </c>
      <c r="DX608" s="67">
        <v>0</v>
      </c>
      <c r="DY608" s="67"/>
      <c r="DZ608" s="67">
        <v>0</v>
      </c>
      <c r="EA608" s="67"/>
      <c r="EB608" s="67">
        <v>0</v>
      </c>
      <c r="EC608" s="67"/>
      <c r="ED608" s="67">
        <v>0</v>
      </c>
      <c r="EE608" s="67"/>
      <c r="EF608" s="67">
        <v>0</v>
      </c>
      <c r="EG608" s="67"/>
      <c r="EH608" s="67"/>
      <c r="EI608" s="67"/>
      <c r="EJ608" s="67"/>
      <c r="EK608" s="67"/>
      <c r="EL608" s="67"/>
      <c r="EM608" s="67"/>
      <c r="EN608" s="67"/>
      <c r="EO608" s="67"/>
      <c r="EP608" s="67">
        <v>0</v>
      </c>
      <c r="EQ608" s="67">
        <v>0</v>
      </c>
      <c r="ER608" s="67">
        <v>0</v>
      </c>
      <c r="ES608" s="67"/>
      <c r="EX608" s="67"/>
      <c r="EY608" s="67"/>
      <c r="EZ608" s="67"/>
      <c r="FA608" s="67">
        <v>0</v>
      </c>
      <c r="FB608" s="67"/>
      <c r="FC608" s="67"/>
      <c r="FD608" s="67"/>
      <c r="FE608" s="67"/>
      <c r="FF608" s="67"/>
      <c r="FG608" s="67"/>
      <c r="FH608" s="67"/>
      <c r="FI608" s="67" t="s">
        <v>1736</v>
      </c>
    </row>
    <row r="609" spans="2:165" x14ac:dyDescent="0.2">
      <c r="B609" s="67"/>
      <c r="C609" s="67" t="s">
        <v>1750</v>
      </c>
      <c r="D609" s="67" t="s">
        <v>1546</v>
      </c>
      <c r="E609" s="67"/>
      <c r="F609" s="67"/>
      <c r="G609" s="67"/>
      <c r="H609" s="67"/>
      <c r="I609" s="67"/>
      <c r="J609" s="67"/>
      <c r="K609" s="67"/>
      <c r="L609" s="67"/>
      <c r="M609" s="67"/>
      <c r="N609" s="67"/>
      <c r="O609" s="67"/>
      <c r="P609" s="67"/>
      <c r="Q609" s="67">
        <v>0</v>
      </c>
      <c r="R609" s="67">
        <v>0</v>
      </c>
      <c r="S609" s="67">
        <v>0</v>
      </c>
      <c r="T609" s="67">
        <v>0</v>
      </c>
      <c r="U609" s="67">
        <v>0</v>
      </c>
      <c r="V609" s="67">
        <v>0</v>
      </c>
      <c r="W609" s="67">
        <v>0</v>
      </c>
      <c r="X609" s="67">
        <v>0</v>
      </c>
      <c r="Y609" s="67">
        <v>0</v>
      </c>
      <c r="Z609" s="67">
        <v>0</v>
      </c>
      <c r="AA609" s="67">
        <v>0</v>
      </c>
      <c r="AB609" s="67">
        <v>0</v>
      </c>
      <c r="AC609" s="67">
        <v>0</v>
      </c>
      <c r="AD609" s="67">
        <v>0</v>
      </c>
      <c r="AE609" s="67">
        <v>0</v>
      </c>
      <c r="AF609" s="67">
        <v>0</v>
      </c>
      <c r="AG609" s="67">
        <v>0</v>
      </c>
      <c r="AH609" s="67">
        <v>0</v>
      </c>
      <c r="AI609" s="67">
        <v>0</v>
      </c>
      <c r="AJ609" s="67">
        <v>0</v>
      </c>
      <c r="AK609" s="67">
        <v>0</v>
      </c>
      <c r="AL609" s="67">
        <v>0</v>
      </c>
      <c r="AM609" s="67">
        <v>0</v>
      </c>
      <c r="AN609" s="67">
        <v>0</v>
      </c>
      <c r="AO609" s="67">
        <v>0</v>
      </c>
      <c r="AP609" s="67">
        <v>0</v>
      </c>
      <c r="AQ609" s="67">
        <v>0</v>
      </c>
      <c r="AR609" s="67">
        <v>0</v>
      </c>
      <c r="AS609" s="67">
        <v>0</v>
      </c>
      <c r="AT609" s="67"/>
      <c r="AU609" s="67"/>
      <c r="AV609" s="67"/>
      <c r="AW609" s="67">
        <v>0</v>
      </c>
      <c r="AX609" s="67">
        <v>0</v>
      </c>
      <c r="AY609" s="67"/>
      <c r="AZ609" s="67"/>
      <c r="BA609" s="67"/>
      <c r="BB609" s="67"/>
      <c r="BC609" s="67"/>
      <c r="BD609" s="67"/>
      <c r="BE609" s="67"/>
      <c r="BG609" s="67"/>
      <c r="BH609" s="67"/>
      <c r="BI609" s="67"/>
      <c r="BJ609" s="67">
        <v>0</v>
      </c>
      <c r="BK609" s="67"/>
      <c r="BL609" s="67"/>
      <c r="BP609" s="67"/>
      <c r="BQ609" s="67">
        <v>0</v>
      </c>
      <c r="BR609" s="67"/>
      <c r="BS609" s="67"/>
      <c r="BT609" s="67">
        <v>0</v>
      </c>
      <c r="BU609" s="67">
        <v>0</v>
      </c>
      <c r="BV609" s="67"/>
      <c r="BW609" s="67"/>
      <c r="BX609" s="67">
        <v>0</v>
      </c>
      <c r="BY609" s="67"/>
      <c r="BZ609" s="67"/>
      <c r="CA609" s="67"/>
      <c r="CB609" s="67"/>
      <c r="CC609" s="67"/>
      <c r="CD609" s="67"/>
      <c r="CE609" s="67">
        <v>0</v>
      </c>
      <c r="CF609" s="67"/>
      <c r="CG609" s="67"/>
      <c r="CH609" s="67"/>
      <c r="CI609" s="67"/>
      <c r="CJ609" s="67"/>
      <c r="CK609" s="67">
        <v>0</v>
      </c>
      <c r="CL609" s="67"/>
      <c r="CM609" s="67"/>
      <c r="CN609" s="67"/>
      <c r="CO609" s="67">
        <v>0</v>
      </c>
      <c r="CP609" s="67"/>
      <c r="CQ609" s="67"/>
      <c r="CR609" s="67"/>
      <c r="CS609" s="67"/>
      <c r="CT609" s="67"/>
      <c r="CU609" s="67">
        <v>0</v>
      </c>
      <c r="CV609" s="67"/>
      <c r="CW609" s="67"/>
      <c r="CX609" s="67"/>
      <c r="CY609" s="67">
        <v>0</v>
      </c>
      <c r="CZ609" s="67"/>
      <c r="DA609" s="67"/>
      <c r="DB609" s="67"/>
      <c r="DC609" s="67"/>
      <c r="DF609" s="67"/>
      <c r="DG609" s="67">
        <v>0</v>
      </c>
      <c r="DH609" s="67">
        <v>0</v>
      </c>
      <c r="DI609" s="67">
        <v>0</v>
      </c>
      <c r="DJ609" s="67"/>
      <c r="DK609" s="67">
        <v>0</v>
      </c>
      <c r="DL609" s="67">
        <v>0</v>
      </c>
      <c r="DM609" s="67"/>
      <c r="DN609" s="67"/>
      <c r="DO609" s="67"/>
      <c r="DP609" s="67"/>
      <c r="DQ609" s="67">
        <v>0</v>
      </c>
      <c r="DR609" s="67">
        <v>0</v>
      </c>
      <c r="DS609" s="67"/>
      <c r="DT609" s="67"/>
      <c r="DU609" s="67">
        <v>0</v>
      </c>
      <c r="DV609" s="67">
        <v>0</v>
      </c>
      <c r="DW609" s="67">
        <v>0</v>
      </c>
      <c r="DX609" s="67">
        <v>0</v>
      </c>
      <c r="DY609" s="67"/>
      <c r="DZ609" s="67">
        <v>0</v>
      </c>
      <c r="EA609" s="67"/>
      <c r="EB609" s="67">
        <v>0</v>
      </c>
      <c r="EC609" s="67"/>
      <c r="ED609" s="67">
        <v>0</v>
      </c>
      <c r="EE609" s="67"/>
      <c r="EF609" s="67">
        <v>0</v>
      </c>
      <c r="EG609" s="67"/>
      <c r="EH609" s="67"/>
      <c r="EI609" s="67"/>
      <c r="EJ609" s="67"/>
      <c r="EK609" s="67"/>
      <c r="EL609" s="67"/>
      <c r="EM609" s="67"/>
      <c r="EN609" s="67"/>
      <c r="EO609" s="67"/>
      <c r="EP609" s="67">
        <v>0</v>
      </c>
      <c r="EQ609" s="67">
        <v>0</v>
      </c>
      <c r="ER609" s="67">
        <v>0</v>
      </c>
      <c r="ES609" s="67"/>
      <c r="EX609" s="67"/>
      <c r="EY609" s="67"/>
      <c r="EZ609" s="67"/>
      <c r="FA609" s="67">
        <v>0</v>
      </c>
      <c r="FB609" s="67"/>
      <c r="FC609" s="67"/>
      <c r="FD609" s="67"/>
      <c r="FE609" s="67"/>
      <c r="FF609" s="67"/>
      <c r="FG609" s="67"/>
      <c r="FH609" s="67"/>
      <c r="FI609" s="67" t="s">
        <v>1736</v>
      </c>
    </row>
    <row r="610" spans="2:165" x14ac:dyDescent="0.2">
      <c r="B610" s="67"/>
      <c r="C610" s="67" t="s">
        <v>1751</v>
      </c>
      <c r="D610" s="67" t="s">
        <v>1547</v>
      </c>
      <c r="E610" s="67"/>
      <c r="F610" s="67"/>
      <c r="G610" s="67"/>
      <c r="H610" s="67"/>
      <c r="I610" s="67"/>
      <c r="J610" s="67"/>
      <c r="K610" s="67"/>
      <c r="L610" s="67"/>
      <c r="M610" s="67"/>
      <c r="N610" s="67"/>
      <c r="O610" s="67"/>
      <c r="P610" s="67"/>
      <c r="Q610" s="67">
        <v>0</v>
      </c>
      <c r="R610" s="67">
        <v>0</v>
      </c>
      <c r="S610" s="67">
        <v>0</v>
      </c>
      <c r="T610" s="67">
        <v>0</v>
      </c>
      <c r="U610" s="67">
        <v>0</v>
      </c>
      <c r="V610" s="67">
        <v>0</v>
      </c>
      <c r="W610" s="67">
        <v>0</v>
      </c>
      <c r="X610" s="67">
        <v>0</v>
      </c>
      <c r="Y610" s="67">
        <v>0</v>
      </c>
      <c r="Z610" s="67">
        <v>0</v>
      </c>
      <c r="AA610" s="67">
        <v>0</v>
      </c>
      <c r="AB610" s="67">
        <v>0</v>
      </c>
      <c r="AC610" s="67">
        <v>0</v>
      </c>
      <c r="AD610" s="67">
        <v>0</v>
      </c>
      <c r="AE610" s="67">
        <v>0</v>
      </c>
      <c r="AF610" s="67">
        <v>0</v>
      </c>
      <c r="AG610" s="67">
        <v>0</v>
      </c>
      <c r="AH610" s="67">
        <v>0</v>
      </c>
      <c r="AI610" s="67">
        <v>0</v>
      </c>
      <c r="AJ610" s="67">
        <v>0</v>
      </c>
      <c r="AK610" s="67">
        <v>0</v>
      </c>
      <c r="AL610" s="67">
        <v>0</v>
      </c>
      <c r="AM610" s="67">
        <v>0</v>
      </c>
      <c r="AN610" s="67">
        <v>0</v>
      </c>
      <c r="AO610" s="67">
        <v>0</v>
      </c>
      <c r="AP610" s="67">
        <v>0</v>
      </c>
      <c r="AQ610" s="67">
        <v>0</v>
      </c>
      <c r="AR610" s="67">
        <v>0</v>
      </c>
      <c r="AS610" s="67">
        <v>0</v>
      </c>
      <c r="AT610" s="67"/>
      <c r="AU610" s="67"/>
      <c r="AV610" s="67"/>
      <c r="AW610" s="67">
        <v>0</v>
      </c>
      <c r="AX610" s="67">
        <v>0</v>
      </c>
      <c r="AY610" s="67"/>
      <c r="AZ610" s="67"/>
      <c r="BA610" s="67"/>
      <c r="BB610" s="67"/>
      <c r="BC610" s="67"/>
      <c r="BD610" s="67"/>
      <c r="BE610" s="67"/>
      <c r="BG610" s="67"/>
      <c r="BH610" s="67"/>
      <c r="BI610" s="67"/>
      <c r="BJ610" s="67">
        <v>0</v>
      </c>
      <c r="BK610" s="67"/>
      <c r="BL610" s="67"/>
      <c r="BP610" s="67"/>
      <c r="BQ610" s="67">
        <v>0</v>
      </c>
      <c r="BR610" s="67"/>
      <c r="BS610" s="67"/>
      <c r="BT610" s="67">
        <v>0</v>
      </c>
      <c r="BU610" s="67">
        <v>0</v>
      </c>
      <c r="BV610" s="67"/>
      <c r="BW610" s="67"/>
      <c r="BX610" s="67">
        <v>0</v>
      </c>
      <c r="BY610" s="67"/>
      <c r="BZ610" s="67"/>
      <c r="CA610" s="67"/>
      <c r="CB610" s="67"/>
      <c r="CC610" s="67"/>
      <c r="CD610" s="67"/>
      <c r="CE610" s="67">
        <v>0</v>
      </c>
      <c r="CF610" s="67"/>
      <c r="CG610" s="67"/>
      <c r="CH610" s="67"/>
      <c r="CI610" s="67"/>
      <c r="CJ610" s="67"/>
      <c r="CK610" s="67">
        <v>0</v>
      </c>
      <c r="CL610" s="67"/>
      <c r="CM610" s="67"/>
      <c r="CN610" s="67"/>
      <c r="CO610" s="67">
        <v>0</v>
      </c>
      <c r="CP610" s="67"/>
      <c r="CQ610" s="67"/>
      <c r="CR610" s="67"/>
      <c r="CS610" s="67"/>
      <c r="CT610" s="67"/>
      <c r="CU610" s="67">
        <v>0</v>
      </c>
      <c r="CV610" s="67"/>
      <c r="CW610" s="67"/>
      <c r="CX610" s="67"/>
      <c r="CY610" s="67">
        <v>0</v>
      </c>
      <c r="CZ610" s="67"/>
      <c r="DA610" s="67"/>
      <c r="DB610" s="67"/>
      <c r="DC610" s="67"/>
      <c r="DF610" s="67"/>
      <c r="DG610" s="67">
        <v>0</v>
      </c>
      <c r="DH610" s="67">
        <v>0</v>
      </c>
      <c r="DI610" s="67">
        <v>0</v>
      </c>
      <c r="DJ610" s="67"/>
      <c r="DK610" s="67">
        <v>0</v>
      </c>
      <c r="DL610" s="67">
        <v>0</v>
      </c>
      <c r="DM610" s="67"/>
      <c r="DN610" s="67"/>
      <c r="DO610" s="67"/>
      <c r="DP610" s="67"/>
      <c r="DQ610" s="67">
        <v>0</v>
      </c>
      <c r="DR610" s="67">
        <v>0</v>
      </c>
      <c r="DS610" s="67"/>
      <c r="DT610" s="67"/>
      <c r="DU610" s="67">
        <v>0</v>
      </c>
      <c r="DV610" s="67">
        <v>0</v>
      </c>
      <c r="DW610" s="67">
        <v>0</v>
      </c>
      <c r="DX610" s="67">
        <v>0</v>
      </c>
      <c r="DY610" s="67"/>
      <c r="DZ610" s="67">
        <v>0</v>
      </c>
      <c r="EA610" s="67"/>
      <c r="EB610" s="67">
        <v>0</v>
      </c>
      <c r="EC610" s="67"/>
      <c r="ED610" s="67">
        <v>0</v>
      </c>
      <c r="EE610" s="67"/>
      <c r="EF610" s="67">
        <v>0</v>
      </c>
      <c r="EG610" s="67"/>
      <c r="EH610" s="67"/>
      <c r="EI610" s="67"/>
      <c r="EJ610" s="67"/>
      <c r="EK610" s="67"/>
      <c r="EL610" s="67"/>
      <c r="EM610" s="67"/>
      <c r="EN610" s="67"/>
      <c r="EO610" s="67"/>
      <c r="EP610" s="67">
        <v>0</v>
      </c>
      <c r="EQ610" s="67">
        <v>0</v>
      </c>
      <c r="ER610" s="67">
        <v>0</v>
      </c>
      <c r="ES610" s="67"/>
      <c r="EX610" s="67"/>
      <c r="EY610" s="67"/>
      <c r="EZ610" s="67"/>
      <c r="FA610" s="67">
        <v>0</v>
      </c>
      <c r="FB610" s="67"/>
      <c r="FC610" s="67"/>
      <c r="FD610" s="67"/>
      <c r="FE610" s="67"/>
      <c r="FF610" s="67"/>
      <c r="FG610" s="67"/>
      <c r="FH610" s="67"/>
      <c r="FI610" s="67" t="s">
        <v>1736</v>
      </c>
    </row>
    <row r="611" spans="2:165" x14ac:dyDescent="0.2">
      <c r="B611" s="67"/>
      <c r="C611" s="67" t="s">
        <v>1752</v>
      </c>
      <c r="D611" s="67" t="s">
        <v>1548</v>
      </c>
      <c r="E611" s="67"/>
      <c r="F611" s="67"/>
      <c r="G611" s="67"/>
      <c r="H611" s="67"/>
      <c r="I611" s="67"/>
      <c r="J611" s="67"/>
      <c r="K611" s="67"/>
      <c r="L611" s="67"/>
      <c r="M611" s="67"/>
      <c r="N611" s="67"/>
      <c r="O611" s="67"/>
      <c r="P611" s="67"/>
      <c r="Q611" s="67">
        <v>352</v>
      </c>
      <c r="R611" s="67">
        <v>0</v>
      </c>
      <c r="S611" s="67">
        <v>0</v>
      </c>
      <c r="T611" s="67">
        <v>0</v>
      </c>
      <c r="U611" s="67">
        <v>352</v>
      </c>
      <c r="V611" s="67">
        <v>0</v>
      </c>
      <c r="W611" s="67">
        <v>0</v>
      </c>
      <c r="X611" s="67">
        <v>0</v>
      </c>
      <c r="Y611" s="67">
        <v>0</v>
      </c>
      <c r="Z611" s="67">
        <v>0</v>
      </c>
      <c r="AA611" s="67">
        <v>0</v>
      </c>
      <c r="AB611" s="67">
        <v>0</v>
      </c>
      <c r="AC611" s="67">
        <v>0</v>
      </c>
      <c r="AD611" s="67">
        <v>0</v>
      </c>
      <c r="AE611" s="67">
        <v>0</v>
      </c>
      <c r="AF611" s="67">
        <v>0</v>
      </c>
      <c r="AG611" s="67">
        <v>0</v>
      </c>
      <c r="AH611" s="67">
        <v>0</v>
      </c>
      <c r="AI611" s="67">
        <v>0</v>
      </c>
      <c r="AJ611" s="67">
        <v>0</v>
      </c>
      <c r="AK611" s="67">
        <v>0</v>
      </c>
      <c r="AL611" s="67">
        <v>0</v>
      </c>
      <c r="AM611" s="67">
        <v>0</v>
      </c>
      <c r="AN611" s="67">
        <v>0</v>
      </c>
      <c r="AO611" s="67">
        <v>0</v>
      </c>
      <c r="AP611" s="67">
        <v>0</v>
      </c>
      <c r="AQ611" s="67">
        <v>0</v>
      </c>
      <c r="AR611" s="67">
        <v>0</v>
      </c>
      <c r="AS611" s="67">
        <v>0</v>
      </c>
      <c r="AT611" s="67"/>
      <c r="AU611" s="67"/>
      <c r="AV611" s="67"/>
      <c r="AW611" s="67">
        <v>0</v>
      </c>
      <c r="AX611" s="67">
        <v>0</v>
      </c>
      <c r="AY611" s="67"/>
      <c r="AZ611" s="67"/>
      <c r="BA611" s="67"/>
      <c r="BB611" s="67"/>
      <c r="BC611" s="67"/>
      <c r="BD611" s="67"/>
      <c r="BE611" s="67"/>
      <c r="BG611" s="67"/>
      <c r="BH611" s="67"/>
      <c r="BI611" s="67"/>
      <c r="BJ611" s="67">
        <v>0</v>
      </c>
      <c r="BK611" s="67"/>
      <c r="BL611" s="67"/>
      <c r="BP611" s="67"/>
      <c r="BQ611" s="67">
        <v>0</v>
      </c>
      <c r="BR611" s="67"/>
      <c r="BS611" s="67"/>
      <c r="BT611" s="67">
        <v>0</v>
      </c>
      <c r="BU611" s="67">
        <v>0</v>
      </c>
      <c r="BV611" s="67"/>
      <c r="BW611" s="67"/>
      <c r="BX611" s="67">
        <v>0</v>
      </c>
      <c r="BY611" s="67"/>
      <c r="BZ611" s="67"/>
      <c r="CA611" s="67"/>
      <c r="CB611" s="67"/>
      <c r="CC611" s="67"/>
      <c r="CD611" s="67"/>
      <c r="CE611" s="67">
        <v>0</v>
      </c>
      <c r="CF611" s="67"/>
      <c r="CG611" s="67"/>
      <c r="CH611" s="67"/>
      <c r="CI611" s="67"/>
      <c r="CJ611" s="67"/>
      <c r="CK611" s="67">
        <v>0</v>
      </c>
      <c r="CL611" s="67"/>
      <c r="CM611" s="67"/>
      <c r="CN611" s="67"/>
      <c r="CO611" s="67">
        <v>0</v>
      </c>
      <c r="CP611" s="67"/>
      <c r="CQ611" s="67"/>
      <c r="CR611" s="67"/>
      <c r="CS611" s="67"/>
      <c r="CT611" s="67"/>
      <c r="CU611" s="67">
        <v>0</v>
      </c>
      <c r="CV611" s="67"/>
      <c r="CW611" s="67"/>
      <c r="CX611" s="67"/>
      <c r="CY611" s="67">
        <v>0</v>
      </c>
      <c r="CZ611" s="67"/>
      <c r="DA611" s="67"/>
      <c r="DB611" s="67"/>
      <c r="DC611" s="67"/>
      <c r="DF611" s="67"/>
      <c r="DG611" s="67">
        <v>0</v>
      </c>
      <c r="DH611" s="67">
        <v>0</v>
      </c>
      <c r="DI611" s="67">
        <v>0</v>
      </c>
      <c r="DJ611" s="67"/>
      <c r="DK611" s="67">
        <v>0</v>
      </c>
      <c r="DL611" s="67">
        <v>0</v>
      </c>
      <c r="DM611" s="67"/>
      <c r="DN611" s="67"/>
      <c r="DO611" s="67"/>
      <c r="DP611" s="67"/>
      <c r="DQ611" s="67">
        <v>0</v>
      </c>
      <c r="DR611" s="67">
        <v>0</v>
      </c>
      <c r="DS611" s="67"/>
      <c r="DT611" s="67"/>
      <c r="DU611" s="67">
        <v>0</v>
      </c>
      <c r="DV611" s="67">
        <v>0</v>
      </c>
      <c r="DW611" s="67">
        <v>0</v>
      </c>
      <c r="DX611" s="67">
        <v>0</v>
      </c>
      <c r="DY611" s="67"/>
      <c r="DZ611" s="67">
        <v>0</v>
      </c>
      <c r="EA611" s="67"/>
      <c r="EB611" s="67">
        <v>0</v>
      </c>
      <c r="EC611" s="67"/>
      <c r="ED611" s="67">
        <v>0</v>
      </c>
      <c r="EE611" s="67"/>
      <c r="EF611" s="67">
        <v>0</v>
      </c>
      <c r="EG611" s="67"/>
      <c r="EH611" s="67"/>
      <c r="EI611" s="67"/>
      <c r="EJ611" s="67"/>
      <c r="EK611" s="67"/>
      <c r="EL611" s="67"/>
      <c r="EM611" s="67"/>
      <c r="EN611" s="67"/>
      <c r="EO611" s="67"/>
      <c r="EP611" s="67">
        <v>0</v>
      </c>
      <c r="EQ611" s="67">
        <v>242</v>
      </c>
      <c r="ER611" s="67">
        <v>242</v>
      </c>
      <c r="ES611" s="67"/>
      <c r="EX611" s="67"/>
      <c r="EY611" s="67"/>
      <c r="EZ611" s="67"/>
      <c r="FA611" s="67">
        <v>352</v>
      </c>
      <c r="FB611" s="67"/>
      <c r="FC611" s="67"/>
      <c r="FD611" s="67"/>
      <c r="FE611" s="67"/>
      <c r="FF611" s="67"/>
      <c r="FG611" s="67"/>
      <c r="FH611" s="67"/>
      <c r="FI611" s="67" t="s">
        <v>1736</v>
      </c>
    </row>
    <row r="612" spans="2:165" x14ac:dyDescent="0.2">
      <c r="B612" s="67"/>
      <c r="C612" s="67" t="s">
        <v>1753</v>
      </c>
      <c r="D612" s="67" t="s">
        <v>1549</v>
      </c>
      <c r="E612" s="67"/>
      <c r="F612" s="67"/>
      <c r="G612" s="67"/>
      <c r="H612" s="67"/>
      <c r="I612" s="67"/>
      <c r="J612" s="67"/>
      <c r="K612" s="67"/>
      <c r="L612" s="67"/>
      <c r="M612" s="67"/>
      <c r="N612" s="67"/>
      <c r="O612" s="67"/>
      <c r="P612" s="67"/>
      <c r="Q612" s="67">
        <v>0</v>
      </c>
      <c r="R612" s="67">
        <v>0</v>
      </c>
      <c r="S612" s="67">
        <v>0</v>
      </c>
      <c r="T612" s="67">
        <v>0</v>
      </c>
      <c r="U612" s="67">
        <v>0</v>
      </c>
      <c r="V612" s="67">
        <v>0</v>
      </c>
      <c r="W612" s="67">
        <v>0</v>
      </c>
      <c r="X612" s="67">
        <v>0</v>
      </c>
      <c r="Y612" s="67">
        <v>0</v>
      </c>
      <c r="Z612" s="67">
        <v>0</v>
      </c>
      <c r="AA612" s="67">
        <v>0</v>
      </c>
      <c r="AB612" s="67">
        <v>0</v>
      </c>
      <c r="AC612" s="67">
        <v>0</v>
      </c>
      <c r="AD612" s="67">
        <v>0</v>
      </c>
      <c r="AE612" s="67">
        <v>0</v>
      </c>
      <c r="AF612" s="67">
        <v>0</v>
      </c>
      <c r="AG612" s="67">
        <v>0</v>
      </c>
      <c r="AH612" s="67">
        <v>0</v>
      </c>
      <c r="AI612" s="67">
        <v>0</v>
      </c>
      <c r="AJ612" s="67">
        <v>0</v>
      </c>
      <c r="AK612" s="67">
        <v>0</v>
      </c>
      <c r="AL612" s="67">
        <v>0</v>
      </c>
      <c r="AM612" s="67">
        <v>0</v>
      </c>
      <c r="AN612" s="67">
        <v>0</v>
      </c>
      <c r="AO612" s="67">
        <v>0</v>
      </c>
      <c r="AP612" s="67">
        <v>0</v>
      </c>
      <c r="AQ612" s="67">
        <v>0</v>
      </c>
      <c r="AR612" s="67">
        <v>0</v>
      </c>
      <c r="AS612" s="67">
        <v>0</v>
      </c>
      <c r="AT612" s="67"/>
      <c r="AU612" s="67"/>
      <c r="AV612" s="67"/>
      <c r="AW612" s="67">
        <v>0</v>
      </c>
      <c r="AX612" s="67">
        <v>0</v>
      </c>
      <c r="AY612" s="67"/>
      <c r="AZ612" s="67"/>
      <c r="BA612" s="67"/>
      <c r="BB612" s="67"/>
      <c r="BC612" s="67"/>
      <c r="BD612" s="67"/>
      <c r="BE612" s="67"/>
      <c r="BG612" s="67"/>
      <c r="BH612" s="67"/>
      <c r="BI612" s="67"/>
      <c r="BJ612" s="67">
        <v>0</v>
      </c>
      <c r="BK612" s="67"/>
      <c r="BL612" s="67"/>
      <c r="BP612" s="67"/>
      <c r="BQ612" s="67">
        <v>0</v>
      </c>
      <c r="BR612" s="67"/>
      <c r="BS612" s="67"/>
      <c r="BT612" s="67">
        <v>0</v>
      </c>
      <c r="BU612" s="67">
        <v>0</v>
      </c>
      <c r="BV612" s="67"/>
      <c r="BW612" s="67"/>
      <c r="BX612" s="67">
        <v>0</v>
      </c>
      <c r="BY612" s="67"/>
      <c r="BZ612" s="67"/>
      <c r="CA612" s="67"/>
      <c r="CB612" s="67"/>
      <c r="CC612" s="67"/>
      <c r="CD612" s="67"/>
      <c r="CE612" s="67">
        <v>0</v>
      </c>
      <c r="CF612" s="67"/>
      <c r="CG612" s="67"/>
      <c r="CH612" s="67"/>
      <c r="CI612" s="67"/>
      <c r="CJ612" s="67"/>
      <c r="CK612" s="67">
        <v>0</v>
      </c>
      <c r="CL612" s="67"/>
      <c r="CM612" s="67"/>
      <c r="CN612" s="67"/>
      <c r="CO612" s="67">
        <v>0</v>
      </c>
      <c r="CP612" s="67"/>
      <c r="CQ612" s="67"/>
      <c r="CR612" s="67"/>
      <c r="CS612" s="67"/>
      <c r="CT612" s="67"/>
      <c r="CU612" s="67">
        <v>0</v>
      </c>
      <c r="CV612" s="67"/>
      <c r="CW612" s="67"/>
      <c r="CX612" s="67"/>
      <c r="CY612" s="67">
        <v>0</v>
      </c>
      <c r="CZ612" s="67"/>
      <c r="DA612" s="67"/>
      <c r="DB612" s="67"/>
      <c r="DC612" s="67"/>
      <c r="DF612" s="67"/>
      <c r="DG612" s="67">
        <v>0</v>
      </c>
      <c r="DH612" s="67">
        <v>0</v>
      </c>
      <c r="DI612" s="67">
        <v>0</v>
      </c>
      <c r="DJ612" s="67"/>
      <c r="DK612" s="67">
        <v>0</v>
      </c>
      <c r="DL612" s="67">
        <v>0</v>
      </c>
      <c r="DM612" s="67"/>
      <c r="DN612" s="67"/>
      <c r="DO612" s="67"/>
      <c r="DP612" s="67"/>
      <c r="DQ612" s="67">
        <v>0</v>
      </c>
      <c r="DR612" s="67">
        <v>0</v>
      </c>
      <c r="DS612" s="67"/>
      <c r="DT612" s="67"/>
      <c r="DU612" s="67">
        <v>0</v>
      </c>
      <c r="DV612" s="67">
        <v>0</v>
      </c>
      <c r="DW612" s="67">
        <v>0</v>
      </c>
      <c r="DX612" s="67">
        <v>0</v>
      </c>
      <c r="DY612" s="67"/>
      <c r="DZ612" s="67">
        <v>0</v>
      </c>
      <c r="EA612" s="67"/>
      <c r="EB612" s="67">
        <v>0</v>
      </c>
      <c r="EC612" s="67"/>
      <c r="ED612" s="67">
        <v>0</v>
      </c>
      <c r="EE612" s="67"/>
      <c r="EF612" s="67">
        <v>0</v>
      </c>
      <c r="EG612" s="67"/>
      <c r="EH612" s="67"/>
      <c r="EI612" s="67"/>
      <c r="EJ612" s="67"/>
      <c r="EK612" s="67"/>
      <c r="EL612" s="67"/>
      <c r="EM612" s="67"/>
      <c r="EN612" s="67"/>
      <c r="EO612" s="67"/>
      <c r="EP612" s="67">
        <v>0</v>
      </c>
      <c r="EQ612" s="67">
        <v>301</v>
      </c>
      <c r="ER612" s="67">
        <v>301</v>
      </c>
      <c r="ES612" s="67"/>
      <c r="EX612" s="67"/>
      <c r="EY612" s="67"/>
      <c r="EZ612" s="67"/>
      <c r="FA612" s="67">
        <v>0</v>
      </c>
      <c r="FB612" s="67"/>
      <c r="FC612" s="67"/>
      <c r="FD612" s="67"/>
      <c r="FE612" s="67"/>
      <c r="FF612" s="67"/>
      <c r="FG612" s="67"/>
      <c r="FH612" s="67"/>
      <c r="FI612" s="67" t="s">
        <v>1736</v>
      </c>
    </row>
    <row r="613" spans="2:165" x14ac:dyDescent="0.2">
      <c r="B613" s="67"/>
      <c r="C613" s="67" t="s">
        <v>1754</v>
      </c>
      <c r="D613" s="67" t="s">
        <v>1550</v>
      </c>
      <c r="E613" s="67"/>
      <c r="F613" s="67"/>
      <c r="G613" s="67"/>
      <c r="H613" s="67"/>
      <c r="I613" s="67"/>
      <c r="J613" s="67"/>
      <c r="K613" s="67"/>
      <c r="L613" s="67"/>
      <c r="M613" s="67"/>
      <c r="N613" s="67"/>
      <c r="O613" s="67"/>
      <c r="P613" s="67"/>
      <c r="Q613" s="67">
        <v>3224</v>
      </c>
      <c r="R613" s="67">
        <v>0</v>
      </c>
      <c r="S613" s="67">
        <v>0</v>
      </c>
      <c r="T613" s="67">
        <v>0</v>
      </c>
      <c r="U613" s="67">
        <v>0</v>
      </c>
      <c r="V613" s="67">
        <v>0</v>
      </c>
      <c r="W613" s="67">
        <v>0</v>
      </c>
      <c r="X613" s="67">
        <v>0</v>
      </c>
      <c r="Y613" s="67">
        <v>3224</v>
      </c>
      <c r="Z613" s="67">
        <v>0</v>
      </c>
      <c r="AA613" s="67">
        <v>0</v>
      </c>
      <c r="AB613" s="67">
        <v>0</v>
      </c>
      <c r="AC613" s="67">
        <v>0</v>
      </c>
      <c r="AD613" s="67">
        <v>0</v>
      </c>
      <c r="AE613" s="67">
        <v>0</v>
      </c>
      <c r="AF613" s="67">
        <v>0</v>
      </c>
      <c r="AG613" s="67">
        <v>0</v>
      </c>
      <c r="AH613" s="67">
        <v>0</v>
      </c>
      <c r="AI613" s="67">
        <v>0</v>
      </c>
      <c r="AJ613" s="67">
        <v>0</v>
      </c>
      <c r="AK613" s="67">
        <v>0</v>
      </c>
      <c r="AL613" s="67">
        <v>0</v>
      </c>
      <c r="AM613" s="67">
        <v>0</v>
      </c>
      <c r="AN613" s="67">
        <v>0</v>
      </c>
      <c r="AO613" s="67">
        <v>0</v>
      </c>
      <c r="AP613" s="67">
        <v>0</v>
      </c>
      <c r="AQ613" s="67">
        <v>0</v>
      </c>
      <c r="AR613" s="67">
        <v>0</v>
      </c>
      <c r="AS613" s="67">
        <v>0</v>
      </c>
      <c r="AT613" s="67"/>
      <c r="AU613" s="67"/>
      <c r="AV613" s="67"/>
      <c r="AW613" s="67">
        <v>0</v>
      </c>
      <c r="AX613" s="67">
        <v>0</v>
      </c>
      <c r="AY613" s="67"/>
      <c r="AZ613" s="67"/>
      <c r="BA613" s="67"/>
      <c r="BB613" s="67"/>
      <c r="BC613" s="67"/>
      <c r="BD613" s="67"/>
      <c r="BE613" s="67"/>
      <c r="BG613" s="67"/>
      <c r="BH613" s="67"/>
      <c r="BI613" s="67"/>
      <c r="BJ613" s="67">
        <v>0</v>
      </c>
      <c r="BK613" s="67"/>
      <c r="BL613" s="67"/>
      <c r="BP613" s="67"/>
      <c r="BQ613" s="67">
        <v>0</v>
      </c>
      <c r="BR613" s="67"/>
      <c r="BS613" s="67"/>
      <c r="BT613" s="67">
        <v>0</v>
      </c>
      <c r="BU613" s="67">
        <v>0</v>
      </c>
      <c r="BV613" s="67"/>
      <c r="BW613" s="67"/>
      <c r="BX613" s="67">
        <v>0</v>
      </c>
      <c r="BY613" s="67"/>
      <c r="BZ613" s="67"/>
      <c r="CA613" s="67"/>
      <c r="CB613" s="67"/>
      <c r="CC613" s="67"/>
      <c r="CD613" s="67"/>
      <c r="CE613" s="67">
        <v>0</v>
      </c>
      <c r="CF613" s="67"/>
      <c r="CG613" s="67"/>
      <c r="CH613" s="67"/>
      <c r="CI613" s="67"/>
      <c r="CJ613" s="67"/>
      <c r="CK613" s="67">
        <v>0</v>
      </c>
      <c r="CL613" s="67"/>
      <c r="CM613" s="67"/>
      <c r="CN613" s="67"/>
      <c r="CO613" s="67">
        <v>0</v>
      </c>
      <c r="CP613" s="67"/>
      <c r="CQ613" s="67"/>
      <c r="CR613" s="67"/>
      <c r="CS613" s="67"/>
      <c r="CT613" s="67"/>
      <c r="CU613" s="67">
        <v>0</v>
      </c>
      <c r="CV613" s="67"/>
      <c r="CW613" s="67"/>
      <c r="CX613" s="67"/>
      <c r="CY613" s="67">
        <v>0</v>
      </c>
      <c r="CZ613" s="67"/>
      <c r="DA613" s="67"/>
      <c r="DB613" s="67"/>
      <c r="DC613" s="67"/>
      <c r="DF613" s="67"/>
      <c r="DG613" s="67">
        <v>0</v>
      </c>
      <c r="DH613" s="67">
        <v>0</v>
      </c>
      <c r="DI613" s="67">
        <v>0</v>
      </c>
      <c r="DJ613" s="67"/>
      <c r="DK613" s="67">
        <v>0</v>
      </c>
      <c r="DL613" s="67">
        <v>0</v>
      </c>
      <c r="DM613" s="67"/>
      <c r="DN613" s="67"/>
      <c r="DO613" s="67"/>
      <c r="DP613" s="67"/>
      <c r="DQ613" s="67">
        <v>0</v>
      </c>
      <c r="DR613" s="67">
        <v>0</v>
      </c>
      <c r="DS613" s="67"/>
      <c r="DT613" s="67"/>
      <c r="DU613" s="67">
        <v>0</v>
      </c>
      <c r="DV613" s="67">
        <v>0</v>
      </c>
      <c r="DW613" s="67">
        <v>0</v>
      </c>
      <c r="DX613" s="67">
        <v>0</v>
      </c>
      <c r="DY613" s="67"/>
      <c r="DZ613" s="67">
        <v>0</v>
      </c>
      <c r="EA613" s="67"/>
      <c r="EB613" s="67">
        <v>0</v>
      </c>
      <c r="EC613" s="67"/>
      <c r="ED613" s="67">
        <v>0</v>
      </c>
      <c r="EE613" s="67"/>
      <c r="EF613" s="67">
        <v>0</v>
      </c>
      <c r="EG613" s="67"/>
      <c r="EH613" s="67"/>
      <c r="EI613" s="67"/>
      <c r="EJ613" s="67"/>
      <c r="EK613" s="67"/>
      <c r="EL613" s="67"/>
      <c r="EM613" s="67"/>
      <c r="EN613" s="67"/>
      <c r="EO613" s="67"/>
      <c r="EP613" s="67">
        <v>0</v>
      </c>
      <c r="EQ613" s="67">
        <v>0</v>
      </c>
      <c r="ER613" s="67">
        <v>0</v>
      </c>
      <c r="ES613" s="67"/>
      <c r="EX613" s="67"/>
      <c r="EY613" s="67"/>
      <c r="EZ613" s="67"/>
      <c r="FA613" s="67">
        <v>3224</v>
      </c>
      <c r="FB613" s="67"/>
      <c r="FC613" s="67"/>
      <c r="FD613" s="67"/>
      <c r="FE613" s="67"/>
      <c r="FF613" s="67"/>
      <c r="FG613" s="67"/>
      <c r="FH613" s="67"/>
      <c r="FI613" s="67" t="s">
        <v>1736</v>
      </c>
    </row>
    <row r="614" spans="2:165" x14ac:dyDescent="0.2">
      <c r="B614" s="67"/>
      <c r="C614" s="67" t="s">
        <v>1755</v>
      </c>
      <c r="D614" s="67" t="s">
        <v>1551</v>
      </c>
      <c r="E614" s="67"/>
      <c r="F614" s="67"/>
      <c r="G614" s="67"/>
      <c r="H614" s="67"/>
      <c r="I614" s="67"/>
      <c r="J614" s="67"/>
      <c r="K614" s="67"/>
      <c r="L614" s="67"/>
      <c r="M614" s="67"/>
      <c r="N614" s="67"/>
      <c r="O614" s="67"/>
      <c r="P614" s="67"/>
      <c r="Q614" s="67">
        <v>0</v>
      </c>
      <c r="R614" s="67">
        <v>0</v>
      </c>
      <c r="S614" s="67">
        <v>0</v>
      </c>
      <c r="T614" s="67">
        <v>0</v>
      </c>
      <c r="U614" s="67">
        <v>0</v>
      </c>
      <c r="V614" s="67">
        <v>0</v>
      </c>
      <c r="W614" s="67">
        <v>0</v>
      </c>
      <c r="X614" s="67">
        <v>0</v>
      </c>
      <c r="Y614" s="67">
        <v>0</v>
      </c>
      <c r="Z614" s="67">
        <v>0</v>
      </c>
      <c r="AA614" s="67">
        <v>0</v>
      </c>
      <c r="AB614" s="67">
        <v>0</v>
      </c>
      <c r="AC614" s="67">
        <v>0</v>
      </c>
      <c r="AD614" s="67">
        <v>0</v>
      </c>
      <c r="AE614" s="67">
        <v>0</v>
      </c>
      <c r="AF614" s="67">
        <v>0</v>
      </c>
      <c r="AG614" s="67">
        <v>0</v>
      </c>
      <c r="AH614" s="67">
        <v>0</v>
      </c>
      <c r="AI614" s="67">
        <v>0</v>
      </c>
      <c r="AJ614" s="67">
        <v>0</v>
      </c>
      <c r="AK614" s="67">
        <v>0</v>
      </c>
      <c r="AL614" s="67">
        <v>0</v>
      </c>
      <c r="AM614" s="67">
        <v>0</v>
      </c>
      <c r="AN614" s="67">
        <v>0</v>
      </c>
      <c r="AO614" s="67">
        <v>0</v>
      </c>
      <c r="AP614" s="67">
        <v>0</v>
      </c>
      <c r="AQ614" s="67">
        <v>0</v>
      </c>
      <c r="AR614" s="67">
        <v>0</v>
      </c>
      <c r="AS614" s="67">
        <v>0</v>
      </c>
      <c r="AT614" s="67"/>
      <c r="AU614" s="67"/>
      <c r="AV614" s="67"/>
      <c r="AW614" s="67">
        <v>0</v>
      </c>
      <c r="AX614" s="67">
        <v>0</v>
      </c>
      <c r="AY614" s="67"/>
      <c r="AZ614" s="67"/>
      <c r="BA614" s="67"/>
      <c r="BB614" s="67"/>
      <c r="BC614" s="67"/>
      <c r="BD614" s="67"/>
      <c r="BE614" s="67"/>
      <c r="BG614" s="67"/>
      <c r="BH614" s="67"/>
      <c r="BI614" s="67"/>
      <c r="BJ614" s="67">
        <v>0</v>
      </c>
      <c r="BK614" s="67"/>
      <c r="BL614" s="67"/>
      <c r="BP614" s="67"/>
      <c r="BQ614" s="67">
        <v>0</v>
      </c>
      <c r="BR614" s="67"/>
      <c r="BS614" s="67"/>
      <c r="BT614" s="67">
        <v>0</v>
      </c>
      <c r="BU614" s="67">
        <v>0</v>
      </c>
      <c r="BV614" s="67"/>
      <c r="BW614" s="67"/>
      <c r="BX614" s="67">
        <v>0</v>
      </c>
      <c r="BY614" s="67"/>
      <c r="BZ614" s="67"/>
      <c r="CA614" s="67"/>
      <c r="CB614" s="67"/>
      <c r="CC614" s="67"/>
      <c r="CD614" s="67"/>
      <c r="CE614" s="67">
        <v>0</v>
      </c>
      <c r="CF614" s="67"/>
      <c r="CG614" s="67"/>
      <c r="CH614" s="67"/>
      <c r="CI614" s="67"/>
      <c r="CJ614" s="67"/>
      <c r="CK614" s="67">
        <v>0</v>
      </c>
      <c r="CL614" s="67"/>
      <c r="CM614" s="67"/>
      <c r="CN614" s="67"/>
      <c r="CO614" s="67">
        <v>0</v>
      </c>
      <c r="CP614" s="67"/>
      <c r="CQ614" s="67"/>
      <c r="CR614" s="67"/>
      <c r="CS614" s="67"/>
      <c r="CT614" s="67"/>
      <c r="CU614" s="67">
        <v>0</v>
      </c>
      <c r="CV614" s="67"/>
      <c r="CW614" s="67"/>
      <c r="CX614" s="67"/>
      <c r="CY614" s="67">
        <v>0</v>
      </c>
      <c r="CZ614" s="67"/>
      <c r="DA614" s="67"/>
      <c r="DB614" s="67"/>
      <c r="DC614" s="67"/>
      <c r="DF614" s="67"/>
      <c r="DG614" s="67">
        <v>0</v>
      </c>
      <c r="DH614" s="67">
        <v>0</v>
      </c>
      <c r="DI614" s="67">
        <v>0</v>
      </c>
      <c r="DJ614" s="67"/>
      <c r="DK614" s="67">
        <v>0</v>
      </c>
      <c r="DL614" s="67">
        <v>0</v>
      </c>
      <c r="DM614" s="67"/>
      <c r="DN614" s="67"/>
      <c r="DO614" s="67"/>
      <c r="DP614" s="67"/>
      <c r="DQ614" s="67">
        <v>0</v>
      </c>
      <c r="DR614" s="67">
        <v>0</v>
      </c>
      <c r="DS614" s="67"/>
      <c r="DT614" s="67"/>
      <c r="DU614" s="67">
        <v>0</v>
      </c>
      <c r="DV614" s="67">
        <v>0</v>
      </c>
      <c r="DW614" s="67">
        <v>0</v>
      </c>
      <c r="DX614" s="67">
        <v>0</v>
      </c>
      <c r="DY614" s="67"/>
      <c r="DZ614" s="67">
        <v>0</v>
      </c>
      <c r="EA614" s="67"/>
      <c r="EB614" s="67">
        <v>0</v>
      </c>
      <c r="EC614" s="67"/>
      <c r="ED614" s="67">
        <v>0</v>
      </c>
      <c r="EE614" s="67"/>
      <c r="EF614" s="67">
        <v>0</v>
      </c>
      <c r="EG614" s="67"/>
      <c r="EH614" s="67"/>
      <c r="EI614" s="67"/>
      <c r="EJ614" s="67"/>
      <c r="EK614" s="67"/>
      <c r="EL614" s="67"/>
      <c r="EM614" s="67"/>
      <c r="EN614" s="67"/>
      <c r="EO614" s="67"/>
      <c r="EP614" s="67">
        <v>0</v>
      </c>
      <c r="EQ614" s="67">
        <v>0</v>
      </c>
      <c r="ER614" s="67">
        <v>0</v>
      </c>
      <c r="ES614" s="67"/>
      <c r="EX614" s="67"/>
      <c r="EY614" s="67"/>
      <c r="EZ614" s="67"/>
      <c r="FA614" s="67">
        <v>0</v>
      </c>
      <c r="FB614" s="67"/>
      <c r="FC614" s="67"/>
      <c r="FD614" s="67"/>
      <c r="FE614" s="67"/>
      <c r="FF614" s="67"/>
      <c r="FG614" s="67"/>
      <c r="FH614" s="67"/>
      <c r="FI614" s="67" t="s">
        <v>1736</v>
      </c>
    </row>
    <row r="615" spans="2:165" x14ac:dyDescent="0.2">
      <c r="B615" s="67"/>
      <c r="C615" s="67" t="s">
        <v>1756</v>
      </c>
      <c r="D615" s="67" t="s">
        <v>1552</v>
      </c>
      <c r="E615" s="67"/>
      <c r="F615" s="67"/>
      <c r="G615" s="67"/>
      <c r="H615" s="67"/>
      <c r="I615" s="67"/>
      <c r="J615" s="67"/>
      <c r="K615" s="67"/>
      <c r="L615" s="67"/>
      <c r="M615" s="67"/>
      <c r="N615" s="67"/>
      <c r="O615" s="67"/>
      <c r="P615" s="67"/>
      <c r="Q615" s="67">
        <v>0</v>
      </c>
      <c r="R615" s="67">
        <v>0</v>
      </c>
      <c r="S615" s="67">
        <v>0</v>
      </c>
      <c r="T615" s="67">
        <v>0</v>
      </c>
      <c r="U615" s="67">
        <v>0</v>
      </c>
      <c r="V615" s="67">
        <v>0</v>
      </c>
      <c r="W615" s="67">
        <v>0</v>
      </c>
      <c r="X615" s="67">
        <v>0</v>
      </c>
      <c r="Y615" s="67">
        <v>0</v>
      </c>
      <c r="Z615" s="67">
        <v>0</v>
      </c>
      <c r="AA615" s="67">
        <v>0</v>
      </c>
      <c r="AB615" s="67">
        <v>0</v>
      </c>
      <c r="AC615" s="67">
        <v>0</v>
      </c>
      <c r="AD615" s="67">
        <v>0</v>
      </c>
      <c r="AE615" s="67">
        <v>0</v>
      </c>
      <c r="AF615" s="67">
        <v>0</v>
      </c>
      <c r="AG615" s="67">
        <v>0</v>
      </c>
      <c r="AH615" s="67">
        <v>0</v>
      </c>
      <c r="AI615" s="67">
        <v>0</v>
      </c>
      <c r="AJ615" s="67">
        <v>0</v>
      </c>
      <c r="AK615" s="67">
        <v>0</v>
      </c>
      <c r="AL615" s="67">
        <v>0</v>
      </c>
      <c r="AM615" s="67">
        <v>0</v>
      </c>
      <c r="AN615" s="67">
        <v>0</v>
      </c>
      <c r="AO615" s="67">
        <v>0</v>
      </c>
      <c r="AP615" s="67">
        <v>0</v>
      </c>
      <c r="AQ615" s="67">
        <v>0</v>
      </c>
      <c r="AR615" s="67">
        <v>0</v>
      </c>
      <c r="AS615" s="67">
        <v>0</v>
      </c>
      <c r="AT615" s="67"/>
      <c r="AU615" s="67"/>
      <c r="AV615" s="67"/>
      <c r="AW615" s="67">
        <v>0</v>
      </c>
      <c r="AX615" s="67">
        <v>0</v>
      </c>
      <c r="AY615" s="67"/>
      <c r="AZ615" s="67"/>
      <c r="BA615" s="67"/>
      <c r="BB615" s="67"/>
      <c r="BC615" s="67"/>
      <c r="BD615" s="67"/>
      <c r="BE615" s="67"/>
      <c r="BG615" s="67"/>
      <c r="BH615" s="67"/>
      <c r="BI615" s="67"/>
      <c r="BJ615" s="67">
        <v>0</v>
      </c>
      <c r="BK615" s="67"/>
      <c r="BL615" s="67"/>
      <c r="BP615" s="67"/>
      <c r="BQ615" s="67">
        <v>0</v>
      </c>
      <c r="BR615" s="67"/>
      <c r="BS615" s="67"/>
      <c r="BT615" s="67">
        <v>0</v>
      </c>
      <c r="BU615" s="67">
        <v>0</v>
      </c>
      <c r="BV615" s="67"/>
      <c r="BW615" s="67"/>
      <c r="BX615" s="67">
        <v>0</v>
      </c>
      <c r="BY615" s="67"/>
      <c r="BZ615" s="67"/>
      <c r="CA615" s="67"/>
      <c r="CB615" s="67"/>
      <c r="CC615" s="67"/>
      <c r="CD615" s="67"/>
      <c r="CE615" s="67">
        <v>0</v>
      </c>
      <c r="CF615" s="67"/>
      <c r="CG615" s="67"/>
      <c r="CH615" s="67"/>
      <c r="CI615" s="67"/>
      <c r="CJ615" s="67"/>
      <c r="CK615" s="67">
        <v>0</v>
      </c>
      <c r="CL615" s="67"/>
      <c r="CM615" s="67"/>
      <c r="CN615" s="67"/>
      <c r="CO615" s="67">
        <v>0</v>
      </c>
      <c r="CP615" s="67"/>
      <c r="CQ615" s="67"/>
      <c r="CR615" s="67"/>
      <c r="CS615" s="67"/>
      <c r="CT615" s="67"/>
      <c r="CU615" s="67">
        <v>0</v>
      </c>
      <c r="CV615" s="67"/>
      <c r="CW615" s="67"/>
      <c r="CX615" s="67"/>
      <c r="CY615" s="67">
        <v>0</v>
      </c>
      <c r="CZ615" s="67"/>
      <c r="DA615" s="67"/>
      <c r="DB615" s="67"/>
      <c r="DC615" s="67"/>
      <c r="DF615" s="67"/>
      <c r="DG615" s="67">
        <v>0</v>
      </c>
      <c r="DH615" s="67">
        <v>0</v>
      </c>
      <c r="DI615" s="67">
        <v>0</v>
      </c>
      <c r="DJ615" s="67"/>
      <c r="DK615" s="67">
        <v>0</v>
      </c>
      <c r="DL615" s="67">
        <v>0</v>
      </c>
      <c r="DM615" s="67"/>
      <c r="DN615" s="67"/>
      <c r="DO615" s="67"/>
      <c r="DP615" s="67"/>
      <c r="DQ615" s="67">
        <v>0</v>
      </c>
      <c r="DR615" s="67">
        <v>0</v>
      </c>
      <c r="DS615" s="67"/>
      <c r="DT615" s="67"/>
      <c r="DU615" s="67">
        <v>0</v>
      </c>
      <c r="DV615" s="67">
        <v>0</v>
      </c>
      <c r="DW615" s="67">
        <v>0</v>
      </c>
      <c r="DX615" s="67">
        <v>0</v>
      </c>
      <c r="DY615" s="67"/>
      <c r="DZ615" s="67">
        <v>0</v>
      </c>
      <c r="EA615" s="67"/>
      <c r="EB615" s="67">
        <v>0</v>
      </c>
      <c r="EC615" s="67"/>
      <c r="ED615" s="67">
        <v>0</v>
      </c>
      <c r="EE615" s="67"/>
      <c r="EF615" s="67">
        <v>0</v>
      </c>
      <c r="EG615" s="67"/>
      <c r="EH615" s="67"/>
      <c r="EI615" s="67"/>
      <c r="EJ615" s="67"/>
      <c r="EK615" s="67"/>
      <c r="EL615" s="67"/>
      <c r="EM615" s="67"/>
      <c r="EN615" s="67"/>
      <c r="EO615" s="67"/>
      <c r="EP615" s="67">
        <v>0</v>
      </c>
      <c r="EQ615" s="67">
        <v>0</v>
      </c>
      <c r="ER615" s="67">
        <v>0</v>
      </c>
      <c r="ES615" s="67"/>
      <c r="EX615" s="67"/>
      <c r="EY615" s="67"/>
      <c r="EZ615" s="67"/>
      <c r="FA615" s="67">
        <v>0</v>
      </c>
      <c r="FB615" s="67"/>
      <c r="FC615" s="67"/>
      <c r="FD615" s="67"/>
      <c r="FE615" s="67"/>
      <c r="FF615" s="67"/>
      <c r="FG615" s="67"/>
      <c r="FH615" s="67"/>
      <c r="FI615" s="67" t="s">
        <v>1736</v>
      </c>
    </row>
    <row r="616" spans="2:165" x14ac:dyDescent="0.2">
      <c r="B616" s="67"/>
      <c r="C616" s="67" t="s">
        <v>1757</v>
      </c>
      <c r="D616" s="67" t="s">
        <v>1553</v>
      </c>
      <c r="E616" s="67"/>
      <c r="F616" s="67"/>
      <c r="G616" s="67"/>
      <c r="H616" s="67"/>
      <c r="I616" s="67"/>
      <c r="J616" s="67"/>
      <c r="K616" s="67"/>
      <c r="L616" s="67"/>
      <c r="M616" s="67"/>
      <c r="N616" s="67"/>
      <c r="O616" s="67"/>
      <c r="P616" s="67"/>
      <c r="Q616" s="67">
        <v>6182</v>
      </c>
      <c r="R616" s="67">
        <v>0</v>
      </c>
      <c r="S616" s="67">
        <v>0</v>
      </c>
      <c r="T616" s="67">
        <v>6182</v>
      </c>
      <c r="U616" s="67">
        <v>0</v>
      </c>
      <c r="V616" s="67">
        <v>0</v>
      </c>
      <c r="W616" s="67">
        <v>0</v>
      </c>
      <c r="X616" s="67">
        <v>0</v>
      </c>
      <c r="Y616" s="67">
        <v>0</v>
      </c>
      <c r="Z616" s="67">
        <v>0</v>
      </c>
      <c r="AA616" s="67">
        <v>0</v>
      </c>
      <c r="AB616" s="67">
        <v>0</v>
      </c>
      <c r="AC616" s="67">
        <v>0</v>
      </c>
      <c r="AD616" s="67">
        <v>0</v>
      </c>
      <c r="AE616" s="67">
        <v>0</v>
      </c>
      <c r="AF616" s="67">
        <v>0</v>
      </c>
      <c r="AG616" s="67">
        <v>0</v>
      </c>
      <c r="AH616" s="67">
        <v>0</v>
      </c>
      <c r="AI616" s="67">
        <v>0</v>
      </c>
      <c r="AJ616" s="67">
        <v>0</v>
      </c>
      <c r="AK616" s="67">
        <v>0</v>
      </c>
      <c r="AL616" s="67">
        <v>0</v>
      </c>
      <c r="AM616" s="67">
        <v>0</v>
      </c>
      <c r="AN616" s="67">
        <v>0</v>
      </c>
      <c r="AO616" s="67">
        <v>0</v>
      </c>
      <c r="AP616" s="67">
        <v>0</v>
      </c>
      <c r="AQ616" s="67">
        <v>0</v>
      </c>
      <c r="AR616" s="67">
        <v>0</v>
      </c>
      <c r="AS616" s="67">
        <v>0</v>
      </c>
      <c r="AT616" s="67"/>
      <c r="AU616" s="67"/>
      <c r="AV616" s="67"/>
      <c r="AW616" s="67">
        <v>0</v>
      </c>
      <c r="AX616" s="67">
        <v>0</v>
      </c>
      <c r="AY616" s="67"/>
      <c r="AZ616" s="67"/>
      <c r="BA616" s="67"/>
      <c r="BB616" s="67"/>
      <c r="BC616" s="67"/>
      <c r="BD616" s="67"/>
      <c r="BE616" s="67"/>
      <c r="BG616" s="67"/>
      <c r="BH616" s="67"/>
      <c r="BI616" s="67"/>
      <c r="BJ616" s="67">
        <v>0</v>
      </c>
      <c r="BK616" s="67"/>
      <c r="BL616" s="67"/>
      <c r="BP616" s="67"/>
      <c r="BQ616" s="67">
        <v>0</v>
      </c>
      <c r="BR616" s="67"/>
      <c r="BS616" s="67"/>
      <c r="BT616" s="67">
        <v>0</v>
      </c>
      <c r="BU616" s="67">
        <v>0</v>
      </c>
      <c r="BV616" s="67"/>
      <c r="BW616" s="67"/>
      <c r="BX616" s="67">
        <v>0</v>
      </c>
      <c r="BY616" s="67"/>
      <c r="BZ616" s="67"/>
      <c r="CA616" s="67"/>
      <c r="CB616" s="67"/>
      <c r="CC616" s="67"/>
      <c r="CD616" s="67"/>
      <c r="CE616" s="67">
        <v>0</v>
      </c>
      <c r="CF616" s="67"/>
      <c r="CG616" s="67"/>
      <c r="CH616" s="67"/>
      <c r="CI616" s="67"/>
      <c r="CJ616" s="67"/>
      <c r="CK616" s="67">
        <v>0</v>
      </c>
      <c r="CL616" s="67"/>
      <c r="CM616" s="67"/>
      <c r="CN616" s="67"/>
      <c r="CO616" s="67">
        <v>0</v>
      </c>
      <c r="CP616" s="67"/>
      <c r="CQ616" s="67"/>
      <c r="CR616" s="67"/>
      <c r="CS616" s="67"/>
      <c r="CT616" s="67"/>
      <c r="CU616" s="67">
        <v>0</v>
      </c>
      <c r="CV616" s="67"/>
      <c r="CW616" s="67"/>
      <c r="CX616" s="67"/>
      <c r="CY616" s="67">
        <v>0</v>
      </c>
      <c r="CZ616" s="67"/>
      <c r="DA616" s="67"/>
      <c r="DB616" s="67"/>
      <c r="DC616" s="67"/>
      <c r="DF616" s="67"/>
      <c r="DG616" s="67">
        <v>0</v>
      </c>
      <c r="DH616" s="67">
        <v>0</v>
      </c>
      <c r="DI616" s="67">
        <v>0</v>
      </c>
      <c r="DJ616" s="67"/>
      <c r="DK616" s="67">
        <v>0</v>
      </c>
      <c r="DL616" s="67">
        <v>0</v>
      </c>
      <c r="DM616" s="67"/>
      <c r="DN616" s="67"/>
      <c r="DO616" s="67"/>
      <c r="DP616" s="67"/>
      <c r="DQ616" s="67">
        <v>0</v>
      </c>
      <c r="DR616" s="67">
        <v>0</v>
      </c>
      <c r="DS616" s="67"/>
      <c r="DT616" s="67"/>
      <c r="DU616" s="67">
        <v>0</v>
      </c>
      <c r="DV616" s="67">
        <v>0</v>
      </c>
      <c r="DW616" s="67">
        <v>0</v>
      </c>
      <c r="DX616" s="67">
        <v>0</v>
      </c>
      <c r="DY616" s="67"/>
      <c r="DZ616" s="67">
        <v>0</v>
      </c>
      <c r="EA616" s="67"/>
      <c r="EB616" s="67">
        <v>0</v>
      </c>
      <c r="EC616" s="67"/>
      <c r="ED616" s="67">
        <v>0</v>
      </c>
      <c r="EE616" s="67"/>
      <c r="EF616" s="67">
        <v>0</v>
      </c>
      <c r="EG616" s="67"/>
      <c r="EH616" s="67"/>
      <c r="EI616" s="67"/>
      <c r="EJ616" s="67"/>
      <c r="EK616" s="67"/>
      <c r="EL616" s="67"/>
      <c r="EM616" s="67"/>
      <c r="EN616" s="67"/>
      <c r="EO616" s="67"/>
      <c r="EP616" s="67">
        <v>0</v>
      </c>
      <c r="EQ616" s="67">
        <v>2154</v>
      </c>
      <c r="ER616" s="67">
        <v>2154</v>
      </c>
      <c r="ES616" s="67"/>
      <c r="EX616" s="67"/>
      <c r="EY616" s="67"/>
      <c r="EZ616" s="67"/>
      <c r="FA616" s="67">
        <v>6182</v>
      </c>
      <c r="FB616" s="67"/>
      <c r="FC616" s="67"/>
      <c r="FD616" s="67"/>
      <c r="FE616" s="67"/>
      <c r="FF616" s="67"/>
      <c r="FG616" s="67"/>
      <c r="FH616" s="67"/>
      <c r="FI616" s="67" t="s">
        <v>1736</v>
      </c>
    </row>
    <row r="617" spans="2:165" x14ac:dyDescent="0.2">
      <c r="B617" s="67"/>
      <c r="C617" s="67" t="s">
        <v>1758</v>
      </c>
      <c r="D617" s="67" t="s">
        <v>1554</v>
      </c>
      <c r="E617" s="67"/>
      <c r="F617" s="67"/>
      <c r="G617" s="67"/>
      <c r="H617" s="67"/>
      <c r="I617" s="67"/>
      <c r="J617" s="67"/>
      <c r="K617" s="67"/>
      <c r="L617" s="67"/>
      <c r="M617" s="67"/>
      <c r="N617" s="67"/>
      <c r="O617" s="67"/>
      <c r="P617" s="67"/>
      <c r="Q617" s="67">
        <v>0</v>
      </c>
      <c r="R617" s="67">
        <v>0</v>
      </c>
      <c r="S617" s="67">
        <v>0</v>
      </c>
      <c r="T617" s="67">
        <v>0</v>
      </c>
      <c r="U617" s="67">
        <v>0</v>
      </c>
      <c r="V617" s="67">
        <v>0</v>
      </c>
      <c r="W617" s="67">
        <v>0</v>
      </c>
      <c r="X617" s="67">
        <v>0</v>
      </c>
      <c r="Y617" s="67">
        <v>0</v>
      </c>
      <c r="Z617" s="67">
        <v>0</v>
      </c>
      <c r="AA617" s="67">
        <v>0</v>
      </c>
      <c r="AB617" s="67">
        <v>0</v>
      </c>
      <c r="AC617" s="67">
        <v>0</v>
      </c>
      <c r="AD617" s="67">
        <v>0</v>
      </c>
      <c r="AE617" s="67">
        <v>0</v>
      </c>
      <c r="AF617" s="67">
        <v>0</v>
      </c>
      <c r="AG617" s="67">
        <v>0</v>
      </c>
      <c r="AH617" s="67">
        <v>0</v>
      </c>
      <c r="AI617" s="67">
        <v>0</v>
      </c>
      <c r="AJ617" s="67">
        <v>0</v>
      </c>
      <c r="AK617" s="67">
        <v>0</v>
      </c>
      <c r="AL617" s="67">
        <v>0</v>
      </c>
      <c r="AM617" s="67">
        <v>0</v>
      </c>
      <c r="AN617" s="67">
        <v>0</v>
      </c>
      <c r="AO617" s="67">
        <v>0</v>
      </c>
      <c r="AP617" s="67">
        <v>0</v>
      </c>
      <c r="AQ617" s="67">
        <v>0</v>
      </c>
      <c r="AR617" s="67">
        <v>0</v>
      </c>
      <c r="AS617" s="67">
        <v>0</v>
      </c>
      <c r="AT617" s="67"/>
      <c r="AU617" s="67"/>
      <c r="AV617" s="67"/>
      <c r="AW617" s="67">
        <v>0</v>
      </c>
      <c r="AX617" s="67">
        <v>0</v>
      </c>
      <c r="AY617" s="67"/>
      <c r="AZ617" s="67"/>
      <c r="BA617" s="67"/>
      <c r="BB617" s="67"/>
      <c r="BC617" s="67"/>
      <c r="BD617" s="67"/>
      <c r="BE617" s="67"/>
      <c r="BG617" s="67"/>
      <c r="BH617" s="67"/>
      <c r="BI617" s="67"/>
      <c r="BJ617" s="67">
        <v>0</v>
      </c>
      <c r="BK617" s="67"/>
      <c r="BL617" s="67"/>
      <c r="BP617" s="67"/>
      <c r="BQ617" s="67">
        <v>0</v>
      </c>
      <c r="BR617" s="67"/>
      <c r="BS617" s="67"/>
      <c r="BT617" s="67">
        <v>0</v>
      </c>
      <c r="BU617" s="67">
        <v>0</v>
      </c>
      <c r="BV617" s="67"/>
      <c r="BW617" s="67"/>
      <c r="BX617" s="67">
        <v>0</v>
      </c>
      <c r="BY617" s="67"/>
      <c r="BZ617" s="67"/>
      <c r="CA617" s="67"/>
      <c r="CB617" s="67"/>
      <c r="CC617" s="67"/>
      <c r="CD617" s="67"/>
      <c r="CE617" s="67">
        <v>0</v>
      </c>
      <c r="CF617" s="67"/>
      <c r="CG617" s="67"/>
      <c r="CH617" s="67"/>
      <c r="CI617" s="67"/>
      <c r="CJ617" s="67"/>
      <c r="CK617" s="67">
        <v>0</v>
      </c>
      <c r="CL617" s="67"/>
      <c r="CM617" s="67"/>
      <c r="CN617" s="67"/>
      <c r="CO617" s="67">
        <v>0</v>
      </c>
      <c r="CP617" s="67"/>
      <c r="CQ617" s="67"/>
      <c r="CR617" s="67"/>
      <c r="CS617" s="67"/>
      <c r="CT617" s="67"/>
      <c r="CU617" s="67">
        <v>0</v>
      </c>
      <c r="CV617" s="67"/>
      <c r="CW617" s="67"/>
      <c r="CX617" s="67"/>
      <c r="CY617" s="67">
        <v>0</v>
      </c>
      <c r="CZ617" s="67"/>
      <c r="DA617" s="67"/>
      <c r="DB617" s="67"/>
      <c r="DC617" s="67"/>
      <c r="DF617" s="67"/>
      <c r="DG617" s="67">
        <v>0</v>
      </c>
      <c r="DH617" s="67">
        <v>0</v>
      </c>
      <c r="DI617" s="67">
        <v>0</v>
      </c>
      <c r="DJ617" s="67"/>
      <c r="DK617" s="67">
        <v>0</v>
      </c>
      <c r="DL617" s="67">
        <v>0</v>
      </c>
      <c r="DM617" s="67"/>
      <c r="DN617" s="67"/>
      <c r="DO617" s="67"/>
      <c r="DP617" s="67"/>
      <c r="DQ617" s="67">
        <v>0</v>
      </c>
      <c r="DR617" s="67">
        <v>0</v>
      </c>
      <c r="DS617" s="67"/>
      <c r="DT617" s="67"/>
      <c r="DU617" s="67">
        <v>0</v>
      </c>
      <c r="DV617" s="67">
        <v>0</v>
      </c>
      <c r="DW617" s="67">
        <v>0</v>
      </c>
      <c r="DX617" s="67">
        <v>0</v>
      </c>
      <c r="DY617" s="67"/>
      <c r="DZ617" s="67">
        <v>0</v>
      </c>
      <c r="EA617" s="67"/>
      <c r="EB617" s="67">
        <v>0</v>
      </c>
      <c r="EC617" s="67"/>
      <c r="ED617" s="67">
        <v>0</v>
      </c>
      <c r="EE617" s="67"/>
      <c r="EF617" s="67">
        <v>0</v>
      </c>
      <c r="EG617" s="67"/>
      <c r="EH617" s="67"/>
      <c r="EI617" s="67"/>
      <c r="EJ617" s="67"/>
      <c r="EK617" s="67"/>
      <c r="EL617" s="67"/>
      <c r="EM617" s="67"/>
      <c r="EN617" s="67"/>
      <c r="EO617" s="67"/>
      <c r="EP617" s="67">
        <v>0</v>
      </c>
      <c r="EQ617" s="67">
        <v>0</v>
      </c>
      <c r="ER617" s="67">
        <v>0</v>
      </c>
      <c r="ES617" s="67"/>
      <c r="EX617" s="67"/>
      <c r="EY617" s="67"/>
      <c r="EZ617" s="67"/>
      <c r="FA617" s="67">
        <v>0</v>
      </c>
      <c r="FB617" s="67"/>
      <c r="FC617" s="67"/>
      <c r="FD617" s="67"/>
      <c r="FE617" s="67"/>
      <c r="FF617" s="67"/>
      <c r="FG617" s="67"/>
      <c r="FH617" s="67"/>
      <c r="FI617" s="67" t="s">
        <v>1736</v>
      </c>
    </row>
    <row r="618" spans="2:165" x14ac:dyDescent="0.2">
      <c r="B618" s="67"/>
      <c r="C618" s="67" t="s">
        <v>1759</v>
      </c>
      <c r="D618" s="67" t="s">
        <v>1555</v>
      </c>
      <c r="E618" s="67"/>
      <c r="F618" s="67"/>
      <c r="G618" s="67"/>
      <c r="H618" s="67"/>
      <c r="I618" s="67"/>
      <c r="J618" s="67"/>
      <c r="K618" s="67"/>
      <c r="L618" s="67"/>
      <c r="M618" s="67"/>
      <c r="N618" s="67"/>
      <c r="O618" s="67"/>
      <c r="P618" s="67"/>
      <c r="Q618" s="67">
        <v>0</v>
      </c>
      <c r="R618" s="67">
        <v>0</v>
      </c>
      <c r="S618" s="67">
        <v>0</v>
      </c>
      <c r="T618" s="67">
        <v>0</v>
      </c>
      <c r="U618" s="67">
        <v>0</v>
      </c>
      <c r="V618" s="67">
        <v>0</v>
      </c>
      <c r="W618" s="67">
        <v>0</v>
      </c>
      <c r="X618" s="67">
        <v>0</v>
      </c>
      <c r="Y618" s="67">
        <v>0</v>
      </c>
      <c r="Z618" s="67">
        <v>0</v>
      </c>
      <c r="AA618" s="67">
        <v>0</v>
      </c>
      <c r="AB618" s="67">
        <v>0</v>
      </c>
      <c r="AC618" s="67">
        <v>0</v>
      </c>
      <c r="AD618" s="67">
        <v>0</v>
      </c>
      <c r="AE618" s="67">
        <v>0</v>
      </c>
      <c r="AF618" s="67">
        <v>0</v>
      </c>
      <c r="AG618" s="67">
        <v>0</v>
      </c>
      <c r="AH618" s="67">
        <v>0</v>
      </c>
      <c r="AI618" s="67">
        <v>0</v>
      </c>
      <c r="AJ618" s="67">
        <v>0</v>
      </c>
      <c r="AK618" s="67">
        <v>0</v>
      </c>
      <c r="AL618" s="67">
        <v>0</v>
      </c>
      <c r="AM618" s="67">
        <v>0</v>
      </c>
      <c r="AN618" s="67">
        <v>0</v>
      </c>
      <c r="AO618" s="67">
        <v>0</v>
      </c>
      <c r="AP618" s="67">
        <v>0</v>
      </c>
      <c r="AQ618" s="67">
        <v>0</v>
      </c>
      <c r="AR618" s="67">
        <v>0</v>
      </c>
      <c r="AS618" s="67">
        <v>0</v>
      </c>
      <c r="AT618" s="67"/>
      <c r="AU618" s="67"/>
      <c r="AV618" s="67"/>
      <c r="AW618" s="67">
        <v>0</v>
      </c>
      <c r="AX618" s="67">
        <v>0</v>
      </c>
      <c r="AY618" s="67"/>
      <c r="AZ618" s="67"/>
      <c r="BA618" s="67"/>
      <c r="BB618" s="67"/>
      <c r="BC618" s="67"/>
      <c r="BD618" s="67"/>
      <c r="BE618" s="67"/>
      <c r="BG618" s="67"/>
      <c r="BH618" s="67"/>
      <c r="BI618" s="67"/>
      <c r="BJ618" s="67">
        <v>0</v>
      </c>
      <c r="BK618" s="67"/>
      <c r="BL618" s="67"/>
      <c r="BP618" s="67"/>
      <c r="BQ618" s="67">
        <v>0</v>
      </c>
      <c r="BR618" s="67"/>
      <c r="BS618" s="67"/>
      <c r="BT618" s="67">
        <v>0</v>
      </c>
      <c r="BU618" s="67">
        <v>0</v>
      </c>
      <c r="BV618" s="67"/>
      <c r="BW618" s="67"/>
      <c r="BX618" s="67">
        <v>0</v>
      </c>
      <c r="BY618" s="67"/>
      <c r="BZ618" s="67"/>
      <c r="CA618" s="67"/>
      <c r="CB618" s="67"/>
      <c r="CC618" s="67"/>
      <c r="CD618" s="67"/>
      <c r="CE618" s="67">
        <v>0</v>
      </c>
      <c r="CF618" s="67"/>
      <c r="CG618" s="67"/>
      <c r="CH618" s="67"/>
      <c r="CI618" s="67"/>
      <c r="CJ618" s="67"/>
      <c r="CK618" s="67">
        <v>0</v>
      </c>
      <c r="CL618" s="67"/>
      <c r="CM618" s="67"/>
      <c r="CN618" s="67"/>
      <c r="CO618" s="67">
        <v>0</v>
      </c>
      <c r="CP618" s="67"/>
      <c r="CQ618" s="67"/>
      <c r="CR618" s="67"/>
      <c r="CS618" s="67"/>
      <c r="CT618" s="67"/>
      <c r="CU618" s="67">
        <v>0</v>
      </c>
      <c r="CV618" s="67"/>
      <c r="CW618" s="67"/>
      <c r="CX618" s="67"/>
      <c r="CY618" s="67">
        <v>0</v>
      </c>
      <c r="CZ618" s="67"/>
      <c r="DA618" s="67"/>
      <c r="DB618" s="67"/>
      <c r="DC618" s="67"/>
      <c r="DF618" s="67"/>
      <c r="DG618" s="67">
        <v>0</v>
      </c>
      <c r="DH618" s="67">
        <v>0</v>
      </c>
      <c r="DI618" s="67">
        <v>0</v>
      </c>
      <c r="DJ618" s="67"/>
      <c r="DK618" s="67">
        <v>0</v>
      </c>
      <c r="DL618" s="67">
        <v>0</v>
      </c>
      <c r="DM618" s="67"/>
      <c r="DN618" s="67"/>
      <c r="DO618" s="67"/>
      <c r="DP618" s="67"/>
      <c r="DQ618" s="67">
        <v>0</v>
      </c>
      <c r="DR618" s="67">
        <v>0</v>
      </c>
      <c r="DS618" s="67"/>
      <c r="DT618" s="67"/>
      <c r="DU618" s="67">
        <v>0</v>
      </c>
      <c r="DV618" s="67">
        <v>0</v>
      </c>
      <c r="DW618" s="67">
        <v>0</v>
      </c>
      <c r="DX618" s="67">
        <v>0</v>
      </c>
      <c r="DY618" s="67"/>
      <c r="DZ618" s="67">
        <v>0</v>
      </c>
      <c r="EA618" s="67"/>
      <c r="EB618" s="67">
        <v>0</v>
      </c>
      <c r="EC618" s="67"/>
      <c r="ED618" s="67">
        <v>0</v>
      </c>
      <c r="EE618" s="67"/>
      <c r="EF618" s="67">
        <v>0</v>
      </c>
      <c r="EG618" s="67"/>
      <c r="EH618" s="67"/>
      <c r="EI618" s="67"/>
      <c r="EJ618" s="67"/>
      <c r="EK618" s="67"/>
      <c r="EL618" s="67"/>
      <c r="EM618" s="67"/>
      <c r="EN618" s="67"/>
      <c r="EO618" s="67"/>
      <c r="EP618" s="67">
        <v>0</v>
      </c>
      <c r="EQ618" s="67">
        <v>0</v>
      </c>
      <c r="ER618" s="67">
        <v>0</v>
      </c>
      <c r="ES618" s="67"/>
      <c r="EX618" s="67"/>
      <c r="EY618" s="67"/>
      <c r="EZ618" s="67"/>
      <c r="FA618" s="67">
        <v>0</v>
      </c>
      <c r="FB618" s="67"/>
      <c r="FC618" s="67"/>
      <c r="FD618" s="67"/>
      <c r="FE618" s="67"/>
      <c r="FF618" s="67"/>
      <c r="FG618" s="67"/>
      <c r="FH618" s="67"/>
      <c r="FI618" s="67" t="s">
        <v>1736</v>
      </c>
    </row>
    <row r="619" spans="2:165" x14ac:dyDescent="0.2">
      <c r="B619" s="67"/>
      <c r="C619" s="67" t="s">
        <v>1760</v>
      </c>
      <c r="D619" s="67" t="s">
        <v>1556</v>
      </c>
      <c r="E619" s="67"/>
      <c r="F619" s="67"/>
      <c r="G619" s="67"/>
      <c r="H619" s="67"/>
      <c r="I619" s="67"/>
      <c r="J619" s="67"/>
      <c r="K619" s="67"/>
      <c r="L619" s="67"/>
      <c r="M619" s="67"/>
      <c r="N619" s="67"/>
      <c r="O619" s="67"/>
      <c r="P619" s="67"/>
      <c r="Q619" s="67">
        <v>0</v>
      </c>
      <c r="R619" s="67">
        <v>0</v>
      </c>
      <c r="S619" s="67">
        <v>0</v>
      </c>
      <c r="T619" s="67">
        <v>0</v>
      </c>
      <c r="U619" s="67">
        <v>0</v>
      </c>
      <c r="V619" s="67">
        <v>0</v>
      </c>
      <c r="W619" s="67">
        <v>0</v>
      </c>
      <c r="X619" s="67">
        <v>0</v>
      </c>
      <c r="Y619" s="67">
        <v>0</v>
      </c>
      <c r="Z619" s="67">
        <v>0</v>
      </c>
      <c r="AA619" s="67">
        <v>0</v>
      </c>
      <c r="AB619" s="67">
        <v>0</v>
      </c>
      <c r="AC619" s="67">
        <v>0</v>
      </c>
      <c r="AD619" s="67">
        <v>0</v>
      </c>
      <c r="AE619" s="67">
        <v>0</v>
      </c>
      <c r="AF619" s="67">
        <v>0</v>
      </c>
      <c r="AG619" s="67">
        <v>0</v>
      </c>
      <c r="AH619" s="67">
        <v>0</v>
      </c>
      <c r="AI619" s="67">
        <v>0</v>
      </c>
      <c r="AJ619" s="67">
        <v>0</v>
      </c>
      <c r="AK619" s="67">
        <v>0</v>
      </c>
      <c r="AL619" s="67">
        <v>0</v>
      </c>
      <c r="AM619" s="67">
        <v>0</v>
      </c>
      <c r="AN619" s="67">
        <v>0</v>
      </c>
      <c r="AO619" s="67">
        <v>0</v>
      </c>
      <c r="AP619" s="67">
        <v>0</v>
      </c>
      <c r="AQ619" s="67">
        <v>0</v>
      </c>
      <c r="AR619" s="67">
        <v>0</v>
      </c>
      <c r="AS619" s="67">
        <v>0</v>
      </c>
      <c r="AT619" s="67"/>
      <c r="AU619" s="67"/>
      <c r="AV619" s="67"/>
      <c r="AW619" s="67">
        <v>0</v>
      </c>
      <c r="AX619" s="67">
        <v>0</v>
      </c>
      <c r="AY619" s="67"/>
      <c r="AZ619" s="67"/>
      <c r="BA619" s="67"/>
      <c r="BB619" s="67"/>
      <c r="BC619" s="67"/>
      <c r="BD619" s="67"/>
      <c r="BE619" s="67"/>
      <c r="BG619" s="67"/>
      <c r="BH619" s="67"/>
      <c r="BI619" s="67"/>
      <c r="BJ619" s="67">
        <v>0</v>
      </c>
      <c r="BK619" s="67"/>
      <c r="BL619" s="67"/>
      <c r="BP619" s="67"/>
      <c r="BQ619" s="67">
        <v>0</v>
      </c>
      <c r="BR619" s="67"/>
      <c r="BS619" s="67"/>
      <c r="BT619" s="67">
        <v>0</v>
      </c>
      <c r="BU619" s="67">
        <v>0</v>
      </c>
      <c r="BV619" s="67"/>
      <c r="BW619" s="67"/>
      <c r="BX619" s="67">
        <v>0</v>
      </c>
      <c r="BY619" s="67"/>
      <c r="BZ619" s="67"/>
      <c r="CA619" s="67"/>
      <c r="CB619" s="67"/>
      <c r="CC619" s="67"/>
      <c r="CD619" s="67"/>
      <c r="CE619" s="67">
        <v>0</v>
      </c>
      <c r="CF619" s="67"/>
      <c r="CG619" s="67"/>
      <c r="CH619" s="67"/>
      <c r="CI619" s="67"/>
      <c r="CJ619" s="67"/>
      <c r="CK619" s="67">
        <v>0</v>
      </c>
      <c r="CL619" s="67"/>
      <c r="CM619" s="67"/>
      <c r="CN619" s="67"/>
      <c r="CO619" s="67">
        <v>0</v>
      </c>
      <c r="CP619" s="67"/>
      <c r="CQ619" s="67"/>
      <c r="CR619" s="67"/>
      <c r="CS619" s="67"/>
      <c r="CT619" s="67"/>
      <c r="CU619" s="67">
        <v>0</v>
      </c>
      <c r="CV619" s="67"/>
      <c r="CW619" s="67"/>
      <c r="CX619" s="67"/>
      <c r="CY619" s="67">
        <v>0</v>
      </c>
      <c r="CZ619" s="67"/>
      <c r="DA619" s="67"/>
      <c r="DB619" s="67"/>
      <c r="DC619" s="67"/>
      <c r="DF619" s="67"/>
      <c r="DG619" s="67">
        <v>0</v>
      </c>
      <c r="DH619" s="67">
        <v>0</v>
      </c>
      <c r="DI619" s="67">
        <v>0</v>
      </c>
      <c r="DJ619" s="67"/>
      <c r="DK619" s="67">
        <v>0</v>
      </c>
      <c r="DL619" s="67">
        <v>0</v>
      </c>
      <c r="DM619" s="67"/>
      <c r="DN619" s="67"/>
      <c r="DO619" s="67"/>
      <c r="DP619" s="67"/>
      <c r="DQ619" s="67">
        <v>0</v>
      </c>
      <c r="DR619" s="67">
        <v>0</v>
      </c>
      <c r="DS619" s="67"/>
      <c r="DT619" s="67"/>
      <c r="DU619" s="67">
        <v>0</v>
      </c>
      <c r="DV619" s="67">
        <v>0</v>
      </c>
      <c r="DW619" s="67">
        <v>0</v>
      </c>
      <c r="DX619" s="67">
        <v>0</v>
      </c>
      <c r="DY619" s="67"/>
      <c r="DZ619" s="67">
        <v>0</v>
      </c>
      <c r="EA619" s="67"/>
      <c r="EB619" s="67">
        <v>0</v>
      </c>
      <c r="EC619" s="67"/>
      <c r="ED619" s="67">
        <v>0</v>
      </c>
      <c r="EE619" s="67"/>
      <c r="EF619" s="67">
        <v>0</v>
      </c>
      <c r="EG619" s="67"/>
      <c r="EH619" s="67"/>
      <c r="EI619" s="67"/>
      <c r="EJ619" s="67"/>
      <c r="EK619" s="67"/>
      <c r="EL619" s="67"/>
      <c r="EM619" s="67"/>
      <c r="EN619" s="67"/>
      <c r="EO619" s="67"/>
      <c r="EP619" s="67">
        <v>0</v>
      </c>
      <c r="EQ619" s="67">
        <v>0</v>
      </c>
      <c r="ER619" s="67">
        <v>0</v>
      </c>
      <c r="ES619" s="67"/>
      <c r="EX619" s="67"/>
      <c r="EY619" s="67"/>
      <c r="EZ619" s="67"/>
      <c r="FA619" s="67">
        <v>0</v>
      </c>
      <c r="FB619" s="67"/>
      <c r="FC619" s="67"/>
      <c r="FD619" s="67"/>
      <c r="FE619" s="67"/>
      <c r="FF619" s="67"/>
      <c r="FG619" s="67"/>
      <c r="FH619" s="67"/>
      <c r="FI619" s="67" t="s">
        <v>1736</v>
      </c>
    </row>
    <row r="620" spans="2:165" x14ac:dyDescent="0.2">
      <c r="B620" s="67"/>
      <c r="C620" s="67" t="s">
        <v>1761</v>
      </c>
      <c r="D620" s="67" t="s">
        <v>1557</v>
      </c>
      <c r="E620" s="67"/>
      <c r="F620" s="67"/>
      <c r="G620" s="67"/>
      <c r="H620" s="67"/>
      <c r="I620" s="67"/>
      <c r="J620" s="67"/>
      <c r="K620" s="67"/>
      <c r="L620" s="67"/>
      <c r="M620" s="67"/>
      <c r="N620" s="67"/>
      <c r="O620" s="67"/>
      <c r="P620" s="67"/>
      <c r="Q620" s="67">
        <v>0</v>
      </c>
      <c r="R620" s="67">
        <v>0</v>
      </c>
      <c r="S620" s="67">
        <v>0</v>
      </c>
      <c r="T620" s="67">
        <v>0</v>
      </c>
      <c r="U620" s="67">
        <v>0</v>
      </c>
      <c r="V620" s="67">
        <v>0</v>
      </c>
      <c r="W620" s="67">
        <v>0</v>
      </c>
      <c r="X620" s="67">
        <v>0</v>
      </c>
      <c r="Y620" s="67">
        <v>0</v>
      </c>
      <c r="Z620" s="67">
        <v>0</v>
      </c>
      <c r="AA620" s="67">
        <v>0</v>
      </c>
      <c r="AB620" s="67">
        <v>0</v>
      </c>
      <c r="AC620" s="67">
        <v>0</v>
      </c>
      <c r="AD620" s="67">
        <v>0</v>
      </c>
      <c r="AE620" s="67">
        <v>0</v>
      </c>
      <c r="AF620" s="67">
        <v>0</v>
      </c>
      <c r="AG620" s="67">
        <v>0</v>
      </c>
      <c r="AH620" s="67">
        <v>0</v>
      </c>
      <c r="AI620" s="67">
        <v>0</v>
      </c>
      <c r="AJ620" s="67">
        <v>0</v>
      </c>
      <c r="AK620" s="67">
        <v>0</v>
      </c>
      <c r="AL620" s="67">
        <v>0</v>
      </c>
      <c r="AM620" s="67">
        <v>0</v>
      </c>
      <c r="AN620" s="67">
        <v>0</v>
      </c>
      <c r="AO620" s="67">
        <v>0</v>
      </c>
      <c r="AP620" s="67">
        <v>0</v>
      </c>
      <c r="AQ620" s="67">
        <v>0</v>
      </c>
      <c r="AR620" s="67">
        <v>0</v>
      </c>
      <c r="AS620" s="67">
        <v>0</v>
      </c>
      <c r="AT620" s="67"/>
      <c r="AU620" s="67"/>
      <c r="AV620" s="67"/>
      <c r="AW620" s="67">
        <v>0</v>
      </c>
      <c r="AX620" s="67">
        <v>0</v>
      </c>
      <c r="AY620" s="67"/>
      <c r="AZ620" s="67"/>
      <c r="BA620" s="67"/>
      <c r="BB620" s="67"/>
      <c r="BC620" s="67"/>
      <c r="BD620" s="67"/>
      <c r="BE620" s="67"/>
      <c r="BG620" s="67"/>
      <c r="BH620" s="67"/>
      <c r="BI620" s="67"/>
      <c r="BJ620" s="67">
        <v>0</v>
      </c>
      <c r="BK620" s="67"/>
      <c r="BL620" s="67"/>
      <c r="BP620" s="67"/>
      <c r="BQ620" s="67">
        <v>0</v>
      </c>
      <c r="BR620" s="67"/>
      <c r="BS620" s="67"/>
      <c r="BT620" s="67">
        <v>0</v>
      </c>
      <c r="BU620" s="67">
        <v>0</v>
      </c>
      <c r="BV620" s="67"/>
      <c r="BW620" s="67"/>
      <c r="BX620" s="67">
        <v>0</v>
      </c>
      <c r="BY620" s="67"/>
      <c r="BZ620" s="67"/>
      <c r="CA620" s="67"/>
      <c r="CB620" s="67"/>
      <c r="CC620" s="67"/>
      <c r="CD620" s="67"/>
      <c r="CE620" s="67">
        <v>0</v>
      </c>
      <c r="CF620" s="67"/>
      <c r="CG620" s="67"/>
      <c r="CH620" s="67"/>
      <c r="CI620" s="67"/>
      <c r="CJ620" s="67"/>
      <c r="CK620" s="67">
        <v>0</v>
      </c>
      <c r="CL620" s="67"/>
      <c r="CM620" s="67"/>
      <c r="CN620" s="67"/>
      <c r="CO620" s="67">
        <v>0</v>
      </c>
      <c r="CP620" s="67"/>
      <c r="CQ620" s="67"/>
      <c r="CR620" s="67"/>
      <c r="CS620" s="67"/>
      <c r="CT620" s="67"/>
      <c r="CU620" s="67">
        <v>0</v>
      </c>
      <c r="CV620" s="67"/>
      <c r="CW620" s="67"/>
      <c r="CX620" s="67"/>
      <c r="CY620" s="67">
        <v>0</v>
      </c>
      <c r="CZ620" s="67"/>
      <c r="DA620" s="67"/>
      <c r="DB620" s="67"/>
      <c r="DC620" s="67"/>
      <c r="DF620" s="67"/>
      <c r="DG620" s="67">
        <v>0</v>
      </c>
      <c r="DH620" s="67">
        <v>0</v>
      </c>
      <c r="DI620" s="67">
        <v>0</v>
      </c>
      <c r="DJ620" s="67"/>
      <c r="DK620" s="67">
        <v>0</v>
      </c>
      <c r="DL620" s="67">
        <v>0</v>
      </c>
      <c r="DM620" s="67"/>
      <c r="DN620" s="67"/>
      <c r="DO620" s="67"/>
      <c r="DP620" s="67"/>
      <c r="DQ620" s="67">
        <v>0</v>
      </c>
      <c r="DR620" s="67">
        <v>0</v>
      </c>
      <c r="DS620" s="67"/>
      <c r="DT620" s="67"/>
      <c r="DU620" s="67">
        <v>0</v>
      </c>
      <c r="DV620" s="67">
        <v>0</v>
      </c>
      <c r="DW620" s="67">
        <v>0</v>
      </c>
      <c r="DX620" s="67">
        <v>0</v>
      </c>
      <c r="DY620" s="67"/>
      <c r="DZ620" s="67">
        <v>0</v>
      </c>
      <c r="EA620" s="67"/>
      <c r="EB620" s="67">
        <v>0</v>
      </c>
      <c r="EC620" s="67"/>
      <c r="ED620" s="67">
        <v>0</v>
      </c>
      <c r="EE620" s="67"/>
      <c r="EF620" s="67">
        <v>0</v>
      </c>
      <c r="EG620" s="67"/>
      <c r="EH620" s="67"/>
      <c r="EI620" s="67"/>
      <c r="EJ620" s="67"/>
      <c r="EK620" s="67"/>
      <c r="EL620" s="67"/>
      <c r="EM620" s="67"/>
      <c r="EN620" s="67"/>
      <c r="EO620" s="67"/>
      <c r="EP620" s="67">
        <v>0</v>
      </c>
      <c r="EQ620" s="67">
        <v>0</v>
      </c>
      <c r="ER620" s="67">
        <v>0</v>
      </c>
      <c r="ES620" s="67"/>
      <c r="EX620" s="67"/>
      <c r="EY620" s="67"/>
      <c r="EZ620" s="67"/>
      <c r="FA620" s="67">
        <v>0</v>
      </c>
      <c r="FB620" s="67"/>
      <c r="FC620" s="67"/>
      <c r="FD620" s="67"/>
      <c r="FE620" s="67"/>
      <c r="FF620" s="67"/>
      <c r="FG620" s="67"/>
      <c r="FH620" s="67"/>
      <c r="FI620" s="67" t="s">
        <v>1736</v>
      </c>
    </row>
    <row r="621" spans="2:165" x14ac:dyDescent="0.2">
      <c r="B621" s="67"/>
      <c r="C621" s="67" t="s">
        <v>1762</v>
      </c>
      <c r="D621" s="67" t="s">
        <v>1558</v>
      </c>
      <c r="E621" s="67"/>
      <c r="F621" s="67"/>
      <c r="G621" s="67"/>
      <c r="H621" s="67"/>
      <c r="I621" s="67"/>
      <c r="J621" s="67"/>
      <c r="K621" s="67" t="s">
        <v>1559</v>
      </c>
      <c r="L621" s="67"/>
      <c r="M621" s="67"/>
      <c r="N621" s="67"/>
      <c r="O621" s="67"/>
      <c r="P621" s="67"/>
      <c r="Q621" s="67">
        <v>1200</v>
      </c>
      <c r="R621" s="67">
        <v>0</v>
      </c>
      <c r="S621" s="67">
        <v>0</v>
      </c>
      <c r="T621" s="67">
        <v>0</v>
      </c>
      <c r="U621" s="67">
        <v>0</v>
      </c>
      <c r="V621" s="67">
        <v>0</v>
      </c>
      <c r="W621" s="67">
        <v>0</v>
      </c>
      <c r="X621" s="67">
        <v>0</v>
      </c>
      <c r="Y621" s="67">
        <v>0</v>
      </c>
      <c r="Z621" s="67">
        <v>0</v>
      </c>
      <c r="AA621" s="67">
        <v>0</v>
      </c>
      <c r="AB621" s="67">
        <v>0</v>
      </c>
      <c r="AC621" s="67">
        <v>0</v>
      </c>
      <c r="AD621" s="67">
        <v>0</v>
      </c>
      <c r="AE621" s="67">
        <v>0</v>
      </c>
      <c r="AF621" s="67">
        <v>0</v>
      </c>
      <c r="AG621" s="67">
        <v>0</v>
      </c>
      <c r="AH621" s="67">
        <v>0</v>
      </c>
      <c r="AI621" s="67">
        <v>0</v>
      </c>
      <c r="AJ621" s="67">
        <v>0</v>
      </c>
      <c r="AK621" s="67">
        <v>0</v>
      </c>
      <c r="AL621" s="67">
        <v>0</v>
      </c>
      <c r="AM621" s="67">
        <v>1200</v>
      </c>
      <c r="AN621" s="67">
        <v>0</v>
      </c>
      <c r="AO621" s="67">
        <v>0</v>
      </c>
      <c r="AP621" s="67">
        <v>0</v>
      </c>
      <c r="AQ621" s="67">
        <v>0</v>
      </c>
      <c r="AR621" s="67">
        <v>0</v>
      </c>
      <c r="AS621" s="67">
        <v>0</v>
      </c>
      <c r="AT621" s="67"/>
      <c r="AU621" s="67"/>
      <c r="AV621" s="67"/>
      <c r="AW621" s="67">
        <v>0</v>
      </c>
      <c r="AX621" s="67">
        <v>0</v>
      </c>
      <c r="AY621" s="67"/>
      <c r="AZ621" s="67"/>
      <c r="BA621" s="67"/>
      <c r="BB621" s="67"/>
      <c r="BC621" s="67"/>
      <c r="BD621" s="67"/>
      <c r="BE621" s="67"/>
      <c r="BG621" s="67"/>
      <c r="BH621" s="67"/>
      <c r="BI621" s="67"/>
      <c r="BJ621" s="67">
        <v>0</v>
      </c>
      <c r="BK621" s="67"/>
      <c r="BL621" s="67"/>
      <c r="BP621" s="67"/>
      <c r="BQ621" s="67">
        <v>0</v>
      </c>
      <c r="BR621" s="67"/>
      <c r="BS621" s="67"/>
      <c r="BT621" s="67">
        <v>0</v>
      </c>
      <c r="BU621" s="67">
        <v>0</v>
      </c>
      <c r="BV621" s="67"/>
      <c r="BW621" s="67"/>
      <c r="BX621" s="67">
        <v>0</v>
      </c>
      <c r="BY621" s="67"/>
      <c r="BZ621" s="67"/>
      <c r="CA621" s="67"/>
      <c r="CB621" s="67"/>
      <c r="CC621" s="67"/>
      <c r="CD621" s="67"/>
      <c r="CE621" s="67">
        <v>0</v>
      </c>
      <c r="CF621" s="67"/>
      <c r="CG621" s="67"/>
      <c r="CH621" s="67"/>
      <c r="CI621" s="67"/>
      <c r="CJ621" s="67"/>
      <c r="CK621" s="67">
        <v>0</v>
      </c>
      <c r="CL621" s="67"/>
      <c r="CM621" s="67"/>
      <c r="CN621" s="67"/>
      <c r="CO621" s="67">
        <v>0</v>
      </c>
      <c r="CP621" s="67"/>
      <c r="CQ621" s="67"/>
      <c r="CR621" s="67"/>
      <c r="CS621" s="67"/>
      <c r="CT621" s="67"/>
      <c r="CU621" s="67">
        <v>0</v>
      </c>
      <c r="CV621" s="67"/>
      <c r="CW621" s="67"/>
      <c r="CX621" s="67"/>
      <c r="CY621" s="67">
        <v>0</v>
      </c>
      <c r="CZ621" s="67"/>
      <c r="DA621" s="67"/>
      <c r="DB621" s="67"/>
      <c r="DC621" s="67"/>
      <c r="DF621" s="67"/>
      <c r="DG621" s="67">
        <v>0</v>
      </c>
      <c r="DH621" s="67">
        <v>0</v>
      </c>
      <c r="DI621" s="67">
        <v>0</v>
      </c>
      <c r="DJ621" s="67"/>
      <c r="DK621" s="67">
        <v>0</v>
      </c>
      <c r="DL621" s="67">
        <v>0</v>
      </c>
      <c r="DM621" s="67"/>
      <c r="DN621" s="67"/>
      <c r="DO621" s="67"/>
      <c r="DP621" s="67"/>
      <c r="DQ621" s="67">
        <v>0</v>
      </c>
      <c r="DR621" s="67">
        <v>0</v>
      </c>
      <c r="DS621" s="67"/>
      <c r="DT621" s="67"/>
      <c r="DU621" s="67">
        <v>0</v>
      </c>
      <c r="DV621" s="67">
        <v>0</v>
      </c>
      <c r="DW621" s="67">
        <v>0</v>
      </c>
      <c r="DX621" s="67">
        <v>0</v>
      </c>
      <c r="DY621" s="67"/>
      <c r="DZ621" s="67">
        <v>0</v>
      </c>
      <c r="EA621" s="67"/>
      <c r="EB621" s="67">
        <v>0</v>
      </c>
      <c r="EC621" s="67"/>
      <c r="ED621" s="67">
        <v>0</v>
      </c>
      <c r="EE621" s="67"/>
      <c r="EF621" s="67">
        <v>0</v>
      </c>
      <c r="EG621" s="67"/>
      <c r="EH621" s="67"/>
      <c r="EI621" s="67"/>
      <c r="EJ621" s="67"/>
      <c r="EK621" s="67"/>
      <c r="EL621" s="67"/>
      <c r="EM621" s="67"/>
      <c r="EN621" s="67"/>
      <c r="EO621" s="67"/>
      <c r="EP621" s="67">
        <v>0</v>
      </c>
      <c r="EQ621" s="67">
        <v>0</v>
      </c>
      <c r="ER621" s="67">
        <v>0</v>
      </c>
      <c r="ES621" s="67"/>
      <c r="EX621" s="67"/>
      <c r="EY621" s="67"/>
      <c r="EZ621" s="67"/>
      <c r="FA621" s="67">
        <v>1200</v>
      </c>
      <c r="FB621" s="67"/>
      <c r="FC621" s="67"/>
      <c r="FD621" s="67"/>
      <c r="FE621" s="67"/>
      <c r="FF621" s="67"/>
      <c r="FG621" s="67"/>
      <c r="FH621" s="67"/>
      <c r="FI621" s="67" t="s">
        <v>1736</v>
      </c>
    </row>
    <row r="622" spans="2:165" x14ac:dyDescent="0.2">
      <c r="B622" s="67"/>
      <c r="C622" s="67" t="s">
        <v>1763</v>
      </c>
      <c r="D622" s="67" t="s">
        <v>1560</v>
      </c>
      <c r="E622" s="67"/>
      <c r="F622" s="67"/>
      <c r="G622" s="67"/>
      <c r="H622" s="67"/>
      <c r="I622" s="67"/>
      <c r="J622" s="67"/>
      <c r="K622" s="67"/>
      <c r="L622" s="67"/>
      <c r="M622" s="67"/>
      <c r="N622" s="67"/>
      <c r="O622" s="67"/>
      <c r="P622" s="67"/>
      <c r="Q622" s="67">
        <v>400</v>
      </c>
      <c r="R622" s="67">
        <v>0</v>
      </c>
      <c r="S622" s="67">
        <v>0</v>
      </c>
      <c r="T622" s="67">
        <v>0</v>
      </c>
      <c r="U622" s="67">
        <v>0</v>
      </c>
      <c r="V622" s="67">
        <v>0</v>
      </c>
      <c r="W622" s="67">
        <v>0</v>
      </c>
      <c r="X622" s="67">
        <v>0</v>
      </c>
      <c r="Y622" s="67">
        <v>0</v>
      </c>
      <c r="Z622" s="67">
        <v>0</v>
      </c>
      <c r="AA622" s="67">
        <v>0</v>
      </c>
      <c r="AB622" s="67">
        <v>0</v>
      </c>
      <c r="AC622" s="67">
        <v>0</v>
      </c>
      <c r="AD622" s="67">
        <v>0</v>
      </c>
      <c r="AE622" s="67">
        <v>0</v>
      </c>
      <c r="AF622" s="67">
        <v>0</v>
      </c>
      <c r="AG622" s="67">
        <v>400</v>
      </c>
      <c r="AH622" s="67">
        <v>0</v>
      </c>
      <c r="AI622" s="67">
        <v>0</v>
      </c>
      <c r="AJ622" s="67">
        <v>0</v>
      </c>
      <c r="AK622" s="67">
        <v>0</v>
      </c>
      <c r="AL622" s="67">
        <v>0</v>
      </c>
      <c r="AM622" s="67">
        <v>0</v>
      </c>
      <c r="AN622" s="67">
        <v>0</v>
      </c>
      <c r="AO622" s="67">
        <v>0</v>
      </c>
      <c r="AP622" s="67">
        <v>0</v>
      </c>
      <c r="AQ622" s="67">
        <v>0</v>
      </c>
      <c r="AR622" s="67">
        <v>0</v>
      </c>
      <c r="AS622" s="67">
        <v>0</v>
      </c>
      <c r="AT622" s="67"/>
      <c r="AU622" s="67"/>
      <c r="AV622" s="67"/>
      <c r="AW622" s="67">
        <v>0</v>
      </c>
      <c r="AX622" s="67">
        <v>0</v>
      </c>
      <c r="AY622" s="67"/>
      <c r="AZ622" s="67"/>
      <c r="BA622" s="67"/>
      <c r="BB622" s="67"/>
      <c r="BC622" s="67"/>
      <c r="BD622" s="67"/>
      <c r="BE622" s="67"/>
      <c r="BG622" s="67"/>
      <c r="BH622" s="67"/>
      <c r="BI622" s="67"/>
      <c r="BJ622" s="67">
        <v>0</v>
      </c>
      <c r="BK622" s="67"/>
      <c r="BL622" s="67"/>
      <c r="BP622" s="67"/>
      <c r="BQ622" s="67">
        <v>0</v>
      </c>
      <c r="BR622" s="67"/>
      <c r="BS622" s="67"/>
      <c r="BT622" s="67">
        <v>0</v>
      </c>
      <c r="BU622" s="67">
        <v>0</v>
      </c>
      <c r="BV622" s="67"/>
      <c r="BW622" s="67"/>
      <c r="BX622" s="67">
        <v>0</v>
      </c>
      <c r="BY622" s="67"/>
      <c r="BZ622" s="67"/>
      <c r="CA622" s="67"/>
      <c r="CB622" s="67"/>
      <c r="CC622" s="67"/>
      <c r="CD622" s="67"/>
      <c r="CE622" s="67">
        <v>0</v>
      </c>
      <c r="CF622" s="67"/>
      <c r="CG622" s="67"/>
      <c r="CH622" s="67"/>
      <c r="CI622" s="67"/>
      <c r="CJ622" s="67"/>
      <c r="CK622" s="67">
        <v>0</v>
      </c>
      <c r="CL622" s="67"/>
      <c r="CM622" s="67"/>
      <c r="CN622" s="67"/>
      <c r="CO622" s="67">
        <v>0</v>
      </c>
      <c r="CP622" s="67"/>
      <c r="CQ622" s="67"/>
      <c r="CR622" s="67"/>
      <c r="CS622" s="67"/>
      <c r="CT622" s="67"/>
      <c r="CU622" s="67">
        <v>0</v>
      </c>
      <c r="CV622" s="67"/>
      <c r="CW622" s="67"/>
      <c r="CX622" s="67"/>
      <c r="CY622" s="67">
        <v>0</v>
      </c>
      <c r="CZ622" s="67"/>
      <c r="DA622" s="67"/>
      <c r="DB622" s="67"/>
      <c r="DC622" s="67"/>
      <c r="DF622" s="67"/>
      <c r="DG622" s="67">
        <v>0</v>
      </c>
      <c r="DH622" s="67">
        <v>0</v>
      </c>
      <c r="DI622" s="67">
        <v>0</v>
      </c>
      <c r="DJ622" s="67"/>
      <c r="DK622" s="67">
        <v>0</v>
      </c>
      <c r="DL622" s="67">
        <v>0</v>
      </c>
      <c r="DM622" s="67"/>
      <c r="DN622" s="67"/>
      <c r="DO622" s="67"/>
      <c r="DP622" s="67"/>
      <c r="DQ622" s="67">
        <v>0</v>
      </c>
      <c r="DR622" s="67">
        <v>0</v>
      </c>
      <c r="DS622" s="67"/>
      <c r="DT622" s="67"/>
      <c r="DU622" s="67">
        <v>0</v>
      </c>
      <c r="DV622" s="67">
        <v>0</v>
      </c>
      <c r="DW622" s="67">
        <v>0</v>
      </c>
      <c r="DX622" s="67">
        <v>0</v>
      </c>
      <c r="DY622" s="67"/>
      <c r="DZ622" s="67">
        <v>0</v>
      </c>
      <c r="EA622" s="67"/>
      <c r="EB622" s="67">
        <v>0</v>
      </c>
      <c r="EC622" s="67"/>
      <c r="ED622" s="67">
        <v>0</v>
      </c>
      <c r="EE622" s="67"/>
      <c r="EF622" s="67">
        <v>0</v>
      </c>
      <c r="EG622" s="67"/>
      <c r="EH622" s="67"/>
      <c r="EI622" s="67"/>
      <c r="EJ622" s="67"/>
      <c r="EK622" s="67"/>
      <c r="EL622" s="67"/>
      <c r="EM622" s="67"/>
      <c r="EN622" s="67"/>
      <c r="EO622" s="67"/>
      <c r="EP622" s="67">
        <v>0</v>
      </c>
      <c r="EQ622" s="67">
        <v>0</v>
      </c>
      <c r="ER622" s="67">
        <v>0</v>
      </c>
      <c r="ES622" s="67"/>
      <c r="EX622" s="67"/>
      <c r="EY622" s="67"/>
      <c r="EZ622" s="67"/>
      <c r="FA622" s="67">
        <v>400</v>
      </c>
      <c r="FB622" s="67"/>
      <c r="FC622" s="67"/>
      <c r="FD622" s="67"/>
      <c r="FE622" s="67"/>
      <c r="FF622" s="67"/>
      <c r="FG622" s="67"/>
      <c r="FH622" s="67"/>
      <c r="FI622" s="67" t="s">
        <v>1736</v>
      </c>
    </row>
    <row r="623" spans="2:165" x14ac:dyDescent="0.2">
      <c r="B623" s="67"/>
      <c r="C623" s="67" t="s">
        <v>1764</v>
      </c>
      <c r="D623" s="67" t="s">
        <v>1561</v>
      </c>
      <c r="E623" s="67"/>
      <c r="F623" s="67"/>
      <c r="G623" s="67"/>
      <c r="H623" s="67"/>
      <c r="I623" s="67"/>
      <c r="J623" s="67"/>
      <c r="K623" s="67" t="s">
        <v>771</v>
      </c>
      <c r="L623" s="67"/>
      <c r="M623" s="67"/>
      <c r="N623" s="67"/>
      <c r="O623" s="67"/>
      <c r="P623" s="67"/>
      <c r="Q623" s="67">
        <v>600</v>
      </c>
      <c r="R623" s="67">
        <v>0</v>
      </c>
      <c r="S623" s="67">
        <v>0</v>
      </c>
      <c r="T623" s="67">
        <v>0</v>
      </c>
      <c r="U623" s="67">
        <v>0</v>
      </c>
      <c r="V623" s="67">
        <v>0</v>
      </c>
      <c r="W623" s="67">
        <v>0</v>
      </c>
      <c r="X623" s="67">
        <v>0</v>
      </c>
      <c r="Y623" s="67">
        <v>0</v>
      </c>
      <c r="Z623" s="67">
        <v>0</v>
      </c>
      <c r="AA623" s="67">
        <v>0</v>
      </c>
      <c r="AB623" s="67">
        <v>0</v>
      </c>
      <c r="AC623" s="67">
        <v>0</v>
      </c>
      <c r="AD623" s="67">
        <v>0</v>
      </c>
      <c r="AE623" s="67">
        <v>0</v>
      </c>
      <c r="AF623" s="67">
        <v>0</v>
      </c>
      <c r="AG623" s="67">
        <v>600</v>
      </c>
      <c r="AH623" s="67">
        <v>0</v>
      </c>
      <c r="AI623" s="67">
        <v>0</v>
      </c>
      <c r="AJ623" s="67">
        <v>0</v>
      </c>
      <c r="AK623" s="67">
        <v>0</v>
      </c>
      <c r="AL623" s="67">
        <v>0</v>
      </c>
      <c r="AM623" s="67">
        <v>0</v>
      </c>
      <c r="AN623" s="67">
        <v>0</v>
      </c>
      <c r="AO623" s="67">
        <v>0</v>
      </c>
      <c r="AP623" s="67">
        <v>0</v>
      </c>
      <c r="AQ623" s="67">
        <v>0</v>
      </c>
      <c r="AR623" s="67">
        <v>0</v>
      </c>
      <c r="AS623" s="67">
        <v>0</v>
      </c>
      <c r="AT623" s="67"/>
      <c r="AU623" s="67"/>
      <c r="AV623" s="67"/>
      <c r="AW623" s="67">
        <v>0</v>
      </c>
      <c r="AX623" s="67">
        <v>0</v>
      </c>
      <c r="AY623" s="67"/>
      <c r="AZ623" s="67"/>
      <c r="BA623" s="67"/>
      <c r="BB623" s="67"/>
      <c r="BC623" s="67"/>
      <c r="BD623" s="67"/>
      <c r="BE623" s="67"/>
      <c r="BG623" s="67"/>
      <c r="BH623" s="67"/>
      <c r="BI623" s="67"/>
      <c r="BJ623" s="67">
        <v>0</v>
      </c>
      <c r="BK623" s="67"/>
      <c r="BL623" s="67"/>
      <c r="BP623" s="67"/>
      <c r="BQ623" s="67">
        <v>0</v>
      </c>
      <c r="BR623" s="67"/>
      <c r="BS623" s="67"/>
      <c r="BT623" s="67">
        <v>0</v>
      </c>
      <c r="BU623" s="67">
        <v>0</v>
      </c>
      <c r="BV623" s="67"/>
      <c r="BW623" s="67"/>
      <c r="BX623" s="67">
        <v>0</v>
      </c>
      <c r="BY623" s="67"/>
      <c r="BZ623" s="67"/>
      <c r="CA623" s="67"/>
      <c r="CB623" s="67"/>
      <c r="CC623" s="67"/>
      <c r="CD623" s="67"/>
      <c r="CE623" s="67">
        <v>0</v>
      </c>
      <c r="CF623" s="67"/>
      <c r="CG623" s="67"/>
      <c r="CH623" s="67"/>
      <c r="CI623" s="67"/>
      <c r="CJ623" s="67"/>
      <c r="CK623" s="67">
        <v>0</v>
      </c>
      <c r="CL623" s="67"/>
      <c r="CM623" s="67"/>
      <c r="CN623" s="67"/>
      <c r="CO623" s="67">
        <v>0</v>
      </c>
      <c r="CP623" s="67"/>
      <c r="CQ623" s="67"/>
      <c r="CR623" s="67"/>
      <c r="CS623" s="67"/>
      <c r="CT623" s="67"/>
      <c r="CU623" s="67">
        <v>0</v>
      </c>
      <c r="CV623" s="67"/>
      <c r="CW623" s="67"/>
      <c r="CX623" s="67"/>
      <c r="CY623" s="67">
        <v>0</v>
      </c>
      <c r="CZ623" s="67"/>
      <c r="DA623" s="67"/>
      <c r="DB623" s="67"/>
      <c r="DC623" s="67"/>
      <c r="DF623" s="67"/>
      <c r="DG623" s="67">
        <v>0</v>
      </c>
      <c r="DH623" s="67">
        <v>0</v>
      </c>
      <c r="DI623" s="67">
        <v>0</v>
      </c>
      <c r="DJ623" s="67"/>
      <c r="DK623" s="67">
        <v>0</v>
      </c>
      <c r="DL623" s="67">
        <v>0</v>
      </c>
      <c r="DM623" s="67"/>
      <c r="DN623" s="67"/>
      <c r="DO623" s="67"/>
      <c r="DP623" s="67"/>
      <c r="DQ623" s="67">
        <v>0</v>
      </c>
      <c r="DR623" s="67">
        <v>0</v>
      </c>
      <c r="DS623" s="67"/>
      <c r="DT623" s="67"/>
      <c r="DU623" s="67">
        <v>0</v>
      </c>
      <c r="DV623" s="67">
        <v>0</v>
      </c>
      <c r="DW623" s="67">
        <v>0</v>
      </c>
      <c r="DX623" s="67">
        <v>0</v>
      </c>
      <c r="DY623" s="67"/>
      <c r="DZ623" s="67">
        <v>0</v>
      </c>
      <c r="EA623" s="67"/>
      <c r="EB623" s="67">
        <v>0</v>
      </c>
      <c r="EC623" s="67"/>
      <c r="ED623" s="67">
        <v>0</v>
      </c>
      <c r="EE623" s="67"/>
      <c r="EF623" s="67">
        <v>0</v>
      </c>
      <c r="EG623" s="67"/>
      <c r="EH623" s="67"/>
      <c r="EI623" s="67"/>
      <c r="EJ623" s="67"/>
      <c r="EK623" s="67"/>
      <c r="EL623" s="67"/>
      <c r="EM623" s="67"/>
      <c r="EN623" s="67"/>
      <c r="EO623" s="67"/>
      <c r="EP623" s="67">
        <v>0</v>
      </c>
      <c r="EQ623" s="67">
        <v>0</v>
      </c>
      <c r="ER623" s="67">
        <v>0</v>
      </c>
      <c r="ES623" s="67"/>
      <c r="EX623" s="67"/>
      <c r="EY623" s="67"/>
      <c r="EZ623" s="67"/>
      <c r="FA623" s="67">
        <v>600</v>
      </c>
      <c r="FB623" s="67"/>
      <c r="FC623" s="67"/>
      <c r="FD623" s="67"/>
      <c r="FE623" s="67"/>
      <c r="FF623" s="67"/>
      <c r="FG623" s="67"/>
      <c r="FH623" s="67"/>
      <c r="FI623" s="67" t="s">
        <v>1736</v>
      </c>
    </row>
    <row r="624" spans="2:165" x14ac:dyDescent="0.2">
      <c r="B624" s="67"/>
      <c r="C624" s="67" t="s">
        <v>1765</v>
      </c>
      <c r="D624" s="67" t="s">
        <v>1562</v>
      </c>
      <c r="E624" s="67"/>
      <c r="F624" s="67"/>
      <c r="G624" s="67"/>
      <c r="H624" s="67"/>
      <c r="I624" s="67"/>
      <c r="J624" s="67"/>
      <c r="K624" s="67"/>
      <c r="L624" s="67"/>
      <c r="M624" s="67"/>
      <c r="N624" s="67"/>
      <c r="O624" s="67"/>
      <c r="P624" s="67"/>
      <c r="Q624" s="67">
        <v>0</v>
      </c>
      <c r="R624" s="67">
        <v>0</v>
      </c>
      <c r="S624" s="67">
        <v>0</v>
      </c>
      <c r="T624" s="67">
        <v>0</v>
      </c>
      <c r="U624" s="67">
        <v>0</v>
      </c>
      <c r="V624" s="67">
        <v>0</v>
      </c>
      <c r="W624" s="67">
        <v>0</v>
      </c>
      <c r="X624" s="67">
        <v>0</v>
      </c>
      <c r="Y624" s="67">
        <v>0</v>
      </c>
      <c r="Z624" s="67">
        <v>0</v>
      </c>
      <c r="AA624" s="67">
        <v>0</v>
      </c>
      <c r="AB624" s="67">
        <v>0</v>
      </c>
      <c r="AC624" s="67">
        <v>0</v>
      </c>
      <c r="AD624" s="67">
        <v>0</v>
      </c>
      <c r="AE624" s="67">
        <v>0</v>
      </c>
      <c r="AF624" s="67">
        <v>0</v>
      </c>
      <c r="AG624" s="67">
        <v>0</v>
      </c>
      <c r="AH624" s="67">
        <v>0</v>
      </c>
      <c r="AI624" s="67">
        <v>0</v>
      </c>
      <c r="AJ624" s="67">
        <v>0</v>
      </c>
      <c r="AK624" s="67">
        <v>0</v>
      </c>
      <c r="AL624" s="67">
        <v>0</v>
      </c>
      <c r="AM624" s="67">
        <v>0</v>
      </c>
      <c r="AN624" s="67">
        <v>0</v>
      </c>
      <c r="AO624" s="67">
        <v>0</v>
      </c>
      <c r="AP624" s="67">
        <v>0</v>
      </c>
      <c r="AQ624" s="67">
        <v>0</v>
      </c>
      <c r="AR624" s="67">
        <v>0</v>
      </c>
      <c r="AS624" s="67">
        <v>0</v>
      </c>
      <c r="AT624" s="67"/>
      <c r="AU624" s="67"/>
      <c r="AV624" s="67"/>
      <c r="AW624" s="67">
        <v>0</v>
      </c>
      <c r="AX624" s="67">
        <v>0</v>
      </c>
      <c r="AY624" s="67"/>
      <c r="AZ624" s="67"/>
      <c r="BA624" s="67"/>
      <c r="BB624" s="67"/>
      <c r="BC624" s="67"/>
      <c r="BD624" s="67"/>
      <c r="BE624" s="67"/>
      <c r="BG624" s="67"/>
      <c r="BH624" s="67"/>
      <c r="BI624" s="67"/>
      <c r="BJ624" s="67">
        <v>0</v>
      </c>
      <c r="BK624" s="67"/>
      <c r="BL624" s="67"/>
      <c r="BP624" s="67"/>
      <c r="BQ624" s="67">
        <v>0</v>
      </c>
      <c r="BR624" s="67"/>
      <c r="BS624" s="67"/>
      <c r="BT624" s="67">
        <v>0</v>
      </c>
      <c r="BU624" s="67">
        <v>0</v>
      </c>
      <c r="BV624" s="67"/>
      <c r="BW624" s="67"/>
      <c r="BX624" s="67">
        <v>0</v>
      </c>
      <c r="BY624" s="67"/>
      <c r="BZ624" s="67"/>
      <c r="CA624" s="67"/>
      <c r="CB624" s="67"/>
      <c r="CC624" s="67"/>
      <c r="CD624" s="67"/>
      <c r="CE624" s="67">
        <v>0</v>
      </c>
      <c r="CF624" s="67"/>
      <c r="CG624" s="67"/>
      <c r="CH624" s="67"/>
      <c r="CI624" s="67"/>
      <c r="CJ624" s="67"/>
      <c r="CK624" s="67">
        <v>0</v>
      </c>
      <c r="CL624" s="67"/>
      <c r="CM624" s="67"/>
      <c r="CN624" s="67"/>
      <c r="CO624" s="67">
        <v>0</v>
      </c>
      <c r="CP624" s="67"/>
      <c r="CQ624" s="67"/>
      <c r="CR624" s="67"/>
      <c r="CS624" s="67"/>
      <c r="CT624" s="67"/>
      <c r="CU624" s="67">
        <v>0</v>
      </c>
      <c r="CV624" s="67"/>
      <c r="CW624" s="67"/>
      <c r="CX624" s="67"/>
      <c r="CY624" s="67">
        <v>0</v>
      </c>
      <c r="CZ624" s="67"/>
      <c r="DA624" s="67"/>
      <c r="DB624" s="67"/>
      <c r="DC624" s="67"/>
      <c r="DF624" s="67"/>
      <c r="DG624" s="67">
        <v>0</v>
      </c>
      <c r="DH624" s="67">
        <v>0</v>
      </c>
      <c r="DI624" s="67">
        <v>0</v>
      </c>
      <c r="DJ624" s="67"/>
      <c r="DK624" s="67">
        <v>0</v>
      </c>
      <c r="DL624" s="67">
        <v>0</v>
      </c>
      <c r="DM624" s="67"/>
      <c r="DN624" s="67"/>
      <c r="DO624" s="67"/>
      <c r="DP624" s="67"/>
      <c r="DQ624" s="67">
        <v>0</v>
      </c>
      <c r="DR624" s="67">
        <v>0</v>
      </c>
      <c r="DS624" s="67"/>
      <c r="DT624" s="67"/>
      <c r="DU624" s="67">
        <v>0</v>
      </c>
      <c r="DV624" s="67">
        <v>0</v>
      </c>
      <c r="DW624" s="67">
        <v>0</v>
      </c>
      <c r="DX624" s="67">
        <v>0</v>
      </c>
      <c r="DY624" s="67"/>
      <c r="DZ624" s="67">
        <v>0</v>
      </c>
      <c r="EA624" s="67"/>
      <c r="EB624" s="67">
        <v>0</v>
      </c>
      <c r="EC624" s="67"/>
      <c r="ED624" s="67">
        <v>0</v>
      </c>
      <c r="EE624" s="67"/>
      <c r="EF624" s="67">
        <v>0</v>
      </c>
      <c r="EG624" s="67"/>
      <c r="EH624" s="67"/>
      <c r="EI624" s="67"/>
      <c r="EJ624" s="67"/>
      <c r="EK624" s="67"/>
      <c r="EL624" s="67"/>
      <c r="EM624" s="67"/>
      <c r="EN624" s="67"/>
      <c r="EO624" s="67"/>
      <c r="EP624" s="67">
        <v>0</v>
      </c>
      <c r="EQ624" s="67">
        <v>0</v>
      </c>
      <c r="ER624" s="67">
        <v>0</v>
      </c>
      <c r="ES624" s="67"/>
      <c r="EX624" s="67"/>
      <c r="EY624" s="67"/>
      <c r="EZ624" s="67"/>
      <c r="FA624" s="67">
        <v>0</v>
      </c>
      <c r="FB624" s="67"/>
      <c r="FC624" s="67"/>
      <c r="FD624" s="67"/>
      <c r="FE624" s="67"/>
      <c r="FF624" s="67"/>
      <c r="FG624" s="67"/>
      <c r="FH624" s="67"/>
      <c r="FI624" s="67" t="s">
        <v>1736</v>
      </c>
    </row>
    <row r="625" spans="2:165" x14ac:dyDescent="0.2">
      <c r="B625" s="67"/>
      <c r="C625" s="67" t="s">
        <v>1766</v>
      </c>
      <c r="D625" s="67" t="s">
        <v>1563</v>
      </c>
      <c r="E625" s="67"/>
      <c r="F625" s="67"/>
      <c r="G625" s="67"/>
      <c r="H625" s="67"/>
      <c r="I625" s="67"/>
      <c r="J625" s="67"/>
      <c r="K625" s="67" t="s">
        <v>771</v>
      </c>
      <c r="L625" s="67"/>
      <c r="M625" s="67"/>
      <c r="N625" s="67"/>
      <c r="O625" s="67"/>
      <c r="P625" s="67"/>
      <c r="Q625" s="67">
        <v>600</v>
      </c>
      <c r="R625" s="67">
        <v>0</v>
      </c>
      <c r="S625" s="67">
        <v>0</v>
      </c>
      <c r="T625" s="67">
        <v>0</v>
      </c>
      <c r="U625" s="67">
        <v>0</v>
      </c>
      <c r="V625" s="67">
        <v>0</v>
      </c>
      <c r="W625" s="67">
        <v>0</v>
      </c>
      <c r="X625" s="67">
        <v>0</v>
      </c>
      <c r="Y625" s="67">
        <v>0</v>
      </c>
      <c r="Z625" s="67">
        <v>0</v>
      </c>
      <c r="AA625" s="67">
        <v>0</v>
      </c>
      <c r="AB625" s="67">
        <v>0</v>
      </c>
      <c r="AC625" s="67">
        <v>0</v>
      </c>
      <c r="AD625" s="67">
        <v>0</v>
      </c>
      <c r="AE625" s="67">
        <v>0</v>
      </c>
      <c r="AF625" s="67">
        <v>0</v>
      </c>
      <c r="AG625" s="67">
        <v>600</v>
      </c>
      <c r="AH625" s="67">
        <v>0</v>
      </c>
      <c r="AI625" s="67">
        <v>0</v>
      </c>
      <c r="AJ625" s="67">
        <v>0</v>
      </c>
      <c r="AK625" s="67">
        <v>0</v>
      </c>
      <c r="AL625" s="67">
        <v>0</v>
      </c>
      <c r="AM625" s="67">
        <v>0</v>
      </c>
      <c r="AN625" s="67">
        <v>0</v>
      </c>
      <c r="AO625" s="67">
        <v>0</v>
      </c>
      <c r="AP625" s="67">
        <v>0</v>
      </c>
      <c r="AQ625" s="67">
        <v>0</v>
      </c>
      <c r="AR625" s="67">
        <v>0</v>
      </c>
      <c r="AS625" s="67">
        <v>0</v>
      </c>
      <c r="AT625" s="67"/>
      <c r="AU625" s="67"/>
      <c r="AV625" s="67"/>
      <c r="AW625" s="67">
        <v>0</v>
      </c>
      <c r="AX625" s="67">
        <v>0</v>
      </c>
      <c r="AY625" s="67"/>
      <c r="AZ625" s="67"/>
      <c r="BA625" s="67"/>
      <c r="BB625" s="67"/>
      <c r="BC625" s="67"/>
      <c r="BD625" s="67"/>
      <c r="BE625" s="67"/>
      <c r="BG625" s="67"/>
      <c r="BH625" s="67"/>
      <c r="BI625" s="67"/>
      <c r="BJ625" s="67">
        <v>0</v>
      </c>
      <c r="BK625" s="67"/>
      <c r="BL625" s="67"/>
      <c r="BP625" s="67"/>
      <c r="BQ625" s="67">
        <v>0</v>
      </c>
      <c r="BR625" s="67"/>
      <c r="BS625" s="67"/>
      <c r="BT625" s="67">
        <v>0</v>
      </c>
      <c r="BU625" s="67">
        <v>0</v>
      </c>
      <c r="BV625" s="67"/>
      <c r="BW625" s="67"/>
      <c r="BX625" s="67">
        <v>0</v>
      </c>
      <c r="BY625" s="67"/>
      <c r="BZ625" s="67"/>
      <c r="CA625" s="67"/>
      <c r="CB625" s="67"/>
      <c r="CC625" s="67"/>
      <c r="CD625" s="67"/>
      <c r="CE625" s="67">
        <v>0</v>
      </c>
      <c r="CF625" s="67"/>
      <c r="CG625" s="67"/>
      <c r="CH625" s="67"/>
      <c r="CI625" s="67"/>
      <c r="CJ625" s="67"/>
      <c r="CK625" s="67">
        <v>0</v>
      </c>
      <c r="CL625" s="67"/>
      <c r="CM625" s="67"/>
      <c r="CN625" s="67"/>
      <c r="CO625" s="67">
        <v>0</v>
      </c>
      <c r="CP625" s="67"/>
      <c r="CQ625" s="67"/>
      <c r="CR625" s="67"/>
      <c r="CS625" s="67"/>
      <c r="CT625" s="67"/>
      <c r="CU625" s="67">
        <v>0</v>
      </c>
      <c r="CV625" s="67"/>
      <c r="CW625" s="67"/>
      <c r="CX625" s="67"/>
      <c r="CY625" s="67">
        <v>0</v>
      </c>
      <c r="CZ625" s="67"/>
      <c r="DA625" s="67"/>
      <c r="DB625" s="67"/>
      <c r="DC625" s="67"/>
      <c r="DF625" s="67"/>
      <c r="DG625" s="67">
        <v>0</v>
      </c>
      <c r="DH625" s="67">
        <v>0</v>
      </c>
      <c r="DI625" s="67">
        <v>0</v>
      </c>
      <c r="DJ625" s="67"/>
      <c r="DK625" s="67">
        <v>0</v>
      </c>
      <c r="DL625" s="67">
        <v>0</v>
      </c>
      <c r="DM625" s="67"/>
      <c r="DN625" s="67"/>
      <c r="DO625" s="67"/>
      <c r="DP625" s="67"/>
      <c r="DQ625" s="67">
        <v>0</v>
      </c>
      <c r="DR625" s="67">
        <v>0</v>
      </c>
      <c r="DS625" s="67"/>
      <c r="DT625" s="67"/>
      <c r="DU625" s="67">
        <v>0</v>
      </c>
      <c r="DV625" s="67">
        <v>0</v>
      </c>
      <c r="DW625" s="67">
        <v>0</v>
      </c>
      <c r="DX625" s="67">
        <v>0</v>
      </c>
      <c r="DY625" s="67"/>
      <c r="DZ625" s="67">
        <v>0</v>
      </c>
      <c r="EA625" s="67"/>
      <c r="EB625" s="67">
        <v>0</v>
      </c>
      <c r="EC625" s="67"/>
      <c r="ED625" s="67">
        <v>0</v>
      </c>
      <c r="EE625" s="67"/>
      <c r="EF625" s="67">
        <v>0</v>
      </c>
      <c r="EG625" s="67"/>
      <c r="EH625" s="67"/>
      <c r="EI625" s="67"/>
      <c r="EJ625" s="67"/>
      <c r="EK625" s="67"/>
      <c r="EL625" s="67"/>
      <c r="EM625" s="67"/>
      <c r="EN625" s="67"/>
      <c r="EO625" s="67"/>
      <c r="EP625" s="67">
        <v>0</v>
      </c>
      <c r="EQ625" s="67">
        <v>0</v>
      </c>
      <c r="ER625" s="67">
        <v>0</v>
      </c>
      <c r="ES625" s="67"/>
      <c r="EX625" s="67"/>
      <c r="EY625" s="67"/>
      <c r="EZ625" s="67"/>
      <c r="FA625" s="67">
        <v>600</v>
      </c>
      <c r="FB625" s="67"/>
      <c r="FC625" s="67"/>
      <c r="FD625" s="67"/>
      <c r="FE625" s="67"/>
      <c r="FF625" s="67"/>
      <c r="FG625" s="67"/>
      <c r="FH625" s="67"/>
      <c r="FI625" s="67" t="s">
        <v>1736</v>
      </c>
    </row>
    <row r="626" spans="2:165" x14ac:dyDescent="0.2">
      <c r="B626" s="67"/>
      <c r="C626" s="67" t="s">
        <v>1767</v>
      </c>
      <c r="D626" s="67" t="s">
        <v>1564</v>
      </c>
      <c r="E626" s="67"/>
      <c r="F626" s="67"/>
      <c r="G626" s="67"/>
      <c r="H626" s="67"/>
      <c r="I626" s="67"/>
      <c r="J626" s="67"/>
      <c r="K626" s="67" t="s">
        <v>1559</v>
      </c>
      <c r="L626" s="67"/>
      <c r="M626" s="67"/>
      <c r="N626" s="67"/>
      <c r="O626" s="67"/>
      <c r="P626" s="67"/>
      <c r="Q626" s="67">
        <v>400</v>
      </c>
      <c r="R626" s="67">
        <v>0</v>
      </c>
      <c r="S626" s="67">
        <v>0</v>
      </c>
      <c r="T626" s="67">
        <v>0</v>
      </c>
      <c r="U626" s="67">
        <v>0</v>
      </c>
      <c r="V626" s="67">
        <v>0</v>
      </c>
      <c r="W626" s="67">
        <v>0</v>
      </c>
      <c r="X626" s="67">
        <v>0</v>
      </c>
      <c r="Y626" s="67">
        <v>0</v>
      </c>
      <c r="Z626" s="67">
        <v>0</v>
      </c>
      <c r="AA626" s="67">
        <v>0</v>
      </c>
      <c r="AB626" s="67">
        <v>0</v>
      </c>
      <c r="AC626" s="67">
        <v>0</v>
      </c>
      <c r="AD626" s="67">
        <v>0</v>
      </c>
      <c r="AE626" s="67">
        <v>0</v>
      </c>
      <c r="AF626" s="67">
        <v>0</v>
      </c>
      <c r="AG626" s="67">
        <v>400</v>
      </c>
      <c r="AH626" s="67">
        <v>0</v>
      </c>
      <c r="AI626" s="67">
        <v>0</v>
      </c>
      <c r="AJ626" s="67">
        <v>0</v>
      </c>
      <c r="AK626" s="67">
        <v>0</v>
      </c>
      <c r="AL626" s="67">
        <v>0</v>
      </c>
      <c r="AM626" s="67">
        <v>0</v>
      </c>
      <c r="AN626" s="67">
        <v>0</v>
      </c>
      <c r="AO626" s="67">
        <v>0</v>
      </c>
      <c r="AP626" s="67">
        <v>0</v>
      </c>
      <c r="AQ626" s="67">
        <v>0</v>
      </c>
      <c r="AR626" s="67">
        <v>0</v>
      </c>
      <c r="AS626" s="67">
        <v>0</v>
      </c>
      <c r="AT626" s="67"/>
      <c r="AU626" s="67"/>
      <c r="AV626" s="67"/>
      <c r="AW626" s="67">
        <v>0</v>
      </c>
      <c r="AX626" s="67">
        <v>0</v>
      </c>
      <c r="AY626" s="67"/>
      <c r="AZ626" s="67"/>
      <c r="BA626" s="67"/>
      <c r="BB626" s="67"/>
      <c r="BC626" s="67"/>
      <c r="BD626" s="67"/>
      <c r="BE626" s="67"/>
      <c r="BG626" s="67"/>
      <c r="BH626" s="67"/>
      <c r="BI626" s="67"/>
      <c r="BJ626" s="67">
        <v>0</v>
      </c>
      <c r="BK626" s="67"/>
      <c r="BL626" s="67"/>
      <c r="BP626" s="67"/>
      <c r="BQ626" s="67">
        <v>0</v>
      </c>
      <c r="BR626" s="67"/>
      <c r="BS626" s="67"/>
      <c r="BT626" s="67">
        <v>0</v>
      </c>
      <c r="BU626" s="67">
        <v>0</v>
      </c>
      <c r="BV626" s="67"/>
      <c r="BW626" s="67"/>
      <c r="BX626" s="67">
        <v>0</v>
      </c>
      <c r="BY626" s="67"/>
      <c r="BZ626" s="67"/>
      <c r="CA626" s="67"/>
      <c r="CB626" s="67"/>
      <c r="CC626" s="67"/>
      <c r="CD626" s="67"/>
      <c r="CE626" s="67">
        <v>0</v>
      </c>
      <c r="CF626" s="67"/>
      <c r="CG626" s="67"/>
      <c r="CH626" s="67"/>
      <c r="CI626" s="67"/>
      <c r="CJ626" s="67"/>
      <c r="CK626" s="67">
        <v>0</v>
      </c>
      <c r="CL626" s="67"/>
      <c r="CM626" s="67"/>
      <c r="CN626" s="67"/>
      <c r="CO626" s="67">
        <v>0</v>
      </c>
      <c r="CP626" s="67"/>
      <c r="CQ626" s="67"/>
      <c r="CR626" s="67"/>
      <c r="CS626" s="67"/>
      <c r="CT626" s="67"/>
      <c r="CU626" s="67">
        <v>0</v>
      </c>
      <c r="CV626" s="67"/>
      <c r="CW626" s="67"/>
      <c r="CX626" s="67"/>
      <c r="CY626" s="67">
        <v>0</v>
      </c>
      <c r="CZ626" s="67"/>
      <c r="DA626" s="67"/>
      <c r="DB626" s="67"/>
      <c r="DC626" s="67"/>
      <c r="DF626" s="67"/>
      <c r="DG626" s="67">
        <v>0</v>
      </c>
      <c r="DH626" s="67">
        <v>0</v>
      </c>
      <c r="DI626" s="67">
        <v>0</v>
      </c>
      <c r="DJ626" s="67"/>
      <c r="DK626" s="67">
        <v>0</v>
      </c>
      <c r="DL626" s="67">
        <v>0</v>
      </c>
      <c r="DM626" s="67"/>
      <c r="DN626" s="67"/>
      <c r="DO626" s="67"/>
      <c r="DP626" s="67"/>
      <c r="DQ626" s="67">
        <v>0</v>
      </c>
      <c r="DR626" s="67">
        <v>0</v>
      </c>
      <c r="DS626" s="67"/>
      <c r="DT626" s="67"/>
      <c r="DU626" s="67">
        <v>0</v>
      </c>
      <c r="DV626" s="67">
        <v>0</v>
      </c>
      <c r="DW626" s="67">
        <v>0</v>
      </c>
      <c r="DX626" s="67">
        <v>0</v>
      </c>
      <c r="DY626" s="67"/>
      <c r="DZ626" s="67">
        <v>0</v>
      </c>
      <c r="EA626" s="67"/>
      <c r="EB626" s="67">
        <v>0</v>
      </c>
      <c r="EC626" s="67"/>
      <c r="ED626" s="67">
        <v>0</v>
      </c>
      <c r="EE626" s="67"/>
      <c r="EF626" s="67">
        <v>0</v>
      </c>
      <c r="EG626" s="67"/>
      <c r="EH626" s="67"/>
      <c r="EI626" s="67"/>
      <c r="EJ626" s="67"/>
      <c r="EK626" s="67"/>
      <c r="EL626" s="67"/>
      <c r="EM626" s="67"/>
      <c r="EN626" s="67"/>
      <c r="EO626" s="67"/>
      <c r="EP626" s="67">
        <v>0</v>
      </c>
      <c r="EQ626" s="67">
        <v>0</v>
      </c>
      <c r="ER626" s="67">
        <v>0</v>
      </c>
      <c r="ES626" s="67"/>
      <c r="EX626" s="67"/>
      <c r="EY626" s="67"/>
      <c r="EZ626" s="67"/>
      <c r="FA626" s="67">
        <v>400</v>
      </c>
      <c r="FB626" s="67"/>
      <c r="FC626" s="67"/>
      <c r="FD626" s="67"/>
      <c r="FE626" s="67"/>
      <c r="FF626" s="67"/>
      <c r="FG626" s="67"/>
      <c r="FH626" s="67"/>
      <c r="FI626" s="67" t="s">
        <v>1736</v>
      </c>
    </row>
    <row r="627" spans="2:165" x14ac:dyDescent="0.2">
      <c r="B627" s="67"/>
      <c r="C627" s="67" t="s">
        <v>1768</v>
      </c>
      <c r="D627" s="67" t="s">
        <v>1565</v>
      </c>
      <c r="E627" s="67"/>
      <c r="F627" s="67"/>
      <c r="G627" s="67"/>
      <c r="H627" s="67"/>
      <c r="I627" s="67"/>
      <c r="J627" s="67"/>
      <c r="K627" s="67"/>
      <c r="L627" s="67"/>
      <c r="M627" s="67"/>
      <c r="N627" s="67"/>
      <c r="O627" s="67"/>
      <c r="P627" s="67"/>
      <c r="Q627" s="67">
        <v>0</v>
      </c>
      <c r="R627" s="67">
        <v>0</v>
      </c>
      <c r="S627" s="67">
        <v>0</v>
      </c>
      <c r="T627" s="67">
        <v>0</v>
      </c>
      <c r="U627" s="67">
        <v>0</v>
      </c>
      <c r="V627" s="67">
        <v>0</v>
      </c>
      <c r="W627" s="67">
        <v>0</v>
      </c>
      <c r="X627" s="67">
        <v>0</v>
      </c>
      <c r="Y627" s="67">
        <v>0</v>
      </c>
      <c r="Z627" s="67">
        <v>0</v>
      </c>
      <c r="AA627" s="67">
        <v>0</v>
      </c>
      <c r="AB627" s="67">
        <v>0</v>
      </c>
      <c r="AC627" s="67">
        <v>0</v>
      </c>
      <c r="AD627" s="67">
        <v>0</v>
      </c>
      <c r="AE627" s="67">
        <v>0</v>
      </c>
      <c r="AF627" s="67">
        <v>0</v>
      </c>
      <c r="AG627" s="67">
        <v>0</v>
      </c>
      <c r="AH627" s="67">
        <v>0</v>
      </c>
      <c r="AI627" s="67">
        <v>0</v>
      </c>
      <c r="AJ627" s="67">
        <v>0</v>
      </c>
      <c r="AK627" s="67">
        <v>0</v>
      </c>
      <c r="AL627" s="67">
        <v>0</v>
      </c>
      <c r="AM627" s="67">
        <v>0</v>
      </c>
      <c r="AN627" s="67">
        <v>0</v>
      </c>
      <c r="AO627" s="67">
        <v>0</v>
      </c>
      <c r="AP627" s="67">
        <v>0</v>
      </c>
      <c r="AQ627" s="67">
        <v>0</v>
      </c>
      <c r="AR627" s="67">
        <v>0</v>
      </c>
      <c r="AS627" s="67">
        <v>0</v>
      </c>
      <c r="AT627" s="67"/>
      <c r="AU627" s="67"/>
      <c r="AV627" s="67"/>
      <c r="AW627" s="67">
        <v>0</v>
      </c>
      <c r="AX627" s="67">
        <v>0</v>
      </c>
      <c r="AY627" s="67"/>
      <c r="AZ627" s="67"/>
      <c r="BA627" s="67"/>
      <c r="BB627" s="67"/>
      <c r="BC627" s="67"/>
      <c r="BD627" s="67"/>
      <c r="BE627" s="67"/>
      <c r="BG627" s="67"/>
      <c r="BH627" s="67"/>
      <c r="BI627" s="67"/>
      <c r="BJ627" s="67">
        <v>0</v>
      </c>
      <c r="BK627" s="67"/>
      <c r="BL627" s="67"/>
      <c r="BP627" s="67"/>
      <c r="BQ627" s="67">
        <v>0</v>
      </c>
      <c r="BR627" s="67"/>
      <c r="BS627" s="67"/>
      <c r="BT627" s="67">
        <v>0</v>
      </c>
      <c r="BU627" s="67">
        <v>0</v>
      </c>
      <c r="BV627" s="67"/>
      <c r="BW627" s="67"/>
      <c r="BX627" s="67">
        <v>0</v>
      </c>
      <c r="BY627" s="67"/>
      <c r="BZ627" s="67"/>
      <c r="CA627" s="67"/>
      <c r="CB627" s="67"/>
      <c r="CC627" s="67"/>
      <c r="CD627" s="67"/>
      <c r="CE627" s="67">
        <v>0</v>
      </c>
      <c r="CF627" s="67"/>
      <c r="CG627" s="67"/>
      <c r="CH627" s="67"/>
      <c r="CI627" s="67"/>
      <c r="CJ627" s="67"/>
      <c r="CK627" s="67">
        <v>0</v>
      </c>
      <c r="CL627" s="67"/>
      <c r="CM627" s="67"/>
      <c r="CN627" s="67"/>
      <c r="CO627" s="67">
        <v>0</v>
      </c>
      <c r="CP627" s="67"/>
      <c r="CQ627" s="67"/>
      <c r="CR627" s="67"/>
      <c r="CS627" s="67"/>
      <c r="CT627" s="67"/>
      <c r="CU627" s="67">
        <v>0</v>
      </c>
      <c r="CV627" s="67"/>
      <c r="CW627" s="67"/>
      <c r="CX627" s="67"/>
      <c r="CY627" s="67">
        <v>0</v>
      </c>
      <c r="CZ627" s="67"/>
      <c r="DA627" s="67"/>
      <c r="DB627" s="67"/>
      <c r="DC627" s="67"/>
      <c r="DF627" s="67"/>
      <c r="DG627" s="67">
        <v>0</v>
      </c>
      <c r="DH627" s="67">
        <v>0</v>
      </c>
      <c r="DI627" s="67">
        <v>0</v>
      </c>
      <c r="DJ627" s="67"/>
      <c r="DK627" s="67">
        <v>0</v>
      </c>
      <c r="DL627" s="67">
        <v>0</v>
      </c>
      <c r="DM627" s="67"/>
      <c r="DN627" s="67"/>
      <c r="DO627" s="67"/>
      <c r="DP627" s="67"/>
      <c r="DQ627" s="67">
        <v>0</v>
      </c>
      <c r="DR627" s="67">
        <v>0</v>
      </c>
      <c r="DS627" s="67"/>
      <c r="DT627" s="67"/>
      <c r="DU627" s="67">
        <v>0</v>
      </c>
      <c r="DV627" s="67">
        <v>0</v>
      </c>
      <c r="DW627" s="67">
        <v>0</v>
      </c>
      <c r="DX627" s="67">
        <v>0</v>
      </c>
      <c r="DY627" s="67"/>
      <c r="DZ627" s="67">
        <v>0</v>
      </c>
      <c r="EA627" s="67"/>
      <c r="EB627" s="67">
        <v>0</v>
      </c>
      <c r="EC627" s="67"/>
      <c r="ED627" s="67">
        <v>0</v>
      </c>
      <c r="EE627" s="67"/>
      <c r="EF627" s="67">
        <v>0</v>
      </c>
      <c r="EG627" s="67"/>
      <c r="EH627" s="67"/>
      <c r="EI627" s="67"/>
      <c r="EJ627" s="67"/>
      <c r="EK627" s="67"/>
      <c r="EL627" s="67"/>
      <c r="EM627" s="67"/>
      <c r="EN627" s="67"/>
      <c r="EO627" s="67"/>
      <c r="EP627" s="67">
        <v>0</v>
      </c>
      <c r="EQ627" s="67">
        <v>0</v>
      </c>
      <c r="ER627" s="67">
        <v>0</v>
      </c>
      <c r="ES627" s="67"/>
      <c r="EX627" s="67"/>
      <c r="EY627" s="67"/>
      <c r="EZ627" s="67"/>
      <c r="FA627" s="67">
        <v>0</v>
      </c>
      <c r="FB627" s="67"/>
      <c r="FC627" s="67"/>
      <c r="FD627" s="67"/>
      <c r="FE627" s="67"/>
      <c r="FF627" s="67"/>
      <c r="FG627" s="67"/>
      <c r="FH627" s="67"/>
      <c r="FI627" s="67" t="s">
        <v>1736</v>
      </c>
    </row>
    <row r="628" spans="2:165" x14ac:dyDescent="0.2">
      <c r="B628" s="67"/>
      <c r="C628" s="67" t="s">
        <v>1769</v>
      </c>
      <c r="D628" s="67" t="s">
        <v>1566</v>
      </c>
      <c r="E628" s="67"/>
      <c r="F628" s="67"/>
      <c r="G628" s="67"/>
      <c r="H628" s="67"/>
      <c r="I628" s="67"/>
      <c r="J628" s="67"/>
      <c r="K628" s="67" t="s">
        <v>1567</v>
      </c>
      <c r="L628" s="67"/>
      <c r="M628" s="67"/>
      <c r="N628" s="67"/>
      <c r="O628" s="67"/>
      <c r="P628" s="67"/>
      <c r="Q628" s="67">
        <v>496.6</v>
      </c>
      <c r="R628" s="67">
        <v>0</v>
      </c>
      <c r="S628" s="67">
        <v>0</v>
      </c>
      <c r="T628" s="67">
        <v>0</v>
      </c>
      <c r="U628" s="67">
        <v>0</v>
      </c>
      <c r="V628" s="67">
        <v>0</v>
      </c>
      <c r="W628" s="67">
        <v>0</v>
      </c>
      <c r="X628" s="67">
        <v>0</v>
      </c>
      <c r="Y628" s="67">
        <v>0</v>
      </c>
      <c r="Z628" s="67">
        <v>0</v>
      </c>
      <c r="AA628" s="67">
        <v>0</v>
      </c>
      <c r="AB628" s="67">
        <v>0</v>
      </c>
      <c r="AC628" s="67">
        <v>0</v>
      </c>
      <c r="AD628" s="67">
        <v>0</v>
      </c>
      <c r="AE628" s="67">
        <v>0</v>
      </c>
      <c r="AF628" s="67">
        <v>0</v>
      </c>
      <c r="AG628" s="67">
        <v>496.6</v>
      </c>
      <c r="AH628" s="67">
        <v>0</v>
      </c>
      <c r="AI628" s="67">
        <v>0</v>
      </c>
      <c r="AJ628" s="67">
        <v>0</v>
      </c>
      <c r="AK628" s="67">
        <v>0</v>
      </c>
      <c r="AL628" s="67">
        <v>0</v>
      </c>
      <c r="AM628" s="67">
        <v>0</v>
      </c>
      <c r="AN628" s="67">
        <v>0</v>
      </c>
      <c r="AO628" s="67">
        <v>0</v>
      </c>
      <c r="AP628" s="67">
        <v>0</v>
      </c>
      <c r="AQ628" s="67">
        <v>0</v>
      </c>
      <c r="AR628" s="67">
        <v>0</v>
      </c>
      <c r="AS628" s="67">
        <v>0</v>
      </c>
      <c r="AT628" s="67"/>
      <c r="AU628" s="67"/>
      <c r="AV628" s="67"/>
      <c r="AW628" s="67">
        <v>0</v>
      </c>
      <c r="AX628" s="67">
        <v>0</v>
      </c>
      <c r="AY628" s="67"/>
      <c r="AZ628" s="67"/>
      <c r="BA628" s="67"/>
      <c r="BB628" s="67"/>
      <c r="BC628" s="67"/>
      <c r="BD628" s="67"/>
      <c r="BE628" s="67"/>
      <c r="BG628" s="67"/>
      <c r="BH628" s="67"/>
      <c r="BI628" s="67"/>
      <c r="BJ628" s="67">
        <v>0</v>
      </c>
      <c r="BK628" s="67"/>
      <c r="BL628" s="67"/>
      <c r="BP628" s="67"/>
      <c r="BQ628" s="67">
        <v>0</v>
      </c>
      <c r="BR628" s="67"/>
      <c r="BS628" s="67"/>
      <c r="BT628" s="67">
        <v>0</v>
      </c>
      <c r="BU628" s="67">
        <v>0</v>
      </c>
      <c r="BV628" s="67"/>
      <c r="BW628" s="67"/>
      <c r="BX628" s="67">
        <v>0</v>
      </c>
      <c r="BY628" s="67"/>
      <c r="BZ628" s="67"/>
      <c r="CA628" s="67"/>
      <c r="CB628" s="67"/>
      <c r="CC628" s="67"/>
      <c r="CD628" s="67"/>
      <c r="CE628" s="67">
        <v>0</v>
      </c>
      <c r="CF628" s="67"/>
      <c r="CG628" s="67"/>
      <c r="CH628" s="67"/>
      <c r="CI628" s="67"/>
      <c r="CJ628" s="67"/>
      <c r="CK628" s="67">
        <v>0</v>
      </c>
      <c r="CL628" s="67"/>
      <c r="CM628" s="67"/>
      <c r="CN628" s="67"/>
      <c r="CO628" s="67">
        <v>0</v>
      </c>
      <c r="CP628" s="67"/>
      <c r="CQ628" s="67"/>
      <c r="CR628" s="67"/>
      <c r="CS628" s="67"/>
      <c r="CT628" s="67"/>
      <c r="CU628" s="67">
        <v>0</v>
      </c>
      <c r="CV628" s="67"/>
      <c r="CW628" s="67"/>
      <c r="CX628" s="67"/>
      <c r="CY628" s="67">
        <v>0</v>
      </c>
      <c r="CZ628" s="67"/>
      <c r="DA628" s="67"/>
      <c r="DB628" s="67"/>
      <c r="DC628" s="67"/>
      <c r="DF628" s="67"/>
      <c r="DG628" s="67">
        <v>0</v>
      </c>
      <c r="DH628" s="67">
        <v>0</v>
      </c>
      <c r="DI628" s="67">
        <v>0</v>
      </c>
      <c r="DJ628" s="67"/>
      <c r="DK628" s="67">
        <v>0</v>
      </c>
      <c r="DL628" s="67">
        <v>0</v>
      </c>
      <c r="DM628" s="67"/>
      <c r="DN628" s="67"/>
      <c r="DO628" s="67"/>
      <c r="DP628" s="67"/>
      <c r="DQ628" s="67">
        <v>0</v>
      </c>
      <c r="DR628" s="67">
        <v>0</v>
      </c>
      <c r="DS628" s="67"/>
      <c r="DT628" s="67"/>
      <c r="DU628" s="67">
        <v>0</v>
      </c>
      <c r="DV628" s="67">
        <v>0</v>
      </c>
      <c r="DW628" s="67">
        <v>0</v>
      </c>
      <c r="DX628" s="67">
        <v>0</v>
      </c>
      <c r="DY628" s="67"/>
      <c r="DZ628" s="67">
        <v>0</v>
      </c>
      <c r="EA628" s="67"/>
      <c r="EB628" s="67">
        <v>0</v>
      </c>
      <c r="EC628" s="67"/>
      <c r="ED628" s="67">
        <v>0</v>
      </c>
      <c r="EE628" s="67"/>
      <c r="EF628" s="67">
        <v>0</v>
      </c>
      <c r="EG628" s="67"/>
      <c r="EH628" s="67"/>
      <c r="EI628" s="67"/>
      <c r="EJ628" s="67"/>
      <c r="EK628" s="67"/>
      <c r="EL628" s="67"/>
      <c r="EM628" s="67"/>
      <c r="EN628" s="67"/>
      <c r="EO628" s="67"/>
      <c r="EP628" s="67">
        <v>0</v>
      </c>
      <c r="EQ628" s="67">
        <v>0</v>
      </c>
      <c r="ER628" s="67">
        <v>0</v>
      </c>
      <c r="ES628" s="67"/>
      <c r="EX628" s="67"/>
      <c r="EY628" s="67"/>
      <c r="EZ628" s="67"/>
      <c r="FA628" s="67">
        <v>496.6</v>
      </c>
      <c r="FB628" s="67"/>
      <c r="FC628" s="67"/>
      <c r="FD628" s="67"/>
      <c r="FE628" s="67"/>
      <c r="FF628" s="67"/>
      <c r="FG628" s="67"/>
      <c r="FH628" s="67"/>
      <c r="FI628" s="67" t="s">
        <v>1736</v>
      </c>
    </row>
    <row r="629" spans="2:165" x14ac:dyDescent="0.2">
      <c r="B629" s="67"/>
      <c r="C629" s="67" t="s">
        <v>1770</v>
      </c>
      <c r="D629" s="67" t="s">
        <v>1568</v>
      </c>
      <c r="E629" s="67"/>
      <c r="F629" s="67"/>
      <c r="G629" s="67"/>
      <c r="H629" s="67"/>
      <c r="I629" s="67"/>
      <c r="J629" s="67"/>
      <c r="K629" s="67" t="s">
        <v>1567</v>
      </c>
      <c r="L629" s="67"/>
      <c r="M629" s="67"/>
      <c r="N629" s="67"/>
      <c r="O629" s="67"/>
      <c r="P629" s="67"/>
      <c r="Q629" s="67">
        <v>687.6</v>
      </c>
      <c r="R629" s="67">
        <v>0</v>
      </c>
      <c r="S629" s="67">
        <v>0</v>
      </c>
      <c r="T629" s="67">
        <v>0</v>
      </c>
      <c r="U629" s="67">
        <v>0</v>
      </c>
      <c r="V629" s="67">
        <v>0</v>
      </c>
      <c r="W629" s="67">
        <v>0</v>
      </c>
      <c r="X629" s="67">
        <v>0</v>
      </c>
      <c r="Y629" s="67">
        <v>0</v>
      </c>
      <c r="Z629" s="67">
        <v>0</v>
      </c>
      <c r="AA629" s="67">
        <v>0</v>
      </c>
      <c r="AB629" s="67">
        <v>0</v>
      </c>
      <c r="AC629" s="67">
        <v>0</v>
      </c>
      <c r="AD629" s="67">
        <v>0</v>
      </c>
      <c r="AE629" s="67">
        <v>0</v>
      </c>
      <c r="AF629" s="67">
        <v>0</v>
      </c>
      <c r="AG629" s="67">
        <v>687.6</v>
      </c>
      <c r="AH629" s="67">
        <v>0</v>
      </c>
      <c r="AI629" s="67">
        <v>0</v>
      </c>
      <c r="AJ629" s="67">
        <v>0</v>
      </c>
      <c r="AK629" s="67">
        <v>0</v>
      </c>
      <c r="AL629" s="67">
        <v>0</v>
      </c>
      <c r="AM629" s="67">
        <v>0</v>
      </c>
      <c r="AN629" s="67">
        <v>0</v>
      </c>
      <c r="AO629" s="67">
        <v>0</v>
      </c>
      <c r="AP629" s="67">
        <v>0</v>
      </c>
      <c r="AQ629" s="67">
        <v>0</v>
      </c>
      <c r="AR629" s="67">
        <v>0</v>
      </c>
      <c r="AS629" s="67">
        <v>0</v>
      </c>
      <c r="AT629" s="67"/>
      <c r="AU629" s="67"/>
      <c r="AV629" s="67"/>
      <c r="AW629" s="67">
        <v>0</v>
      </c>
      <c r="AX629" s="67">
        <v>0</v>
      </c>
      <c r="AY629" s="67"/>
      <c r="AZ629" s="67"/>
      <c r="BA629" s="67"/>
      <c r="BB629" s="67"/>
      <c r="BC629" s="67"/>
      <c r="BD629" s="67"/>
      <c r="BE629" s="67"/>
      <c r="BG629" s="67"/>
      <c r="BH629" s="67"/>
      <c r="BI629" s="67"/>
      <c r="BJ629" s="67">
        <v>0</v>
      </c>
      <c r="BK629" s="67"/>
      <c r="BL629" s="67"/>
      <c r="BP629" s="67"/>
      <c r="BQ629" s="67">
        <v>0</v>
      </c>
      <c r="BR629" s="67"/>
      <c r="BS629" s="67"/>
      <c r="BT629" s="67">
        <v>0</v>
      </c>
      <c r="BU629" s="67">
        <v>0</v>
      </c>
      <c r="BV629" s="67"/>
      <c r="BW629" s="67"/>
      <c r="BX629" s="67">
        <v>0</v>
      </c>
      <c r="BY629" s="67"/>
      <c r="BZ629" s="67"/>
      <c r="CA629" s="67"/>
      <c r="CB629" s="67"/>
      <c r="CC629" s="67"/>
      <c r="CD629" s="67"/>
      <c r="CE629" s="67">
        <v>0</v>
      </c>
      <c r="CF629" s="67"/>
      <c r="CG629" s="67"/>
      <c r="CH629" s="67"/>
      <c r="CI629" s="67"/>
      <c r="CJ629" s="67"/>
      <c r="CK629" s="67">
        <v>0</v>
      </c>
      <c r="CL629" s="67"/>
      <c r="CM629" s="67"/>
      <c r="CN629" s="67"/>
      <c r="CO629" s="67">
        <v>0</v>
      </c>
      <c r="CP629" s="67"/>
      <c r="CQ629" s="67"/>
      <c r="CR629" s="67"/>
      <c r="CS629" s="67"/>
      <c r="CT629" s="67"/>
      <c r="CU629" s="67">
        <v>0</v>
      </c>
      <c r="CV629" s="67"/>
      <c r="CW629" s="67"/>
      <c r="CX629" s="67"/>
      <c r="CY629" s="67">
        <v>0</v>
      </c>
      <c r="CZ629" s="67"/>
      <c r="DA629" s="67"/>
      <c r="DB629" s="67"/>
      <c r="DC629" s="67"/>
      <c r="DF629" s="67"/>
      <c r="DG629" s="67">
        <v>0</v>
      </c>
      <c r="DH629" s="67">
        <v>0</v>
      </c>
      <c r="DI629" s="67">
        <v>0</v>
      </c>
      <c r="DJ629" s="67"/>
      <c r="DK629" s="67">
        <v>0</v>
      </c>
      <c r="DL629" s="67">
        <v>0</v>
      </c>
      <c r="DM629" s="67"/>
      <c r="DN629" s="67"/>
      <c r="DO629" s="67"/>
      <c r="DP629" s="67"/>
      <c r="DQ629" s="67">
        <v>0</v>
      </c>
      <c r="DR629" s="67">
        <v>0</v>
      </c>
      <c r="DS629" s="67"/>
      <c r="DT629" s="67"/>
      <c r="DU629" s="67">
        <v>0</v>
      </c>
      <c r="DV629" s="67">
        <v>0</v>
      </c>
      <c r="DW629" s="67">
        <v>0</v>
      </c>
      <c r="DX629" s="67">
        <v>0</v>
      </c>
      <c r="DY629" s="67"/>
      <c r="DZ629" s="67">
        <v>0</v>
      </c>
      <c r="EA629" s="67"/>
      <c r="EB629" s="67">
        <v>0</v>
      </c>
      <c r="EC629" s="67"/>
      <c r="ED629" s="67">
        <v>0</v>
      </c>
      <c r="EE629" s="67"/>
      <c r="EF629" s="67">
        <v>0</v>
      </c>
      <c r="EG629" s="67"/>
      <c r="EH629" s="67"/>
      <c r="EI629" s="67"/>
      <c r="EJ629" s="67"/>
      <c r="EK629" s="67"/>
      <c r="EL629" s="67"/>
      <c r="EM629" s="67"/>
      <c r="EN629" s="67"/>
      <c r="EO629" s="67"/>
      <c r="EP629" s="67">
        <v>0</v>
      </c>
      <c r="EQ629" s="67">
        <v>0</v>
      </c>
      <c r="ER629" s="67">
        <v>0</v>
      </c>
      <c r="ES629" s="67"/>
      <c r="EX629" s="67"/>
      <c r="EY629" s="67"/>
      <c r="EZ629" s="67"/>
      <c r="FA629" s="67">
        <v>687.6</v>
      </c>
      <c r="FB629" s="67"/>
      <c r="FC629" s="67"/>
      <c r="FD629" s="67"/>
      <c r="FE629" s="67"/>
      <c r="FF629" s="67"/>
      <c r="FG629" s="67"/>
      <c r="FH629" s="67"/>
      <c r="FI629" s="67" t="s">
        <v>1736</v>
      </c>
    </row>
    <row r="630" spans="2:165" x14ac:dyDescent="0.2">
      <c r="B630" s="67"/>
      <c r="C630" s="67" t="s">
        <v>1771</v>
      </c>
      <c r="D630" s="67" t="s">
        <v>1569</v>
      </c>
      <c r="E630" s="67"/>
      <c r="F630" s="67"/>
      <c r="G630" s="67"/>
      <c r="H630" s="67"/>
      <c r="I630" s="67"/>
      <c r="J630" s="67"/>
      <c r="K630" s="67" t="s">
        <v>1567</v>
      </c>
      <c r="L630" s="67"/>
      <c r="M630" s="67"/>
      <c r="N630" s="67"/>
      <c r="O630" s="67"/>
      <c r="P630" s="67"/>
      <c r="Q630" s="67">
        <v>305.60000000000002</v>
      </c>
      <c r="R630" s="67">
        <v>0</v>
      </c>
      <c r="S630" s="67">
        <v>0</v>
      </c>
      <c r="T630" s="67">
        <v>0</v>
      </c>
      <c r="U630" s="67">
        <v>0</v>
      </c>
      <c r="V630" s="67">
        <v>0</v>
      </c>
      <c r="W630" s="67">
        <v>0</v>
      </c>
      <c r="X630" s="67">
        <v>0</v>
      </c>
      <c r="Y630" s="67">
        <v>0</v>
      </c>
      <c r="Z630" s="67">
        <v>0</v>
      </c>
      <c r="AA630" s="67">
        <v>0</v>
      </c>
      <c r="AB630" s="67">
        <v>0</v>
      </c>
      <c r="AC630" s="67">
        <v>0</v>
      </c>
      <c r="AD630" s="67">
        <v>0</v>
      </c>
      <c r="AE630" s="67">
        <v>0</v>
      </c>
      <c r="AF630" s="67">
        <v>0</v>
      </c>
      <c r="AG630" s="67">
        <v>305.60000000000002</v>
      </c>
      <c r="AH630" s="67">
        <v>0</v>
      </c>
      <c r="AI630" s="67">
        <v>0</v>
      </c>
      <c r="AJ630" s="67">
        <v>0</v>
      </c>
      <c r="AK630" s="67">
        <v>0</v>
      </c>
      <c r="AL630" s="67">
        <v>0</v>
      </c>
      <c r="AM630" s="67">
        <v>0</v>
      </c>
      <c r="AN630" s="67">
        <v>0</v>
      </c>
      <c r="AO630" s="67">
        <v>0</v>
      </c>
      <c r="AP630" s="67">
        <v>0</v>
      </c>
      <c r="AQ630" s="67">
        <v>0</v>
      </c>
      <c r="AR630" s="67">
        <v>0</v>
      </c>
      <c r="AS630" s="67">
        <v>0</v>
      </c>
      <c r="AT630" s="67"/>
      <c r="AU630" s="67"/>
      <c r="AV630" s="67"/>
      <c r="AW630" s="67">
        <v>0</v>
      </c>
      <c r="AX630" s="67">
        <v>0</v>
      </c>
      <c r="AY630" s="67"/>
      <c r="AZ630" s="67"/>
      <c r="BA630" s="67"/>
      <c r="BB630" s="67"/>
      <c r="BC630" s="67"/>
      <c r="BD630" s="67"/>
      <c r="BE630" s="67"/>
      <c r="BG630" s="67"/>
      <c r="BH630" s="67"/>
      <c r="BI630" s="67"/>
      <c r="BJ630" s="67">
        <v>0</v>
      </c>
      <c r="BK630" s="67"/>
      <c r="BL630" s="67"/>
      <c r="BP630" s="67"/>
      <c r="BQ630" s="67">
        <v>0</v>
      </c>
      <c r="BR630" s="67"/>
      <c r="BS630" s="67"/>
      <c r="BT630" s="67">
        <v>0</v>
      </c>
      <c r="BU630" s="67">
        <v>0</v>
      </c>
      <c r="BV630" s="67"/>
      <c r="BW630" s="67"/>
      <c r="BX630" s="67">
        <v>0</v>
      </c>
      <c r="BY630" s="67"/>
      <c r="BZ630" s="67"/>
      <c r="CA630" s="67"/>
      <c r="CB630" s="67"/>
      <c r="CC630" s="67"/>
      <c r="CD630" s="67"/>
      <c r="CE630" s="67">
        <v>0</v>
      </c>
      <c r="CF630" s="67"/>
      <c r="CG630" s="67"/>
      <c r="CH630" s="67"/>
      <c r="CI630" s="67"/>
      <c r="CJ630" s="67"/>
      <c r="CK630" s="67">
        <v>0</v>
      </c>
      <c r="CL630" s="67"/>
      <c r="CM630" s="67"/>
      <c r="CN630" s="67"/>
      <c r="CO630" s="67">
        <v>0</v>
      </c>
      <c r="CP630" s="67"/>
      <c r="CQ630" s="67"/>
      <c r="CR630" s="67"/>
      <c r="CS630" s="67"/>
      <c r="CT630" s="67"/>
      <c r="CU630" s="67">
        <v>0</v>
      </c>
      <c r="CV630" s="67"/>
      <c r="CW630" s="67"/>
      <c r="CX630" s="67"/>
      <c r="CY630" s="67">
        <v>0</v>
      </c>
      <c r="CZ630" s="67"/>
      <c r="DA630" s="67"/>
      <c r="DB630" s="67"/>
      <c r="DC630" s="67"/>
      <c r="DF630" s="67"/>
      <c r="DG630" s="67">
        <v>0</v>
      </c>
      <c r="DH630" s="67">
        <v>0</v>
      </c>
      <c r="DI630" s="67">
        <v>0</v>
      </c>
      <c r="DJ630" s="67"/>
      <c r="DK630" s="67">
        <v>0</v>
      </c>
      <c r="DL630" s="67">
        <v>0</v>
      </c>
      <c r="DM630" s="67"/>
      <c r="DN630" s="67"/>
      <c r="DO630" s="67"/>
      <c r="DP630" s="67"/>
      <c r="DQ630" s="67">
        <v>0</v>
      </c>
      <c r="DR630" s="67">
        <v>0</v>
      </c>
      <c r="DS630" s="67"/>
      <c r="DT630" s="67"/>
      <c r="DU630" s="67">
        <v>0</v>
      </c>
      <c r="DV630" s="67">
        <v>0</v>
      </c>
      <c r="DW630" s="67">
        <v>0</v>
      </c>
      <c r="DX630" s="67">
        <v>0</v>
      </c>
      <c r="DY630" s="67"/>
      <c r="DZ630" s="67">
        <v>0</v>
      </c>
      <c r="EA630" s="67"/>
      <c r="EB630" s="67">
        <v>0</v>
      </c>
      <c r="EC630" s="67"/>
      <c r="ED630" s="67">
        <v>0</v>
      </c>
      <c r="EE630" s="67"/>
      <c r="EF630" s="67">
        <v>0</v>
      </c>
      <c r="EG630" s="67"/>
      <c r="EH630" s="67"/>
      <c r="EI630" s="67"/>
      <c r="EJ630" s="67"/>
      <c r="EK630" s="67"/>
      <c r="EL630" s="67"/>
      <c r="EM630" s="67"/>
      <c r="EN630" s="67"/>
      <c r="EO630" s="67"/>
      <c r="EP630" s="67">
        <v>0</v>
      </c>
      <c r="EQ630" s="67">
        <v>0</v>
      </c>
      <c r="ER630" s="67">
        <v>0</v>
      </c>
      <c r="ES630" s="67"/>
      <c r="EX630" s="67"/>
      <c r="EY630" s="67"/>
      <c r="EZ630" s="67"/>
      <c r="FA630" s="67">
        <v>305.60000000000002</v>
      </c>
      <c r="FB630" s="67"/>
      <c r="FC630" s="67"/>
      <c r="FD630" s="67"/>
      <c r="FE630" s="67"/>
      <c r="FF630" s="67"/>
      <c r="FG630" s="67"/>
      <c r="FH630" s="67"/>
      <c r="FI630" s="67" t="s">
        <v>1736</v>
      </c>
    </row>
    <row r="631" spans="2:165" x14ac:dyDescent="0.2">
      <c r="B631" s="67"/>
      <c r="C631" s="67" t="s">
        <v>1772</v>
      </c>
      <c r="D631" s="67" t="s">
        <v>1570</v>
      </c>
      <c r="E631" s="67"/>
      <c r="F631" s="67"/>
      <c r="G631" s="67"/>
      <c r="H631" s="67"/>
      <c r="I631" s="67"/>
      <c r="J631" s="67"/>
      <c r="K631" s="67" t="s">
        <v>1571</v>
      </c>
      <c r="L631" s="67"/>
      <c r="M631" s="67"/>
      <c r="N631" s="67"/>
      <c r="O631" s="67"/>
      <c r="P631" s="67"/>
      <c r="Q631" s="67">
        <v>354</v>
      </c>
      <c r="R631" s="67">
        <v>354</v>
      </c>
      <c r="S631" s="67">
        <v>0</v>
      </c>
      <c r="T631" s="67">
        <v>0</v>
      </c>
      <c r="U631" s="67">
        <v>0</v>
      </c>
      <c r="V631" s="67">
        <v>0</v>
      </c>
      <c r="W631" s="67">
        <v>0</v>
      </c>
      <c r="X631" s="67">
        <v>0</v>
      </c>
      <c r="Y631" s="67">
        <v>0</v>
      </c>
      <c r="Z631" s="67">
        <v>0</v>
      </c>
      <c r="AA631" s="67">
        <v>0</v>
      </c>
      <c r="AB631" s="67">
        <v>0</v>
      </c>
      <c r="AC631" s="67">
        <v>0</v>
      </c>
      <c r="AD631" s="67">
        <v>0</v>
      </c>
      <c r="AE631" s="67">
        <v>0</v>
      </c>
      <c r="AF631" s="67">
        <v>0</v>
      </c>
      <c r="AG631" s="67">
        <v>0</v>
      </c>
      <c r="AH631" s="67">
        <v>0</v>
      </c>
      <c r="AI631" s="67">
        <v>0</v>
      </c>
      <c r="AJ631" s="67">
        <v>0</v>
      </c>
      <c r="AK631" s="67">
        <v>0</v>
      </c>
      <c r="AL631" s="67">
        <v>0</v>
      </c>
      <c r="AM631" s="67">
        <v>0</v>
      </c>
      <c r="AN631" s="67">
        <v>0</v>
      </c>
      <c r="AO631" s="67">
        <v>0</v>
      </c>
      <c r="AP631" s="67">
        <v>0</v>
      </c>
      <c r="AQ631" s="67">
        <v>0</v>
      </c>
      <c r="AR631" s="67">
        <v>0</v>
      </c>
      <c r="AS631" s="67">
        <v>0</v>
      </c>
      <c r="AT631" s="67"/>
      <c r="AU631" s="67"/>
      <c r="AV631" s="67"/>
      <c r="AW631" s="67">
        <v>0</v>
      </c>
      <c r="AX631" s="67">
        <v>0</v>
      </c>
      <c r="AY631" s="67"/>
      <c r="AZ631" s="67"/>
      <c r="BA631" s="67"/>
      <c r="BB631" s="67"/>
      <c r="BC631" s="67"/>
      <c r="BD631" s="67"/>
      <c r="BE631" s="67"/>
      <c r="BG631" s="67"/>
      <c r="BH631" s="67"/>
      <c r="BI631" s="67"/>
      <c r="BJ631" s="67">
        <v>0</v>
      </c>
      <c r="BK631" s="67"/>
      <c r="BL631" s="67"/>
      <c r="BP631" s="67"/>
      <c r="BQ631" s="67">
        <v>0</v>
      </c>
      <c r="BR631" s="67"/>
      <c r="BS631" s="67"/>
      <c r="BT631" s="67">
        <v>0</v>
      </c>
      <c r="BU631" s="67">
        <v>0</v>
      </c>
      <c r="BV631" s="67"/>
      <c r="BW631" s="67"/>
      <c r="BX631" s="67">
        <v>0</v>
      </c>
      <c r="BY631" s="67"/>
      <c r="BZ631" s="67"/>
      <c r="CA631" s="67"/>
      <c r="CB631" s="67"/>
      <c r="CC631" s="67"/>
      <c r="CD631" s="67"/>
      <c r="CE631" s="67">
        <v>0</v>
      </c>
      <c r="CF631" s="67"/>
      <c r="CG631" s="67"/>
      <c r="CH631" s="67"/>
      <c r="CI631" s="67"/>
      <c r="CJ631" s="67"/>
      <c r="CK631" s="67">
        <v>0</v>
      </c>
      <c r="CL631" s="67"/>
      <c r="CM631" s="67"/>
      <c r="CN631" s="67"/>
      <c r="CO631" s="67">
        <v>0</v>
      </c>
      <c r="CP631" s="67"/>
      <c r="CQ631" s="67"/>
      <c r="CR631" s="67"/>
      <c r="CS631" s="67"/>
      <c r="CT631" s="67"/>
      <c r="CU631" s="67">
        <v>0</v>
      </c>
      <c r="CV631" s="67"/>
      <c r="CW631" s="67"/>
      <c r="CX631" s="67"/>
      <c r="CY631" s="67">
        <v>0</v>
      </c>
      <c r="CZ631" s="67"/>
      <c r="DA631" s="67"/>
      <c r="DB631" s="67"/>
      <c r="DC631" s="67"/>
      <c r="DF631" s="67"/>
      <c r="DG631" s="67">
        <v>0</v>
      </c>
      <c r="DH631" s="67">
        <v>0</v>
      </c>
      <c r="DI631" s="67">
        <v>0</v>
      </c>
      <c r="DJ631" s="67"/>
      <c r="DK631" s="67">
        <v>0</v>
      </c>
      <c r="DL631" s="67">
        <v>0</v>
      </c>
      <c r="DM631" s="67"/>
      <c r="DN631" s="67"/>
      <c r="DO631" s="67"/>
      <c r="DP631" s="67"/>
      <c r="DQ631" s="67">
        <v>0</v>
      </c>
      <c r="DR631" s="67">
        <v>0</v>
      </c>
      <c r="DS631" s="67"/>
      <c r="DT631" s="67"/>
      <c r="DU631" s="67">
        <v>0</v>
      </c>
      <c r="DV631" s="67">
        <v>0</v>
      </c>
      <c r="DW631" s="67">
        <v>0</v>
      </c>
      <c r="DX631" s="67">
        <v>0</v>
      </c>
      <c r="DY631" s="67"/>
      <c r="DZ631" s="67">
        <v>0</v>
      </c>
      <c r="EA631" s="67"/>
      <c r="EB631" s="67">
        <v>0</v>
      </c>
      <c r="EC631" s="67"/>
      <c r="ED631" s="67">
        <v>0</v>
      </c>
      <c r="EE631" s="67"/>
      <c r="EF631" s="67">
        <v>0</v>
      </c>
      <c r="EG631" s="67"/>
      <c r="EH631" s="67"/>
      <c r="EI631" s="67"/>
      <c r="EJ631" s="67"/>
      <c r="EK631" s="67"/>
      <c r="EL631" s="67"/>
      <c r="EM631" s="67"/>
      <c r="EN631" s="67"/>
      <c r="EO631" s="67"/>
      <c r="EP631" s="67">
        <v>0</v>
      </c>
      <c r="EQ631" s="67">
        <v>0</v>
      </c>
      <c r="ER631" s="67">
        <v>0</v>
      </c>
      <c r="ES631" s="67"/>
      <c r="EX631" s="67"/>
      <c r="EY631" s="67"/>
      <c r="EZ631" s="67"/>
      <c r="FA631" s="67">
        <v>354</v>
      </c>
      <c r="FB631" s="67"/>
      <c r="FC631" s="67"/>
      <c r="FD631" s="67"/>
      <c r="FE631" s="67"/>
      <c r="FF631" s="67"/>
      <c r="FG631" s="67"/>
      <c r="FH631" s="67"/>
      <c r="FI631" s="67" t="s">
        <v>1736</v>
      </c>
    </row>
    <row r="632" spans="2:165" x14ac:dyDescent="0.2">
      <c r="B632" s="67"/>
      <c r="C632" s="67" t="s">
        <v>1773</v>
      </c>
      <c r="D632" s="67" t="s">
        <v>1572</v>
      </c>
      <c r="E632" s="67"/>
      <c r="F632" s="67"/>
      <c r="G632" s="67"/>
      <c r="H632" s="67"/>
      <c r="I632" s="67"/>
      <c r="J632" s="67"/>
      <c r="K632" s="67" t="s">
        <v>811</v>
      </c>
      <c r="L632" s="67"/>
      <c r="M632" s="67"/>
      <c r="N632" s="67"/>
      <c r="O632" s="67"/>
      <c r="P632" s="67"/>
      <c r="Q632" s="67">
        <v>0</v>
      </c>
      <c r="R632" s="67">
        <v>0</v>
      </c>
      <c r="S632" s="67">
        <v>0</v>
      </c>
      <c r="T632" s="67">
        <v>0</v>
      </c>
      <c r="U632" s="67">
        <v>0</v>
      </c>
      <c r="V632" s="67">
        <v>0</v>
      </c>
      <c r="W632" s="67">
        <v>0</v>
      </c>
      <c r="X632" s="67">
        <v>0</v>
      </c>
      <c r="Y632" s="67">
        <v>0</v>
      </c>
      <c r="Z632" s="67">
        <v>0</v>
      </c>
      <c r="AA632" s="67">
        <v>0</v>
      </c>
      <c r="AB632" s="67">
        <v>0</v>
      </c>
      <c r="AC632" s="67">
        <v>0</v>
      </c>
      <c r="AD632" s="67">
        <v>0</v>
      </c>
      <c r="AE632" s="67">
        <v>0</v>
      </c>
      <c r="AF632" s="67">
        <v>0</v>
      </c>
      <c r="AG632" s="67">
        <v>0</v>
      </c>
      <c r="AH632" s="67">
        <v>0</v>
      </c>
      <c r="AI632" s="67">
        <v>0</v>
      </c>
      <c r="AJ632" s="67">
        <v>0</v>
      </c>
      <c r="AK632" s="67">
        <v>0</v>
      </c>
      <c r="AL632" s="67">
        <v>0</v>
      </c>
      <c r="AM632" s="67">
        <v>0</v>
      </c>
      <c r="AN632" s="67">
        <v>0</v>
      </c>
      <c r="AO632" s="67">
        <v>0</v>
      </c>
      <c r="AP632" s="67">
        <v>0</v>
      </c>
      <c r="AQ632" s="67">
        <v>0</v>
      </c>
      <c r="AR632" s="67">
        <v>0</v>
      </c>
      <c r="AS632" s="67">
        <v>0</v>
      </c>
      <c r="AT632" s="67"/>
      <c r="AU632" s="67"/>
      <c r="AV632" s="67"/>
      <c r="AW632" s="67">
        <v>0</v>
      </c>
      <c r="AX632" s="67">
        <v>0</v>
      </c>
      <c r="AY632" s="67"/>
      <c r="AZ632" s="67"/>
      <c r="BA632" s="67"/>
      <c r="BB632" s="67"/>
      <c r="BC632" s="67"/>
      <c r="BD632" s="67"/>
      <c r="BE632" s="67"/>
      <c r="BG632" s="67"/>
      <c r="BH632" s="67"/>
      <c r="BI632" s="67"/>
      <c r="BJ632" s="67">
        <v>0</v>
      </c>
      <c r="BK632" s="67"/>
      <c r="BL632" s="67"/>
      <c r="BP632" s="67"/>
      <c r="BQ632" s="67">
        <v>0</v>
      </c>
      <c r="BR632" s="67"/>
      <c r="BS632" s="67"/>
      <c r="BT632" s="67">
        <v>0</v>
      </c>
      <c r="BU632" s="67">
        <v>0</v>
      </c>
      <c r="BV632" s="67"/>
      <c r="BW632" s="67"/>
      <c r="BX632" s="67">
        <v>0</v>
      </c>
      <c r="BY632" s="67"/>
      <c r="BZ632" s="67"/>
      <c r="CA632" s="67"/>
      <c r="CB632" s="67"/>
      <c r="CC632" s="67"/>
      <c r="CD632" s="67"/>
      <c r="CE632" s="67">
        <v>0</v>
      </c>
      <c r="CF632" s="67"/>
      <c r="CG632" s="67"/>
      <c r="CH632" s="67"/>
      <c r="CI632" s="67"/>
      <c r="CJ632" s="67"/>
      <c r="CK632" s="67">
        <v>0</v>
      </c>
      <c r="CL632" s="67"/>
      <c r="CM632" s="67"/>
      <c r="CN632" s="67"/>
      <c r="CO632" s="67">
        <v>0</v>
      </c>
      <c r="CP632" s="67"/>
      <c r="CQ632" s="67"/>
      <c r="CR632" s="67"/>
      <c r="CS632" s="67"/>
      <c r="CT632" s="67"/>
      <c r="CU632" s="67">
        <v>0</v>
      </c>
      <c r="CV632" s="67"/>
      <c r="CW632" s="67"/>
      <c r="CX632" s="67"/>
      <c r="CY632" s="67">
        <v>0</v>
      </c>
      <c r="CZ632" s="67"/>
      <c r="DA632" s="67"/>
      <c r="DB632" s="67"/>
      <c r="DC632" s="67"/>
      <c r="DF632" s="67"/>
      <c r="DG632" s="67">
        <v>0</v>
      </c>
      <c r="DH632" s="67">
        <v>0</v>
      </c>
      <c r="DI632" s="67">
        <v>0</v>
      </c>
      <c r="DJ632" s="67"/>
      <c r="DK632" s="67">
        <v>0</v>
      </c>
      <c r="DL632" s="67">
        <v>0</v>
      </c>
      <c r="DM632" s="67"/>
      <c r="DN632" s="67"/>
      <c r="DO632" s="67"/>
      <c r="DP632" s="67"/>
      <c r="DQ632" s="67">
        <v>0</v>
      </c>
      <c r="DR632" s="67">
        <v>0</v>
      </c>
      <c r="DS632" s="67"/>
      <c r="DT632" s="67"/>
      <c r="DU632" s="67">
        <v>0</v>
      </c>
      <c r="DV632" s="67">
        <v>0</v>
      </c>
      <c r="DW632" s="67">
        <v>0</v>
      </c>
      <c r="DX632" s="67">
        <v>0</v>
      </c>
      <c r="DY632" s="67"/>
      <c r="DZ632" s="67">
        <v>0</v>
      </c>
      <c r="EA632" s="67"/>
      <c r="EB632" s="67">
        <v>0</v>
      </c>
      <c r="EC632" s="67"/>
      <c r="ED632" s="67">
        <v>0</v>
      </c>
      <c r="EE632" s="67"/>
      <c r="EF632" s="67">
        <v>0</v>
      </c>
      <c r="EG632" s="67"/>
      <c r="EH632" s="67"/>
      <c r="EI632" s="67"/>
      <c r="EJ632" s="67"/>
      <c r="EK632" s="67"/>
      <c r="EL632" s="67"/>
      <c r="EM632" s="67"/>
      <c r="EN632" s="67"/>
      <c r="EO632" s="67"/>
      <c r="EP632" s="67">
        <v>0</v>
      </c>
      <c r="EQ632" s="67">
        <v>0</v>
      </c>
      <c r="ER632" s="67">
        <v>0</v>
      </c>
      <c r="ES632" s="67"/>
      <c r="EX632" s="67"/>
      <c r="EY632" s="67"/>
      <c r="EZ632" s="67"/>
      <c r="FA632" s="67">
        <v>0</v>
      </c>
      <c r="FB632" s="67"/>
      <c r="FC632" s="67"/>
      <c r="FD632" s="67"/>
      <c r="FE632" s="67"/>
      <c r="FF632" s="67"/>
      <c r="FG632" s="67"/>
      <c r="FH632" s="67"/>
      <c r="FI632" s="67" t="s">
        <v>1736</v>
      </c>
    </row>
    <row r="633" spans="2:165" x14ac:dyDescent="0.2">
      <c r="B633" s="67"/>
      <c r="C633" s="67" t="s">
        <v>1774</v>
      </c>
      <c r="D633" s="67" t="s">
        <v>1573</v>
      </c>
      <c r="E633" s="67"/>
      <c r="F633" s="67"/>
      <c r="G633" s="67"/>
      <c r="H633" s="67"/>
      <c r="I633" s="67"/>
      <c r="J633" s="67"/>
      <c r="K633" s="67"/>
      <c r="L633" s="67"/>
      <c r="M633" s="67"/>
      <c r="N633" s="67"/>
      <c r="O633" s="67"/>
      <c r="P633" s="67"/>
      <c r="Q633" s="67">
        <v>1950</v>
      </c>
      <c r="R633" s="67">
        <v>0</v>
      </c>
      <c r="S633" s="67">
        <v>0</v>
      </c>
      <c r="T633" s="67">
        <v>0</v>
      </c>
      <c r="U633" s="67">
        <v>0</v>
      </c>
      <c r="V633" s="67">
        <v>0</v>
      </c>
      <c r="W633" s="67">
        <v>0</v>
      </c>
      <c r="X633" s="67">
        <v>0</v>
      </c>
      <c r="Y633" s="67">
        <v>0</v>
      </c>
      <c r="Z633" s="67">
        <v>0</v>
      </c>
      <c r="AA633" s="67">
        <v>0</v>
      </c>
      <c r="AB633" s="67">
        <v>0</v>
      </c>
      <c r="AC633" s="67">
        <v>0</v>
      </c>
      <c r="AD633" s="67">
        <v>0</v>
      </c>
      <c r="AE633" s="67">
        <v>0</v>
      </c>
      <c r="AF633" s="67">
        <v>0</v>
      </c>
      <c r="AG633" s="67">
        <v>0</v>
      </c>
      <c r="AH633" s="67">
        <v>1400</v>
      </c>
      <c r="AI633" s="67">
        <v>550</v>
      </c>
      <c r="AJ633" s="67">
        <v>0</v>
      </c>
      <c r="AK633" s="67">
        <v>0</v>
      </c>
      <c r="AL633" s="67">
        <v>0</v>
      </c>
      <c r="AM633" s="67">
        <v>0</v>
      </c>
      <c r="AN633" s="67">
        <v>0</v>
      </c>
      <c r="AO633" s="67">
        <v>0</v>
      </c>
      <c r="AP633" s="67">
        <v>0</v>
      </c>
      <c r="AQ633" s="67">
        <v>0</v>
      </c>
      <c r="AR633" s="67">
        <v>0</v>
      </c>
      <c r="AS633" s="67">
        <v>0</v>
      </c>
      <c r="AT633" s="67"/>
      <c r="AU633" s="67"/>
      <c r="AV633" s="67"/>
      <c r="AW633" s="67">
        <v>0</v>
      </c>
      <c r="AX633" s="67">
        <v>0</v>
      </c>
      <c r="AY633" s="67"/>
      <c r="AZ633" s="67"/>
      <c r="BA633" s="67"/>
      <c r="BB633" s="67"/>
      <c r="BC633" s="67"/>
      <c r="BD633" s="67"/>
      <c r="BE633" s="67"/>
      <c r="BG633" s="67"/>
      <c r="BH633" s="67"/>
      <c r="BI633" s="67"/>
      <c r="BJ633" s="67">
        <v>0</v>
      </c>
      <c r="BK633" s="67"/>
      <c r="BL633" s="67"/>
      <c r="BP633" s="67"/>
      <c r="BQ633" s="67">
        <v>0</v>
      </c>
      <c r="BR633" s="67"/>
      <c r="BS633" s="67"/>
      <c r="BT633" s="67">
        <v>0</v>
      </c>
      <c r="BU633" s="67">
        <v>0</v>
      </c>
      <c r="BV633" s="67"/>
      <c r="BW633" s="67"/>
      <c r="BX633" s="67">
        <v>0</v>
      </c>
      <c r="BY633" s="67"/>
      <c r="BZ633" s="67"/>
      <c r="CA633" s="67"/>
      <c r="CB633" s="67"/>
      <c r="CC633" s="67"/>
      <c r="CD633" s="67"/>
      <c r="CE633" s="67">
        <v>0</v>
      </c>
      <c r="CF633" s="67"/>
      <c r="CG633" s="67"/>
      <c r="CH633" s="67"/>
      <c r="CI633" s="67"/>
      <c r="CJ633" s="67"/>
      <c r="CK633" s="67">
        <v>0</v>
      </c>
      <c r="CL633" s="67"/>
      <c r="CM633" s="67"/>
      <c r="CN633" s="67"/>
      <c r="CO633" s="67">
        <v>0</v>
      </c>
      <c r="CP633" s="67"/>
      <c r="CQ633" s="67"/>
      <c r="CR633" s="67"/>
      <c r="CS633" s="67"/>
      <c r="CT633" s="67"/>
      <c r="CU633" s="67">
        <v>0</v>
      </c>
      <c r="CV633" s="67"/>
      <c r="CW633" s="67"/>
      <c r="CX633" s="67"/>
      <c r="CY633" s="67">
        <v>0</v>
      </c>
      <c r="CZ633" s="67"/>
      <c r="DA633" s="67"/>
      <c r="DB633" s="67"/>
      <c r="DC633" s="67"/>
      <c r="DF633" s="67"/>
      <c r="DG633" s="67">
        <v>0</v>
      </c>
      <c r="DH633" s="67">
        <v>0</v>
      </c>
      <c r="DI633" s="67">
        <v>0</v>
      </c>
      <c r="DJ633" s="67"/>
      <c r="DK633" s="67">
        <v>0</v>
      </c>
      <c r="DL633" s="67">
        <v>0</v>
      </c>
      <c r="DM633" s="67"/>
      <c r="DN633" s="67"/>
      <c r="DO633" s="67"/>
      <c r="DP633" s="67"/>
      <c r="DQ633" s="67">
        <v>0</v>
      </c>
      <c r="DR633" s="67">
        <v>0</v>
      </c>
      <c r="DS633" s="67"/>
      <c r="DT633" s="67"/>
      <c r="DU633" s="67">
        <v>0</v>
      </c>
      <c r="DV633" s="67">
        <v>0</v>
      </c>
      <c r="DW633" s="67">
        <v>0</v>
      </c>
      <c r="DX633" s="67">
        <v>0</v>
      </c>
      <c r="DY633" s="67"/>
      <c r="DZ633" s="67">
        <v>0</v>
      </c>
      <c r="EA633" s="67"/>
      <c r="EB633" s="67">
        <v>0</v>
      </c>
      <c r="EC633" s="67"/>
      <c r="ED633" s="67">
        <v>0</v>
      </c>
      <c r="EE633" s="67"/>
      <c r="EF633" s="67">
        <v>0</v>
      </c>
      <c r="EG633" s="67"/>
      <c r="EH633" s="67"/>
      <c r="EI633" s="67"/>
      <c r="EJ633" s="67"/>
      <c r="EK633" s="67"/>
      <c r="EL633" s="67"/>
      <c r="EM633" s="67"/>
      <c r="EN633" s="67"/>
      <c r="EO633" s="67"/>
      <c r="EP633" s="67">
        <v>0</v>
      </c>
      <c r="EQ633" s="67">
        <v>0</v>
      </c>
      <c r="ER633" s="67">
        <v>0</v>
      </c>
      <c r="ES633" s="67"/>
      <c r="EX633" s="67"/>
      <c r="EY633" s="67"/>
      <c r="EZ633" s="67"/>
      <c r="FA633" s="67">
        <v>1950</v>
      </c>
      <c r="FB633" s="67"/>
      <c r="FC633" s="67"/>
      <c r="FD633" s="67"/>
      <c r="FE633" s="67"/>
      <c r="FF633" s="67"/>
      <c r="FG633" s="67"/>
      <c r="FH633" s="67"/>
      <c r="FI633" s="67" t="s">
        <v>1736</v>
      </c>
    </row>
    <row r="634" spans="2:165" x14ac:dyDescent="0.2">
      <c r="B634" s="67"/>
      <c r="C634" s="67" t="s">
        <v>1775</v>
      </c>
      <c r="D634" s="67" t="s">
        <v>895</v>
      </c>
      <c r="E634" s="67"/>
      <c r="F634" s="67"/>
      <c r="G634" s="67"/>
      <c r="H634" s="67"/>
      <c r="I634" s="67"/>
      <c r="J634" s="67"/>
      <c r="K634" s="67"/>
      <c r="L634" s="67"/>
      <c r="M634" s="67"/>
      <c r="N634" s="67"/>
      <c r="O634" s="67"/>
      <c r="P634" s="67"/>
      <c r="Q634" s="67">
        <v>400</v>
      </c>
      <c r="R634" s="67">
        <v>0</v>
      </c>
      <c r="S634" s="67">
        <v>0</v>
      </c>
      <c r="T634" s="67">
        <v>0</v>
      </c>
      <c r="U634" s="67">
        <v>0</v>
      </c>
      <c r="V634" s="67">
        <v>0</v>
      </c>
      <c r="W634" s="67">
        <v>0</v>
      </c>
      <c r="X634" s="67">
        <v>0</v>
      </c>
      <c r="Y634" s="67">
        <v>0</v>
      </c>
      <c r="Z634" s="67">
        <v>0</v>
      </c>
      <c r="AA634" s="67">
        <v>0</v>
      </c>
      <c r="AB634" s="67">
        <v>0</v>
      </c>
      <c r="AC634" s="67">
        <v>0</v>
      </c>
      <c r="AD634" s="67">
        <v>0</v>
      </c>
      <c r="AE634" s="67">
        <v>0</v>
      </c>
      <c r="AF634" s="67">
        <v>0</v>
      </c>
      <c r="AG634" s="67">
        <v>0</v>
      </c>
      <c r="AH634" s="67">
        <v>0</v>
      </c>
      <c r="AI634" s="67">
        <v>0</v>
      </c>
      <c r="AJ634" s="67">
        <v>0</v>
      </c>
      <c r="AK634" s="67">
        <v>0</v>
      </c>
      <c r="AL634" s="67">
        <v>0</v>
      </c>
      <c r="AM634" s="67">
        <v>0</v>
      </c>
      <c r="AN634" s="67">
        <v>400</v>
      </c>
      <c r="AO634" s="67">
        <v>0</v>
      </c>
      <c r="AP634" s="67">
        <v>0</v>
      </c>
      <c r="AQ634" s="67">
        <v>0</v>
      </c>
      <c r="AR634" s="67">
        <v>0</v>
      </c>
      <c r="AS634" s="67">
        <v>0</v>
      </c>
      <c r="AT634" s="67"/>
      <c r="AU634" s="67"/>
      <c r="AV634" s="67"/>
      <c r="AW634" s="67">
        <v>0</v>
      </c>
      <c r="AX634" s="67">
        <v>0</v>
      </c>
      <c r="AY634" s="67"/>
      <c r="AZ634" s="67"/>
      <c r="BA634" s="67"/>
      <c r="BB634" s="67"/>
      <c r="BC634" s="67"/>
      <c r="BD634" s="67"/>
      <c r="BE634" s="67"/>
      <c r="BG634" s="67"/>
      <c r="BH634" s="67"/>
      <c r="BI634" s="67"/>
      <c r="BJ634" s="67">
        <v>0</v>
      </c>
      <c r="BK634" s="67"/>
      <c r="BL634" s="67"/>
      <c r="BP634" s="67"/>
      <c r="BQ634" s="67">
        <v>0</v>
      </c>
      <c r="BR634" s="67"/>
      <c r="BS634" s="67"/>
      <c r="BT634" s="67">
        <v>0</v>
      </c>
      <c r="BU634" s="67">
        <v>0</v>
      </c>
      <c r="BV634" s="67"/>
      <c r="BW634" s="67"/>
      <c r="BX634" s="67">
        <v>0</v>
      </c>
      <c r="BY634" s="67"/>
      <c r="BZ634" s="67"/>
      <c r="CA634" s="67"/>
      <c r="CB634" s="67"/>
      <c r="CC634" s="67"/>
      <c r="CD634" s="67"/>
      <c r="CE634" s="67">
        <v>0</v>
      </c>
      <c r="CF634" s="67"/>
      <c r="CG634" s="67"/>
      <c r="CH634" s="67"/>
      <c r="CI634" s="67"/>
      <c r="CJ634" s="67"/>
      <c r="CK634" s="67">
        <v>0</v>
      </c>
      <c r="CL634" s="67"/>
      <c r="CM634" s="67"/>
      <c r="CN634" s="67"/>
      <c r="CO634" s="67">
        <v>0</v>
      </c>
      <c r="CP634" s="67"/>
      <c r="CQ634" s="67"/>
      <c r="CR634" s="67"/>
      <c r="CS634" s="67"/>
      <c r="CT634" s="67"/>
      <c r="CU634" s="67">
        <v>0</v>
      </c>
      <c r="CV634" s="67"/>
      <c r="CW634" s="67"/>
      <c r="CX634" s="67"/>
      <c r="CY634" s="67">
        <v>0</v>
      </c>
      <c r="CZ634" s="67"/>
      <c r="DA634" s="67"/>
      <c r="DB634" s="67"/>
      <c r="DC634" s="67"/>
      <c r="DF634" s="67"/>
      <c r="DG634" s="67">
        <v>0</v>
      </c>
      <c r="DH634" s="67">
        <v>0</v>
      </c>
      <c r="DI634" s="67">
        <v>0</v>
      </c>
      <c r="DJ634" s="67"/>
      <c r="DK634" s="67">
        <v>0</v>
      </c>
      <c r="DL634" s="67">
        <v>0</v>
      </c>
      <c r="DM634" s="67"/>
      <c r="DN634" s="67"/>
      <c r="DO634" s="67"/>
      <c r="DP634" s="67"/>
      <c r="DQ634" s="67">
        <v>0</v>
      </c>
      <c r="DR634" s="67">
        <v>0</v>
      </c>
      <c r="DS634" s="67"/>
      <c r="DT634" s="67"/>
      <c r="DU634" s="67">
        <v>0</v>
      </c>
      <c r="DV634" s="67">
        <v>0</v>
      </c>
      <c r="DW634" s="67">
        <v>0</v>
      </c>
      <c r="DX634" s="67">
        <v>0</v>
      </c>
      <c r="DY634" s="67"/>
      <c r="DZ634" s="67">
        <v>0</v>
      </c>
      <c r="EA634" s="67"/>
      <c r="EB634" s="67">
        <v>0</v>
      </c>
      <c r="EC634" s="67"/>
      <c r="ED634" s="67">
        <v>0</v>
      </c>
      <c r="EE634" s="67"/>
      <c r="EF634" s="67">
        <v>0</v>
      </c>
      <c r="EG634" s="67"/>
      <c r="EH634" s="67"/>
      <c r="EI634" s="67"/>
      <c r="EJ634" s="67"/>
      <c r="EK634" s="67"/>
      <c r="EL634" s="67"/>
      <c r="EM634" s="67"/>
      <c r="EN634" s="67"/>
      <c r="EO634" s="67"/>
      <c r="EP634" s="67">
        <v>0</v>
      </c>
      <c r="EQ634" s="67">
        <v>0</v>
      </c>
      <c r="ER634" s="67">
        <v>0</v>
      </c>
      <c r="ES634" s="67"/>
      <c r="EX634" s="67"/>
      <c r="EY634" s="67"/>
      <c r="EZ634" s="67"/>
      <c r="FA634" s="67">
        <v>400</v>
      </c>
      <c r="FB634" s="67"/>
      <c r="FC634" s="67"/>
      <c r="FD634" s="67"/>
      <c r="FE634" s="67"/>
      <c r="FF634" s="67"/>
      <c r="FG634" s="67"/>
      <c r="FH634" s="67"/>
      <c r="FI634" s="67" t="s">
        <v>1736</v>
      </c>
    </row>
    <row r="635" spans="2:165" x14ac:dyDescent="0.2">
      <c r="B635" s="67"/>
      <c r="C635" s="67" t="s">
        <v>1776</v>
      </c>
      <c r="D635" s="67" t="s">
        <v>1574</v>
      </c>
      <c r="E635" s="67"/>
      <c r="F635" s="67"/>
      <c r="G635" s="67"/>
      <c r="H635" s="67"/>
      <c r="I635" s="67"/>
      <c r="J635" s="67"/>
      <c r="K635" s="67"/>
      <c r="L635" s="67"/>
      <c r="M635" s="67"/>
      <c r="N635" s="67"/>
      <c r="O635" s="67"/>
      <c r="P635" s="67"/>
      <c r="Q635" s="67">
        <v>3032</v>
      </c>
      <c r="R635" s="67">
        <v>0</v>
      </c>
      <c r="S635" s="67">
        <v>0</v>
      </c>
      <c r="T635" s="67">
        <v>0</v>
      </c>
      <c r="U635" s="67">
        <v>0</v>
      </c>
      <c r="V635" s="67">
        <v>0</v>
      </c>
      <c r="W635" s="67">
        <v>2900</v>
      </c>
      <c r="X635" s="67">
        <v>0</v>
      </c>
      <c r="Y635" s="67">
        <v>0</v>
      </c>
      <c r="Z635" s="67">
        <v>132</v>
      </c>
      <c r="AA635" s="67">
        <v>0</v>
      </c>
      <c r="AB635" s="67">
        <v>0</v>
      </c>
      <c r="AC635" s="67">
        <v>0</v>
      </c>
      <c r="AD635" s="67">
        <v>0</v>
      </c>
      <c r="AE635" s="67">
        <v>0</v>
      </c>
      <c r="AF635" s="67">
        <v>0</v>
      </c>
      <c r="AG635" s="67">
        <v>0</v>
      </c>
      <c r="AH635" s="67">
        <v>0</v>
      </c>
      <c r="AI635" s="67">
        <v>0</v>
      </c>
      <c r="AJ635" s="67">
        <v>0</v>
      </c>
      <c r="AK635" s="67">
        <v>0</v>
      </c>
      <c r="AL635" s="67">
        <v>0</v>
      </c>
      <c r="AM635" s="67">
        <v>0</v>
      </c>
      <c r="AN635" s="67">
        <v>0</v>
      </c>
      <c r="AO635" s="67">
        <v>0</v>
      </c>
      <c r="AP635" s="67">
        <v>0</v>
      </c>
      <c r="AQ635" s="67">
        <v>0</v>
      </c>
      <c r="AR635" s="67">
        <v>0</v>
      </c>
      <c r="AS635" s="67">
        <v>0</v>
      </c>
      <c r="AT635" s="67"/>
      <c r="AU635" s="67"/>
      <c r="AV635" s="67"/>
      <c r="AW635" s="67">
        <v>0</v>
      </c>
      <c r="AX635" s="67">
        <v>0</v>
      </c>
      <c r="AY635" s="67"/>
      <c r="AZ635" s="67"/>
      <c r="BA635" s="67"/>
      <c r="BB635" s="67"/>
      <c r="BC635" s="67"/>
      <c r="BD635" s="67"/>
      <c r="BE635" s="67"/>
      <c r="BG635" s="67"/>
      <c r="BH635" s="67"/>
      <c r="BI635" s="67"/>
      <c r="BJ635" s="67">
        <v>0</v>
      </c>
      <c r="BK635" s="67"/>
      <c r="BL635" s="67"/>
      <c r="BP635" s="67"/>
      <c r="BQ635" s="67">
        <v>0</v>
      </c>
      <c r="BR635" s="67"/>
      <c r="BS635" s="67"/>
      <c r="BT635" s="67">
        <v>0</v>
      </c>
      <c r="BU635" s="67">
        <v>0</v>
      </c>
      <c r="BV635" s="67"/>
      <c r="BW635" s="67"/>
      <c r="BX635" s="67">
        <v>0</v>
      </c>
      <c r="BY635" s="67"/>
      <c r="BZ635" s="67"/>
      <c r="CA635" s="67"/>
      <c r="CB635" s="67"/>
      <c r="CC635" s="67"/>
      <c r="CD635" s="67"/>
      <c r="CE635" s="67">
        <v>0</v>
      </c>
      <c r="CF635" s="67"/>
      <c r="CG635" s="67"/>
      <c r="CH635" s="67"/>
      <c r="CI635" s="67"/>
      <c r="CJ635" s="67"/>
      <c r="CK635" s="67">
        <v>0</v>
      </c>
      <c r="CL635" s="67"/>
      <c r="CM635" s="67"/>
      <c r="CN635" s="67"/>
      <c r="CO635" s="67">
        <v>0</v>
      </c>
      <c r="CP635" s="67"/>
      <c r="CQ635" s="67"/>
      <c r="CR635" s="67"/>
      <c r="CS635" s="67"/>
      <c r="CT635" s="67"/>
      <c r="CU635" s="67">
        <v>0</v>
      </c>
      <c r="CV635" s="67"/>
      <c r="CW635" s="67"/>
      <c r="CX635" s="67"/>
      <c r="CY635" s="67">
        <v>0</v>
      </c>
      <c r="CZ635" s="67"/>
      <c r="DA635" s="67"/>
      <c r="DB635" s="67"/>
      <c r="DC635" s="67"/>
      <c r="DF635" s="67"/>
      <c r="DG635" s="67">
        <v>0</v>
      </c>
      <c r="DH635" s="67">
        <v>0</v>
      </c>
      <c r="DI635" s="67">
        <v>0</v>
      </c>
      <c r="DJ635" s="67"/>
      <c r="DK635" s="67">
        <v>0</v>
      </c>
      <c r="DL635" s="67">
        <v>0</v>
      </c>
      <c r="DM635" s="67"/>
      <c r="DN635" s="67"/>
      <c r="DO635" s="67"/>
      <c r="DP635" s="67"/>
      <c r="DQ635" s="67">
        <v>0</v>
      </c>
      <c r="DR635" s="67">
        <v>0</v>
      </c>
      <c r="DS635" s="67"/>
      <c r="DT635" s="67"/>
      <c r="DU635" s="67">
        <v>0</v>
      </c>
      <c r="DV635" s="67">
        <v>0</v>
      </c>
      <c r="DW635" s="67">
        <v>0</v>
      </c>
      <c r="DX635" s="67">
        <v>0</v>
      </c>
      <c r="DY635" s="67"/>
      <c r="DZ635" s="67">
        <v>0</v>
      </c>
      <c r="EA635" s="67"/>
      <c r="EB635" s="67">
        <v>0</v>
      </c>
      <c r="EC635" s="67"/>
      <c r="ED635" s="67">
        <v>0</v>
      </c>
      <c r="EE635" s="67"/>
      <c r="EF635" s="67">
        <v>0</v>
      </c>
      <c r="EG635" s="67"/>
      <c r="EH635" s="67"/>
      <c r="EI635" s="67"/>
      <c r="EJ635" s="67"/>
      <c r="EK635" s="67"/>
      <c r="EL635" s="67"/>
      <c r="EM635" s="67"/>
      <c r="EN635" s="67"/>
      <c r="EO635" s="67"/>
      <c r="EP635" s="67">
        <v>0</v>
      </c>
      <c r="EQ635" s="67">
        <v>0</v>
      </c>
      <c r="ER635" s="67">
        <v>0</v>
      </c>
      <c r="ES635" s="67"/>
      <c r="EX635" s="67"/>
      <c r="EY635" s="67"/>
      <c r="EZ635" s="67"/>
      <c r="FA635" s="67">
        <v>3032</v>
      </c>
      <c r="FB635" s="67"/>
      <c r="FC635" s="67"/>
      <c r="FD635" s="67"/>
      <c r="FE635" s="67"/>
      <c r="FF635" s="67"/>
      <c r="FG635" s="67"/>
      <c r="FH635" s="67"/>
      <c r="FI635" s="67" t="s">
        <v>1736</v>
      </c>
    </row>
    <row r="636" spans="2:165" x14ac:dyDescent="0.2">
      <c r="B636" s="67"/>
      <c r="C636" s="67" t="s">
        <v>1777</v>
      </c>
      <c r="D636" s="67" t="s">
        <v>891</v>
      </c>
      <c r="E636" s="67"/>
      <c r="F636" s="67"/>
      <c r="G636" s="67"/>
      <c r="H636" s="67"/>
      <c r="I636" s="67"/>
      <c r="J636" s="67"/>
      <c r="K636" s="67"/>
      <c r="L636" s="67"/>
      <c r="M636" s="67"/>
      <c r="N636" s="67"/>
      <c r="O636" s="67"/>
      <c r="P636" s="67"/>
      <c r="Q636" s="67">
        <v>250</v>
      </c>
      <c r="R636" s="67">
        <v>0</v>
      </c>
      <c r="S636" s="67">
        <v>0</v>
      </c>
      <c r="T636" s="67">
        <v>0</v>
      </c>
      <c r="U636" s="67">
        <v>0</v>
      </c>
      <c r="V636" s="67">
        <v>0</v>
      </c>
      <c r="W636" s="67">
        <v>0</v>
      </c>
      <c r="X636" s="67">
        <v>0</v>
      </c>
      <c r="Y636" s="67">
        <v>0</v>
      </c>
      <c r="Z636" s="67">
        <v>250</v>
      </c>
      <c r="AA636" s="67">
        <v>0</v>
      </c>
      <c r="AB636" s="67">
        <v>0</v>
      </c>
      <c r="AC636" s="67">
        <v>0</v>
      </c>
      <c r="AD636" s="67">
        <v>0</v>
      </c>
      <c r="AE636" s="67">
        <v>0</v>
      </c>
      <c r="AF636" s="67">
        <v>0</v>
      </c>
      <c r="AG636" s="67">
        <v>0</v>
      </c>
      <c r="AH636" s="67">
        <v>0</v>
      </c>
      <c r="AI636" s="67">
        <v>0</v>
      </c>
      <c r="AJ636" s="67">
        <v>0</v>
      </c>
      <c r="AK636" s="67">
        <v>0</v>
      </c>
      <c r="AL636" s="67">
        <v>0</v>
      </c>
      <c r="AM636" s="67">
        <v>0</v>
      </c>
      <c r="AN636" s="67">
        <v>0</v>
      </c>
      <c r="AO636" s="67">
        <v>0</v>
      </c>
      <c r="AP636" s="67">
        <v>0</v>
      </c>
      <c r="AQ636" s="67">
        <v>0</v>
      </c>
      <c r="AR636" s="67">
        <v>0</v>
      </c>
      <c r="AS636" s="67">
        <v>0</v>
      </c>
      <c r="AT636" s="67"/>
      <c r="AU636" s="67"/>
      <c r="AV636" s="67"/>
      <c r="AW636" s="67">
        <v>0</v>
      </c>
      <c r="AX636" s="67">
        <v>0</v>
      </c>
      <c r="AY636" s="67"/>
      <c r="AZ636" s="67"/>
      <c r="BA636" s="67"/>
      <c r="BB636" s="67"/>
      <c r="BC636" s="67"/>
      <c r="BD636" s="67"/>
      <c r="BE636" s="67"/>
      <c r="BG636" s="67"/>
      <c r="BH636" s="67"/>
      <c r="BI636" s="67"/>
      <c r="BJ636" s="67">
        <v>0</v>
      </c>
      <c r="BK636" s="67"/>
      <c r="BL636" s="67"/>
      <c r="BP636" s="67"/>
      <c r="BQ636" s="67">
        <v>0</v>
      </c>
      <c r="BR636" s="67"/>
      <c r="BS636" s="67"/>
      <c r="BT636" s="67">
        <v>0</v>
      </c>
      <c r="BU636" s="67">
        <v>0</v>
      </c>
      <c r="BV636" s="67"/>
      <c r="BW636" s="67"/>
      <c r="BX636" s="67">
        <v>0</v>
      </c>
      <c r="BY636" s="67"/>
      <c r="BZ636" s="67"/>
      <c r="CA636" s="67"/>
      <c r="CB636" s="67"/>
      <c r="CC636" s="67"/>
      <c r="CD636" s="67"/>
      <c r="CE636" s="67">
        <v>0</v>
      </c>
      <c r="CF636" s="67"/>
      <c r="CG636" s="67"/>
      <c r="CH636" s="67"/>
      <c r="CI636" s="67"/>
      <c r="CJ636" s="67"/>
      <c r="CK636" s="67">
        <v>0</v>
      </c>
      <c r="CL636" s="67"/>
      <c r="CM636" s="67"/>
      <c r="CN636" s="67"/>
      <c r="CO636" s="67">
        <v>0</v>
      </c>
      <c r="CP636" s="67"/>
      <c r="CQ636" s="67"/>
      <c r="CR636" s="67"/>
      <c r="CS636" s="67"/>
      <c r="CT636" s="67"/>
      <c r="CU636" s="67">
        <v>0</v>
      </c>
      <c r="CV636" s="67"/>
      <c r="CW636" s="67"/>
      <c r="CX636" s="67"/>
      <c r="CY636" s="67">
        <v>0</v>
      </c>
      <c r="CZ636" s="67"/>
      <c r="DA636" s="67"/>
      <c r="DB636" s="67"/>
      <c r="DC636" s="67"/>
      <c r="DF636" s="67"/>
      <c r="DG636" s="67">
        <v>0</v>
      </c>
      <c r="DH636" s="67">
        <v>0</v>
      </c>
      <c r="DI636" s="67">
        <v>0</v>
      </c>
      <c r="DJ636" s="67"/>
      <c r="DK636" s="67">
        <v>0</v>
      </c>
      <c r="DL636" s="67">
        <v>0</v>
      </c>
      <c r="DM636" s="67"/>
      <c r="DN636" s="67"/>
      <c r="DO636" s="67"/>
      <c r="DP636" s="67"/>
      <c r="DQ636" s="67">
        <v>0</v>
      </c>
      <c r="DR636" s="67">
        <v>0</v>
      </c>
      <c r="DS636" s="67"/>
      <c r="DT636" s="67"/>
      <c r="DU636" s="67">
        <v>0</v>
      </c>
      <c r="DV636" s="67">
        <v>0</v>
      </c>
      <c r="DW636" s="67">
        <v>0</v>
      </c>
      <c r="DX636" s="67">
        <v>0</v>
      </c>
      <c r="DY636" s="67"/>
      <c r="DZ636" s="67">
        <v>0</v>
      </c>
      <c r="EA636" s="67"/>
      <c r="EB636" s="67">
        <v>0</v>
      </c>
      <c r="EC636" s="67"/>
      <c r="ED636" s="67">
        <v>0</v>
      </c>
      <c r="EE636" s="67"/>
      <c r="EF636" s="67">
        <v>0</v>
      </c>
      <c r="EG636" s="67"/>
      <c r="EH636" s="67"/>
      <c r="EI636" s="67"/>
      <c r="EJ636" s="67"/>
      <c r="EK636" s="67"/>
      <c r="EL636" s="67"/>
      <c r="EM636" s="67"/>
      <c r="EN636" s="67"/>
      <c r="EO636" s="67"/>
      <c r="EP636" s="67">
        <v>0</v>
      </c>
      <c r="EQ636" s="67">
        <v>0</v>
      </c>
      <c r="ER636" s="67">
        <v>0</v>
      </c>
      <c r="ES636" s="67"/>
      <c r="EX636" s="67"/>
      <c r="EY636" s="67"/>
      <c r="EZ636" s="67"/>
      <c r="FA636" s="67">
        <v>250</v>
      </c>
      <c r="FB636" s="67"/>
      <c r="FC636" s="67"/>
      <c r="FD636" s="67"/>
      <c r="FE636" s="67"/>
      <c r="FF636" s="67"/>
      <c r="FG636" s="67"/>
      <c r="FH636" s="67"/>
      <c r="FI636" s="67" t="s">
        <v>1736</v>
      </c>
    </row>
    <row r="637" spans="2:165" x14ac:dyDescent="0.2">
      <c r="B637" s="67"/>
      <c r="C637" s="67" t="s">
        <v>1778</v>
      </c>
      <c r="D637" s="67" t="s">
        <v>1575</v>
      </c>
      <c r="E637" s="67"/>
      <c r="F637" s="67"/>
      <c r="G637" s="67"/>
      <c r="H637" s="67"/>
      <c r="I637" s="67"/>
      <c r="J637" s="67"/>
      <c r="K637" s="67"/>
      <c r="L637" s="67"/>
      <c r="M637" s="67"/>
      <c r="N637" s="67"/>
      <c r="O637" s="67"/>
      <c r="P637" s="67"/>
      <c r="Q637" s="67">
        <v>960</v>
      </c>
      <c r="R637" s="67">
        <v>0</v>
      </c>
      <c r="S637" s="67">
        <v>960</v>
      </c>
      <c r="T637" s="67">
        <v>0</v>
      </c>
      <c r="U637" s="67">
        <v>0</v>
      </c>
      <c r="V637" s="67">
        <v>0</v>
      </c>
      <c r="W637" s="67">
        <v>0</v>
      </c>
      <c r="X637" s="67">
        <v>0</v>
      </c>
      <c r="Y637" s="67">
        <v>0</v>
      </c>
      <c r="Z637" s="67">
        <v>0</v>
      </c>
      <c r="AA637" s="67">
        <v>0</v>
      </c>
      <c r="AB637" s="67">
        <v>0</v>
      </c>
      <c r="AC637" s="67">
        <v>0</v>
      </c>
      <c r="AD637" s="67">
        <v>0</v>
      </c>
      <c r="AE637" s="67">
        <v>0</v>
      </c>
      <c r="AF637" s="67">
        <v>0</v>
      </c>
      <c r="AG637" s="67">
        <v>0</v>
      </c>
      <c r="AH637" s="67">
        <v>0</v>
      </c>
      <c r="AI637" s="67">
        <v>0</v>
      </c>
      <c r="AJ637" s="67">
        <v>0</v>
      </c>
      <c r="AK637" s="67">
        <v>0</v>
      </c>
      <c r="AL637" s="67">
        <v>0</v>
      </c>
      <c r="AM637" s="67">
        <v>0</v>
      </c>
      <c r="AN637" s="67">
        <v>0</v>
      </c>
      <c r="AO637" s="67">
        <v>0</v>
      </c>
      <c r="AP637" s="67">
        <v>0</v>
      </c>
      <c r="AQ637" s="67">
        <v>0</v>
      </c>
      <c r="AR637" s="67">
        <v>0</v>
      </c>
      <c r="AS637" s="67">
        <v>0</v>
      </c>
      <c r="AT637" s="67"/>
      <c r="AU637" s="67"/>
      <c r="AV637" s="67"/>
      <c r="AW637" s="67">
        <v>0</v>
      </c>
      <c r="AX637" s="67">
        <v>0</v>
      </c>
      <c r="AY637" s="67"/>
      <c r="AZ637" s="67"/>
      <c r="BA637" s="67"/>
      <c r="BB637" s="67"/>
      <c r="BC637" s="67"/>
      <c r="BD637" s="67"/>
      <c r="BE637" s="67"/>
      <c r="BG637" s="67"/>
      <c r="BH637" s="67"/>
      <c r="BI637" s="67"/>
      <c r="BJ637" s="67">
        <v>0</v>
      </c>
      <c r="BK637" s="67"/>
      <c r="BL637" s="67"/>
      <c r="BP637" s="67"/>
      <c r="BQ637" s="67">
        <v>0</v>
      </c>
      <c r="BR637" s="67"/>
      <c r="BS637" s="67"/>
      <c r="BT637" s="67">
        <v>0</v>
      </c>
      <c r="BU637" s="67">
        <v>0</v>
      </c>
      <c r="BV637" s="67"/>
      <c r="BW637" s="67"/>
      <c r="BX637" s="67">
        <v>0</v>
      </c>
      <c r="BY637" s="67"/>
      <c r="BZ637" s="67"/>
      <c r="CA637" s="67"/>
      <c r="CB637" s="67"/>
      <c r="CC637" s="67"/>
      <c r="CD637" s="67"/>
      <c r="CE637" s="67">
        <v>0</v>
      </c>
      <c r="CF637" s="67"/>
      <c r="CG637" s="67"/>
      <c r="CH637" s="67"/>
      <c r="CI637" s="67"/>
      <c r="CJ637" s="67"/>
      <c r="CK637" s="67">
        <v>0</v>
      </c>
      <c r="CL637" s="67"/>
      <c r="CM637" s="67"/>
      <c r="CN637" s="67"/>
      <c r="CO637" s="67">
        <v>0</v>
      </c>
      <c r="CP637" s="67"/>
      <c r="CQ637" s="67"/>
      <c r="CR637" s="67"/>
      <c r="CS637" s="67"/>
      <c r="CT637" s="67"/>
      <c r="CU637" s="67">
        <v>0</v>
      </c>
      <c r="CV637" s="67"/>
      <c r="CW637" s="67"/>
      <c r="CX637" s="67"/>
      <c r="CY637" s="67">
        <v>0</v>
      </c>
      <c r="CZ637" s="67"/>
      <c r="DA637" s="67"/>
      <c r="DB637" s="67"/>
      <c r="DC637" s="67"/>
      <c r="DF637" s="67"/>
      <c r="DG637" s="67">
        <v>0</v>
      </c>
      <c r="DH637" s="67">
        <v>0</v>
      </c>
      <c r="DI637" s="67">
        <v>0</v>
      </c>
      <c r="DJ637" s="67"/>
      <c r="DK637" s="67">
        <v>0</v>
      </c>
      <c r="DL637" s="67">
        <v>0</v>
      </c>
      <c r="DM637" s="67"/>
      <c r="DN637" s="67"/>
      <c r="DO637" s="67"/>
      <c r="DP637" s="67"/>
      <c r="DQ637" s="67">
        <v>0</v>
      </c>
      <c r="DR637" s="67">
        <v>0</v>
      </c>
      <c r="DS637" s="67"/>
      <c r="DT637" s="67"/>
      <c r="DU637" s="67">
        <v>0</v>
      </c>
      <c r="DV637" s="67">
        <v>0</v>
      </c>
      <c r="DW637" s="67">
        <v>0</v>
      </c>
      <c r="DX637" s="67">
        <v>0</v>
      </c>
      <c r="DY637" s="67"/>
      <c r="DZ637" s="67">
        <v>0</v>
      </c>
      <c r="EA637" s="67"/>
      <c r="EB637" s="67">
        <v>0</v>
      </c>
      <c r="EC637" s="67"/>
      <c r="ED637" s="67">
        <v>0</v>
      </c>
      <c r="EE637" s="67"/>
      <c r="EF637" s="67">
        <v>0</v>
      </c>
      <c r="EG637" s="67"/>
      <c r="EH637" s="67"/>
      <c r="EI637" s="67"/>
      <c r="EJ637" s="67"/>
      <c r="EK637" s="67"/>
      <c r="EL637" s="67"/>
      <c r="EM637" s="67"/>
      <c r="EN637" s="67"/>
      <c r="EO637" s="67"/>
      <c r="EP637" s="67">
        <v>0</v>
      </c>
      <c r="EQ637" s="67">
        <v>0</v>
      </c>
      <c r="ER637" s="67">
        <v>0</v>
      </c>
      <c r="ES637" s="67"/>
      <c r="EX637" s="67"/>
      <c r="EY637" s="67"/>
      <c r="EZ637" s="67"/>
      <c r="FA637" s="67">
        <v>960</v>
      </c>
      <c r="FB637" s="67"/>
      <c r="FC637" s="67"/>
      <c r="FD637" s="67"/>
      <c r="FE637" s="67"/>
      <c r="FF637" s="67"/>
      <c r="FG637" s="67"/>
      <c r="FH637" s="67"/>
      <c r="FI637" s="67" t="s">
        <v>1736</v>
      </c>
    </row>
    <row r="638" spans="2:165" x14ac:dyDescent="0.2">
      <c r="B638" s="67"/>
      <c r="C638" s="67" t="s">
        <v>1779</v>
      </c>
      <c r="D638" s="67" t="s">
        <v>1576</v>
      </c>
      <c r="E638" s="67"/>
      <c r="F638" s="67"/>
      <c r="G638" s="67"/>
      <c r="H638" s="67"/>
      <c r="I638" s="67"/>
      <c r="J638" s="67"/>
      <c r="K638" s="67"/>
      <c r="L638" s="67"/>
      <c r="M638" s="67"/>
      <c r="N638" s="67"/>
      <c r="O638" s="67"/>
      <c r="P638" s="67"/>
      <c r="Q638" s="67">
        <v>250</v>
      </c>
      <c r="R638" s="67">
        <v>0</v>
      </c>
      <c r="S638" s="67">
        <v>0</v>
      </c>
      <c r="T638" s="67">
        <v>0</v>
      </c>
      <c r="U638" s="67">
        <v>0</v>
      </c>
      <c r="V638" s="67">
        <v>0</v>
      </c>
      <c r="W638" s="67">
        <v>0</v>
      </c>
      <c r="X638" s="67">
        <v>0</v>
      </c>
      <c r="Y638" s="67">
        <v>0</v>
      </c>
      <c r="Z638" s="67">
        <v>0</v>
      </c>
      <c r="AA638" s="67">
        <v>0</v>
      </c>
      <c r="AB638" s="67">
        <v>0</v>
      </c>
      <c r="AC638" s="67">
        <v>0</v>
      </c>
      <c r="AD638" s="67">
        <v>0</v>
      </c>
      <c r="AE638" s="67">
        <v>0</v>
      </c>
      <c r="AF638" s="67">
        <v>0</v>
      </c>
      <c r="AG638" s="67">
        <v>250</v>
      </c>
      <c r="AH638" s="67">
        <v>0</v>
      </c>
      <c r="AI638" s="67">
        <v>0</v>
      </c>
      <c r="AJ638" s="67">
        <v>0</v>
      </c>
      <c r="AK638" s="67">
        <v>0</v>
      </c>
      <c r="AL638" s="67">
        <v>0</v>
      </c>
      <c r="AM638" s="67">
        <v>0</v>
      </c>
      <c r="AN638" s="67">
        <v>0</v>
      </c>
      <c r="AO638" s="67">
        <v>0</v>
      </c>
      <c r="AP638" s="67">
        <v>0</v>
      </c>
      <c r="AQ638" s="67">
        <v>0</v>
      </c>
      <c r="AR638" s="67">
        <v>0</v>
      </c>
      <c r="AS638" s="67">
        <v>0</v>
      </c>
      <c r="AT638" s="67"/>
      <c r="AU638" s="67"/>
      <c r="AV638" s="67"/>
      <c r="AW638" s="67">
        <v>0</v>
      </c>
      <c r="AX638" s="67">
        <v>0</v>
      </c>
      <c r="AY638" s="67"/>
      <c r="AZ638" s="67"/>
      <c r="BA638" s="67"/>
      <c r="BB638" s="67"/>
      <c r="BC638" s="67"/>
      <c r="BD638" s="67"/>
      <c r="BE638" s="67"/>
      <c r="BG638" s="67"/>
      <c r="BH638" s="67"/>
      <c r="BI638" s="67"/>
      <c r="BJ638" s="67">
        <v>0</v>
      </c>
      <c r="BK638" s="67"/>
      <c r="BL638" s="67"/>
      <c r="BP638" s="67"/>
      <c r="BQ638" s="67">
        <v>0</v>
      </c>
      <c r="BR638" s="67"/>
      <c r="BS638" s="67"/>
      <c r="BT638" s="67">
        <v>0</v>
      </c>
      <c r="BU638" s="67">
        <v>0</v>
      </c>
      <c r="BV638" s="67"/>
      <c r="BW638" s="67"/>
      <c r="BX638" s="67">
        <v>0</v>
      </c>
      <c r="BY638" s="67"/>
      <c r="BZ638" s="67"/>
      <c r="CA638" s="67"/>
      <c r="CB638" s="67"/>
      <c r="CC638" s="67"/>
      <c r="CD638" s="67"/>
      <c r="CE638" s="67">
        <v>0</v>
      </c>
      <c r="CF638" s="67"/>
      <c r="CG638" s="67"/>
      <c r="CH638" s="67"/>
      <c r="CI638" s="67"/>
      <c r="CJ638" s="67"/>
      <c r="CK638" s="67">
        <v>0</v>
      </c>
      <c r="CL638" s="67"/>
      <c r="CM638" s="67"/>
      <c r="CN638" s="67"/>
      <c r="CO638" s="67">
        <v>0</v>
      </c>
      <c r="CP638" s="67"/>
      <c r="CQ638" s="67"/>
      <c r="CR638" s="67"/>
      <c r="CS638" s="67"/>
      <c r="CT638" s="67"/>
      <c r="CU638" s="67">
        <v>0</v>
      </c>
      <c r="CV638" s="67"/>
      <c r="CW638" s="67"/>
      <c r="CX638" s="67"/>
      <c r="CY638" s="67">
        <v>0</v>
      </c>
      <c r="CZ638" s="67"/>
      <c r="DA638" s="67"/>
      <c r="DB638" s="67"/>
      <c r="DC638" s="67"/>
      <c r="DF638" s="67"/>
      <c r="DG638" s="67">
        <v>0</v>
      </c>
      <c r="DH638" s="67">
        <v>0</v>
      </c>
      <c r="DI638" s="67">
        <v>0</v>
      </c>
      <c r="DJ638" s="67"/>
      <c r="DK638" s="67">
        <v>0</v>
      </c>
      <c r="DL638" s="67">
        <v>0</v>
      </c>
      <c r="DM638" s="67"/>
      <c r="DN638" s="67"/>
      <c r="DO638" s="67"/>
      <c r="DP638" s="67"/>
      <c r="DQ638" s="67">
        <v>0</v>
      </c>
      <c r="DR638" s="67">
        <v>0</v>
      </c>
      <c r="DS638" s="67"/>
      <c r="DT638" s="67"/>
      <c r="DU638" s="67">
        <v>0</v>
      </c>
      <c r="DV638" s="67">
        <v>0</v>
      </c>
      <c r="DW638" s="67">
        <v>0</v>
      </c>
      <c r="DX638" s="67">
        <v>0</v>
      </c>
      <c r="DY638" s="67"/>
      <c r="DZ638" s="67">
        <v>0</v>
      </c>
      <c r="EA638" s="67"/>
      <c r="EB638" s="67">
        <v>0</v>
      </c>
      <c r="EC638" s="67"/>
      <c r="ED638" s="67">
        <v>0</v>
      </c>
      <c r="EE638" s="67"/>
      <c r="EF638" s="67">
        <v>0</v>
      </c>
      <c r="EG638" s="67"/>
      <c r="EH638" s="67"/>
      <c r="EI638" s="67"/>
      <c r="EJ638" s="67"/>
      <c r="EK638" s="67"/>
      <c r="EL638" s="67"/>
      <c r="EM638" s="67"/>
      <c r="EN638" s="67"/>
      <c r="EO638" s="67"/>
      <c r="EP638" s="67">
        <v>0</v>
      </c>
      <c r="EQ638" s="67">
        <v>0</v>
      </c>
      <c r="ER638" s="67">
        <v>0</v>
      </c>
      <c r="ES638" s="67"/>
      <c r="EX638" s="67"/>
      <c r="EY638" s="67"/>
      <c r="EZ638" s="67"/>
      <c r="FA638" s="67">
        <v>250</v>
      </c>
      <c r="FB638" s="67"/>
      <c r="FC638" s="67"/>
      <c r="FD638" s="67"/>
      <c r="FE638" s="67"/>
      <c r="FF638" s="67"/>
      <c r="FG638" s="67"/>
      <c r="FH638" s="67"/>
      <c r="FI638" s="67" t="s">
        <v>1736</v>
      </c>
    </row>
    <row r="639" spans="2:165" x14ac:dyDescent="0.2">
      <c r="B639" s="67"/>
      <c r="C639" s="67" t="s">
        <v>1780</v>
      </c>
      <c r="D639" s="67" t="s">
        <v>1577</v>
      </c>
      <c r="E639" s="67"/>
      <c r="F639" s="67"/>
      <c r="G639" s="67"/>
      <c r="H639" s="67"/>
      <c r="I639" s="67"/>
      <c r="J639" s="67"/>
      <c r="K639" s="67"/>
      <c r="L639" s="67"/>
      <c r="M639" s="67"/>
      <c r="N639" s="67"/>
      <c r="O639" s="67"/>
      <c r="P639" s="67"/>
      <c r="Q639" s="67">
        <v>1069.6000000000001</v>
      </c>
      <c r="R639" s="67">
        <v>0</v>
      </c>
      <c r="S639" s="67">
        <v>0</v>
      </c>
      <c r="T639" s="67">
        <v>0</v>
      </c>
      <c r="U639" s="67">
        <v>0</v>
      </c>
      <c r="V639" s="67">
        <v>0</v>
      </c>
      <c r="W639" s="67">
        <v>0</v>
      </c>
      <c r="X639" s="67">
        <v>0</v>
      </c>
      <c r="Y639" s="67">
        <v>0</v>
      </c>
      <c r="Z639" s="67">
        <v>0</v>
      </c>
      <c r="AA639" s="67">
        <v>0</v>
      </c>
      <c r="AB639" s="67">
        <v>0</v>
      </c>
      <c r="AC639" s="67">
        <v>0</v>
      </c>
      <c r="AD639" s="67">
        <v>0</v>
      </c>
      <c r="AE639" s="67">
        <v>0</v>
      </c>
      <c r="AF639" s="67">
        <v>0</v>
      </c>
      <c r="AG639" s="67">
        <v>0</v>
      </c>
      <c r="AH639" s="67">
        <v>0</v>
      </c>
      <c r="AI639" s="67">
        <v>0</v>
      </c>
      <c r="AJ639" s="67">
        <v>0</v>
      </c>
      <c r="AK639" s="67">
        <v>0</v>
      </c>
      <c r="AL639" s="67">
        <v>0</v>
      </c>
      <c r="AM639" s="67">
        <v>0</v>
      </c>
      <c r="AN639" s="67">
        <v>0</v>
      </c>
      <c r="AO639" s="67">
        <v>1069.6000000000001</v>
      </c>
      <c r="AP639" s="67">
        <v>0</v>
      </c>
      <c r="AQ639" s="67">
        <v>0</v>
      </c>
      <c r="AR639" s="67">
        <v>0</v>
      </c>
      <c r="AS639" s="67">
        <v>0</v>
      </c>
      <c r="AT639" s="67"/>
      <c r="AU639" s="67"/>
      <c r="AV639" s="67"/>
      <c r="AW639" s="67">
        <v>0</v>
      </c>
      <c r="AX639" s="67">
        <v>0</v>
      </c>
      <c r="AY639" s="67"/>
      <c r="AZ639" s="67"/>
      <c r="BA639" s="67"/>
      <c r="BB639" s="67"/>
      <c r="BC639" s="67"/>
      <c r="BD639" s="67"/>
      <c r="BE639" s="67"/>
      <c r="BG639" s="67"/>
      <c r="BH639" s="67"/>
      <c r="BI639" s="67"/>
      <c r="BJ639" s="67">
        <v>0</v>
      </c>
      <c r="BK639" s="67"/>
      <c r="BL639" s="67"/>
      <c r="BP639" s="67"/>
      <c r="BQ639" s="67">
        <v>0</v>
      </c>
      <c r="BR639" s="67"/>
      <c r="BS639" s="67"/>
      <c r="BT639" s="67">
        <v>0</v>
      </c>
      <c r="BU639" s="67">
        <v>0</v>
      </c>
      <c r="BV639" s="67"/>
      <c r="BW639" s="67"/>
      <c r="BX639" s="67">
        <v>0</v>
      </c>
      <c r="BY639" s="67"/>
      <c r="BZ639" s="67"/>
      <c r="CA639" s="67"/>
      <c r="CB639" s="67"/>
      <c r="CC639" s="67"/>
      <c r="CD639" s="67"/>
      <c r="CE639" s="67">
        <v>0</v>
      </c>
      <c r="CF639" s="67"/>
      <c r="CG639" s="67"/>
      <c r="CH639" s="67"/>
      <c r="CI639" s="67"/>
      <c r="CJ639" s="67"/>
      <c r="CK639" s="67">
        <v>0</v>
      </c>
      <c r="CL639" s="67"/>
      <c r="CM639" s="67"/>
      <c r="CN639" s="67"/>
      <c r="CO639" s="67">
        <v>0</v>
      </c>
      <c r="CP639" s="67"/>
      <c r="CQ639" s="67"/>
      <c r="CR639" s="67"/>
      <c r="CS639" s="67"/>
      <c r="CT639" s="67"/>
      <c r="CU639" s="67">
        <v>0</v>
      </c>
      <c r="CV639" s="67"/>
      <c r="CW639" s="67"/>
      <c r="CX639" s="67"/>
      <c r="CY639" s="67">
        <v>0</v>
      </c>
      <c r="CZ639" s="67"/>
      <c r="DA639" s="67"/>
      <c r="DB639" s="67"/>
      <c r="DC639" s="67"/>
      <c r="DF639" s="67"/>
      <c r="DG639" s="67">
        <v>0</v>
      </c>
      <c r="DH639" s="67">
        <v>0</v>
      </c>
      <c r="DI639" s="67">
        <v>0</v>
      </c>
      <c r="DJ639" s="67"/>
      <c r="DK639" s="67">
        <v>0</v>
      </c>
      <c r="DL639" s="67">
        <v>0</v>
      </c>
      <c r="DM639" s="67"/>
      <c r="DN639" s="67"/>
      <c r="DO639" s="67"/>
      <c r="DP639" s="67"/>
      <c r="DQ639" s="67">
        <v>0</v>
      </c>
      <c r="DR639" s="67">
        <v>0</v>
      </c>
      <c r="DS639" s="67"/>
      <c r="DT639" s="67"/>
      <c r="DU639" s="67">
        <v>0</v>
      </c>
      <c r="DV639" s="67">
        <v>0</v>
      </c>
      <c r="DW639" s="67">
        <v>0</v>
      </c>
      <c r="DX639" s="67">
        <v>0</v>
      </c>
      <c r="DY639" s="67"/>
      <c r="DZ639" s="67">
        <v>0</v>
      </c>
      <c r="EA639" s="67"/>
      <c r="EB639" s="67">
        <v>0</v>
      </c>
      <c r="EC639" s="67"/>
      <c r="ED639" s="67">
        <v>0</v>
      </c>
      <c r="EE639" s="67"/>
      <c r="EF639" s="67">
        <v>0</v>
      </c>
      <c r="EG639" s="67"/>
      <c r="EH639" s="67"/>
      <c r="EI639" s="67"/>
      <c r="EJ639" s="67"/>
      <c r="EK639" s="67"/>
      <c r="EL639" s="67"/>
      <c r="EM639" s="67"/>
      <c r="EN639" s="67"/>
      <c r="EO639" s="67"/>
      <c r="EP639" s="67">
        <v>0</v>
      </c>
      <c r="EQ639" s="67">
        <v>0</v>
      </c>
      <c r="ER639" s="67">
        <v>0</v>
      </c>
      <c r="ES639" s="67"/>
      <c r="EX639" s="67"/>
      <c r="EY639" s="67"/>
      <c r="EZ639" s="67"/>
      <c r="FA639" s="67">
        <v>1069.6000000000001</v>
      </c>
      <c r="FB639" s="67"/>
      <c r="FC639" s="67"/>
      <c r="FD639" s="67"/>
      <c r="FE639" s="67"/>
      <c r="FF639" s="67"/>
      <c r="FG639" s="67"/>
      <c r="FH639" s="67"/>
      <c r="FI639" s="67" t="s">
        <v>1736</v>
      </c>
    </row>
    <row r="640" spans="2:165" x14ac:dyDescent="0.2">
      <c r="B640" s="67"/>
      <c r="C640" s="67" t="s">
        <v>1781</v>
      </c>
      <c r="D640" s="67" t="s">
        <v>1578</v>
      </c>
      <c r="E640" s="67"/>
      <c r="F640" s="67"/>
      <c r="G640" s="67"/>
      <c r="H640" s="67"/>
      <c r="I640" s="67"/>
      <c r="J640" s="67"/>
      <c r="K640" s="67"/>
      <c r="L640" s="67"/>
      <c r="M640" s="67"/>
      <c r="N640" s="67"/>
      <c r="O640" s="67"/>
      <c r="P640" s="67"/>
      <c r="Q640" s="67">
        <v>1528</v>
      </c>
      <c r="R640" s="67">
        <v>0</v>
      </c>
      <c r="S640" s="67">
        <v>0</v>
      </c>
      <c r="T640" s="67">
        <v>0</v>
      </c>
      <c r="U640" s="67">
        <v>0</v>
      </c>
      <c r="V640" s="67">
        <v>0</v>
      </c>
      <c r="W640" s="67">
        <v>0</v>
      </c>
      <c r="X640" s="67">
        <v>0</v>
      </c>
      <c r="Y640" s="67">
        <v>0</v>
      </c>
      <c r="Z640" s="67">
        <v>0</v>
      </c>
      <c r="AA640" s="67">
        <v>0</v>
      </c>
      <c r="AB640" s="67">
        <v>0</v>
      </c>
      <c r="AC640" s="67">
        <v>0</v>
      </c>
      <c r="AD640" s="67">
        <v>1528</v>
      </c>
      <c r="AE640" s="67">
        <v>0</v>
      </c>
      <c r="AF640" s="67">
        <v>0</v>
      </c>
      <c r="AG640" s="67">
        <v>0</v>
      </c>
      <c r="AH640" s="67">
        <v>0</v>
      </c>
      <c r="AI640" s="67">
        <v>0</v>
      </c>
      <c r="AJ640" s="67">
        <v>0</v>
      </c>
      <c r="AK640" s="67">
        <v>0</v>
      </c>
      <c r="AL640" s="67">
        <v>0</v>
      </c>
      <c r="AM640" s="67">
        <v>0</v>
      </c>
      <c r="AN640" s="67">
        <v>0</v>
      </c>
      <c r="AO640" s="67">
        <v>0</v>
      </c>
      <c r="AP640" s="67">
        <v>0</v>
      </c>
      <c r="AQ640" s="67">
        <v>0</v>
      </c>
      <c r="AR640" s="67">
        <v>0</v>
      </c>
      <c r="AS640" s="67">
        <v>0</v>
      </c>
      <c r="AT640" s="67"/>
      <c r="AU640" s="67"/>
      <c r="AV640" s="67"/>
      <c r="AW640" s="67">
        <v>0</v>
      </c>
      <c r="AX640" s="67">
        <v>0</v>
      </c>
      <c r="AY640" s="67"/>
      <c r="AZ640" s="67"/>
      <c r="BA640" s="67"/>
      <c r="BB640" s="67"/>
      <c r="BC640" s="67"/>
      <c r="BD640" s="67"/>
      <c r="BE640" s="67"/>
      <c r="BG640" s="67"/>
      <c r="BH640" s="67"/>
      <c r="BI640" s="67"/>
      <c r="BJ640" s="67">
        <v>0</v>
      </c>
      <c r="BK640" s="67"/>
      <c r="BL640" s="67"/>
      <c r="BP640" s="67"/>
      <c r="BQ640" s="67">
        <v>0</v>
      </c>
      <c r="BR640" s="67"/>
      <c r="BS640" s="67"/>
      <c r="BT640" s="67">
        <v>0</v>
      </c>
      <c r="BU640" s="67">
        <v>0</v>
      </c>
      <c r="BV640" s="67"/>
      <c r="BW640" s="67"/>
      <c r="BX640" s="67">
        <v>0</v>
      </c>
      <c r="BY640" s="67"/>
      <c r="BZ640" s="67"/>
      <c r="CA640" s="67"/>
      <c r="CB640" s="67"/>
      <c r="CC640" s="67"/>
      <c r="CD640" s="67"/>
      <c r="CE640" s="67">
        <v>0</v>
      </c>
      <c r="CF640" s="67"/>
      <c r="CG640" s="67"/>
      <c r="CH640" s="67"/>
      <c r="CI640" s="67"/>
      <c r="CJ640" s="67"/>
      <c r="CK640" s="67">
        <v>0</v>
      </c>
      <c r="CL640" s="67"/>
      <c r="CM640" s="67"/>
      <c r="CN640" s="67"/>
      <c r="CO640" s="67">
        <v>0</v>
      </c>
      <c r="CP640" s="67"/>
      <c r="CQ640" s="67"/>
      <c r="CR640" s="67"/>
      <c r="CS640" s="67"/>
      <c r="CT640" s="67"/>
      <c r="CU640" s="67">
        <v>0</v>
      </c>
      <c r="CV640" s="67"/>
      <c r="CW640" s="67"/>
      <c r="CX640" s="67"/>
      <c r="CY640" s="67">
        <v>0</v>
      </c>
      <c r="CZ640" s="67"/>
      <c r="DA640" s="67"/>
      <c r="DB640" s="67"/>
      <c r="DC640" s="67"/>
      <c r="DF640" s="67"/>
      <c r="DG640" s="67">
        <v>0</v>
      </c>
      <c r="DH640" s="67">
        <v>0</v>
      </c>
      <c r="DI640" s="67">
        <v>0</v>
      </c>
      <c r="DJ640" s="67"/>
      <c r="DK640" s="67">
        <v>0</v>
      </c>
      <c r="DL640" s="67">
        <v>0</v>
      </c>
      <c r="DM640" s="67"/>
      <c r="DN640" s="67"/>
      <c r="DO640" s="67"/>
      <c r="DP640" s="67"/>
      <c r="DQ640" s="67">
        <v>0</v>
      </c>
      <c r="DR640" s="67">
        <v>0</v>
      </c>
      <c r="DS640" s="67"/>
      <c r="DT640" s="67"/>
      <c r="DU640" s="67">
        <v>0</v>
      </c>
      <c r="DV640" s="67">
        <v>0</v>
      </c>
      <c r="DW640" s="67">
        <v>0</v>
      </c>
      <c r="DX640" s="67">
        <v>0</v>
      </c>
      <c r="DY640" s="67"/>
      <c r="DZ640" s="67">
        <v>0</v>
      </c>
      <c r="EA640" s="67"/>
      <c r="EB640" s="67">
        <v>0</v>
      </c>
      <c r="EC640" s="67"/>
      <c r="ED640" s="67">
        <v>0</v>
      </c>
      <c r="EE640" s="67"/>
      <c r="EF640" s="67">
        <v>0</v>
      </c>
      <c r="EG640" s="67"/>
      <c r="EH640" s="67"/>
      <c r="EI640" s="67"/>
      <c r="EJ640" s="67"/>
      <c r="EK640" s="67"/>
      <c r="EL640" s="67"/>
      <c r="EM640" s="67"/>
      <c r="EN640" s="67"/>
      <c r="EO640" s="67"/>
      <c r="EP640" s="67">
        <v>0</v>
      </c>
      <c r="EQ640" s="67">
        <v>0</v>
      </c>
      <c r="ER640" s="67">
        <v>0</v>
      </c>
      <c r="ES640" s="67"/>
      <c r="EX640" s="67"/>
      <c r="EY640" s="67"/>
      <c r="EZ640" s="67"/>
      <c r="FA640" s="67">
        <v>1528</v>
      </c>
      <c r="FB640" s="67"/>
      <c r="FC640" s="67"/>
      <c r="FD640" s="67"/>
      <c r="FE640" s="67"/>
      <c r="FF640" s="67"/>
      <c r="FG640" s="67"/>
      <c r="FH640" s="67"/>
      <c r="FI640" s="67" t="s">
        <v>1736</v>
      </c>
    </row>
    <row r="641" spans="2:165" x14ac:dyDescent="0.2">
      <c r="B641" s="67"/>
      <c r="C641" s="67" t="s">
        <v>1782</v>
      </c>
      <c r="D641" s="67" t="s">
        <v>1579</v>
      </c>
      <c r="E641" s="67"/>
      <c r="F641" s="67"/>
      <c r="G641" s="67"/>
      <c r="H641" s="67"/>
      <c r="I641" s="67"/>
      <c r="J641" s="67"/>
      <c r="K641" s="67"/>
      <c r="L641" s="67"/>
      <c r="M641" s="67"/>
      <c r="N641" s="67"/>
      <c r="O641" s="67"/>
      <c r="P641" s="67"/>
      <c r="Q641" s="67">
        <v>1800</v>
      </c>
      <c r="R641" s="67">
        <v>0</v>
      </c>
      <c r="S641" s="67">
        <v>0</v>
      </c>
      <c r="T641" s="67">
        <v>0</v>
      </c>
      <c r="U641" s="67">
        <v>0</v>
      </c>
      <c r="V641" s="67">
        <v>0</v>
      </c>
      <c r="W641" s="67">
        <v>0</v>
      </c>
      <c r="X641" s="67">
        <v>0</v>
      </c>
      <c r="Y641" s="67">
        <v>0</v>
      </c>
      <c r="Z641" s="67">
        <v>0</v>
      </c>
      <c r="AA641" s="67">
        <v>0</v>
      </c>
      <c r="AB641" s="67">
        <v>0</v>
      </c>
      <c r="AC641" s="67">
        <v>0</v>
      </c>
      <c r="AD641" s="67">
        <v>0</v>
      </c>
      <c r="AE641" s="67">
        <v>0</v>
      </c>
      <c r="AF641" s="67">
        <v>0</v>
      </c>
      <c r="AG641" s="67">
        <v>0</v>
      </c>
      <c r="AH641" s="67">
        <v>0</v>
      </c>
      <c r="AI641" s="67">
        <v>0</v>
      </c>
      <c r="AJ641" s="67">
        <v>0</v>
      </c>
      <c r="AK641" s="67">
        <v>0</v>
      </c>
      <c r="AL641" s="67">
        <v>0</v>
      </c>
      <c r="AM641" s="67">
        <v>1800</v>
      </c>
      <c r="AN641" s="67">
        <v>0</v>
      </c>
      <c r="AO641" s="67">
        <v>0</v>
      </c>
      <c r="AP641" s="67">
        <v>0</v>
      </c>
      <c r="AQ641" s="67">
        <v>0</v>
      </c>
      <c r="AR641" s="67">
        <v>0</v>
      </c>
      <c r="AS641" s="67">
        <v>0</v>
      </c>
      <c r="AT641" s="67"/>
      <c r="AU641" s="67"/>
      <c r="AV641" s="67"/>
      <c r="AW641" s="67">
        <v>0</v>
      </c>
      <c r="AX641" s="67">
        <v>0</v>
      </c>
      <c r="AY641" s="67"/>
      <c r="AZ641" s="67"/>
      <c r="BA641" s="67"/>
      <c r="BB641" s="67"/>
      <c r="BC641" s="67"/>
      <c r="BD641" s="67"/>
      <c r="BE641" s="67"/>
      <c r="BG641" s="67"/>
      <c r="BH641" s="67"/>
      <c r="BI641" s="67"/>
      <c r="BJ641" s="67">
        <v>0</v>
      </c>
      <c r="BK641" s="67"/>
      <c r="BL641" s="67"/>
      <c r="BP641" s="67"/>
      <c r="BQ641" s="67">
        <v>0</v>
      </c>
      <c r="BR641" s="67"/>
      <c r="BS641" s="67"/>
      <c r="BT641" s="67">
        <v>0</v>
      </c>
      <c r="BU641" s="67">
        <v>0</v>
      </c>
      <c r="BV641" s="67"/>
      <c r="BW641" s="67"/>
      <c r="BX641" s="67">
        <v>0</v>
      </c>
      <c r="BY641" s="67"/>
      <c r="BZ641" s="67"/>
      <c r="CA641" s="67"/>
      <c r="CB641" s="67"/>
      <c r="CC641" s="67"/>
      <c r="CD641" s="67"/>
      <c r="CE641" s="67">
        <v>0</v>
      </c>
      <c r="CF641" s="67"/>
      <c r="CG641" s="67"/>
      <c r="CH641" s="67"/>
      <c r="CI641" s="67"/>
      <c r="CJ641" s="67"/>
      <c r="CK641" s="67">
        <v>0</v>
      </c>
      <c r="CL641" s="67"/>
      <c r="CM641" s="67"/>
      <c r="CN641" s="67"/>
      <c r="CO641" s="67">
        <v>0</v>
      </c>
      <c r="CP641" s="67"/>
      <c r="CQ641" s="67"/>
      <c r="CR641" s="67"/>
      <c r="CS641" s="67"/>
      <c r="CT641" s="67"/>
      <c r="CU641" s="67">
        <v>0</v>
      </c>
      <c r="CV641" s="67"/>
      <c r="CW641" s="67"/>
      <c r="CX641" s="67"/>
      <c r="CY641" s="67">
        <v>0</v>
      </c>
      <c r="CZ641" s="67"/>
      <c r="DA641" s="67"/>
      <c r="DB641" s="67"/>
      <c r="DC641" s="67"/>
      <c r="DF641" s="67"/>
      <c r="DG641" s="67">
        <v>0</v>
      </c>
      <c r="DH641" s="67">
        <v>0</v>
      </c>
      <c r="DI641" s="67">
        <v>0</v>
      </c>
      <c r="DJ641" s="67"/>
      <c r="DK641" s="67">
        <v>0</v>
      </c>
      <c r="DL641" s="67">
        <v>0</v>
      </c>
      <c r="DM641" s="67"/>
      <c r="DN641" s="67"/>
      <c r="DO641" s="67"/>
      <c r="DP641" s="67"/>
      <c r="DQ641" s="67">
        <v>0</v>
      </c>
      <c r="DR641" s="67">
        <v>0</v>
      </c>
      <c r="DS641" s="67"/>
      <c r="DT641" s="67"/>
      <c r="DU641" s="67">
        <v>0</v>
      </c>
      <c r="DV641" s="67">
        <v>0</v>
      </c>
      <c r="DW641" s="67">
        <v>0</v>
      </c>
      <c r="DX641" s="67">
        <v>0</v>
      </c>
      <c r="DY641" s="67"/>
      <c r="DZ641" s="67">
        <v>0</v>
      </c>
      <c r="EA641" s="67"/>
      <c r="EB641" s="67">
        <v>0</v>
      </c>
      <c r="EC641" s="67"/>
      <c r="ED641" s="67">
        <v>0</v>
      </c>
      <c r="EE641" s="67"/>
      <c r="EF641" s="67">
        <v>0</v>
      </c>
      <c r="EG641" s="67"/>
      <c r="EH641" s="67"/>
      <c r="EI641" s="67"/>
      <c r="EJ641" s="67"/>
      <c r="EK641" s="67"/>
      <c r="EL641" s="67"/>
      <c r="EM641" s="67"/>
      <c r="EN641" s="67"/>
      <c r="EO641" s="67"/>
      <c r="EP641" s="67">
        <v>0</v>
      </c>
      <c r="EQ641" s="67">
        <v>0</v>
      </c>
      <c r="ER641" s="67">
        <v>0</v>
      </c>
      <c r="ES641" s="67"/>
      <c r="EX641" s="67"/>
      <c r="EY641" s="67"/>
      <c r="EZ641" s="67"/>
      <c r="FA641" s="67">
        <v>1800</v>
      </c>
      <c r="FB641" s="67"/>
      <c r="FC641" s="67"/>
      <c r="FD641" s="67"/>
      <c r="FE641" s="67"/>
      <c r="FF641" s="67"/>
      <c r="FG641" s="67"/>
      <c r="FH641" s="67"/>
      <c r="FI641" s="67" t="s">
        <v>1736</v>
      </c>
    </row>
    <row r="642" spans="2:165" x14ac:dyDescent="0.2">
      <c r="B642" s="67"/>
      <c r="C642" s="67" t="s">
        <v>1783</v>
      </c>
      <c r="D642" s="67" t="s">
        <v>1580</v>
      </c>
      <c r="E642" s="67"/>
      <c r="F642" s="67"/>
      <c r="G642" s="67"/>
      <c r="H642" s="67"/>
      <c r="I642" s="67"/>
      <c r="J642" s="67"/>
      <c r="K642" s="67"/>
      <c r="L642" s="67"/>
      <c r="M642" s="67"/>
      <c r="N642" s="67"/>
      <c r="O642" s="67"/>
      <c r="P642" s="67"/>
      <c r="Q642" s="67">
        <v>0</v>
      </c>
      <c r="R642" s="67">
        <v>0</v>
      </c>
      <c r="S642" s="67">
        <v>0</v>
      </c>
      <c r="T642" s="67">
        <v>0</v>
      </c>
      <c r="U642" s="67">
        <v>0</v>
      </c>
      <c r="V642" s="67">
        <v>0</v>
      </c>
      <c r="W642" s="67">
        <v>0</v>
      </c>
      <c r="X642" s="67">
        <v>0</v>
      </c>
      <c r="Y642" s="67">
        <v>0</v>
      </c>
      <c r="Z642" s="67">
        <v>0</v>
      </c>
      <c r="AA642" s="67">
        <v>0</v>
      </c>
      <c r="AB642" s="67">
        <v>0</v>
      </c>
      <c r="AC642" s="67">
        <v>0</v>
      </c>
      <c r="AD642" s="67">
        <v>0</v>
      </c>
      <c r="AE642" s="67">
        <v>0</v>
      </c>
      <c r="AF642" s="67">
        <v>0</v>
      </c>
      <c r="AG642" s="67">
        <v>0</v>
      </c>
      <c r="AH642" s="67">
        <v>0</v>
      </c>
      <c r="AI642" s="67">
        <v>0</v>
      </c>
      <c r="AJ642" s="67">
        <v>0</v>
      </c>
      <c r="AK642" s="67">
        <v>0</v>
      </c>
      <c r="AL642" s="67">
        <v>0</v>
      </c>
      <c r="AM642" s="67">
        <v>0</v>
      </c>
      <c r="AN642" s="67">
        <v>0</v>
      </c>
      <c r="AO642" s="67">
        <v>0</v>
      </c>
      <c r="AP642" s="67">
        <v>0</v>
      </c>
      <c r="AQ642" s="67">
        <v>0</v>
      </c>
      <c r="AR642" s="67">
        <v>0</v>
      </c>
      <c r="AS642" s="67">
        <v>0</v>
      </c>
      <c r="AT642" s="67"/>
      <c r="AU642" s="67"/>
      <c r="AV642" s="67"/>
      <c r="AW642" s="67">
        <v>0</v>
      </c>
      <c r="AX642" s="67">
        <v>0</v>
      </c>
      <c r="AY642" s="67"/>
      <c r="AZ642" s="67"/>
      <c r="BA642" s="67"/>
      <c r="BB642" s="67"/>
      <c r="BC642" s="67"/>
      <c r="BD642" s="67"/>
      <c r="BE642" s="67"/>
      <c r="BG642" s="67"/>
      <c r="BH642" s="67"/>
      <c r="BI642" s="67"/>
      <c r="BJ642" s="67">
        <v>0</v>
      </c>
      <c r="BK642" s="67"/>
      <c r="BL642" s="67"/>
      <c r="BP642" s="67"/>
      <c r="BQ642" s="67">
        <v>0</v>
      </c>
      <c r="BR642" s="67"/>
      <c r="BS642" s="67"/>
      <c r="BT642" s="67">
        <v>0</v>
      </c>
      <c r="BU642" s="67">
        <v>0</v>
      </c>
      <c r="BV642" s="67"/>
      <c r="BW642" s="67"/>
      <c r="BX642" s="67">
        <v>0</v>
      </c>
      <c r="BY642" s="67"/>
      <c r="BZ642" s="67"/>
      <c r="CA642" s="67"/>
      <c r="CB642" s="67"/>
      <c r="CC642" s="67"/>
      <c r="CD642" s="67"/>
      <c r="CE642" s="67">
        <v>0</v>
      </c>
      <c r="CF642" s="67"/>
      <c r="CG642" s="67"/>
      <c r="CH642" s="67"/>
      <c r="CI642" s="67"/>
      <c r="CJ642" s="67"/>
      <c r="CK642" s="67">
        <v>0</v>
      </c>
      <c r="CL642" s="67"/>
      <c r="CM642" s="67"/>
      <c r="CN642" s="67"/>
      <c r="CO642" s="67">
        <v>0</v>
      </c>
      <c r="CP642" s="67"/>
      <c r="CQ642" s="67"/>
      <c r="CR642" s="67"/>
      <c r="CS642" s="67"/>
      <c r="CT642" s="67"/>
      <c r="CU642" s="67">
        <v>0</v>
      </c>
      <c r="CV642" s="67"/>
      <c r="CW642" s="67"/>
      <c r="CX642" s="67"/>
      <c r="CY642" s="67">
        <v>0</v>
      </c>
      <c r="CZ642" s="67"/>
      <c r="DA642" s="67"/>
      <c r="DB642" s="67"/>
      <c r="DC642" s="67"/>
      <c r="DF642" s="67"/>
      <c r="DG642" s="67">
        <v>0</v>
      </c>
      <c r="DH642" s="67">
        <v>0</v>
      </c>
      <c r="DI642" s="67">
        <v>0</v>
      </c>
      <c r="DJ642" s="67"/>
      <c r="DK642" s="67">
        <v>0</v>
      </c>
      <c r="DL642" s="67">
        <v>0</v>
      </c>
      <c r="DM642" s="67"/>
      <c r="DN642" s="67"/>
      <c r="DO642" s="67"/>
      <c r="DP642" s="67"/>
      <c r="DQ642" s="67">
        <v>0</v>
      </c>
      <c r="DR642" s="67">
        <v>0</v>
      </c>
      <c r="DS642" s="67"/>
      <c r="DT642" s="67"/>
      <c r="DU642" s="67">
        <v>0</v>
      </c>
      <c r="DV642" s="67">
        <v>0</v>
      </c>
      <c r="DW642" s="67">
        <v>0</v>
      </c>
      <c r="DX642" s="67">
        <v>0</v>
      </c>
      <c r="DY642" s="67"/>
      <c r="DZ642" s="67">
        <v>0</v>
      </c>
      <c r="EA642" s="67"/>
      <c r="EB642" s="67">
        <v>0</v>
      </c>
      <c r="EC642" s="67"/>
      <c r="ED642" s="67">
        <v>0</v>
      </c>
      <c r="EE642" s="67"/>
      <c r="EF642" s="67">
        <v>0</v>
      </c>
      <c r="EG642" s="67"/>
      <c r="EH642" s="67"/>
      <c r="EI642" s="67"/>
      <c r="EJ642" s="67"/>
      <c r="EK642" s="67"/>
      <c r="EL642" s="67"/>
      <c r="EM642" s="67"/>
      <c r="EN642" s="67"/>
      <c r="EO642" s="67"/>
      <c r="EP642" s="67">
        <v>0</v>
      </c>
      <c r="EQ642" s="67">
        <v>250</v>
      </c>
      <c r="ER642" s="67">
        <v>250</v>
      </c>
      <c r="ES642" s="67"/>
      <c r="EX642" s="67"/>
      <c r="EY642" s="67"/>
      <c r="EZ642" s="67"/>
      <c r="FA642" s="67">
        <v>0</v>
      </c>
      <c r="FB642" s="67"/>
      <c r="FC642" s="67"/>
      <c r="FD642" s="67"/>
      <c r="FE642" s="67"/>
      <c r="FF642" s="67"/>
      <c r="FG642" s="67"/>
      <c r="FH642" s="67"/>
      <c r="FI642" s="67" t="s">
        <v>1736</v>
      </c>
    </row>
    <row r="643" spans="2:165" x14ac:dyDescent="0.2">
      <c r="B643" s="67"/>
      <c r="C643" s="67" t="s">
        <v>1784</v>
      </c>
      <c r="D643" s="67" t="s">
        <v>1581</v>
      </c>
      <c r="E643" s="67"/>
      <c r="F643" s="67"/>
      <c r="G643" s="67"/>
      <c r="H643" s="67"/>
      <c r="I643" s="67"/>
      <c r="J643" s="67"/>
      <c r="K643" s="67"/>
      <c r="L643" s="67"/>
      <c r="M643" s="67"/>
      <c r="N643" s="67"/>
      <c r="O643" s="67"/>
      <c r="P643" s="67"/>
      <c r="Q643" s="67">
        <v>2024.6000000000001</v>
      </c>
      <c r="R643" s="67">
        <v>0</v>
      </c>
      <c r="S643" s="67">
        <v>0</v>
      </c>
      <c r="T643" s="67">
        <v>0</v>
      </c>
      <c r="U643" s="67">
        <v>0</v>
      </c>
      <c r="V643" s="67">
        <v>0</v>
      </c>
      <c r="W643" s="67">
        <v>0</v>
      </c>
      <c r="X643" s="67">
        <v>0</v>
      </c>
      <c r="Y643" s="67">
        <v>0</v>
      </c>
      <c r="Z643" s="67">
        <v>0</v>
      </c>
      <c r="AA643" s="67">
        <v>0</v>
      </c>
      <c r="AB643" s="67">
        <v>0</v>
      </c>
      <c r="AC643" s="67">
        <v>0</v>
      </c>
      <c r="AD643" s="67">
        <v>0</v>
      </c>
      <c r="AE643" s="67">
        <v>0</v>
      </c>
      <c r="AF643" s="67">
        <v>0</v>
      </c>
      <c r="AG643" s="67">
        <v>2024.6000000000001</v>
      </c>
      <c r="AH643" s="67">
        <v>0</v>
      </c>
      <c r="AI643" s="67">
        <v>0</v>
      </c>
      <c r="AJ643" s="67">
        <v>0</v>
      </c>
      <c r="AK643" s="67">
        <v>0</v>
      </c>
      <c r="AL643" s="67">
        <v>0</v>
      </c>
      <c r="AM643" s="67">
        <v>0</v>
      </c>
      <c r="AN643" s="67">
        <v>0</v>
      </c>
      <c r="AO643" s="67">
        <v>0</v>
      </c>
      <c r="AP643" s="67">
        <v>0</v>
      </c>
      <c r="AQ643" s="67">
        <v>0</v>
      </c>
      <c r="AR643" s="67">
        <v>0</v>
      </c>
      <c r="AS643" s="67">
        <v>0</v>
      </c>
      <c r="AT643" s="67"/>
      <c r="AU643" s="67"/>
      <c r="AV643" s="67"/>
      <c r="AW643" s="67">
        <v>0</v>
      </c>
      <c r="AX643" s="67">
        <v>0</v>
      </c>
      <c r="AY643" s="67"/>
      <c r="AZ643" s="67"/>
      <c r="BA643" s="67"/>
      <c r="BB643" s="67"/>
      <c r="BC643" s="67"/>
      <c r="BD643" s="67"/>
      <c r="BE643" s="67"/>
      <c r="BG643" s="67"/>
      <c r="BH643" s="67"/>
      <c r="BI643" s="67"/>
      <c r="BJ643" s="67">
        <v>0</v>
      </c>
      <c r="BK643" s="67"/>
      <c r="BL643" s="67"/>
      <c r="BP643" s="67"/>
      <c r="BQ643" s="67">
        <v>0</v>
      </c>
      <c r="BR643" s="67"/>
      <c r="BS643" s="67"/>
      <c r="BT643" s="67">
        <v>0</v>
      </c>
      <c r="BU643" s="67">
        <v>0</v>
      </c>
      <c r="BV643" s="67"/>
      <c r="BW643" s="67"/>
      <c r="BX643" s="67">
        <v>0</v>
      </c>
      <c r="BY643" s="67"/>
      <c r="BZ643" s="67"/>
      <c r="CA643" s="67"/>
      <c r="CB643" s="67"/>
      <c r="CC643" s="67"/>
      <c r="CD643" s="67"/>
      <c r="CE643" s="67">
        <v>0</v>
      </c>
      <c r="CF643" s="67"/>
      <c r="CG643" s="67"/>
      <c r="CH643" s="67"/>
      <c r="CI643" s="67"/>
      <c r="CJ643" s="67"/>
      <c r="CK643" s="67">
        <v>0</v>
      </c>
      <c r="CL643" s="67"/>
      <c r="CM643" s="67"/>
      <c r="CN643" s="67"/>
      <c r="CO643" s="67">
        <v>0</v>
      </c>
      <c r="CP643" s="67"/>
      <c r="CQ643" s="67"/>
      <c r="CR643" s="67"/>
      <c r="CS643" s="67"/>
      <c r="CT643" s="67"/>
      <c r="CU643" s="67">
        <v>0</v>
      </c>
      <c r="CV643" s="67"/>
      <c r="CW643" s="67"/>
      <c r="CX643" s="67"/>
      <c r="CY643" s="67">
        <v>0</v>
      </c>
      <c r="CZ643" s="67"/>
      <c r="DA643" s="67"/>
      <c r="DB643" s="67"/>
      <c r="DC643" s="67"/>
      <c r="DF643" s="67"/>
      <c r="DG643" s="67">
        <v>0</v>
      </c>
      <c r="DH643" s="67">
        <v>0</v>
      </c>
      <c r="DI643" s="67">
        <v>0</v>
      </c>
      <c r="DJ643" s="67"/>
      <c r="DK643" s="67">
        <v>0</v>
      </c>
      <c r="DL643" s="67">
        <v>0</v>
      </c>
      <c r="DM643" s="67"/>
      <c r="DN643" s="67"/>
      <c r="DO643" s="67"/>
      <c r="DP643" s="67"/>
      <c r="DQ643" s="67">
        <v>0</v>
      </c>
      <c r="DR643" s="67">
        <v>0</v>
      </c>
      <c r="DS643" s="67"/>
      <c r="DT643" s="67"/>
      <c r="DU643" s="67">
        <v>0</v>
      </c>
      <c r="DV643" s="67">
        <v>0</v>
      </c>
      <c r="DW643" s="67">
        <v>0</v>
      </c>
      <c r="DX643" s="67">
        <v>0</v>
      </c>
      <c r="DY643" s="67"/>
      <c r="DZ643" s="67">
        <v>0</v>
      </c>
      <c r="EA643" s="67"/>
      <c r="EB643" s="67">
        <v>0</v>
      </c>
      <c r="EC643" s="67"/>
      <c r="ED643" s="67">
        <v>0</v>
      </c>
      <c r="EE643" s="67"/>
      <c r="EF643" s="67">
        <v>0</v>
      </c>
      <c r="EG643" s="67"/>
      <c r="EH643" s="67"/>
      <c r="EI643" s="67"/>
      <c r="EJ643" s="67"/>
      <c r="EK643" s="67"/>
      <c r="EL643" s="67"/>
      <c r="EM643" s="67"/>
      <c r="EN643" s="67"/>
      <c r="EO643" s="67"/>
      <c r="EP643" s="67">
        <v>0</v>
      </c>
      <c r="EQ643" s="67">
        <v>0</v>
      </c>
      <c r="ER643" s="67">
        <v>0</v>
      </c>
      <c r="ES643" s="67"/>
      <c r="EX643" s="67"/>
      <c r="EY643" s="67"/>
      <c r="EZ643" s="67"/>
      <c r="FA643" s="67">
        <v>2024.6000000000001</v>
      </c>
      <c r="FB643" s="67"/>
      <c r="FC643" s="67"/>
      <c r="FD643" s="67"/>
      <c r="FE643" s="67"/>
      <c r="FF643" s="67"/>
      <c r="FG643" s="67"/>
      <c r="FH643" s="67"/>
      <c r="FI643" s="67" t="s">
        <v>1736</v>
      </c>
    </row>
    <row r="644" spans="2:165" x14ac:dyDescent="0.2">
      <c r="B644" s="67"/>
      <c r="C644" s="67" t="s">
        <v>1785</v>
      </c>
      <c r="D644" s="67" t="s">
        <v>1582</v>
      </c>
      <c r="E644" s="67"/>
      <c r="F644" s="67"/>
      <c r="G644" s="67"/>
      <c r="H644" s="67"/>
      <c r="I644" s="67"/>
      <c r="J644" s="67"/>
      <c r="K644" s="67"/>
      <c r="L644" s="67"/>
      <c r="M644" s="67"/>
      <c r="N644" s="67"/>
      <c r="O644" s="67"/>
      <c r="P644" s="67"/>
      <c r="Q644" s="67">
        <v>573</v>
      </c>
      <c r="R644" s="67">
        <v>0</v>
      </c>
      <c r="S644" s="67">
        <v>0</v>
      </c>
      <c r="T644" s="67">
        <v>0</v>
      </c>
      <c r="U644" s="67">
        <v>0</v>
      </c>
      <c r="V644" s="67">
        <v>0</v>
      </c>
      <c r="W644" s="67">
        <v>0</v>
      </c>
      <c r="X644" s="67">
        <v>0</v>
      </c>
      <c r="Y644" s="67">
        <v>0</v>
      </c>
      <c r="Z644" s="67">
        <v>0</v>
      </c>
      <c r="AA644" s="67">
        <v>0</v>
      </c>
      <c r="AB644" s="67">
        <v>0</v>
      </c>
      <c r="AC644" s="67">
        <v>0</v>
      </c>
      <c r="AD644" s="67">
        <v>0</v>
      </c>
      <c r="AE644" s="67">
        <v>0</v>
      </c>
      <c r="AF644" s="67">
        <v>0</v>
      </c>
      <c r="AG644" s="67">
        <v>573</v>
      </c>
      <c r="AH644" s="67">
        <v>0</v>
      </c>
      <c r="AI644" s="67">
        <v>0</v>
      </c>
      <c r="AJ644" s="67">
        <v>0</v>
      </c>
      <c r="AK644" s="67">
        <v>0</v>
      </c>
      <c r="AL644" s="67">
        <v>0</v>
      </c>
      <c r="AM644" s="67">
        <v>0</v>
      </c>
      <c r="AN644" s="67">
        <v>0</v>
      </c>
      <c r="AO644" s="67">
        <v>0</v>
      </c>
      <c r="AP644" s="67">
        <v>0</v>
      </c>
      <c r="AQ644" s="67">
        <v>0</v>
      </c>
      <c r="AR644" s="67">
        <v>0</v>
      </c>
      <c r="AS644" s="67">
        <v>0</v>
      </c>
      <c r="AT644" s="67"/>
      <c r="AU644" s="67"/>
      <c r="AV644" s="67"/>
      <c r="AW644" s="67">
        <v>0</v>
      </c>
      <c r="AX644" s="67">
        <v>0</v>
      </c>
      <c r="AY644" s="67"/>
      <c r="AZ644" s="67"/>
      <c r="BA644" s="67"/>
      <c r="BB644" s="67"/>
      <c r="BC644" s="67"/>
      <c r="BD644" s="67"/>
      <c r="BE644" s="67"/>
      <c r="BG644" s="67"/>
      <c r="BH644" s="67"/>
      <c r="BI644" s="67"/>
      <c r="BJ644" s="67">
        <v>0</v>
      </c>
      <c r="BK644" s="67"/>
      <c r="BL644" s="67"/>
      <c r="BP644" s="67"/>
      <c r="BQ644" s="67">
        <v>0</v>
      </c>
      <c r="BR644" s="67"/>
      <c r="BS644" s="67"/>
      <c r="BT644" s="67">
        <v>0</v>
      </c>
      <c r="BU644" s="67">
        <v>0</v>
      </c>
      <c r="BV644" s="67"/>
      <c r="BW644" s="67"/>
      <c r="BX644" s="67">
        <v>0</v>
      </c>
      <c r="BY644" s="67"/>
      <c r="BZ644" s="67"/>
      <c r="CA644" s="67"/>
      <c r="CB644" s="67"/>
      <c r="CC644" s="67"/>
      <c r="CD644" s="67"/>
      <c r="CE644" s="67">
        <v>0</v>
      </c>
      <c r="CF644" s="67"/>
      <c r="CG644" s="67"/>
      <c r="CH644" s="67"/>
      <c r="CI644" s="67"/>
      <c r="CJ644" s="67"/>
      <c r="CK644" s="67">
        <v>0</v>
      </c>
      <c r="CL644" s="67"/>
      <c r="CM644" s="67"/>
      <c r="CN644" s="67"/>
      <c r="CO644" s="67">
        <v>0</v>
      </c>
      <c r="CP644" s="67"/>
      <c r="CQ644" s="67"/>
      <c r="CR644" s="67"/>
      <c r="CS644" s="67"/>
      <c r="CT644" s="67"/>
      <c r="CU644" s="67">
        <v>0</v>
      </c>
      <c r="CV644" s="67"/>
      <c r="CW644" s="67"/>
      <c r="CX644" s="67"/>
      <c r="CY644" s="67">
        <v>0</v>
      </c>
      <c r="CZ644" s="67"/>
      <c r="DA644" s="67"/>
      <c r="DB644" s="67"/>
      <c r="DC644" s="67"/>
      <c r="DF644" s="67"/>
      <c r="DG644" s="67">
        <v>0</v>
      </c>
      <c r="DH644" s="67">
        <v>0</v>
      </c>
      <c r="DI644" s="67">
        <v>0</v>
      </c>
      <c r="DJ644" s="67"/>
      <c r="DK644" s="67">
        <v>0</v>
      </c>
      <c r="DL644" s="67">
        <v>0</v>
      </c>
      <c r="DM644" s="67"/>
      <c r="DN644" s="67"/>
      <c r="DO644" s="67"/>
      <c r="DP644" s="67"/>
      <c r="DQ644" s="67">
        <v>0</v>
      </c>
      <c r="DR644" s="67">
        <v>0</v>
      </c>
      <c r="DS644" s="67"/>
      <c r="DT644" s="67"/>
      <c r="DU644" s="67">
        <v>0</v>
      </c>
      <c r="DV644" s="67">
        <v>0</v>
      </c>
      <c r="DW644" s="67">
        <v>0</v>
      </c>
      <c r="DX644" s="67">
        <v>0</v>
      </c>
      <c r="DY644" s="67"/>
      <c r="DZ644" s="67">
        <v>0</v>
      </c>
      <c r="EA644" s="67"/>
      <c r="EB644" s="67">
        <v>0</v>
      </c>
      <c r="EC644" s="67"/>
      <c r="ED644" s="67">
        <v>0</v>
      </c>
      <c r="EE644" s="67"/>
      <c r="EF644" s="67">
        <v>0</v>
      </c>
      <c r="EG644" s="67"/>
      <c r="EH644" s="67"/>
      <c r="EI644" s="67"/>
      <c r="EJ644" s="67"/>
      <c r="EK644" s="67"/>
      <c r="EL644" s="67"/>
      <c r="EM644" s="67"/>
      <c r="EN644" s="67"/>
      <c r="EO644" s="67"/>
      <c r="EP644" s="67">
        <v>0</v>
      </c>
      <c r="EQ644" s="67">
        <v>0</v>
      </c>
      <c r="ER644" s="67">
        <v>0</v>
      </c>
      <c r="ES644" s="67"/>
      <c r="EX644" s="67"/>
      <c r="EY644" s="67"/>
      <c r="EZ644" s="67"/>
      <c r="FA644" s="67">
        <v>573</v>
      </c>
      <c r="FB644" s="67"/>
      <c r="FC644" s="67"/>
      <c r="FD644" s="67"/>
      <c r="FE644" s="67"/>
      <c r="FF644" s="67"/>
      <c r="FG644" s="67"/>
      <c r="FH644" s="67"/>
      <c r="FI644" s="67" t="s">
        <v>1736</v>
      </c>
    </row>
    <row r="645" spans="2:165" x14ac:dyDescent="0.2">
      <c r="B645" s="67"/>
      <c r="C645" s="67" t="s">
        <v>1786</v>
      </c>
      <c r="D645" s="67" t="s">
        <v>1583</v>
      </c>
      <c r="E645" s="67"/>
      <c r="F645" s="67"/>
      <c r="G645" s="67"/>
      <c r="H645" s="67"/>
      <c r="I645" s="67"/>
      <c r="J645" s="67"/>
      <c r="K645" s="67"/>
      <c r="L645" s="67"/>
      <c r="M645" s="67"/>
      <c r="N645" s="67"/>
      <c r="O645" s="67"/>
      <c r="P645" s="67"/>
      <c r="Q645" s="67">
        <v>611.20000000000005</v>
      </c>
      <c r="R645" s="67">
        <v>0</v>
      </c>
      <c r="S645" s="67">
        <v>0</v>
      </c>
      <c r="T645" s="67">
        <v>0</v>
      </c>
      <c r="U645" s="67">
        <v>0</v>
      </c>
      <c r="V645" s="67">
        <v>0</v>
      </c>
      <c r="W645" s="67">
        <v>0</v>
      </c>
      <c r="X645" s="67">
        <v>0</v>
      </c>
      <c r="Y645" s="67">
        <v>0</v>
      </c>
      <c r="Z645" s="67">
        <v>0</v>
      </c>
      <c r="AA645" s="67">
        <v>0</v>
      </c>
      <c r="AB645" s="67">
        <v>0</v>
      </c>
      <c r="AC645" s="67">
        <v>0</v>
      </c>
      <c r="AD645" s="67">
        <v>0</v>
      </c>
      <c r="AE645" s="67">
        <v>0</v>
      </c>
      <c r="AF645" s="67">
        <v>0</v>
      </c>
      <c r="AG645" s="67">
        <v>611.20000000000005</v>
      </c>
      <c r="AH645" s="67">
        <v>0</v>
      </c>
      <c r="AI645" s="67">
        <v>0</v>
      </c>
      <c r="AJ645" s="67">
        <v>0</v>
      </c>
      <c r="AK645" s="67">
        <v>0</v>
      </c>
      <c r="AL645" s="67">
        <v>0</v>
      </c>
      <c r="AM645" s="67">
        <v>0</v>
      </c>
      <c r="AN645" s="67">
        <v>0</v>
      </c>
      <c r="AO645" s="67">
        <v>0</v>
      </c>
      <c r="AP645" s="67">
        <v>0</v>
      </c>
      <c r="AQ645" s="67">
        <v>0</v>
      </c>
      <c r="AR645" s="67">
        <v>0</v>
      </c>
      <c r="AS645" s="67">
        <v>0</v>
      </c>
      <c r="AT645" s="67"/>
      <c r="AU645" s="67"/>
      <c r="AV645" s="67"/>
      <c r="AW645" s="67">
        <v>0</v>
      </c>
      <c r="AX645" s="67">
        <v>0</v>
      </c>
      <c r="AY645" s="67"/>
      <c r="AZ645" s="67"/>
      <c r="BA645" s="67"/>
      <c r="BB645" s="67"/>
      <c r="BC645" s="67"/>
      <c r="BD645" s="67"/>
      <c r="BE645" s="67"/>
      <c r="BG645" s="67"/>
      <c r="BH645" s="67"/>
      <c r="BI645" s="67"/>
      <c r="BJ645" s="67">
        <v>0</v>
      </c>
      <c r="BK645" s="67"/>
      <c r="BL645" s="67"/>
      <c r="BP645" s="67"/>
      <c r="BQ645" s="67">
        <v>0</v>
      </c>
      <c r="BR645" s="67"/>
      <c r="BS645" s="67"/>
      <c r="BT645" s="67">
        <v>0</v>
      </c>
      <c r="BU645" s="67">
        <v>0</v>
      </c>
      <c r="BV645" s="67"/>
      <c r="BW645" s="67"/>
      <c r="BX645" s="67">
        <v>0</v>
      </c>
      <c r="BY645" s="67"/>
      <c r="BZ645" s="67"/>
      <c r="CA645" s="67"/>
      <c r="CB645" s="67"/>
      <c r="CC645" s="67"/>
      <c r="CD645" s="67"/>
      <c r="CE645" s="67">
        <v>0</v>
      </c>
      <c r="CF645" s="67"/>
      <c r="CG645" s="67"/>
      <c r="CH645" s="67"/>
      <c r="CI645" s="67"/>
      <c r="CJ645" s="67"/>
      <c r="CK645" s="67">
        <v>0</v>
      </c>
      <c r="CL645" s="67"/>
      <c r="CM645" s="67"/>
      <c r="CN645" s="67"/>
      <c r="CO645" s="67">
        <v>0</v>
      </c>
      <c r="CP645" s="67"/>
      <c r="CQ645" s="67"/>
      <c r="CR645" s="67"/>
      <c r="CS645" s="67"/>
      <c r="CT645" s="67"/>
      <c r="CU645" s="67">
        <v>0</v>
      </c>
      <c r="CV645" s="67"/>
      <c r="CW645" s="67"/>
      <c r="CX645" s="67"/>
      <c r="CY645" s="67">
        <v>0</v>
      </c>
      <c r="CZ645" s="67"/>
      <c r="DA645" s="67"/>
      <c r="DB645" s="67"/>
      <c r="DC645" s="67"/>
      <c r="DF645" s="67"/>
      <c r="DG645" s="67">
        <v>0</v>
      </c>
      <c r="DH645" s="67">
        <v>0</v>
      </c>
      <c r="DI645" s="67">
        <v>0</v>
      </c>
      <c r="DJ645" s="67"/>
      <c r="DK645" s="67">
        <v>0</v>
      </c>
      <c r="DL645" s="67">
        <v>0</v>
      </c>
      <c r="DM645" s="67"/>
      <c r="DN645" s="67"/>
      <c r="DO645" s="67"/>
      <c r="DP645" s="67"/>
      <c r="DQ645" s="67">
        <v>0</v>
      </c>
      <c r="DR645" s="67">
        <v>0</v>
      </c>
      <c r="DS645" s="67"/>
      <c r="DT645" s="67"/>
      <c r="DU645" s="67">
        <v>0</v>
      </c>
      <c r="DV645" s="67">
        <v>0</v>
      </c>
      <c r="DW645" s="67">
        <v>0</v>
      </c>
      <c r="DX645" s="67">
        <v>0</v>
      </c>
      <c r="DY645" s="67"/>
      <c r="DZ645" s="67">
        <v>0</v>
      </c>
      <c r="EA645" s="67"/>
      <c r="EB645" s="67">
        <v>0</v>
      </c>
      <c r="EC645" s="67"/>
      <c r="ED645" s="67">
        <v>0</v>
      </c>
      <c r="EE645" s="67"/>
      <c r="EF645" s="67">
        <v>0</v>
      </c>
      <c r="EG645" s="67"/>
      <c r="EH645" s="67"/>
      <c r="EI645" s="67"/>
      <c r="EJ645" s="67"/>
      <c r="EK645" s="67"/>
      <c r="EL645" s="67"/>
      <c r="EM645" s="67"/>
      <c r="EN645" s="67"/>
      <c r="EO645" s="67"/>
      <c r="EP645" s="67">
        <v>0</v>
      </c>
      <c r="EQ645" s="67">
        <v>0</v>
      </c>
      <c r="ER645" s="67">
        <v>0</v>
      </c>
      <c r="ES645" s="67"/>
      <c r="EX645" s="67"/>
      <c r="EY645" s="67"/>
      <c r="EZ645" s="67"/>
      <c r="FA645" s="67">
        <v>611.20000000000005</v>
      </c>
      <c r="FB645" s="67"/>
      <c r="FC645" s="67"/>
      <c r="FD645" s="67"/>
      <c r="FE645" s="67"/>
      <c r="FF645" s="67"/>
      <c r="FG645" s="67"/>
      <c r="FH645" s="67"/>
      <c r="FI645" s="67" t="s">
        <v>1736</v>
      </c>
    </row>
    <row r="646" spans="2:165" x14ac:dyDescent="0.2">
      <c r="B646" s="67"/>
      <c r="C646" s="67" t="s">
        <v>1787</v>
      </c>
      <c r="D646" s="67" t="s">
        <v>1584</v>
      </c>
      <c r="E646" s="67"/>
      <c r="F646" s="67"/>
      <c r="G646" s="67"/>
      <c r="H646" s="67"/>
      <c r="I646" s="67"/>
      <c r="J646" s="67"/>
      <c r="K646" s="67"/>
      <c r="L646" s="67"/>
      <c r="M646" s="67"/>
      <c r="N646" s="67"/>
      <c r="O646" s="67"/>
      <c r="P646" s="67"/>
      <c r="Q646" s="67">
        <v>0</v>
      </c>
      <c r="R646" s="67">
        <v>0</v>
      </c>
      <c r="S646" s="67">
        <v>0</v>
      </c>
      <c r="T646" s="67">
        <v>0</v>
      </c>
      <c r="U646" s="67">
        <v>0</v>
      </c>
      <c r="V646" s="67">
        <v>0</v>
      </c>
      <c r="W646" s="67">
        <v>0</v>
      </c>
      <c r="X646" s="67">
        <v>0</v>
      </c>
      <c r="Y646" s="67">
        <v>0</v>
      </c>
      <c r="Z646" s="67">
        <v>0</v>
      </c>
      <c r="AA646" s="67">
        <v>0</v>
      </c>
      <c r="AB646" s="67">
        <v>0</v>
      </c>
      <c r="AC646" s="67">
        <v>0</v>
      </c>
      <c r="AD646" s="67">
        <v>0</v>
      </c>
      <c r="AE646" s="67">
        <v>0</v>
      </c>
      <c r="AF646" s="67">
        <v>0</v>
      </c>
      <c r="AG646" s="67">
        <v>0</v>
      </c>
      <c r="AH646" s="67">
        <v>0</v>
      </c>
      <c r="AI646" s="67">
        <v>0</v>
      </c>
      <c r="AJ646" s="67">
        <v>0</v>
      </c>
      <c r="AK646" s="67">
        <v>0</v>
      </c>
      <c r="AL646" s="67">
        <v>0</v>
      </c>
      <c r="AM646" s="67">
        <v>0</v>
      </c>
      <c r="AN646" s="67">
        <v>0</v>
      </c>
      <c r="AO646" s="67">
        <v>0</v>
      </c>
      <c r="AP646" s="67">
        <v>0</v>
      </c>
      <c r="AQ646" s="67">
        <v>0</v>
      </c>
      <c r="AR646" s="67">
        <v>0</v>
      </c>
      <c r="AS646" s="67">
        <v>0</v>
      </c>
      <c r="AT646" s="67"/>
      <c r="AU646" s="67"/>
      <c r="AV646" s="67"/>
      <c r="AW646" s="67">
        <v>0</v>
      </c>
      <c r="AX646" s="67">
        <v>0</v>
      </c>
      <c r="AY646" s="67"/>
      <c r="AZ646" s="67"/>
      <c r="BA646" s="67"/>
      <c r="BB646" s="67"/>
      <c r="BC646" s="67"/>
      <c r="BD646" s="67"/>
      <c r="BE646" s="67"/>
      <c r="BG646" s="67"/>
      <c r="BH646" s="67"/>
      <c r="BI646" s="67"/>
      <c r="BJ646" s="67">
        <v>0</v>
      </c>
      <c r="BK646" s="67"/>
      <c r="BL646" s="67"/>
      <c r="BP646" s="67"/>
      <c r="BQ646" s="67">
        <v>0</v>
      </c>
      <c r="BR646" s="67"/>
      <c r="BS646" s="67"/>
      <c r="BT646" s="67">
        <v>1375</v>
      </c>
      <c r="BU646" s="67">
        <v>1375</v>
      </c>
      <c r="BV646" s="67"/>
      <c r="BW646" s="67"/>
      <c r="BX646" s="67">
        <v>0</v>
      </c>
      <c r="BY646" s="67"/>
      <c r="BZ646" s="67"/>
      <c r="CA646" s="67"/>
      <c r="CB646" s="67"/>
      <c r="CC646" s="67"/>
      <c r="CD646" s="67"/>
      <c r="CE646" s="67">
        <v>0</v>
      </c>
      <c r="CF646" s="67"/>
      <c r="CG646" s="67"/>
      <c r="CH646" s="67"/>
      <c r="CI646" s="67"/>
      <c r="CJ646" s="67"/>
      <c r="CK646" s="67">
        <v>0</v>
      </c>
      <c r="CL646" s="67"/>
      <c r="CM646" s="67"/>
      <c r="CN646" s="67"/>
      <c r="CO646" s="67">
        <v>0</v>
      </c>
      <c r="CP646" s="67"/>
      <c r="CQ646" s="67"/>
      <c r="CR646" s="67"/>
      <c r="CS646" s="67"/>
      <c r="CT646" s="67"/>
      <c r="CU646" s="67">
        <v>0</v>
      </c>
      <c r="CV646" s="67"/>
      <c r="CW646" s="67"/>
      <c r="CX646" s="67"/>
      <c r="CY646" s="67">
        <v>0</v>
      </c>
      <c r="CZ646" s="67"/>
      <c r="DA646" s="67"/>
      <c r="DB646" s="67"/>
      <c r="DC646" s="67"/>
      <c r="DF646" s="67"/>
      <c r="DG646" s="67">
        <v>0</v>
      </c>
      <c r="DH646" s="67">
        <v>0</v>
      </c>
      <c r="DI646" s="67">
        <v>0</v>
      </c>
      <c r="DJ646" s="67"/>
      <c r="DK646" s="67">
        <v>0</v>
      </c>
      <c r="DL646" s="67">
        <v>0</v>
      </c>
      <c r="DM646" s="67"/>
      <c r="DN646" s="67"/>
      <c r="DO646" s="67"/>
      <c r="DP646" s="67"/>
      <c r="DQ646" s="67">
        <v>0</v>
      </c>
      <c r="DR646" s="67">
        <v>0</v>
      </c>
      <c r="DS646" s="67"/>
      <c r="DT646" s="67"/>
      <c r="DU646" s="67">
        <v>0</v>
      </c>
      <c r="DV646" s="67">
        <v>0</v>
      </c>
      <c r="DW646" s="67">
        <v>0</v>
      </c>
      <c r="DX646" s="67">
        <v>0</v>
      </c>
      <c r="DY646" s="67"/>
      <c r="DZ646" s="67">
        <v>0</v>
      </c>
      <c r="EA646" s="67"/>
      <c r="EB646" s="67">
        <v>0</v>
      </c>
      <c r="EC646" s="67"/>
      <c r="ED646" s="67">
        <v>0</v>
      </c>
      <c r="EE646" s="67"/>
      <c r="EF646" s="67">
        <v>250</v>
      </c>
      <c r="EG646" s="67"/>
      <c r="EH646" s="67"/>
      <c r="EI646" s="67"/>
      <c r="EJ646" s="67"/>
      <c r="EK646" s="67"/>
      <c r="EL646" s="67"/>
      <c r="EM646" s="67"/>
      <c r="EN646" s="67"/>
      <c r="EO646" s="67"/>
      <c r="EP646" s="67">
        <v>250</v>
      </c>
      <c r="EQ646" s="67">
        <v>0</v>
      </c>
      <c r="ER646" s="67">
        <v>0</v>
      </c>
      <c r="ES646" s="67"/>
      <c r="EX646" s="67"/>
      <c r="EY646" s="67"/>
      <c r="EZ646" s="67"/>
      <c r="FA646" s="67">
        <v>1625</v>
      </c>
      <c r="FB646" s="67"/>
      <c r="FC646" s="67"/>
      <c r="FD646" s="67"/>
      <c r="FE646" s="67"/>
      <c r="FF646" s="67"/>
      <c r="FG646" s="67"/>
      <c r="FH646" s="67"/>
      <c r="FI646" s="67" t="s">
        <v>1736</v>
      </c>
    </row>
    <row r="647" spans="2:165" x14ac:dyDescent="0.2">
      <c r="B647" s="67"/>
      <c r="C647" s="67" t="s">
        <v>1788</v>
      </c>
      <c r="D647" s="67" t="s">
        <v>1585</v>
      </c>
      <c r="E647" s="67"/>
      <c r="F647" s="67"/>
      <c r="G647" s="67"/>
      <c r="H647" s="67"/>
      <c r="I647" s="67"/>
      <c r="J647" s="67"/>
      <c r="K647" s="67"/>
      <c r="L647" s="67"/>
      <c r="M647" s="67"/>
      <c r="N647" s="67"/>
      <c r="O647" s="67"/>
      <c r="P647" s="67"/>
      <c r="Q647" s="67">
        <v>300</v>
      </c>
      <c r="R647" s="67">
        <v>0</v>
      </c>
      <c r="S647" s="67">
        <v>0</v>
      </c>
      <c r="T647" s="67">
        <v>0</v>
      </c>
      <c r="U647" s="67">
        <v>0</v>
      </c>
      <c r="V647" s="67">
        <v>0</v>
      </c>
      <c r="W647" s="67">
        <v>0</v>
      </c>
      <c r="X647" s="67">
        <v>0</v>
      </c>
      <c r="Y647" s="67">
        <v>0</v>
      </c>
      <c r="Z647" s="67">
        <v>0</v>
      </c>
      <c r="AA647" s="67">
        <v>0</v>
      </c>
      <c r="AB647" s="67">
        <v>0</v>
      </c>
      <c r="AC647" s="67">
        <v>0</v>
      </c>
      <c r="AD647" s="67">
        <v>0</v>
      </c>
      <c r="AE647" s="67">
        <v>0</v>
      </c>
      <c r="AF647" s="67">
        <v>0</v>
      </c>
      <c r="AG647" s="67">
        <v>0</v>
      </c>
      <c r="AH647" s="67">
        <v>0</v>
      </c>
      <c r="AI647" s="67">
        <v>0</v>
      </c>
      <c r="AJ647" s="67">
        <v>0</v>
      </c>
      <c r="AK647" s="67">
        <v>0</v>
      </c>
      <c r="AL647" s="67">
        <v>300</v>
      </c>
      <c r="AM647" s="67">
        <v>0</v>
      </c>
      <c r="AN647" s="67">
        <v>0</v>
      </c>
      <c r="AO647" s="67">
        <v>0</v>
      </c>
      <c r="AP647" s="67">
        <v>0</v>
      </c>
      <c r="AQ647" s="67">
        <v>0</v>
      </c>
      <c r="AR647" s="67">
        <v>0</v>
      </c>
      <c r="AS647" s="67">
        <v>0</v>
      </c>
      <c r="AT647" s="67"/>
      <c r="AU647" s="67"/>
      <c r="AV647" s="67"/>
      <c r="AW647" s="67">
        <v>0</v>
      </c>
      <c r="AX647" s="67">
        <v>0</v>
      </c>
      <c r="AY647" s="67"/>
      <c r="AZ647" s="67"/>
      <c r="BA647" s="67"/>
      <c r="BB647" s="67"/>
      <c r="BC647" s="67"/>
      <c r="BD647" s="67"/>
      <c r="BE647" s="67"/>
      <c r="BG647" s="67"/>
      <c r="BH647" s="67"/>
      <c r="BI647" s="67"/>
      <c r="BJ647" s="67">
        <v>0</v>
      </c>
      <c r="BK647" s="67"/>
      <c r="BL647" s="67"/>
      <c r="BP647" s="67"/>
      <c r="BQ647" s="67">
        <v>0</v>
      </c>
      <c r="BR647" s="67"/>
      <c r="BS647" s="67"/>
      <c r="BT647" s="67">
        <v>0</v>
      </c>
      <c r="BU647" s="67">
        <v>0</v>
      </c>
      <c r="BV647" s="67"/>
      <c r="BW647" s="67"/>
      <c r="BX647" s="67">
        <v>0</v>
      </c>
      <c r="BY647" s="67"/>
      <c r="BZ647" s="67"/>
      <c r="CA647" s="67"/>
      <c r="CB647" s="67"/>
      <c r="CC647" s="67"/>
      <c r="CD647" s="67"/>
      <c r="CE647" s="67">
        <v>0</v>
      </c>
      <c r="CF647" s="67"/>
      <c r="CG647" s="67"/>
      <c r="CH647" s="67"/>
      <c r="CI647" s="67"/>
      <c r="CJ647" s="67"/>
      <c r="CK647" s="67">
        <v>0</v>
      </c>
      <c r="CL647" s="67"/>
      <c r="CM647" s="67"/>
      <c r="CN647" s="67"/>
      <c r="CO647" s="67">
        <v>0</v>
      </c>
      <c r="CP647" s="67"/>
      <c r="CQ647" s="67"/>
      <c r="CR647" s="67"/>
      <c r="CS647" s="67"/>
      <c r="CT647" s="67"/>
      <c r="CU647" s="67">
        <v>0</v>
      </c>
      <c r="CV647" s="67"/>
      <c r="CW647" s="67"/>
      <c r="CX647" s="67"/>
      <c r="CY647" s="67">
        <v>0</v>
      </c>
      <c r="CZ647" s="67"/>
      <c r="DA647" s="67"/>
      <c r="DB647" s="67"/>
      <c r="DC647" s="67"/>
      <c r="DF647" s="67"/>
      <c r="DG647" s="67">
        <v>0</v>
      </c>
      <c r="DH647" s="67">
        <v>0</v>
      </c>
      <c r="DI647" s="67">
        <v>0</v>
      </c>
      <c r="DJ647" s="67"/>
      <c r="DK647" s="67">
        <v>0</v>
      </c>
      <c r="DL647" s="67">
        <v>0</v>
      </c>
      <c r="DM647" s="67"/>
      <c r="DN647" s="67"/>
      <c r="DO647" s="67"/>
      <c r="DP647" s="67"/>
      <c r="DQ647" s="67">
        <v>0</v>
      </c>
      <c r="DR647" s="67">
        <v>0</v>
      </c>
      <c r="DS647" s="67"/>
      <c r="DT647" s="67"/>
      <c r="DU647" s="67">
        <v>0</v>
      </c>
      <c r="DV647" s="67">
        <v>0</v>
      </c>
      <c r="DW647" s="67">
        <v>0</v>
      </c>
      <c r="DX647" s="67">
        <v>0</v>
      </c>
      <c r="DY647" s="67"/>
      <c r="DZ647" s="67">
        <v>0</v>
      </c>
      <c r="EA647" s="67"/>
      <c r="EB647" s="67">
        <v>0</v>
      </c>
      <c r="EC647" s="67"/>
      <c r="ED647" s="67">
        <v>0</v>
      </c>
      <c r="EE647" s="67"/>
      <c r="EF647" s="67">
        <v>0</v>
      </c>
      <c r="EG647" s="67"/>
      <c r="EH647" s="67"/>
      <c r="EI647" s="67"/>
      <c r="EJ647" s="67"/>
      <c r="EK647" s="67"/>
      <c r="EL647" s="67"/>
      <c r="EM647" s="67"/>
      <c r="EN647" s="67"/>
      <c r="EO647" s="67"/>
      <c r="EP647" s="67">
        <v>0</v>
      </c>
      <c r="EQ647" s="67">
        <v>0</v>
      </c>
      <c r="ER647" s="67">
        <v>0</v>
      </c>
      <c r="ES647" s="67"/>
      <c r="EX647" s="67"/>
      <c r="EY647" s="67"/>
      <c r="EZ647" s="67"/>
      <c r="FA647" s="67">
        <v>300</v>
      </c>
      <c r="FB647" s="67"/>
      <c r="FC647" s="67"/>
      <c r="FD647" s="67"/>
      <c r="FE647" s="67"/>
      <c r="FF647" s="67"/>
      <c r="FG647" s="67"/>
      <c r="FH647" s="67"/>
      <c r="FI647" s="67" t="s">
        <v>1736</v>
      </c>
    </row>
    <row r="648" spans="2:165" x14ac:dyDescent="0.2">
      <c r="B648" s="67"/>
      <c r="C648" s="67" t="s">
        <v>1789</v>
      </c>
      <c r="D648" s="67" t="s">
        <v>1586</v>
      </c>
      <c r="E648" s="67"/>
      <c r="F648" s="67"/>
      <c r="G648" s="67"/>
      <c r="H648" s="67"/>
      <c r="I648" s="67"/>
      <c r="J648" s="67"/>
      <c r="K648" s="67"/>
      <c r="L648" s="67"/>
      <c r="M648" s="67"/>
      <c r="N648" s="67"/>
      <c r="O648" s="67"/>
      <c r="P648" s="67"/>
      <c r="Q648" s="67">
        <v>1190</v>
      </c>
      <c r="R648" s="67">
        <v>0</v>
      </c>
      <c r="S648" s="67">
        <v>0</v>
      </c>
      <c r="T648" s="67">
        <v>550</v>
      </c>
      <c r="U648" s="67">
        <v>0</v>
      </c>
      <c r="V648" s="67">
        <v>0</v>
      </c>
      <c r="W648" s="67">
        <v>0</v>
      </c>
      <c r="X648" s="67">
        <v>0</v>
      </c>
      <c r="Y648" s="67">
        <v>0</v>
      </c>
      <c r="Z648" s="67">
        <v>0</v>
      </c>
      <c r="AA648" s="67">
        <v>0</v>
      </c>
      <c r="AB648" s="67">
        <v>0</v>
      </c>
      <c r="AC648" s="67">
        <v>0</v>
      </c>
      <c r="AD648" s="67">
        <v>0</v>
      </c>
      <c r="AE648" s="67">
        <v>0</v>
      </c>
      <c r="AF648" s="67">
        <v>0</v>
      </c>
      <c r="AG648" s="67">
        <v>0</v>
      </c>
      <c r="AH648" s="67">
        <v>0</v>
      </c>
      <c r="AI648" s="67">
        <v>0</v>
      </c>
      <c r="AJ648" s="67">
        <v>0</v>
      </c>
      <c r="AK648" s="67">
        <v>0</v>
      </c>
      <c r="AL648" s="67">
        <v>0</v>
      </c>
      <c r="AM648" s="67">
        <v>0</v>
      </c>
      <c r="AN648" s="67">
        <v>640</v>
      </c>
      <c r="AO648" s="67">
        <v>0</v>
      </c>
      <c r="AP648" s="67">
        <v>0</v>
      </c>
      <c r="AQ648" s="67">
        <v>0</v>
      </c>
      <c r="AR648" s="67">
        <v>0</v>
      </c>
      <c r="AS648" s="67">
        <v>0</v>
      </c>
      <c r="AT648" s="67"/>
      <c r="AU648" s="67"/>
      <c r="AV648" s="67"/>
      <c r="AW648" s="67">
        <v>0</v>
      </c>
      <c r="AX648" s="67">
        <v>0</v>
      </c>
      <c r="AY648" s="67"/>
      <c r="AZ648" s="67"/>
      <c r="BA648" s="67"/>
      <c r="BB648" s="67"/>
      <c r="BC648" s="67"/>
      <c r="BD648" s="67"/>
      <c r="BE648" s="67"/>
      <c r="BG648" s="67"/>
      <c r="BH648" s="67"/>
      <c r="BI648" s="67"/>
      <c r="BJ648" s="67">
        <v>0</v>
      </c>
      <c r="BK648" s="67"/>
      <c r="BL648" s="67"/>
      <c r="BP648" s="67"/>
      <c r="BQ648" s="67">
        <v>0</v>
      </c>
      <c r="BR648" s="67"/>
      <c r="BS648" s="67"/>
      <c r="BT648" s="67">
        <v>0</v>
      </c>
      <c r="BU648" s="67">
        <v>0</v>
      </c>
      <c r="BV648" s="67"/>
      <c r="BW648" s="67"/>
      <c r="BX648" s="67">
        <v>0</v>
      </c>
      <c r="BY648" s="67"/>
      <c r="BZ648" s="67"/>
      <c r="CA648" s="67"/>
      <c r="CB648" s="67"/>
      <c r="CC648" s="67"/>
      <c r="CD648" s="67"/>
      <c r="CE648" s="67">
        <v>0</v>
      </c>
      <c r="CF648" s="67"/>
      <c r="CG648" s="67"/>
      <c r="CH648" s="67"/>
      <c r="CI648" s="67"/>
      <c r="CJ648" s="67"/>
      <c r="CK648" s="67">
        <v>0</v>
      </c>
      <c r="CL648" s="67"/>
      <c r="CM648" s="67"/>
      <c r="CN648" s="67"/>
      <c r="CO648" s="67">
        <v>0</v>
      </c>
      <c r="CP648" s="67"/>
      <c r="CQ648" s="67"/>
      <c r="CR648" s="67"/>
      <c r="CS648" s="67"/>
      <c r="CT648" s="67"/>
      <c r="CU648" s="67">
        <v>0</v>
      </c>
      <c r="CV648" s="67"/>
      <c r="CW648" s="67"/>
      <c r="CX648" s="67"/>
      <c r="CY648" s="67">
        <v>0</v>
      </c>
      <c r="CZ648" s="67"/>
      <c r="DA648" s="67"/>
      <c r="DB648" s="67"/>
      <c r="DC648" s="67"/>
      <c r="DF648" s="67"/>
      <c r="DG648" s="67">
        <v>0</v>
      </c>
      <c r="DH648" s="67">
        <v>0</v>
      </c>
      <c r="DI648" s="67">
        <v>0</v>
      </c>
      <c r="DJ648" s="67"/>
      <c r="DK648" s="67">
        <v>0</v>
      </c>
      <c r="DL648" s="67">
        <v>0</v>
      </c>
      <c r="DM648" s="67"/>
      <c r="DN648" s="67"/>
      <c r="DO648" s="67"/>
      <c r="DP648" s="67"/>
      <c r="DQ648" s="67">
        <v>0</v>
      </c>
      <c r="DR648" s="67">
        <v>0</v>
      </c>
      <c r="DS648" s="67"/>
      <c r="DT648" s="67"/>
      <c r="DU648" s="67">
        <v>0</v>
      </c>
      <c r="DV648" s="67">
        <v>0</v>
      </c>
      <c r="DW648" s="67">
        <v>0</v>
      </c>
      <c r="DX648" s="67">
        <v>0</v>
      </c>
      <c r="DY648" s="67"/>
      <c r="DZ648" s="67">
        <v>0</v>
      </c>
      <c r="EA648" s="67"/>
      <c r="EB648" s="67">
        <v>0</v>
      </c>
      <c r="EC648" s="67"/>
      <c r="ED648" s="67">
        <v>0</v>
      </c>
      <c r="EE648" s="67"/>
      <c r="EF648" s="67">
        <v>0</v>
      </c>
      <c r="EG648" s="67"/>
      <c r="EH648" s="67"/>
      <c r="EI648" s="67"/>
      <c r="EJ648" s="67"/>
      <c r="EK648" s="67"/>
      <c r="EL648" s="67"/>
      <c r="EM648" s="67"/>
      <c r="EN648" s="67"/>
      <c r="EO648" s="67"/>
      <c r="EP648" s="67">
        <v>0</v>
      </c>
      <c r="EQ648" s="67">
        <v>0</v>
      </c>
      <c r="ER648" s="67">
        <v>0</v>
      </c>
      <c r="ES648" s="67"/>
      <c r="EX648" s="67"/>
      <c r="EY648" s="67"/>
      <c r="EZ648" s="67"/>
      <c r="FA648" s="67">
        <v>1190</v>
      </c>
      <c r="FB648" s="67"/>
      <c r="FC648" s="67"/>
      <c r="FD648" s="67"/>
      <c r="FE648" s="67"/>
      <c r="FF648" s="67"/>
      <c r="FG648" s="67"/>
      <c r="FH648" s="67"/>
      <c r="FI648" s="67" t="s">
        <v>1736</v>
      </c>
    </row>
    <row r="649" spans="2:165" x14ac:dyDescent="0.2">
      <c r="B649" s="67"/>
      <c r="C649" s="67" t="s">
        <v>1790</v>
      </c>
      <c r="D649" s="67" t="s">
        <v>1587</v>
      </c>
      <c r="E649" s="67"/>
      <c r="F649" s="67"/>
      <c r="G649" s="67"/>
      <c r="H649" s="67"/>
      <c r="I649" s="67"/>
      <c r="J649" s="67"/>
      <c r="K649" s="67"/>
      <c r="L649" s="67"/>
      <c r="M649" s="67"/>
      <c r="N649" s="67"/>
      <c r="O649" s="67"/>
      <c r="P649" s="67"/>
      <c r="Q649" s="67">
        <v>852</v>
      </c>
      <c r="R649" s="67">
        <v>0</v>
      </c>
      <c r="S649" s="67">
        <v>0</v>
      </c>
      <c r="T649" s="67">
        <v>0</v>
      </c>
      <c r="U649" s="67">
        <v>0</v>
      </c>
      <c r="V649" s="67">
        <v>0</v>
      </c>
      <c r="W649" s="67">
        <v>0</v>
      </c>
      <c r="X649" s="67">
        <v>0</v>
      </c>
      <c r="Y649" s="67">
        <v>0</v>
      </c>
      <c r="Z649" s="67">
        <v>0</v>
      </c>
      <c r="AA649" s="67">
        <v>0</v>
      </c>
      <c r="AB649" s="67">
        <v>0</v>
      </c>
      <c r="AC649" s="67">
        <v>0</v>
      </c>
      <c r="AD649" s="67">
        <v>0</v>
      </c>
      <c r="AE649" s="67">
        <v>0</v>
      </c>
      <c r="AF649" s="67">
        <v>0</v>
      </c>
      <c r="AG649" s="67">
        <v>0</v>
      </c>
      <c r="AH649" s="67">
        <v>0</v>
      </c>
      <c r="AI649" s="67">
        <v>0</v>
      </c>
      <c r="AJ649" s="67">
        <v>0</v>
      </c>
      <c r="AK649" s="67">
        <v>0</v>
      </c>
      <c r="AL649" s="67">
        <v>0</v>
      </c>
      <c r="AM649" s="67">
        <v>0</v>
      </c>
      <c r="AN649" s="67">
        <v>852</v>
      </c>
      <c r="AO649" s="67">
        <v>0</v>
      </c>
      <c r="AP649" s="67">
        <v>0</v>
      </c>
      <c r="AQ649" s="67">
        <v>0</v>
      </c>
      <c r="AR649" s="67">
        <v>0</v>
      </c>
      <c r="AS649" s="67">
        <v>0</v>
      </c>
      <c r="AT649" s="67"/>
      <c r="AU649" s="67"/>
      <c r="AV649" s="67"/>
      <c r="AW649" s="67">
        <v>0</v>
      </c>
      <c r="AX649" s="67">
        <v>0</v>
      </c>
      <c r="AY649" s="67"/>
      <c r="AZ649" s="67"/>
      <c r="BA649" s="67"/>
      <c r="BB649" s="67"/>
      <c r="BC649" s="67"/>
      <c r="BD649" s="67"/>
      <c r="BE649" s="67"/>
      <c r="BG649" s="67"/>
      <c r="BH649" s="67"/>
      <c r="BI649" s="67"/>
      <c r="BJ649" s="67">
        <v>0</v>
      </c>
      <c r="BK649" s="67"/>
      <c r="BL649" s="67"/>
      <c r="BP649" s="67"/>
      <c r="BQ649" s="67">
        <v>0</v>
      </c>
      <c r="BR649" s="67"/>
      <c r="BS649" s="67"/>
      <c r="BT649" s="67">
        <v>0</v>
      </c>
      <c r="BU649" s="67">
        <v>0</v>
      </c>
      <c r="BV649" s="67"/>
      <c r="BW649" s="67"/>
      <c r="BX649" s="67">
        <v>0</v>
      </c>
      <c r="BY649" s="67"/>
      <c r="BZ649" s="67"/>
      <c r="CA649" s="67"/>
      <c r="CB649" s="67"/>
      <c r="CC649" s="67"/>
      <c r="CD649" s="67"/>
      <c r="CE649" s="67">
        <v>0</v>
      </c>
      <c r="CF649" s="67"/>
      <c r="CG649" s="67"/>
      <c r="CH649" s="67"/>
      <c r="CI649" s="67"/>
      <c r="CJ649" s="67"/>
      <c r="CK649" s="67">
        <v>0</v>
      </c>
      <c r="CL649" s="67"/>
      <c r="CM649" s="67"/>
      <c r="CN649" s="67"/>
      <c r="CO649" s="67">
        <v>0</v>
      </c>
      <c r="CP649" s="67"/>
      <c r="CQ649" s="67"/>
      <c r="CR649" s="67"/>
      <c r="CS649" s="67"/>
      <c r="CT649" s="67"/>
      <c r="CU649" s="67">
        <v>0</v>
      </c>
      <c r="CV649" s="67"/>
      <c r="CW649" s="67"/>
      <c r="CX649" s="67"/>
      <c r="CY649" s="67">
        <v>0</v>
      </c>
      <c r="CZ649" s="67"/>
      <c r="DA649" s="67"/>
      <c r="DB649" s="67"/>
      <c r="DC649" s="67"/>
      <c r="DF649" s="67"/>
      <c r="DG649" s="67">
        <v>0</v>
      </c>
      <c r="DH649" s="67">
        <v>0</v>
      </c>
      <c r="DI649" s="67">
        <v>0</v>
      </c>
      <c r="DJ649" s="67"/>
      <c r="DK649" s="67">
        <v>0</v>
      </c>
      <c r="DL649" s="67">
        <v>0</v>
      </c>
      <c r="DM649" s="67"/>
      <c r="DN649" s="67"/>
      <c r="DO649" s="67"/>
      <c r="DP649" s="67"/>
      <c r="DQ649" s="67">
        <v>0</v>
      </c>
      <c r="DR649" s="67">
        <v>0</v>
      </c>
      <c r="DS649" s="67"/>
      <c r="DT649" s="67"/>
      <c r="DU649" s="67">
        <v>0</v>
      </c>
      <c r="DV649" s="67">
        <v>0</v>
      </c>
      <c r="DW649" s="67">
        <v>0</v>
      </c>
      <c r="DX649" s="67">
        <v>0</v>
      </c>
      <c r="DY649" s="67"/>
      <c r="DZ649" s="67">
        <v>0</v>
      </c>
      <c r="EA649" s="67"/>
      <c r="EB649" s="67">
        <v>0</v>
      </c>
      <c r="EC649" s="67"/>
      <c r="ED649" s="67">
        <v>0</v>
      </c>
      <c r="EE649" s="67"/>
      <c r="EF649" s="67">
        <v>0</v>
      </c>
      <c r="EG649" s="67"/>
      <c r="EH649" s="67"/>
      <c r="EI649" s="67"/>
      <c r="EJ649" s="67"/>
      <c r="EK649" s="67"/>
      <c r="EL649" s="67"/>
      <c r="EM649" s="67"/>
      <c r="EN649" s="67"/>
      <c r="EO649" s="67"/>
      <c r="EP649" s="67">
        <v>0</v>
      </c>
      <c r="EQ649" s="67">
        <v>0</v>
      </c>
      <c r="ER649" s="67">
        <v>0</v>
      </c>
      <c r="ES649" s="67"/>
      <c r="EX649" s="67"/>
      <c r="EY649" s="67"/>
      <c r="EZ649" s="67"/>
      <c r="FA649" s="67">
        <v>852</v>
      </c>
      <c r="FB649" s="67"/>
      <c r="FC649" s="67"/>
      <c r="FD649" s="67"/>
      <c r="FE649" s="67"/>
      <c r="FF649" s="67"/>
      <c r="FG649" s="67"/>
      <c r="FH649" s="67"/>
      <c r="FI649" s="67" t="s">
        <v>1736</v>
      </c>
    </row>
  </sheetData>
  <phoneticPr fontId="7" type="noConversion"/>
  <pageMargins left="0.70866141732283472" right="0.51181102362204722" top="0.94488188976377963" bottom="0.59055118110236227" header="0.31496062992125984" footer="0.27559055118110237"/>
  <pageSetup paperSize="9" orientation="landscape" r:id="rId1"/>
  <headerFooter scaleWithDoc="0">
    <oddHeader xml:space="preserve">&amp;L&amp;9 </oddHeader>
  </headerFooter>
  <legacy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D9BDF-5521-460A-8E23-8FFD69B162A6}">
  <sheetPr>
    <tabColor theme="1"/>
  </sheetPr>
  <dimension ref="A1:F197"/>
  <sheetViews>
    <sheetView topLeftCell="A67" zoomScaleNormal="100" zoomScalePageLayoutView="85" workbookViewId="0">
      <selection activeCell="F100" sqref="F100"/>
    </sheetView>
  </sheetViews>
  <sheetFormatPr baseColWidth="10" defaultColWidth="9" defaultRowHeight="11.25" x14ac:dyDescent="0.2"/>
  <cols>
    <col min="1" max="1" bestFit="true" customWidth="true" style="2" width="25.375" collapsed="false"/>
    <col min="2" max="2" bestFit="true" customWidth="true" style="2" width="38.5" collapsed="false"/>
    <col min="3" max="3" bestFit="true" customWidth="true" style="2" width="9.625" collapsed="false"/>
    <col min="4" max="4" bestFit="true" customWidth="true" style="2" width="7.625" collapsed="false"/>
    <col min="5" max="5" bestFit="true" customWidth="true" style="1" width="12.125" collapsed="false"/>
    <col min="6" max="6" customWidth="true" style="27" width="75.625" collapsed="false"/>
    <col min="7" max="16384" style="27" width="9.0" collapsed="false"/>
  </cols>
  <sheetData>
    <row r="1" spans="1:4" x14ac:dyDescent="0.2">
      <c r="A1" s="3" t="s">
        <v>6</v>
      </c>
      <c r="B1" s="3" t="s">
        <v>1791</v>
      </c>
      <c r="C1" s="4" t="s">
        <v>1792</v>
      </c>
      <c r="D1" s="4"/>
    </row>
    <row r="2" spans="1:4" x14ac:dyDescent="0.2">
      <c r="A2" s="2" t="s">
        <v>13</v>
      </c>
      <c r="C2" s="2" t="str">
        <f>IF(A3="",MAX($C$1:C1)+1,"")</f>
        <v/>
      </c>
    </row>
    <row r="3" spans="1:4" x14ac:dyDescent="0.2">
      <c r="A3" s="2" t="s">
        <v>20</v>
      </c>
      <c r="C3" s="2" t="str">
        <f>IF(A4="",MAX($C$1:C2)+1,"")</f>
        <v/>
      </c>
    </row>
    <row r="4" spans="1:4" x14ac:dyDescent="0.2">
      <c r="A4" s="2" t="s">
        <v>23</v>
      </c>
      <c r="C4" s="2" t="str">
        <f>IF(A5="",MAX($C$1:C3)+1,"")</f>
        <v/>
      </c>
    </row>
    <row r="5" spans="1:4" x14ac:dyDescent="0.2">
      <c r="A5" s="2" t="s">
        <v>889</v>
      </c>
      <c r="C5" s="2" t="str">
        <f>IF(A6="",MAX($C$1:C4)+1,"")</f>
        <v/>
      </c>
    </row>
    <row r="6" spans="1:4" x14ac:dyDescent="0.2">
      <c r="A6" s="2" t="s">
        <v>732</v>
      </c>
      <c r="C6" s="2" t="str">
        <f>IF(A8="",MAX($C$1:C5)+1,"")</f>
        <v/>
      </c>
    </row>
    <row r="8" spans="1:4" x14ac:dyDescent="0.2">
      <c r="A8" s="2" t="s">
        <v>35</v>
      </c>
      <c r="C8" s="2" t="str">
        <f>IF(A9="",MAX($C$1:C6)+1,"")</f>
        <v/>
      </c>
    </row>
    <row r="9" spans="1:4" x14ac:dyDescent="0.2">
      <c r="A9" s="2" t="s">
        <v>37</v>
      </c>
      <c r="C9" s="2">
        <f>IF(A10="",MAX($C$1:C8)+1,"")</f>
        <v>1</v>
      </c>
    </row>
    <row r="16" spans="1:4" x14ac:dyDescent="0.2">
      <c r="A16" s="3" t="s">
        <v>1793</v>
      </c>
      <c r="B16" s="3" t="s">
        <v>1794</v>
      </c>
      <c r="C16" s="4" t="s">
        <v>1792</v>
      </c>
      <c r="D16" s="4"/>
    </row>
    <row r="17" spans="1:5" x14ac:dyDescent="0.2">
      <c r="A17" s="2" t="s">
        <v>1693</v>
      </c>
      <c r="B17" s="2" t="s">
        <v>1795</v>
      </c>
      <c r="C17" s="2" t="str">
        <f>IF(A18="",MAX($C$1:C16)+1,"")</f>
        <v/>
      </c>
    </row>
    <row r="18" spans="1:5" x14ac:dyDescent="0.2">
      <c r="A18" s="2" t="s">
        <v>1796</v>
      </c>
      <c r="B18" s="2" t="s">
        <v>1797</v>
      </c>
      <c r="C18" s="2" t="str">
        <f>IF(A19="",MAX($C$1:C17)+1,"")</f>
        <v/>
      </c>
    </row>
    <row r="19" spans="1:5" ht="12" x14ac:dyDescent="0.2">
      <c r="A19" s="2" t="s">
        <v>1798</v>
      </c>
      <c r="B19" s="2" t="s">
        <v>1799</v>
      </c>
      <c r="C19" s="2" t="str">
        <f>IF(A20="",MAX($C$1:C18)+1,"")</f>
        <v/>
      </c>
      <c r="E19" s="30"/>
    </row>
    <row r="20" spans="1:5" ht="12" x14ac:dyDescent="0.2">
      <c r="A20" s="2" t="s">
        <v>1800</v>
      </c>
      <c r="B20" s="2" t="s">
        <v>1801</v>
      </c>
      <c r="C20" s="2" t="str">
        <f>IF(A21="",MAX($C$1:C19)+1,"")</f>
        <v/>
      </c>
      <c r="E20" s="30"/>
    </row>
    <row r="21" spans="1:5" x14ac:dyDescent="0.2">
      <c r="A21" s="2" t="s">
        <v>1802</v>
      </c>
      <c r="B21" s="2" t="s">
        <v>1803</v>
      </c>
      <c r="C21" s="2" t="str">
        <f>IF(A22="",MAX($C$1:C20)+1,"")</f>
        <v/>
      </c>
    </row>
    <row r="22" spans="1:5" x14ac:dyDescent="0.2">
      <c r="A22" s="2" t="s">
        <v>1804</v>
      </c>
      <c r="B22" s="2" t="s">
        <v>1805</v>
      </c>
      <c r="C22" s="2" t="str">
        <f>IF(A23="",MAX($C$1:C21)+1,"")</f>
        <v/>
      </c>
    </row>
    <row r="23" spans="1:5" x14ac:dyDescent="0.2">
      <c r="A23" s="2" t="s">
        <v>1806</v>
      </c>
      <c r="B23" s="2" t="s">
        <v>1807</v>
      </c>
      <c r="C23" s="2" t="str">
        <f>IF(A24="",MAX($C$1:C22)+1,"")</f>
        <v/>
      </c>
    </row>
    <row r="24" spans="1:5" x14ac:dyDescent="0.2">
      <c r="A24" s="2" t="s">
        <v>1808</v>
      </c>
      <c r="B24" s="2" t="s">
        <v>1809</v>
      </c>
      <c r="C24" s="2" t="str">
        <f>IF(A25="",MAX($C$1:C23)+1,"")</f>
        <v/>
      </c>
    </row>
    <row r="25" spans="1:5" x14ac:dyDescent="0.2">
      <c r="A25" s="2" t="s">
        <v>1331</v>
      </c>
      <c r="B25" s="2" t="s">
        <v>1810</v>
      </c>
      <c r="C25" s="2" t="str">
        <f>IF(A26="",MAX($C$1:C24)+1,"")</f>
        <v/>
      </c>
    </row>
    <row r="26" spans="1:5" x14ac:dyDescent="0.2">
      <c r="A26" s="1" t="s">
        <v>1284</v>
      </c>
      <c r="B26" s="2" t="s">
        <v>1811</v>
      </c>
      <c r="C26" s="2" t="str">
        <f>IF(A27="",MAX($C$1:C25)+1,"")</f>
        <v/>
      </c>
    </row>
    <row r="27" spans="1:5" ht="12" x14ac:dyDescent="0.2">
      <c r="A27" s="1" t="s">
        <v>1708</v>
      </c>
      <c r="B27" s="2" t="s">
        <v>1812</v>
      </c>
      <c r="C27" s="2" t="str">
        <f>IF(A28="",MAX($C$1:C26)+1,"")</f>
        <v/>
      </c>
      <c r="E27" s="30"/>
    </row>
    <row r="28" spans="1:5" ht="12" x14ac:dyDescent="0.2">
      <c r="A28" s="1" t="s">
        <v>1813</v>
      </c>
      <c r="B28" s="2" t="s">
        <v>1814</v>
      </c>
      <c r="C28" s="2" t="str">
        <f>IF(A29="",MAX($C$1:C27)+1,"")</f>
        <v/>
      </c>
      <c r="E28" s="30"/>
    </row>
    <row r="29" spans="1:5" ht="12" x14ac:dyDescent="0.2">
      <c r="A29" s="1" t="s">
        <v>1815</v>
      </c>
      <c r="B29" s="2" t="s">
        <v>1816</v>
      </c>
      <c r="C29" s="2" t="str">
        <f>IF(A30="",MAX($C$1:C28)+1,"")</f>
        <v/>
      </c>
      <c r="E29" s="30"/>
    </row>
    <row r="30" spans="1:5" ht="12" x14ac:dyDescent="0.2">
      <c r="A30" s="1" t="s">
        <v>1817</v>
      </c>
      <c r="B30" s="2" t="s">
        <v>1818</v>
      </c>
      <c r="C30" s="2" t="str">
        <f>IF(A31="",MAX($C$1:C29)+1,"")</f>
        <v/>
      </c>
      <c r="E30" s="30"/>
    </row>
    <row r="31" spans="1:5" ht="12" x14ac:dyDescent="0.2">
      <c r="A31" s="2" t="s">
        <v>750</v>
      </c>
      <c r="B31" s="2" t="s">
        <v>1819</v>
      </c>
      <c r="C31" s="2" t="str">
        <f>IF(A32="",MAX($C$1:C30)+1,"")</f>
        <v/>
      </c>
      <c r="E31" s="30"/>
    </row>
    <row r="32" spans="1:5" ht="12" x14ac:dyDescent="0.2">
      <c r="A32" s="2" t="s">
        <v>1262</v>
      </c>
      <c r="B32" s="2" t="s">
        <v>107</v>
      </c>
      <c r="C32" s="2" t="str">
        <f>IF(A33="",MAX($C$1:C31)+1,"")</f>
        <v/>
      </c>
      <c r="E32" s="30"/>
    </row>
    <row r="33" spans="1:5" ht="12" x14ac:dyDescent="0.2">
      <c r="A33" s="2" t="s">
        <v>1230</v>
      </c>
      <c r="B33" s="2" t="s">
        <v>109</v>
      </c>
      <c r="C33" s="2" t="str">
        <f>IF(A34="",MAX($C$1:C32)+1,"")</f>
        <v/>
      </c>
      <c r="E33" s="30"/>
    </row>
    <row r="34" spans="1:5" ht="12" x14ac:dyDescent="0.2">
      <c r="A34" s="2" t="s">
        <v>1687</v>
      </c>
      <c r="B34" s="2" t="s">
        <v>118</v>
      </c>
      <c r="C34" s="2" t="str">
        <f>IF(A35="",MAX($C$1:C33)+1,"")</f>
        <v/>
      </c>
      <c r="E34" s="30"/>
    </row>
    <row r="35" spans="1:5" ht="12" x14ac:dyDescent="0.2">
      <c r="A35" s="2" t="s">
        <v>933</v>
      </c>
      <c r="B35" s="2" t="s">
        <v>1820</v>
      </c>
      <c r="C35" s="2" t="str">
        <f>IF(A36="",MAX($C$1:C34)+1,"")</f>
        <v/>
      </c>
      <c r="E35" s="30"/>
    </row>
    <row r="36" spans="1:5" ht="12" x14ac:dyDescent="0.2">
      <c r="A36" s="2" t="s">
        <v>984</v>
      </c>
      <c r="B36" s="2" t="s">
        <v>105</v>
      </c>
      <c r="C36" s="2" t="str">
        <f>IF(A37="",MAX($C$1:C35)+1,"")</f>
        <v/>
      </c>
      <c r="E36" s="30"/>
    </row>
    <row r="37" spans="1:5" ht="12" x14ac:dyDescent="0.2">
      <c r="A37" s="2" t="s">
        <v>1821</v>
      </c>
      <c r="B37" s="2" t="s">
        <v>111</v>
      </c>
      <c r="C37" s="2" t="str">
        <f>IF(A38="",MAX($C$1:C36)+1,"")</f>
        <v/>
      </c>
      <c r="E37" s="30"/>
    </row>
    <row r="38" spans="1:5" ht="12" x14ac:dyDescent="0.2">
      <c r="A38" s="2" t="s">
        <v>1822</v>
      </c>
      <c r="B38" s="2" t="s">
        <v>1823</v>
      </c>
      <c r="C38" s="2" t="str">
        <f>IF(A39="",MAX($C$1:C37)+1,"")</f>
        <v/>
      </c>
      <c r="E38" s="30"/>
    </row>
    <row r="39" spans="1:5" ht="12" x14ac:dyDescent="0.2">
      <c r="A39" s="2" t="s">
        <v>1824</v>
      </c>
      <c r="B39" s="2" t="s">
        <v>1825</v>
      </c>
      <c r="C39" s="2" t="str">
        <f>IF(A40="",MAX($C$1:C38)+1,"")</f>
        <v/>
      </c>
      <c r="E39" s="30"/>
    </row>
    <row r="40" spans="1:5" ht="12" x14ac:dyDescent="0.2">
      <c r="A40" s="2" t="s">
        <v>1116</v>
      </c>
      <c r="B40" s="2" t="s">
        <v>104</v>
      </c>
      <c r="C40" s="2" t="str">
        <f>IF(A41="",MAX($C$1:C39)+1,"")</f>
        <v/>
      </c>
      <c r="E40" s="30"/>
    </row>
    <row r="41" spans="1:5" ht="12" x14ac:dyDescent="0.2">
      <c r="A41" s="2" t="s">
        <v>1826</v>
      </c>
      <c r="B41" s="2" t="s">
        <v>1827</v>
      </c>
      <c r="C41" s="2" t="str">
        <f>IF(A42="",MAX($C$1:C40)+1,"")</f>
        <v/>
      </c>
      <c r="E41" s="31"/>
    </row>
    <row r="42" spans="1:5" ht="12" x14ac:dyDescent="0.2">
      <c r="A42" s="2" t="s">
        <v>810</v>
      </c>
      <c r="B42" s="2" t="s">
        <v>108</v>
      </c>
      <c r="C42" s="2" t="str">
        <f>IF(A43="",MAX($C$1:C41)+1,"")</f>
        <v/>
      </c>
      <c r="E42" s="31"/>
    </row>
    <row r="43" spans="1:5" ht="12" x14ac:dyDescent="0.2">
      <c r="A43" s="2" t="s">
        <v>1224</v>
      </c>
      <c r="B43" s="2" t="s">
        <v>1225</v>
      </c>
      <c r="C43" s="2" t="str">
        <f>IF(A44="",MAX($C$1:C42)+1,"")</f>
        <v/>
      </c>
      <c r="E43" s="31"/>
    </row>
    <row r="44" spans="1:5" ht="12" x14ac:dyDescent="0.2">
      <c r="A44" s="2" t="s">
        <v>1109</v>
      </c>
      <c r="B44" s="2" t="s">
        <v>112</v>
      </c>
      <c r="C44" s="2" t="str">
        <f>IF(A45="",MAX($C$1:C43)+1,"")</f>
        <v/>
      </c>
      <c r="E44" s="31"/>
    </row>
    <row r="45" spans="1:5" ht="12" x14ac:dyDescent="0.2">
      <c r="A45" s="2" t="s">
        <v>1828</v>
      </c>
      <c r="B45" s="2" t="s">
        <v>1829</v>
      </c>
      <c r="C45" s="2" t="str">
        <f>IF(A46="",MAX($C$1:C44)+1,"")</f>
        <v/>
      </c>
      <c r="E45" s="31"/>
    </row>
    <row r="46" spans="1:5" ht="12" x14ac:dyDescent="0.2">
      <c r="A46" s="2" t="s">
        <v>766</v>
      </c>
      <c r="B46" s="2" t="s">
        <v>114</v>
      </c>
      <c r="C46" s="2" t="str">
        <f>IF(A47="",MAX($C$1:C45)+1,"")</f>
        <v/>
      </c>
      <c r="E46" s="31"/>
    </row>
    <row r="47" spans="1:5" ht="12" x14ac:dyDescent="0.2">
      <c r="A47" s="2" t="s">
        <v>1830</v>
      </c>
      <c r="B47" s="2" t="s">
        <v>1831</v>
      </c>
      <c r="C47" s="2" t="str">
        <f>IF(A48="",MAX($C$1:C46)+1,"")</f>
        <v/>
      </c>
      <c r="E47" s="31"/>
    </row>
    <row r="48" spans="1:5" ht="12" x14ac:dyDescent="0.2">
      <c r="A48" s="2" t="s">
        <v>898</v>
      </c>
      <c r="B48" s="2" t="s">
        <v>116</v>
      </c>
      <c r="C48" s="2" t="str">
        <f>IF(A49="",MAX($C$1:C47)+1,"")</f>
        <v/>
      </c>
      <c r="E48" s="31"/>
    </row>
    <row r="49" spans="1:5" ht="12" x14ac:dyDescent="0.2">
      <c r="A49" s="2" t="s">
        <v>1618</v>
      </c>
      <c r="B49" s="2" t="s">
        <v>117</v>
      </c>
      <c r="C49" s="2" t="str">
        <f>IF(A50="",MAX($C$1:C48)+1,"")</f>
        <v/>
      </c>
      <c r="E49" s="31"/>
    </row>
    <row r="50" spans="1:5" ht="12" x14ac:dyDescent="0.2">
      <c r="A50" s="2" t="s">
        <v>1129</v>
      </c>
      <c r="B50" s="2" t="s">
        <v>120</v>
      </c>
      <c r="C50" s="2" t="str">
        <f>IF(A51="",MAX($C$1:C49)+1,"")</f>
        <v/>
      </c>
      <c r="E50" s="31"/>
    </row>
    <row r="51" spans="1:5" x14ac:dyDescent="0.2">
      <c r="A51" s="2" t="s">
        <v>1241</v>
      </c>
      <c r="B51" s="2" t="s">
        <v>121</v>
      </c>
      <c r="C51" s="2" t="str">
        <f>IF(A52="",MAX($C$1:C50)+1,"")</f>
        <v/>
      </c>
    </row>
    <row r="52" spans="1:5" x14ac:dyDescent="0.2">
      <c r="A52" s="2" t="s">
        <v>1641</v>
      </c>
      <c r="B52" s="2" t="s">
        <v>122</v>
      </c>
      <c r="C52" s="2" t="str">
        <f>IF(A53="",MAX($C$1:C51)+1,"")</f>
        <v/>
      </c>
    </row>
    <row r="53" spans="1:5" x14ac:dyDescent="0.2">
      <c r="A53" s="2" t="s">
        <v>1671</v>
      </c>
      <c r="B53" s="2" t="s">
        <v>1832</v>
      </c>
      <c r="C53" s="2" t="str">
        <f>IF(A54="",MAX($C$1:C52)+1,"")</f>
        <v/>
      </c>
    </row>
    <row r="54" spans="1:5" x14ac:dyDescent="0.2">
      <c r="A54" s="2" t="s">
        <v>1833</v>
      </c>
      <c r="B54" s="2" t="s">
        <v>1834</v>
      </c>
      <c r="C54" s="2" t="str">
        <f>IF(A55="",MAX($C$1:C53)+1,"")</f>
        <v/>
      </c>
    </row>
    <row r="55" spans="1:5" x14ac:dyDescent="0.2">
      <c r="A55" s="2" t="s">
        <v>1835</v>
      </c>
      <c r="B55" s="2" t="s">
        <v>1836</v>
      </c>
      <c r="C55" s="2" t="str">
        <f>IF(A56="",MAX($C$1:C54)+1,"")</f>
        <v/>
      </c>
    </row>
    <row r="56" spans="1:5" x14ac:dyDescent="0.2">
      <c r="A56" s="2" t="s">
        <v>1837</v>
      </c>
      <c r="B56" s="2" t="s">
        <v>1838</v>
      </c>
      <c r="C56" s="2" t="str">
        <f>IF(A57="",MAX($C$1:C55)+1,"")</f>
        <v/>
      </c>
    </row>
    <row r="57" spans="1:5" x14ac:dyDescent="0.2">
      <c r="A57" s="2" t="s">
        <v>1839</v>
      </c>
      <c r="B57" s="2" t="s">
        <v>1840</v>
      </c>
      <c r="C57" s="2" t="str">
        <f>IF(A58="",MAX($C$1:C56)+1,"")</f>
        <v/>
      </c>
    </row>
    <row r="58" spans="1:5" x14ac:dyDescent="0.2">
      <c r="A58" s="2" t="s">
        <v>1473</v>
      </c>
      <c r="B58" s="2" t="s">
        <v>1841</v>
      </c>
      <c r="C58" s="2" t="str">
        <f>IF(A59="",MAX($C$1:C57)+1,"")</f>
        <v/>
      </c>
    </row>
    <row r="59" spans="1:5" x14ac:dyDescent="0.2">
      <c r="A59" s="2" t="s">
        <v>1842</v>
      </c>
      <c r="B59" s="2" t="s">
        <v>1843</v>
      </c>
      <c r="C59" s="2">
        <f>IF(A60="",MAX($C$1:C58)+1,"")</f>
        <v>2</v>
      </c>
    </row>
    <row r="63" spans="1:5" x14ac:dyDescent="0.2">
      <c r="A63" s="3" t="s">
        <v>1844</v>
      </c>
      <c r="B63" s="3" t="s">
        <v>1791</v>
      </c>
      <c r="C63" s="4" t="s">
        <v>1845</v>
      </c>
      <c r="D63" s="4"/>
    </row>
    <row r="64" spans="1:5" x14ac:dyDescent="0.2">
      <c r="A64" s="2" t="s">
        <v>345</v>
      </c>
      <c r="C64" s="2" t="str">
        <f>IF(A65="",MAX($C$1:C63)+1,"")</f>
        <v/>
      </c>
    </row>
    <row r="65" spans="1:4" x14ac:dyDescent="0.2">
      <c r="A65" s="2" t="s">
        <v>1614</v>
      </c>
      <c r="C65" s="2" t="str">
        <f>IF(A66="",MAX($C$1:C64)+1,"")</f>
        <v/>
      </c>
    </row>
    <row r="66" spans="1:4" x14ac:dyDescent="0.2">
      <c r="A66" s="40" t="s">
        <v>694</v>
      </c>
      <c r="C66" s="2" t="str">
        <f>IF(A67="",MAX($C$1:C65)+1,"")</f>
        <v/>
      </c>
    </row>
    <row r="67" spans="1:4" x14ac:dyDescent="0.2">
      <c r="A67" s="2" t="s">
        <v>1736</v>
      </c>
      <c r="C67" s="2">
        <f>IF(A68="",MAX($C$1:C66)+1,"")</f>
        <v>3</v>
      </c>
    </row>
    <row r="70" spans="1:4" x14ac:dyDescent="0.2">
      <c r="A70" s="3" t="s">
        <v>1846</v>
      </c>
      <c r="B70" s="3" t="s">
        <v>1847</v>
      </c>
      <c r="C70" s="4" t="s">
        <v>1845</v>
      </c>
      <c r="D70" s="4"/>
    </row>
    <row r="71" spans="1:4" x14ac:dyDescent="0.2">
      <c r="A71" s="2" t="s">
        <v>22</v>
      </c>
      <c r="B71" s="2" t="s">
        <v>40</v>
      </c>
      <c r="C71" s="2" t="str">
        <f>IF(A72="",MAX($C$1:C70)+1,"")</f>
        <v/>
      </c>
    </row>
    <row r="72" spans="1:4" x14ac:dyDescent="0.2">
      <c r="A72" s="2" t="s">
        <v>41</v>
      </c>
      <c r="B72" s="2" t="s">
        <v>42</v>
      </c>
      <c r="C72" s="2" t="str">
        <f>IF(A73="",MAX($C$1:C71)+1,"")</f>
        <v/>
      </c>
    </row>
    <row r="73" spans="1:4" x14ac:dyDescent="0.2">
      <c r="A73" s="2" t="s">
        <v>43</v>
      </c>
      <c r="B73" s="2" t="s">
        <v>44</v>
      </c>
      <c r="C73" s="2" t="str">
        <f>IF(A74="",MAX($C$1:C72)+1,"")</f>
        <v/>
      </c>
    </row>
    <row r="74" spans="1:4" x14ac:dyDescent="0.2">
      <c r="A74" s="40" t="s">
        <v>786</v>
      </c>
      <c r="B74" s="2" t="s">
        <v>1848</v>
      </c>
      <c r="C74" s="2">
        <f>IF(A75="",MAX($C$1:C73)+1,"")</f>
        <v>4</v>
      </c>
    </row>
    <row r="75" spans="1:4" x14ac:dyDescent="0.2">
      <c r="C75" s="5"/>
      <c r="D75" s="5"/>
    </row>
    <row r="79" spans="1:4" x14ac:dyDescent="0.2">
      <c r="A79" s="3" t="s">
        <v>1849</v>
      </c>
      <c r="B79" s="3" t="s">
        <v>1791</v>
      </c>
      <c r="C79" s="4" t="s">
        <v>1792</v>
      </c>
      <c r="D79" s="4"/>
    </row>
    <row r="80" spans="1:4" x14ac:dyDescent="0.2">
      <c r="A80" s="2" t="s">
        <v>46</v>
      </c>
      <c r="B80" s="2" t="s">
        <v>62</v>
      </c>
      <c r="C80" s="2" t="str">
        <f>IF(A81="",MAX($C$1:C79)+1,"")</f>
        <v/>
      </c>
    </row>
    <row r="81" spans="1:4" x14ac:dyDescent="0.2">
      <c r="A81" s="2" t="s">
        <v>49</v>
      </c>
      <c r="B81" s="2" t="s">
        <v>62</v>
      </c>
      <c r="C81" s="2" t="str">
        <f>IF(A82="",MAX($C$1:C80)+1,"")</f>
        <v/>
      </c>
    </row>
    <row r="82" spans="1:4" x14ac:dyDescent="0.2">
      <c r="A82" s="2" t="s">
        <v>51</v>
      </c>
      <c r="B82" s="2" t="s">
        <v>62</v>
      </c>
      <c r="C82" s="2" t="str">
        <f>IF(A83="",MAX($C$1:C81)+1,"")</f>
        <v/>
      </c>
    </row>
    <row r="83" spans="1:4" x14ac:dyDescent="0.2">
      <c r="A83" s="2" t="s">
        <v>53</v>
      </c>
      <c r="B83" s="2" t="s">
        <v>62</v>
      </c>
      <c r="C83" s="2" t="str">
        <f>IF(A84="",MAX($C$1:C82)+1,"")</f>
        <v/>
      </c>
    </row>
    <row r="84" spans="1:4" x14ac:dyDescent="0.2">
      <c r="A84" s="40" t="s">
        <v>55</v>
      </c>
      <c r="B84" s="2" t="s">
        <v>62</v>
      </c>
      <c r="C84" s="2" t="str">
        <f>IF(A85="",MAX($C$1:C83)+1,"")</f>
        <v/>
      </c>
    </row>
    <row r="85" spans="1:4" x14ac:dyDescent="0.2">
      <c r="A85" s="2" t="s">
        <v>57</v>
      </c>
      <c r="B85" s="2" t="s">
        <v>62</v>
      </c>
      <c r="C85" s="2" t="str">
        <f>IF(A86="",MAX($C$1:C84)+1,"")</f>
        <v/>
      </c>
    </row>
    <row r="86" spans="1:4" x14ac:dyDescent="0.2">
      <c r="A86" s="2" t="s">
        <v>59</v>
      </c>
      <c r="B86" s="2" t="s">
        <v>62</v>
      </c>
      <c r="C86" s="2" t="str">
        <f>IF(A87="",MAX($C$1:C85)+1,"")</f>
        <v/>
      </c>
    </row>
    <row r="87" spans="1:4" x14ac:dyDescent="0.2">
      <c r="A87" s="2" t="s">
        <v>61</v>
      </c>
      <c r="B87" s="2" t="s">
        <v>62</v>
      </c>
      <c r="C87" s="2" t="str">
        <f>IF(A88="",MAX($C$1:C86)+1,"")</f>
        <v/>
      </c>
    </row>
    <row r="88" spans="1:4" x14ac:dyDescent="0.2">
      <c r="A88" s="2" t="str">
        <f>" "</f>
        <v xml:space="preserve"> </v>
      </c>
      <c r="C88" s="2" t="str">
        <f>IF(A89="",MAX($C$1:C87)+1,"")</f>
        <v/>
      </c>
    </row>
    <row r="89" spans="1:4" x14ac:dyDescent="0.2">
      <c r="A89" s="2" t="s">
        <v>1736</v>
      </c>
      <c r="C89" s="2">
        <f>IF(A90="",MAX($C$1:C88)+1,"")</f>
        <v>5</v>
      </c>
    </row>
    <row r="93" spans="1:4" x14ac:dyDescent="0.2">
      <c r="A93" s="3" t="s">
        <v>1850</v>
      </c>
      <c r="B93" s="3" t="s">
        <v>1791</v>
      </c>
      <c r="C93" s="4" t="s">
        <v>1792</v>
      </c>
      <c r="D93" s="4"/>
    </row>
    <row r="94" spans="1:4" x14ac:dyDescent="0.2">
      <c r="A94" s="2" t="s">
        <v>1285</v>
      </c>
      <c r="B94" s="2" t="s">
        <v>62</v>
      </c>
      <c r="C94" s="2" t="str">
        <f>IF(A95="",MAX($C$1:C93)+1,"")</f>
        <v/>
      </c>
    </row>
    <row r="95" spans="1:4" x14ac:dyDescent="0.2">
      <c r="A95" s="2" t="s">
        <v>934</v>
      </c>
      <c r="C95" s="2" t="str">
        <f>IF(A96="",MAX($C$1:C94)+1,"")</f>
        <v/>
      </c>
    </row>
    <row r="96" spans="1:4" x14ac:dyDescent="0.2">
      <c r="A96" s="2" t="s">
        <v>1242</v>
      </c>
      <c r="C96" s="2" t="str">
        <f>IF(A97="",MAX($C$1:C95)+1,"")</f>
        <v/>
      </c>
    </row>
    <row r="97" spans="1:4" x14ac:dyDescent="0.2">
      <c r="A97" s="2" t="s">
        <v>767</v>
      </c>
      <c r="C97" s="2" t="str">
        <f>IF(A98="",MAX($C$1:C96)+1,"")</f>
        <v/>
      </c>
    </row>
    <row r="98" spans="1:4" x14ac:dyDescent="0.2">
      <c r="A98" s="2" t="s">
        <v>1851</v>
      </c>
      <c r="C98" s="2" t="str">
        <f>IF(A99="",MAX($C$1:C97)+1,"")</f>
        <v/>
      </c>
    </row>
    <row r="99" spans="1:4" x14ac:dyDescent="0.2">
      <c r="A99" s="2" t="s">
        <v>751</v>
      </c>
      <c r="C99" s="2" t="str">
        <f>IF(A100="",MAX($C$1:C98)+1,"")</f>
        <v/>
      </c>
    </row>
    <row r="100" spans="1:4" x14ac:dyDescent="0.2">
      <c r="A100" s="2" t="s">
        <v>1852</v>
      </c>
      <c r="C100" s="2" t="str">
        <f>IF(A101="",MAX($C$1:C99)+1,"")</f>
        <v/>
      </c>
    </row>
    <row r="101" spans="1:4" x14ac:dyDescent="0.2">
      <c r="A101" s="2" t="s">
        <v>779</v>
      </c>
      <c r="C101" s="2" t="str">
        <f>IF(A102="",MAX($C$1:C100)+1,"")</f>
        <v/>
      </c>
    </row>
    <row r="102" spans="1:4" x14ac:dyDescent="0.2">
      <c r="A102" s="2" t="s">
        <v>1853</v>
      </c>
      <c r="C102" s="2" t="str">
        <f>IF(A103="",MAX($C$1:C101)+1,"")</f>
        <v/>
      </c>
    </row>
    <row r="103" spans="1:4" x14ac:dyDescent="0.2">
      <c r="A103" s="2" t="s">
        <v>1854</v>
      </c>
      <c r="C103" s="2" t="str">
        <f>IF(A104="",MAX($C$1:C102)+1,"")</f>
        <v/>
      </c>
    </row>
    <row r="104" spans="1:4" x14ac:dyDescent="0.2">
      <c r="A104" s="2" t="s">
        <v>787</v>
      </c>
      <c r="C104" s="2">
        <f>IF(A105="",MAX($C$1:C103)+1,"")</f>
        <v>6</v>
      </c>
    </row>
    <row r="106" spans="1:4" x14ac:dyDescent="0.2">
      <c r="A106" s="3" t="s">
        <v>1855</v>
      </c>
      <c r="B106" s="3" t="s">
        <v>1791</v>
      </c>
      <c r="C106" s="4" t="s">
        <v>1792</v>
      </c>
      <c r="D106" s="4"/>
    </row>
    <row r="108" spans="1:4" x14ac:dyDescent="0.2">
      <c r="A108" s="2" t="s">
        <v>752</v>
      </c>
      <c r="C108" s="2" t="str">
        <f>IF(A110="",MAX($C$1:C106)+1,"")</f>
        <v/>
      </c>
    </row>
    <row r="109" spans="1:4" x14ac:dyDescent="0.2">
      <c r="A109" s="40" t="s">
        <v>1856</v>
      </c>
    </row>
    <row r="110" spans="1:4" x14ac:dyDescent="0.2">
      <c r="A110" s="2" t="s">
        <v>1447</v>
      </c>
      <c r="C110" s="2" t="str">
        <f>IF(A111="",MAX($C$1:C108)+1,"")</f>
        <v/>
      </c>
    </row>
    <row r="111" spans="1:4" x14ac:dyDescent="0.2">
      <c r="A111" s="2" t="s">
        <v>1392</v>
      </c>
      <c r="C111" s="2" t="str">
        <f>IF(A112="",MAX($C$1:C110)+1,"")</f>
        <v/>
      </c>
    </row>
    <row r="112" spans="1:4" x14ac:dyDescent="0.2">
      <c r="A112" s="2" t="s">
        <v>1857</v>
      </c>
      <c r="C112" s="2" t="str">
        <f>IF(A113="",MAX($C$1:C111)+1,"")</f>
        <v/>
      </c>
    </row>
    <row r="113" spans="1:4" x14ac:dyDescent="0.2">
      <c r="A113" s="2" t="s">
        <v>1399</v>
      </c>
      <c r="C113" s="2" t="str">
        <f>IF(A114="",MAX($C$1:C112)+1,"")</f>
        <v/>
      </c>
    </row>
    <row r="114" spans="1:4" x14ac:dyDescent="0.2">
      <c r="A114" s="2" t="s">
        <v>1858</v>
      </c>
      <c r="C114" s="2" t="str">
        <f>IF(A115="",MAX($C$1:C113)+1,"")</f>
        <v/>
      </c>
    </row>
    <row r="115" spans="1:4" x14ac:dyDescent="0.2">
      <c r="A115" s="2" t="s">
        <v>1416</v>
      </c>
      <c r="C115" s="2" t="str">
        <f>IF(A116="",MAX($C$1:C114)+1,"")</f>
        <v/>
      </c>
    </row>
    <row r="116" spans="1:4" x14ac:dyDescent="0.2">
      <c r="A116" s="2" t="s">
        <v>1859</v>
      </c>
      <c r="C116" s="2" t="str">
        <f>IF(A117="",MAX($C$1:C115)+1,"")</f>
        <v/>
      </c>
    </row>
    <row r="117" spans="1:4" x14ac:dyDescent="0.2">
      <c r="A117" s="2" t="s">
        <v>1860</v>
      </c>
      <c r="C117" s="2" t="str">
        <f>IF(A118="",MAX($C$1:C116)+1,"")</f>
        <v/>
      </c>
    </row>
    <row r="118" spans="1:4" x14ac:dyDescent="0.2">
      <c r="A118" s="2" t="s">
        <v>1615</v>
      </c>
      <c r="C118" s="2">
        <f>IF(A119="",MAX($C$1:C117)+1,"")</f>
        <v>7</v>
      </c>
    </row>
    <row r="122" spans="1:4" x14ac:dyDescent="0.2">
      <c r="A122" s="3" t="s">
        <v>1861</v>
      </c>
      <c r="B122" s="3" t="s">
        <v>1862</v>
      </c>
      <c r="C122" s="4" t="s">
        <v>1792</v>
      </c>
      <c r="D122" s="4"/>
    </row>
    <row r="123" spans="1:4" x14ac:dyDescent="0.2">
      <c r="A123" s="2" t="s">
        <v>138</v>
      </c>
      <c r="B123" s="2" t="s">
        <v>66</v>
      </c>
      <c r="C123" s="2" t="str">
        <f>IF(A124="",MAX($C$1:C122)+1,"")</f>
        <v/>
      </c>
    </row>
    <row r="124" spans="1:4" x14ac:dyDescent="0.2">
      <c r="A124" s="2" t="s">
        <v>1863</v>
      </c>
      <c r="B124" s="2" t="s">
        <v>79</v>
      </c>
      <c r="C124" s="2" t="str">
        <f>IF(A125="",MAX($C$1:C123)+1,"")</f>
        <v/>
      </c>
    </row>
    <row r="125" spans="1:4" x14ac:dyDescent="0.2">
      <c r="A125" s="2" t="s">
        <v>1864</v>
      </c>
      <c r="B125" s="2" t="s">
        <v>90</v>
      </c>
      <c r="C125" s="2" t="str">
        <f>IF(A126="",MAX($C$1:C124)+1,"")</f>
        <v/>
      </c>
    </row>
    <row r="126" spans="1:4" x14ac:dyDescent="0.2">
      <c r="A126" s="2" t="s">
        <v>1842</v>
      </c>
      <c r="B126" s="2" t="s">
        <v>1865</v>
      </c>
      <c r="C126" s="2" t="str">
        <f>IF(A127="",MAX($C$1:C125)+1,"")</f>
        <v/>
      </c>
    </row>
    <row r="127" spans="1:4" x14ac:dyDescent="0.2">
      <c r="A127" s="2" t="s">
        <v>1866</v>
      </c>
      <c r="B127" s="2" t="s">
        <v>1867</v>
      </c>
      <c r="C127" s="2" t="str">
        <f>IF(A128="",MAX($C$1:C126)+1,"")</f>
        <v/>
      </c>
    </row>
    <row r="128" spans="1:4" x14ac:dyDescent="0.2">
      <c r="A128" s="2" t="s">
        <v>1868</v>
      </c>
      <c r="B128" s="2" t="s">
        <v>1869</v>
      </c>
      <c r="C128" s="2" t="str">
        <f>IF(A129="",MAX($C$1:C127)+1,"")</f>
        <v/>
      </c>
    </row>
    <row r="129" spans="1:6" x14ac:dyDescent="0.2">
      <c r="A129" s="2" t="s">
        <v>1870</v>
      </c>
      <c r="B129" s="2" t="s">
        <v>1871</v>
      </c>
      <c r="C129" s="2" t="str">
        <f>IF(A130="",MAX($C$1:C128)+1,"")</f>
        <v/>
      </c>
    </row>
    <row r="130" spans="1:6" x14ac:dyDescent="0.2">
      <c r="A130" s="2" t="s">
        <v>1872</v>
      </c>
      <c r="B130" s="2" t="s">
        <v>1873</v>
      </c>
      <c r="C130" s="2" t="str">
        <f>IF(A136="",MAX($C$1:C129)+1,"")</f>
        <v/>
      </c>
    </row>
    <row r="131" spans="1:6" x14ac:dyDescent="0.2">
      <c r="A131" s="40" t="s">
        <v>1874</v>
      </c>
      <c r="B131" s="40" t="s">
        <v>1875</v>
      </c>
    </row>
    <row r="132" spans="1:6" x14ac:dyDescent="0.2">
      <c r="A132" s="40" t="s">
        <v>1876</v>
      </c>
      <c r="B132" s="40" t="s">
        <v>1877</v>
      </c>
    </row>
    <row r="133" spans="1:6" x14ac:dyDescent="0.2">
      <c r="A133" s="40" t="s">
        <v>1878</v>
      </c>
      <c r="B133" s="40" t="s">
        <v>1879</v>
      </c>
    </row>
    <row r="134" spans="1:6" x14ac:dyDescent="0.2">
      <c r="A134" s="40" t="s">
        <v>1880</v>
      </c>
      <c r="B134" s="40" t="s">
        <v>1881</v>
      </c>
      <c r="E134" s="41" t="s">
        <v>1882</v>
      </c>
    </row>
    <row r="135" spans="1:6" x14ac:dyDescent="0.2">
      <c r="A135" s="40" t="s">
        <v>1883</v>
      </c>
      <c r="B135" s="40" t="s">
        <v>1286</v>
      </c>
      <c r="E135" s="41" t="s">
        <v>1884</v>
      </c>
    </row>
    <row r="136" spans="1:6" x14ac:dyDescent="0.2">
      <c r="A136" s="40" t="s">
        <v>111</v>
      </c>
      <c r="B136" s="40" t="s">
        <v>1885</v>
      </c>
      <c r="C136" s="2">
        <f>IF(A137="",MAX($C$1:C135)+1,"")</f>
        <v>8</v>
      </c>
    </row>
    <row r="142" spans="1:6" x14ac:dyDescent="0.2">
      <c r="A142" s="3" t="s">
        <v>63</v>
      </c>
      <c r="B142" s="3" t="s">
        <v>1791</v>
      </c>
      <c r="C142" s="3" t="s">
        <v>1792</v>
      </c>
      <c r="D142" s="3" t="s">
        <v>1886</v>
      </c>
      <c r="E142" s="3" t="s">
        <v>1887</v>
      </c>
      <c r="F142" s="3" t="s">
        <v>1888</v>
      </c>
    </row>
    <row r="143" spans="1:6" ht="22.5" x14ac:dyDescent="0.2">
      <c r="A143" s="2" t="s">
        <v>64</v>
      </c>
      <c r="C143" s="2" t="str">
        <f>IF(A144="",MAX($C$1:C142)+1,"")</f>
        <v/>
      </c>
      <c r="D143" s="2" t="s">
        <v>66</v>
      </c>
      <c r="E143" s="2" t="s">
        <v>67</v>
      </c>
      <c r="F143" s="28" t="s">
        <v>65</v>
      </c>
    </row>
    <row r="144" spans="1:6" ht="45" x14ac:dyDescent="0.2">
      <c r="A144" s="2" t="s">
        <v>68</v>
      </c>
      <c r="C144" s="2" t="str">
        <f>IF(A145="",MAX($C$1:C143)+1,"")</f>
        <v/>
      </c>
      <c r="D144" s="2" t="s">
        <v>66</v>
      </c>
      <c r="E144" s="2" t="s">
        <v>70</v>
      </c>
      <c r="F144" s="28" t="s">
        <v>69</v>
      </c>
    </row>
    <row r="145" spans="1:6" ht="22.5" x14ac:dyDescent="0.2">
      <c r="A145" s="2" t="s">
        <v>71</v>
      </c>
      <c r="C145" s="2" t="str">
        <f>IF(A146="",MAX($C$1:C144)+1,"")</f>
        <v/>
      </c>
      <c r="D145" s="2" t="s">
        <v>66</v>
      </c>
      <c r="E145" s="2" t="s">
        <v>73</v>
      </c>
      <c r="F145" s="28" t="s">
        <v>72</v>
      </c>
    </row>
    <row r="146" spans="1:6" ht="45" x14ac:dyDescent="0.2">
      <c r="A146" s="2" t="s">
        <v>74</v>
      </c>
      <c r="C146" s="2" t="str">
        <f>IF(A147="",MAX($C$1:C145)+1,"")</f>
        <v/>
      </c>
      <c r="D146" s="2" t="s">
        <v>66</v>
      </c>
      <c r="E146" s="2" t="s">
        <v>76</v>
      </c>
      <c r="F146" s="28" t="s">
        <v>75</v>
      </c>
    </row>
    <row r="147" spans="1:6" x14ac:dyDescent="0.2">
      <c r="A147" s="2" t="s">
        <v>95</v>
      </c>
      <c r="C147" s="2" t="str">
        <f>IF(A148="",MAX($C$1:C146)+1,"")</f>
        <v/>
      </c>
      <c r="D147" s="2" t="s">
        <v>66</v>
      </c>
      <c r="E147" s="2"/>
      <c r="F147" s="29" t="s">
        <v>96</v>
      </c>
    </row>
    <row r="148" spans="1:6" x14ac:dyDescent="0.2">
      <c r="A148" s="2" t="s">
        <v>77</v>
      </c>
      <c r="C148" s="2" t="str">
        <f>IF(A149="",MAX($C$1:C147)+1,"")</f>
        <v/>
      </c>
      <c r="D148" s="2" t="s">
        <v>79</v>
      </c>
      <c r="E148" s="2" t="s">
        <v>80</v>
      </c>
      <c r="F148" s="28" t="s">
        <v>78</v>
      </c>
    </row>
    <row r="149" spans="1:6" ht="22.5" x14ac:dyDescent="0.2">
      <c r="A149" s="2" t="s">
        <v>81</v>
      </c>
      <c r="C149" s="2" t="str">
        <f>IF(A150="",MAX($C$1:C148)+1,"")</f>
        <v/>
      </c>
      <c r="D149" s="2" t="s">
        <v>79</v>
      </c>
      <c r="E149" s="2" t="s">
        <v>83</v>
      </c>
      <c r="F149" s="28" t="s">
        <v>82</v>
      </c>
    </row>
    <row r="150" spans="1:6" x14ac:dyDescent="0.2">
      <c r="A150" s="2" t="s">
        <v>84</v>
      </c>
      <c r="C150" s="2" t="str">
        <f>IF(A151="",MAX($C$1:C149)+1,"")</f>
        <v/>
      </c>
      <c r="D150" s="2" t="s">
        <v>79</v>
      </c>
      <c r="E150" s="2" t="s">
        <v>85</v>
      </c>
      <c r="F150" s="28"/>
    </row>
    <row r="151" spans="1:6" x14ac:dyDescent="0.2">
      <c r="A151" s="2" t="s">
        <v>86</v>
      </c>
      <c r="C151" s="2" t="str">
        <f>IF(A152="",MAX($C$1:C150)+1,"")</f>
        <v/>
      </c>
      <c r="D151" s="2" t="s">
        <v>79</v>
      </c>
      <c r="E151" s="2" t="s">
        <v>87</v>
      </c>
      <c r="F151" s="28"/>
    </row>
    <row r="152" spans="1:6" x14ac:dyDescent="0.2">
      <c r="A152" s="2" t="s">
        <v>95</v>
      </c>
      <c r="C152" s="2" t="str">
        <f>IF(A153="",MAX($C$1:C151)+1,"")</f>
        <v/>
      </c>
      <c r="D152" s="2" t="s">
        <v>79</v>
      </c>
      <c r="E152" s="2"/>
      <c r="F152" s="29" t="s">
        <v>96</v>
      </c>
    </row>
    <row r="153" spans="1:6" ht="22.5" x14ac:dyDescent="0.2">
      <c r="A153" s="2" t="s">
        <v>88</v>
      </c>
      <c r="C153" s="2" t="str">
        <f>IF(A154="",MAX($C$1:C152)+1,"")</f>
        <v/>
      </c>
      <c r="D153" s="2" t="s">
        <v>90</v>
      </c>
      <c r="E153" s="2" t="s">
        <v>91</v>
      </c>
      <c r="F153" s="28" t="s">
        <v>89</v>
      </c>
    </row>
    <row r="154" spans="1:6" ht="22.5" x14ac:dyDescent="0.2">
      <c r="A154" s="2" t="s">
        <v>92</v>
      </c>
      <c r="C154" s="2" t="str">
        <f>IF(A155="",MAX($C$1:C153)+1,"")</f>
        <v/>
      </c>
      <c r="D154" s="2" t="s">
        <v>90</v>
      </c>
      <c r="E154" s="2" t="s">
        <v>94</v>
      </c>
      <c r="F154" s="28" t="s">
        <v>93</v>
      </c>
    </row>
    <row r="155" spans="1:6" x14ac:dyDescent="0.2">
      <c r="A155" s="2" t="s">
        <v>95</v>
      </c>
      <c r="C155" s="2" t="str">
        <f>IF(A156="",MAX($C$1:C154)+1,"")</f>
        <v/>
      </c>
      <c r="D155" s="2" t="s">
        <v>90</v>
      </c>
      <c r="E155" s="2"/>
      <c r="F155" s="29" t="s">
        <v>96</v>
      </c>
    </row>
    <row r="156" spans="1:6" x14ac:dyDescent="0.2">
      <c r="A156" s="2" t="s">
        <v>788</v>
      </c>
      <c r="C156" s="2" t="str">
        <f>IF(A157="",MAX($C$1:C155)+1,"")</f>
        <v/>
      </c>
      <c r="D156" s="2" t="s">
        <v>1865</v>
      </c>
      <c r="F156" s="29" t="s">
        <v>1889</v>
      </c>
    </row>
    <row r="157" spans="1:6" x14ac:dyDescent="0.2">
      <c r="A157" s="2" t="s">
        <v>788</v>
      </c>
      <c r="C157" s="2" t="str">
        <f>IF(A158="",MAX($C$1:C156)+1,"")</f>
        <v/>
      </c>
      <c r="D157" s="2" t="s">
        <v>1867</v>
      </c>
      <c r="F157" s="29" t="s">
        <v>1889</v>
      </c>
    </row>
    <row r="158" spans="1:6" x14ac:dyDescent="0.2">
      <c r="A158" s="2" t="s">
        <v>788</v>
      </c>
      <c r="C158" s="2" t="str">
        <f>IF(A159="",MAX($C$1:C157)+1,"")</f>
        <v/>
      </c>
      <c r="D158" s="2" t="s">
        <v>1869</v>
      </c>
      <c r="F158" s="29" t="s">
        <v>1889</v>
      </c>
    </row>
    <row r="159" spans="1:6" x14ac:dyDescent="0.2">
      <c r="A159" s="2" t="s">
        <v>788</v>
      </c>
      <c r="C159" s="2" t="str">
        <f>IF(A160="",MAX($C$1:C158)+1,"")</f>
        <v/>
      </c>
      <c r="D159" s="2" t="s">
        <v>1871</v>
      </c>
      <c r="F159" s="29" t="s">
        <v>1889</v>
      </c>
    </row>
    <row r="160" spans="1:6" x14ac:dyDescent="0.2">
      <c r="A160" s="2" t="s">
        <v>788</v>
      </c>
      <c r="C160" s="2">
        <f>IF(A161="",MAX($C$1:C159)+1,"")</f>
        <v>9</v>
      </c>
      <c r="D160" s="2" t="s">
        <v>1873</v>
      </c>
      <c r="F160" s="29" t="s">
        <v>1889</v>
      </c>
    </row>
    <row r="166" spans="1:4" x14ac:dyDescent="0.2">
      <c r="A166" s="3" t="s">
        <v>1590</v>
      </c>
      <c r="B166" s="3" t="s">
        <v>1791</v>
      </c>
      <c r="C166" s="4" t="s">
        <v>1845</v>
      </c>
      <c r="D166" s="4"/>
    </row>
    <row r="167" spans="1:4" x14ac:dyDescent="0.2">
      <c r="A167" s="2" t="s">
        <v>43</v>
      </c>
      <c r="B167" s="2" t="s">
        <v>1890</v>
      </c>
      <c r="C167" s="2" t="str">
        <f>IF(A168="",MAX($C$1:C166)+1,"")</f>
        <v/>
      </c>
    </row>
    <row r="168" spans="1:4" x14ac:dyDescent="0.2">
      <c r="A168" s="2" t="s">
        <v>1593</v>
      </c>
      <c r="B168" s="2" t="s">
        <v>1891</v>
      </c>
      <c r="C168" s="2" t="str">
        <f>IF(A169="",MAX($C$1:C167)+1,"")</f>
        <v/>
      </c>
    </row>
    <row r="169" spans="1:4" x14ac:dyDescent="0.2">
      <c r="A169" s="2" t="s">
        <v>1892</v>
      </c>
      <c r="B169" s="2" t="s">
        <v>1893</v>
      </c>
      <c r="C169" s="2">
        <f>IF(A170="",MAX($C$1:C168)+1,"")</f>
        <v>10</v>
      </c>
    </row>
    <row r="176" spans="1:4" x14ac:dyDescent="0.2">
      <c r="A176" s="3" t="s">
        <v>1894</v>
      </c>
      <c r="B176" s="3" t="s">
        <v>1791</v>
      </c>
      <c r="C176" s="4" t="s">
        <v>1792</v>
      </c>
      <c r="D176" s="4"/>
    </row>
    <row r="177" spans="1:3" x14ac:dyDescent="0.2">
      <c r="A177" s="47">
        <v>0</v>
      </c>
      <c r="C177" s="2" t="str">
        <f>IF(A179="",MAX($C$1:C176)+1,"")</f>
        <v/>
      </c>
    </row>
    <row r="178" spans="1:3" x14ac:dyDescent="0.2">
      <c r="A178" s="47">
        <v>0.05</v>
      </c>
    </row>
    <row r="179" spans="1:3" x14ac:dyDescent="0.2">
      <c r="A179" s="47">
        <v>0.1</v>
      </c>
      <c r="C179" s="2" t="str">
        <f>IF(A180="",MAX($C$1:C177)+1,"")</f>
        <v/>
      </c>
    </row>
    <row r="180" spans="1:3" x14ac:dyDescent="0.2">
      <c r="A180" s="47">
        <v>0.15</v>
      </c>
      <c r="C180" s="2" t="str">
        <f>IF(A181="",MAX($C$1:C178)+1,"")</f>
        <v/>
      </c>
    </row>
    <row r="181" spans="1:3" x14ac:dyDescent="0.2">
      <c r="A181" s="47">
        <v>0.2</v>
      </c>
      <c r="C181" s="2" t="str">
        <f>IF(A182="",MAX($C$1:C179)+1,"")</f>
        <v/>
      </c>
    </row>
    <row r="182" spans="1:3" x14ac:dyDescent="0.2">
      <c r="A182" s="47">
        <v>0.25</v>
      </c>
      <c r="C182" s="2" t="str">
        <f>IF(A183="",MAX($C$1:C180)+1,"")</f>
        <v/>
      </c>
    </row>
    <row r="183" spans="1:3" x14ac:dyDescent="0.2">
      <c r="A183" s="47">
        <v>0.3</v>
      </c>
      <c r="C183" s="2" t="str">
        <f>IF(A184="",MAX($C$1:C181)+1,"")</f>
        <v/>
      </c>
    </row>
    <row r="184" spans="1:3" x14ac:dyDescent="0.2">
      <c r="A184" s="47">
        <v>0.35</v>
      </c>
      <c r="C184" s="2" t="str">
        <f>IF(A185="",MAX($C$1:C182)+1,"")</f>
        <v/>
      </c>
    </row>
    <row r="185" spans="1:3" x14ac:dyDescent="0.2">
      <c r="A185" s="47">
        <v>0.4</v>
      </c>
      <c r="C185" s="2" t="str">
        <f>IF(A186="",MAX($C$1:C183)+1,"")</f>
        <v/>
      </c>
    </row>
    <row r="186" spans="1:3" x14ac:dyDescent="0.2">
      <c r="A186" s="47">
        <v>0.45</v>
      </c>
      <c r="C186" s="2" t="str">
        <f>IF(A187="",MAX($C$1:C184)+1,"")</f>
        <v/>
      </c>
    </row>
    <row r="187" spans="1:3" x14ac:dyDescent="0.2">
      <c r="A187" s="47">
        <v>0.5</v>
      </c>
      <c r="C187" s="2" t="str">
        <f>IF(A188="",MAX($C$1:C185)+1,"")</f>
        <v/>
      </c>
    </row>
    <row r="188" spans="1:3" x14ac:dyDescent="0.2">
      <c r="A188" s="47">
        <v>0.55000000000000004</v>
      </c>
      <c r="C188" s="2" t="str">
        <f>IF(A189="",MAX($C$1:C186)+1,"")</f>
        <v/>
      </c>
    </row>
    <row r="189" spans="1:3" x14ac:dyDescent="0.2">
      <c r="A189" s="47">
        <v>0.6</v>
      </c>
      <c r="C189" s="2" t="str">
        <f>IF(A190="",MAX($C$1:C187)+1,"")</f>
        <v/>
      </c>
    </row>
    <row r="190" spans="1:3" x14ac:dyDescent="0.2">
      <c r="A190" s="47">
        <v>0.65</v>
      </c>
      <c r="C190" s="2" t="str">
        <f>IF(A191="",MAX($C$1:C188)+1,"")</f>
        <v/>
      </c>
    </row>
    <row r="191" spans="1:3" x14ac:dyDescent="0.2">
      <c r="A191" s="47">
        <v>0.7</v>
      </c>
      <c r="C191" s="2" t="str">
        <f>IF(A192="",MAX($C$1:C189)+1,"")</f>
        <v/>
      </c>
    </row>
    <row r="192" spans="1:3" x14ac:dyDescent="0.2">
      <c r="A192" s="47">
        <v>0.75</v>
      </c>
      <c r="C192" s="2" t="str">
        <f>IF(A193="",MAX($C$1:C190)+1,"")</f>
        <v/>
      </c>
    </row>
    <row r="193" spans="1:3" x14ac:dyDescent="0.2">
      <c r="A193" s="47">
        <v>0.8</v>
      </c>
      <c r="C193" s="2" t="str">
        <f>IF(A194="",MAX($C$1:C191)+1,"")</f>
        <v/>
      </c>
    </row>
    <row r="194" spans="1:3" x14ac:dyDescent="0.2">
      <c r="A194" s="47">
        <v>0.85</v>
      </c>
      <c r="C194" s="2" t="str">
        <f>IF(A195="",MAX($C$1:C192)+1,"")</f>
        <v/>
      </c>
    </row>
    <row r="195" spans="1:3" x14ac:dyDescent="0.2">
      <c r="A195" s="47">
        <v>0.9</v>
      </c>
      <c r="C195" s="2" t="str">
        <f>IF(A196="",MAX($C$1:C193)+1,"")</f>
        <v/>
      </c>
    </row>
    <row r="196" spans="1:3" x14ac:dyDescent="0.2">
      <c r="A196" s="47">
        <v>0.95</v>
      </c>
      <c r="C196" s="2" t="str">
        <f>IF(A197="",MAX($C$1:C194)+1,"")</f>
        <v/>
      </c>
    </row>
    <row r="197" spans="1:3" x14ac:dyDescent="0.2">
      <c r="A197" s="47">
        <v>1</v>
      </c>
      <c r="C197" s="2">
        <f>IF(A198="",MAX($C$1:C195)+1,"")</f>
        <v>11</v>
      </c>
    </row>
  </sheetData>
  <sortState xmlns:xlrd2="http://schemas.microsoft.com/office/spreadsheetml/2017/richdata2" ref="A143:F154">
    <sortCondition ref="D143:D154"/>
    <sortCondition ref="A143:A154"/>
  </sortState>
  <conditionalFormatting sqref="E19:E20 E27:E50">
    <cfRule type="expression" dxfId="5" priority="1" stopIfTrue="1">
      <formula>AND(ISNUMBER(E19),COLUMN()&lt;COLUMN($O$1),ROW()&gt;3)</formula>
    </cfRule>
    <cfRule type="expression" dxfId="4" priority="2">
      <formula>AND(ISNUMBER(E19),ROW()&gt;3)</formula>
    </cfRule>
    <cfRule type="expression" dxfId="3" priority="3">
      <formula>AND(_xlfn.ISFORMULA(E19),ROW()&gt;3)</formula>
    </cfRule>
  </conditionalFormatting>
  <pageMargins left="0.70866141732283472" right="0.51181102362204722" top="0.94488188976377963" bottom="0.59055118110236227" header="0.31496062992125984" footer="0.27559055118110237"/>
  <pageSetup paperSize="9" orientation="landscape" r:id="rId1"/>
  <headerFooter scaleWithDoc="0">
    <oddHeader xml:space="preserve">&amp;L&amp;9 </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3B3D-E4B3-41EB-A941-7EEACF566E37}">
  <sheetPr>
    <tabColor theme="1"/>
  </sheetPr>
  <dimension ref="A1:F128"/>
  <sheetViews>
    <sheetView topLeftCell="A64" zoomScale="90" zoomScaleNormal="90" workbookViewId="0">
      <selection activeCell="A93" sqref="A93:A94"/>
    </sheetView>
  </sheetViews>
  <sheetFormatPr baseColWidth="10" defaultColWidth="19.375" defaultRowHeight="14.25" x14ac:dyDescent="0.2"/>
  <cols>
    <col min="1" max="1" bestFit="true" customWidth="true" width="41.125" collapsed="false"/>
    <col min="2" max="2" bestFit="true" customWidth="true" width="10.0" collapsed="false"/>
    <col min="3" max="3" bestFit="true" customWidth="true" width="39.375" collapsed="false"/>
    <col min="4" max="4" customWidth="true" width="10.0" collapsed="false"/>
    <col min="5" max="5" bestFit="true" customWidth="true" width="13.125" collapsed="false"/>
  </cols>
  <sheetData>
    <row r="1" spans="1:6" ht="15" x14ac:dyDescent="0.25">
      <c r="A1" s="51" t="s">
        <v>1895</v>
      </c>
      <c r="B1" s="51" t="s">
        <v>1896</v>
      </c>
      <c r="C1" s="51" t="s">
        <v>1897</v>
      </c>
      <c r="D1" s="51" t="s">
        <v>1898</v>
      </c>
      <c r="E1" s="51" t="s">
        <v>1899</v>
      </c>
      <c r="F1" s="51" t="s">
        <v>1591</v>
      </c>
    </row>
    <row r="2" spans="1:6" x14ac:dyDescent="0.2">
      <c r="A2" s="53" t="s">
        <v>154</v>
      </c>
      <c r="B2" s="53"/>
      <c r="C2" s="53" t="str">
        <f t="shared" ref="C2:C65" si="0">SUBSTITUTE(A2,CHAR(10)," ")</f>
        <v>Acceptance Internal All entities</v>
      </c>
      <c r="D2" s="53" t="s">
        <v>1900</v>
      </c>
      <c r="E2" s="53" t="s">
        <v>1900</v>
      </c>
    </row>
    <row r="3" spans="1:6" x14ac:dyDescent="0.2">
      <c r="A3" t="s">
        <v>155</v>
      </c>
      <c r="B3" t="str">
        <f t="shared" ref="B3:B28" si="1">IFERROR(MID(A3,FIND(CHAR(10),A3)+1,3),"")</f>
        <v>ARG</v>
      </c>
      <c r="C3" t="str">
        <f t="shared" si="0"/>
        <v>(ACC) ARG Sub1</v>
      </c>
      <c r="D3" s="52">
        <f>ROUND(0.5*102.5%,3)</f>
        <v>0.51300000000000001</v>
      </c>
      <c r="E3" s="65">
        <v>200</v>
      </c>
    </row>
    <row r="4" spans="1:6" x14ac:dyDescent="0.2">
      <c r="A4" t="s">
        <v>156</v>
      </c>
      <c r="B4" t="str">
        <f t="shared" si="1"/>
        <v>AUS</v>
      </c>
      <c r="C4" t="str">
        <f t="shared" si="0"/>
        <v>(ACC) AUS IPP</v>
      </c>
      <c r="D4" s="52">
        <f>ROUND(0.5*102.5%,3)</f>
        <v>0.51300000000000001</v>
      </c>
      <c r="E4" s="65">
        <v>200</v>
      </c>
    </row>
    <row r="5" spans="1:6" x14ac:dyDescent="0.2">
      <c r="A5" t="s">
        <v>157</v>
      </c>
      <c r="B5" t="str">
        <f t="shared" si="1"/>
        <v>BEL</v>
      </c>
      <c r="C5" t="str">
        <f t="shared" si="0"/>
        <v>(ACC) BEL WLOC</v>
      </c>
      <c r="D5">
        <f>ROUND(0.471*102.5%,3)</f>
        <v>0.48299999999999998</v>
      </c>
      <c r="E5" s="65">
        <v>200</v>
      </c>
    </row>
    <row r="6" spans="1:6" x14ac:dyDescent="0.2">
      <c r="A6" t="s">
        <v>158</v>
      </c>
      <c r="B6" t="str">
        <f t="shared" si="1"/>
        <v>CHE</v>
      </c>
      <c r="C6" t="str">
        <f t="shared" si="0"/>
        <v>(ACC) CHE Saferpay</v>
      </c>
      <c r="D6" s="52">
        <f>ROUND(0.976*102.5%,3)</f>
        <v>1</v>
      </c>
      <c r="E6" s="65">
        <v>200</v>
      </c>
    </row>
    <row r="7" spans="1:6" x14ac:dyDescent="0.2">
      <c r="A7" t="s">
        <v>159</v>
      </c>
      <c r="B7" t="str">
        <f t="shared" si="1"/>
        <v>CZE</v>
      </c>
      <c r="C7" t="str">
        <f t="shared" si="0"/>
        <v>(ACC) CZE GoPay</v>
      </c>
      <c r="D7">
        <f>ROUND(0.201*102.5%,3)</f>
        <v>0.20599999999999999</v>
      </c>
      <c r="E7" s="65">
        <v>200</v>
      </c>
    </row>
    <row r="8" spans="1:6" x14ac:dyDescent="0.2">
      <c r="A8" t="s">
        <v>160</v>
      </c>
      <c r="B8" t="str">
        <f t="shared" si="1"/>
        <v>FRA</v>
      </c>
      <c r="C8" t="str">
        <f t="shared" si="0"/>
        <v>(ACC) FRA AXIS</v>
      </c>
      <c r="D8" s="52">
        <f>ROUND(0.5*102.5%,3)</f>
        <v>0.51300000000000001</v>
      </c>
      <c r="E8" s="65">
        <v>200</v>
      </c>
    </row>
    <row r="9" spans="1:6" x14ac:dyDescent="0.2">
      <c r="A9" t="s">
        <v>161</v>
      </c>
      <c r="B9" t="str">
        <f t="shared" si="1"/>
        <v>FRA</v>
      </c>
      <c r="C9" t="str">
        <f t="shared" si="0"/>
        <v>(ACC) FRA SACC</v>
      </c>
      <c r="D9">
        <f>ROUND(0.475*102.5%,3)</f>
        <v>0.48699999999999999</v>
      </c>
      <c r="E9" s="65">
        <v>200</v>
      </c>
    </row>
    <row r="10" spans="1:6" x14ac:dyDescent="0.2">
      <c r="A10" t="s">
        <v>162</v>
      </c>
      <c r="B10" t="str">
        <f t="shared" si="1"/>
        <v>FRA</v>
      </c>
      <c r="C10" t="str">
        <f t="shared" si="0"/>
        <v>(ACC) FRA SIPS</v>
      </c>
      <c r="D10">
        <f>ROUND(0.475*102.5%,3)</f>
        <v>0.48699999999999999</v>
      </c>
      <c r="E10" s="65">
        <v>200</v>
      </c>
    </row>
    <row r="11" spans="1:6" x14ac:dyDescent="0.2">
      <c r="A11" t="s">
        <v>163</v>
      </c>
      <c r="B11" t="str">
        <f t="shared" si="1"/>
        <v>FRA</v>
      </c>
      <c r="C11" t="str">
        <f t="shared" si="0"/>
        <v>(ACC) FRA Back-Office</v>
      </c>
      <c r="D11" s="52">
        <f>ROUND(0.5*102.5%,3)</f>
        <v>0.51300000000000001</v>
      </c>
      <c r="E11" s="65">
        <v>200</v>
      </c>
    </row>
    <row r="12" spans="1:6" x14ac:dyDescent="0.2">
      <c r="A12" t="s">
        <v>164</v>
      </c>
      <c r="B12" t="str">
        <f t="shared" si="1"/>
        <v>GER</v>
      </c>
      <c r="C12" t="str">
        <f t="shared" si="0"/>
        <v>(ACC) GER Payone</v>
      </c>
      <c r="D12">
        <f>ROUND(0.48*102.5%,3)</f>
        <v>0.49199999999999999</v>
      </c>
      <c r="E12" s="65">
        <v>200</v>
      </c>
    </row>
    <row r="13" spans="1:6" x14ac:dyDescent="0.2">
      <c r="A13" t="s">
        <v>165</v>
      </c>
      <c r="B13" t="str">
        <f t="shared" si="1"/>
        <v>AUT</v>
      </c>
      <c r="C13" t="str">
        <f t="shared" si="0"/>
        <v>(ACC) AUT Payunity</v>
      </c>
      <c r="D13" s="52">
        <f>ROUND(0.56*102.5%,3)</f>
        <v>0.57399999999999995</v>
      </c>
      <c r="E13" s="65">
        <v>200</v>
      </c>
    </row>
    <row r="14" spans="1:6" x14ac:dyDescent="0.2">
      <c r="A14" t="s">
        <v>166</v>
      </c>
      <c r="B14" t="str">
        <f t="shared" si="1"/>
        <v>GRC</v>
      </c>
      <c r="C14" t="str">
        <f t="shared" si="0"/>
        <v>(ACC) GRC Cardlink</v>
      </c>
      <c r="D14" s="54">
        <v>0.51300000000000001</v>
      </c>
      <c r="E14" s="66">
        <v>200</v>
      </c>
    </row>
    <row r="15" spans="1:6" x14ac:dyDescent="0.2">
      <c r="A15" t="s">
        <v>167</v>
      </c>
      <c r="B15" t="str">
        <f t="shared" si="1"/>
        <v>IND</v>
      </c>
      <c r="C15" t="str">
        <f t="shared" si="0"/>
        <v>(ACC) IND India TP</v>
      </c>
      <c r="D15" s="52">
        <f>ROUND(0.5*102.5%,3)</f>
        <v>0.51300000000000001</v>
      </c>
      <c r="E15" s="65">
        <v>200</v>
      </c>
    </row>
    <row r="16" spans="1:6" x14ac:dyDescent="0.2">
      <c r="A16" t="s">
        <v>168</v>
      </c>
      <c r="B16" t="str">
        <f t="shared" si="1"/>
        <v>ITA</v>
      </c>
      <c r="C16" t="str">
        <f t="shared" si="0"/>
        <v>(ACC) ITA Axxepta</v>
      </c>
      <c r="D16" s="54">
        <v>0.51300000000000001</v>
      </c>
      <c r="E16" s="66">
        <v>200</v>
      </c>
    </row>
    <row r="17" spans="1:5" x14ac:dyDescent="0.2">
      <c r="A17" t="s">
        <v>169</v>
      </c>
      <c r="B17" t="str">
        <f t="shared" si="1"/>
        <v>NAR</v>
      </c>
      <c r="C17" t="str">
        <f t="shared" si="0"/>
        <v>(ACC) NAR Beanstream / Roam</v>
      </c>
      <c r="D17" s="52">
        <f t="shared" ref="D17:D26" si="2">ROUND(0.5*102.5%,3)</f>
        <v>0.51300000000000001</v>
      </c>
      <c r="E17" s="65">
        <v>200</v>
      </c>
    </row>
    <row r="18" spans="1:5" x14ac:dyDescent="0.2">
      <c r="A18" t="s">
        <v>170</v>
      </c>
      <c r="B18" t="str">
        <f t="shared" si="1"/>
        <v>NLD</v>
      </c>
      <c r="C18" t="str">
        <f t="shared" si="0"/>
        <v>(ACC) NLD GC</v>
      </c>
      <c r="D18" s="52">
        <f t="shared" si="2"/>
        <v>0.51300000000000001</v>
      </c>
      <c r="E18" s="65">
        <v>200</v>
      </c>
    </row>
    <row r="19" spans="1:5" x14ac:dyDescent="0.2">
      <c r="A19" t="s">
        <v>171</v>
      </c>
      <c r="B19" t="str">
        <f t="shared" si="1"/>
        <v>SPA</v>
      </c>
      <c r="C19" t="str">
        <f t="shared" si="0"/>
        <v>(ACC) SPA Connexflow</v>
      </c>
      <c r="D19" s="52">
        <f t="shared" si="2"/>
        <v>0.51300000000000001</v>
      </c>
      <c r="E19" s="65">
        <v>200</v>
      </c>
    </row>
    <row r="20" spans="1:5" x14ac:dyDescent="0.2">
      <c r="A20" t="s">
        <v>172</v>
      </c>
      <c r="B20" t="str">
        <f t="shared" si="1"/>
        <v>SPA</v>
      </c>
      <c r="C20" t="str">
        <f t="shared" si="0"/>
        <v>(ACC) SPA CSACT</v>
      </c>
      <c r="D20" s="52">
        <f t="shared" si="2"/>
        <v>0.51300000000000001</v>
      </c>
      <c r="E20" s="65">
        <v>200</v>
      </c>
    </row>
    <row r="21" spans="1:5" x14ac:dyDescent="0.2">
      <c r="A21" t="s">
        <v>173</v>
      </c>
      <c r="B21" t="str">
        <f t="shared" si="1"/>
        <v>SWE</v>
      </c>
      <c r="C21" t="str">
        <f t="shared" si="0"/>
        <v>(ACC) SWE BB Samport</v>
      </c>
      <c r="D21" s="52">
        <f t="shared" si="2"/>
        <v>0.51300000000000001</v>
      </c>
      <c r="E21" s="65">
        <v>200</v>
      </c>
    </row>
    <row r="22" spans="1:5" x14ac:dyDescent="0.2">
      <c r="A22" t="s">
        <v>174</v>
      </c>
      <c r="B22" t="str">
        <f t="shared" si="1"/>
        <v>SWE</v>
      </c>
      <c r="C22" t="str">
        <f t="shared" si="0"/>
        <v>(ACC) SWE BOL</v>
      </c>
      <c r="D22" s="52">
        <f t="shared" si="2"/>
        <v>0.51300000000000001</v>
      </c>
      <c r="E22" s="65">
        <v>200</v>
      </c>
    </row>
    <row r="23" spans="1:5" x14ac:dyDescent="0.2">
      <c r="A23" t="s">
        <v>175</v>
      </c>
      <c r="B23" t="str">
        <f t="shared" si="1"/>
        <v>SWE</v>
      </c>
      <c r="C23" t="str">
        <f t="shared" si="0"/>
        <v>(ACC) SWE Back-Office</v>
      </c>
      <c r="D23" s="52">
        <f t="shared" si="2"/>
        <v>0.51300000000000001</v>
      </c>
      <c r="E23" s="65">
        <v>200</v>
      </c>
    </row>
    <row r="24" spans="1:5" x14ac:dyDescent="0.2">
      <c r="A24" t="s">
        <v>176</v>
      </c>
      <c r="B24" t="str">
        <f t="shared" si="1"/>
        <v>SWE</v>
      </c>
      <c r="C24" t="str">
        <f t="shared" si="0"/>
        <v>(ACC) SWE Devcode</v>
      </c>
      <c r="D24" s="52">
        <f t="shared" si="2"/>
        <v>0.51300000000000001</v>
      </c>
      <c r="E24" s="65">
        <v>200</v>
      </c>
    </row>
    <row r="25" spans="1:5" x14ac:dyDescent="0.2">
      <c r="A25" t="s">
        <v>177</v>
      </c>
      <c r="B25" t="str">
        <f t="shared" si="1"/>
        <v>SWE</v>
      </c>
      <c r="C25" t="str">
        <f t="shared" si="0"/>
        <v>(ACC) SWE OCH</v>
      </c>
      <c r="D25" s="52">
        <f t="shared" si="2"/>
        <v>0.51300000000000001</v>
      </c>
      <c r="E25" s="65">
        <v>200</v>
      </c>
    </row>
    <row r="26" spans="1:5" x14ac:dyDescent="0.2">
      <c r="A26" t="s">
        <v>178</v>
      </c>
      <c r="B26" t="str">
        <f t="shared" si="1"/>
        <v>SWE</v>
      </c>
      <c r="C26" t="str">
        <f t="shared" si="0"/>
        <v>(ACC) SWE WOPA</v>
      </c>
      <c r="D26" s="52">
        <f t="shared" si="2"/>
        <v>0.51300000000000001</v>
      </c>
      <c r="E26" s="65">
        <v>200</v>
      </c>
    </row>
    <row r="27" spans="1:5" x14ac:dyDescent="0.2">
      <c r="A27" t="s">
        <v>179</v>
      </c>
      <c r="B27" t="str">
        <f t="shared" si="1"/>
        <v>GER</v>
      </c>
      <c r="C27" t="str">
        <f t="shared" si="0"/>
        <v>(ACC) GER cCredit</v>
      </c>
      <c r="D27">
        <f>ROUND(0.48*102.5%,3)</f>
        <v>0.49199999999999999</v>
      </c>
      <c r="E27" s="65">
        <v>200</v>
      </c>
    </row>
    <row r="28" spans="1:5" x14ac:dyDescent="0.2">
      <c r="A28" t="s">
        <v>180</v>
      </c>
      <c r="B28" t="str">
        <f t="shared" si="1"/>
        <v>ALL</v>
      </c>
      <c r="C28" t="str">
        <f t="shared" si="0"/>
        <v>(ACC) ALL  Shared services</v>
      </c>
      <c r="D28" s="52">
        <f>ROUND(0.5*102.5%,3)</f>
        <v>0.51300000000000001</v>
      </c>
      <c r="E28" s="65">
        <v>200</v>
      </c>
    </row>
    <row r="29" spans="1:5" x14ac:dyDescent="0.2">
      <c r="A29" s="53" t="s">
        <v>181</v>
      </c>
      <c r="B29" s="53"/>
      <c r="C29" s="53" t="str">
        <f t="shared" si="0"/>
        <v>Com Acquiring Internal all entities</v>
      </c>
      <c r="D29" s="53" t="s">
        <v>1900</v>
      </c>
      <c r="E29" s="53" t="s">
        <v>1900</v>
      </c>
    </row>
    <row r="30" spans="1:5" x14ac:dyDescent="0.2">
      <c r="A30" t="s">
        <v>182</v>
      </c>
      <c r="B30" t="str">
        <f>IFERROR(MID(A30,FIND(CHAR(10),A30)+1,3),"")</f>
        <v>BEL</v>
      </c>
      <c r="C30" t="str">
        <f t="shared" si="0"/>
        <v>(CAQ) BEL WL</v>
      </c>
      <c r="D30" s="52">
        <f>ROUND(0.585*102.5%,3)</f>
        <v>0.6</v>
      </c>
      <c r="E30" s="65">
        <v>200</v>
      </c>
    </row>
    <row r="31" spans="1:5" x14ac:dyDescent="0.2">
      <c r="A31" t="s">
        <v>183</v>
      </c>
      <c r="B31" t="str">
        <f>IFERROR(MID(A31,FIND(CHAR(10),A31)+1,3),"")</f>
        <v>FRA</v>
      </c>
      <c r="C31" t="str">
        <f t="shared" si="0"/>
        <v>(CAQ) FRA WL</v>
      </c>
      <c r="D31">
        <f>ROUND(0.475*102.5%,3)</f>
        <v>0.48699999999999999</v>
      </c>
      <c r="E31" s="65">
        <v>200</v>
      </c>
    </row>
    <row r="32" spans="1:5" x14ac:dyDescent="0.2">
      <c r="A32" t="s">
        <v>184</v>
      </c>
      <c r="B32" t="str">
        <f>IFERROR(MID(A32,FIND(CHAR(10),A32)+1,3),"")</f>
        <v>CHE</v>
      </c>
      <c r="C32" t="str">
        <f t="shared" si="0"/>
        <v>(CAQ) CHE SPS</v>
      </c>
      <c r="D32" s="52">
        <f>ROUND(0.976*102.5%,3)</f>
        <v>1</v>
      </c>
      <c r="E32" s="65">
        <v>200</v>
      </c>
    </row>
    <row r="33" spans="1:6" x14ac:dyDescent="0.2">
      <c r="A33" t="s">
        <v>185</v>
      </c>
      <c r="B33" t="str">
        <f>IFERROR(MID(A33,FIND(CHAR(10),A33)+1,3),"")</f>
        <v>ALL</v>
      </c>
      <c r="C33" t="str">
        <f t="shared" si="0"/>
        <v>(CAQ) ALL BB</v>
      </c>
      <c r="D33" s="52">
        <f>ROUND(0.5*102.5%,3)</f>
        <v>0.51300000000000001</v>
      </c>
      <c r="E33" s="65">
        <v>200</v>
      </c>
    </row>
    <row r="34" spans="1:6" x14ac:dyDescent="0.2">
      <c r="A34" s="53" t="s">
        <v>186</v>
      </c>
      <c r="B34" s="53"/>
      <c r="C34" s="53" t="str">
        <f t="shared" si="0"/>
        <v>Digital Services Internal all entities</v>
      </c>
      <c r="D34" s="53" t="s">
        <v>1900</v>
      </c>
      <c r="E34" s="53" t="s">
        <v>1900</v>
      </c>
    </row>
    <row r="35" spans="1:6" x14ac:dyDescent="0.2">
      <c r="A35" t="s">
        <v>187</v>
      </c>
      <c r="B35" t="str">
        <f t="shared" ref="B35:B40" si="3">IFERROR(MID(A35,FIND(CHAR(10),A35)+1,3),"")</f>
        <v>BEL</v>
      </c>
      <c r="C35" t="str">
        <f t="shared" si="0"/>
        <v>(DIG) BEL WL</v>
      </c>
      <c r="D35" s="52">
        <f>ROUND(0.585*102.5%,3)</f>
        <v>0.6</v>
      </c>
      <c r="E35" s="65">
        <v>200</v>
      </c>
    </row>
    <row r="36" spans="1:6" x14ac:dyDescent="0.2">
      <c r="A36" t="s">
        <v>188</v>
      </c>
      <c r="B36" t="str">
        <f t="shared" si="3"/>
        <v>FRA</v>
      </c>
      <c r="C36" t="str">
        <f t="shared" si="0"/>
        <v>(DIG) FRA WL</v>
      </c>
      <c r="D36">
        <f>ROUND(0.475*102.5%,3)</f>
        <v>0.48699999999999999</v>
      </c>
      <c r="E36" s="65">
        <v>200</v>
      </c>
    </row>
    <row r="37" spans="1:6" x14ac:dyDescent="0.2">
      <c r="A37" t="s">
        <v>189</v>
      </c>
      <c r="B37" t="str">
        <f t="shared" si="3"/>
        <v>NLD</v>
      </c>
      <c r="C37" t="str">
        <f t="shared" si="0"/>
        <v>(DIG) NLD WL</v>
      </c>
      <c r="D37">
        <f>ROUND(0.5*102.5%,3)</f>
        <v>0.51300000000000001</v>
      </c>
      <c r="E37" s="65">
        <v>200</v>
      </c>
    </row>
    <row r="38" spans="1:6" x14ac:dyDescent="0.2">
      <c r="A38" t="s">
        <v>190</v>
      </c>
      <c r="B38" t="str">
        <f t="shared" si="3"/>
        <v>AUT</v>
      </c>
      <c r="C38" t="str">
        <f t="shared" si="0"/>
        <v>(DIG) AUT SPS</v>
      </c>
      <c r="D38" s="52">
        <f>ROUND(0.56*102.5%,3)</f>
        <v>0.57399999999999995</v>
      </c>
      <c r="E38" s="65">
        <v>200</v>
      </c>
    </row>
    <row r="39" spans="1:6" x14ac:dyDescent="0.2">
      <c r="A39" t="s">
        <v>191</v>
      </c>
      <c r="B39" t="str">
        <f t="shared" si="3"/>
        <v>CHE</v>
      </c>
      <c r="C39" t="str">
        <f t="shared" si="0"/>
        <v>(DIG) CHE SPS</v>
      </c>
      <c r="D39" s="52">
        <f>ROUND(0.976*102.5%,3)</f>
        <v>1</v>
      </c>
      <c r="E39" s="65">
        <v>200</v>
      </c>
    </row>
    <row r="40" spans="1:6" x14ac:dyDescent="0.2">
      <c r="A40" t="s">
        <v>192</v>
      </c>
      <c r="B40" t="str">
        <f t="shared" si="3"/>
        <v>FRA</v>
      </c>
      <c r="C40" t="str">
        <f t="shared" si="0"/>
        <v>(DIG) FRA ING</v>
      </c>
      <c r="D40">
        <f>ROUND(0.475*102.5%,3)</f>
        <v>0.48699999999999999</v>
      </c>
      <c r="E40" s="65">
        <v>200</v>
      </c>
    </row>
    <row r="41" spans="1:6" x14ac:dyDescent="0.2">
      <c r="A41" t="s">
        <v>193</v>
      </c>
      <c r="B41" t="str">
        <f>IFERROR(MID(A41,FIND(CHAR(10),A41)+1,3),"")</f>
        <v>GER</v>
      </c>
      <c r="C41" t="str">
        <f>SUBSTITUTE(A41,CHAR(10)," ")</f>
        <v>(DIG) GER WL</v>
      </c>
      <c r="D41">
        <f>ROUND(0.48*102.5%,3)</f>
        <v>0.49199999999999999</v>
      </c>
      <c r="E41" s="65">
        <v>200</v>
      </c>
    </row>
    <row r="42" spans="1:6" x14ac:dyDescent="0.2">
      <c r="A42" t="s">
        <v>194</v>
      </c>
      <c r="B42" t="str">
        <f t="shared" ref="B42:B44" si="4">IFERROR(MID(A42,FIND(CHAR(10),A42)+1,3),"")</f>
        <v>GER</v>
      </c>
      <c r="C42" t="str">
        <f t="shared" ref="C42:C44" si="5">SUBSTITUTE(A42,CHAR(10)," ")</f>
        <v>(DIG) GER SPS</v>
      </c>
      <c r="D42">
        <f>ROUND(0.48*102.5%,3)</f>
        <v>0.49199999999999999</v>
      </c>
      <c r="E42" s="65">
        <v>200</v>
      </c>
    </row>
    <row r="43" spans="1:6" x14ac:dyDescent="0.2">
      <c r="A43" t="s">
        <v>195</v>
      </c>
      <c r="B43" t="str">
        <f>IFERROR(MID(A43,FIND(CHAR(10),A43)+1,3),"")</f>
        <v>POL</v>
      </c>
      <c r="C43" t="str">
        <f>SUBSTITUTE(A43,CHAR(10)," ")</f>
        <v>(DIG) POL SPS</v>
      </c>
      <c r="D43">
        <f>ROUND(0.295*102.5%,3)</f>
        <v>0.30199999999999999</v>
      </c>
      <c r="E43" s="65">
        <v>200</v>
      </c>
      <c r="F43" t="s">
        <v>1901</v>
      </c>
    </row>
    <row r="44" spans="1:6" x14ac:dyDescent="0.2">
      <c r="A44" t="s">
        <v>196</v>
      </c>
      <c r="B44" t="str">
        <f t="shared" si="4"/>
        <v>CZE</v>
      </c>
      <c r="C44" t="str">
        <f t="shared" si="5"/>
        <v>(DIG) CZE Cataps</v>
      </c>
      <c r="D44">
        <f>ROUND(0.201*102.5%,3)</f>
        <v>0.20599999999999999</v>
      </c>
      <c r="E44" s="65">
        <v>200</v>
      </c>
    </row>
    <row r="45" spans="1:6" x14ac:dyDescent="0.2">
      <c r="A45" t="s">
        <v>197</v>
      </c>
      <c r="B45" t="str">
        <f>IFERROR(MID(A45,FIND(CHAR(10),A45)+1,3),"")</f>
        <v>AUS</v>
      </c>
      <c r="C45" t="str">
        <f>SUBSTITUTE(A45,CHAR(10)," ")</f>
        <v>(DIG) AUS WL</v>
      </c>
      <c r="D45" s="52">
        <f>ROUND(0.5*102.5%,3)</f>
        <v>0.51300000000000001</v>
      </c>
      <c r="E45" s="65">
        <v>200</v>
      </c>
    </row>
    <row r="46" spans="1:6" x14ac:dyDescent="0.2">
      <c r="A46" t="s">
        <v>198</v>
      </c>
      <c r="B46" t="str">
        <f>IFERROR(MID(A46,FIND(CHAR(10),A46)+1,3),"")</f>
        <v>NLD</v>
      </c>
      <c r="C46" t="str">
        <f>SUBSTITUTE(A46,CHAR(10)," ")</f>
        <v>(DIG) NLD ING</v>
      </c>
      <c r="D46" s="52">
        <f>ROUND(0.5*102.5%,3)</f>
        <v>0.51300000000000001</v>
      </c>
      <c r="E46" s="65">
        <v>200</v>
      </c>
    </row>
    <row r="47" spans="1:6" x14ac:dyDescent="0.2">
      <c r="A47" s="53" t="s">
        <v>199</v>
      </c>
      <c r="B47" s="53"/>
      <c r="C47" s="53" t="str">
        <f t="shared" si="0"/>
        <v>E2E Architects &amp; Programs Internal all entities</v>
      </c>
      <c r="D47" s="53" t="s">
        <v>1900</v>
      </c>
      <c r="E47" s="53" t="s">
        <v>1900</v>
      </c>
    </row>
    <row r="48" spans="1:6" x14ac:dyDescent="0.2">
      <c r="A48" t="s">
        <v>200</v>
      </c>
      <c r="B48" t="str">
        <f t="shared" ref="B48:B53" si="6">IFERROR(MID(A48,FIND(CHAR(10),A48)+1,3),"")</f>
        <v>BEL</v>
      </c>
      <c r="C48" t="str">
        <f t="shared" si="0"/>
        <v>(E2E) BEL WL</v>
      </c>
      <c r="D48" s="52">
        <f>ROUND(0.585*102.5%,3)</f>
        <v>0.6</v>
      </c>
      <c r="E48" s="65">
        <v>200</v>
      </c>
    </row>
    <row r="49" spans="1:6" x14ac:dyDescent="0.2">
      <c r="A49" t="s">
        <v>201</v>
      </c>
      <c r="B49" t="str">
        <f t="shared" si="6"/>
        <v>FRA</v>
      </c>
      <c r="C49" t="str">
        <f t="shared" si="0"/>
        <v>(E2E) FRA WL</v>
      </c>
      <c r="D49">
        <f>ROUND(0.475*102.5%,3)</f>
        <v>0.48699999999999999</v>
      </c>
      <c r="E49" s="65">
        <v>200</v>
      </c>
    </row>
    <row r="50" spans="1:6" x14ac:dyDescent="0.2">
      <c r="A50" t="s">
        <v>202</v>
      </c>
      <c r="B50" t="str">
        <f t="shared" si="6"/>
        <v>NLD</v>
      </c>
      <c r="C50" t="str">
        <f>SUBSTITUTE(A50,CHAR(10)," ")</f>
        <v>(E2E) NLD WL</v>
      </c>
      <c r="D50">
        <v>0.51300000000000001</v>
      </c>
      <c r="E50" s="65">
        <v>200</v>
      </c>
      <c r="F50" t="s">
        <v>1902</v>
      </c>
    </row>
    <row r="51" spans="1:6" x14ac:dyDescent="0.2">
      <c r="A51" t="s">
        <v>203</v>
      </c>
      <c r="B51" t="str">
        <f t="shared" si="6"/>
        <v>SPA</v>
      </c>
      <c r="C51" t="str">
        <f>SUBSTITUTE(A51,CHAR(10)," ")</f>
        <v>(E2E) SPA WL</v>
      </c>
      <c r="D51">
        <v>0.51300000000000001</v>
      </c>
      <c r="E51" s="65">
        <v>200</v>
      </c>
      <c r="F51" t="s">
        <v>1902</v>
      </c>
    </row>
    <row r="52" spans="1:6" x14ac:dyDescent="0.2">
      <c r="A52" t="s">
        <v>204</v>
      </c>
      <c r="B52" t="str">
        <f t="shared" si="6"/>
        <v>XXX</v>
      </c>
      <c r="C52" t="str">
        <f>SUBSTITUTE(A52,CHAR(10)," ")</f>
        <v>(E2E) XXX WL</v>
      </c>
      <c r="D52">
        <v>0.51300000000000001</v>
      </c>
      <c r="E52" s="65">
        <v>200</v>
      </c>
      <c r="F52" t="s">
        <v>1902</v>
      </c>
    </row>
    <row r="53" spans="1:6" x14ac:dyDescent="0.2">
      <c r="A53" t="s">
        <v>205</v>
      </c>
      <c r="B53" t="str">
        <f t="shared" si="6"/>
        <v>CHE</v>
      </c>
      <c r="C53" t="str">
        <f t="shared" si="0"/>
        <v>(E2E) CHE SPS</v>
      </c>
      <c r="D53" s="52">
        <f>ROUND(0.976*102.5%,3)</f>
        <v>1</v>
      </c>
      <c r="E53" s="65">
        <v>200</v>
      </c>
    </row>
    <row r="54" spans="1:6" x14ac:dyDescent="0.2">
      <c r="A54" s="53" t="s">
        <v>206</v>
      </c>
      <c r="B54" s="53"/>
      <c r="C54" s="53" t="str">
        <f t="shared" si="0"/>
        <v>Chief Merchant Officer Internal all entities</v>
      </c>
      <c r="D54" s="53" t="s">
        <v>1900</v>
      </c>
      <c r="E54" s="53" t="s">
        <v>1900</v>
      </c>
    </row>
    <row r="55" spans="1:6" x14ac:dyDescent="0.2">
      <c r="A55" t="s">
        <v>207</v>
      </c>
      <c r="B55" t="str">
        <f>IFERROR(MID(A55,FIND(CHAR(10),A55)+1,3),"")</f>
        <v>CHE</v>
      </c>
      <c r="C55" t="str">
        <f t="shared" si="0"/>
        <v>(CMO) CHE SPS</v>
      </c>
      <c r="D55" s="52">
        <f>ROUND(0.976*102.5%,3)</f>
        <v>1</v>
      </c>
      <c r="E55" s="65">
        <v>200</v>
      </c>
    </row>
    <row r="56" spans="1:6" x14ac:dyDescent="0.2">
      <c r="A56" t="s">
        <v>208</v>
      </c>
      <c r="B56" t="str">
        <f>IFERROR(MID(A56,FIND(CHAR(10),A56)+1,3),"")</f>
        <v>FRA</v>
      </c>
      <c r="C56" t="str">
        <f t="shared" si="0"/>
        <v>(CMO) FRA WL</v>
      </c>
      <c r="D56">
        <f>ROUND(0.475*102.5%,3)</f>
        <v>0.48699999999999999</v>
      </c>
      <c r="E56" s="65">
        <v>200</v>
      </c>
    </row>
    <row r="57" spans="1:6" x14ac:dyDescent="0.2">
      <c r="A57" s="53" t="s">
        <v>209</v>
      </c>
      <c r="B57" s="53"/>
      <c r="C57" s="53" t="str">
        <f t="shared" si="0"/>
        <v>COO SACC Internal all entities</v>
      </c>
      <c r="D57" s="53" t="s">
        <v>1900</v>
      </c>
      <c r="E57" s="53" t="s">
        <v>1900</v>
      </c>
    </row>
    <row r="58" spans="1:6" x14ac:dyDescent="0.2">
      <c r="A58" t="s">
        <v>210</v>
      </c>
      <c r="B58" t="str">
        <f>IFERROR(MID(A58,FIND(CHAR(10),A58)+1,3),"")</f>
        <v>FRA</v>
      </c>
      <c r="C58" t="str">
        <f t="shared" si="0"/>
        <v>(SAC) FRA ex Terminals</v>
      </c>
      <c r="D58">
        <f>ROUND(0.475*102.5%,3)</f>
        <v>0.48699999999999999</v>
      </c>
      <c r="E58" s="65">
        <v>200</v>
      </c>
    </row>
    <row r="59" spans="1:6" x14ac:dyDescent="0.2">
      <c r="A59" t="s">
        <v>211</v>
      </c>
      <c r="B59" t="str">
        <f>IFERROR(MID(A59,FIND(CHAR(10),A59)+1,3),"")</f>
        <v>FRA</v>
      </c>
      <c r="C59" t="str">
        <f t="shared" si="0"/>
        <v>(SAC) FRA ex Omni Ch.</v>
      </c>
      <c r="D59">
        <f>ROUND(0.475*102.5%,3)</f>
        <v>0.48699999999999999</v>
      </c>
      <c r="E59" s="65">
        <v>200</v>
      </c>
    </row>
    <row r="60" spans="1:6" x14ac:dyDescent="0.2">
      <c r="A60" t="s">
        <v>212</v>
      </c>
      <c r="B60" t="str">
        <f>IFERROR(MID(A60,FIND(CHAR(10),A60)+1,3),"")</f>
        <v>FRA</v>
      </c>
      <c r="C60" t="str">
        <f t="shared" si="0"/>
        <v>(SAC) FRA Ex Operations</v>
      </c>
      <c r="D60">
        <f>ROUND(0.475*102.5%,3)</f>
        <v>0.48699999999999999</v>
      </c>
      <c r="E60" s="65">
        <v>200</v>
      </c>
    </row>
    <row r="61" spans="1:6" x14ac:dyDescent="0.2">
      <c r="A61" s="53" t="s">
        <v>213</v>
      </c>
      <c r="B61" s="53"/>
      <c r="C61" s="53" t="str">
        <f t="shared" si="0"/>
        <v>COO PTM Internal WL entities</v>
      </c>
      <c r="D61" s="53" t="s">
        <v>1900</v>
      </c>
      <c r="E61" s="53" t="s">
        <v>1900</v>
      </c>
    </row>
    <row r="62" spans="1:6" x14ac:dyDescent="0.2">
      <c r="A62" t="s">
        <v>214</v>
      </c>
      <c r="B62" t="str">
        <f t="shared" ref="B62:B67" si="7">IFERROR(MID(A62,FIND(CHAR(10),A62)+1,3),"")</f>
        <v>BEL</v>
      </c>
      <c r="C62" t="str">
        <f t="shared" si="0"/>
        <v>(PTM) BEL WL</v>
      </c>
      <c r="D62" s="52">
        <f>ROUND(0.585*102.5%,3)</f>
        <v>0.6</v>
      </c>
      <c r="E62" s="65">
        <v>200</v>
      </c>
    </row>
    <row r="63" spans="1:6" x14ac:dyDescent="0.2">
      <c r="A63" t="s">
        <v>215</v>
      </c>
      <c r="B63" t="str">
        <f t="shared" si="7"/>
        <v>FRA</v>
      </c>
      <c r="C63" t="str">
        <f t="shared" si="0"/>
        <v>(PTM) FRA WL</v>
      </c>
      <c r="D63">
        <f>ROUND(0.475*102.5%,3)</f>
        <v>0.48699999999999999</v>
      </c>
      <c r="E63" s="65">
        <v>200</v>
      </c>
    </row>
    <row r="64" spans="1:6" x14ac:dyDescent="0.2">
      <c r="A64" t="s">
        <v>216</v>
      </c>
      <c r="B64" t="str">
        <f t="shared" si="7"/>
        <v>NLD</v>
      </c>
      <c r="C64" t="str">
        <f t="shared" si="0"/>
        <v>(PTM) NLD WL</v>
      </c>
      <c r="D64">
        <f>ROUND(0.5*102.5%,3)</f>
        <v>0.51300000000000001</v>
      </c>
      <c r="E64" s="65">
        <v>200</v>
      </c>
    </row>
    <row r="65" spans="1:5" x14ac:dyDescent="0.2">
      <c r="A65" t="s">
        <v>217</v>
      </c>
      <c r="B65" t="str">
        <f t="shared" si="7"/>
        <v>SWE</v>
      </c>
      <c r="C65" t="str">
        <f t="shared" si="0"/>
        <v>(PTM) SWE WL</v>
      </c>
      <c r="D65">
        <f>ROUND(0.5*102.5%,3)</f>
        <v>0.51300000000000001</v>
      </c>
      <c r="E65" s="65">
        <v>200</v>
      </c>
    </row>
    <row r="66" spans="1:5" x14ac:dyDescent="0.2">
      <c r="A66" t="s">
        <v>218</v>
      </c>
      <c r="B66" t="str">
        <f t="shared" si="7"/>
        <v>GER</v>
      </c>
      <c r="C66" t="str">
        <f t="shared" ref="C66:C128" si="8">SUBSTITUTE(A66,CHAR(10)," ")</f>
        <v>(PTM) GER WL</v>
      </c>
      <c r="D66">
        <f>ROUND(0.48*102.5%,3)</f>
        <v>0.49199999999999999</v>
      </c>
      <c r="E66" s="65">
        <v>200</v>
      </c>
    </row>
    <row r="67" spans="1:5" x14ac:dyDescent="0.2">
      <c r="A67" t="s">
        <v>219</v>
      </c>
      <c r="B67" t="str">
        <f t="shared" si="7"/>
        <v>BRA</v>
      </c>
      <c r="C67" t="str">
        <f t="shared" si="8"/>
        <v>(PTM) BRA WL</v>
      </c>
      <c r="D67">
        <f>ROUND(0.288*102.5%,3)</f>
        <v>0.29499999999999998</v>
      </c>
      <c r="E67" s="65">
        <v>200</v>
      </c>
    </row>
    <row r="68" spans="1:5" x14ac:dyDescent="0.2">
      <c r="A68" s="53" t="s">
        <v>220</v>
      </c>
      <c r="B68" s="53"/>
      <c r="C68" s="53" t="str">
        <f t="shared" si="8"/>
        <v>COO PTM Internal SPS/Other entities</v>
      </c>
      <c r="D68" s="53" t="s">
        <v>1900</v>
      </c>
      <c r="E68" s="53" t="s">
        <v>1900</v>
      </c>
    </row>
    <row r="69" spans="1:5" x14ac:dyDescent="0.2">
      <c r="A69" t="s">
        <v>221</v>
      </c>
      <c r="B69" t="str">
        <f>IFERROR(MID(A69,FIND(CHAR(10),A69)+1,3),"")</f>
        <v>CHE</v>
      </c>
      <c r="C69" t="str">
        <f t="shared" si="8"/>
        <v>(PTM) CHE SPS</v>
      </c>
      <c r="D69" s="52">
        <f>ROUND(0.976*102.5%,3)</f>
        <v>1</v>
      </c>
      <c r="E69" s="65">
        <v>200</v>
      </c>
    </row>
    <row r="70" spans="1:5" x14ac:dyDescent="0.2">
      <c r="A70" t="s">
        <v>222</v>
      </c>
      <c r="B70" t="str">
        <f>IFERROR(MID(A70,FIND(CHAR(10),A70)+1,3),"")</f>
        <v>AUT</v>
      </c>
      <c r="C70" t="str">
        <f t="shared" si="8"/>
        <v>(PTM) AUT SPS</v>
      </c>
      <c r="D70" s="52">
        <f>ROUND(0.56*102.5%,3)</f>
        <v>0.57399999999999995</v>
      </c>
      <c r="E70" s="65">
        <v>200</v>
      </c>
    </row>
    <row r="71" spans="1:5" x14ac:dyDescent="0.2">
      <c r="A71" t="s">
        <v>223</v>
      </c>
      <c r="B71" t="str">
        <f>IFERROR(MID(A71,FIND(CHAR(10),A71)+1,3),"")</f>
        <v>GER</v>
      </c>
      <c r="C71" t="str">
        <f t="shared" si="8"/>
        <v>(PTM) GER SPS</v>
      </c>
      <c r="D71">
        <f>ROUND(0.56*102.5%,3)</f>
        <v>0.57399999999999995</v>
      </c>
      <c r="E71" s="65">
        <v>200</v>
      </c>
    </row>
    <row r="72" spans="1:5" x14ac:dyDescent="0.2">
      <c r="A72" t="s">
        <v>224</v>
      </c>
      <c r="B72" t="str">
        <f>IFERROR(MID(A72,FIND(CHAR(10),A72)+1,3),"")</f>
        <v>POL</v>
      </c>
      <c r="C72" t="str">
        <f t="shared" si="8"/>
        <v>(PTM) POL SPS</v>
      </c>
      <c r="D72">
        <f>ROUND(0.295*102.5%,3)</f>
        <v>0.30199999999999999</v>
      </c>
      <c r="E72" s="65">
        <v>200</v>
      </c>
    </row>
    <row r="73" spans="1:5" x14ac:dyDescent="0.2">
      <c r="A73" t="s">
        <v>225</v>
      </c>
      <c r="B73" t="str">
        <f>IFERROR(MID(A73,FIND(CHAR(10),A73)+1,3),"")</f>
        <v>CZE</v>
      </c>
      <c r="C73" t="str">
        <f t="shared" si="8"/>
        <v>(PTM) CZE Cataps</v>
      </c>
      <c r="D73">
        <f>ROUND(0.201*102.5%,3)</f>
        <v>0.20599999999999999</v>
      </c>
      <c r="E73" s="65">
        <v>200</v>
      </c>
    </row>
    <row r="74" spans="1:5" x14ac:dyDescent="0.2">
      <c r="A74" s="53" t="s">
        <v>226</v>
      </c>
      <c r="B74" s="53"/>
      <c r="C74" s="53" t="str">
        <f t="shared" si="8"/>
        <v>COO CS Internal WL entities</v>
      </c>
      <c r="D74" s="53" t="s">
        <v>1900</v>
      </c>
      <c r="E74" s="53" t="s">
        <v>1900</v>
      </c>
    </row>
    <row r="75" spans="1:5" x14ac:dyDescent="0.2">
      <c r="A75" t="s">
        <v>227</v>
      </c>
      <c r="B75" t="str">
        <f>IFERROR(MID(A75,FIND(CHAR(10),A75)+1,3),"")</f>
        <v>BEL</v>
      </c>
      <c r="C75" t="str">
        <f t="shared" si="8"/>
        <v>(CCS) BEL WL</v>
      </c>
      <c r="D75" s="52">
        <f>ROUND(0.585*102.5%,3)</f>
        <v>0.6</v>
      </c>
      <c r="E75" s="65">
        <v>200</v>
      </c>
    </row>
    <row r="76" spans="1:5" x14ac:dyDescent="0.2">
      <c r="A76" t="s">
        <v>228</v>
      </c>
      <c r="B76" t="str">
        <f>IFERROR(MID(A76,FIND(CHAR(10),A76)+1,3),"")</f>
        <v>FRA</v>
      </c>
      <c r="C76" t="str">
        <f t="shared" si="8"/>
        <v>(CCS) FRA WL</v>
      </c>
      <c r="D76">
        <f>ROUND(0.475*102.5%,3)</f>
        <v>0.48699999999999999</v>
      </c>
      <c r="E76" s="65">
        <v>200</v>
      </c>
    </row>
    <row r="77" spans="1:5" x14ac:dyDescent="0.2">
      <c r="A77" t="s">
        <v>229</v>
      </c>
      <c r="B77" t="str">
        <f>IFERROR(MID(A77,FIND(CHAR(10),A77)+1,3),"")</f>
        <v>NLD</v>
      </c>
      <c r="C77" t="str">
        <f t="shared" si="8"/>
        <v>(CCS) NLD WL</v>
      </c>
      <c r="D77">
        <f>ROUND(0.5*102.5%,3)</f>
        <v>0.51300000000000001</v>
      </c>
      <c r="E77" s="65">
        <v>200</v>
      </c>
    </row>
    <row r="78" spans="1:5" x14ac:dyDescent="0.2">
      <c r="A78" s="53" t="s">
        <v>230</v>
      </c>
      <c r="B78" s="53"/>
      <c r="C78" s="53" t="str">
        <f t="shared" si="8"/>
        <v>COO CS Internal SPS entities</v>
      </c>
      <c r="D78" s="53" t="s">
        <v>1900</v>
      </c>
      <c r="E78" s="53" t="s">
        <v>1900</v>
      </c>
    </row>
    <row r="79" spans="1:5" x14ac:dyDescent="0.2">
      <c r="A79" t="s">
        <v>231</v>
      </c>
      <c r="B79" t="str">
        <f>IFERROR(MID(A79,FIND(CHAR(10),A79)+1,3),"")</f>
        <v>CHE</v>
      </c>
      <c r="C79" t="str">
        <f t="shared" si="8"/>
        <v>(CCS) CHE SPS</v>
      </c>
      <c r="D79" s="52">
        <f>ROUND(0.976*102.5%,3)</f>
        <v>1</v>
      </c>
      <c r="E79" s="65">
        <v>200</v>
      </c>
    </row>
    <row r="80" spans="1:5" x14ac:dyDescent="0.2">
      <c r="A80" t="s">
        <v>232</v>
      </c>
      <c r="B80" t="str">
        <f>IFERROR(MID(A80,FIND(CHAR(10),A80)+1,3),"")</f>
        <v>LUX</v>
      </c>
      <c r="C80" t="str">
        <f t="shared" si="8"/>
        <v>(CCS) LUX SPS</v>
      </c>
      <c r="D80">
        <f>ROUND(0.64*102.5%,3)</f>
        <v>0.65600000000000003</v>
      </c>
      <c r="E80" s="65">
        <v>200</v>
      </c>
    </row>
    <row r="81" spans="1:5" x14ac:dyDescent="0.2">
      <c r="A81" t="s">
        <v>233</v>
      </c>
      <c r="B81" t="str">
        <f>IFERROR(MID(A81,FIND(CHAR(10),A81)+1,3),"")</f>
        <v>AUT</v>
      </c>
      <c r="C81" t="str">
        <f t="shared" si="8"/>
        <v>(CCS) AUT SPS</v>
      </c>
      <c r="D81" s="52">
        <f>ROUND(0.56*102.5%,3)</f>
        <v>0.57399999999999995</v>
      </c>
      <c r="E81" s="65">
        <v>200</v>
      </c>
    </row>
    <row r="82" spans="1:5" x14ac:dyDescent="0.2">
      <c r="A82" t="s">
        <v>234</v>
      </c>
      <c r="B82" t="str">
        <f>IFERROR(MID(A82,FIND(CHAR(10),A82)+1,3),"")</f>
        <v>GER</v>
      </c>
      <c r="C82" t="str">
        <f t="shared" si="8"/>
        <v>(CCS) GER SPS</v>
      </c>
      <c r="D82">
        <f>ROUND(0.56*102.5%,3)</f>
        <v>0.57399999999999995</v>
      </c>
      <c r="E82" s="65">
        <v>200</v>
      </c>
    </row>
    <row r="83" spans="1:5" x14ac:dyDescent="0.2">
      <c r="A83" t="s">
        <v>235</v>
      </c>
      <c r="B83" t="str">
        <f>IFERROR(MID(A83,FIND(CHAR(10),A83)+1,3),"")</f>
        <v>POL</v>
      </c>
      <c r="C83" t="str">
        <f t="shared" si="8"/>
        <v>(CCS) POL SPS</v>
      </c>
      <c r="D83">
        <f>ROUND(0.295*102.5%,3)</f>
        <v>0.30199999999999999</v>
      </c>
      <c r="E83" s="65">
        <v>200</v>
      </c>
    </row>
    <row r="84" spans="1:5" x14ac:dyDescent="0.2">
      <c r="A84" s="53" t="s">
        <v>236</v>
      </c>
      <c r="B84" s="53"/>
      <c r="C84" s="53" t="str">
        <f t="shared" si="8"/>
        <v>COO CS Internal Other entities</v>
      </c>
      <c r="D84" s="53" t="s">
        <v>1900</v>
      </c>
      <c r="E84" s="53" t="s">
        <v>1900</v>
      </c>
    </row>
    <row r="85" spans="1:5" x14ac:dyDescent="0.2">
      <c r="A85" t="s">
        <v>237</v>
      </c>
      <c r="B85" t="str">
        <f>IFERROR(MID(A85,FIND(CHAR(10),A85)+1,3),"")</f>
        <v>NLD</v>
      </c>
      <c r="C85" t="str">
        <f t="shared" si="8"/>
        <v>(CCS) NLD PSQ</v>
      </c>
      <c r="D85">
        <f>ROUND(0.5*102.5%,3)</f>
        <v>0.51300000000000001</v>
      </c>
      <c r="E85" s="65">
        <v>200</v>
      </c>
    </row>
    <row r="86" spans="1:5" x14ac:dyDescent="0.2">
      <c r="A86" t="s">
        <v>238</v>
      </c>
      <c r="B86" t="str">
        <f>IFERROR(MID(A86,FIND(CHAR(10),A86)+1,3),"")</f>
        <v>POL</v>
      </c>
      <c r="C86" t="str">
        <f t="shared" si="8"/>
        <v>(CCS) POL PSQ</v>
      </c>
      <c r="D86">
        <f>ROUND(0.295*102.5%,3)</f>
        <v>0.30199999999999999</v>
      </c>
      <c r="E86" s="65">
        <v>200</v>
      </c>
    </row>
    <row r="87" spans="1:5" x14ac:dyDescent="0.2">
      <c r="A87" t="s">
        <v>239</v>
      </c>
      <c r="B87" t="str">
        <f>IFERROR(MID(A87,FIND(CHAR(10),A87)+1,3),"")</f>
        <v>CZE</v>
      </c>
      <c r="C87" t="str">
        <f t="shared" si="8"/>
        <v>(CCS) CZE Cataps</v>
      </c>
      <c r="D87">
        <f>ROUND(0.201*102.5%,3)</f>
        <v>0.20599999999999999</v>
      </c>
      <c r="E87" s="65">
        <v>200</v>
      </c>
    </row>
    <row r="88" spans="1:5" x14ac:dyDescent="0.2">
      <c r="A88" s="53" t="s">
        <v>240</v>
      </c>
      <c r="B88" s="53"/>
      <c r="C88" s="53" t="str">
        <f t="shared" si="8"/>
        <v>COO BSA Internal all entities</v>
      </c>
      <c r="D88" s="53" t="s">
        <v>1900</v>
      </c>
      <c r="E88" s="53" t="s">
        <v>1900</v>
      </c>
    </row>
    <row r="89" spans="1:5" ht="13.5" customHeight="1" x14ac:dyDescent="0.2">
      <c r="A89" t="s">
        <v>241</v>
      </c>
      <c r="B89" t="str">
        <f t="shared" ref="B89:B95" si="9">IFERROR(MID(A89,FIND(CHAR(10),A89)+1,3),"")</f>
        <v>BEL</v>
      </c>
      <c r="C89" t="str">
        <f t="shared" si="8"/>
        <v>(BSA) BEL WL</v>
      </c>
      <c r="D89" s="52">
        <f>ROUND(0.585*102.5%,3)</f>
        <v>0.6</v>
      </c>
      <c r="E89" s="65">
        <v>200</v>
      </c>
    </row>
    <row r="90" spans="1:5" x14ac:dyDescent="0.2">
      <c r="A90" t="s">
        <v>242</v>
      </c>
      <c r="B90" t="str">
        <f t="shared" si="9"/>
        <v>AUS</v>
      </c>
      <c r="C90" t="str">
        <f t="shared" si="8"/>
        <v>(BSA) AUS WL</v>
      </c>
      <c r="D90" s="52">
        <f>ROUND(0.5*102.5%,3)</f>
        <v>0.51300000000000001</v>
      </c>
      <c r="E90" s="65">
        <v>200</v>
      </c>
    </row>
    <row r="91" spans="1:5" x14ac:dyDescent="0.2">
      <c r="A91" t="s">
        <v>243</v>
      </c>
      <c r="B91" t="str">
        <f t="shared" si="9"/>
        <v>NLD</v>
      </c>
      <c r="C91" t="str">
        <f t="shared" si="8"/>
        <v>(BSA) NLD WL</v>
      </c>
      <c r="D91">
        <f>ROUND(0.5*102.5%,3)</f>
        <v>0.51300000000000001</v>
      </c>
      <c r="E91" s="65">
        <v>200</v>
      </c>
    </row>
    <row r="92" spans="1:5" x14ac:dyDescent="0.2">
      <c r="A92" t="s">
        <v>244</v>
      </c>
      <c r="B92" t="str">
        <f t="shared" si="9"/>
        <v>CHE</v>
      </c>
      <c r="C92" t="str">
        <f t="shared" si="8"/>
        <v>(BSA) CHE SPS</v>
      </c>
      <c r="D92" s="52">
        <f>ROUND(0.976*102.5%,3)</f>
        <v>1</v>
      </c>
      <c r="E92" s="65">
        <v>200</v>
      </c>
    </row>
    <row r="93" spans="1:5" x14ac:dyDescent="0.2">
      <c r="A93" t="s">
        <v>245</v>
      </c>
      <c r="B93" t="str">
        <f t="shared" si="9"/>
        <v>POL</v>
      </c>
      <c r="C93" t="str">
        <f t="shared" si="8"/>
        <v>(BSA) POL</v>
      </c>
      <c r="D93">
        <f>ROUND(0.295*102.5%,3)</f>
        <v>0.30199999999999999</v>
      </c>
      <c r="E93" s="65">
        <v>200</v>
      </c>
    </row>
    <row r="94" spans="1:5" x14ac:dyDescent="0.2">
      <c r="A94" t="s">
        <v>246</v>
      </c>
      <c r="B94" t="str">
        <f t="shared" si="9"/>
        <v>FRA</v>
      </c>
      <c r="C94" t="str">
        <f t="shared" si="8"/>
        <v>(BSA) FRA</v>
      </c>
      <c r="D94">
        <f>ROUND(0.475*102.5%,3)</f>
        <v>0.48699999999999999</v>
      </c>
      <c r="E94" s="65">
        <v>200</v>
      </c>
    </row>
    <row r="95" spans="1:5" x14ac:dyDescent="0.2">
      <c r="A95" t="s">
        <v>247</v>
      </c>
      <c r="B95" t="str">
        <f t="shared" si="9"/>
        <v>GER</v>
      </c>
      <c r="C95" t="str">
        <f t="shared" si="8"/>
        <v>(BSA) GER</v>
      </c>
      <c r="D95">
        <f>ROUND(0.48*102.5%,3)</f>
        <v>0.49199999999999999</v>
      </c>
      <c r="E95" s="65">
        <v>200</v>
      </c>
    </row>
    <row r="96" spans="1:5" x14ac:dyDescent="0.2">
      <c r="A96" s="53" t="s">
        <v>248</v>
      </c>
      <c r="B96" s="53"/>
      <c r="C96" s="53" t="str">
        <f t="shared" si="8"/>
        <v>Chief Market Officer Internal all entities</v>
      </c>
      <c r="D96" s="53" t="s">
        <v>1900</v>
      </c>
      <c r="E96" s="53" t="s">
        <v>1900</v>
      </c>
    </row>
    <row r="97" spans="1:6" x14ac:dyDescent="0.2">
      <c r="A97" t="s">
        <v>249</v>
      </c>
      <c r="B97" t="str">
        <f>IFERROR(MID(A97,FIND(CHAR(10),A97)+1,3),"")</f>
        <v>All</v>
      </c>
      <c r="C97" t="str">
        <f t="shared" si="8"/>
        <v>(CMA) All any entity</v>
      </c>
      <c r="D97">
        <f>ROUND(0.585*102.5%,3)</f>
        <v>0.6</v>
      </c>
      <c r="E97" s="65">
        <v>200</v>
      </c>
    </row>
    <row r="98" spans="1:6" x14ac:dyDescent="0.2">
      <c r="A98" s="53" t="s">
        <v>250</v>
      </c>
      <c r="B98" s="53" t="str">
        <f t="shared" ref="B98:B99" si="10">IFERROR(MID(A98,FIND(CHAR(10),A98)+1,3),"")</f>
        <v>Int</v>
      </c>
      <c r="C98" s="53" t="str">
        <f t="shared" si="8"/>
        <v>GTM FI Internal all entities</v>
      </c>
      <c r="D98" s="53" t="s">
        <v>1900</v>
      </c>
      <c r="E98" s="53" t="s">
        <v>1900</v>
      </c>
    </row>
    <row r="99" spans="1:6" x14ac:dyDescent="0.2">
      <c r="A99" t="s">
        <v>251</v>
      </c>
      <c r="B99" t="str">
        <f t="shared" si="10"/>
        <v>All</v>
      </c>
      <c r="C99" t="str">
        <f t="shared" si="8"/>
        <v>(GTM) All any entity</v>
      </c>
      <c r="D99" s="54">
        <v>0.51300000000000001</v>
      </c>
      <c r="E99" s="65">
        <v>200</v>
      </c>
    </row>
    <row r="100" spans="1:6" x14ac:dyDescent="0.2">
      <c r="A100" s="53" t="s">
        <v>252</v>
      </c>
      <c r="B100" s="53"/>
      <c r="C100" s="53" t="str">
        <f t="shared" si="8"/>
        <v>Financial Services Outsourced all entities</v>
      </c>
      <c r="D100" s="53" t="s">
        <v>1900</v>
      </c>
      <c r="E100" s="53" t="s">
        <v>1900</v>
      </c>
    </row>
    <row r="101" spans="1:6" x14ac:dyDescent="0.2">
      <c r="A101" t="s">
        <v>254</v>
      </c>
      <c r="B101" t="str">
        <f>IFERROR(MID(A101,FIND(CHAR(10),A101)+1,3),"")</f>
        <v>BEL</v>
      </c>
      <c r="C101" t="str">
        <f t="shared" si="8"/>
        <v>(FIS) BEL eWL</v>
      </c>
      <c r="D101">
        <f>ROUND(0.582*112.5%,3)</f>
        <v>0.65500000000000003</v>
      </c>
      <c r="E101" s="65">
        <v>200</v>
      </c>
      <c r="F101" t="s">
        <v>1903</v>
      </c>
    </row>
    <row r="102" spans="1:6" x14ac:dyDescent="0.2">
      <c r="A102" t="s">
        <v>255</v>
      </c>
      <c r="B102" t="str">
        <f>IFERROR(MID(A102,FIND(CHAR(10),A102)+1,3),"")</f>
        <v>FRA</v>
      </c>
      <c r="C102" t="str">
        <f t="shared" si="8"/>
        <v>(FIS) FRA eWL</v>
      </c>
      <c r="D102">
        <f>ROUND(0.475*112.5%,3)</f>
        <v>0.53400000000000003</v>
      </c>
      <c r="E102" s="65">
        <v>200</v>
      </c>
      <c r="F102" t="s">
        <v>1903</v>
      </c>
    </row>
    <row r="103" spans="1:6" x14ac:dyDescent="0.2">
      <c r="A103" t="s">
        <v>256</v>
      </c>
      <c r="B103" t="str">
        <f>IFERROR(MID(A103,FIND(CHAR(10),A103)+1,3),"")</f>
        <v>NLD</v>
      </c>
      <c r="C103" t="str">
        <f t="shared" si="8"/>
        <v>(FIS) NLD eWL</v>
      </c>
      <c r="D103">
        <f>ROUND(0.5*112.5%,3)</f>
        <v>0.56299999999999994</v>
      </c>
      <c r="E103" s="65">
        <v>200</v>
      </c>
      <c r="F103" t="s">
        <v>1903</v>
      </c>
    </row>
    <row r="104" spans="1:6" x14ac:dyDescent="0.2">
      <c r="A104" t="s">
        <v>257</v>
      </c>
      <c r="B104" t="str">
        <f>IFERROR(MID(A104,FIND(CHAR(10),A104)+1,3),"")</f>
        <v>GER</v>
      </c>
      <c r="C104" t="str">
        <f t="shared" si="8"/>
        <v>(FIS) GER eWL</v>
      </c>
      <c r="D104">
        <f>ROUND(0.539*112.5%,3)</f>
        <v>0.60599999999999998</v>
      </c>
      <c r="E104" s="65">
        <v>200</v>
      </c>
      <c r="F104" t="s">
        <v>1903</v>
      </c>
    </row>
    <row r="105" spans="1:6" x14ac:dyDescent="0.2">
      <c r="A105" t="s">
        <v>258</v>
      </c>
      <c r="B105" t="str">
        <f>IFERROR(MID(A105,FIND(CHAR(10),A105)+1,3),"")</f>
        <v>CHE</v>
      </c>
      <c r="C105" t="str">
        <f t="shared" si="8"/>
        <v>(FIS) CHE SPS FS</v>
      </c>
      <c r="D105">
        <f>ROUND(1.008*112.5%,3)</f>
        <v>1.1339999999999999</v>
      </c>
      <c r="E105" s="65">
        <v>200</v>
      </c>
      <c r="F105" t="s">
        <v>1903</v>
      </c>
    </row>
    <row r="106" spans="1:6" x14ac:dyDescent="0.2">
      <c r="A106" s="53" t="s">
        <v>265</v>
      </c>
      <c r="B106" s="53"/>
      <c r="C106" s="53" t="str">
        <f t="shared" si="8"/>
        <v>Production Services Outsourced all entities</v>
      </c>
      <c r="D106" s="53" t="s">
        <v>1900</v>
      </c>
      <c r="E106" s="53" t="s">
        <v>1900</v>
      </c>
    </row>
    <row r="107" spans="1:6" x14ac:dyDescent="0.2">
      <c r="A107" t="s">
        <v>266</v>
      </c>
      <c r="B107" t="str">
        <f>IFERROR(MID(A107,FIND(CHAR(10),A107)+1,3),"")</f>
        <v>ALL</v>
      </c>
      <c r="C107" t="str">
        <f t="shared" si="8"/>
        <v>(PRD) ALL any entity</v>
      </c>
      <c r="D107">
        <f>ROUND(1*102.5%,3)</f>
        <v>1.0249999999999999</v>
      </c>
      <c r="E107" s="65">
        <v>200</v>
      </c>
    </row>
    <row r="108" spans="1:6" x14ac:dyDescent="0.2">
      <c r="A108" s="53" t="s">
        <v>267</v>
      </c>
      <c r="B108" s="53"/>
      <c r="C108" s="53" t="str">
        <f t="shared" si="8"/>
        <v>TSS Outsourced  all entities</v>
      </c>
      <c r="D108" s="53" t="s">
        <v>1900</v>
      </c>
      <c r="E108" s="53" t="s">
        <v>1900</v>
      </c>
    </row>
    <row r="109" spans="1:6" x14ac:dyDescent="0.2">
      <c r="A109" t="s">
        <v>269</v>
      </c>
      <c r="B109" t="str">
        <f>IFERROR(MID(A109,FIND(CHAR(10),A109)+1,3),"")</f>
        <v>ALL</v>
      </c>
      <c r="C109" t="str">
        <f t="shared" si="8"/>
        <v>(TSS) ALL any entity</v>
      </c>
      <c r="D109" s="54">
        <f>ROUND(0.555*102.5%,3)</f>
        <v>0.56899999999999995</v>
      </c>
      <c r="E109" s="66">
        <v>200</v>
      </c>
      <c r="F109" t="s">
        <v>1904</v>
      </c>
    </row>
    <row r="110" spans="1:6" x14ac:dyDescent="0.2">
      <c r="A110" t="s">
        <v>268</v>
      </c>
      <c r="B110" t="str">
        <f t="shared" ref="B110" si="11">IFERROR(MID(A110,FIND(CHAR(10),A110)+1,3),"")</f>
        <v>CHE</v>
      </c>
      <c r="C110" t="str">
        <f>SUBSTITUTE(A110,CHAR(10)," ")</f>
        <v>(TSS) CHE SPS</v>
      </c>
      <c r="D110" s="80">
        <f>ROUND(0.976*102.5%,3)</f>
        <v>1</v>
      </c>
      <c r="E110" s="66">
        <v>200</v>
      </c>
    </row>
    <row r="111" spans="1:6" x14ac:dyDescent="0.2">
      <c r="A111" s="53" t="s">
        <v>270</v>
      </c>
      <c r="B111" s="53"/>
      <c r="C111" s="53" t="str">
        <f t="shared" si="8"/>
        <v>MTS Outsourced all entities</v>
      </c>
      <c r="D111" s="53" t="s">
        <v>1900</v>
      </c>
      <c r="E111" s="53" t="s">
        <v>1900</v>
      </c>
    </row>
    <row r="112" spans="1:6" x14ac:dyDescent="0.2">
      <c r="A112" t="s">
        <v>271</v>
      </c>
      <c r="B112" t="str">
        <f>IFERROR(MID(A112,FIND(CHAR(10),A112)+1,3),"")</f>
        <v>ALL</v>
      </c>
      <c r="C112" t="str">
        <f t="shared" si="8"/>
        <v>(MTS) ALL any entity</v>
      </c>
      <c r="D112">
        <f>ROUND(0.55*102.5%,3)</f>
        <v>0.56399999999999995</v>
      </c>
      <c r="E112" s="65">
        <v>200</v>
      </c>
    </row>
    <row r="113" spans="1:6" x14ac:dyDescent="0.2">
      <c r="A113" s="53" t="s">
        <v>272</v>
      </c>
      <c r="B113" s="53"/>
      <c r="C113" s="53" t="str">
        <f t="shared" si="8"/>
        <v>Payone Outsourced all entities</v>
      </c>
      <c r="D113" s="53" t="s">
        <v>1900</v>
      </c>
      <c r="E113" s="53" t="s">
        <v>1900</v>
      </c>
    </row>
    <row r="114" spans="1:6" x14ac:dyDescent="0.2">
      <c r="A114" t="s">
        <v>273</v>
      </c>
      <c r="B114" t="str">
        <f>IFERROR(MID(A114,FIND(CHAR(10),A114)+1,3),"")</f>
        <v>ALL</v>
      </c>
      <c r="C114" t="str">
        <f t="shared" si="8"/>
        <v>(Payone) ALL any entity</v>
      </c>
      <c r="D114" s="54">
        <v>0.51300000000000001</v>
      </c>
      <c r="E114" s="66">
        <v>200</v>
      </c>
      <c r="F114" t="s">
        <v>1904</v>
      </c>
    </row>
    <row r="115" spans="1:6" x14ac:dyDescent="0.2">
      <c r="A115" s="53" t="s">
        <v>274</v>
      </c>
      <c r="B115" s="53"/>
      <c r="C115" s="53" t="str">
        <f t="shared" si="8"/>
        <v>Cash Out OPEX Suppliers</v>
      </c>
      <c r="D115" s="53" t="s">
        <v>1900</v>
      </c>
      <c r="E115" s="53" t="s">
        <v>1900</v>
      </c>
    </row>
    <row r="116" spans="1:6" x14ac:dyDescent="0.2">
      <c r="A116" t="s">
        <v>1595</v>
      </c>
      <c r="B116" t="str">
        <f t="shared" ref="B116:B124" si="12">IFERROR(MID(A116,FIND(CHAR(10),A116)+1,3),"")</f>
        <v>All</v>
      </c>
      <c r="C116" t="str">
        <f t="shared" si="8"/>
        <v>(OPX) All SubCo Fix price (K€)</v>
      </c>
      <c r="D116">
        <f>ROUND(1*102.5%,3)</f>
        <v>1.0249999999999999</v>
      </c>
      <c r="E116" s="65">
        <v>200</v>
      </c>
      <c r="F116" t="s">
        <v>1905</v>
      </c>
    </row>
    <row r="117" spans="1:6" x14ac:dyDescent="0.2">
      <c r="A117" t="s">
        <v>277</v>
      </c>
      <c r="B117" t="str">
        <f t="shared" si="12"/>
        <v>All</v>
      </c>
      <c r="C117" t="str">
        <f t="shared" si="8"/>
        <v>(OPX) All Subco T&amp;M 1000</v>
      </c>
      <c r="D117">
        <f>ROUND(1*102.5%,3)</f>
        <v>1.0249999999999999</v>
      </c>
      <c r="E117" s="65">
        <v>200</v>
      </c>
    </row>
    <row r="118" spans="1:6" x14ac:dyDescent="0.2">
      <c r="A118" t="s">
        <v>278</v>
      </c>
      <c r="B118" t="str">
        <f t="shared" si="12"/>
        <v>All</v>
      </c>
      <c r="C118" t="str">
        <f t="shared" si="8"/>
        <v>(OPX) All Subco T&amp;M 700</v>
      </c>
      <c r="D118">
        <f>ROUND(0.7*102.5%,3)</f>
        <v>0.71799999999999997</v>
      </c>
      <c r="E118" s="65">
        <v>200</v>
      </c>
    </row>
    <row r="119" spans="1:6" x14ac:dyDescent="0.2">
      <c r="A119" t="s">
        <v>279</v>
      </c>
      <c r="B119" t="str">
        <f t="shared" si="12"/>
        <v>All</v>
      </c>
      <c r="C119" t="str">
        <f t="shared" si="8"/>
        <v>(OPX) All Subco T&amp;M 470</v>
      </c>
      <c r="D119">
        <f>ROUND(0.47*102.5%,3)</f>
        <v>0.48199999999999998</v>
      </c>
      <c r="E119" s="65">
        <v>200</v>
      </c>
    </row>
    <row r="120" spans="1:6" x14ac:dyDescent="0.2">
      <c r="A120" t="s">
        <v>280</v>
      </c>
      <c r="B120" t="str">
        <f t="shared" si="12"/>
        <v>MAR</v>
      </c>
      <c r="C120" t="str">
        <f t="shared" si="8"/>
        <v>(OPX) MAR Morocco</v>
      </c>
      <c r="D120">
        <f>ROUND(0.288*102.5%,3)</f>
        <v>0.29499999999999998</v>
      </c>
      <c r="E120" s="65">
        <v>200</v>
      </c>
    </row>
    <row r="121" spans="1:6" x14ac:dyDescent="0.2">
      <c r="A121" t="s">
        <v>281</v>
      </c>
      <c r="B121" t="str">
        <f t="shared" si="12"/>
        <v>IND</v>
      </c>
      <c r="C121" t="str">
        <f t="shared" si="8"/>
        <v>(OPX) IND Cybage</v>
      </c>
      <c r="D121">
        <f>ROUND(0.092*102.5%,3)</f>
        <v>9.4E-2</v>
      </c>
      <c r="E121" s="65">
        <v>200</v>
      </c>
    </row>
    <row r="122" spans="1:6" x14ac:dyDescent="0.2">
      <c r="A122" t="s">
        <v>282</v>
      </c>
      <c r="B122" t="str">
        <f t="shared" si="12"/>
        <v>IND</v>
      </c>
      <c r="C122" t="str">
        <f t="shared" si="8"/>
        <v>(OPX) IND India</v>
      </c>
      <c r="D122">
        <f>ROUND(0.092*102.5%,3)</f>
        <v>9.4E-2</v>
      </c>
      <c r="E122" s="65">
        <v>200</v>
      </c>
    </row>
    <row r="123" spans="1:6" x14ac:dyDescent="0.2">
      <c r="A123" t="s">
        <v>283</v>
      </c>
      <c r="B123" t="str">
        <f t="shared" si="12"/>
        <v>BUL</v>
      </c>
      <c r="C123" t="str">
        <f t="shared" si="8"/>
        <v>(OPX) BUL Bulgaria</v>
      </c>
      <c r="D123">
        <f>ROUND(0.201*102.5%,3)</f>
        <v>0.20599999999999999</v>
      </c>
      <c r="E123" s="65">
        <v>200</v>
      </c>
    </row>
    <row r="124" spans="1:6" x14ac:dyDescent="0.2">
      <c r="A124" t="s">
        <v>284</v>
      </c>
      <c r="B124" t="str">
        <f t="shared" si="12"/>
        <v>ARM</v>
      </c>
      <c r="C124" t="str">
        <f t="shared" si="8"/>
        <v>(OPX) ARM Armenia</v>
      </c>
      <c r="D124">
        <f>ROUND(0.19*102.5%,3)</f>
        <v>0.19500000000000001</v>
      </c>
      <c r="E124" s="65">
        <v>200</v>
      </c>
    </row>
    <row r="125" spans="1:6" x14ac:dyDescent="0.2">
      <c r="A125" s="53" t="s">
        <v>288</v>
      </c>
      <c r="B125" s="53"/>
      <c r="C125" s="53" t="str">
        <f t="shared" si="8"/>
        <v>Non MS/Not listed Entities</v>
      </c>
      <c r="D125" s="53"/>
      <c r="E125" s="53"/>
    </row>
    <row r="126" spans="1:6" x14ac:dyDescent="0.2">
      <c r="A126" t="s">
        <v>289</v>
      </c>
      <c r="B126" t="str">
        <f t="shared" ref="B126:B128" si="13">IFERROR(MID(A126,FIND(CHAR(10),A126)+1,3),"")</f>
        <v>ALL</v>
      </c>
      <c r="C126" t="str">
        <f t="shared" si="8"/>
        <v>(NMS) ALL Direct</v>
      </c>
      <c r="D126" s="54">
        <v>0.51300000000000001</v>
      </c>
      <c r="E126" s="66">
        <v>0</v>
      </c>
      <c r="F126" t="s">
        <v>1906</v>
      </c>
    </row>
    <row r="127" spans="1:6" x14ac:dyDescent="0.2">
      <c r="A127" t="s">
        <v>290</v>
      </c>
      <c r="B127" t="str">
        <f t="shared" si="13"/>
        <v>ALL</v>
      </c>
      <c r="C127" t="str">
        <f t="shared" si="8"/>
        <v>(NMS) ALL Indirect</v>
      </c>
      <c r="D127" s="54">
        <v>0</v>
      </c>
      <c r="E127" s="66">
        <v>0</v>
      </c>
      <c r="F127" t="s">
        <v>1906</v>
      </c>
    </row>
    <row r="128" spans="1:6" x14ac:dyDescent="0.2">
      <c r="A128" t="s">
        <v>291</v>
      </c>
      <c r="B128" t="str">
        <f t="shared" si="13"/>
        <v>Non</v>
      </c>
      <c r="C128" t="str">
        <f t="shared" si="8"/>
        <v>(NMS) Non listed entities</v>
      </c>
      <c r="D128" s="54">
        <v>0.51300000000000001</v>
      </c>
      <c r="E128" s="66">
        <v>0</v>
      </c>
      <c r="F128" t="s">
        <v>1904</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3B56B-671C-4A79-8861-B55B5248F8BF}">
  <sheetPr>
    <tabColor rgb="FFFFC000"/>
  </sheetPr>
  <dimension ref="A1:AD404"/>
  <sheetViews>
    <sheetView workbookViewId="0">
      <pane xSplit="2" ySplit="1" topLeftCell="C2" activePane="bottomRight" state="frozen"/>
      <selection pane="topRight" activeCell="C1" sqref="C1"/>
      <selection pane="bottomLeft" activeCell="A2" sqref="A2"/>
      <selection pane="bottomRight" activeCell="B393" sqref="B393"/>
    </sheetView>
  </sheetViews>
  <sheetFormatPr baseColWidth="10" defaultColWidth="11" defaultRowHeight="14.25" x14ac:dyDescent="0.2"/>
  <cols>
    <col min="1" max="1" customWidth="true" style="103" width="15.875" collapsed="false"/>
    <col min="2" max="2" customWidth="true" style="103" width="45.125" collapsed="false"/>
    <col min="3" max="7" customWidth="true" style="103" width="5.0" collapsed="false"/>
    <col min="8" max="16" customWidth="true" style="103" width="3.625" collapsed="false"/>
    <col min="17" max="17" customWidth="true" style="118" width="3.625" collapsed="false"/>
    <col min="18" max="18" customWidth="true" style="118" width="16.5" collapsed="false"/>
    <col min="19" max="21" customWidth="true" style="103" width="3.625" collapsed="false"/>
    <col min="22" max="22" bestFit="true" customWidth="true" width="15.0" collapsed="false"/>
    <col min="23" max="23" bestFit="true" customWidth="true" width="14.875" collapsed="false"/>
    <col min="24" max="24" bestFit="true" customWidth="true" width="10.625" collapsed="false"/>
    <col min="25" max="25" bestFit="true" customWidth="true" width="15.0" collapsed="false"/>
    <col min="26" max="27" style="76" width="11.0" collapsed="false"/>
    <col min="29" max="29" bestFit="true" customWidth="true" width="11.125" collapsed="false"/>
    <col min="30" max="30" bestFit="true" customWidth="true" width="14.875" collapsed="false"/>
  </cols>
  <sheetData>
    <row r="1" spans="1:30" ht="15" x14ac:dyDescent="0.25">
      <c r="A1" s="105" t="s">
        <v>12</v>
      </c>
      <c r="B1" s="105" t="s">
        <v>1907</v>
      </c>
      <c r="C1" s="105" t="s">
        <v>39</v>
      </c>
      <c r="D1" s="105" t="s">
        <v>1908</v>
      </c>
      <c r="E1" s="105" t="s">
        <v>1909</v>
      </c>
      <c r="F1" s="105" t="s">
        <v>1910</v>
      </c>
      <c r="G1" s="105" t="s">
        <v>1911</v>
      </c>
      <c r="H1" s="105" t="s">
        <v>1912</v>
      </c>
      <c r="I1" s="105" t="s">
        <v>1913</v>
      </c>
      <c r="J1" s="105" t="s">
        <v>1914</v>
      </c>
      <c r="K1" s="105" t="s">
        <v>1915</v>
      </c>
      <c r="L1" s="105" t="s">
        <v>1916</v>
      </c>
      <c r="M1" s="105" t="s">
        <v>1917</v>
      </c>
      <c r="N1" s="105" t="s">
        <v>63</v>
      </c>
      <c r="O1" s="105" t="s">
        <v>1918</v>
      </c>
      <c r="P1" s="105" t="s">
        <v>1919</v>
      </c>
      <c r="Q1" s="117" t="s">
        <v>1920</v>
      </c>
      <c r="R1" s="117" t="s">
        <v>1921</v>
      </c>
      <c r="S1" s="105" t="s">
        <v>1922</v>
      </c>
      <c r="T1" s="105" t="s">
        <v>1923</v>
      </c>
      <c r="U1" s="105" t="s">
        <v>1924</v>
      </c>
      <c r="V1" s="69" t="s">
        <v>1925</v>
      </c>
      <c r="W1" s="69" t="s">
        <v>1926</v>
      </c>
      <c r="X1" s="69" t="s">
        <v>1927</v>
      </c>
      <c r="Y1" s="69" t="s">
        <v>1928</v>
      </c>
      <c r="Z1" s="70" t="s">
        <v>1929</v>
      </c>
      <c r="AA1" s="69" t="s">
        <v>1930</v>
      </c>
      <c r="AC1" s="71" t="s">
        <v>1931</v>
      </c>
      <c r="AD1" s="72">
        <v>44487.677083333336</v>
      </c>
    </row>
    <row r="2" spans="1:30" x14ac:dyDescent="0.2">
      <c r="A2" s="103" t="s">
        <v>1602</v>
      </c>
      <c r="B2" s="103" t="s">
        <v>306</v>
      </c>
      <c r="D2" s="103">
        <v>0</v>
      </c>
      <c r="E2" s="103">
        <v>0</v>
      </c>
      <c r="F2" s="103">
        <v>0</v>
      </c>
      <c r="G2" s="103">
        <v>0</v>
      </c>
      <c r="H2" s="103" t="s">
        <v>1603</v>
      </c>
      <c r="I2" s="103" t="s">
        <v>1597</v>
      </c>
      <c r="J2" s="103" t="s">
        <v>732</v>
      </c>
      <c r="K2" s="103" t="s">
        <v>810</v>
      </c>
      <c r="L2" s="103" t="s">
        <v>53</v>
      </c>
      <c r="M2" s="103" t="s">
        <v>41</v>
      </c>
      <c r="N2" s="103" t="s">
        <v>71</v>
      </c>
      <c r="Q2" s="118" t="s">
        <v>3851</v>
      </c>
      <c r="R2" s="118" t="s">
        <v>1605</v>
      </c>
      <c r="U2" s="103">
        <v>0</v>
      </c>
      <c r="V2" s="73" t="str">
        <f>_xlfn.XLOOKUP(B2,'Non-Projects (RUN-BAU)'!C:C,'Non-Projects (RUN-BAU)'!B:B,"",0)</f>
        <v/>
      </c>
      <c r="W2" s="73" t="str">
        <f>_xlfn.XLOOKUP(A2,'Ongoing Projects'!B:B,'Ongoing Projects'!B:B,"",0)</f>
        <v/>
      </c>
      <c r="X2" s="73" t="str">
        <f>_xlfn.XLOOKUP(B2,'New Projects'!D:D,'New Projects'!C:C,"",0)</f>
        <v/>
      </c>
      <c r="Y2" s="73" t="str">
        <f t="shared" ref="Y2:Y66" si="0">V2&amp;W2&amp;X2</f>
        <v/>
      </c>
      <c r="Z2" s="74" t="str">
        <f>IF(AND(V2="",W2="",X2=""),"Missing",IF(Y2=A2,"","Don't match"))</f>
        <v>Missing</v>
      </c>
      <c r="AA2" s="74" t="str">
        <f>IF(AND(Z2&lt;&gt;"",SUM(D2:G2)&lt;&gt;0,I2&lt;&gt;"Not Acceptance"),"Critical", "")</f>
        <v/>
      </c>
    </row>
    <row r="3" spans="1:30" ht="15" x14ac:dyDescent="0.25">
      <c r="A3" s="103" t="s">
        <v>1612</v>
      </c>
      <c r="B3" s="103" t="s">
        <v>330</v>
      </c>
      <c r="D3" s="103">
        <v>0</v>
      </c>
      <c r="E3" s="103">
        <v>0</v>
      </c>
      <c r="F3" s="103">
        <v>0</v>
      </c>
      <c r="G3" s="103">
        <v>0</v>
      </c>
      <c r="L3" s="103" t="s">
        <v>57</v>
      </c>
      <c r="M3" s="103" t="s">
        <v>41</v>
      </c>
      <c r="N3" s="103" t="s">
        <v>95</v>
      </c>
      <c r="Q3" s="118" t="s">
        <v>3851</v>
      </c>
      <c r="R3" s="118" t="s">
        <v>1599</v>
      </c>
      <c r="U3" s="103">
        <v>0</v>
      </c>
      <c r="V3" s="73" t="str">
        <f>_xlfn.XLOOKUP(B3,'Non-Projects (RUN-BAU)'!C:C,'Non-Projects (RUN-BAU)'!B:B,"",0)</f>
        <v/>
      </c>
      <c r="W3" s="73" t="str">
        <f>_xlfn.XLOOKUP(A3,'Ongoing Projects'!B:B,'Ongoing Projects'!B:B,"",0)</f>
        <v/>
      </c>
      <c r="X3" s="73" t="str">
        <f>_xlfn.XLOOKUP(B3,'New Projects'!D:D,'New Projects'!C:C,"",0)</f>
        <v/>
      </c>
      <c r="Y3" s="73" t="str">
        <f t="shared" si="0"/>
        <v/>
      </c>
      <c r="Z3" s="74" t="str">
        <f t="shared" ref="Z3:Z66" si="1">IF(AND(V3="",W3="",X3=""),"Missing",IF(Y3=A3,"","Don't match"))</f>
        <v>Missing</v>
      </c>
      <c r="AA3" s="74" t="str">
        <f t="shared" ref="AA3:AA66" si="2">IF(AND(Z3&lt;&gt;"",SUM(D3:G3)&lt;&gt;0,I3&lt;&gt;"Not Acceptance"),"Critical", "")</f>
        <v/>
      </c>
      <c r="AC3" s="71" t="s">
        <v>1932</v>
      </c>
      <c r="AD3" s="75">
        <f>COUNTIF(AA:AA,"Critical")-1</f>
        <v>337</v>
      </c>
    </row>
    <row r="4" spans="1:30" x14ac:dyDescent="0.2">
      <c r="A4" s="103" t="s">
        <v>1613</v>
      </c>
      <c r="B4" s="103" t="s">
        <v>337</v>
      </c>
      <c r="D4" s="103">
        <v>310</v>
      </c>
      <c r="E4" s="103">
        <v>0</v>
      </c>
      <c r="F4" s="103">
        <v>0</v>
      </c>
      <c r="G4" s="103">
        <v>0</v>
      </c>
      <c r="H4" s="103" t="s">
        <v>1232</v>
      </c>
      <c r="I4" s="103" t="s">
        <v>1614</v>
      </c>
      <c r="J4" s="103" t="s">
        <v>13</v>
      </c>
      <c r="K4" s="103" t="s">
        <v>1284</v>
      </c>
      <c r="L4" s="103" t="s">
        <v>46</v>
      </c>
      <c r="M4" s="103" t="s">
        <v>22</v>
      </c>
      <c r="N4" s="103" t="s">
        <v>64</v>
      </c>
      <c r="P4" s="103" t="s">
        <v>1615</v>
      </c>
      <c r="Q4" s="118" t="s">
        <v>1598</v>
      </c>
      <c r="R4" s="118" t="s">
        <v>1610</v>
      </c>
      <c r="U4" s="103">
        <v>0</v>
      </c>
      <c r="V4" s="73" t="str">
        <f>_xlfn.XLOOKUP(B4,'Non-Projects (RUN-BAU)'!C:C,'Non-Projects (RUN-BAU)'!B:B,"",0)</f>
        <v/>
      </c>
      <c r="W4" s="73" t="str">
        <f>_xlfn.XLOOKUP(A4,'Ongoing Projects'!B:B,'Ongoing Projects'!B:B,"",0)</f>
        <v/>
      </c>
      <c r="X4" s="73" t="str">
        <f>_xlfn.XLOOKUP(B4,'New Projects'!D:D,'New Projects'!C:C,"",0)</f>
        <v/>
      </c>
      <c r="Y4" s="73" t="str">
        <f t="shared" si="0"/>
        <v/>
      </c>
      <c r="Z4" s="74" t="str">
        <f t="shared" si="1"/>
        <v>Missing</v>
      </c>
      <c r="AA4" s="74" t="str">
        <f t="shared" si="2"/>
        <v>Critical</v>
      </c>
    </row>
    <row r="5" spans="1:30" x14ac:dyDescent="0.2">
      <c r="A5" s="103" t="s">
        <v>1616</v>
      </c>
      <c r="B5" s="103" t="s">
        <v>338</v>
      </c>
      <c r="C5" s="103" t="s">
        <v>1933</v>
      </c>
      <c r="D5" s="103">
        <v>425</v>
      </c>
      <c r="E5" s="103">
        <v>130</v>
      </c>
      <c r="F5" s="103">
        <v>0</v>
      </c>
      <c r="G5" s="103">
        <v>0</v>
      </c>
      <c r="H5" s="103" t="s">
        <v>1617</v>
      </c>
      <c r="I5" s="103" t="s">
        <v>1614</v>
      </c>
      <c r="J5" s="103" t="s">
        <v>13</v>
      </c>
      <c r="K5" s="103" t="s">
        <v>1284</v>
      </c>
      <c r="L5" s="103" t="s">
        <v>46</v>
      </c>
      <c r="M5" s="103" t="s">
        <v>22</v>
      </c>
      <c r="N5" s="103" t="s">
        <v>64</v>
      </c>
      <c r="P5" s="103" t="s">
        <v>1615</v>
      </c>
      <c r="Q5" s="118" t="s">
        <v>1598</v>
      </c>
      <c r="R5" s="118" t="s">
        <v>1606</v>
      </c>
      <c r="U5" s="103">
        <v>0</v>
      </c>
      <c r="V5" s="73" t="str">
        <f>_xlfn.XLOOKUP(B5,'Non-Projects (RUN-BAU)'!C:C,'Non-Projects (RUN-BAU)'!B:B,"",0)</f>
        <v/>
      </c>
      <c r="W5" s="73" t="str">
        <f>_xlfn.XLOOKUP(A5,'Ongoing Projects'!B:B,'Ongoing Projects'!B:B,"",0)</f>
        <v/>
      </c>
      <c r="X5" s="73" t="str">
        <f>_xlfn.XLOOKUP(B5,'New Projects'!D:D,'New Projects'!C:C,"",0)</f>
        <v/>
      </c>
      <c r="Y5" s="73" t="str">
        <f t="shared" si="0"/>
        <v/>
      </c>
      <c r="Z5" s="74" t="str">
        <f t="shared" si="1"/>
        <v>Missing</v>
      </c>
      <c r="AA5" s="74" t="str">
        <f t="shared" si="2"/>
        <v>Critical</v>
      </c>
    </row>
    <row r="6" spans="1:30" x14ac:dyDescent="0.2">
      <c r="A6" s="103" t="s">
        <v>1619</v>
      </c>
      <c r="B6" s="103" t="s">
        <v>341</v>
      </c>
      <c r="D6" s="103">
        <v>0</v>
      </c>
      <c r="E6" s="103">
        <v>120</v>
      </c>
      <c r="F6" s="103">
        <v>0</v>
      </c>
      <c r="G6" s="103">
        <v>0</v>
      </c>
      <c r="H6" s="103" t="s">
        <v>985</v>
      </c>
      <c r="I6" s="103" t="s">
        <v>1614</v>
      </c>
      <c r="J6" s="103" t="s">
        <v>13</v>
      </c>
      <c r="K6" s="103" t="s">
        <v>1284</v>
      </c>
      <c r="L6" s="103" t="s">
        <v>46</v>
      </c>
      <c r="M6" s="103" t="s">
        <v>22</v>
      </c>
      <c r="N6" s="103" t="s">
        <v>64</v>
      </c>
      <c r="P6" s="103" t="s">
        <v>1615</v>
      </c>
      <c r="Q6" s="118" t="s">
        <v>1601</v>
      </c>
      <c r="R6" s="118" t="s">
        <v>1606</v>
      </c>
      <c r="U6" s="103">
        <v>0</v>
      </c>
      <c r="V6" s="73" t="str">
        <f>_xlfn.XLOOKUP(B6,'Non-Projects (RUN-BAU)'!C:C,'Non-Projects (RUN-BAU)'!B:B,"",0)</f>
        <v/>
      </c>
      <c r="W6" s="73" t="str">
        <f>_xlfn.XLOOKUP(A6,'Ongoing Projects'!B:B,'Ongoing Projects'!B:B,"",0)</f>
        <v/>
      </c>
      <c r="X6" s="73" t="str">
        <f>_xlfn.XLOOKUP(B6,'New Projects'!D:D,'New Projects'!C:C,"",0)</f>
        <v/>
      </c>
      <c r="Y6" s="73" t="str">
        <f t="shared" si="0"/>
        <v/>
      </c>
      <c r="Z6" s="74" t="str">
        <f t="shared" si="1"/>
        <v>Missing</v>
      </c>
      <c r="AA6" s="74" t="str">
        <f t="shared" si="2"/>
        <v>Critical</v>
      </c>
    </row>
    <row r="7" spans="1:30" x14ac:dyDescent="0.2">
      <c r="A7" s="103" t="s">
        <v>1621</v>
      </c>
      <c r="B7" s="103" t="s">
        <v>347</v>
      </c>
      <c r="D7" s="103">
        <v>0</v>
      </c>
      <c r="E7" s="103">
        <v>0</v>
      </c>
      <c r="F7" s="103">
        <v>0</v>
      </c>
      <c r="G7" s="103">
        <v>0</v>
      </c>
      <c r="H7" s="103" t="s">
        <v>1622</v>
      </c>
      <c r="I7" s="103" t="s">
        <v>345</v>
      </c>
      <c r="J7" s="103" t="s">
        <v>13</v>
      </c>
      <c r="K7" s="103" t="s">
        <v>1241</v>
      </c>
      <c r="L7" s="103" t="s">
        <v>46</v>
      </c>
      <c r="M7" s="103" t="s">
        <v>41</v>
      </c>
      <c r="N7" s="103" t="s">
        <v>74</v>
      </c>
      <c r="Q7" s="118" t="s">
        <v>3851</v>
      </c>
      <c r="R7" s="118" t="s">
        <v>1605</v>
      </c>
      <c r="U7" s="103">
        <v>0</v>
      </c>
      <c r="V7" s="73" t="str">
        <f>_xlfn.XLOOKUP(B7,'Non-Projects (RUN-BAU)'!C:C,'Non-Projects (RUN-BAU)'!B:B,"",0)</f>
        <v/>
      </c>
      <c r="W7" s="73" t="str">
        <f>_xlfn.XLOOKUP(A7,'Ongoing Projects'!B:B,'Ongoing Projects'!B:B,"",0)</f>
        <v/>
      </c>
      <c r="X7" s="73" t="str">
        <f>_xlfn.XLOOKUP(B7,'New Projects'!D:D,'New Projects'!C:C,"",0)</f>
        <v/>
      </c>
      <c r="Y7" s="73" t="str">
        <f t="shared" si="0"/>
        <v/>
      </c>
      <c r="Z7" s="74" t="str">
        <f t="shared" si="1"/>
        <v>Missing</v>
      </c>
      <c r="AA7" s="74" t="str">
        <f t="shared" si="2"/>
        <v/>
      </c>
    </row>
    <row r="8" spans="1:30" x14ac:dyDescent="0.2">
      <c r="A8" s="103" t="s">
        <v>1625</v>
      </c>
      <c r="B8" s="103" t="s">
        <v>355</v>
      </c>
      <c r="D8" s="103">
        <v>0</v>
      </c>
      <c r="E8" s="103">
        <v>150</v>
      </c>
      <c r="F8" s="103">
        <v>200</v>
      </c>
      <c r="G8" s="103">
        <v>200</v>
      </c>
      <c r="H8" s="103" t="s">
        <v>811</v>
      </c>
      <c r="I8" s="103" t="s">
        <v>1597</v>
      </c>
      <c r="J8" s="103" t="s">
        <v>23</v>
      </c>
      <c r="K8" s="103" t="s">
        <v>810</v>
      </c>
      <c r="L8" s="103" t="s">
        <v>51</v>
      </c>
      <c r="M8" s="103" t="s">
        <v>43</v>
      </c>
      <c r="N8" s="103" t="s">
        <v>71</v>
      </c>
      <c r="O8" s="103" t="s">
        <v>779</v>
      </c>
      <c r="Q8" s="118" t="s">
        <v>1601</v>
      </c>
      <c r="R8" s="118" t="s">
        <v>1599</v>
      </c>
      <c r="U8" s="103">
        <v>0</v>
      </c>
      <c r="V8" s="73" t="str">
        <f>_xlfn.XLOOKUP(B8,'Non-Projects (RUN-BAU)'!C:C,'Non-Projects (RUN-BAU)'!B:B,"",0)</f>
        <v/>
      </c>
      <c r="W8" s="73" t="str">
        <f>_xlfn.XLOOKUP(A8,'Ongoing Projects'!B:B,'Ongoing Projects'!B:B,"",0)</f>
        <v/>
      </c>
      <c r="X8" s="73" t="str">
        <f>_xlfn.XLOOKUP(B8,'New Projects'!D:D,'New Projects'!C:C,"",0)</f>
        <v/>
      </c>
      <c r="Y8" s="73" t="str">
        <f t="shared" si="0"/>
        <v/>
      </c>
      <c r="Z8" s="74" t="str">
        <f t="shared" si="1"/>
        <v>Missing</v>
      </c>
      <c r="AA8" s="74" t="str">
        <f t="shared" si="2"/>
        <v>Critical</v>
      </c>
    </row>
    <row r="9" spans="1:30" x14ac:dyDescent="0.2">
      <c r="A9" s="103" t="s">
        <v>1630</v>
      </c>
      <c r="B9" s="103" t="s">
        <v>366</v>
      </c>
      <c r="D9" s="103">
        <v>0</v>
      </c>
      <c r="E9" s="103">
        <v>0</v>
      </c>
      <c r="F9" s="103">
        <v>0</v>
      </c>
      <c r="G9" s="103">
        <v>0</v>
      </c>
      <c r="H9" s="103" t="s">
        <v>771</v>
      </c>
      <c r="I9" s="103" t="s">
        <v>1597</v>
      </c>
      <c r="L9" s="103" t="s">
        <v>53</v>
      </c>
      <c r="M9" s="103" t="s">
        <v>41</v>
      </c>
      <c r="N9" s="103" t="s">
        <v>68</v>
      </c>
      <c r="Q9" s="118" t="s">
        <v>3851</v>
      </c>
      <c r="R9" s="118" t="s">
        <v>1599</v>
      </c>
      <c r="U9" s="103">
        <v>0</v>
      </c>
      <c r="V9" s="73" t="str">
        <f>_xlfn.XLOOKUP(B9,'Non-Projects (RUN-BAU)'!C:C,'Non-Projects (RUN-BAU)'!B:B,"",0)</f>
        <v/>
      </c>
      <c r="W9" s="73" t="str">
        <f>_xlfn.XLOOKUP(A9,'Ongoing Projects'!B:B,'Ongoing Projects'!B:B,"",0)</f>
        <v/>
      </c>
      <c r="X9" s="73" t="str">
        <f>_xlfn.XLOOKUP(B9,'New Projects'!D:D,'New Projects'!C:C,"",0)</f>
        <v/>
      </c>
      <c r="Y9" s="73" t="str">
        <f t="shared" si="0"/>
        <v/>
      </c>
      <c r="Z9" s="74" t="str">
        <f t="shared" si="1"/>
        <v>Missing</v>
      </c>
      <c r="AA9" s="74" t="str">
        <f t="shared" si="2"/>
        <v/>
      </c>
    </row>
    <row r="10" spans="1:30" x14ac:dyDescent="0.2">
      <c r="A10" s="103" t="s">
        <v>1633</v>
      </c>
      <c r="B10" s="103" t="s">
        <v>372</v>
      </c>
      <c r="D10" s="103">
        <v>0</v>
      </c>
      <c r="E10" s="103">
        <v>0</v>
      </c>
      <c r="F10" s="103">
        <v>0</v>
      </c>
      <c r="G10" s="103">
        <v>0</v>
      </c>
      <c r="H10" s="103" t="s">
        <v>1603</v>
      </c>
      <c r="I10" s="103" t="s">
        <v>1597</v>
      </c>
      <c r="J10" s="103" t="s">
        <v>889</v>
      </c>
      <c r="K10" s="103" t="s">
        <v>810</v>
      </c>
      <c r="L10" s="103" t="s">
        <v>53</v>
      </c>
      <c r="M10" s="103" t="s">
        <v>41</v>
      </c>
      <c r="N10" s="103" t="s">
        <v>71</v>
      </c>
      <c r="Q10" s="118" t="s">
        <v>3851</v>
      </c>
      <c r="R10" s="118" t="s">
        <v>1605</v>
      </c>
      <c r="U10" s="103">
        <v>0</v>
      </c>
      <c r="V10" s="73" t="str">
        <f>_xlfn.XLOOKUP(B10,'Non-Projects (RUN-BAU)'!C:C,'Non-Projects (RUN-BAU)'!B:B,"",0)</f>
        <v/>
      </c>
      <c r="W10" s="73" t="str">
        <f>_xlfn.XLOOKUP(A10,'Ongoing Projects'!B:B,'Ongoing Projects'!B:B,"",0)</f>
        <v/>
      </c>
      <c r="X10" s="73" t="str">
        <f>_xlfn.XLOOKUP(B10,'New Projects'!D:D,'New Projects'!C:C,"",0)</f>
        <v/>
      </c>
      <c r="Y10" s="73" t="str">
        <f t="shared" si="0"/>
        <v/>
      </c>
      <c r="Z10" s="74" t="str">
        <f t="shared" si="1"/>
        <v>Missing</v>
      </c>
      <c r="AA10" s="74" t="str">
        <f t="shared" si="2"/>
        <v/>
      </c>
    </row>
    <row r="11" spans="1:30" x14ac:dyDescent="0.2">
      <c r="A11" s="103" t="s">
        <v>1636</v>
      </c>
      <c r="B11" s="103" t="s">
        <v>3861</v>
      </c>
      <c r="D11" s="103">
        <v>0</v>
      </c>
      <c r="E11" s="103">
        <v>90</v>
      </c>
      <c r="F11" s="103">
        <v>150</v>
      </c>
      <c r="G11" s="103">
        <v>140</v>
      </c>
      <c r="H11" s="103" t="s">
        <v>1059</v>
      </c>
      <c r="I11" s="103" t="s">
        <v>1597</v>
      </c>
      <c r="K11" s="103" t="s">
        <v>766</v>
      </c>
      <c r="L11" s="103" t="s">
        <v>46</v>
      </c>
      <c r="M11" s="103" t="s">
        <v>41</v>
      </c>
      <c r="N11" s="103" t="s">
        <v>68</v>
      </c>
      <c r="O11" s="103" t="s">
        <v>767</v>
      </c>
      <c r="Q11" s="118" t="s">
        <v>1601</v>
      </c>
      <c r="R11" s="118" t="s">
        <v>1599</v>
      </c>
      <c r="U11" s="103">
        <v>380</v>
      </c>
      <c r="V11" s="73" t="str">
        <f>_xlfn.XLOOKUP(B11,'Non-Projects (RUN-BAU)'!C:C,'Non-Projects (RUN-BAU)'!B:B,"",0)</f>
        <v/>
      </c>
      <c r="W11" s="73" t="str">
        <f>_xlfn.XLOOKUP(A11,'Ongoing Projects'!B:B,'Ongoing Projects'!B:B,"",0)</f>
        <v/>
      </c>
      <c r="X11" s="73" t="str">
        <f>_xlfn.XLOOKUP(B11,'New Projects'!D:D,'New Projects'!C:C,"",0)</f>
        <v/>
      </c>
      <c r="Y11" s="73" t="str">
        <f t="shared" si="0"/>
        <v/>
      </c>
      <c r="Z11" s="74" t="str">
        <f t="shared" si="1"/>
        <v>Missing</v>
      </c>
      <c r="AA11" s="74" t="str">
        <f t="shared" si="2"/>
        <v>Critical</v>
      </c>
    </row>
    <row r="12" spans="1:30" x14ac:dyDescent="0.2">
      <c r="A12" s="103" t="s">
        <v>1637</v>
      </c>
      <c r="B12" s="103" t="s">
        <v>384</v>
      </c>
      <c r="C12" s="103" t="s">
        <v>1934</v>
      </c>
      <c r="D12" s="103">
        <v>0</v>
      </c>
      <c r="E12" s="103">
        <v>0</v>
      </c>
      <c r="F12" s="103">
        <v>0</v>
      </c>
      <c r="G12" s="103">
        <v>0</v>
      </c>
      <c r="H12" s="103" t="s">
        <v>1638</v>
      </c>
      <c r="K12" s="103" t="s">
        <v>1109</v>
      </c>
      <c r="L12" s="103" t="s">
        <v>57</v>
      </c>
      <c r="M12" s="103" t="s">
        <v>41</v>
      </c>
      <c r="N12" s="103" t="s">
        <v>68</v>
      </c>
      <c r="O12" s="103" t="s">
        <v>751</v>
      </c>
      <c r="Q12" s="118" t="s">
        <v>3851</v>
      </c>
      <c r="R12" s="118" t="s">
        <v>1605</v>
      </c>
      <c r="U12" s="103">
        <v>0</v>
      </c>
      <c r="V12" s="73" t="str">
        <f>_xlfn.XLOOKUP(B12,'Non-Projects (RUN-BAU)'!C:C,'Non-Projects (RUN-BAU)'!B:B,"",0)</f>
        <v/>
      </c>
      <c r="W12" s="73" t="str">
        <f>_xlfn.XLOOKUP(A12,'Ongoing Projects'!B:B,'Ongoing Projects'!B:B,"",0)</f>
        <v/>
      </c>
      <c r="X12" s="73" t="str">
        <f>_xlfn.XLOOKUP(B12,'New Projects'!D:D,'New Projects'!C:C,"",0)</f>
        <v/>
      </c>
      <c r="Y12" s="73" t="str">
        <f t="shared" si="0"/>
        <v/>
      </c>
      <c r="Z12" s="74" t="str">
        <f t="shared" si="1"/>
        <v>Missing</v>
      </c>
      <c r="AA12" s="74" t="str">
        <f t="shared" si="2"/>
        <v/>
      </c>
    </row>
    <row r="13" spans="1:30" x14ac:dyDescent="0.2">
      <c r="A13" s="103" t="s">
        <v>1642</v>
      </c>
      <c r="B13" s="103" t="s">
        <v>394</v>
      </c>
      <c r="D13" s="103">
        <v>25</v>
      </c>
      <c r="E13" s="103">
        <v>25</v>
      </c>
      <c r="F13" s="103">
        <v>25</v>
      </c>
      <c r="G13" s="103">
        <v>0</v>
      </c>
      <c r="H13" s="103" t="s">
        <v>1622</v>
      </c>
      <c r="I13" s="103" t="s">
        <v>345</v>
      </c>
      <c r="J13" s="103" t="s">
        <v>13</v>
      </c>
      <c r="K13" s="103" t="s">
        <v>750</v>
      </c>
      <c r="L13" s="103" t="s">
        <v>46</v>
      </c>
      <c r="M13" s="103" t="s">
        <v>41</v>
      </c>
      <c r="N13" s="103" t="s">
        <v>64</v>
      </c>
      <c r="O13" s="103" t="s">
        <v>305</v>
      </c>
      <c r="P13" s="103" t="s">
        <v>1615</v>
      </c>
      <c r="Q13" s="118" t="s">
        <v>1598</v>
      </c>
      <c r="R13" s="118" t="s">
        <v>1608</v>
      </c>
      <c r="U13" s="103">
        <v>0</v>
      </c>
      <c r="V13" s="73" t="str">
        <f>_xlfn.XLOOKUP(B13,'Non-Projects (RUN-BAU)'!C:C,'Non-Projects (RUN-BAU)'!B:B,"",0)</f>
        <v/>
      </c>
      <c r="W13" s="73" t="str">
        <f>_xlfn.XLOOKUP(A13,'Ongoing Projects'!B:B,'Ongoing Projects'!B:B,"",0)</f>
        <v/>
      </c>
      <c r="X13" s="73" t="str">
        <f>_xlfn.XLOOKUP(B13,'New Projects'!D:D,'New Projects'!C:C,"",0)</f>
        <v/>
      </c>
      <c r="Y13" s="73" t="str">
        <f t="shared" si="0"/>
        <v/>
      </c>
      <c r="Z13" s="74" t="str">
        <f t="shared" si="1"/>
        <v>Missing</v>
      </c>
      <c r="AA13" s="74" t="str">
        <f t="shared" si="2"/>
        <v>Critical</v>
      </c>
    </row>
    <row r="14" spans="1:30" x14ac:dyDescent="0.2">
      <c r="A14" s="103" t="s">
        <v>1654</v>
      </c>
      <c r="B14" s="103" t="s">
        <v>444</v>
      </c>
      <c r="D14" s="103">
        <v>0</v>
      </c>
      <c r="E14" s="103">
        <v>0</v>
      </c>
      <c r="F14" s="103">
        <v>0</v>
      </c>
      <c r="G14" s="103">
        <v>0</v>
      </c>
      <c r="H14" s="103" t="s">
        <v>1571</v>
      </c>
      <c r="I14" s="103" t="s">
        <v>1597</v>
      </c>
      <c r="J14" s="103" t="s">
        <v>35</v>
      </c>
      <c r="K14" s="103" t="s">
        <v>766</v>
      </c>
      <c r="L14" s="103" t="s">
        <v>49</v>
      </c>
      <c r="M14" s="103" t="s">
        <v>41</v>
      </c>
      <c r="N14" s="103" t="s">
        <v>68</v>
      </c>
      <c r="O14" s="103" t="s">
        <v>767</v>
      </c>
      <c r="Q14" s="118" t="s">
        <v>3851</v>
      </c>
      <c r="R14" s="118" t="s">
        <v>1605</v>
      </c>
      <c r="U14" s="103">
        <v>0</v>
      </c>
      <c r="V14" s="73" t="str">
        <f>_xlfn.XLOOKUP(B14,'Non-Projects (RUN-BAU)'!C:C,'Non-Projects (RUN-BAU)'!B:B,"",0)</f>
        <v/>
      </c>
      <c r="W14" s="73" t="str">
        <f>_xlfn.XLOOKUP(A14,'Ongoing Projects'!B:B,'Ongoing Projects'!B:B,"",0)</f>
        <v/>
      </c>
      <c r="X14" s="73" t="str">
        <f>_xlfn.XLOOKUP(B14,'New Projects'!D:D,'New Projects'!C:C,"",0)</f>
        <v/>
      </c>
      <c r="Y14" s="73" t="str">
        <f t="shared" si="0"/>
        <v/>
      </c>
      <c r="Z14" s="74" t="str">
        <f t="shared" si="1"/>
        <v>Missing</v>
      </c>
      <c r="AA14" s="74" t="str">
        <f t="shared" si="2"/>
        <v/>
      </c>
    </row>
    <row r="15" spans="1:30" x14ac:dyDescent="0.2">
      <c r="A15" s="103" t="s">
        <v>1658</v>
      </c>
      <c r="B15" s="103" t="s">
        <v>460</v>
      </c>
      <c r="D15" s="103">
        <v>0</v>
      </c>
      <c r="E15" s="103">
        <v>0</v>
      </c>
      <c r="F15" s="103">
        <v>0</v>
      </c>
      <c r="G15" s="103">
        <v>0</v>
      </c>
      <c r="H15" s="103" t="s">
        <v>1638</v>
      </c>
      <c r="K15" s="103" t="s">
        <v>898</v>
      </c>
      <c r="M15" s="103" t="s">
        <v>41</v>
      </c>
      <c r="N15" s="103" t="s">
        <v>71</v>
      </c>
      <c r="O15" s="103" t="s">
        <v>779</v>
      </c>
      <c r="Q15" s="118" t="s">
        <v>3851</v>
      </c>
      <c r="R15" s="118" t="s">
        <v>1605</v>
      </c>
      <c r="U15" s="103">
        <v>0</v>
      </c>
      <c r="V15" s="73" t="str">
        <f>_xlfn.XLOOKUP(B15,'Non-Projects (RUN-BAU)'!C:C,'Non-Projects (RUN-BAU)'!B:B,"",0)</f>
        <v/>
      </c>
      <c r="W15" s="73" t="str">
        <f>_xlfn.XLOOKUP(A15,'Ongoing Projects'!B:B,'Ongoing Projects'!B:B,"",0)</f>
        <v/>
      </c>
      <c r="X15" s="73" t="str">
        <f>_xlfn.XLOOKUP(B15,'New Projects'!D:D,'New Projects'!C:C,"",0)</f>
        <v/>
      </c>
      <c r="Y15" s="73" t="str">
        <f t="shared" si="0"/>
        <v/>
      </c>
      <c r="Z15" s="74" t="str">
        <f t="shared" si="1"/>
        <v>Missing</v>
      </c>
      <c r="AA15" s="74" t="str">
        <f t="shared" si="2"/>
        <v/>
      </c>
    </row>
    <row r="16" spans="1:30" x14ac:dyDescent="0.2">
      <c r="A16" s="103" t="s">
        <v>1660</v>
      </c>
      <c r="B16" s="103" t="s">
        <v>483</v>
      </c>
      <c r="C16" s="103" t="s">
        <v>1937</v>
      </c>
      <c r="D16" s="103">
        <v>1475</v>
      </c>
      <c r="E16" s="103">
        <v>1475</v>
      </c>
      <c r="F16" s="103">
        <v>1475</v>
      </c>
      <c r="G16" s="103">
        <v>1475</v>
      </c>
      <c r="H16" s="103" t="s">
        <v>873</v>
      </c>
      <c r="I16" s="103" t="s">
        <v>1597</v>
      </c>
      <c r="J16" s="103" t="s">
        <v>732</v>
      </c>
      <c r="K16" s="103" t="s">
        <v>766</v>
      </c>
      <c r="L16" s="103" t="s">
        <v>46</v>
      </c>
      <c r="M16" s="103" t="s">
        <v>41</v>
      </c>
      <c r="N16" s="103" t="s">
        <v>68</v>
      </c>
      <c r="O16" s="103" t="s">
        <v>767</v>
      </c>
      <c r="Q16" s="118" t="s">
        <v>1598</v>
      </c>
      <c r="R16" s="118" t="s">
        <v>1599</v>
      </c>
      <c r="U16" s="103">
        <v>0</v>
      </c>
      <c r="V16" s="73" t="str">
        <f>_xlfn.XLOOKUP(B16,'Non-Projects (RUN-BAU)'!C:C,'Non-Projects (RUN-BAU)'!B:B,"",0)</f>
        <v/>
      </c>
      <c r="W16" s="73" t="str">
        <f>_xlfn.XLOOKUP(A16,'Ongoing Projects'!B:B,'Ongoing Projects'!B:B,"",0)</f>
        <v/>
      </c>
      <c r="X16" s="73" t="str">
        <f>_xlfn.XLOOKUP(B16,'New Projects'!D:D,'New Projects'!C:C,"",0)</f>
        <v/>
      </c>
      <c r="Y16" s="73" t="str">
        <f t="shared" si="0"/>
        <v/>
      </c>
      <c r="Z16" s="74" t="str">
        <f t="shared" si="1"/>
        <v>Missing</v>
      </c>
      <c r="AA16" s="74" t="str">
        <f t="shared" si="2"/>
        <v>Critical</v>
      </c>
    </row>
    <row r="17" spans="1:27" x14ac:dyDescent="0.2">
      <c r="A17" s="103" t="s">
        <v>1661</v>
      </c>
      <c r="B17" s="103" t="s">
        <v>496</v>
      </c>
      <c r="D17" s="103">
        <v>100</v>
      </c>
      <c r="E17" s="103">
        <v>100</v>
      </c>
      <c r="F17" s="103">
        <v>0</v>
      </c>
      <c r="G17" s="103">
        <v>0</v>
      </c>
      <c r="H17" s="103" t="s">
        <v>985</v>
      </c>
      <c r="I17" s="103" t="s">
        <v>1614</v>
      </c>
      <c r="J17" s="103" t="s">
        <v>13</v>
      </c>
      <c r="K17" s="103" t="s">
        <v>1284</v>
      </c>
      <c r="L17" s="103" t="s">
        <v>46</v>
      </c>
      <c r="M17" s="103" t="s">
        <v>22</v>
      </c>
      <c r="N17" s="103" t="s">
        <v>64</v>
      </c>
      <c r="O17" s="103" t="s">
        <v>305</v>
      </c>
      <c r="P17" s="103" t="s">
        <v>1615</v>
      </c>
      <c r="Q17" s="118" t="s">
        <v>1598</v>
      </c>
      <c r="R17" s="118" t="s">
        <v>1606</v>
      </c>
      <c r="U17" s="103">
        <v>0</v>
      </c>
      <c r="V17" s="73" t="str">
        <f>_xlfn.XLOOKUP(B17,'Non-Projects (RUN-BAU)'!C:C,'Non-Projects (RUN-BAU)'!B:B,"",0)</f>
        <v/>
      </c>
      <c r="W17" s="73" t="str">
        <f>_xlfn.XLOOKUP(A17,'Ongoing Projects'!B:B,'Ongoing Projects'!B:B,"",0)</f>
        <v/>
      </c>
      <c r="X17" s="73" t="str">
        <f>_xlfn.XLOOKUP(B17,'New Projects'!D:D,'New Projects'!C:C,"",0)</f>
        <v/>
      </c>
      <c r="Y17" s="73" t="str">
        <f t="shared" si="0"/>
        <v/>
      </c>
      <c r="Z17" s="74" t="str">
        <f t="shared" si="1"/>
        <v>Missing</v>
      </c>
      <c r="AA17" s="74" t="str">
        <f t="shared" si="2"/>
        <v>Critical</v>
      </c>
    </row>
    <row r="18" spans="1:27" x14ac:dyDescent="0.2">
      <c r="A18" s="103" t="s">
        <v>1662</v>
      </c>
      <c r="B18" s="103" t="s">
        <v>497</v>
      </c>
      <c r="D18" s="103">
        <v>0</v>
      </c>
      <c r="E18" s="103">
        <v>0</v>
      </c>
      <c r="F18" s="103">
        <v>200</v>
      </c>
      <c r="G18" s="103">
        <v>200</v>
      </c>
      <c r="H18" s="103" t="s">
        <v>985</v>
      </c>
      <c r="I18" s="103" t="s">
        <v>1614</v>
      </c>
      <c r="J18" s="103" t="s">
        <v>13</v>
      </c>
      <c r="K18" s="103" t="s">
        <v>1284</v>
      </c>
      <c r="L18" s="103" t="s">
        <v>46</v>
      </c>
      <c r="M18" s="103" t="s">
        <v>22</v>
      </c>
      <c r="N18" s="103" t="s">
        <v>64</v>
      </c>
      <c r="O18" s="103" t="s">
        <v>305</v>
      </c>
      <c r="P18" s="103" t="s">
        <v>1615</v>
      </c>
      <c r="Q18" s="118" t="s">
        <v>1607</v>
      </c>
      <c r="R18" s="118" t="s">
        <v>1599</v>
      </c>
      <c r="U18" s="103">
        <v>0</v>
      </c>
      <c r="V18" s="73" t="str">
        <f>_xlfn.XLOOKUP(B18,'Non-Projects (RUN-BAU)'!C:C,'Non-Projects (RUN-BAU)'!B:B,"",0)</f>
        <v/>
      </c>
      <c r="W18" s="73" t="str">
        <f>_xlfn.XLOOKUP(A18,'Ongoing Projects'!B:B,'Ongoing Projects'!B:B,"",0)</f>
        <v/>
      </c>
      <c r="X18" s="73" t="str">
        <f>_xlfn.XLOOKUP(B18,'New Projects'!D:D,'New Projects'!C:C,"",0)</f>
        <v/>
      </c>
      <c r="Y18" s="73" t="str">
        <f t="shared" si="0"/>
        <v/>
      </c>
      <c r="Z18" s="74" t="str">
        <f t="shared" si="1"/>
        <v>Missing</v>
      </c>
      <c r="AA18" s="74" t="str">
        <f t="shared" si="2"/>
        <v>Critical</v>
      </c>
    </row>
    <row r="19" spans="1:27" x14ac:dyDescent="0.2">
      <c r="A19" s="103" t="s">
        <v>1663</v>
      </c>
      <c r="B19" s="103" t="s">
        <v>498</v>
      </c>
      <c r="D19" s="103">
        <v>0</v>
      </c>
      <c r="E19" s="103">
        <v>0</v>
      </c>
      <c r="F19" s="103">
        <v>20</v>
      </c>
      <c r="G19" s="103">
        <v>0</v>
      </c>
      <c r="H19" s="103" t="s">
        <v>985</v>
      </c>
      <c r="I19" s="103" t="s">
        <v>1614</v>
      </c>
      <c r="J19" s="103" t="s">
        <v>13</v>
      </c>
      <c r="K19" s="103" t="s">
        <v>1284</v>
      </c>
      <c r="L19" s="103" t="s">
        <v>46</v>
      </c>
      <c r="M19" s="103" t="s">
        <v>22</v>
      </c>
      <c r="N19" s="103" t="s">
        <v>64</v>
      </c>
      <c r="O19" s="103" t="s">
        <v>305</v>
      </c>
      <c r="P19" s="103" t="s">
        <v>1615</v>
      </c>
      <c r="Q19" s="118" t="s">
        <v>1607</v>
      </c>
      <c r="R19" s="118" t="s">
        <v>1608</v>
      </c>
      <c r="U19" s="103">
        <v>0</v>
      </c>
      <c r="V19" s="73" t="str">
        <f>_xlfn.XLOOKUP(B19,'Non-Projects (RUN-BAU)'!C:C,'Non-Projects (RUN-BAU)'!B:B,"",0)</f>
        <v/>
      </c>
      <c r="W19" s="73" t="str">
        <f>_xlfn.XLOOKUP(A19,'Ongoing Projects'!B:B,'Ongoing Projects'!B:B,"",0)</f>
        <v/>
      </c>
      <c r="X19" s="73" t="str">
        <f>_xlfn.XLOOKUP(B19,'New Projects'!D:D,'New Projects'!C:C,"",0)</f>
        <v/>
      </c>
      <c r="Y19" s="73" t="str">
        <f t="shared" si="0"/>
        <v/>
      </c>
      <c r="Z19" s="74" t="str">
        <f t="shared" si="1"/>
        <v>Missing</v>
      </c>
      <c r="AA19" s="74" t="str">
        <f t="shared" si="2"/>
        <v>Critical</v>
      </c>
    </row>
    <row r="20" spans="1:27" x14ac:dyDescent="0.2">
      <c r="A20" s="103" t="s">
        <v>1664</v>
      </c>
      <c r="B20" s="103" t="s">
        <v>507</v>
      </c>
      <c r="C20" s="103" t="s">
        <v>1938</v>
      </c>
      <c r="D20" s="103">
        <v>0</v>
      </c>
      <c r="E20" s="103">
        <v>0</v>
      </c>
      <c r="F20" s="103">
        <v>0</v>
      </c>
      <c r="G20" s="103">
        <v>0</v>
      </c>
      <c r="H20" s="103" t="s">
        <v>985</v>
      </c>
      <c r="I20" s="103" t="s">
        <v>1597</v>
      </c>
      <c r="J20" s="103" t="s">
        <v>13</v>
      </c>
      <c r="K20" s="103" t="s">
        <v>984</v>
      </c>
      <c r="L20" s="103" t="s">
        <v>53</v>
      </c>
      <c r="M20" s="103" t="s">
        <v>41</v>
      </c>
      <c r="N20" s="103" t="s">
        <v>64</v>
      </c>
      <c r="O20" s="103" t="s">
        <v>934</v>
      </c>
      <c r="Q20" s="118" t="s">
        <v>3851</v>
      </c>
      <c r="R20" s="118" t="s">
        <v>1599</v>
      </c>
      <c r="U20" s="103">
        <v>0</v>
      </c>
      <c r="V20" s="73" t="str">
        <f>_xlfn.XLOOKUP(B20,'Non-Projects (RUN-BAU)'!C:C,'Non-Projects (RUN-BAU)'!B:B,"",0)</f>
        <v/>
      </c>
      <c r="W20" s="73" t="str">
        <f>_xlfn.XLOOKUP(A20,'Ongoing Projects'!B:B,'Ongoing Projects'!B:B,"",0)</f>
        <v/>
      </c>
      <c r="X20" s="73" t="str">
        <f>_xlfn.XLOOKUP(B20,'New Projects'!D:D,'New Projects'!C:C,"",0)</f>
        <v/>
      </c>
      <c r="Y20" s="73" t="str">
        <f t="shared" si="0"/>
        <v/>
      </c>
      <c r="Z20" s="74" t="str">
        <f t="shared" si="1"/>
        <v>Missing</v>
      </c>
      <c r="AA20" s="74" t="str">
        <f t="shared" si="2"/>
        <v/>
      </c>
    </row>
    <row r="21" spans="1:27" x14ac:dyDescent="0.2">
      <c r="A21" s="103" t="s">
        <v>1666</v>
      </c>
      <c r="B21" s="103" t="s">
        <v>535</v>
      </c>
      <c r="D21" s="103">
        <v>0</v>
      </c>
      <c r="E21" s="103">
        <v>0</v>
      </c>
      <c r="F21" s="103">
        <v>0</v>
      </c>
      <c r="G21" s="103">
        <v>0</v>
      </c>
      <c r="H21" s="103" t="s">
        <v>811</v>
      </c>
      <c r="I21" s="103" t="s">
        <v>345</v>
      </c>
      <c r="J21" s="103" t="s">
        <v>37</v>
      </c>
      <c r="K21" s="103" t="s">
        <v>810</v>
      </c>
      <c r="L21" s="103" t="s">
        <v>55</v>
      </c>
      <c r="M21" s="103" t="s">
        <v>43</v>
      </c>
      <c r="N21" s="103" t="s">
        <v>71</v>
      </c>
      <c r="O21" s="103" t="s">
        <v>787</v>
      </c>
      <c r="P21" s="103" t="s">
        <v>1615</v>
      </c>
      <c r="Q21" s="118" t="s">
        <v>3851</v>
      </c>
      <c r="R21" s="118" t="s">
        <v>1605</v>
      </c>
      <c r="U21" s="103">
        <v>0</v>
      </c>
      <c r="V21" s="73" t="str">
        <f>_xlfn.XLOOKUP(B21,'Non-Projects (RUN-BAU)'!C:C,'Non-Projects (RUN-BAU)'!B:B,"",0)</f>
        <v/>
      </c>
      <c r="W21" s="73" t="str">
        <f>_xlfn.XLOOKUP(A21,'Ongoing Projects'!B:B,'Ongoing Projects'!B:B,"",0)</f>
        <v/>
      </c>
      <c r="X21" s="73" t="str">
        <f>_xlfn.XLOOKUP(B21,'New Projects'!D:D,'New Projects'!C:C,"",0)</f>
        <v/>
      </c>
      <c r="Y21" s="73" t="str">
        <f t="shared" si="0"/>
        <v/>
      </c>
      <c r="Z21" s="74" t="str">
        <f t="shared" si="1"/>
        <v>Missing</v>
      </c>
      <c r="AA21" s="74" t="str">
        <f t="shared" si="2"/>
        <v/>
      </c>
    </row>
    <row r="22" spans="1:27" x14ac:dyDescent="0.2">
      <c r="A22" s="103" t="s">
        <v>1667</v>
      </c>
      <c r="B22" s="103" t="s">
        <v>538</v>
      </c>
      <c r="D22" s="103">
        <v>0</v>
      </c>
      <c r="E22" s="103">
        <v>0</v>
      </c>
      <c r="F22" s="103">
        <v>0</v>
      </c>
      <c r="G22" s="103">
        <v>0</v>
      </c>
      <c r="H22" s="103" t="s">
        <v>811</v>
      </c>
      <c r="I22" s="103" t="s">
        <v>1597</v>
      </c>
      <c r="J22" s="103" t="s">
        <v>13</v>
      </c>
      <c r="K22" s="103" t="s">
        <v>810</v>
      </c>
      <c r="L22" s="103" t="s">
        <v>46</v>
      </c>
      <c r="M22" s="103" t="s">
        <v>41</v>
      </c>
      <c r="N22" s="103" t="s">
        <v>71</v>
      </c>
      <c r="O22" s="103" t="s">
        <v>779</v>
      </c>
      <c r="Q22" s="118" t="s">
        <v>3851</v>
      </c>
      <c r="R22" s="118" t="s">
        <v>1605</v>
      </c>
      <c r="U22" s="103">
        <v>0</v>
      </c>
      <c r="V22" s="73" t="str">
        <f>_xlfn.XLOOKUP(B22,'Non-Projects (RUN-BAU)'!C:C,'Non-Projects (RUN-BAU)'!B:B,"",0)</f>
        <v/>
      </c>
      <c r="W22" s="73" t="str">
        <f>_xlfn.XLOOKUP(A22,'Ongoing Projects'!B:B,'Ongoing Projects'!B:B,"",0)</f>
        <v/>
      </c>
      <c r="X22" s="73" t="str">
        <f>_xlfn.XLOOKUP(B22,'New Projects'!D:D,'New Projects'!C:C,"",0)</f>
        <v/>
      </c>
      <c r="Y22" s="73" t="str">
        <f t="shared" si="0"/>
        <v/>
      </c>
      <c r="Z22" s="74" t="str">
        <f t="shared" si="1"/>
        <v>Missing</v>
      </c>
      <c r="AA22" s="74" t="str">
        <f t="shared" si="2"/>
        <v/>
      </c>
    </row>
    <row r="23" spans="1:27" x14ac:dyDescent="0.2">
      <c r="A23" s="103" t="s">
        <v>1668</v>
      </c>
      <c r="B23" s="103" t="s">
        <v>543</v>
      </c>
      <c r="D23" s="103">
        <v>0</v>
      </c>
      <c r="E23" s="103">
        <v>0</v>
      </c>
      <c r="F23" s="103">
        <v>0</v>
      </c>
      <c r="G23" s="103">
        <v>0</v>
      </c>
      <c r="H23" s="103" t="s">
        <v>811</v>
      </c>
      <c r="I23" s="103" t="s">
        <v>1597</v>
      </c>
      <c r="J23" s="103" t="s">
        <v>37</v>
      </c>
      <c r="K23" s="103" t="s">
        <v>810</v>
      </c>
      <c r="L23" s="103" t="s">
        <v>55</v>
      </c>
      <c r="M23" s="103" t="s">
        <v>43</v>
      </c>
      <c r="N23" s="103" t="s">
        <v>71</v>
      </c>
      <c r="O23" s="103" t="s">
        <v>779</v>
      </c>
      <c r="Q23" s="118" t="s">
        <v>3851</v>
      </c>
      <c r="R23" s="118" t="s">
        <v>1605</v>
      </c>
      <c r="U23" s="103">
        <v>0</v>
      </c>
      <c r="V23" s="73" t="str">
        <f>_xlfn.XLOOKUP(B23,'Non-Projects (RUN-BAU)'!C:C,'Non-Projects (RUN-BAU)'!B:B,"",0)</f>
        <v/>
      </c>
      <c r="W23" s="73" t="str">
        <f>_xlfn.XLOOKUP(A23,'Ongoing Projects'!B:B,'Ongoing Projects'!B:B,"",0)</f>
        <v/>
      </c>
      <c r="X23" s="73" t="str">
        <f>_xlfn.XLOOKUP(B23,'New Projects'!D:D,'New Projects'!C:C,"",0)</f>
        <v/>
      </c>
      <c r="Y23" s="73" t="str">
        <f t="shared" si="0"/>
        <v/>
      </c>
      <c r="Z23" s="74" t="str">
        <f t="shared" si="1"/>
        <v>Missing</v>
      </c>
      <c r="AA23" s="74" t="str">
        <f t="shared" si="2"/>
        <v/>
      </c>
    </row>
    <row r="24" spans="1:27" x14ac:dyDescent="0.2">
      <c r="A24" s="103" t="s">
        <v>1669</v>
      </c>
      <c r="B24" s="103" t="s">
        <v>544</v>
      </c>
      <c r="D24" s="103">
        <v>0</v>
      </c>
      <c r="E24" s="103">
        <v>0</v>
      </c>
      <c r="F24" s="103">
        <v>0</v>
      </c>
      <c r="G24" s="103">
        <v>0</v>
      </c>
      <c r="H24" s="103" t="s">
        <v>880</v>
      </c>
      <c r="J24" s="103" t="s">
        <v>35</v>
      </c>
      <c r="K24" s="103" t="s">
        <v>810</v>
      </c>
      <c r="M24" s="103" t="s">
        <v>41</v>
      </c>
      <c r="N24" s="103" t="s">
        <v>71</v>
      </c>
      <c r="O24" s="103" t="s">
        <v>779</v>
      </c>
      <c r="Q24" s="118" t="s">
        <v>3851</v>
      </c>
      <c r="R24" s="118" t="s">
        <v>1605</v>
      </c>
      <c r="T24" s="103" t="s">
        <v>1940</v>
      </c>
      <c r="U24" s="103">
        <v>0</v>
      </c>
      <c r="V24" s="73" t="str">
        <f>_xlfn.XLOOKUP(B24,'Non-Projects (RUN-BAU)'!C:C,'Non-Projects (RUN-BAU)'!B:B,"",0)</f>
        <v/>
      </c>
      <c r="W24" s="73" t="str">
        <f>_xlfn.XLOOKUP(A24,'Ongoing Projects'!B:B,'Ongoing Projects'!B:B,"",0)</f>
        <v/>
      </c>
      <c r="X24" s="73" t="str">
        <f>_xlfn.XLOOKUP(B24,'New Projects'!D:D,'New Projects'!C:C,"",0)</f>
        <v/>
      </c>
      <c r="Y24" s="73" t="str">
        <f t="shared" si="0"/>
        <v/>
      </c>
      <c r="Z24" s="74" t="str">
        <f t="shared" si="1"/>
        <v>Missing</v>
      </c>
      <c r="AA24" s="74" t="str">
        <f t="shared" si="2"/>
        <v/>
      </c>
    </row>
    <row r="25" spans="1:27" x14ac:dyDescent="0.2">
      <c r="A25" s="103" t="s">
        <v>1673</v>
      </c>
      <c r="B25" s="103" t="s">
        <v>546</v>
      </c>
      <c r="C25" s="103" t="s">
        <v>1941</v>
      </c>
      <c r="D25" s="103">
        <v>420</v>
      </c>
      <c r="E25" s="103">
        <v>420</v>
      </c>
      <c r="F25" s="103">
        <v>420</v>
      </c>
      <c r="G25" s="103">
        <v>420</v>
      </c>
      <c r="H25" s="103" t="s">
        <v>1672</v>
      </c>
      <c r="I25" s="103" t="s">
        <v>345</v>
      </c>
      <c r="J25" s="103" t="s">
        <v>13</v>
      </c>
      <c r="K25" s="103" t="s">
        <v>766</v>
      </c>
      <c r="L25" s="103" t="s">
        <v>46</v>
      </c>
      <c r="M25" s="103" t="s">
        <v>41</v>
      </c>
      <c r="N25" s="103" t="s">
        <v>68</v>
      </c>
      <c r="O25" s="103" t="s">
        <v>305</v>
      </c>
      <c r="Q25" s="118" t="s">
        <v>1598</v>
      </c>
      <c r="R25" s="118" t="s">
        <v>1599</v>
      </c>
      <c r="U25" s="103">
        <v>0</v>
      </c>
      <c r="V25" s="73" t="str">
        <f>_xlfn.XLOOKUP(B25,'Non-Projects (RUN-BAU)'!C:C,'Non-Projects (RUN-BAU)'!B:B,"",0)</f>
        <v/>
      </c>
      <c r="W25" s="73" t="str">
        <f>_xlfn.XLOOKUP(A25,'Ongoing Projects'!B:B,'Ongoing Projects'!B:B,"",0)</f>
        <v/>
      </c>
      <c r="X25" s="73" t="str">
        <f>_xlfn.XLOOKUP(B25,'New Projects'!D:D,'New Projects'!C:C,"",0)</f>
        <v/>
      </c>
      <c r="Y25" s="73" t="str">
        <f t="shared" si="0"/>
        <v/>
      </c>
      <c r="Z25" s="74" t="str">
        <f t="shared" si="1"/>
        <v>Missing</v>
      </c>
      <c r="AA25" s="74" t="str">
        <f t="shared" si="2"/>
        <v>Critical</v>
      </c>
    </row>
    <row r="26" spans="1:27" x14ac:dyDescent="0.2">
      <c r="A26" s="103" t="s">
        <v>1675</v>
      </c>
      <c r="B26" s="103" t="s">
        <v>548</v>
      </c>
      <c r="D26" s="103">
        <v>0</v>
      </c>
      <c r="E26" s="103">
        <v>0</v>
      </c>
      <c r="F26" s="103">
        <v>50</v>
      </c>
      <c r="G26" s="103">
        <v>50</v>
      </c>
      <c r="H26" s="103" t="s">
        <v>791</v>
      </c>
      <c r="I26" s="103" t="s">
        <v>1597</v>
      </c>
      <c r="J26" s="103" t="s">
        <v>13</v>
      </c>
      <c r="K26" s="103" t="s">
        <v>898</v>
      </c>
      <c r="L26" s="103" t="s">
        <v>49</v>
      </c>
      <c r="M26" s="103" t="s">
        <v>41</v>
      </c>
      <c r="N26" s="103" t="s">
        <v>71</v>
      </c>
      <c r="O26" s="103" t="s">
        <v>779</v>
      </c>
      <c r="Q26" s="118" t="s">
        <v>1607</v>
      </c>
      <c r="R26" s="118" t="s">
        <v>1599</v>
      </c>
      <c r="U26" s="103">
        <v>0</v>
      </c>
      <c r="V26" s="73" t="str">
        <f>_xlfn.XLOOKUP(B26,'Non-Projects (RUN-BAU)'!C:C,'Non-Projects (RUN-BAU)'!B:B,"",0)</f>
        <v/>
      </c>
      <c r="W26" s="73" t="str">
        <f>_xlfn.XLOOKUP(A26,'Ongoing Projects'!B:B,'Ongoing Projects'!B:B,"",0)</f>
        <v/>
      </c>
      <c r="X26" s="73" t="str">
        <f>_xlfn.XLOOKUP(B26,'New Projects'!D:D,'New Projects'!C:C,"",0)</f>
        <v/>
      </c>
      <c r="Y26" s="73" t="str">
        <f t="shared" si="0"/>
        <v/>
      </c>
      <c r="Z26" s="74" t="str">
        <f t="shared" si="1"/>
        <v>Missing</v>
      </c>
      <c r="AA26" s="74" t="str">
        <f t="shared" si="2"/>
        <v>Critical</v>
      </c>
    </row>
    <row r="27" spans="1:27" x14ac:dyDescent="0.2">
      <c r="A27" s="103" t="s">
        <v>1676</v>
      </c>
      <c r="B27" s="103" t="s">
        <v>553</v>
      </c>
      <c r="D27" s="103">
        <v>0</v>
      </c>
      <c r="E27" s="103">
        <v>0</v>
      </c>
      <c r="F27" s="103">
        <v>0</v>
      </c>
      <c r="G27" s="103">
        <v>0</v>
      </c>
      <c r="H27" s="103" t="s">
        <v>839</v>
      </c>
      <c r="I27" s="103" t="s">
        <v>1597</v>
      </c>
      <c r="J27" s="103" t="s">
        <v>13</v>
      </c>
      <c r="K27" s="103" t="s">
        <v>1618</v>
      </c>
      <c r="L27" s="103" t="s">
        <v>46</v>
      </c>
      <c r="M27" s="103" t="s">
        <v>22</v>
      </c>
      <c r="N27" s="103" t="s">
        <v>71</v>
      </c>
      <c r="O27" s="103" t="s">
        <v>767</v>
      </c>
      <c r="Q27" s="118" t="s">
        <v>3851</v>
      </c>
      <c r="R27" s="118" t="s">
        <v>1605</v>
      </c>
      <c r="U27" s="103">
        <v>0</v>
      </c>
      <c r="V27" s="73" t="str">
        <f>_xlfn.XLOOKUP(B27,'Non-Projects (RUN-BAU)'!C:C,'Non-Projects (RUN-BAU)'!B:B,"",0)</f>
        <v/>
      </c>
      <c r="W27" s="73" t="str">
        <f>_xlfn.XLOOKUP(A27,'Ongoing Projects'!B:B,'Ongoing Projects'!B:B,"",0)</f>
        <v/>
      </c>
      <c r="X27" s="73" t="str">
        <f>_xlfn.XLOOKUP(B27,'New Projects'!D:D,'New Projects'!C:C,"",0)</f>
        <v/>
      </c>
      <c r="Y27" s="73" t="str">
        <f t="shared" si="0"/>
        <v/>
      </c>
      <c r="Z27" s="74" t="str">
        <f t="shared" si="1"/>
        <v>Missing</v>
      </c>
      <c r="AA27" s="74" t="str">
        <f t="shared" si="2"/>
        <v/>
      </c>
    </row>
    <row r="28" spans="1:27" x14ac:dyDescent="0.2">
      <c r="A28" s="103" t="s">
        <v>1678</v>
      </c>
      <c r="B28" s="103" t="s">
        <v>557</v>
      </c>
      <c r="C28" s="103" t="s">
        <v>1943</v>
      </c>
      <c r="D28" s="103">
        <v>100</v>
      </c>
      <c r="E28" s="103">
        <v>0</v>
      </c>
      <c r="F28" s="103">
        <v>0</v>
      </c>
      <c r="G28" s="103">
        <v>0</v>
      </c>
      <c r="H28" s="103" t="s">
        <v>1617</v>
      </c>
      <c r="I28" s="103" t="s">
        <v>1614</v>
      </c>
      <c r="J28" s="103" t="s">
        <v>13</v>
      </c>
      <c r="K28" s="103" t="s">
        <v>1284</v>
      </c>
      <c r="L28" s="103" t="s">
        <v>46</v>
      </c>
      <c r="M28" s="103" t="s">
        <v>22</v>
      </c>
      <c r="N28" s="103" t="s">
        <v>64</v>
      </c>
      <c r="O28" s="103" t="s">
        <v>305</v>
      </c>
      <c r="P28" s="103" t="s">
        <v>1615</v>
      </c>
      <c r="Q28" s="118" t="s">
        <v>1598</v>
      </c>
      <c r="R28" s="118" t="s">
        <v>1610</v>
      </c>
      <c r="U28" s="103">
        <v>0</v>
      </c>
      <c r="V28" s="73" t="str">
        <f>_xlfn.XLOOKUP(B28,'Non-Projects (RUN-BAU)'!C:C,'Non-Projects (RUN-BAU)'!B:B,"",0)</f>
        <v/>
      </c>
      <c r="W28" s="73" t="str">
        <f>_xlfn.XLOOKUP(A28,'Ongoing Projects'!B:B,'Ongoing Projects'!B:B,"",0)</f>
        <v/>
      </c>
      <c r="X28" s="73" t="str">
        <f>_xlfn.XLOOKUP(B28,'New Projects'!D:D,'New Projects'!C:C,"",0)</f>
        <v/>
      </c>
      <c r="Y28" s="73" t="str">
        <f t="shared" si="0"/>
        <v/>
      </c>
      <c r="Z28" s="74" t="str">
        <f t="shared" si="1"/>
        <v>Missing</v>
      </c>
      <c r="AA28" s="74" t="str">
        <f t="shared" si="2"/>
        <v>Critical</v>
      </c>
    </row>
    <row r="29" spans="1:27" x14ac:dyDescent="0.2">
      <c r="A29" s="103" t="s">
        <v>1680</v>
      </c>
      <c r="B29" s="103" t="s">
        <v>593</v>
      </c>
      <c r="D29" s="103">
        <v>100</v>
      </c>
      <c r="E29" s="103">
        <v>100</v>
      </c>
      <c r="F29" s="103">
        <v>0</v>
      </c>
      <c r="G29" s="103">
        <v>0</v>
      </c>
      <c r="H29" s="103" t="s">
        <v>1679</v>
      </c>
      <c r="I29" s="103" t="s">
        <v>1614</v>
      </c>
      <c r="J29" s="103" t="s">
        <v>13</v>
      </c>
      <c r="K29" s="103" t="s">
        <v>1284</v>
      </c>
      <c r="L29" s="103" t="s">
        <v>46</v>
      </c>
      <c r="M29" s="103" t="s">
        <v>22</v>
      </c>
      <c r="N29" s="103" t="s">
        <v>64</v>
      </c>
      <c r="O29" s="103" t="s">
        <v>305</v>
      </c>
      <c r="P29" s="103" t="s">
        <v>1615</v>
      </c>
      <c r="Q29" s="118" t="s">
        <v>1598</v>
      </c>
      <c r="R29" s="118" t="s">
        <v>1606</v>
      </c>
      <c r="U29" s="103">
        <v>0</v>
      </c>
      <c r="V29" s="73" t="str">
        <f>_xlfn.XLOOKUP(B29,'Non-Projects (RUN-BAU)'!C:C,'Non-Projects (RUN-BAU)'!B:B,"",0)</f>
        <v/>
      </c>
      <c r="W29" s="73" t="str">
        <f>_xlfn.XLOOKUP(A29,'Ongoing Projects'!B:B,'Ongoing Projects'!B:B,"",0)</f>
        <v/>
      </c>
      <c r="X29" s="73" t="str">
        <f>_xlfn.XLOOKUP(B29,'New Projects'!D:D,'New Projects'!C:C,"",0)</f>
        <v/>
      </c>
      <c r="Y29" s="73" t="str">
        <f t="shared" si="0"/>
        <v/>
      </c>
      <c r="Z29" s="74" t="str">
        <f t="shared" si="1"/>
        <v>Missing</v>
      </c>
      <c r="AA29" s="74" t="str">
        <f t="shared" si="2"/>
        <v>Critical</v>
      </c>
    </row>
    <row r="30" spans="1:27" x14ac:dyDescent="0.2">
      <c r="A30" s="103" t="s">
        <v>1681</v>
      </c>
      <c r="B30" s="103" t="s">
        <v>602</v>
      </c>
      <c r="D30" s="103">
        <v>70</v>
      </c>
      <c r="E30" s="103">
        <v>0</v>
      </c>
      <c r="F30" s="103">
        <v>0</v>
      </c>
      <c r="G30" s="103">
        <v>0</v>
      </c>
      <c r="H30" s="103" t="s">
        <v>1679</v>
      </c>
      <c r="I30" s="103" t="s">
        <v>1614</v>
      </c>
      <c r="J30" s="103" t="s">
        <v>13</v>
      </c>
      <c r="K30" s="103" t="s">
        <v>1284</v>
      </c>
      <c r="L30" s="103" t="s">
        <v>46</v>
      </c>
      <c r="M30" s="103" t="s">
        <v>22</v>
      </c>
      <c r="N30" s="103" t="s">
        <v>64</v>
      </c>
      <c r="O30" s="103" t="s">
        <v>305</v>
      </c>
      <c r="P30" s="103" t="s">
        <v>1615</v>
      </c>
      <c r="Q30" s="118" t="s">
        <v>1598</v>
      </c>
      <c r="R30" s="118" t="s">
        <v>1610</v>
      </c>
      <c r="U30" s="103">
        <v>0</v>
      </c>
      <c r="V30" s="73" t="str">
        <f>_xlfn.XLOOKUP(B30,'Non-Projects (RUN-BAU)'!C:C,'Non-Projects (RUN-BAU)'!B:B,"",0)</f>
        <v/>
      </c>
      <c r="W30" s="73" t="str">
        <f>_xlfn.XLOOKUP(A30,'Ongoing Projects'!B:B,'Ongoing Projects'!B:B,"",0)</f>
        <v/>
      </c>
      <c r="X30" s="73" t="str">
        <f>_xlfn.XLOOKUP(B30,'New Projects'!D:D,'New Projects'!C:C,"",0)</f>
        <v/>
      </c>
      <c r="Y30" s="73" t="str">
        <f t="shared" si="0"/>
        <v/>
      </c>
      <c r="Z30" s="74" t="str">
        <f t="shared" si="1"/>
        <v>Missing</v>
      </c>
      <c r="AA30" s="74" t="str">
        <f t="shared" si="2"/>
        <v>Critical</v>
      </c>
    </row>
    <row r="31" spans="1:27" x14ac:dyDescent="0.2">
      <c r="A31" s="103" t="s">
        <v>1682</v>
      </c>
      <c r="B31" s="103" t="s">
        <v>603</v>
      </c>
      <c r="D31" s="103">
        <v>0</v>
      </c>
      <c r="E31" s="103">
        <v>0</v>
      </c>
      <c r="F31" s="103">
        <v>0</v>
      </c>
      <c r="G31" s="103">
        <v>0</v>
      </c>
      <c r="H31" s="103" t="s">
        <v>1679</v>
      </c>
      <c r="I31" s="103" t="s">
        <v>1597</v>
      </c>
      <c r="J31" s="103" t="s">
        <v>13</v>
      </c>
      <c r="K31" s="103" t="s">
        <v>750</v>
      </c>
      <c r="L31" s="103" t="s">
        <v>51</v>
      </c>
      <c r="M31" s="103" t="s">
        <v>41</v>
      </c>
      <c r="N31" s="103" t="s">
        <v>64</v>
      </c>
      <c r="O31" s="103" t="s">
        <v>934</v>
      </c>
      <c r="Q31" s="118" t="s">
        <v>3851</v>
      </c>
      <c r="R31" s="118" t="s">
        <v>1605</v>
      </c>
      <c r="U31" s="103">
        <v>0</v>
      </c>
      <c r="V31" s="73" t="str">
        <f>_xlfn.XLOOKUP(B31,'Non-Projects (RUN-BAU)'!C:C,'Non-Projects (RUN-BAU)'!B:B,"",0)</f>
        <v/>
      </c>
      <c r="W31" s="73" t="str">
        <f>_xlfn.XLOOKUP(A31,'Ongoing Projects'!B:B,'Ongoing Projects'!B:B,"",0)</f>
        <v/>
      </c>
      <c r="X31" s="73" t="str">
        <f>_xlfn.XLOOKUP(B31,'New Projects'!D:D,'New Projects'!C:C,"",0)</f>
        <v/>
      </c>
      <c r="Y31" s="73" t="str">
        <f t="shared" si="0"/>
        <v/>
      </c>
      <c r="Z31" s="74" t="str">
        <f t="shared" si="1"/>
        <v>Missing</v>
      </c>
      <c r="AA31" s="74" t="str">
        <f t="shared" si="2"/>
        <v/>
      </c>
    </row>
    <row r="32" spans="1:27" x14ac:dyDescent="0.2">
      <c r="A32" s="103" t="s">
        <v>1689</v>
      </c>
      <c r="B32" s="103" t="s">
        <v>613</v>
      </c>
      <c r="D32" s="103">
        <v>0</v>
      </c>
      <c r="E32" s="103">
        <v>0</v>
      </c>
      <c r="F32" s="103">
        <v>150</v>
      </c>
      <c r="G32" s="103">
        <v>150</v>
      </c>
      <c r="H32" s="103" t="s">
        <v>1609</v>
      </c>
      <c r="I32" s="103" t="s">
        <v>1597</v>
      </c>
      <c r="J32" s="103" t="s">
        <v>13</v>
      </c>
      <c r="K32" s="103" t="s">
        <v>750</v>
      </c>
      <c r="L32" s="103" t="s">
        <v>46</v>
      </c>
      <c r="M32" s="103" t="s">
        <v>41</v>
      </c>
      <c r="N32" s="103" t="s">
        <v>64</v>
      </c>
      <c r="O32" s="103" t="s">
        <v>305</v>
      </c>
      <c r="Q32" s="118" t="s">
        <v>1607</v>
      </c>
      <c r="R32" s="118" t="s">
        <v>1599</v>
      </c>
      <c r="U32" s="103">
        <v>300</v>
      </c>
      <c r="V32" s="73" t="str">
        <f>_xlfn.XLOOKUP(B32,'Non-Projects (RUN-BAU)'!C:C,'Non-Projects (RUN-BAU)'!B:B,"",0)</f>
        <v/>
      </c>
      <c r="W32" s="73" t="str">
        <f>_xlfn.XLOOKUP(A32,'Ongoing Projects'!B:B,'Ongoing Projects'!B:B,"",0)</f>
        <v/>
      </c>
      <c r="X32" s="73" t="str">
        <f>_xlfn.XLOOKUP(B32,'New Projects'!D:D,'New Projects'!C:C,"",0)</f>
        <v/>
      </c>
      <c r="Y32" s="73" t="str">
        <f t="shared" si="0"/>
        <v/>
      </c>
      <c r="Z32" s="74" t="str">
        <f t="shared" si="1"/>
        <v>Missing</v>
      </c>
      <c r="AA32" s="74" t="str">
        <f t="shared" si="2"/>
        <v>Critical</v>
      </c>
    </row>
    <row r="33" spans="1:27" x14ac:dyDescent="0.2">
      <c r="A33" s="103" t="s">
        <v>1690</v>
      </c>
      <c r="B33" s="103" t="s">
        <v>626</v>
      </c>
      <c r="D33" s="103">
        <v>0</v>
      </c>
      <c r="E33" s="103">
        <v>0</v>
      </c>
      <c r="F33" s="103">
        <v>0</v>
      </c>
      <c r="G33" s="103">
        <v>220</v>
      </c>
      <c r="H33" s="103" t="s">
        <v>1232</v>
      </c>
      <c r="I33" s="103" t="s">
        <v>345</v>
      </c>
      <c r="J33" s="103" t="s">
        <v>13</v>
      </c>
      <c r="K33" s="103" t="s">
        <v>750</v>
      </c>
      <c r="L33" s="103" t="s">
        <v>46</v>
      </c>
      <c r="M33" s="103" t="s">
        <v>41</v>
      </c>
      <c r="N33" s="103" t="s">
        <v>64</v>
      </c>
      <c r="O33" s="103" t="s">
        <v>751</v>
      </c>
      <c r="Q33" s="118" t="s">
        <v>1604</v>
      </c>
      <c r="R33" s="118" t="s">
        <v>1599</v>
      </c>
      <c r="U33" s="103">
        <v>0</v>
      </c>
      <c r="V33" s="73" t="str">
        <f>_xlfn.XLOOKUP(B33,'Non-Projects (RUN-BAU)'!C:C,'Non-Projects (RUN-BAU)'!B:B,"",0)</f>
        <v/>
      </c>
      <c r="W33" s="73" t="str">
        <f>_xlfn.XLOOKUP(A33,'Ongoing Projects'!B:B,'Ongoing Projects'!B:B,"",0)</f>
        <v/>
      </c>
      <c r="X33" s="73" t="str">
        <f>_xlfn.XLOOKUP(B33,'New Projects'!D:D,'New Projects'!C:C,"",0)</f>
        <v/>
      </c>
      <c r="Y33" s="73" t="str">
        <f t="shared" si="0"/>
        <v/>
      </c>
      <c r="Z33" s="74" t="str">
        <f t="shared" si="1"/>
        <v>Missing</v>
      </c>
      <c r="AA33" s="74" t="str">
        <f t="shared" si="2"/>
        <v>Critical</v>
      </c>
    </row>
    <row r="34" spans="1:27" x14ac:dyDescent="0.2">
      <c r="A34" s="103" t="s">
        <v>1691</v>
      </c>
      <c r="B34" s="103" t="s">
        <v>627</v>
      </c>
      <c r="D34" s="103">
        <v>0</v>
      </c>
      <c r="E34" s="103">
        <v>0</v>
      </c>
      <c r="F34" s="103">
        <v>0</v>
      </c>
      <c r="G34" s="103">
        <v>0</v>
      </c>
      <c r="H34" s="103" t="s">
        <v>811</v>
      </c>
      <c r="I34" s="103" t="s">
        <v>1597</v>
      </c>
      <c r="J34" s="103" t="s">
        <v>20</v>
      </c>
      <c r="K34" s="103" t="s">
        <v>810</v>
      </c>
      <c r="L34" s="103" t="s">
        <v>1944</v>
      </c>
      <c r="M34" s="103" t="s">
        <v>41</v>
      </c>
      <c r="N34" s="103" t="s">
        <v>71</v>
      </c>
      <c r="O34" s="103" t="s">
        <v>305</v>
      </c>
      <c r="Q34" s="118" t="s">
        <v>3851</v>
      </c>
      <c r="R34" s="118" t="s">
        <v>1605</v>
      </c>
      <c r="U34" s="103">
        <v>0</v>
      </c>
      <c r="V34" s="73" t="str">
        <f>_xlfn.XLOOKUP(B34,'Non-Projects (RUN-BAU)'!C:C,'Non-Projects (RUN-BAU)'!B:B,"",0)</f>
        <v/>
      </c>
      <c r="W34" s="73" t="str">
        <f>_xlfn.XLOOKUP(A34,'Ongoing Projects'!B:B,'Ongoing Projects'!B:B,"",0)</f>
        <v/>
      </c>
      <c r="X34" s="73" t="str">
        <f>_xlfn.XLOOKUP(B34,'New Projects'!D:D,'New Projects'!C:C,"",0)</f>
        <v/>
      </c>
      <c r="Y34" s="73" t="str">
        <f t="shared" si="0"/>
        <v/>
      </c>
      <c r="Z34" s="74" t="str">
        <f t="shared" si="1"/>
        <v>Missing</v>
      </c>
      <c r="AA34" s="74" t="str">
        <f t="shared" si="2"/>
        <v/>
      </c>
    </row>
    <row r="35" spans="1:27" x14ac:dyDescent="0.2">
      <c r="A35" s="103" t="s">
        <v>1692</v>
      </c>
      <c r="B35" s="103" t="s">
        <v>628</v>
      </c>
      <c r="D35" s="103">
        <v>30</v>
      </c>
      <c r="E35" s="103">
        <v>30</v>
      </c>
      <c r="F35" s="103">
        <v>30</v>
      </c>
      <c r="G35" s="103">
        <v>30</v>
      </c>
      <c r="H35" s="103" t="s">
        <v>1694</v>
      </c>
      <c r="I35" s="103" t="s">
        <v>1614</v>
      </c>
      <c r="J35" s="103" t="s">
        <v>13</v>
      </c>
      <c r="K35" s="103" t="s">
        <v>1693</v>
      </c>
      <c r="L35" s="103" t="s">
        <v>46</v>
      </c>
      <c r="M35" s="103" t="s">
        <v>22</v>
      </c>
      <c r="N35" s="103" t="s">
        <v>74</v>
      </c>
      <c r="O35" s="103" t="s">
        <v>305</v>
      </c>
      <c r="P35" s="103" t="s">
        <v>1615</v>
      </c>
      <c r="Q35" s="118" t="s">
        <v>1598</v>
      </c>
      <c r="R35" s="118" t="s">
        <v>1599</v>
      </c>
      <c r="U35" s="103">
        <v>0</v>
      </c>
      <c r="V35" s="73" t="str">
        <f>_xlfn.XLOOKUP(B35,'Non-Projects (RUN-BAU)'!C:C,'Non-Projects (RUN-BAU)'!B:B,"",0)</f>
        <v/>
      </c>
      <c r="W35" s="73" t="str">
        <f>_xlfn.XLOOKUP(A35,'Ongoing Projects'!B:B,'Ongoing Projects'!B:B,"",0)</f>
        <v/>
      </c>
      <c r="X35" s="73" t="str">
        <f>_xlfn.XLOOKUP(B35,'New Projects'!D:D,'New Projects'!C:C,"",0)</f>
        <v/>
      </c>
      <c r="Y35" s="73" t="str">
        <f t="shared" si="0"/>
        <v/>
      </c>
      <c r="Z35" s="74" t="str">
        <f t="shared" si="1"/>
        <v>Missing</v>
      </c>
      <c r="AA35" s="74" t="str">
        <f t="shared" si="2"/>
        <v>Critical</v>
      </c>
    </row>
    <row r="36" spans="1:27" x14ac:dyDescent="0.2">
      <c r="A36" s="103" t="s">
        <v>1695</v>
      </c>
      <c r="B36" s="103" t="s">
        <v>629</v>
      </c>
      <c r="D36" s="103">
        <v>0</v>
      </c>
      <c r="E36" s="103">
        <v>0</v>
      </c>
      <c r="F36" s="103">
        <v>0</v>
      </c>
      <c r="G36" s="103">
        <v>0</v>
      </c>
      <c r="H36" s="103" t="s">
        <v>783</v>
      </c>
      <c r="K36" s="103" t="s">
        <v>810</v>
      </c>
      <c r="M36" s="103" t="s">
        <v>41</v>
      </c>
      <c r="N36" s="103" t="s">
        <v>71</v>
      </c>
      <c r="O36" s="103" t="s">
        <v>305</v>
      </c>
      <c r="Q36" s="118" t="s">
        <v>3851</v>
      </c>
      <c r="R36" s="118" t="s">
        <v>1605</v>
      </c>
      <c r="U36" s="103">
        <v>0</v>
      </c>
      <c r="V36" s="73" t="str">
        <f>_xlfn.XLOOKUP(B36,'Non-Projects (RUN-BAU)'!C:C,'Non-Projects (RUN-BAU)'!B:B,"",0)</f>
        <v/>
      </c>
      <c r="W36" s="73" t="str">
        <f>_xlfn.XLOOKUP(A36,'Ongoing Projects'!B:B,'Ongoing Projects'!B:B,"",0)</f>
        <v/>
      </c>
      <c r="X36" s="73" t="str">
        <f>_xlfn.XLOOKUP(B36,'New Projects'!D:D,'New Projects'!C:C,"",0)</f>
        <v/>
      </c>
      <c r="Y36" s="73" t="str">
        <f t="shared" si="0"/>
        <v/>
      </c>
      <c r="Z36" s="74" t="str">
        <f t="shared" si="1"/>
        <v>Missing</v>
      </c>
      <c r="AA36" s="74" t="str">
        <f t="shared" si="2"/>
        <v/>
      </c>
    </row>
    <row r="37" spans="1:27" x14ac:dyDescent="0.2">
      <c r="A37" s="103" t="s">
        <v>1696</v>
      </c>
      <c r="B37" s="103" t="s">
        <v>630</v>
      </c>
      <c r="D37" s="103">
        <v>0</v>
      </c>
      <c r="E37" s="103">
        <v>0</v>
      </c>
      <c r="F37" s="103">
        <v>0</v>
      </c>
      <c r="G37" s="103">
        <v>0</v>
      </c>
      <c r="H37" s="103" t="s">
        <v>1697</v>
      </c>
      <c r="J37" s="103" t="s">
        <v>732</v>
      </c>
      <c r="K37" s="103" t="s">
        <v>766</v>
      </c>
      <c r="L37" s="103" t="s">
        <v>57</v>
      </c>
      <c r="M37" s="103" t="s">
        <v>41</v>
      </c>
      <c r="N37" s="103" t="s">
        <v>68</v>
      </c>
      <c r="Q37" s="118" t="s">
        <v>3851</v>
      </c>
      <c r="R37" s="118" t="s">
        <v>1599</v>
      </c>
      <c r="U37" s="103">
        <v>0</v>
      </c>
      <c r="V37" s="73" t="str">
        <f>_xlfn.XLOOKUP(B37,'Non-Projects (RUN-BAU)'!C:C,'Non-Projects (RUN-BAU)'!B:B,"",0)</f>
        <v/>
      </c>
      <c r="W37" s="73" t="str">
        <f>_xlfn.XLOOKUP(A37,'Ongoing Projects'!B:B,'Ongoing Projects'!B:B,"",0)</f>
        <v/>
      </c>
      <c r="X37" s="73" t="str">
        <f>_xlfn.XLOOKUP(B37,'New Projects'!D:D,'New Projects'!C:C,"",0)</f>
        <v/>
      </c>
      <c r="Y37" s="73" t="str">
        <f t="shared" si="0"/>
        <v/>
      </c>
      <c r="Z37" s="74" t="str">
        <f t="shared" si="1"/>
        <v>Missing</v>
      </c>
      <c r="AA37" s="74" t="str">
        <f t="shared" si="2"/>
        <v/>
      </c>
    </row>
    <row r="38" spans="1:27" x14ac:dyDescent="0.2">
      <c r="A38" s="103" t="s">
        <v>1698</v>
      </c>
      <c r="B38" s="103" t="s">
        <v>643</v>
      </c>
      <c r="D38" s="103">
        <v>0</v>
      </c>
      <c r="E38" s="103">
        <v>0</v>
      </c>
      <c r="F38" s="103">
        <v>50</v>
      </c>
      <c r="G38" s="103">
        <v>90</v>
      </c>
      <c r="H38" s="103" t="s">
        <v>1699</v>
      </c>
      <c r="J38" s="103" t="s">
        <v>13</v>
      </c>
      <c r="K38" s="103" t="s">
        <v>1241</v>
      </c>
      <c r="L38" s="103" t="s">
        <v>46</v>
      </c>
      <c r="M38" s="103" t="s">
        <v>41</v>
      </c>
      <c r="N38" s="103" t="s">
        <v>74</v>
      </c>
      <c r="Q38" s="118" t="s">
        <v>1607</v>
      </c>
      <c r="R38" s="118" t="s">
        <v>1599</v>
      </c>
      <c r="U38" s="103">
        <v>0</v>
      </c>
      <c r="V38" s="73" t="str">
        <f>_xlfn.XLOOKUP(B38,'Non-Projects (RUN-BAU)'!C:C,'Non-Projects (RUN-BAU)'!B:B,"",0)</f>
        <v/>
      </c>
      <c r="W38" s="73" t="str">
        <f>_xlfn.XLOOKUP(A38,'Ongoing Projects'!B:B,'Ongoing Projects'!B:B,"",0)</f>
        <v/>
      </c>
      <c r="X38" s="73" t="str">
        <f>_xlfn.XLOOKUP(B38,'New Projects'!D:D,'New Projects'!C:C,"",0)</f>
        <v/>
      </c>
      <c r="Y38" s="73" t="str">
        <f t="shared" si="0"/>
        <v/>
      </c>
      <c r="Z38" s="74" t="str">
        <f t="shared" si="1"/>
        <v>Missing</v>
      </c>
      <c r="AA38" s="74" t="str">
        <f t="shared" si="2"/>
        <v>Critical</v>
      </c>
    </row>
    <row r="39" spans="1:27" x14ac:dyDescent="0.2">
      <c r="A39" s="103" t="s">
        <v>1700</v>
      </c>
      <c r="B39" s="103" t="s">
        <v>644</v>
      </c>
      <c r="D39" s="103">
        <v>0</v>
      </c>
      <c r="E39" s="103">
        <v>0</v>
      </c>
      <c r="F39" s="103">
        <v>0</v>
      </c>
      <c r="G39" s="103">
        <v>200</v>
      </c>
      <c r="H39" s="103" t="s">
        <v>1617</v>
      </c>
      <c r="I39" s="103" t="s">
        <v>1597</v>
      </c>
      <c r="J39" s="103" t="s">
        <v>13</v>
      </c>
      <c r="K39" s="103" t="s">
        <v>750</v>
      </c>
      <c r="L39" s="103" t="s">
        <v>46</v>
      </c>
      <c r="M39" s="103" t="s">
        <v>22</v>
      </c>
      <c r="N39" s="103" t="s">
        <v>64</v>
      </c>
      <c r="Q39" s="118" t="s">
        <v>1604</v>
      </c>
      <c r="R39" s="118" t="s">
        <v>1599</v>
      </c>
      <c r="U39" s="103">
        <v>0</v>
      </c>
      <c r="V39" s="73" t="str">
        <f>_xlfn.XLOOKUP(B39,'Non-Projects (RUN-BAU)'!C:C,'Non-Projects (RUN-BAU)'!B:B,"",0)</f>
        <v/>
      </c>
      <c r="W39" s="73" t="str">
        <f>_xlfn.XLOOKUP(A39,'Ongoing Projects'!B:B,'Ongoing Projects'!B:B,"",0)</f>
        <v/>
      </c>
      <c r="X39" s="73" t="str">
        <f>_xlfn.XLOOKUP(B39,'New Projects'!D:D,'New Projects'!C:C,"",0)</f>
        <v/>
      </c>
      <c r="Y39" s="73" t="str">
        <f t="shared" si="0"/>
        <v/>
      </c>
      <c r="Z39" s="74" t="str">
        <f t="shared" si="1"/>
        <v>Missing</v>
      </c>
      <c r="AA39" s="74" t="str">
        <f t="shared" si="2"/>
        <v>Critical</v>
      </c>
    </row>
    <row r="40" spans="1:27" x14ac:dyDescent="0.2">
      <c r="A40" s="103" t="s">
        <v>1703</v>
      </c>
      <c r="B40" s="103" t="s">
        <v>652</v>
      </c>
      <c r="D40" s="103">
        <v>0</v>
      </c>
      <c r="E40" s="103">
        <v>0</v>
      </c>
      <c r="F40" s="103">
        <v>0</v>
      </c>
      <c r="G40" s="103">
        <v>0</v>
      </c>
      <c r="H40" s="103" t="s">
        <v>811</v>
      </c>
      <c r="K40" s="103" t="s">
        <v>810</v>
      </c>
      <c r="M40" s="103" t="s">
        <v>41</v>
      </c>
      <c r="N40" s="103" t="s">
        <v>71</v>
      </c>
      <c r="Q40" s="118" t="s">
        <v>3851</v>
      </c>
      <c r="R40" s="118" t="s">
        <v>1605</v>
      </c>
      <c r="U40" s="103">
        <v>0</v>
      </c>
      <c r="V40" s="73" t="str">
        <f>_xlfn.XLOOKUP(B40,'Non-Projects (RUN-BAU)'!C:C,'Non-Projects (RUN-BAU)'!B:B,"",0)</f>
        <v/>
      </c>
      <c r="W40" s="73" t="str">
        <f>_xlfn.XLOOKUP(A40,'Ongoing Projects'!B:B,'Ongoing Projects'!B:B,"",0)</f>
        <v/>
      </c>
      <c r="X40" s="73" t="str">
        <f>_xlfn.XLOOKUP(B40,'New Projects'!D:D,'New Projects'!C:C,"",0)</f>
        <v/>
      </c>
      <c r="Y40" s="73" t="str">
        <f t="shared" si="0"/>
        <v/>
      </c>
      <c r="Z40" s="74" t="str">
        <f t="shared" si="1"/>
        <v>Missing</v>
      </c>
      <c r="AA40" s="74" t="str">
        <f t="shared" si="2"/>
        <v/>
      </c>
    </row>
    <row r="41" spans="1:27" x14ac:dyDescent="0.2">
      <c r="A41" s="103" t="s">
        <v>1704</v>
      </c>
      <c r="B41" s="103" t="s">
        <v>659</v>
      </c>
      <c r="D41" s="103">
        <v>0</v>
      </c>
      <c r="E41" s="103">
        <v>0</v>
      </c>
      <c r="F41" s="103">
        <v>0</v>
      </c>
      <c r="G41" s="103">
        <v>0</v>
      </c>
      <c r="H41" s="103" t="s">
        <v>1643</v>
      </c>
      <c r="I41" s="103" t="s">
        <v>1597</v>
      </c>
      <c r="K41" s="103" t="s">
        <v>1641</v>
      </c>
      <c r="M41" s="103" t="s">
        <v>41</v>
      </c>
      <c r="N41" s="103" t="s">
        <v>68</v>
      </c>
      <c r="Q41" s="118" t="s">
        <v>3851</v>
      </c>
      <c r="R41" s="118" t="s">
        <v>1599</v>
      </c>
      <c r="U41" s="103">
        <v>0</v>
      </c>
      <c r="V41" s="73" t="str">
        <f>_xlfn.XLOOKUP(B41,'Non-Projects (RUN-BAU)'!C:C,'Non-Projects (RUN-BAU)'!B:B,"",0)</f>
        <v/>
      </c>
      <c r="W41" s="73" t="str">
        <f>_xlfn.XLOOKUP(A41,'Ongoing Projects'!B:B,'Ongoing Projects'!B:B,"",0)</f>
        <v/>
      </c>
      <c r="X41" s="73" t="str">
        <f>_xlfn.XLOOKUP(B41,'New Projects'!D:D,'New Projects'!C:C,"",0)</f>
        <v/>
      </c>
      <c r="Y41" s="73" t="str">
        <f t="shared" si="0"/>
        <v/>
      </c>
      <c r="Z41" s="74" t="str">
        <f t="shared" si="1"/>
        <v>Missing</v>
      </c>
      <c r="AA41" s="74" t="str">
        <f t="shared" si="2"/>
        <v/>
      </c>
    </row>
    <row r="42" spans="1:27" x14ac:dyDescent="0.2">
      <c r="A42" s="103" t="s">
        <v>1705</v>
      </c>
      <c r="B42" s="103" t="s">
        <v>660</v>
      </c>
      <c r="D42" s="103">
        <v>0</v>
      </c>
      <c r="E42" s="103">
        <v>0</v>
      </c>
      <c r="F42" s="103">
        <v>0</v>
      </c>
      <c r="G42" s="103">
        <v>0</v>
      </c>
      <c r="H42" s="103" t="s">
        <v>1706</v>
      </c>
      <c r="J42" s="103" t="s">
        <v>20</v>
      </c>
      <c r="K42" s="103" t="s">
        <v>1224</v>
      </c>
      <c r="M42" s="103" t="s">
        <v>41</v>
      </c>
      <c r="N42" s="103" t="s">
        <v>71</v>
      </c>
      <c r="Q42" s="118" t="s">
        <v>3851</v>
      </c>
      <c r="R42" s="118" t="s">
        <v>1605</v>
      </c>
      <c r="U42" s="103">
        <v>0</v>
      </c>
      <c r="V42" s="73" t="str">
        <f>_xlfn.XLOOKUP(B42,'Non-Projects (RUN-BAU)'!C:C,'Non-Projects (RUN-BAU)'!B:B,"",0)</f>
        <v/>
      </c>
      <c r="W42" s="73" t="str">
        <f>_xlfn.XLOOKUP(A42,'Ongoing Projects'!B:B,'Ongoing Projects'!B:B,"",0)</f>
        <v/>
      </c>
      <c r="X42" s="73" t="str">
        <f>_xlfn.XLOOKUP(B42,'New Projects'!D:D,'New Projects'!C:C,"",0)</f>
        <v/>
      </c>
      <c r="Y42" s="73" t="str">
        <f t="shared" si="0"/>
        <v/>
      </c>
      <c r="Z42" s="74" t="str">
        <f t="shared" si="1"/>
        <v>Missing</v>
      </c>
      <c r="AA42" s="74" t="str">
        <f t="shared" si="2"/>
        <v/>
      </c>
    </row>
    <row r="43" spans="1:27" x14ac:dyDescent="0.2">
      <c r="A43" s="103" t="s">
        <v>1707</v>
      </c>
      <c r="B43" s="103" t="s">
        <v>661</v>
      </c>
      <c r="D43" s="103">
        <v>110</v>
      </c>
      <c r="E43" s="103">
        <v>120</v>
      </c>
      <c r="F43" s="103">
        <v>110</v>
      </c>
      <c r="G43" s="103">
        <v>110</v>
      </c>
      <c r="H43" s="103" t="s">
        <v>1709</v>
      </c>
      <c r="I43" s="103" t="s">
        <v>1945</v>
      </c>
      <c r="J43" s="103" t="s">
        <v>23</v>
      </c>
      <c r="K43" s="103" t="s">
        <v>1708</v>
      </c>
      <c r="L43" s="103" t="s">
        <v>51</v>
      </c>
      <c r="M43" s="103" t="s">
        <v>41</v>
      </c>
      <c r="N43" s="103" t="s">
        <v>71</v>
      </c>
      <c r="Q43" s="118" t="s">
        <v>1598</v>
      </c>
      <c r="R43" s="118" t="s">
        <v>1599</v>
      </c>
      <c r="U43" s="103">
        <v>0</v>
      </c>
      <c r="V43" s="73" t="str">
        <f>_xlfn.XLOOKUP(B43,'Non-Projects (RUN-BAU)'!C:C,'Non-Projects (RUN-BAU)'!B:B,"",0)</f>
        <v/>
      </c>
      <c r="W43" s="73" t="str">
        <f>_xlfn.XLOOKUP(A43,'Ongoing Projects'!B:B,'Ongoing Projects'!B:B,"",0)</f>
        <v/>
      </c>
      <c r="X43" s="73" t="str">
        <f>_xlfn.XLOOKUP(B43,'New Projects'!D:D,'New Projects'!C:C,"",0)</f>
        <v/>
      </c>
      <c r="Y43" s="73" t="str">
        <f t="shared" si="0"/>
        <v/>
      </c>
      <c r="Z43" s="74" t="str">
        <f t="shared" si="1"/>
        <v>Missing</v>
      </c>
      <c r="AA43" s="74" t="str">
        <f t="shared" si="2"/>
        <v/>
      </c>
    </row>
    <row r="44" spans="1:27" x14ac:dyDescent="0.2">
      <c r="A44" s="103" t="s">
        <v>1710</v>
      </c>
      <c r="B44" s="103" t="s">
        <v>662</v>
      </c>
      <c r="D44" s="103">
        <v>110</v>
      </c>
      <c r="E44" s="103">
        <v>140</v>
      </c>
      <c r="F44" s="103">
        <v>280</v>
      </c>
      <c r="G44" s="103">
        <v>290</v>
      </c>
      <c r="H44" s="103" t="s">
        <v>1709</v>
      </c>
      <c r="I44" s="103" t="s">
        <v>1945</v>
      </c>
      <c r="J44" s="103" t="s">
        <v>23</v>
      </c>
      <c r="K44" s="103" t="s">
        <v>1708</v>
      </c>
      <c r="L44" s="103" t="s">
        <v>51</v>
      </c>
      <c r="M44" s="103" t="s">
        <v>41</v>
      </c>
      <c r="N44" s="103" t="s">
        <v>71</v>
      </c>
      <c r="Q44" s="118" t="s">
        <v>1598</v>
      </c>
      <c r="R44" s="118" t="s">
        <v>1599</v>
      </c>
      <c r="U44" s="103">
        <v>0</v>
      </c>
      <c r="V44" s="73" t="str">
        <f>_xlfn.XLOOKUP(B44,'Non-Projects (RUN-BAU)'!C:C,'Non-Projects (RUN-BAU)'!B:B,"",0)</f>
        <v/>
      </c>
      <c r="W44" s="73" t="str">
        <f>_xlfn.XLOOKUP(A44,'Ongoing Projects'!B:B,'Ongoing Projects'!B:B,"",0)</f>
        <v/>
      </c>
      <c r="X44" s="73" t="str">
        <f>_xlfn.XLOOKUP(B44,'New Projects'!D:D,'New Projects'!C:C,"",0)</f>
        <v/>
      </c>
      <c r="Y44" s="73" t="str">
        <f t="shared" si="0"/>
        <v/>
      </c>
      <c r="Z44" s="74" t="str">
        <f t="shared" si="1"/>
        <v>Missing</v>
      </c>
      <c r="AA44" s="74" t="str">
        <f t="shared" si="2"/>
        <v/>
      </c>
    </row>
    <row r="45" spans="1:27" x14ac:dyDescent="0.2">
      <c r="A45" s="103" t="s">
        <v>1711</v>
      </c>
      <c r="B45" s="103" t="s">
        <v>663</v>
      </c>
      <c r="D45" s="103">
        <v>235</v>
      </c>
      <c r="E45" s="103">
        <v>245</v>
      </c>
      <c r="F45" s="103">
        <v>360</v>
      </c>
      <c r="G45" s="103">
        <v>290</v>
      </c>
      <c r="H45" s="103" t="s">
        <v>1709</v>
      </c>
      <c r="I45" s="103" t="s">
        <v>1945</v>
      </c>
      <c r="J45" s="103" t="s">
        <v>889</v>
      </c>
      <c r="K45" s="103" t="s">
        <v>1708</v>
      </c>
      <c r="L45" s="103" t="s">
        <v>53</v>
      </c>
      <c r="M45" s="103" t="s">
        <v>41</v>
      </c>
      <c r="N45" s="103" t="s">
        <v>71</v>
      </c>
      <c r="Q45" s="118" t="s">
        <v>1598</v>
      </c>
      <c r="R45" s="118" t="s">
        <v>1599</v>
      </c>
      <c r="U45" s="103">
        <v>0</v>
      </c>
      <c r="V45" s="73" t="str">
        <f>_xlfn.XLOOKUP(B45,'Non-Projects (RUN-BAU)'!C:C,'Non-Projects (RUN-BAU)'!B:B,"",0)</f>
        <v/>
      </c>
      <c r="W45" s="73" t="str">
        <f>_xlfn.XLOOKUP(A45,'Ongoing Projects'!B:B,'Ongoing Projects'!B:B,"",0)</f>
        <v/>
      </c>
      <c r="X45" s="73" t="str">
        <f>_xlfn.XLOOKUP(B45,'New Projects'!D:D,'New Projects'!C:C,"",0)</f>
        <v/>
      </c>
      <c r="Y45" s="73" t="str">
        <f t="shared" si="0"/>
        <v/>
      </c>
      <c r="Z45" s="74" t="str">
        <f t="shared" si="1"/>
        <v>Missing</v>
      </c>
      <c r="AA45" s="74" t="str">
        <f t="shared" si="2"/>
        <v/>
      </c>
    </row>
    <row r="46" spans="1:27" x14ac:dyDescent="0.2">
      <c r="A46" s="103" t="s">
        <v>1712</v>
      </c>
      <c r="B46" s="103" t="s">
        <v>664</v>
      </c>
      <c r="D46" s="103">
        <v>0</v>
      </c>
      <c r="E46" s="103">
        <v>0</v>
      </c>
      <c r="F46" s="103">
        <v>0</v>
      </c>
      <c r="G46" s="103">
        <v>0</v>
      </c>
      <c r="H46" s="103" t="s">
        <v>1638</v>
      </c>
      <c r="I46" s="103" t="s">
        <v>345</v>
      </c>
      <c r="K46" s="103" t="s">
        <v>1241</v>
      </c>
      <c r="L46" s="103" t="s">
        <v>46</v>
      </c>
      <c r="M46" s="103" t="s">
        <v>41</v>
      </c>
      <c r="N46" s="103" t="s">
        <v>74</v>
      </c>
      <c r="O46" s="103" t="s">
        <v>305</v>
      </c>
      <c r="Q46" s="118" t="s">
        <v>3851</v>
      </c>
      <c r="R46" s="118" t="s">
        <v>1605</v>
      </c>
      <c r="U46" s="103">
        <v>0</v>
      </c>
      <c r="V46" s="73" t="str">
        <f>_xlfn.XLOOKUP(B46,'Non-Projects (RUN-BAU)'!C:C,'Non-Projects (RUN-BAU)'!B:B,"",0)</f>
        <v/>
      </c>
      <c r="W46" s="73" t="str">
        <f>_xlfn.XLOOKUP(A46,'Ongoing Projects'!B:B,'Ongoing Projects'!B:B,"",0)</f>
        <v/>
      </c>
      <c r="X46" s="73" t="str">
        <f>_xlfn.XLOOKUP(B46,'New Projects'!D:D,'New Projects'!C:C,"",0)</f>
        <v/>
      </c>
      <c r="Y46" s="73" t="str">
        <f t="shared" si="0"/>
        <v/>
      </c>
      <c r="Z46" s="74" t="str">
        <f t="shared" si="1"/>
        <v>Missing</v>
      </c>
      <c r="AA46" s="74" t="str">
        <f t="shared" si="2"/>
        <v/>
      </c>
    </row>
    <row r="47" spans="1:27" x14ac:dyDescent="0.2">
      <c r="A47" s="103" t="s">
        <v>1713</v>
      </c>
      <c r="B47" s="103" t="s">
        <v>665</v>
      </c>
      <c r="D47" s="103">
        <v>0</v>
      </c>
      <c r="E47" s="103">
        <v>100</v>
      </c>
      <c r="F47" s="103">
        <v>100</v>
      </c>
      <c r="G47" s="103">
        <v>100</v>
      </c>
      <c r="H47" s="103" t="s">
        <v>1679</v>
      </c>
      <c r="I47" s="103" t="s">
        <v>345</v>
      </c>
      <c r="J47" s="103" t="s">
        <v>889</v>
      </c>
      <c r="K47" s="103" t="s">
        <v>750</v>
      </c>
      <c r="L47" s="103" t="s">
        <v>49</v>
      </c>
      <c r="M47" s="103" t="s">
        <v>41</v>
      </c>
      <c r="N47" s="103" t="s">
        <v>64</v>
      </c>
      <c r="P47" s="103" t="s">
        <v>1615</v>
      </c>
      <c r="Q47" s="118" t="s">
        <v>1601</v>
      </c>
      <c r="R47" s="118" t="s">
        <v>1599</v>
      </c>
      <c r="U47" s="103">
        <v>300</v>
      </c>
      <c r="V47" s="73" t="str">
        <f>_xlfn.XLOOKUP(B47,'Non-Projects (RUN-BAU)'!C:C,'Non-Projects (RUN-BAU)'!B:B,"",0)</f>
        <v/>
      </c>
      <c r="W47" s="73" t="str">
        <f>_xlfn.XLOOKUP(A47,'Ongoing Projects'!B:B,'Ongoing Projects'!B:B,"",0)</f>
        <v/>
      </c>
      <c r="X47" s="73" t="str">
        <f>_xlfn.XLOOKUP(B47,'New Projects'!D:D,'New Projects'!C:C,"",0)</f>
        <v/>
      </c>
      <c r="Y47" s="73" t="str">
        <f t="shared" si="0"/>
        <v/>
      </c>
      <c r="Z47" s="74" t="str">
        <f t="shared" si="1"/>
        <v>Missing</v>
      </c>
      <c r="AA47" s="74" t="str">
        <f t="shared" si="2"/>
        <v>Critical</v>
      </c>
    </row>
    <row r="48" spans="1:27" x14ac:dyDescent="0.2">
      <c r="A48" s="103" t="s">
        <v>1714</v>
      </c>
      <c r="B48" s="103" t="s">
        <v>666</v>
      </c>
      <c r="D48" s="103">
        <v>0</v>
      </c>
      <c r="E48" s="103">
        <v>100</v>
      </c>
      <c r="F48" s="103">
        <v>100</v>
      </c>
      <c r="G48" s="103">
        <v>100</v>
      </c>
      <c r="H48" s="103" t="s">
        <v>1679</v>
      </c>
      <c r="I48" s="103" t="s">
        <v>345</v>
      </c>
      <c r="J48" s="103" t="s">
        <v>889</v>
      </c>
      <c r="K48" s="103" t="s">
        <v>750</v>
      </c>
      <c r="L48" s="103" t="s">
        <v>49</v>
      </c>
      <c r="M48" s="103" t="s">
        <v>41</v>
      </c>
      <c r="N48" s="103" t="s">
        <v>64</v>
      </c>
      <c r="P48" s="103" t="s">
        <v>1615</v>
      </c>
      <c r="Q48" s="118" t="s">
        <v>1601</v>
      </c>
      <c r="R48" s="118" t="s">
        <v>1599</v>
      </c>
      <c r="U48" s="103">
        <v>300</v>
      </c>
      <c r="V48" s="73" t="str">
        <f>_xlfn.XLOOKUP(B48,'Non-Projects (RUN-BAU)'!C:C,'Non-Projects (RUN-BAU)'!B:B,"",0)</f>
        <v/>
      </c>
      <c r="W48" s="73" t="str">
        <f>_xlfn.XLOOKUP(A48,'Ongoing Projects'!B:B,'Ongoing Projects'!B:B,"",0)</f>
        <v/>
      </c>
      <c r="X48" s="73" t="str">
        <f>_xlfn.XLOOKUP(B48,'New Projects'!D:D,'New Projects'!C:C,"",0)</f>
        <v/>
      </c>
      <c r="Y48" s="73" t="str">
        <f t="shared" si="0"/>
        <v/>
      </c>
      <c r="Z48" s="74" t="str">
        <f t="shared" si="1"/>
        <v>Missing</v>
      </c>
      <c r="AA48" s="74" t="str">
        <f t="shared" si="2"/>
        <v>Critical</v>
      </c>
    </row>
    <row r="49" spans="1:27" x14ac:dyDescent="0.2">
      <c r="A49" s="103" t="s">
        <v>1719</v>
      </c>
      <c r="B49" s="103" t="s">
        <v>677</v>
      </c>
      <c r="D49" s="103">
        <v>150</v>
      </c>
      <c r="E49" s="103">
        <v>200</v>
      </c>
      <c r="F49" s="103">
        <v>0</v>
      </c>
      <c r="G49" s="103">
        <v>0</v>
      </c>
      <c r="H49" s="103" t="s">
        <v>1679</v>
      </c>
      <c r="I49" s="103" t="s">
        <v>345</v>
      </c>
      <c r="J49" s="103" t="s">
        <v>889</v>
      </c>
      <c r="K49" s="103" t="s">
        <v>750</v>
      </c>
      <c r="L49" s="103" t="s">
        <v>49</v>
      </c>
      <c r="M49" s="103" t="s">
        <v>41</v>
      </c>
      <c r="N49" s="103" t="s">
        <v>64</v>
      </c>
      <c r="P49" s="103" t="s">
        <v>1615</v>
      </c>
      <c r="Q49" s="118" t="s">
        <v>1598</v>
      </c>
      <c r="R49" s="118" t="s">
        <v>1606</v>
      </c>
      <c r="U49" s="103">
        <v>350</v>
      </c>
      <c r="V49" s="73" t="str">
        <f>_xlfn.XLOOKUP(B49,'Non-Projects (RUN-BAU)'!C:C,'Non-Projects (RUN-BAU)'!B:B,"",0)</f>
        <v/>
      </c>
      <c r="W49" s="73" t="str">
        <f>_xlfn.XLOOKUP(A49,'Ongoing Projects'!B:B,'Ongoing Projects'!B:B,"",0)</f>
        <v/>
      </c>
      <c r="X49" s="73" t="str">
        <f>_xlfn.XLOOKUP(B49,'New Projects'!D:D,'New Projects'!C:C,"",0)</f>
        <v/>
      </c>
      <c r="Y49" s="73" t="str">
        <f t="shared" si="0"/>
        <v/>
      </c>
      <c r="Z49" s="74" t="str">
        <f t="shared" si="1"/>
        <v>Missing</v>
      </c>
      <c r="AA49" s="74" t="str">
        <f t="shared" si="2"/>
        <v>Critical</v>
      </c>
    </row>
    <row r="50" spans="1:27" x14ac:dyDescent="0.2">
      <c r="A50" s="103" t="s">
        <v>1720</v>
      </c>
      <c r="B50" s="103" t="s">
        <v>678</v>
      </c>
      <c r="D50" s="103">
        <v>0</v>
      </c>
      <c r="E50" s="103">
        <v>0</v>
      </c>
      <c r="F50" s="103">
        <v>300</v>
      </c>
      <c r="G50" s="103">
        <v>350</v>
      </c>
      <c r="H50" s="103" t="s">
        <v>1643</v>
      </c>
      <c r="I50" s="103" t="s">
        <v>345</v>
      </c>
      <c r="K50" s="103" t="s">
        <v>766</v>
      </c>
      <c r="M50" s="103" t="s">
        <v>41</v>
      </c>
      <c r="N50" s="103" t="s">
        <v>68</v>
      </c>
      <c r="Q50" s="118" t="s">
        <v>1607</v>
      </c>
      <c r="R50" s="118" t="s">
        <v>1599</v>
      </c>
      <c r="U50" s="103">
        <v>0</v>
      </c>
      <c r="V50" s="73" t="str">
        <f>_xlfn.XLOOKUP(B50,'Non-Projects (RUN-BAU)'!C:C,'Non-Projects (RUN-BAU)'!B:B,"",0)</f>
        <v/>
      </c>
      <c r="W50" s="73" t="str">
        <f>_xlfn.XLOOKUP(A50,'Ongoing Projects'!B:B,'Ongoing Projects'!B:B,"",0)</f>
        <v/>
      </c>
      <c r="X50" s="73" t="str">
        <f>_xlfn.XLOOKUP(B50,'New Projects'!D:D,'New Projects'!C:C,"",0)</f>
        <v/>
      </c>
      <c r="Y50" s="73" t="str">
        <f t="shared" si="0"/>
        <v/>
      </c>
      <c r="Z50" s="74" t="str">
        <f t="shared" si="1"/>
        <v>Missing</v>
      </c>
      <c r="AA50" s="74" t="str">
        <f t="shared" si="2"/>
        <v>Critical</v>
      </c>
    </row>
    <row r="51" spans="1:27" x14ac:dyDescent="0.2">
      <c r="A51" s="103" t="s">
        <v>1721</v>
      </c>
      <c r="B51" s="103" t="s">
        <v>685</v>
      </c>
      <c r="D51" s="103">
        <v>0</v>
      </c>
      <c r="E51" s="103">
        <v>0</v>
      </c>
      <c r="F51" s="103">
        <v>0</v>
      </c>
      <c r="G51" s="103">
        <v>0</v>
      </c>
      <c r="H51" s="103" t="s">
        <v>1706</v>
      </c>
      <c r="J51" s="103" t="s">
        <v>13</v>
      </c>
      <c r="K51" s="103" t="s">
        <v>1224</v>
      </c>
      <c r="L51" s="103" t="s">
        <v>46</v>
      </c>
      <c r="M51" s="103" t="s">
        <v>41</v>
      </c>
      <c r="N51" s="103" t="s">
        <v>71</v>
      </c>
      <c r="Q51" s="118" t="s">
        <v>3851</v>
      </c>
      <c r="R51" s="118" t="s">
        <v>1605</v>
      </c>
      <c r="U51" s="103">
        <v>0</v>
      </c>
      <c r="V51" s="73" t="str">
        <f>_xlfn.XLOOKUP(B51,'Non-Projects (RUN-BAU)'!C:C,'Non-Projects (RUN-BAU)'!B:B,"",0)</f>
        <v/>
      </c>
      <c r="W51" s="73" t="str">
        <f>_xlfn.XLOOKUP(A51,'Ongoing Projects'!B:B,'Ongoing Projects'!B:B,"",0)</f>
        <v/>
      </c>
      <c r="X51" s="73" t="str">
        <f>_xlfn.XLOOKUP(B51,'New Projects'!D:D,'New Projects'!C:C,"",0)</f>
        <v/>
      </c>
      <c r="Y51" s="73" t="str">
        <f t="shared" si="0"/>
        <v/>
      </c>
      <c r="Z51" s="74" t="str">
        <f t="shared" si="1"/>
        <v>Missing</v>
      </c>
      <c r="AA51" s="74" t="str">
        <f t="shared" si="2"/>
        <v/>
      </c>
    </row>
    <row r="52" spans="1:27" x14ac:dyDescent="0.2">
      <c r="A52" s="103" t="s">
        <v>1722</v>
      </c>
      <c r="B52" s="103" t="s">
        <v>686</v>
      </c>
      <c r="D52" s="103">
        <v>60</v>
      </c>
      <c r="E52" s="103">
        <v>60</v>
      </c>
      <c r="F52" s="103">
        <v>60</v>
      </c>
      <c r="G52" s="103">
        <v>60</v>
      </c>
      <c r="H52" s="103" t="s">
        <v>1672</v>
      </c>
      <c r="I52" s="103" t="s">
        <v>345</v>
      </c>
      <c r="J52" s="103" t="s">
        <v>23</v>
      </c>
      <c r="K52" s="103" t="s">
        <v>766</v>
      </c>
      <c r="L52" s="103" t="s">
        <v>51</v>
      </c>
      <c r="M52" s="103" t="s">
        <v>41</v>
      </c>
      <c r="N52" s="103" t="s">
        <v>68</v>
      </c>
      <c r="Q52" s="118" t="s">
        <v>1598</v>
      </c>
      <c r="R52" s="118" t="s">
        <v>1599</v>
      </c>
      <c r="U52" s="103">
        <v>0</v>
      </c>
      <c r="V52" s="73" t="str">
        <f>_xlfn.XLOOKUP(B52,'Non-Projects (RUN-BAU)'!C:C,'Non-Projects (RUN-BAU)'!B:B,"",0)</f>
        <v/>
      </c>
      <c r="W52" s="73" t="str">
        <f>_xlfn.XLOOKUP(A52,'Ongoing Projects'!B:B,'Ongoing Projects'!B:B,"",0)</f>
        <v/>
      </c>
      <c r="X52" s="73" t="str">
        <f>_xlfn.XLOOKUP(B52,'New Projects'!D:D,'New Projects'!C:C,"",0)</f>
        <v/>
      </c>
      <c r="Y52" s="73" t="str">
        <f t="shared" si="0"/>
        <v/>
      </c>
      <c r="Z52" s="74" t="str">
        <f t="shared" si="1"/>
        <v>Missing</v>
      </c>
      <c r="AA52" s="74" t="str">
        <f t="shared" si="2"/>
        <v>Critical</v>
      </c>
    </row>
    <row r="53" spans="1:27" x14ac:dyDescent="0.2">
      <c r="A53" s="103" t="s">
        <v>1723</v>
      </c>
      <c r="B53" s="103" t="s">
        <v>687</v>
      </c>
      <c r="C53" s="103" t="s">
        <v>1946</v>
      </c>
      <c r="D53" s="103">
        <v>0</v>
      </c>
      <c r="E53" s="103">
        <v>0</v>
      </c>
      <c r="F53" s="103">
        <v>100</v>
      </c>
      <c r="G53" s="103">
        <v>50</v>
      </c>
      <c r="H53" s="103" t="s">
        <v>839</v>
      </c>
      <c r="I53" s="103" t="s">
        <v>1614</v>
      </c>
      <c r="J53" s="103" t="s">
        <v>13</v>
      </c>
      <c r="K53" s="103" t="s">
        <v>1284</v>
      </c>
      <c r="L53" s="103" t="s">
        <v>46</v>
      </c>
      <c r="M53" s="103" t="s">
        <v>22</v>
      </c>
      <c r="N53" s="103" t="s">
        <v>64</v>
      </c>
      <c r="O53" s="103" t="s">
        <v>787</v>
      </c>
      <c r="P53" s="103" t="s">
        <v>1615</v>
      </c>
      <c r="Q53" s="118" t="s">
        <v>1607</v>
      </c>
      <c r="R53" s="118" t="s">
        <v>1599</v>
      </c>
      <c r="U53" s="103">
        <v>0</v>
      </c>
      <c r="V53" s="73" t="str">
        <f>_xlfn.XLOOKUP(B53,'Non-Projects (RUN-BAU)'!C:C,'Non-Projects (RUN-BAU)'!B:B,"",0)</f>
        <v/>
      </c>
      <c r="W53" s="73" t="str">
        <f>_xlfn.XLOOKUP(A53,'Ongoing Projects'!B:B,'Ongoing Projects'!B:B,"",0)</f>
        <v/>
      </c>
      <c r="X53" s="73" t="str">
        <f>_xlfn.XLOOKUP(B53,'New Projects'!D:D,'New Projects'!C:C,"",0)</f>
        <v/>
      </c>
      <c r="Y53" s="73" t="str">
        <f t="shared" si="0"/>
        <v/>
      </c>
      <c r="Z53" s="74" t="str">
        <f t="shared" si="1"/>
        <v>Missing</v>
      </c>
      <c r="AA53" s="74" t="str">
        <f t="shared" si="2"/>
        <v>Critical</v>
      </c>
    </row>
    <row r="54" spans="1:27" x14ac:dyDescent="0.2">
      <c r="A54" s="103" t="s">
        <v>1724</v>
      </c>
      <c r="B54" s="103" t="s">
        <v>688</v>
      </c>
      <c r="D54" s="103">
        <v>36</v>
      </c>
      <c r="E54" s="103">
        <v>36</v>
      </c>
      <c r="F54" s="103">
        <v>36</v>
      </c>
      <c r="G54" s="103">
        <v>42</v>
      </c>
      <c r="H54" s="103" t="s">
        <v>1725</v>
      </c>
      <c r="I54" s="103" t="s">
        <v>1614</v>
      </c>
      <c r="M54" s="103" t="s">
        <v>41</v>
      </c>
      <c r="N54" s="103" t="s">
        <v>95</v>
      </c>
      <c r="P54" s="103" t="s">
        <v>1615</v>
      </c>
      <c r="Q54" s="118" t="s">
        <v>1598</v>
      </c>
      <c r="R54" s="118" t="s">
        <v>1599</v>
      </c>
      <c r="U54" s="103">
        <v>0</v>
      </c>
      <c r="V54" s="73" t="str">
        <f>_xlfn.XLOOKUP(B54,'Non-Projects (RUN-BAU)'!C:C,'Non-Projects (RUN-BAU)'!B:B,"",0)</f>
        <v/>
      </c>
      <c r="W54" s="73" t="str">
        <f>_xlfn.XLOOKUP(A54,'Ongoing Projects'!B:B,'Ongoing Projects'!B:B,"",0)</f>
        <v/>
      </c>
      <c r="X54" s="73" t="str">
        <f>_xlfn.XLOOKUP(B54,'New Projects'!D:D,'New Projects'!C:C,"",0)</f>
        <v/>
      </c>
      <c r="Y54" s="73" t="str">
        <f t="shared" si="0"/>
        <v/>
      </c>
      <c r="Z54" s="74" t="str">
        <f t="shared" si="1"/>
        <v>Missing</v>
      </c>
      <c r="AA54" s="74" t="str">
        <f t="shared" si="2"/>
        <v>Critical</v>
      </c>
    </row>
    <row r="55" spans="1:27" x14ac:dyDescent="0.2">
      <c r="A55" s="103" t="s">
        <v>1726</v>
      </c>
      <c r="B55" s="103" t="s">
        <v>689</v>
      </c>
      <c r="D55" s="103">
        <v>0</v>
      </c>
      <c r="E55" s="103">
        <v>0</v>
      </c>
      <c r="F55" s="103">
        <v>0</v>
      </c>
      <c r="G55" s="103">
        <v>0</v>
      </c>
      <c r="H55" s="103" t="s">
        <v>774</v>
      </c>
      <c r="I55" s="103" t="s">
        <v>1597</v>
      </c>
      <c r="J55" s="103" t="s">
        <v>13</v>
      </c>
      <c r="K55" s="103" t="s">
        <v>766</v>
      </c>
      <c r="L55" s="103" t="s">
        <v>46</v>
      </c>
      <c r="M55" s="103" t="s">
        <v>41</v>
      </c>
      <c r="N55" s="103" t="s">
        <v>68</v>
      </c>
      <c r="O55" s="103" t="s">
        <v>767</v>
      </c>
      <c r="Q55" s="118" t="s">
        <v>3851</v>
      </c>
      <c r="R55" s="118" t="s">
        <v>1605</v>
      </c>
      <c r="U55" s="103">
        <v>0</v>
      </c>
      <c r="V55" s="73" t="str">
        <f>_xlfn.XLOOKUP(B55,'Non-Projects (RUN-BAU)'!C:C,'Non-Projects (RUN-BAU)'!B:B,"",0)</f>
        <v/>
      </c>
      <c r="W55" s="73" t="str">
        <f>_xlfn.XLOOKUP(A55,'Ongoing Projects'!B:B,'Ongoing Projects'!B:B,"",0)</f>
        <v/>
      </c>
      <c r="X55" s="73" t="str">
        <f>_xlfn.XLOOKUP(B55,'New Projects'!D:D,'New Projects'!C:C,"",0)</f>
        <v/>
      </c>
      <c r="Y55" s="73" t="str">
        <f t="shared" si="0"/>
        <v/>
      </c>
      <c r="Z55" s="74" t="str">
        <f t="shared" si="1"/>
        <v>Missing</v>
      </c>
      <c r="AA55" s="74" t="str">
        <f t="shared" si="2"/>
        <v/>
      </c>
    </row>
    <row r="56" spans="1:27" x14ac:dyDescent="0.2">
      <c r="A56" s="103" t="s">
        <v>1728</v>
      </c>
      <c r="B56" s="103" t="s">
        <v>691</v>
      </c>
      <c r="D56" s="103">
        <v>55</v>
      </c>
      <c r="E56" s="103">
        <v>55</v>
      </c>
      <c r="F56" s="103">
        <v>55</v>
      </c>
      <c r="G56" s="103">
        <v>55</v>
      </c>
      <c r="H56" s="103" t="s">
        <v>1725</v>
      </c>
      <c r="I56" s="103" t="s">
        <v>1945</v>
      </c>
      <c r="M56" s="103" t="s">
        <v>41</v>
      </c>
      <c r="N56" s="103" t="s">
        <v>95</v>
      </c>
      <c r="Q56" s="118" t="s">
        <v>1598</v>
      </c>
      <c r="R56" s="118" t="s">
        <v>1599</v>
      </c>
      <c r="U56" s="103">
        <v>0</v>
      </c>
      <c r="V56" s="73" t="str">
        <f>_xlfn.XLOOKUP(B56,'Non-Projects (RUN-BAU)'!C:C,'Non-Projects (RUN-BAU)'!B:B,"",0)</f>
        <v/>
      </c>
      <c r="W56" s="73" t="str">
        <f>_xlfn.XLOOKUP(A56,'Ongoing Projects'!B:B,'Ongoing Projects'!B:B,"",0)</f>
        <v/>
      </c>
      <c r="X56" s="73" t="str">
        <f>_xlfn.XLOOKUP(B56,'New Projects'!D:D,'New Projects'!C:C,"",0)</f>
        <v/>
      </c>
      <c r="Y56" s="73" t="str">
        <f t="shared" si="0"/>
        <v/>
      </c>
      <c r="Z56" s="74" t="str">
        <f t="shared" si="1"/>
        <v>Missing</v>
      </c>
      <c r="AA56" s="74" t="str">
        <f t="shared" si="2"/>
        <v/>
      </c>
    </row>
    <row r="57" spans="1:27" x14ac:dyDescent="0.2">
      <c r="A57" s="103" t="s">
        <v>1729</v>
      </c>
      <c r="B57" s="103" t="s">
        <v>695</v>
      </c>
      <c r="D57" s="103">
        <v>0</v>
      </c>
      <c r="E57" s="103">
        <v>0</v>
      </c>
      <c r="F57" s="103">
        <v>0</v>
      </c>
      <c r="G57" s="103">
        <v>0</v>
      </c>
      <c r="H57" s="103" t="s">
        <v>771</v>
      </c>
      <c r="I57" s="103" t="s">
        <v>1597</v>
      </c>
      <c r="J57" s="103" t="s">
        <v>13</v>
      </c>
      <c r="K57" s="103" t="s">
        <v>766</v>
      </c>
      <c r="L57" s="103" t="s">
        <v>46</v>
      </c>
      <c r="M57" s="103" t="s">
        <v>41</v>
      </c>
      <c r="N57" s="103" t="s">
        <v>68</v>
      </c>
      <c r="Q57" s="118" t="s">
        <v>3851</v>
      </c>
      <c r="R57" s="118" t="s">
        <v>1605</v>
      </c>
      <c r="U57" s="103">
        <v>0</v>
      </c>
      <c r="V57" s="73" t="str">
        <f>_xlfn.XLOOKUP(B57,'Non-Projects (RUN-BAU)'!C:C,'Non-Projects (RUN-BAU)'!B:B,"",0)</f>
        <v/>
      </c>
      <c r="W57" s="73" t="str">
        <f>_xlfn.XLOOKUP(A57,'Ongoing Projects'!B:B,'Ongoing Projects'!B:B,"",0)</f>
        <v/>
      </c>
      <c r="X57" s="73" t="str">
        <f>_xlfn.XLOOKUP(B57,'New Projects'!D:D,'New Projects'!C:C,"",0)</f>
        <v/>
      </c>
      <c r="Y57" s="73" t="str">
        <f t="shared" si="0"/>
        <v/>
      </c>
      <c r="Z57" s="74" t="str">
        <f t="shared" si="1"/>
        <v>Missing</v>
      </c>
      <c r="AA57" s="74" t="str">
        <f t="shared" si="2"/>
        <v/>
      </c>
    </row>
    <row r="58" spans="1:27" x14ac:dyDescent="0.2">
      <c r="A58" s="103" t="s">
        <v>1730</v>
      </c>
      <c r="B58" s="103" t="s">
        <v>696</v>
      </c>
      <c r="D58" s="103">
        <v>0</v>
      </c>
      <c r="E58" s="103">
        <v>0</v>
      </c>
      <c r="F58" s="103">
        <v>70</v>
      </c>
      <c r="G58" s="103">
        <v>50</v>
      </c>
      <c r="H58" s="103" t="s">
        <v>1651</v>
      </c>
      <c r="I58" s="103" t="s">
        <v>1597</v>
      </c>
      <c r="J58" s="103" t="s">
        <v>13</v>
      </c>
      <c r="K58" s="103" t="s">
        <v>1241</v>
      </c>
      <c r="L58" s="103" t="s">
        <v>46</v>
      </c>
      <c r="M58" s="103" t="s">
        <v>22</v>
      </c>
      <c r="N58" s="103" t="s">
        <v>74</v>
      </c>
      <c r="O58" s="103" t="s">
        <v>305</v>
      </c>
      <c r="Q58" s="118" t="s">
        <v>1607</v>
      </c>
      <c r="R58" s="118" t="s">
        <v>1599</v>
      </c>
      <c r="U58" s="103">
        <v>0</v>
      </c>
      <c r="V58" s="73" t="str">
        <f>_xlfn.XLOOKUP(B58,'Non-Projects (RUN-BAU)'!C:C,'Non-Projects (RUN-BAU)'!B:B,"",0)</f>
        <v/>
      </c>
      <c r="W58" s="73" t="str">
        <f>_xlfn.XLOOKUP(A58,'Ongoing Projects'!B:B,'Ongoing Projects'!B:B,"",0)</f>
        <v/>
      </c>
      <c r="X58" s="73" t="str">
        <f>_xlfn.XLOOKUP(B58,'New Projects'!D:D,'New Projects'!C:C,"",0)</f>
        <v/>
      </c>
      <c r="Y58" s="73" t="str">
        <f t="shared" si="0"/>
        <v/>
      </c>
      <c r="Z58" s="74" t="str">
        <f t="shared" si="1"/>
        <v>Missing</v>
      </c>
      <c r="AA58" s="74" t="str">
        <f t="shared" si="2"/>
        <v>Critical</v>
      </c>
    </row>
    <row r="59" spans="1:27" x14ac:dyDescent="0.2">
      <c r="A59" s="103" t="s">
        <v>1731</v>
      </c>
      <c r="B59" s="103" t="s">
        <v>699</v>
      </c>
      <c r="D59" s="103">
        <v>100</v>
      </c>
      <c r="E59" s="103">
        <v>0</v>
      </c>
      <c r="F59" s="103">
        <v>0</v>
      </c>
      <c r="G59" s="103">
        <v>0</v>
      </c>
      <c r="H59" s="103" t="s">
        <v>1651</v>
      </c>
      <c r="I59" s="103" t="s">
        <v>1597</v>
      </c>
      <c r="J59" s="103" t="s">
        <v>13</v>
      </c>
      <c r="K59" s="103" t="s">
        <v>1241</v>
      </c>
      <c r="L59" s="103" t="s">
        <v>46</v>
      </c>
      <c r="M59" s="103" t="s">
        <v>41</v>
      </c>
      <c r="N59" s="103" t="s">
        <v>74</v>
      </c>
      <c r="O59" s="103" t="s">
        <v>305</v>
      </c>
      <c r="Q59" s="118" t="s">
        <v>1598</v>
      </c>
      <c r="R59" s="118" t="s">
        <v>1610</v>
      </c>
      <c r="U59" s="103">
        <v>0</v>
      </c>
      <c r="V59" s="73" t="str">
        <f>_xlfn.XLOOKUP(B59,'Non-Projects (RUN-BAU)'!C:C,'Non-Projects (RUN-BAU)'!B:B,"",0)</f>
        <v/>
      </c>
      <c r="W59" s="73" t="str">
        <f>_xlfn.XLOOKUP(A59,'Ongoing Projects'!B:B,'Ongoing Projects'!B:B,"",0)</f>
        <v/>
      </c>
      <c r="X59" s="73" t="str">
        <f>_xlfn.XLOOKUP(B59,'New Projects'!D:D,'New Projects'!C:C,"",0)</f>
        <v/>
      </c>
      <c r="Y59" s="73" t="str">
        <f t="shared" si="0"/>
        <v/>
      </c>
      <c r="Z59" s="74" t="str">
        <f t="shared" si="1"/>
        <v>Missing</v>
      </c>
      <c r="AA59" s="74" t="str">
        <f t="shared" si="2"/>
        <v>Critical</v>
      </c>
    </row>
    <row r="60" spans="1:27" x14ac:dyDescent="0.2">
      <c r="A60" s="103" t="s">
        <v>1733</v>
      </c>
      <c r="B60" s="103" t="s">
        <v>709</v>
      </c>
      <c r="C60" s="103" t="s">
        <v>1947</v>
      </c>
      <c r="D60" s="103">
        <v>0</v>
      </c>
      <c r="E60" s="103">
        <v>0</v>
      </c>
      <c r="F60" s="103">
        <v>20</v>
      </c>
      <c r="G60" s="103">
        <v>60</v>
      </c>
      <c r="H60" s="103" t="s">
        <v>1651</v>
      </c>
      <c r="I60" s="103" t="s">
        <v>1597</v>
      </c>
      <c r="J60" s="103" t="s">
        <v>13</v>
      </c>
      <c r="K60" s="103" t="s">
        <v>1241</v>
      </c>
      <c r="L60" s="103" t="s">
        <v>46</v>
      </c>
      <c r="M60" s="103" t="s">
        <v>22</v>
      </c>
      <c r="N60" s="103" t="s">
        <v>74</v>
      </c>
      <c r="O60" s="103" t="s">
        <v>1242</v>
      </c>
      <c r="Q60" s="118" t="s">
        <v>1607</v>
      </c>
      <c r="R60" s="118" t="s">
        <v>1599</v>
      </c>
      <c r="U60" s="103">
        <v>0</v>
      </c>
      <c r="V60" s="73" t="str">
        <f>_xlfn.XLOOKUP(B60,'Non-Projects (RUN-BAU)'!C:C,'Non-Projects (RUN-BAU)'!B:B,"",0)</f>
        <v/>
      </c>
      <c r="W60" s="73" t="str">
        <f>_xlfn.XLOOKUP(A60,'Ongoing Projects'!B:B,'Ongoing Projects'!B:B,"",0)</f>
        <v/>
      </c>
      <c r="X60" s="73" t="str">
        <f>_xlfn.XLOOKUP(B60,'New Projects'!D:D,'New Projects'!C:C,"",0)</f>
        <v/>
      </c>
      <c r="Y60" s="73" t="str">
        <f t="shared" si="0"/>
        <v/>
      </c>
      <c r="Z60" s="74" t="str">
        <f t="shared" si="1"/>
        <v>Missing</v>
      </c>
      <c r="AA60" s="74" t="str">
        <f t="shared" si="2"/>
        <v>Critical</v>
      </c>
    </row>
    <row r="61" spans="1:27" x14ac:dyDescent="0.2">
      <c r="A61" s="103" t="s">
        <v>296</v>
      </c>
      <c r="B61" s="103" t="s">
        <v>297</v>
      </c>
      <c r="D61" s="103">
        <v>210</v>
      </c>
      <c r="E61" s="103">
        <v>270</v>
      </c>
      <c r="F61" s="103">
        <v>305</v>
      </c>
      <c r="G61" s="103">
        <v>670</v>
      </c>
      <c r="H61" s="103" t="s">
        <v>1059</v>
      </c>
      <c r="I61" s="103" t="s">
        <v>1597</v>
      </c>
      <c r="J61" s="103" t="s">
        <v>23</v>
      </c>
      <c r="K61" s="103" t="s">
        <v>766</v>
      </c>
      <c r="L61" s="103" t="s">
        <v>51</v>
      </c>
      <c r="M61" s="103" t="s">
        <v>41</v>
      </c>
      <c r="N61" s="103" t="s">
        <v>68</v>
      </c>
      <c r="O61" s="103" t="s">
        <v>767</v>
      </c>
      <c r="Q61" s="118" t="s">
        <v>1598</v>
      </c>
      <c r="R61" s="118" t="s">
        <v>1599</v>
      </c>
      <c r="U61" s="103">
        <v>1455</v>
      </c>
      <c r="V61" s="73" t="str">
        <f>_xlfn.XLOOKUP(B61,'Non-Projects (RUN-BAU)'!C:C,'Non-Projects (RUN-BAU)'!B:B,"",0)</f>
        <v/>
      </c>
      <c r="W61" s="73" t="str">
        <f>_xlfn.XLOOKUP(A61,'Ongoing Projects'!B:B,'Ongoing Projects'!B:B,"",0)</f>
        <v/>
      </c>
      <c r="X61" s="73" t="str">
        <f>_xlfn.XLOOKUP(B61,'New Projects'!D:D,'New Projects'!C:C,"",0)</f>
        <v/>
      </c>
      <c r="Y61" s="73" t="str">
        <f t="shared" si="0"/>
        <v/>
      </c>
      <c r="Z61" s="74" t="str">
        <f t="shared" si="1"/>
        <v>Missing</v>
      </c>
      <c r="AA61" s="74" t="str">
        <f t="shared" si="2"/>
        <v>Critical</v>
      </c>
    </row>
    <row r="62" spans="1:27" x14ac:dyDescent="0.2">
      <c r="A62" s="103" t="s">
        <v>299</v>
      </c>
      <c r="B62" s="103" t="s">
        <v>300</v>
      </c>
      <c r="D62" s="103">
        <v>0</v>
      </c>
      <c r="E62" s="103">
        <v>100</v>
      </c>
      <c r="F62" s="103">
        <v>100</v>
      </c>
      <c r="G62" s="103">
        <v>100</v>
      </c>
      <c r="H62" s="103" t="s">
        <v>1059</v>
      </c>
      <c r="I62" s="103" t="s">
        <v>1597</v>
      </c>
      <c r="J62" s="103" t="s">
        <v>13</v>
      </c>
      <c r="K62" s="103" t="s">
        <v>766</v>
      </c>
      <c r="L62" s="103" t="s">
        <v>46</v>
      </c>
      <c r="M62" s="103" t="s">
        <v>41</v>
      </c>
      <c r="N62" s="103" t="s">
        <v>68</v>
      </c>
      <c r="O62" s="103" t="s">
        <v>767</v>
      </c>
      <c r="Q62" s="118" t="s">
        <v>1601</v>
      </c>
      <c r="R62" s="118" t="s">
        <v>1599</v>
      </c>
      <c r="U62" s="103">
        <v>300</v>
      </c>
      <c r="V62" s="73" t="str">
        <f>_xlfn.XLOOKUP(B62,'Non-Projects (RUN-BAU)'!C:C,'Non-Projects (RUN-BAU)'!B:B,"",0)</f>
        <v/>
      </c>
      <c r="W62" s="73" t="str">
        <f>_xlfn.XLOOKUP(A62,'Ongoing Projects'!B:B,'Ongoing Projects'!B:B,"",0)</f>
        <v/>
      </c>
      <c r="X62" s="73" t="str">
        <f>_xlfn.XLOOKUP(B62,'New Projects'!D:D,'New Projects'!C:C,"",0)</f>
        <v/>
      </c>
      <c r="Y62" s="73" t="str">
        <f t="shared" si="0"/>
        <v/>
      </c>
      <c r="Z62" s="74" t="str">
        <f t="shared" si="1"/>
        <v>Missing</v>
      </c>
      <c r="AA62" s="74" t="str">
        <f t="shared" si="2"/>
        <v>Critical</v>
      </c>
    </row>
    <row r="63" spans="1:27" x14ac:dyDescent="0.2">
      <c r="A63" s="103" t="s">
        <v>301</v>
      </c>
      <c r="B63" s="103" t="s">
        <v>302</v>
      </c>
      <c r="D63" s="103">
        <v>690</v>
      </c>
      <c r="E63" s="103">
        <v>1090</v>
      </c>
      <c r="F63" s="103">
        <v>293</v>
      </c>
      <c r="G63" s="103">
        <v>260</v>
      </c>
      <c r="H63" s="103" t="s">
        <v>1059</v>
      </c>
      <c r="I63" s="103" t="s">
        <v>1597</v>
      </c>
      <c r="J63" s="103" t="s">
        <v>13</v>
      </c>
      <c r="K63" s="103" t="s">
        <v>766</v>
      </c>
      <c r="L63" s="103" t="s">
        <v>46</v>
      </c>
      <c r="M63" s="103" t="s">
        <v>41</v>
      </c>
      <c r="N63" s="103" t="s">
        <v>68</v>
      </c>
      <c r="O63" s="103" t="s">
        <v>767</v>
      </c>
      <c r="Q63" s="118" t="s">
        <v>1598</v>
      </c>
      <c r="R63" s="118" t="s">
        <v>1599</v>
      </c>
      <c r="U63" s="103">
        <v>2333</v>
      </c>
      <c r="V63" s="73" t="str">
        <f>_xlfn.XLOOKUP(B63,'Non-Projects (RUN-BAU)'!C:C,'Non-Projects (RUN-BAU)'!B:B,"",0)</f>
        <v/>
      </c>
      <c r="W63" s="73" t="str">
        <f>_xlfn.XLOOKUP(A63,'Ongoing Projects'!B:B,'Ongoing Projects'!B:B,"",0)</f>
        <v/>
      </c>
      <c r="X63" s="73" t="str">
        <f>_xlfn.XLOOKUP(B63,'New Projects'!D:D,'New Projects'!C:C,"",0)</f>
        <v/>
      </c>
      <c r="Y63" s="73" t="str">
        <f t="shared" si="0"/>
        <v/>
      </c>
      <c r="Z63" s="74" t="str">
        <f t="shared" si="1"/>
        <v>Missing</v>
      </c>
      <c r="AA63" s="74" t="str">
        <f t="shared" si="2"/>
        <v>Critical</v>
      </c>
    </row>
    <row r="64" spans="1:27" x14ac:dyDescent="0.2">
      <c r="A64" s="103" t="s">
        <v>303</v>
      </c>
      <c r="B64" s="103" t="s">
        <v>304</v>
      </c>
      <c r="D64" s="103">
        <v>245</v>
      </c>
      <c r="E64" s="103">
        <v>450</v>
      </c>
      <c r="F64" s="103">
        <v>40</v>
      </c>
      <c r="G64" s="103">
        <v>20</v>
      </c>
      <c r="H64" s="103" t="s">
        <v>1059</v>
      </c>
      <c r="I64" s="103" t="s">
        <v>1597</v>
      </c>
      <c r="J64" s="103" t="s">
        <v>13</v>
      </c>
      <c r="K64" s="103" t="s">
        <v>766</v>
      </c>
      <c r="L64" s="103" t="s">
        <v>46</v>
      </c>
      <c r="M64" s="103" t="s">
        <v>41</v>
      </c>
      <c r="N64" s="103" t="s">
        <v>68</v>
      </c>
      <c r="O64" s="103" t="s">
        <v>767</v>
      </c>
      <c r="Q64" s="118" t="s">
        <v>1598</v>
      </c>
      <c r="R64" s="118" t="s">
        <v>1599</v>
      </c>
      <c r="U64" s="103">
        <v>755</v>
      </c>
      <c r="V64" s="73" t="str">
        <f>_xlfn.XLOOKUP(B64,'Non-Projects (RUN-BAU)'!C:C,'Non-Projects (RUN-BAU)'!B:B,"",0)</f>
        <v/>
      </c>
      <c r="W64" s="73" t="str">
        <f>_xlfn.XLOOKUP(A64,'Ongoing Projects'!B:B,'Ongoing Projects'!B:B,"",0)</f>
        <v/>
      </c>
      <c r="X64" s="73" t="str">
        <f>_xlfn.XLOOKUP(B64,'New Projects'!D:D,'New Projects'!C:C,"",0)</f>
        <v/>
      </c>
      <c r="Y64" s="73" t="str">
        <f t="shared" si="0"/>
        <v/>
      </c>
      <c r="Z64" s="74" t="str">
        <f t="shared" si="1"/>
        <v>Missing</v>
      </c>
      <c r="AA64" s="74" t="str">
        <f t="shared" si="2"/>
        <v>Critical</v>
      </c>
    </row>
    <row r="65" spans="1:27" x14ac:dyDescent="0.2">
      <c r="A65" s="103" t="s">
        <v>307</v>
      </c>
      <c r="B65" s="103" t="s">
        <v>308</v>
      </c>
      <c r="D65" s="103">
        <v>40</v>
      </c>
      <c r="E65" s="103">
        <v>40</v>
      </c>
      <c r="F65" s="103">
        <v>40</v>
      </c>
      <c r="G65" s="103">
        <v>40</v>
      </c>
      <c r="H65" s="103" t="s">
        <v>1059</v>
      </c>
      <c r="I65" s="103" t="s">
        <v>1597</v>
      </c>
      <c r="J65" s="103" t="s">
        <v>13</v>
      </c>
      <c r="K65" s="103" t="s">
        <v>766</v>
      </c>
      <c r="L65" s="103" t="s">
        <v>46</v>
      </c>
      <c r="M65" s="103" t="s">
        <v>41</v>
      </c>
      <c r="N65" s="103" t="s">
        <v>68</v>
      </c>
      <c r="O65" s="103" t="s">
        <v>767</v>
      </c>
      <c r="Q65" s="118" t="s">
        <v>1598</v>
      </c>
      <c r="R65" s="118" t="s">
        <v>1599</v>
      </c>
      <c r="U65" s="103">
        <v>160</v>
      </c>
      <c r="V65" s="73" t="str">
        <f>_xlfn.XLOOKUP(B65,'Non-Projects (RUN-BAU)'!C:C,'Non-Projects (RUN-BAU)'!B:B,"",0)</f>
        <v/>
      </c>
      <c r="W65" s="73" t="str">
        <f>_xlfn.XLOOKUP(A65,'Ongoing Projects'!B:B,'Ongoing Projects'!B:B,"",0)</f>
        <v/>
      </c>
      <c r="X65" s="73" t="str">
        <f>_xlfn.XLOOKUP(B65,'New Projects'!D:D,'New Projects'!C:C,"",0)</f>
        <v/>
      </c>
      <c r="Y65" s="73" t="str">
        <f t="shared" si="0"/>
        <v/>
      </c>
      <c r="Z65" s="74" t="str">
        <f t="shared" si="1"/>
        <v>Missing</v>
      </c>
      <c r="AA65" s="74" t="str">
        <f t="shared" si="2"/>
        <v>Critical</v>
      </c>
    </row>
    <row r="66" spans="1:27" x14ac:dyDescent="0.2">
      <c r="A66" s="103" t="s">
        <v>309</v>
      </c>
      <c r="B66" s="103" t="s">
        <v>310</v>
      </c>
      <c r="D66" s="103">
        <v>390</v>
      </c>
      <c r="E66" s="103">
        <v>550</v>
      </c>
      <c r="F66" s="103">
        <v>0</v>
      </c>
      <c r="G66" s="103">
        <v>0</v>
      </c>
      <c r="H66" s="103" t="s">
        <v>1059</v>
      </c>
      <c r="I66" s="103" t="s">
        <v>1597</v>
      </c>
      <c r="J66" s="103" t="s">
        <v>13</v>
      </c>
      <c r="K66" s="103" t="s">
        <v>766</v>
      </c>
      <c r="L66" s="103" t="s">
        <v>46</v>
      </c>
      <c r="M66" s="103" t="s">
        <v>41</v>
      </c>
      <c r="N66" s="103" t="s">
        <v>68</v>
      </c>
      <c r="O66" s="103" t="s">
        <v>767</v>
      </c>
      <c r="Q66" s="118" t="s">
        <v>1598</v>
      </c>
      <c r="R66" s="118" t="s">
        <v>1606</v>
      </c>
      <c r="U66" s="103">
        <v>940</v>
      </c>
      <c r="V66" s="73" t="str">
        <f>_xlfn.XLOOKUP(B66,'Non-Projects (RUN-BAU)'!C:C,'Non-Projects (RUN-BAU)'!B:B,"",0)</f>
        <v/>
      </c>
      <c r="W66" s="73" t="str">
        <f>_xlfn.XLOOKUP(A66,'Ongoing Projects'!B:B,'Ongoing Projects'!B:B,"",0)</f>
        <v/>
      </c>
      <c r="X66" s="73" t="str">
        <f>_xlfn.XLOOKUP(B66,'New Projects'!D:D,'New Projects'!C:C,"",0)</f>
        <v/>
      </c>
      <c r="Y66" s="73" t="str">
        <f t="shared" si="0"/>
        <v/>
      </c>
      <c r="Z66" s="74" t="str">
        <f t="shared" si="1"/>
        <v>Missing</v>
      </c>
      <c r="AA66" s="74" t="str">
        <f t="shared" si="2"/>
        <v>Critical</v>
      </c>
    </row>
    <row r="67" spans="1:27" x14ac:dyDescent="0.2">
      <c r="A67" s="103" t="s">
        <v>313</v>
      </c>
      <c r="B67" s="103" t="s">
        <v>314</v>
      </c>
      <c r="D67" s="103">
        <v>0</v>
      </c>
      <c r="E67" s="103">
        <v>0</v>
      </c>
      <c r="F67" s="103">
        <v>920</v>
      </c>
      <c r="G67" s="103">
        <v>0</v>
      </c>
      <c r="H67" s="103" t="s">
        <v>1059</v>
      </c>
      <c r="I67" s="103" t="s">
        <v>1597</v>
      </c>
      <c r="J67" s="103" t="s">
        <v>13</v>
      </c>
      <c r="K67" s="103" t="s">
        <v>766</v>
      </c>
      <c r="L67" s="103" t="s">
        <v>46</v>
      </c>
      <c r="M67" s="103" t="s">
        <v>41</v>
      </c>
      <c r="N67" s="103" t="s">
        <v>68</v>
      </c>
      <c r="O67" s="103" t="s">
        <v>767</v>
      </c>
      <c r="Q67" s="118" t="s">
        <v>1607</v>
      </c>
      <c r="R67" s="118" t="s">
        <v>1608</v>
      </c>
      <c r="U67" s="103">
        <v>920</v>
      </c>
      <c r="V67" s="73" t="str">
        <f>_xlfn.XLOOKUP(B67,'Non-Projects (RUN-BAU)'!C:C,'Non-Projects (RUN-BAU)'!B:B,"",0)</f>
        <v/>
      </c>
      <c r="W67" s="73" t="str">
        <f>_xlfn.XLOOKUP(A67,'Ongoing Projects'!B:B,'Ongoing Projects'!B:B,"",0)</f>
        <v/>
      </c>
      <c r="X67" s="73" t="str">
        <f>_xlfn.XLOOKUP(B67,'New Projects'!D:D,'New Projects'!C:C,"",0)</f>
        <v/>
      </c>
      <c r="Y67" s="73" t="str">
        <f t="shared" ref="Y67:Y130" si="3">V67&amp;W67&amp;X67</f>
        <v/>
      </c>
      <c r="Z67" s="74" t="str">
        <f t="shared" ref="Z67:Z130" si="4">IF(AND(V67="",W67="",X67=""),"Missing",IF(Y67=A67,"","Don't match"))</f>
        <v>Missing</v>
      </c>
      <c r="AA67" s="74" t="str">
        <f t="shared" ref="AA67:AA130" si="5">IF(AND(Z67&lt;&gt;"",SUM(D67:G67)&lt;&gt;0,I67&lt;&gt;"Not Acceptance"),"Critical", "")</f>
        <v>Critical</v>
      </c>
    </row>
    <row r="68" spans="1:27" x14ac:dyDescent="0.2">
      <c r="A68" s="103" t="s">
        <v>315</v>
      </c>
      <c r="B68" s="103" t="s">
        <v>316</v>
      </c>
      <c r="D68" s="103">
        <v>0</v>
      </c>
      <c r="E68" s="103">
        <v>0</v>
      </c>
      <c r="F68" s="103">
        <v>25</v>
      </c>
      <c r="G68" s="103">
        <v>25</v>
      </c>
      <c r="H68" s="103" t="s">
        <v>1609</v>
      </c>
      <c r="I68" s="103" t="s">
        <v>1597</v>
      </c>
      <c r="J68" s="103" t="s">
        <v>13</v>
      </c>
      <c r="K68" s="103" t="s">
        <v>898</v>
      </c>
      <c r="L68" s="103" t="s">
        <v>46</v>
      </c>
      <c r="M68" s="103" t="s">
        <v>41</v>
      </c>
      <c r="N68" s="103" t="s">
        <v>71</v>
      </c>
      <c r="O68" s="103" t="s">
        <v>779</v>
      </c>
      <c r="Q68" s="118" t="s">
        <v>1607</v>
      </c>
      <c r="R68" s="118" t="s">
        <v>1599</v>
      </c>
      <c r="U68" s="103">
        <v>50</v>
      </c>
      <c r="V68" s="73" t="str">
        <f>_xlfn.XLOOKUP(B68,'Non-Projects (RUN-BAU)'!C:C,'Non-Projects (RUN-BAU)'!B:B,"",0)</f>
        <v/>
      </c>
      <c r="W68" s="73" t="str">
        <f>_xlfn.XLOOKUP(A68,'Ongoing Projects'!B:B,'Ongoing Projects'!B:B,"",0)</f>
        <v/>
      </c>
      <c r="X68" s="73" t="str">
        <f>_xlfn.XLOOKUP(B68,'New Projects'!D:D,'New Projects'!C:C,"",0)</f>
        <v/>
      </c>
      <c r="Y68" s="73" t="str">
        <f t="shared" si="3"/>
        <v/>
      </c>
      <c r="Z68" s="74" t="str">
        <f t="shared" si="4"/>
        <v>Missing</v>
      </c>
      <c r="AA68" s="74" t="str">
        <f t="shared" si="5"/>
        <v>Critical</v>
      </c>
    </row>
    <row r="69" spans="1:27" x14ac:dyDescent="0.2">
      <c r="A69" s="103" t="s">
        <v>317</v>
      </c>
      <c r="B69" s="103" t="s">
        <v>318</v>
      </c>
      <c r="D69" s="103">
        <v>0</v>
      </c>
      <c r="E69" s="103">
        <v>0</v>
      </c>
      <c r="F69" s="103">
        <v>0</v>
      </c>
      <c r="G69" s="103">
        <v>575</v>
      </c>
      <c r="H69" s="103" t="s">
        <v>1059</v>
      </c>
      <c r="I69" s="103" t="s">
        <v>1597</v>
      </c>
      <c r="J69" s="103" t="s">
        <v>23</v>
      </c>
      <c r="K69" s="103" t="s">
        <v>766</v>
      </c>
      <c r="L69" s="103" t="s">
        <v>51</v>
      </c>
      <c r="M69" s="103" t="s">
        <v>43</v>
      </c>
      <c r="N69" s="103" t="s">
        <v>68</v>
      </c>
      <c r="O69" s="103" t="s">
        <v>767</v>
      </c>
      <c r="Q69" s="118" t="s">
        <v>1604</v>
      </c>
      <c r="R69" s="118" t="s">
        <v>1599</v>
      </c>
      <c r="U69" s="103">
        <v>575</v>
      </c>
      <c r="V69" s="73" t="str">
        <f>_xlfn.XLOOKUP(B69,'Non-Projects (RUN-BAU)'!C:C,'Non-Projects (RUN-BAU)'!B:B,"",0)</f>
        <v/>
      </c>
      <c r="W69" s="73" t="str">
        <f>_xlfn.XLOOKUP(A69,'Ongoing Projects'!B:B,'Ongoing Projects'!B:B,"",0)</f>
        <v/>
      </c>
      <c r="X69" s="73" t="str">
        <f>_xlfn.XLOOKUP(B69,'New Projects'!D:D,'New Projects'!C:C,"",0)</f>
        <v/>
      </c>
      <c r="Y69" s="73" t="str">
        <f t="shared" si="3"/>
        <v/>
      </c>
      <c r="Z69" s="74" t="str">
        <f t="shared" si="4"/>
        <v>Missing</v>
      </c>
      <c r="AA69" s="74" t="str">
        <f t="shared" si="5"/>
        <v>Critical</v>
      </c>
    </row>
    <row r="70" spans="1:27" x14ac:dyDescent="0.2">
      <c r="A70" s="103" t="s">
        <v>319</v>
      </c>
      <c r="B70" s="103" t="s">
        <v>320</v>
      </c>
      <c r="D70" s="103">
        <v>250</v>
      </c>
      <c r="E70" s="103">
        <v>0</v>
      </c>
      <c r="F70" s="103">
        <v>0</v>
      </c>
      <c r="G70" s="103">
        <v>0</v>
      </c>
      <c r="H70" s="103" t="s">
        <v>985</v>
      </c>
      <c r="I70" s="103" t="s">
        <v>1597</v>
      </c>
      <c r="J70" s="103" t="s">
        <v>23</v>
      </c>
      <c r="K70" s="103" t="s">
        <v>984</v>
      </c>
      <c r="L70" s="103" t="s">
        <v>51</v>
      </c>
      <c r="M70" s="103" t="s">
        <v>43</v>
      </c>
      <c r="N70" s="103" t="s">
        <v>64</v>
      </c>
      <c r="O70" s="103" t="s">
        <v>934</v>
      </c>
      <c r="Q70" s="118" t="s">
        <v>1598</v>
      </c>
      <c r="R70" s="118" t="s">
        <v>1610</v>
      </c>
      <c r="U70" s="103">
        <v>250</v>
      </c>
      <c r="V70" s="73" t="str">
        <f>_xlfn.XLOOKUP(B70,'Non-Projects (RUN-BAU)'!C:C,'Non-Projects (RUN-BAU)'!B:B,"",0)</f>
        <v/>
      </c>
      <c r="W70" s="73" t="str">
        <f>_xlfn.XLOOKUP(A70,'Ongoing Projects'!B:B,'Ongoing Projects'!B:B,"",0)</f>
        <v/>
      </c>
      <c r="X70" s="73" t="str">
        <f>_xlfn.XLOOKUP(B70,'New Projects'!D:D,'New Projects'!C:C,"",0)</f>
        <v/>
      </c>
      <c r="Y70" s="73" t="str">
        <f t="shared" si="3"/>
        <v/>
      </c>
      <c r="Z70" s="74" t="str">
        <f t="shared" si="4"/>
        <v>Missing</v>
      </c>
      <c r="AA70" s="74" t="str">
        <f t="shared" si="5"/>
        <v>Critical</v>
      </c>
    </row>
    <row r="71" spans="1:27" x14ac:dyDescent="0.2">
      <c r="A71" s="103" t="s">
        <v>321</v>
      </c>
      <c r="B71" s="103" t="s">
        <v>322</v>
      </c>
      <c r="D71" s="103">
        <v>0</v>
      </c>
      <c r="E71" s="103">
        <v>0</v>
      </c>
      <c r="F71" s="103">
        <v>175</v>
      </c>
      <c r="G71" s="103">
        <v>200</v>
      </c>
      <c r="H71" s="103" t="s">
        <v>985</v>
      </c>
      <c r="I71" s="103" t="s">
        <v>1597</v>
      </c>
      <c r="J71" s="103" t="s">
        <v>23</v>
      </c>
      <c r="K71" s="103" t="s">
        <v>984</v>
      </c>
      <c r="L71" s="103" t="s">
        <v>51</v>
      </c>
      <c r="M71" s="103" t="s">
        <v>43</v>
      </c>
      <c r="N71" s="103" t="s">
        <v>64</v>
      </c>
      <c r="O71" s="103" t="s">
        <v>934</v>
      </c>
      <c r="Q71" s="118" t="s">
        <v>1607</v>
      </c>
      <c r="R71" s="118" t="s">
        <v>1599</v>
      </c>
      <c r="U71" s="103">
        <v>375</v>
      </c>
      <c r="V71" s="73" t="str">
        <f>_xlfn.XLOOKUP(B71,'Non-Projects (RUN-BAU)'!C:C,'Non-Projects (RUN-BAU)'!B:B,"",0)</f>
        <v/>
      </c>
      <c r="W71" s="73" t="str">
        <f>_xlfn.XLOOKUP(A71,'Ongoing Projects'!B:B,'Ongoing Projects'!B:B,"",0)</f>
        <v/>
      </c>
      <c r="X71" s="73" t="str">
        <f>_xlfn.XLOOKUP(B71,'New Projects'!D:D,'New Projects'!C:C,"",0)</f>
        <v/>
      </c>
      <c r="Y71" s="73" t="str">
        <f t="shared" si="3"/>
        <v/>
      </c>
      <c r="Z71" s="74" t="str">
        <f t="shared" si="4"/>
        <v>Missing</v>
      </c>
      <c r="AA71" s="74" t="str">
        <f t="shared" si="5"/>
        <v>Critical</v>
      </c>
    </row>
    <row r="72" spans="1:27" x14ac:dyDescent="0.2">
      <c r="A72" s="103" t="s">
        <v>323</v>
      </c>
      <c r="B72" s="103" t="s">
        <v>324</v>
      </c>
      <c r="D72" s="103">
        <v>100</v>
      </c>
      <c r="E72" s="103">
        <v>350</v>
      </c>
      <c r="F72" s="103">
        <v>100</v>
      </c>
      <c r="G72" s="103">
        <v>0</v>
      </c>
      <c r="H72" s="103" t="s">
        <v>985</v>
      </c>
      <c r="I72" s="103" t="s">
        <v>1597</v>
      </c>
      <c r="J72" s="103" t="s">
        <v>13</v>
      </c>
      <c r="K72" s="103" t="s">
        <v>984</v>
      </c>
      <c r="L72" s="103" t="s">
        <v>46</v>
      </c>
      <c r="M72" s="103" t="s">
        <v>22</v>
      </c>
      <c r="N72" s="103" t="s">
        <v>64</v>
      </c>
      <c r="O72" s="103" t="s">
        <v>934</v>
      </c>
      <c r="Q72" s="118" t="s">
        <v>1598</v>
      </c>
      <c r="R72" s="118" t="s">
        <v>1608</v>
      </c>
      <c r="U72" s="103">
        <v>550</v>
      </c>
      <c r="V72" s="73" t="str">
        <f>_xlfn.XLOOKUP(B72,'Non-Projects (RUN-BAU)'!C:C,'Non-Projects (RUN-BAU)'!B:B,"",0)</f>
        <v/>
      </c>
      <c r="W72" s="73" t="str">
        <f>_xlfn.XLOOKUP(A72,'Ongoing Projects'!B:B,'Ongoing Projects'!B:B,"",0)</f>
        <v/>
      </c>
      <c r="X72" s="73" t="str">
        <f>_xlfn.XLOOKUP(B72,'New Projects'!D:D,'New Projects'!C:C,"",0)</f>
        <v/>
      </c>
      <c r="Y72" s="73" t="str">
        <f t="shared" si="3"/>
        <v/>
      </c>
      <c r="Z72" s="74" t="str">
        <f t="shared" si="4"/>
        <v>Missing</v>
      </c>
      <c r="AA72" s="74" t="str">
        <f t="shared" si="5"/>
        <v>Critical</v>
      </c>
    </row>
    <row r="73" spans="1:27" x14ac:dyDescent="0.2">
      <c r="A73" s="103" t="s">
        <v>325</v>
      </c>
      <c r="B73" s="103" t="s">
        <v>326</v>
      </c>
      <c r="D73" s="103">
        <v>0</v>
      </c>
      <c r="E73" s="103">
        <v>80</v>
      </c>
      <c r="F73" s="103">
        <v>300</v>
      </c>
      <c r="G73" s="103">
        <v>300</v>
      </c>
      <c r="H73" s="103" t="s">
        <v>985</v>
      </c>
      <c r="I73" s="103" t="s">
        <v>1597</v>
      </c>
      <c r="J73" s="103" t="s">
        <v>13</v>
      </c>
      <c r="K73" s="103" t="s">
        <v>984</v>
      </c>
      <c r="L73" s="103" t="s">
        <v>46</v>
      </c>
      <c r="M73" s="103" t="s">
        <v>22</v>
      </c>
      <c r="N73" s="103" t="s">
        <v>64</v>
      </c>
      <c r="O73" s="103" t="s">
        <v>934</v>
      </c>
      <c r="Q73" s="118" t="s">
        <v>1601</v>
      </c>
      <c r="R73" s="118" t="s">
        <v>1599</v>
      </c>
      <c r="U73" s="103">
        <v>680</v>
      </c>
      <c r="V73" s="73" t="str">
        <f>_xlfn.XLOOKUP(B73,'Non-Projects (RUN-BAU)'!C:C,'Non-Projects (RUN-BAU)'!B:B,"",0)</f>
        <v/>
      </c>
      <c r="W73" s="73" t="str">
        <f>_xlfn.XLOOKUP(A73,'Ongoing Projects'!B:B,'Ongoing Projects'!B:B,"",0)</f>
        <v/>
      </c>
      <c r="X73" s="73" t="str">
        <f>_xlfn.XLOOKUP(B73,'New Projects'!D:D,'New Projects'!C:C,"",0)</f>
        <v/>
      </c>
      <c r="Y73" s="73" t="str">
        <f t="shared" si="3"/>
        <v/>
      </c>
      <c r="Z73" s="74" t="str">
        <f t="shared" si="4"/>
        <v>Missing</v>
      </c>
      <c r="AA73" s="74" t="str">
        <f t="shared" si="5"/>
        <v>Critical</v>
      </c>
    </row>
    <row r="74" spans="1:27" x14ac:dyDescent="0.2">
      <c r="A74" s="103" t="s">
        <v>327</v>
      </c>
      <c r="B74" s="103" t="s">
        <v>328</v>
      </c>
      <c r="D74" s="103">
        <v>90</v>
      </c>
      <c r="E74" s="103">
        <v>90</v>
      </c>
      <c r="F74" s="103">
        <v>0</v>
      </c>
      <c r="G74" s="103">
        <v>0</v>
      </c>
      <c r="H74" s="103" t="s">
        <v>985</v>
      </c>
      <c r="I74" s="103" t="s">
        <v>1597</v>
      </c>
      <c r="J74" s="103" t="s">
        <v>13</v>
      </c>
      <c r="K74" s="103" t="s">
        <v>984</v>
      </c>
      <c r="L74" s="103" t="s">
        <v>46</v>
      </c>
      <c r="M74" s="103" t="s">
        <v>41</v>
      </c>
      <c r="N74" s="103" t="s">
        <v>64</v>
      </c>
      <c r="O74" s="103" t="s">
        <v>934</v>
      </c>
      <c r="Q74" s="118" t="s">
        <v>1598</v>
      </c>
      <c r="R74" s="118" t="s">
        <v>1606</v>
      </c>
      <c r="U74" s="103">
        <v>180</v>
      </c>
      <c r="V74" s="73" t="str">
        <f>_xlfn.XLOOKUP(B74,'Non-Projects (RUN-BAU)'!C:C,'Non-Projects (RUN-BAU)'!B:B,"",0)</f>
        <v/>
      </c>
      <c r="W74" s="73" t="str">
        <f>_xlfn.XLOOKUP(A74,'Ongoing Projects'!B:B,'Ongoing Projects'!B:B,"",0)</f>
        <v/>
      </c>
      <c r="X74" s="73" t="str">
        <f>_xlfn.XLOOKUP(B74,'New Projects'!D:D,'New Projects'!C:C,"",0)</f>
        <v/>
      </c>
      <c r="Y74" s="73" t="str">
        <f t="shared" si="3"/>
        <v/>
      </c>
      <c r="Z74" s="74" t="str">
        <f t="shared" si="4"/>
        <v>Missing</v>
      </c>
      <c r="AA74" s="74" t="str">
        <f t="shared" si="5"/>
        <v>Critical</v>
      </c>
    </row>
    <row r="75" spans="1:27" x14ac:dyDescent="0.2">
      <c r="A75" s="103" t="s">
        <v>333</v>
      </c>
      <c r="B75" s="103" t="s">
        <v>334</v>
      </c>
      <c r="D75" s="103">
        <v>160</v>
      </c>
      <c r="E75" s="103">
        <v>160</v>
      </c>
      <c r="F75" s="103">
        <v>160</v>
      </c>
      <c r="G75" s="103">
        <v>160</v>
      </c>
      <c r="H75" s="103" t="s">
        <v>985</v>
      </c>
      <c r="I75" s="103" t="s">
        <v>1597</v>
      </c>
      <c r="J75" s="103" t="s">
        <v>889</v>
      </c>
      <c r="K75" s="103" t="s">
        <v>984</v>
      </c>
      <c r="L75" s="103" t="s">
        <v>46</v>
      </c>
      <c r="M75" s="103" t="s">
        <v>43</v>
      </c>
      <c r="N75" s="103" t="s">
        <v>64</v>
      </c>
      <c r="O75" s="103" t="s">
        <v>934</v>
      </c>
      <c r="Q75" s="118" t="s">
        <v>1598</v>
      </c>
      <c r="R75" s="118" t="s">
        <v>1599</v>
      </c>
      <c r="U75" s="103">
        <v>640</v>
      </c>
      <c r="V75" s="73" t="str">
        <f>_xlfn.XLOOKUP(B75,'Non-Projects (RUN-BAU)'!C:C,'Non-Projects (RUN-BAU)'!B:B,"",0)</f>
        <v/>
      </c>
      <c r="W75" s="73" t="str">
        <f>_xlfn.XLOOKUP(A75,'Ongoing Projects'!B:B,'Ongoing Projects'!B:B,"",0)</f>
        <v/>
      </c>
      <c r="X75" s="73" t="str">
        <f>_xlfn.XLOOKUP(B75,'New Projects'!D:D,'New Projects'!C:C,"",0)</f>
        <v/>
      </c>
      <c r="Y75" s="73" t="str">
        <f t="shared" si="3"/>
        <v/>
      </c>
      <c r="Z75" s="74" t="str">
        <f t="shared" si="4"/>
        <v>Missing</v>
      </c>
      <c r="AA75" s="74" t="str">
        <f t="shared" si="5"/>
        <v>Critical</v>
      </c>
    </row>
    <row r="76" spans="1:27" x14ac:dyDescent="0.2">
      <c r="A76" s="103" t="s">
        <v>335</v>
      </c>
      <c r="B76" s="103" t="s">
        <v>336</v>
      </c>
      <c r="D76" s="103">
        <v>25</v>
      </c>
      <c r="E76" s="103">
        <v>25</v>
      </c>
      <c r="F76" s="103">
        <v>0</v>
      </c>
      <c r="G76" s="103">
        <v>0</v>
      </c>
      <c r="H76" s="103" t="s">
        <v>985</v>
      </c>
      <c r="I76" s="103" t="s">
        <v>1597</v>
      </c>
      <c r="J76" s="103" t="s">
        <v>35</v>
      </c>
      <c r="K76" s="103" t="s">
        <v>984</v>
      </c>
      <c r="L76" s="103" t="s">
        <v>53</v>
      </c>
      <c r="M76" s="103" t="s">
        <v>43</v>
      </c>
      <c r="N76" s="103" t="s">
        <v>64</v>
      </c>
      <c r="O76" s="103" t="s">
        <v>934</v>
      </c>
      <c r="Q76" s="118" t="s">
        <v>1598</v>
      </c>
      <c r="R76" s="118" t="s">
        <v>1606</v>
      </c>
      <c r="U76" s="103">
        <v>50</v>
      </c>
      <c r="V76" s="73" t="str">
        <f>_xlfn.XLOOKUP(B76,'Non-Projects (RUN-BAU)'!C:C,'Non-Projects (RUN-BAU)'!B:B,"",0)</f>
        <v/>
      </c>
      <c r="W76" s="73" t="str">
        <f>_xlfn.XLOOKUP(A76,'Ongoing Projects'!B:B,'Ongoing Projects'!B:B,"",0)</f>
        <v/>
      </c>
      <c r="X76" s="73" t="str">
        <f>_xlfn.XLOOKUP(B76,'New Projects'!D:D,'New Projects'!C:C,"",0)</f>
        <v/>
      </c>
      <c r="Y76" s="73" t="str">
        <f t="shared" si="3"/>
        <v/>
      </c>
      <c r="Z76" s="74" t="str">
        <f t="shared" si="4"/>
        <v>Missing</v>
      </c>
      <c r="AA76" s="74" t="str">
        <f t="shared" si="5"/>
        <v>Critical</v>
      </c>
    </row>
    <row r="77" spans="1:27" x14ac:dyDescent="0.2">
      <c r="A77" s="103" t="s">
        <v>339</v>
      </c>
      <c r="B77" s="103" t="s">
        <v>340</v>
      </c>
      <c r="C77" s="103" t="s">
        <v>1948</v>
      </c>
      <c r="D77" s="103">
        <v>120</v>
      </c>
      <c r="E77" s="103">
        <v>0</v>
      </c>
      <c r="F77" s="103">
        <v>0</v>
      </c>
      <c r="G77" s="103">
        <v>0</v>
      </c>
      <c r="H77" s="103" t="s">
        <v>839</v>
      </c>
      <c r="I77" s="103" t="s">
        <v>1597</v>
      </c>
      <c r="J77" s="103" t="s">
        <v>13</v>
      </c>
      <c r="K77" s="103" t="s">
        <v>1618</v>
      </c>
      <c r="L77" s="103" t="s">
        <v>46</v>
      </c>
      <c r="M77" s="103" t="s">
        <v>41</v>
      </c>
      <c r="N77" s="103" t="s">
        <v>71</v>
      </c>
      <c r="O77" s="103" t="s">
        <v>767</v>
      </c>
      <c r="Q77" s="118" t="s">
        <v>1598</v>
      </c>
      <c r="R77" s="118" t="s">
        <v>1610</v>
      </c>
      <c r="U77" s="103">
        <v>120</v>
      </c>
      <c r="V77" s="73" t="str">
        <f>_xlfn.XLOOKUP(B77,'Non-Projects (RUN-BAU)'!C:C,'Non-Projects (RUN-BAU)'!B:B,"",0)</f>
        <v/>
      </c>
      <c r="W77" s="73" t="str">
        <f>_xlfn.XLOOKUP(A77,'Ongoing Projects'!B:B,'Ongoing Projects'!B:B,"",0)</f>
        <v/>
      </c>
      <c r="X77" s="73" t="str">
        <f>_xlfn.XLOOKUP(B77,'New Projects'!D:D,'New Projects'!C:C,"",0)</f>
        <v/>
      </c>
      <c r="Y77" s="73" t="str">
        <f t="shared" si="3"/>
        <v/>
      </c>
      <c r="Z77" s="74" t="str">
        <f t="shared" si="4"/>
        <v>Missing</v>
      </c>
      <c r="AA77" s="74" t="str">
        <f t="shared" si="5"/>
        <v>Critical</v>
      </c>
    </row>
    <row r="78" spans="1:27" x14ac:dyDescent="0.2">
      <c r="A78" s="103" t="s">
        <v>342</v>
      </c>
      <c r="B78" s="103" t="s">
        <v>343</v>
      </c>
      <c r="D78" s="103">
        <v>0</v>
      </c>
      <c r="E78" s="103">
        <v>0</v>
      </c>
      <c r="F78" s="103">
        <v>480</v>
      </c>
      <c r="G78" s="103">
        <v>0</v>
      </c>
      <c r="H78" s="103" t="s">
        <v>1059</v>
      </c>
      <c r="I78" s="103" t="s">
        <v>1597</v>
      </c>
      <c r="J78" s="103" t="s">
        <v>13</v>
      </c>
      <c r="K78" s="103" t="s">
        <v>766</v>
      </c>
      <c r="L78" s="103" t="s">
        <v>46</v>
      </c>
      <c r="M78" s="103" t="s">
        <v>41</v>
      </c>
      <c r="N78" s="103" t="s">
        <v>68</v>
      </c>
      <c r="O78" s="103" t="s">
        <v>767</v>
      </c>
      <c r="Q78" s="118" t="s">
        <v>1607</v>
      </c>
      <c r="R78" s="118" t="s">
        <v>1608</v>
      </c>
      <c r="U78" s="103">
        <v>480</v>
      </c>
      <c r="V78" s="73" t="str">
        <f>_xlfn.XLOOKUP(B78,'Non-Projects (RUN-BAU)'!C:C,'Non-Projects (RUN-BAU)'!B:B,"",0)</f>
        <v/>
      </c>
      <c r="W78" s="73" t="str">
        <f>_xlfn.XLOOKUP(A78,'Ongoing Projects'!B:B,'Ongoing Projects'!B:B,"",0)</f>
        <v/>
      </c>
      <c r="X78" s="73" t="str">
        <f>_xlfn.XLOOKUP(B78,'New Projects'!D:D,'New Projects'!C:C,"",0)</f>
        <v/>
      </c>
      <c r="Y78" s="73" t="str">
        <f t="shared" si="3"/>
        <v/>
      </c>
      <c r="Z78" s="74" t="str">
        <f t="shared" si="4"/>
        <v>Missing</v>
      </c>
      <c r="AA78" s="74" t="str">
        <f t="shared" si="5"/>
        <v>Critical</v>
      </c>
    </row>
    <row r="79" spans="1:27" x14ac:dyDescent="0.2">
      <c r="A79" s="103" t="s">
        <v>349</v>
      </c>
      <c r="B79" s="103" t="s">
        <v>350</v>
      </c>
      <c r="D79" s="103">
        <v>494</v>
      </c>
      <c r="E79" s="103">
        <v>412</v>
      </c>
      <c r="F79" s="103">
        <v>212</v>
      </c>
      <c r="G79" s="103">
        <v>242</v>
      </c>
      <c r="H79" s="103" t="s">
        <v>811</v>
      </c>
      <c r="I79" s="103" t="s">
        <v>1597</v>
      </c>
      <c r="J79" s="103" t="s">
        <v>23</v>
      </c>
      <c r="K79" s="103" t="s">
        <v>810</v>
      </c>
      <c r="L79" s="103" t="s">
        <v>51</v>
      </c>
      <c r="M79" s="103" t="s">
        <v>43</v>
      </c>
      <c r="N79" s="103" t="s">
        <v>71</v>
      </c>
      <c r="O79" s="103" t="s">
        <v>779</v>
      </c>
      <c r="Q79" s="118" t="s">
        <v>1598</v>
      </c>
      <c r="R79" s="118" t="s">
        <v>1599</v>
      </c>
      <c r="U79" s="103">
        <v>1060</v>
      </c>
      <c r="V79" s="73" t="str">
        <f>_xlfn.XLOOKUP(B79,'Non-Projects (RUN-BAU)'!C:C,'Non-Projects (RUN-BAU)'!B:B,"",0)</f>
        <v/>
      </c>
      <c r="W79" s="73" t="str">
        <f>_xlfn.XLOOKUP(A79,'Ongoing Projects'!B:B,'Ongoing Projects'!B:B,"",0)</f>
        <v/>
      </c>
      <c r="X79" s="73" t="str">
        <f>_xlfn.XLOOKUP(B79,'New Projects'!D:D,'New Projects'!C:C,"",0)</f>
        <v/>
      </c>
      <c r="Y79" s="73" t="str">
        <f t="shared" si="3"/>
        <v/>
      </c>
      <c r="Z79" s="74" t="str">
        <f t="shared" si="4"/>
        <v>Missing</v>
      </c>
      <c r="AA79" s="74" t="str">
        <f t="shared" si="5"/>
        <v>Critical</v>
      </c>
    </row>
    <row r="80" spans="1:27" x14ac:dyDescent="0.2">
      <c r="A80" s="103" t="s">
        <v>351</v>
      </c>
      <c r="B80" s="103" t="s">
        <v>352</v>
      </c>
      <c r="D80" s="103">
        <v>425</v>
      </c>
      <c r="E80" s="103">
        <v>425</v>
      </c>
      <c r="F80" s="103">
        <v>300</v>
      </c>
      <c r="G80" s="103">
        <v>300</v>
      </c>
      <c r="H80" s="103" t="s">
        <v>811</v>
      </c>
      <c r="I80" s="103" t="s">
        <v>1597</v>
      </c>
      <c r="J80" s="103" t="s">
        <v>23</v>
      </c>
      <c r="K80" s="103" t="s">
        <v>810</v>
      </c>
      <c r="L80" s="103" t="s">
        <v>51</v>
      </c>
      <c r="M80" s="103" t="s">
        <v>43</v>
      </c>
      <c r="N80" s="103" t="s">
        <v>71</v>
      </c>
      <c r="O80" s="103" t="s">
        <v>779</v>
      </c>
      <c r="Q80" s="118" t="s">
        <v>1598</v>
      </c>
      <c r="R80" s="118" t="s">
        <v>1599</v>
      </c>
      <c r="U80" s="103">
        <v>1450</v>
      </c>
      <c r="V80" s="73" t="str">
        <f>_xlfn.XLOOKUP(B80,'Non-Projects (RUN-BAU)'!C:C,'Non-Projects (RUN-BAU)'!B:B,"",0)</f>
        <v/>
      </c>
      <c r="W80" s="73" t="str">
        <f>_xlfn.XLOOKUP(A80,'Ongoing Projects'!B:B,'Ongoing Projects'!B:B,"",0)</f>
        <v/>
      </c>
      <c r="X80" s="73" t="str">
        <f>_xlfn.XLOOKUP(B80,'New Projects'!D:D,'New Projects'!C:C,"",0)</f>
        <v/>
      </c>
      <c r="Y80" s="73" t="str">
        <f t="shared" si="3"/>
        <v/>
      </c>
      <c r="Z80" s="74" t="str">
        <f t="shared" si="4"/>
        <v>Missing</v>
      </c>
      <c r="AA80" s="74" t="str">
        <f t="shared" si="5"/>
        <v>Critical</v>
      </c>
    </row>
    <row r="81" spans="1:27" x14ac:dyDescent="0.2">
      <c r="A81" s="103" t="s">
        <v>353</v>
      </c>
      <c r="B81" s="103" t="s">
        <v>354</v>
      </c>
      <c r="D81" s="103">
        <v>160</v>
      </c>
      <c r="E81" s="103">
        <v>50</v>
      </c>
      <c r="F81" s="103">
        <v>50</v>
      </c>
      <c r="G81" s="103">
        <v>50</v>
      </c>
      <c r="H81" s="103" t="s">
        <v>1624</v>
      </c>
      <c r="I81" s="103" t="s">
        <v>1597</v>
      </c>
      <c r="J81" s="103" t="s">
        <v>23</v>
      </c>
      <c r="K81" s="103" t="s">
        <v>810</v>
      </c>
      <c r="L81" s="103" t="s">
        <v>51</v>
      </c>
      <c r="M81" s="103" t="s">
        <v>43</v>
      </c>
      <c r="N81" s="103" t="s">
        <v>71</v>
      </c>
      <c r="O81" s="103" t="s">
        <v>779</v>
      </c>
      <c r="Q81" s="118" t="s">
        <v>1598</v>
      </c>
      <c r="R81" s="118" t="s">
        <v>1599</v>
      </c>
      <c r="U81" s="103">
        <v>90</v>
      </c>
      <c r="V81" s="73" t="str">
        <f>_xlfn.XLOOKUP(B81,'Non-Projects (RUN-BAU)'!C:C,'Non-Projects (RUN-BAU)'!B:B,"",0)</f>
        <v/>
      </c>
      <c r="W81" s="73" t="str">
        <f>_xlfn.XLOOKUP(A81,'Ongoing Projects'!B:B,'Ongoing Projects'!B:B,"",0)</f>
        <v/>
      </c>
      <c r="X81" s="73" t="str">
        <f>_xlfn.XLOOKUP(B81,'New Projects'!D:D,'New Projects'!C:C,"",0)</f>
        <v/>
      </c>
      <c r="Y81" s="73" t="str">
        <f t="shared" si="3"/>
        <v/>
      </c>
      <c r="Z81" s="74" t="str">
        <f t="shared" si="4"/>
        <v>Missing</v>
      </c>
      <c r="AA81" s="74" t="str">
        <f t="shared" si="5"/>
        <v>Critical</v>
      </c>
    </row>
    <row r="82" spans="1:27" x14ac:dyDescent="0.2">
      <c r="A82" s="103" t="s">
        <v>356</v>
      </c>
      <c r="B82" s="103" t="s">
        <v>357</v>
      </c>
      <c r="D82" s="103">
        <v>515</v>
      </c>
      <c r="E82" s="103">
        <v>960</v>
      </c>
      <c r="F82" s="103">
        <v>1615</v>
      </c>
      <c r="G82" s="103">
        <v>1600</v>
      </c>
      <c r="H82" s="103" t="s">
        <v>811</v>
      </c>
      <c r="I82" s="103" t="s">
        <v>1597</v>
      </c>
      <c r="J82" s="103" t="s">
        <v>13</v>
      </c>
      <c r="K82" s="103" t="s">
        <v>810</v>
      </c>
      <c r="L82" s="103" t="s">
        <v>46</v>
      </c>
      <c r="M82" s="103" t="s">
        <v>41</v>
      </c>
      <c r="N82" s="103" t="s">
        <v>71</v>
      </c>
      <c r="O82" s="103" t="s">
        <v>779</v>
      </c>
      <c r="Q82" s="118" t="s">
        <v>1598</v>
      </c>
      <c r="R82" s="118" t="s">
        <v>1599</v>
      </c>
      <c r="U82" s="103">
        <v>1915</v>
      </c>
      <c r="V82" s="73" t="str">
        <f>_xlfn.XLOOKUP(B82,'Non-Projects (RUN-BAU)'!C:C,'Non-Projects (RUN-BAU)'!B:B,"",0)</f>
        <v/>
      </c>
      <c r="W82" s="73" t="str">
        <f>_xlfn.XLOOKUP(A82,'Ongoing Projects'!B:B,'Ongoing Projects'!B:B,"",0)</f>
        <v/>
      </c>
      <c r="X82" s="73" t="str">
        <f>_xlfn.XLOOKUP(B82,'New Projects'!D:D,'New Projects'!C:C,"",0)</f>
        <v/>
      </c>
      <c r="Y82" s="73" t="str">
        <f t="shared" si="3"/>
        <v/>
      </c>
      <c r="Z82" s="74" t="str">
        <f t="shared" si="4"/>
        <v>Missing</v>
      </c>
      <c r="AA82" s="74" t="str">
        <f t="shared" si="5"/>
        <v>Critical</v>
      </c>
    </row>
    <row r="83" spans="1:27" x14ac:dyDescent="0.2">
      <c r="A83" s="103" t="s">
        <v>360</v>
      </c>
      <c r="B83" s="103" t="s">
        <v>361</v>
      </c>
      <c r="D83" s="103">
        <v>25</v>
      </c>
      <c r="E83" s="103">
        <v>175</v>
      </c>
      <c r="F83" s="103">
        <v>175</v>
      </c>
      <c r="G83" s="103">
        <v>225</v>
      </c>
      <c r="H83" s="103" t="s">
        <v>811</v>
      </c>
      <c r="I83" s="103" t="s">
        <v>1597</v>
      </c>
      <c r="J83" s="103" t="s">
        <v>13</v>
      </c>
      <c r="K83" s="103" t="s">
        <v>810</v>
      </c>
      <c r="L83" s="103" t="s">
        <v>49</v>
      </c>
      <c r="M83" s="103" t="s">
        <v>41</v>
      </c>
      <c r="N83" s="103" t="s">
        <v>71</v>
      </c>
      <c r="O83" s="103" t="s">
        <v>779</v>
      </c>
      <c r="Q83" s="118" t="s">
        <v>1598</v>
      </c>
      <c r="R83" s="118" t="s">
        <v>1599</v>
      </c>
      <c r="U83" s="103">
        <v>300</v>
      </c>
      <c r="V83" s="73" t="str">
        <f>_xlfn.XLOOKUP(B83,'Non-Projects (RUN-BAU)'!C:C,'Non-Projects (RUN-BAU)'!B:B,"",0)</f>
        <v/>
      </c>
      <c r="W83" s="73" t="str">
        <f>_xlfn.XLOOKUP(A83,'Ongoing Projects'!B:B,'Ongoing Projects'!B:B,"",0)</f>
        <v/>
      </c>
      <c r="X83" s="73" t="str">
        <f>_xlfn.XLOOKUP(B83,'New Projects'!D:D,'New Projects'!C:C,"",0)</f>
        <v/>
      </c>
      <c r="Y83" s="73" t="str">
        <f t="shared" si="3"/>
        <v/>
      </c>
      <c r="Z83" s="74" t="str">
        <f t="shared" si="4"/>
        <v>Missing</v>
      </c>
      <c r="AA83" s="74" t="str">
        <f t="shared" si="5"/>
        <v>Critical</v>
      </c>
    </row>
    <row r="84" spans="1:27" x14ac:dyDescent="0.2">
      <c r="A84" s="103" t="s">
        <v>362</v>
      </c>
      <c r="B84" s="103" t="s">
        <v>363</v>
      </c>
      <c r="D84" s="103">
        <v>50</v>
      </c>
      <c r="E84" s="103">
        <v>50</v>
      </c>
      <c r="F84" s="103">
        <v>50</v>
      </c>
      <c r="G84" s="103">
        <v>50</v>
      </c>
      <c r="H84" s="103" t="s">
        <v>811</v>
      </c>
      <c r="I84" s="103" t="s">
        <v>1597</v>
      </c>
      <c r="J84" s="103" t="s">
        <v>35</v>
      </c>
      <c r="K84" s="103" t="s">
        <v>810</v>
      </c>
      <c r="L84" s="103" t="s">
        <v>49</v>
      </c>
      <c r="M84" s="103" t="s">
        <v>41</v>
      </c>
      <c r="N84" s="103" t="s">
        <v>71</v>
      </c>
      <c r="O84" s="103" t="s">
        <v>779</v>
      </c>
      <c r="Q84" s="118" t="s">
        <v>1598</v>
      </c>
      <c r="R84" s="118" t="s">
        <v>1599</v>
      </c>
      <c r="U84" s="103">
        <v>200</v>
      </c>
      <c r="V84" s="73" t="str">
        <f>_xlfn.XLOOKUP(B84,'Non-Projects (RUN-BAU)'!C:C,'Non-Projects (RUN-BAU)'!B:B,"",0)</f>
        <v/>
      </c>
      <c r="W84" s="73" t="str">
        <f>_xlfn.XLOOKUP(A84,'Ongoing Projects'!B:B,'Ongoing Projects'!B:B,"",0)</f>
        <v/>
      </c>
      <c r="X84" s="73" t="str">
        <f>_xlfn.XLOOKUP(B84,'New Projects'!D:D,'New Projects'!C:C,"",0)</f>
        <v/>
      </c>
      <c r="Y84" s="73" t="str">
        <f t="shared" si="3"/>
        <v/>
      </c>
      <c r="Z84" s="74" t="str">
        <f t="shared" si="4"/>
        <v>Missing</v>
      </c>
      <c r="AA84" s="74" t="str">
        <f t="shared" si="5"/>
        <v>Critical</v>
      </c>
    </row>
    <row r="85" spans="1:27" x14ac:dyDescent="0.2">
      <c r="A85" s="103" t="s">
        <v>373</v>
      </c>
      <c r="B85" s="103" t="s">
        <v>374</v>
      </c>
      <c r="D85" s="103">
        <v>0</v>
      </c>
      <c r="E85" s="103">
        <v>0</v>
      </c>
      <c r="F85" s="103">
        <v>0</v>
      </c>
      <c r="G85" s="103">
        <v>40</v>
      </c>
      <c r="H85" s="103" t="s">
        <v>985</v>
      </c>
      <c r="I85" s="103" t="s">
        <v>1597</v>
      </c>
      <c r="J85" s="103" t="s">
        <v>23</v>
      </c>
      <c r="K85" s="103" t="s">
        <v>984</v>
      </c>
      <c r="L85" s="103" t="s">
        <v>51</v>
      </c>
      <c r="M85" s="103" t="s">
        <v>43</v>
      </c>
      <c r="N85" s="103" t="s">
        <v>64</v>
      </c>
      <c r="O85" s="103" t="s">
        <v>934</v>
      </c>
      <c r="Q85" s="118" t="s">
        <v>1604</v>
      </c>
      <c r="R85" s="118" t="s">
        <v>1599</v>
      </c>
      <c r="U85" s="103">
        <v>40</v>
      </c>
      <c r="V85" s="73" t="str">
        <f>_xlfn.XLOOKUP(B85,'Non-Projects (RUN-BAU)'!C:C,'Non-Projects (RUN-BAU)'!B:B,"",0)</f>
        <v/>
      </c>
      <c r="W85" s="73" t="str">
        <f>_xlfn.XLOOKUP(A85,'Ongoing Projects'!B:B,'Ongoing Projects'!B:B,"",0)</f>
        <v/>
      </c>
      <c r="X85" s="73" t="str">
        <f>_xlfn.XLOOKUP(B85,'New Projects'!D:D,'New Projects'!C:C,"",0)</f>
        <v/>
      </c>
      <c r="Y85" s="73" t="str">
        <f t="shared" si="3"/>
        <v/>
      </c>
      <c r="Z85" s="74" t="str">
        <f t="shared" si="4"/>
        <v>Missing</v>
      </c>
      <c r="AA85" s="74" t="str">
        <f t="shared" si="5"/>
        <v>Critical</v>
      </c>
    </row>
    <row r="86" spans="1:27" x14ac:dyDescent="0.2">
      <c r="A86" s="103" t="s">
        <v>375</v>
      </c>
      <c r="B86" s="103" t="s">
        <v>376</v>
      </c>
      <c r="D86" s="103">
        <v>700</v>
      </c>
      <c r="E86" s="103">
        <v>700</v>
      </c>
      <c r="F86" s="103">
        <v>700</v>
      </c>
      <c r="G86" s="103">
        <v>700</v>
      </c>
      <c r="H86" s="103" t="s">
        <v>1559</v>
      </c>
      <c r="I86" s="103" t="s">
        <v>1597</v>
      </c>
      <c r="J86" s="103" t="s">
        <v>732</v>
      </c>
      <c r="K86" s="103" t="s">
        <v>1241</v>
      </c>
      <c r="L86" s="103" t="s">
        <v>46</v>
      </c>
      <c r="M86" s="103" t="s">
        <v>41</v>
      </c>
      <c r="N86" s="103" t="s">
        <v>68</v>
      </c>
      <c r="O86" s="103" t="s">
        <v>767</v>
      </c>
      <c r="Q86" s="118" t="s">
        <v>1598</v>
      </c>
      <c r="R86" s="118" t="s">
        <v>1599</v>
      </c>
      <c r="U86" s="103">
        <v>2800</v>
      </c>
      <c r="V86" s="73" t="str">
        <f>_xlfn.XLOOKUP(B86,'Non-Projects (RUN-BAU)'!C:C,'Non-Projects (RUN-BAU)'!B:B,"",0)</f>
        <v/>
      </c>
      <c r="W86" s="73" t="str">
        <f>_xlfn.XLOOKUP(A86,'Ongoing Projects'!B:B,'Ongoing Projects'!B:B,"",0)</f>
        <v/>
      </c>
      <c r="X86" s="73" t="str">
        <f>_xlfn.XLOOKUP(B86,'New Projects'!D:D,'New Projects'!C:C,"",0)</f>
        <v/>
      </c>
      <c r="Y86" s="73" t="str">
        <f t="shared" si="3"/>
        <v/>
      </c>
      <c r="Z86" s="74" t="str">
        <f t="shared" si="4"/>
        <v>Missing</v>
      </c>
      <c r="AA86" s="74" t="str">
        <f t="shared" si="5"/>
        <v>Critical</v>
      </c>
    </row>
    <row r="87" spans="1:27" x14ac:dyDescent="0.2">
      <c r="A87" s="103" t="s">
        <v>380</v>
      </c>
      <c r="B87" s="103" t="s">
        <v>381</v>
      </c>
      <c r="D87" s="103">
        <v>180</v>
      </c>
      <c r="E87" s="103">
        <v>205</v>
      </c>
      <c r="F87" s="103">
        <v>265</v>
      </c>
      <c r="G87" s="103">
        <v>240</v>
      </c>
      <c r="H87" s="103" t="s">
        <v>811</v>
      </c>
      <c r="I87" s="103" t="s">
        <v>1597</v>
      </c>
      <c r="J87" s="103" t="s">
        <v>13</v>
      </c>
      <c r="K87" s="103" t="s">
        <v>810</v>
      </c>
      <c r="L87" s="103" t="s">
        <v>46</v>
      </c>
      <c r="M87" s="103" t="s">
        <v>41</v>
      </c>
      <c r="N87" s="103" t="s">
        <v>71</v>
      </c>
      <c r="O87" s="103" t="s">
        <v>779</v>
      </c>
      <c r="Q87" s="118" t="s">
        <v>1598</v>
      </c>
      <c r="R87" s="118" t="s">
        <v>1599</v>
      </c>
      <c r="U87" s="103">
        <v>890</v>
      </c>
      <c r="V87" s="73" t="str">
        <f>_xlfn.XLOOKUP(B87,'Non-Projects (RUN-BAU)'!C:C,'Non-Projects (RUN-BAU)'!B:B,"",0)</f>
        <v/>
      </c>
      <c r="W87" s="73" t="str">
        <f>_xlfn.XLOOKUP(A87,'Ongoing Projects'!B:B,'Ongoing Projects'!B:B,"",0)</f>
        <v/>
      </c>
      <c r="X87" s="73" t="str">
        <f>_xlfn.XLOOKUP(B87,'New Projects'!D:D,'New Projects'!C:C,"",0)</f>
        <v/>
      </c>
      <c r="Y87" s="73" t="str">
        <f t="shared" si="3"/>
        <v/>
      </c>
      <c r="Z87" s="74" t="str">
        <f t="shared" si="4"/>
        <v>Missing</v>
      </c>
      <c r="AA87" s="74" t="str">
        <f t="shared" si="5"/>
        <v>Critical</v>
      </c>
    </row>
    <row r="88" spans="1:27" x14ac:dyDescent="0.2">
      <c r="A88" s="103" t="s">
        <v>385</v>
      </c>
      <c r="B88" s="103" t="s">
        <v>386</v>
      </c>
      <c r="D88" s="103">
        <v>113</v>
      </c>
      <c r="E88" s="103">
        <v>113</v>
      </c>
      <c r="F88" s="103">
        <v>113</v>
      </c>
      <c r="G88" s="103">
        <v>113</v>
      </c>
      <c r="H88" s="103" t="s">
        <v>1639</v>
      </c>
      <c r="I88" s="103" t="s">
        <v>1597</v>
      </c>
      <c r="J88" s="103" t="s">
        <v>13</v>
      </c>
      <c r="K88" s="103" t="s">
        <v>933</v>
      </c>
      <c r="L88" s="103" t="s">
        <v>46</v>
      </c>
      <c r="M88" s="103" t="s">
        <v>41</v>
      </c>
      <c r="N88" s="103" t="s">
        <v>64</v>
      </c>
      <c r="O88" s="103" t="s">
        <v>305</v>
      </c>
      <c r="Q88" s="118" t="s">
        <v>1598</v>
      </c>
      <c r="R88" s="118" t="s">
        <v>1599</v>
      </c>
      <c r="U88" s="103">
        <v>452</v>
      </c>
      <c r="V88" s="73" t="str">
        <f>_xlfn.XLOOKUP(B88,'Non-Projects (RUN-BAU)'!C:C,'Non-Projects (RUN-BAU)'!B:B,"",0)</f>
        <v/>
      </c>
      <c r="W88" s="73" t="str">
        <f>_xlfn.XLOOKUP(A88,'Ongoing Projects'!B:B,'Ongoing Projects'!B:B,"",0)</f>
        <v/>
      </c>
      <c r="X88" s="73" t="str">
        <f>_xlfn.XLOOKUP(B88,'New Projects'!D:D,'New Projects'!C:C,"",0)</f>
        <v/>
      </c>
      <c r="Y88" s="73" t="str">
        <f t="shared" si="3"/>
        <v/>
      </c>
      <c r="Z88" s="74" t="str">
        <f t="shared" si="4"/>
        <v>Missing</v>
      </c>
      <c r="AA88" s="74" t="str">
        <f t="shared" si="5"/>
        <v>Critical</v>
      </c>
    </row>
    <row r="89" spans="1:27" x14ac:dyDescent="0.2">
      <c r="A89" s="103" t="s">
        <v>387</v>
      </c>
      <c r="B89" s="103" t="s">
        <v>388</v>
      </c>
      <c r="D89" s="103">
        <v>226</v>
      </c>
      <c r="E89" s="103">
        <v>159.33000000000001</v>
      </c>
      <c r="F89" s="103">
        <v>159.33000000000001</v>
      </c>
      <c r="G89" s="103">
        <v>159.34</v>
      </c>
      <c r="H89" s="103" t="s">
        <v>1639</v>
      </c>
      <c r="I89" s="103" t="s">
        <v>1597</v>
      </c>
      <c r="J89" s="103" t="s">
        <v>13</v>
      </c>
      <c r="K89" s="103" t="s">
        <v>933</v>
      </c>
      <c r="L89" s="103" t="s">
        <v>46</v>
      </c>
      <c r="M89" s="103" t="s">
        <v>41</v>
      </c>
      <c r="N89" s="103" t="s">
        <v>64</v>
      </c>
      <c r="O89" s="103" t="s">
        <v>305</v>
      </c>
      <c r="Q89" s="118" t="s">
        <v>1598</v>
      </c>
      <c r="R89" s="118" t="s">
        <v>1599</v>
      </c>
      <c r="U89" s="103">
        <v>704</v>
      </c>
      <c r="V89" s="73" t="str">
        <f>_xlfn.XLOOKUP(B89,'Non-Projects (RUN-BAU)'!C:C,'Non-Projects (RUN-BAU)'!B:B,"",0)</f>
        <v/>
      </c>
      <c r="W89" s="73" t="str">
        <f>_xlfn.XLOOKUP(A89,'Ongoing Projects'!B:B,'Ongoing Projects'!B:B,"",0)</f>
        <v/>
      </c>
      <c r="X89" s="73" t="str">
        <f>_xlfn.XLOOKUP(B89,'New Projects'!D:D,'New Projects'!C:C,"",0)</f>
        <v/>
      </c>
      <c r="Y89" s="73" t="str">
        <f t="shared" si="3"/>
        <v/>
      </c>
      <c r="Z89" s="74" t="str">
        <f t="shared" si="4"/>
        <v>Missing</v>
      </c>
      <c r="AA89" s="74" t="str">
        <f t="shared" si="5"/>
        <v>Critical</v>
      </c>
    </row>
    <row r="90" spans="1:27" x14ac:dyDescent="0.2">
      <c r="A90" s="103" t="s">
        <v>389</v>
      </c>
      <c r="B90" s="103" t="s">
        <v>390</v>
      </c>
      <c r="D90" s="103">
        <v>247.75</v>
      </c>
      <c r="E90" s="103">
        <v>134.75</v>
      </c>
      <c r="F90" s="103">
        <v>134.75</v>
      </c>
      <c r="G90" s="103">
        <v>134.75</v>
      </c>
      <c r="H90" s="103" t="s">
        <v>1639</v>
      </c>
      <c r="I90" s="103" t="s">
        <v>1597</v>
      </c>
      <c r="J90" s="103" t="s">
        <v>13</v>
      </c>
      <c r="K90" s="103" t="s">
        <v>933</v>
      </c>
      <c r="L90" s="103" t="s">
        <v>46</v>
      </c>
      <c r="M90" s="103" t="s">
        <v>22</v>
      </c>
      <c r="N90" s="103" t="s">
        <v>64</v>
      </c>
      <c r="O90" s="103" t="s">
        <v>305</v>
      </c>
      <c r="Q90" s="118" t="s">
        <v>1598</v>
      </c>
      <c r="R90" s="118" t="s">
        <v>1599</v>
      </c>
      <c r="U90" s="103">
        <v>652</v>
      </c>
      <c r="V90" s="73" t="str">
        <f>_xlfn.XLOOKUP(B90,'Non-Projects (RUN-BAU)'!C:C,'Non-Projects (RUN-BAU)'!B:B,"",0)</f>
        <v/>
      </c>
      <c r="W90" s="73" t="str">
        <f>_xlfn.XLOOKUP(A90,'Ongoing Projects'!B:B,'Ongoing Projects'!B:B,"",0)</f>
        <v/>
      </c>
      <c r="X90" s="73" t="str">
        <f>_xlfn.XLOOKUP(B90,'New Projects'!D:D,'New Projects'!C:C,"",0)</f>
        <v/>
      </c>
      <c r="Y90" s="73" t="str">
        <f t="shared" si="3"/>
        <v/>
      </c>
      <c r="Z90" s="74" t="str">
        <f t="shared" si="4"/>
        <v>Missing</v>
      </c>
      <c r="AA90" s="74" t="str">
        <f t="shared" si="5"/>
        <v>Critical</v>
      </c>
    </row>
    <row r="91" spans="1:27" x14ac:dyDescent="0.2">
      <c r="A91" s="103" t="s">
        <v>391</v>
      </c>
      <c r="B91" s="103" t="s">
        <v>392</v>
      </c>
      <c r="D91" s="103">
        <v>70.599999999999994</v>
      </c>
      <c r="E91" s="103">
        <v>70.599999999999994</v>
      </c>
      <c r="F91" s="103">
        <v>70.599999999999994</v>
      </c>
      <c r="G91" s="103">
        <v>70.7</v>
      </c>
      <c r="H91" s="103" t="s">
        <v>1639</v>
      </c>
      <c r="I91" s="103" t="s">
        <v>1597</v>
      </c>
      <c r="J91" s="103" t="s">
        <v>13</v>
      </c>
      <c r="K91" s="103" t="s">
        <v>933</v>
      </c>
      <c r="L91" s="103" t="s">
        <v>46</v>
      </c>
      <c r="M91" s="103" t="s">
        <v>41</v>
      </c>
      <c r="N91" s="103" t="s">
        <v>64</v>
      </c>
      <c r="O91" s="103" t="s">
        <v>305</v>
      </c>
      <c r="Q91" s="118" t="s">
        <v>1598</v>
      </c>
      <c r="R91" s="118" t="s">
        <v>1599</v>
      </c>
      <c r="U91" s="103">
        <v>282.5</v>
      </c>
      <c r="V91" s="73" t="str">
        <f>_xlfn.XLOOKUP(B91,'Non-Projects (RUN-BAU)'!C:C,'Non-Projects (RUN-BAU)'!B:B,"",0)</f>
        <v/>
      </c>
      <c r="W91" s="73" t="str">
        <f>_xlfn.XLOOKUP(A91,'Ongoing Projects'!B:B,'Ongoing Projects'!B:B,"",0)</f>
        <v/>
      </c>
      <c r="X91" s="73" t="str">
        <f>_xlfn.XLOOKUP(B91,'New Projects'!D:D,'New Projects'!C:C,"",0)</f>
        <v/>
      </c>
      <c r="Y91" s="73" t="str">
        <f t="shared" si="3"/>
        <v/>
      </c>
      <c r="Z91" s="74" t="str">
        <f t="shared" si="4"/>
        <v>Missing</v>
      </c>
      <c r="AA91" s="74" t="str">
        <f t="shared" si="5"/>
        <v>Critical</v>
      </c>
    </row>
    <row r="92" spans="1:27" x14ac:dyDescent="0.2">
      <c r="A92" s="103" t="s">
        <v>395</v>
      </c>
      <c r="B92" s="103" t="s">
        <v>396</v>
      </c>
      <c r="D92" s="103">
        <v>150</v>
      </c>
      <c r="E92" s="103">
        <v>150</v>
      </c>
      <c r="F92" s="103">
        <v>150</v>
      </c>
      <c r="G92" s="103">
        <v>150</v>
      </c>
      <c r="H92" s="103" t="s">
        <v>1059</v>
      </c>
      <c r="I92" s="103" t="s">
        <v>1597</v>
      </c>
      <c r="J92" s="103" t="s">
        <v>23</v>
      </c>
      <c r="K92" s="103" t="s">
        <v>1641</v>
      </c>
      <c r="L92" s="103" t="s">
        <v>51</v>
      </c>
      <c r="M92" s="103" t="s">
        <v>41</v>
      </c>
      <c r="N92" s="103" t="s">
        <v>68</v>
      </c>
      <c r="O92" s="103" t="s">
        <v>1242</v>
      </c>
      <c r="Q92" s="118" t="s">
        <v>1598</v>
      </c>
      <c r="R92" s="118" t="s">
        <v>1599</v>
      </c>
      <c r="U92" s="103">
        <v>600</v>
      </c>
      <c r="V92" s="73" t="str">
        <f>_xlfn.XLOOKUP(B92,'Non-Projects (RUN-BAU)'!C:C,'Non-Projects (RUN-BAU)'!B:B,"",0)</f>
        <v/>
      </c>
      <c r="W92" s="73" t="str">
        <f>_xlfn.XLOOKUP(A92,'Ongoing Projects'!B:B,'Ongoing Projects'!B:B,"",0)</f>
        <v/>
      </c>
      <c r="X92" s="73" t="str">
        <f>_xlfn.XLOOKUP(B92,'New Projects'!D:D,'New Projects'!C:C,"",0)</f>
        <v/>
      </c>
      <c r="Y92" s="73" t="str">
        <f t="shared" si="3"/>
        <v/>
      </c>
      <c r="Z92" s="74" t="str">
        <f t="shared" si="4"/>
        <v>Missing</v>
      </c>
      <c r="AA92" s="74" t="str">
        <f t="shared" si="5"/>
        <v>Critical</v>
      </c>
    </row>
    <row r="93" spans="1:27" x14ac:dyDescent="0.2">
      <c r="A93" s="103" t="s">
        <v>397</v>
      </c>
      <c r="B93" s="103" t="s">
        <v>398</v>
      </c>
      <c r="D93" s="103">
        <v>180</v>
      </c>
      <c r="E93" s="103">
        <v>0</v>
      </c>
      <c r="F93" s="103">
        <v>0</v>
      </c>
      <c r="G93" s="103">
        <v>0</v>
      </c>
      <c r="H93" s="103" t="s">
        <v>1643</v>
      </c>
      <c r="I93" s="103" t="s">
        <v>1597</v>
      </c>
      <c r="J93" s="103" t="s">
        <v>23</v>
      </c>
      <c r="K93" s="103" t="s">
        <v>766</v>
      </c>
      <c r="L93" s="103" t="s">
        <v>51</v>
      </c>
      <c r="M93" s="103" t="s">
        <v>41</v>
      </c>
      <c r="N93" s="103" t="s">
        <v>68</v>
      </c>
      <c r="O93" s="103" t="s">
        <v>767</v>
      </c>
      <c r="Q93" s="118" t="s">
        <v>1598</v>
      </c>
      <c r="R93" s="118" t="s">
        <v>1599</v>
      </c>
      <c r="U93" s="103">
        <v>180</v>
      </c>
      <c r="V93" s="73" t="str">
        <f>_xlfn.XLOOKUP(B93,'Non-Projects (RUN-BAU)'!C:C,'Non-Projects (RUN-BAU)'!B:B,"",0)</f>
        <v/>
      </c>
      <c r="W93" s="73" t="str">
        <f>_xlfn.XLOOKUP(A93,'Ongoing Projects'!B:B,'Ongoing Projects'!B:B,"",0)</f>
        <v/>
      </c>
      <c r="X93" s="73" t="str">
        <f>_xlfn.XLOOKUP(B93,'New Projects'!D:D,'New Projects'!C:C,"",0)</f>
        <v/>
      </c>
      <c r="Y93" s="73" t="str">
        <f t="shared" si="3"/>
        <v/>
      </c>
      <c r="Z93" s="74" t="str">
        <f t="shared" si="4"/>
        <v>Missing</v>
      </c>
      <c r="AA93" s="74" t="str">
        <f t="shared" si="5"/>
        <v>Critical</v>
      </c>
    </row>
    <row r="94" spans="1:27" x14ac:dyDescent="0.2">
      <c r="A94" s="103" t="s">
        <v>403</v>
      </c>
      <c r="B94" s="103" t="s">
        <v>404</v>
      </c>
      <c r="D94" s="103">
        <v>475</v>
      </c>
      <c r="E94" s="103">
        <v>475</v>
      </c>
      <c r="F94" s="103">
        <v>475</v>
      </c>
      <c r="G94" s="103">
        <v>475</v>
      </c>
      <c r="H94" s="103" t="s">
        <v>1232</v>
      </c>
      <c r="I94" s="103" t="s">
        <v>1597</v>
      </c>
      <c r="J94" s="103" t="s">
        <v>13</v>
      </c>
      <c r="K94" s="103" t="s">
        <v>1230</v>
      </c>
      <c r="L94" s="103" t="s">
        <v>46</v>
      </c>
      <c r="M94" s="103" t="s">
        <v>41</v>
      </c>
      <c r="N94" s="103" t="s">
        <v>64</v>
      </c>
      <c r="O94" s="103" t="s">
        <v>751</v>
      </c>
      <c r="P94" s="103" t="s">
        <v>1399</v>
      </c>
      <c r="Q94" s="118" t="s">
        <v>1598</v>
      </c>
      <c r="R94" s="118" t="s">
        <v>1599</v>
      </c>
      <c r="U94" s="103">
        <v>1900</v>
      </c>
      <c r="V94" s="73" t="str">
        <f>_xlfn.XLOOKUP(B94,'Non-Projects (RUN-BAU)'!C:C,'Non-Projects (RUN-BAU)'!B:B,"",0)</f>
        <v/>
      </c>
      <c r="W94" s="73" t="str">
        <f>_xlfn.XLOOKUP(A94,'Ongoing Projects'!B:B,'Ongoing Projects'!B:B,"",0)</f>
        <v/>
      </c>
      <c r="X94" s="73" t="str">
        <f>_xlfn.XLOOKUP(B94,'New Projects'!D:D,'New Projects'!C:C,"",0)</f>
        <v/>
      </c>
      <c r="Y94" s="73" t="str">
        <f t="shared" si="3"/>
        <v/>
      </c>
      <c r="Z94" s="74" t="str">
        <f t="shared" si="4"/>
        <v>Missing</v>
      </c>
      <c r="AA94" s="74" t="str">
        <f t="shared" si="5"/>
        <v>Critical</v>
      </c>
    </row>
    <row r="95" spans="1:27" x14ac:dyDescent="0.2">
      <c r="A95" s="103" t="s">
        <v>405</v>
      </c>
      <c r="B95" s="103" t="s">
        <v>406</v>
      </c>
      <c r="D95" s="103">
        <v>0</v>
      </c>
      <c r="E95" s="103">
        <v>120</v>
      </c>
      <c r="F95" s="103">
        <v>0</v>
      </c>
      <c r="G95" s="103">
        <v>0</v>
      </c>
      <c r="H95" s="103" t="s">
        <v>1643</v>
      </c>
      <c r="I95" s="103" t="s">
        <v>1597</v>
      </c>
      <c r="J95" s="103" t="s">
        <v>23</v>
      </c>
      <c r="K95" s="103" t="s">
        <v>766</v>
      </c>
      <c r="L95" s="103" t="s">
        <v>51</v>
      </c>
      <c r="M95" s="103" t="s">
        <v>41</v>
      </c>
      <c r="N95" s="103" t="s">
        <v>68</v>
      </c>
      <c r="O95" s="103" t="s">
        <v>767</v>
      </c>
      <c r="Q95" s="118" t="s">
        <v>1601</v>
      </c>
      <c r="R95" s="118" t="s">
        <v>1606</v>
      </c>
      <c r="U95" s="103">
        <v>120</v>
      </c>
      <c r="V95" s="73" t="str">
        <f>_xlfn.XLOOKUP(B95,'Non-Projects (RUN-BAU)'!C:C,'Non-Projects (RUN-BAU)'!B:B,"",0)</f>
        <v/>
      </c>
      <c r="W95" s="73" t="str">
        <f>_xlfn.XLOOKUP(A95,'Ongoing Projects'!B:B,'Ongoing Projects'!B:B,"",0)</f>
        <v/>
      </c>
      <c r="X95" s="73" t="str">
        <f>_xlfn.XLOOKUP(B95,'New Projects'!D:D,'New Projects'!C:C,"",0)</f>
        <v/>
      </c>
      <c r="Y95" s="73" t="str">
        <f t="shared" si="3"/>
        <v/>
      </c>
      <c r="Z95" s="74" t="str">
        <f t="shared" si="4"/>
        <v>Missing</v>
      </c>
      <c r="AA95" s="74" t="str">
        <f t="shared" si="5"/>
        <v>Critical</v>
      </c>
    </row>
    <row r="96" spans="1:27" x14ac:dyDescent="0.2">
      <c r="A96" s="103" t="s">
        <v>407</v>
      </c>
      <c r="B96" s="103" t="s">
        <v>408</v>
      </c>
      <c r="D96" s="103">
        <v>120</v>
      </c>
      <c r="E96" s="103">
        <v>0</v>
      </c>
      <c r="F96" s="103">
        <v>0</v>
      </c>
      <c r="G96" s="103">
        <v>0</v>
      </c>
      <c r="H96" s="103" t="s">
        <v>1643</v>
      </c>
      <c r="I96" s="103" t="s">
        <v>1597</v>
      </c>
      <c r="J96" s="103" t="s">
        <v>23</v>
      </c>
      <c r="K96" s="103" t="s">
        <v>766</v>
      </c>
      <c r="L96" s="103" t="s">
        <v>51</v>
      </c>
      <c r="M96" s="103" t="s">
        <v>41</v>
      </c>
      <c r="N96" s="103" t="s">
        <v>68</v>
      </c>
      <c r="O96" s="103" t="s">
        <v>767</v>
      </c>
      <c r="Q96" s="118" t="s">
        <v>1598</v>
      </c>
      <c r="R96" s="118" t="s">
        <v>1610</v>
      </c>
      <c r="U96" s="103">
        <v>120</v>
      </c>
      <c r="V96" s="73" t="str">
        <f>_xlfn.XLOOKUP(B96,'Non-Projects (RUN-BAU)'!C:C,'Non-Projects (RUN-BAU)'!B:B,"",0)</f>
        <v/>
      </c>
      <c r="W96" s="73" t="str">
        <f>_xlfn.XLOOKUP(A96,'Ongoing Projects'!B:B,'Ongoing Projects'!B:B,"",0)</f>
        <v/>
      </c>
      <c r="X96" s="73" t="str">
        <f>_xlfn.XLOOKUP(B96,'New Projects'!D:D,'New Projects'!C:C,"",0)</f>
        <v/>
      </c>
      <c r="Y96" s="73" t="str">
        <f t="shared" si="3"/>
        <v/>
      </c>
      <c r="Z96" s="74" t="str">
        <f t="shared" si="4"/>
        <v>Missing</v>
      </c>
      <c r="AA96" s="74" t="str">
        <f t="shared" si="5"/>
        <v>Critical</v>
      </c>
    </row>
    <row r="97" spans="1:27" x14ac:dyDescent="0.2">
      <c r="A97" s="103" t="s">
        <v>410</v>
      </c>
      <c r="B97" s="103" t="s">
        <v>411</v>
      </c>
      <c r="D97" s="103">
        <v>100</v>
      </c>
      <c r="E97" s="103">
        <v>100</v>
      </c>
      <c r="F97" s="103">
        <v>200</v>
      </c>
      <c r="G97" s="103">
        <v>80</v>
      </c>
      <c r="H97" s="103" t="s">
        <v>1643</v>
      </c>
      <c r="I97" s="103" t="s">
        <v>1597</v>
      </c>
      <c r="J97" s="103" t="s">
        <v>13</v>
      </c>
      <c r="K97" s="103" t="s">
        <v>766</v>
      </c>
      <c r="L97" s="103" t="s">
        <v>46</v>
      </c>
      <c r="M97" s="103" t="s">
        <v>41</v>
      </c>
      <c r="N97" s="103" t="s">
        <v>68</v>
      </c>
      <c r="O97" s="103" t="s">
        <v>767</v>
      </c>
      <c r="Q97" s="118" t="s">
        <v>1598</v>
      </c>
      <c r="R97" s="118" t="s">
        <v>1599</v>
      </c>
      <c r="U97" s="103">
        <v>480</v>
      </c>
      <c r="V97" s="73" t="str">
        <f>_xlfn.XLOOKUP(B97,'Non-Projects (RUN-BAU)'!C:C,'Non-Projects (RUN-BAU)'!B:B,"",0)</f>
        <v/>
      </c>
      <c r="W97" s="73" t="str">
        <f>_xlfn.XLOOKUP(A97,'Ongoing Projects'!B:B,'Ongoing Projects'!B:B,"",0)</f>
        <v/>
      </c>
      <c r="X97" s="73" t="str">
        <f>_xlfn.XLOOKUP(B97,'New Projects'!D:D,'New Projects'!C:C,"",0)</f>
        <v/>
      </c>
      <c r="Y97" s="73" t="str">
        <f t="shared" si="3"/>
        <v/>
      </c>
      <c r="Z97" s="74" t="str">
        <f t="shared" si="4"/>
        <v>Missing</v>
      </c>
      <c r="AA97" s="74" t="str">
        <f t="shared" si="5"/>
        <v>Critical</v>
      </c>
    </row>
    <row r="98" spans="1:27" x14ac:dyDescent="0.2">
      <c r="A98" s="103" t="s">
        <v>414</v>
      </c>
      <c r="B98" s="103" t="s">
        <v>415</v>
      </c>
      <c r="D98" s="103">
        <v>45</v>
      </c>
      <c r="E98" s="103">
        <v>35</v>
      </c>
      <c r="F98" s="103">
        <v>35</v>
      </c>
      <c r="G98" s="103">
        <v>35</v>
      </c>
      <c r="H98" s="103" t="s">
        <v>774</v>
      </c>
      <c r="I98" s="103" t="s">
        <v>1597</v>
      </c>
      <c r="J98" s="103" t="s">
        <v>889</v>
      </c>
      <c r="K98" s="103" t="s">
        <v>766</v>
      </c>
      <c r="L98" s="103" t="s">
        <v>46</v>
      </c>
      <c r="M98" s="103" t="s">
        <v>43</v>
      </c>
      <c r="N98" s="103" t="s">
        <v>68</v>
      </c>
      <c r="O98" s="103" t="s">
        <v>767</v>
      </c>
      <c r="Q98" s="118" t="s">
        <v>1598</v>
      </c>
      <c r="R98" s="118" t="s">
        <v>1599</v>
      </c>
      <c r="U98" s="103">
        <v>150</v>
      </c>
      <c r="V98" s="73" t="str">
        <f>_xlfn.XLOOKUP(B98,'Non-Projects (RUN-BAU)'!C:C,'Non-Projects (RUN-BAU)'!B:B,"",0)</f>
        <v/>
      </c>
      <c r="W98" s="73" t="str">
        <f>_xlfn.XLOOKUP(A98,'Ongoing Projects'!B:B,'Ongoing Projects'!B:B,"",0)</f>
        <v/>
      </c>
      <c r="X98" s="73" t="str">
        <f>_xlfn.XLOOKUP(B98,'New Projects'!D:D,'New Projects'!C:C,"",0)</f>
        <v/>
      </c>
      <c r="Y98" s="73" t="str">
        <f t="shared" si="3"/>
        <v/>
      </c>
      <c r="Z98" s="74" t="str">
        <f t="shared" si="4"/>
        <v>Missing</v>
      </c>
      <c r="AA98" s="74" t="str">
        <f t="shared" si="5"/>
        <v>Critical</v>
      </c>
    </row>
    <row r="99" spans="1:27" x14ac:dyDescent="0.2">
      <c r="A99" s="103" t="s">
        <v>418</v>
      </c>
      <c r="B99" s="103" t="s">
        <v>419</v>
      </c>
      <c r="D99" s="103">
        <v>270</v>
      </c>
      <c r="E99" s="103">
        <v>415</v>
      </c>
      <c r="F99" s="103">
        <v>350</v>
      </c>
      <c r="G99" s="103">
        <v>20</v>
      </c>
      <c r="H99" s="103" t="s">
        <v>1059</v>
      </c>
      <c r="I99" s="103" t="s">
        <v>1597</v>
      </c>
      <c r="J99" s="103" t="s">
        <v>13</v>
      </c>
      <c r="K99" s="103" t="s">
        <v>766</v>
      </c>
      <c r="L99" s="103" t="s">
        <v>46</v>
      </c>
      <c r="M99" s="103" t="s">
        <v>41</v>
      </c>
      <c r="N99" s="103" t="s">
        <v>68</v>
      </c>
      <c r="O99" s="103" t="s">
        <v>767</v>
      </c>
      <c r="Q99" s="118" t="s">
        <v>1598</v>
      </c>
      <c r="R99" s="118" t="s">
        <v>1599</v>
      </c>
      <c r="U99" s="103">
        <v>1055</v>
      </c>
      <c r="V99" s="73" t="str">
        <f>_xlfn.XLOOKUP(B99,'Non-Projects (RUN-BAU)'!C:C,'Non-Projects (RUN-BAU)'!B:B,"",0)</f>
        <v/>
      </c>
      <c r="W99" s="73" t="str">
        <f>_xlfn.XLOOKUP(A99,'Ongoing Projects'!B:B,'Ongoing Projects'!B:B,"",0)</f>
        <v/>
      </c>
      <c r="X99" s="73" t="str">
        <f>_xlfn.XLOOKUP(B99,'New Projects'!D:D,'New Projects'!C:C,"",0)</f>
        <v/>
      </c>
      <c r="Y99" s="73" t="str">
        <f t="shared" si="3"/>
        <v/>
      </c>
      <c r="Z99" s="74" t="str">
        <f t="shared" si="4"/>
        <v>Missing</v>
      </c>
      <c r="AA99" s="74" t="str">
        <f t="shared" si="5"/>
        <v>Critical</v>
      </c>
    </row>
    <row r="100" spans="1:27" x14ac:dyDescent="0.2">
      <c r="A100" s="103" t="s">
        <v>420</v>
      </c>
      <c r="B100" s="103" t="s">
        <v>421</v>
      </c>
      <c r="D100" s="103">
        <v>800</v>
      </c>
      <c r="E100" s="103">
        <v>800</v>
      </c>
      <c r="F100" s="103">
        <v>930</v>
      </c>
      <c r="G100" s="103">
        <v>750</v>
      </c>
      <c r="H100" s="103" t="s">
        <v>1649</v>
      </c>
      <c r="I100" s="103" t="s">
        <v>1597</v>
      </c>
      <c r="J100" s="103" t="s">
        <v>23</v>
      </c>
      <c r="K100" s="103" t="s">
        <v>1241</v>
      </c>
      <c r="L100" s="103" t="s">
        <v>53</v>
      </c>
      <c r="M100" s="103" t="s">
        <v>43</v>
      </c>
      <c r="N100" s="103" t="s">
        <v>74</v>
      </c>
      <c r="Q100" s="118" t="s">
        <v>1598</v>
      </c>
      <c r="R100" s="118" t="s">
        <v>1599</v>
      </c>
      <c r="U100" s="103">
        <v>3030</v>
      </c>
      <c r="V100" s="73" t="str">
        <f>_xlfn.XLOOKUP(B100,'Non-Projects (RUN-BAU)'!C:C,'Non-Projects (RUN-BAU)'!B:B,"",0)</f>
        <v/>
      </c>
      <c r="W100" s="73" t="str">
        <f>_xlfn.XLOOKUP(A100,'Ongoing Projects'!B:B,'Ongoing Projects'!B:B,"",0)</f>
        <v/>
      </c>
      <c r="X100" s="73" t="str">
        <f>_xlfn.XLOOKUP(B100,'New Projects'!D:D,'New Projects'!C:C,"",0)</f>
        <v/>
      </c>
      <c r="Y100" s="73" t="str">
        <f t="shared" si="3"/>
        <v/>
      </c>
      <c r="Z100" s="74" t="str">
        <f t="shared" si="4"/>
        <v>Missing</v>
      </c>
      <c r="AA100" s="74" t="str">
        <f t="shared" si="5"/>
        <v>Critical</v>
      </c>
    </row>
    <row r="101" spans="1:27" x14ac:dyDescent="0.2">
      <c r="A101" s="103" t="s">
        <v>424</v>
      </c>
      <c r="B101" s="103" t="s">
        <v>425</v>
      </c>
      <c r="D101" s="103">
        <v>100</v>
      </c>
      <c r="E101" s="103">
        <v>170</v>
      </c>
      <c r="F101" s="103">
        <v>100</v>
      </c>
      <c r="G101" s="103">
        <v>60</v>
      </c>
      <c r="H101" s="103" t="s">
        <v>774</v>
      </c>
      <c r="I101" s="103" t="s">
        <v>1597</v>
      </c>
      <c r="J101" s="103" t="s">
        <v>13</v>
      </c>
      <c r="K101" s="103" t="s">
        <v>766</v>
      </c>
      <c r="L101" s="103" t="s">
        <v>46</v>
      </c>
      <c r="M101" s="103" t="s">
        <v>41</v>
      </c>
      <c r="N101" s="103" t="s">
        <v>68</v>
      </c>
      <c r="O101" s="103" t="s">
        <v>767</v>
      </c>
      <c r="Q101" s="118" t="s">
        <v>1598</v>
      </c>
      <c r="R101" s="118" t="s">
        <v>1599</v>
      </c>
      <c r="U101" s="103">
        <v>430</v>
      </c>
      <c r="V101" s="73" t="str">
        <f>_xlfn.XLOOKUP(B101,'Non-Projects (RUN-BAU)'!C:C,'Non-Projects (RUN-BAU)'!B:B,"",0)</f>
        <v/>
      </c>
      <c r="W101" s="73" t="str">
        <f>_xlfn.XLOOKUP(A101,'Ongoing Projects'!B:B,'Ongoing Projects'!B:B,"",0)</f>
        <v/>
      </c>
      <c r="X101" s="73" t="str">
        <f>_xlfn.XLOOKUP(B101,'New Projects'!D:D,'New Projects'!C:C,"",0)</f>
        <v/>
      </c>
      <c r="Y101" s="73" t="str">
        <f t="shared" si="3"/>
        <v/>
      </c>
      <c r="Z101" s="74" t="str">
        <f t="shared" si="4"/>
        <v>Missing</v>
      </c>
      <c r="AA101" s="74" t="str">
        <f t="shared" si="5"/>
        <v>Critical</v>
      </c>
    </row>
    <row r="102" spans="1:27" x14ac:dyDescent="0.2">
      <c r="A102" s="103" t="s">
        <v>426</v>
      </c>
      <c r="B102" s="103" t="s">
        <v>427</v>
      </c>
      <c r="D102" s="103">
        <v>113</v>
      </c>
      <c r="E102" s="103">
        <v>113</v>
      </c>
      <c r="F102" s="103">
        <v>113</v>
      </c>
      <c r="G102" s="103">
        <v>113</v>
      </c>
      <c r="H102" s="103" t="s">
        <v>1639</v>
      </c>
      <c r="I102" s="103" t="s">
        <v>1597</v>
      </c>
      <c r="J102" s="103" t="s">
        <v>13</v>
      </c>
      <c r="K102" s="103" t="s">
        <v>933</v>
      </c>
      <c r="L102" s="103" t="s">
        <v>46</v>
      </c>
      <c r="M102" s="103" t="s">
        <v>41</v>
      </c>
      <c r="N102" s="103" t="s">
        <v>64</v>
      </c>
      <c r="O102" s="103" t="s">
        <v>305</v>
      </c>
      <c r="Q102" s="118" t="s">
        <v>1598</v>
      </c>
      <c r="R102" s="118" t="s">
        <v>1599</v>
      </c>
      <c r="U102" s="103">
        <v>452</v>
      </c>
      <c r="V102" s="73" t="str">
        <f>_xlfn.XLOOKUP(B102,'Non-Projects (RUN-BAU)'!C:C,'Non-Projects (RUN-BAU)'!B:B,"",0)</f>
        <v/>
      </c>
      <c r="W102" s="73" t="str">
        <f>_xlfn.XLOOKUP(A102,'Ongoing Projects'!B:B,'Ongoing Projects'!B:B,"",0)</f>
        <v/>
      </c>
      <c r="X102" s="73" t="str">
        <f>_xlfn.XLOOKUP(B102,'New Projects'!D:D,'New Projects'!C:C,"",0)</f>
        <v/>
      </c>
      <c r="Y102" s="73" t="str">
        <f t="shared" si="3"/>
        <v/>
      </c>
      <c r="Z102" s="74" t="str">
        <f t="shared" si="4"/>
        <v>Missing</v>
      </c>
      <c r="AA102" s="74" t="str">
        <f t="shared" si="5"/>
        <v>Critical</v>
      </c>
    </row>
    <row r="103" spans="1:27" x14ac:dyDescent="0.2">
      <c r="A103" s="103" t="s">
        <v>428</v>
      </c>
      <c r="B103" s="103" t="s">
        <v>429</v>
      </c>
      <c r="D103" s="103">
        <v>28.25</v>
      </c>
      <c r="E103" s="103">
        <v>28.25</v>
      </c>
      <c r="F103" s="103">
        <v>28.25</v>
      </c>
      <c r="G103" s="103">
        <v>28.25</v>
      </c>
      <c r="H103" s="103" t="s">
        <v>1639</v>
      </c>
      <c r="I103" s="103" t="s">
        <v>1597</v>
      </c>
      <c r="J103" s="103" t="s">
        <v>13</v>
      </c>
      <c r="K103" s="103" t="s">
        <v>933</v>
      </c>
      <c r="L103" s="103" t="s">
        <v>46</v>
      </c>
      <c r="M103" s="103" t="s">
        <v>22</v>
      </c>
      <c r="N103" s="103" t="s">
        <v>64</v>
      </c>
      <c r="O103" s="103" t="s">
        <v>305</v>
      </c>
      <c r="Q103" s="118" t="s">
        <v>1598</v>
      </c>
      <c r="R103" s="118" t="s">
        <v>1599</v>
      </c>
      <c r="U103" s="103">
        <v>113</v>
      </c>
      <c r="V103" s="73" t="str">
        <f>_xlfn.XLOOKUP(B103,'Non-Projects (RUN-BAU)'!C:C,'Non-Projects (RUN-BAU)'!B:B,"",0)</f>
        <v/>
      </c>
      <c r="W103" s="73" t="str">
        <f>_xlfn.XLOOKUP(A103,'Ongoing Projects'!B:B,'Ongoing Projects'!B:B,"",0)</f>
        <v/>
      </c>
      <c r="X103" s="73" t="str">
        <f>_xlfn.XLOOKUP(B103,'New Projects'!D:D,'New Projects'!C:C,"",0)</f>
        <v/>
      </c>
      <c r="Y103" s="73" t="str">
        <f t="shared" si="3"/>
        <v/>
      </c>
      <c r="Z103" s="74" t="str">
        <f t="shared" si="4"/>
        <v>Missing</v>
      </c>
      <c r="AA103" s="74" t="str">
        <f t="shared" si="5"/>
        <v>Critical</v>
      </c>
    </row>
    <row r="104" spans="1:27" x14ac:dyDescent="0.2">
      <c r="A104" s="103" t="s">
        <v>430</v>
      </c>
      <c r="B104" s="103" t="s">
        <v>431</v>
      </c>
      <c r="D104" s="103">
        <v>197.75</v>
      </c>
      <c r="E104" s="103">
        <v>257.75</v>
      </c>
      <c r="F104" s="103">
        <v>197.75</v>
      </c>
      <c r="G104" s="103">
        <v>197.75</v>
      </c>
      <c r="H104" s="103" t="s">
        <v>1639</v>
      </c>
      <c r="I104" s="103" t="s">
        <v>1597</v>
      </c>
      <c r="J104" s="103" t="s">
        <v>13</v>
      </c>
      <c r="K104" s="103" t="s">
        <v>933</v>
      </c>
      <c r="L104" s="103" t="s">
        <v>46</v>
      </c>
      <c r="M104" s="103" t="s">
        <v>22</v>
      </c>
      <c r="N104" s="103" t="s">
        <v>64</v>
      </c>
      <c r="O104" s="103" t="s">
        <v>305</v>
      </c>
      <c r="Q104" s="118" t="s">
        <v>1598</v>
      </c>
      <c r="R104" s="118" t="s">
        <v>1599</v>
      </c>
      <c r="U104" s="103">
        <v>851</v>
      </c>
      <c r="V104" s="73" t="str">
        <f>_xlfn.XLOOKUP(B104,'Non-Projects (RUN-BAU)'!C:C,'Non-Projects (RUN-BAU)'!B:B,"",0)</f>
        <v/>
      </c>
      <c r="W104" s="73" t="str">
        <f>_xlfn.XLOOKUP(A104,'Ongoing Projects'!B:B,'Ongoing Projects'!B:B,"",0)</f>
        <v/>
      </c>
      <c r="X104" s="73" t="str">
        <f>_xlfn.XLOOKUP(B104,'New Projects'!D:D,'New Projects'!C:C,"",0)</f>
        <v/>
      </c>
      <c r="Y104" s="73" t="str">
        <f t="shared" si="3"/>
        <v/>
      </c>
      <c r="Z104" s="74" t="str">
        <f t="shared" si="4"/>
        <v>Missing</v>
      </c>
      <c r="AA104" s="74" t="str">
        <f t="shared" si="5"/>
        <v>Critical</v>
      </c>
    </row>
    <row r="105" spans="1:27" x14ac:dyDescent="0.2">
      <c r="A105" s="103" t="s">
        <v>433</v>
      </c>
      <c r="B105" s="103" t="s">
        <v>434</v>
      </c>
      <c r="D105" s="103">
        <v>0</v>
      </c>
      <c r="E105" s="103">
        <v>0</v>
      </c>
      <c r="F105" s="103">
        <v>169.5</v>
      </c>
      <c r="G105" s="103">
        <v>169.5</v>
      </c>
      <c r="H105" s="103" t="s">
        <v>1639</v>
      </c>
      <c r="I105" s="103" t="s">
        <v>1597</v>
      </c>
      <c r="J105" s="103" t="s">
        <v>13</v>
      </c>
      <c r="K105" s="103" t="s">
        <v>933</v>
      </c>
      <c r="L105" s="103" t="s">
        <v>46</v>
      </c>
      <c r="M105" s="103" t="s">
        <v>22</v>
      </c>
      <c r="N105" s="103" t="s">
        <v>64</v>
      </c>
      <c r="O105" s="103" t="s">
        <v>305</v>
      </c>
      <c r="Q105" s="118" t="s">
        <v>1607</v>
      </c>
      <c r="R105" s="118" t="s">
        <v>1599</v>
      </c>
      <c r="U105" s="103">
        <v>339</v>
      </c>
      <c r="V105" s="73" t="str">
        <f>_xlfn.XLOOKUP(B105,'Non-Projects (RUN-BAU)'!C:C,'Non-Projects (RUN-BAU)'!B:B,"",0)</f>
        <v/>
      </c>
      <c r="W105" s="73" t="str">
        <f>_xlfn.XLOOKUP(A105,'Ongoing Projects'!B:B,'Ongoing Projects'!B:B,"",0)</f>
        <v/>
      </c>
      <c r="X105" s="73" t="str">
        <f>_xlfn.XLOOKUP(B105,'New Projects'!D:D,'New Projects'!C:C,"",0)</f>
        <v/>
      </c>
      <c r="Y105" s="73" t="str">
        <f t="shared" si="3"/>
        <v/>
      </c>
      <c r="Z105" s="74" t="str">
        <f t="shared" si="4"/>
        <v>Missing</v>
      </c>
      <c r="AA105" s="74" t="str">
        <f t="shared" si="5"/>
        <v>Critical</v>
      </c>
    </row>
    <row r="106" spans="1:27" x14ac:dyDescent="0.2">
      <c r="A106" s="103" t="s">
        <v>435</v>
      </c>
      <c r="B106" s="103" t="s">
        <v>436</v>
      </c>
      <c r="D106" s="103">
        <v>50</v>
      </c>
      <c r="E106" s="103">
        <v>50</v>
      </c>
      <c r="F106" s="103">
        <v>50</v>
      </c>
      <c r="G106" s="103">
        <v>50</v>
      </c>
      <c r="H106" s="103" t="s">
        <v>1651</v>
      </c>
      <c r="I106" s="103" t="s">
        <v>1597</v>
      </c>
      <c r="J106" s="103" t="s">
        <v>13</v>
      </c>
      <c r="K106" s="103" t="s">
        <v>1241</v>
      </c>
      <c r="L106" s="103" t="s">
        <v>46</v>
      </c>
      <c r="M106" s="103" t="s">
        <v>41</v>
      </c>
      <c r="N106" s="103" t="s">
        <v>74</v>
      </c>
      <c r="O106" s="103" t="s">
        <v>305</v>
      </c>
      <c r="Q106" s="118" t="s">
        <v>1598</v>
      </c>
      <c r="R106" s="118" t="s">
        <v>1599</v>
      </c>
      <c r="U106" s="103">
        <v>200</v>
      </c>
      <c r="V106" s="73" t="str">
        <f>_xlfn.XLOOKUP(B106,'Non-Projects (RUN-BAU)'!C:C,'Non-Projects (RUN-BAU)'!B:B,"",0)</f>
        <v/>
      </c>
      <c r="W106" s="73" t="str">
        <f>_xlfn.XLOOKUP(A106,'Ongoing Projects'!B:B,'Ongoing Projects'!B:B,"",0)</f>
        <v/>
      </c>
      <c r="X106" s="73" t="str">
        <f>_xlfn.XLOOKUP(B106,'New Projects'!D:D,'New Projects'!C:C,"",0)</f>
        <v/>
      </c>
      <c r="Y106" s="73" t="str">
        <f t="shared" si="3"/>
        <v/>
      </c>
      <c r="Z106" s="74" t="str">
        <f t="shared" si="4"/>
        <v>Missing</v>
      </c>
      <c r="AA106" s="74" t="str">
        <f t="shared" si="5"/>
        <v>Critical</v>
      </c>
    </row>
    <row r="107" spans="1:27" x14ac:dyDescent="0.2">
      <c r="A107" s="103" t="s">
        <v>437</v>
      </c>
      <c r="B107" s="103" t="s">
        <v>438</v>
      </c>
      <c r="D107" s="103">
        <v>340</v>
      </c>
      <c r="E107" s="103">
        <v>330</v>
      </c>
      <c r="F107" s="103">
        <v>105</v>
      </c>
      <c r="G107" s="103">
        <v>105</v>
      </c>
      <c r="H107" s="103" t="s">
        <v>1652</v>
      </c>
      <c r="I107" s="103" t="s">
        <v>1597</v>
      </c>
      <c r="J107" s="103" t="s">
        <v>13</v>
      </c>
      <c r="K107" s="103" t="s">
        <v>1241</v>
      </c>
      <c r="L107" s="103" t="s">
        <v>46</v>
      </c>
      <c r="M107" s="103" t="s">
        <v>22</v>
      </c>
      <c r="N107" s="103" t="s">
        <v>74</v>
      </c>
      <c r="O107" s="103" t="s">
        <v>305</v>
      </c>
      <c r="Q107" s="118" t="s">
        <v>1598</v>
      </c>
      <c r="R107" s="118" t="s">
        <v>1599</v>
      </c>
      <c r="U107" s="103">
        <v>880</v>
      </c>
      <c r="V107" s="73" t="str">
        <f>_xlfn.XLOOKUP(B107,'Non-Projects (RUN-BAU)'!C:C,'Non-Projects (RUN-BAU)'!B:B,"",0)</f>
        <v/>
      </c>
      <c r="W107" s="73" t="str">
        <f>_xlfn.XLOOKUP(A107,'Ongoing Projects'!B:B,'Ongoing Projects'!B:B,"",0)</f>
        <v/>
      </c>
      <c r="X107" s="73" t="str">
        <f>_xlfn.XLOOKUP(B107,'New Projects'!D:D,'New Projects'!C:C,"",0)</f>
        <v/>
      </c>
      <c r="Y107" s="73" t="str">
        <f t="shared" si="3"/>
        <v/>
      </c>
      <c r="Z107" s="74" t="str">
        <f t="shared" si="4"/>
        <v>Missing</v>
      </c>
      <c r="AA107" s="74" t="str">
        <f t="shared" si="5"/>
        <v>Critical</v>
      </c>
    </row>
    <row r="108" spans="1:27" x14ac:dyDescent="0.2">
      <c r="A108" s="103" t="s">
        <v>440</v>
      </c>
      <c r="B108" s="103" t="s">
        <v>441</v>
      </c>
      <c r="D108" s="103">
        <v>759.22500000000002</v>
      </c>
      <c r="E108" s="103">
        <v>759.22500000000002</v>
      </c>
      <c r="F108" s="103">
        <v>759.22500000000002</v>
      </c>
      <c r="G108" s="103">
        <v>759.22500000000002</v>
      </c>
      <c r="H108" s="103" t="s">
        <v>1571</v>
      </c>
      <c r="I108" s="103" t="s">
        <v>1597</v>
      </c>
      <c r="J108" s="103" t="s">
        <v>35</v>
      </c>
      <c r="K108" s="103" t="s">
        <v>766</v>
      </c>
      <c r="L108" s="103" t="s">
        <v>49</v>
      </c>
      <c r="M108" s="103" t="s">
        <v>41</v>
      </c>
      <c r="N108" s="103" t="s">
        <v>68</v>
      </c>
      <c r="O108" s="103" t="s">
        <v>767</v>
      </c>
      <c r="Q108" s="118" t="s">
        <v>1598</v>
      </c>
      <c r="R108" s="118" t="s">
        <v>1599</v>
      </c>
      <c r="U108" s="103">
        <v>3036.8999999999996</v>
      </c>
      <c r="V108" s="73" t="str">
        <f>_xlfn.XLOOKUP(B108,'Non-Projects (RUN-BAU)'!C:C,'Non-Projects (RUN-BAU)'!B:B,"",0)</f>
        <v/>
      </c>
      <c r="W108" s="73" t="str">
        <f>_xlfn.XLOOKUP(A108,'Ongoing Projects'!B:B,'Ongoing Projects'!B:B,"",0)</f>
        <v/>
      </c>
      <c r="X108" s="73" t="str">
        <f>_xlfn.XLOOKUP(B108,'New Projects'!D:D,'New Projects'!C:C,"",0)</f>
        <v/>
      </c>
      <c r="Y108" s="73" t="str">
        <f t="shared" si="3"/>
        <v/>
      </c>
      <c r="Z108" s="74" t="str">
        <f t="shared" si="4"/>
        <v>Missing</v>
      </c>
      <c r="AA108" s="74" t="str">
        <f t="shared" si="5"/>
        <v>Critical</v>
      </c>
    </row>
    <row r="109" spans="1:27" x14ac:dyDescent="0.2">
      <c r="A109" s="103" t="s">
        <v>442</v>
      </c>
      <c r="B109" s="103" t="s">
        <v>443</v>
      </c>
      <c r="D109" s="103">
        <v>215.625</v>
      </c>
      <c r="E109" s="103">
        <v>215.625</v>
      </c>
      <c r="F109" s="103">
        <v>215.625</v>
      </c>
      <c r="G109" s="103">
        <v>215.625</v>
      </c>
      <c r="H109" s="103" t="s">
        <v>1571</v>
      </c>
      <c r="I109" s="103" t="s">
        <v>1597</v>
      </c>
      <c r="J109" s="103" t="s">
        <v>35</v>
      </c>
      <c r="K109" s="103" t="s">
        <v>766</v>
      </c>
      <c r="L109" s="103" t="s">
        <v>49</v>
      </c>
      <c r="M109" s="103" t="s">
        <v>41</v>
      </c>
      <c r="N109" s="103" t="s">
        <v>68</v>
      </c>
      <c r="O109" s="103" t="s">
        <v>767</v>
      </c>
      <c r="Q109" s="118" t="s">
        <v>1598</v>
      </c>
      <c r="R109" s="118" t="s">
        <v>1599</v>
      </c>
      <c r="U109" s="103">
        <v>862.5</v>
      </c>
      <c r="V109" s="73" t="str">
        <f>_xlfn.XLOOKUP(B109,'Non-Projects (RUN-BAU)'!C:C,'Non-Projects (RUN-BAU)'!B:B,"",0)</f>
        <v/>
      </c>
      <c r="W109" s="73" t="str">
        <f>_xlfn.XLOOKUP(A109,'Ongoing Projects'!B:B,'Ongoing Projects'!B:B,"",0)</f>
        <v/>
      </c>
      <c r="X109" s="73" t="str">
        <f>_xlfn.XLOOKUP(B109,'New Projects'!D:D,'New Projects'!C:C,"",0)</f>
        <v/>
      </c>
      <c r="Y109" s="73" t="str">
        <f t="shared" si="3"/>
        <v/>
      </c>
      <c r="Z109" s="74" t="str">
        <f t="shared" si="4"/>
        <v>Missing</v>
      </c>
      <c r="AA109" s="74" t="str">
        <f t="shared" si="5"/>
        <v>Critical</v>
      </c>
    </row>
    <row r="110" spans="1:27" x14ac:dyDescent="0.2">
      <c r="A110" s="103" t="s">
        <v>447</v>
      </c>
      <c r="B110" s="103" t="s">
        <v>448</v>
      </c>
      <c r="D110" s="103">
        <v>80</v>
      </c>
      <c r="E110" s="103">
        <v>0</v>
      </c>
      <c r="F110" s="103">
        <v>0</v>
      </c>
      <c r="G110" s="103">
        <v>0</v>
      </c>
      <c r="H110" s="103" t="s">
        <v>774</v>
      </c>
      <c r="I110" s="103" t="s">
        <v>1597</v>
      </c>
      <c r="J110" s="103" t="s">
        <v>37</v>
      </c>
      <c r="K110" s="103" t="s">
        <v>810</v>
      </c>
      <c r="L110" s="103" t="s">
        <v>1949</v>
      </c>
      <c r="M110" s="103" t="s">
        <v>43</v>
      </c>
      <c r="N110" s="103" t="s">
        <v>71</v>
      </c>
      <c r="O110" s="103" t="s">
        <v>779</v>
      </c>
      <c r="Q110" s="118" t="s">
        <v>1598</v>
      </c>
      <c r="R110" s="118" t="s">
        <v>1599</v>
      </c>
      <c r="U110" s="103">
        <v>80</v>
      </c>
      <c r="V110" s="73" t="str">
        <f>_xlfn.XLOOKUP(B110,'Non-Projects (RUN-BAU)'!C:C,'Non-Projects (RUN-BAU)'!B:B,"",0)</f>
        <v/>
      </c>
      <c r="W110" s="73" t="str">
        <f>_xlfn.XLOOKUP(A110,'Ongoing Projects'!B:B,'Ongoing Projects'!B:B,"",0)</f>
        <v/>
      </c>
      <c r="X110" s="73" t="str">
        <f>_xlfn.XLOOKUP(B110,'New Projects'!D:D,'New Projects'!C:C,"",0)</f>
        <v/>
      </c>
      <c r="Y110" s="73" t="str">
        <f t="shared" si="3"/>
        <v/>
      </c>
      <c r="Z110" s="74" t="str">
        <f t="shared" si="4"/>
        <v>Missing</v>
      </c>
      <c r="AA110" s="74" t="str">
        <f t="shared" si="5"/>
        <v>Critical</v>
      </c>
    </row>
    <row r="111" spans="1:27" x14ac:dyDescent="0.2">
      <c r="A111" s="103" t="s">
        <v>449</v>
      </c>
      <c r="B111" s="103" t="s">
        <v>450</v>
      </c>
      <c r="C111" s="103" t="s">
        <v>1950</v>
      </c>
      <c r="D111" s="103">
        <v>145</v>
      </c>
      <c r="E111" s="103">
        <v>390</v>
      </c>
      <c r="F111" s="103">
        <v>120</v>
      </c>
      <c r="G111" s="103">
        <v>265</v>
      </c>
      <c r="H111" s="103" t="s">
        <v>839</v>
      </c>
      <c r="I111" s="103" t="s">
        <v>1597</v>
      </c>
      <c r="J111" s="103" t="s">
        <v>13</v>
      </c>
      <c r="K111" s="103" t="s">
        <v>1618</v>
      </c>
      <c r="L111" s="103" t="s">
        <v>46</v>
      </c>
      <c r="M111" s="103" t="s">
        <v>41</v>
      </c>
      <c r="N111" s="103" t="s">
        <v>71</v>
      </c>
      <c r="O111" s="103" t="s">
        <v>767</v>
      </c>
      <c r="Q111" s="118" t="s">
        <v>1598</v>
      </c>
      <c r="R111" s="118" t="s">
        <v>1599</v>
      </c>
      <c r="U111" s="103">
        <v>920</v>
      </c>
      <c r="V111" s="73" t="str">
        <f>_xlfn.XLOOKUP(B111,'Non-Projects (RUN-BAU)'!C:C,'Non-Projects (RUN-BAU)'!B:B,"",0)</f>
        <v/>
      </c>
      <c r="W111" s="73" t="str">
        <f>_xlfn.XLOOKUP(A111,'Ongoing Projects'!B:B,'Ongoing Projects'!B:B,"",0)</f>
        <v/>
      </c>
      <c r="X111" s="73" t="str">
        <f>_xlfn.XLOOKUP(B111,'New Projects'!D:D,'New Projects'!C:C,"",0)</f>
        <v/>
      </c>
      <c r="Y111" s="73" t="str">
        <f t="shared" si="3"/>
        <v/>
      </c>
      <c r="Z111" s="74" t="str">
        <f t="shared" si="4"/>
        <v>Missing</v>
      </c>
      <c r="AA111" s="74" t="str">
        <f t="shared" si="5"/>
        <v>Critical</v>
      </c>
    </row>
    <row r="112" spans="1:27" x14ac:dyDescent="0.2">
      <c r="A112" s="103" t="s">
        <v>452</v>
      </c>
      <c r="B112" s="103" t="s">
        <v>453</v>
      </c>
      <c r="D112" s="103">
        <v>250</v>
      </c>
      <c r="E112" s="103">
        <v>0</v>
      </c>
      <c r="F112" s="103">
        <v>0</v>
      </c>
      <c r="G112" s="103">
        <v>0</v>
      </c>
      <c r="H112" s="103" t="s">
        <v>839</v>
      </c>
      <c r="I112" s="103" t="s">
        <v>1597</v>
      </c>
      <c r="J112" s="103" t="s">
        <v>13</v>
      </c>
      <c r="K112" s="103" t="s">
        <v>1618</v>
      </c>
      <c r="L112" s="103" t="s">
        <v>46</v>
      </c>
      <c r="M112" s="103" t="s">
        <v>22</v>
      </c>
      <c r="N112" s="103" t="s">
        <v>64</v>
      </c>
      <c r="O112" s="103" t="s">
        <v>767</v>
      </c>
      <c r="Q112" s="118" t="s">
        <v>1598</v>
      </c>
      <c r="R112" s="118" t="s">
        <v>1610</v>
      </c>
      <c r="U112" s="103">
        <v>250</v>
      </c>
      <c r="V112" s="73" t="str">
        <f>_xlfn.XLOOKUP(B112,'Non-Projects (RUN-BAU)'!C:C,'Non-Projects (RUN-BAU)'!B:B,"",0)</f>
        <v/>
      </c>
      <c r="W112" s="73" t="str">
        <f>_xlfn.XLOOKUP(A112,'Ongoing Projects'!B:B,'Ongoing Projects'!B:B,"",0)</f>
        <v/>
      </c>
      <c r="X112" s="73" t="str">
        <f>_xlfn.XLOOKUP(B112,'New Projects'!D:D,'New Projects'!C:C,"",0)</f>
        <v/>
      </c>
      <c r="Y112" s="73" t="str">
        <f t="shared" si="3"/>
        <v/>
      </c>
      <c r="Z112" s="74" t="str">
        <f t="shared" si="4"/>
        <v>Missing</v>
      </c>
      <c r="AA112" s="74" t="str">
        <f t="shared" si="5"/>
        <v>Critical</v>
      </c>
    </row>
    <row r="113" spans="1:27" x14ac:dyDescent="0.2">
      <c r="A113" s="103" t="s">
        <v>454</v>
      </c>
      <c r="B113" s="103" t="s">
        <v>455</v>
      </c>
      <c r="C113" s="103" t="s">
        <v>1951</v>
      </c>
      <c r="D113" s="103">
        <v>0</v>
      </c>
      <c r="E113" s="103">
        <v>0</v>
      </c>
      <c r="F113" s="103">
        <v>0</v>
      </c>
      <c r="G113" s="103">
        <v>50</v>
      </c>
      <c r="H113" s="103" t="s">
        <v>839</v>
      </c>
      <c r="I113" s="103" t="s">
        <v>1597</v>
      </c>
      <c r="J113" s="103" t="s">
        <v>13</v>
      </c>
      <c r="K113" s="103" t="s">
        <v>1618</v>
      </c>
      <c r="L113" s="103" t="s">
        <v>46</v>
      </c>
      <c r="M113" s="103" t="s">
        <v>22</v>
      </c>
      <c r="N113" s="103" t="s">
        <v>71</v>
      </c>
      <c r="O113" s="103" t="s">
        <v>767</v>
      </c>
      <c r="Q113" s="118" t="s">
        <v>1604</v>
      </c>
      <c r="R113" s="118" t="s">
        <v>1599</v>
      </c>
      <c r="U113" s="103">
        <v>50</v>
      </c>
      <c r="V113" s="73" t="str">
        <f>_xlfn.XLOOKUP(B113,'Non-Projects (RUN-BAU)'!C:C,'Non-Projects (RUN-BAU)'!B:B,"",0)</f>
        <v/>
      </c>
      <c r="W113" s="73" t="str">
        <f>_xlfn.XLOOKUP(A113,'Ongoing Projects'!B:B,'Ongoing Projects'!B:B,"",0)</f>
        <v/>
      </c>
      <c r="X113" s="73" t="str">
        <f>_xlfn.XLOOKUP(B113,'New Projects'!D:D,'New Projects'!C:C,"",0)</f>
        <v/>
      </c>
      <c r="Y113" s="73" t="str">
        <f t="shared" si="3"/>
        <v/>
      </c>
      <c r="Z113" s="74" t="str">
        <f t="shared" si="4"/>
        <v>Missing</v>
      </c>
      <c r="AA113" s="74" t="str">
        <f t="shared" si="5"/>
        <v>Critical</v>
      </c>
    </row>
    <row r="114" spans="1:27" x14ac:dyDescent="0.2">
      <c r="A114" s="103" t="s">
        <v>457</v>
      </c>
      <c r="B114" s="103" t="s">
        <v>458</v>
      </c>
      <c r="C114" s="103" t="s">
        <v>1952</v>
      </c>
      <c r="D114" s="103">
        <v>290</v>
      </c>
      <c r="E114" s="103">
        <v>40</v>
      </c>
      <c r="F114" s="103">
        <v>30</v>
      </c>
      <c r="G114" s="103">
        <v>0</v>
      </c>
      <c r="H114" s="103" t="s">
        <v>771</v>
      </c>
      <c r="I114" s="103" t="s">
        <v>1597</v>
      </c>
      <c r="J114" s="103" t="s">
        <v>23</v>
      </c>
      <c r="K114" s="103" t="s">
        <v>766</v>
      </c>
      <c r="L114" s="103" t="s">
        <v>51</v>
      </c>
      <c r="M114" s="103" t="s">
        <v>41</v>
      </c>
      <c r="N114" s="103" t="s">
        <v>68</v>
      </c>
      <c r="O114" s="103" t="s">
        <v>767</v>
      </c>
      <c r="Q114" s="118" t="s">
        <v>1598</v>
      </c>
      <c r="R114" s="118" t="s">
        <v>1608</v>
      </c>
      <c r="U114" s="103">
        <v>360</v>
      </c>
      <c r="V114" s="73" t="str">
        <f>_xlfn.XLOOKUP(B114,'Non-Projects (RUN-BAU)'!C:C,'Non-Projects (RUN-BAU)'!B:B,"",0)</f>
        <v/>
      </c>
      <c r="W114" s="73" t="str">
        <f>_xlfn.XLOOKUP(A114,'Ongoing Projects'!B:B,'Ongoing Projects'!B:B,"",0)</f>
        <v/>
      </c>
      <c r="X114" s="73" t="str">
        <f>_xlfn.XLOOKUP(B114,'New Projects'!D:D,'New Projects'!C:C,"",0)</f>
        <v/>
      </c>
      <c r="Y114" s="73" t="str">
        <f t="shared" si="3"/>
        <v/>
      </c>
      <c r="Z114" s="74" t="str">
        <f t="shared" si="4"/>
        <v>Missing</v>
      </c>
      <c r="AA114" s="74" t="str">
        <f t="shared" si="5"/>
        <v>Critical</v>
      </c>
    </row>
    <row r="115" spans="1:27" x14ac:dyDescent="0.2">
      <c r="A115" s="103" t="s">
        <v>461</v>
      </c>
      <c r="B115" s="103" t="s">
        <v>462</v>
      </c>
      <c r="D115" s="103">
        <v>150</v>
      </c>
      <c r="E115" s="103">
        <v>150</v>
      </c>
      <c r="F115" s="103">
        <v>0</v>
      </c>
      <c r="G115" s="103">
        <v>0</v>
      </c>
      <c r="H115" s="103" t="s">
        <v>1659</v>
      </c>
      <c r="J115" s="103" t="s">
        <v>13</v>
      </c>
      <c r="K115" s="103" t="s">
        <v>1109</v>
      </c>
      <c r="L115" s="103" t="s">
        <v>46</v>
      </c>
      <c r="M115" s="103" t="s">
        <v>41</v>
      </c>
      <c r="N115" s="103" t="s">
        <v>68</v>
      </c>
      <c r="O115" s="103" t="s">
        <v>751</v>
      </c>
      <c r="Q115" s="118" t="s">
        <v>1598</v>
      </c>
      <c r="R115" s="118" t="s">
        <v>1606</v>
      </c>
      <c r="U115" s="103">
        <v>300</v>
      </c>
      <c r="V115" s="73" t="str">
        <f>_xlfn.XLOOKUP(B115,'Non-Projects (RUN-BAU)'!C:C,'Non-Projects (RUN-BAU)'!B:B,"",0)</f>
        <v/>
      </c>
      <c r="W115" s="73" t="str">
        <f>_xlfn.XLOOKUP(A115,'Ongoing Projects'!B:B,'Ongoing Projects'!B:B,"",0)</f>
        <v/>
      </c>
      <c r="X115" s="73" t="str">
        <f>_xlfn.XLOOKUP(B115,'New Projects'!D:D,'New Projects'!C:C,"",0)</f>
        <v/>
      </c>
      <c r="Y115" s="73" t="str">
        <f t="shared" si="3"/>
        <v/>
      </c>
      <c r="Z115" s="74" t="str">
        <f t="shared" si="4"/>
        <v>Missing</v>
      </c>
      <c r="AA115" s="74" t="str">
        <f t="shared" si="5"/>
        <v>Critical</v>
      </c>
    </row>
    <row r="116" spans="1:27" x14ac:dyDescent="0.2">
      <c r="A116" s="103" t="s">
        <v>463</v>
      </c>
      <c r="B116" s="103" t="s">
        <v>464</v>
      </c>
      <c r="D116" s="103">
        <v>100</v>
      </c>
      <c r="E116" s="103">
        <v>100</v>
      </c>
      <c r="F116" s="103">
        <v>100</v>
      </c>
      <c r="G116" s="103">
        <v>100</v>
      </c>
      <c r="H116" s="103" t="s">
        <v>1659</v>
      </c>
      <c r="J116" s="103" t="s">
        <v>13</v>
      </c>
      <c r="K116" s="103" t="s">
        <v>1109</v>
      </c>
      <c r="L116" s="103" t="s">
        <v>53</v>
      </c>
      <c r="M116" s="103" t="s">
        <v>41</v>
      </c>
      <c r="N116" s="103" t="s">
        <v>68</v>
      </c>
      <c r="O116" s="103" t="s">
        <v>751</v>
      </c>
      <c r="Q116" s="118" t="s">
        <v>1598</v>
      </c>
      <c r="R116" s="118" t="s">
        <v>1599</v>
      </c>
      <c r="U116" s="103">
        <v>400</v>
      </c>
      <c r="V116" s="73" t="str">
        <f>_xlfn.XLOOKUP(B116,'Non-Projects (RUN-BAU)'!C:C,'Non-Projects (RUN-BAU)'!B:B,"",0)</f>
        <v/>
      </c>
      <c r="W116" s="73" t="str">
        <f>_xlfn.XLOOKUP(A116,'Ongoing Projects'!B:B,'Ongoing Projects'!B:B,"",0)</f>
        <v/>
      </c>
      <c r="X116" s="73" t="str">
        <f>_xlfn.XLOOKUP(B116,'New Projects'!D:D,'New Projects'!C:C,"",0)</f>
        <v/>
      </c>
      <c r="Y116" s="73" t="str">
        <f t="shared" si="3"/>
        <v/>
      </c>
      <c r="Z116" s="74" t="str">
        <f t="shared" si="4"/>
        <v>Missing</v>
      </c>
      <c r="AA116" s="74" t="str">
        <f t="shared" si="5"/>
        <v>Critical</v>
      </c>
    </row>
    <row r="117" spans="1:27" x14ac:dyDescent="0.2">
      <c r="A117" s="103" t="s">
        <v>465</v>
      </c>
      <c r="B117" s="103" t="s">
        <v>466</v>
      </c>
      <c r="D117" s="103">
        <v>200</v>
      </c>
      <c r="E117" s="103">
        <v>200</v>
      </c>
      <c r="F117" s="103">
        <v>0</v>
      </c>
      <c r="G117" s="103">
        <v>0</v>
      </c>
      <c r="H117" s="103" t="s">
        <v>1659</v>
      </c>
      <c r="J117" s="103" t="s">
        <v>13</v>
      </c>
      <c r="K117" s="103" t="s">
        <v>1109</v>
      </c>
      <c r="L117" s="103" t="s">
        <v>57</v>
      </c>
      <c r="M117" s="103" t="s">
        <v>41</v>
      </c>
      <c r="N117" s="103" t="s">
        <v>68</v>
      </c>
      <c r="O117" s="103" t="s">
        <v>751</v>
      </c>
      <c r="Q117" s="118" t="s">
        <v>1598</v>
      </c>
      <c r="R117" s="118" t="s">
        <v>1606</v>
      </c>
      <c r="U117" s="103">
        <v>400</v>
      </c>
      <c r="V117" s="73" t="str">
        <f>_xlfn.XLOOKUP(B117,'Non-Projects (RUN-BAU)'!C:C,'Non-Projects (RUN-BAU)'!B:B,"",0)</f>
        <v/>
      </c>
      <c r="W117" s="73" t="str">
        <f>_xlfn.XLOOKUP(A117,'Ongoing Projects'!B:B,'Ongoing Projects'!B:B,"",0)</f>
        <v/>
      </c>
      <c r="X117" s="73" t="str">
        <f>_xlfn.XLOOKUP(B117,'New Projects'!D:D,'New Projects'!C:C,"",0)</f>
        <v/>
      </c>
      <c r="Y117" s="73" t="str">
        <f t="shared" si="3"/>
        <v/>
      </c>
      <c r="Z117" s="74" t="str">
        <f t="shared" si="4"/>
        <v>Missing</v>
      </c>
      <c r="AA117" s="74" t="str">
        <f t="shared" si="5"/>
        <v>Critical</v>
      </c>
    </row>
    <row r="118" spans="1:27" x14ac:dyDescent="0.2">
      <c r="A118" s="103" t="s">
        <v>467</v>
      </c>
      <c r="B118" s="103" t="s">
        <v>468</v>
      </c>
      <c r="D118" s="103">
        <v>100</v>
      </c>
      <c r="E118" s="103">
        <v>100</v>
      </c>
      <c r="F118" s="103">
        <v>100</v>
      </c>
      <c r="G118" s="103">
        <v>100</v>
      </c>
      <c r="H118" s="103" t="s">
        <v>1659</v>
      </c>
      <c r="J118" s="103" t="s">
        <v>13</v>
      </c>
      <c r="K118" s="103" t="s">
        <v>1109</v>
      </c>
      <c r="L118" s="103" t="s">
        <v>46</v>
      </c>
      <c r="M118" s="103" t="s">
        <v>41</v>
      </c>
      <c r="N118" s="103" t="s">
        <v>68</v>
      </c>
      <c r="O118" s="103" t="s">
        <v>751</v>
      </c>
      <c r="Q118" s="118" t="s">
        <v>1598</v>
      </c>
      <c r="R118" s="118" t="s">
        <v>1599</v>
      </c>
      <c r="U118" s="103">
        <v>400</v>
      </c>
      <c r="V118" s="73" t="str">
        <f>_xlfn.XLOOKUP(B118,'Non-Projects (RUN-BAU)'!C:C,'Non-Projects (RUN-BAU)'!B:B,"",0)</f>
        <v/>
      </c>
      <c r="W118" s="73" t="str">
        <f>_xlfn.XLOOKUP(A118,'Ongoing Projects'!B:B,'Ongoing Projects'!B:B,"",0)</f>
        <v/>
      </c>
      <c r="X118" s="73" t="str">
        <f>_xlfn.XLOOKUP(B118,'New Projects'!D:D,'New Projects'!C:C,"",0)</f>
        <v/>
      </c>
      <c r="Y118" s="73" t="str">
        <f t="shared" si="3"/>
        <v/>
      </c>
      <c r="Z118" s="74" t="str">
        <f t="shared" si="4"/>
        <v>Missing</v>
      </c>
      <c r="AA118" s="74" t="str">
        <f t="shared" si="5"/>
        <v>Critical</v>
      </c>
    </row>
    <row r="119" spans="1:27" x14ac:dyDescent="0.2">
      <c r="A119" s="103" t="s">
        <v>469</v>
      </c>
      <c r="B119" s="103" t="s">
        <v>470</v>
      </c>
      <c r="D119" s="103">
        <v>100</v>
      </c>
      <c r="E119" s="103">
        <v>100</v>
      </c>
      <c r="F119" s="103">
        <v>100</v>
      </c>
      <c r="G119" s="103">
        <v>100</v>
      </c>
      <c r="H119" s="103" t="s">
        <v>1659</v>
      </c>
      <c r="J119" s="103" t="s">
        <v>23</v>
      </c>
      <c r="K119" s="103" t="s">
        <v>1109</v>
      </c>
      <c r="L119" s="103" t="s">
        <v>59</v>
      </c>
      <c r="M119" s="103" t="s">
        <v>41</v>
      </c>
      <c r="N119" s="103" t="s">
        <v>68</v>
      </c>
      <c r="O119" s="103" t="s">
        <v>751</v>
      </c>
      <c r="Q119" s="118" t="s">
        <v>1598</v>
      </c>
      <c r="R119" s="118" t="s">
        <v>1599</v>
      </c>
      <c r="U119" s="103">
        <v>400</v>
      </c>
      <c r="V119" s="73" t="str">
        <f>_xlfn.XLOOKUP(B119,'Non-Projects (RUN-BAU)'!C:C,'Non-Projects (RUN-BAU)'!B:B,"",0)</f>
        <v/>
      </c>
      <c r="W119" s="73" t="str">
        <f>_xlfn.XLOOKUP(A119,'Ongoing Projects'!B:B,'Ongoing Projects'!B:B,"",0)</f>
        <v/>
      </c>
      <c r="X119" s="73" t="str">
        <f>_xlfn.XLOOKUP(B119,'New Projects'!D:D,'New Projects'!C:C,"",0)</f>
        <v/>
      </c>
      <c r="Y119" s="73" t="str">
        <f t="shared" si="3"/>
        <v/>
      </c>
      <c r="Z119" s="74" t="str">
        <f t="shared" si="4"/>
        <v>Missing</v>
      </c>
      <c r="AA119" s="74" t="str">
        <f t="shared" si="5"/>
        <v>Critical</v>
      </c>
    </row>
    <row r="120" spans="1:27" x14ac:dyDescent="0.2">
      <c r="A120" s="103" t="s">
        <v>471</v>
      </c>
      <c r="B120" s="103" t="s">
        <v>472</v>
      </c>
      <c r="D120" s="103">
        <v>100</v>
      </c>
      <c r="E120" s="103">
        <v>100</v>
      </c>
      <c r="F120" s="103">
        <v>100</v>
      </c>
      <c r="G120" s="103">
        <v>100</v>
      </c>
      <c r="H120" s="103" t="s">
        <v>1659</v>
      </c>
      <c r="J120" s="103" t="s">
        <v>13</v>
      </c>
      <c r="K120" s="103" t="s">
        <v>1109</v>
      </c>
      <c r="L120" s="103" t="s">
        <v>46</v>
      </c>
      <c r="M120" s="103" t="s">
        <v>41</v>
      </c>
      <c r="N120" s="103" t="s">
        <v>68</v>
      </c>
      <c r="O120" s="103" t="s">
        <v>751</v>
      </c>
      <c r="Q120" s="118" t="s">
        <v>1598</v>
      </c>
      <c r="R120" s="118" t="s">
        <v>1599</v>
      </c>
      <c r="U120" s="103">
        <v>400</v>
      </c>
      <c r="V120" s="73" t="str">
        <f>_xlfn.XLOOKUP(B120,'Non-Projects (RUN-BAU)'!C:C,'Non-Projects (RUN-BAU)'!B:B,"",0)</f>
        <v/>
      </c>
      <c r="W120" s="73" t="str">
        <f>_xlfn.XLOOKUP(A120,'Ongoing Projects'!B:B,'Ongoing Projects'!B:B,"",0)</f>
        <v/>
      </c>
      <c r="X120" s="73" t="str">
        <f>_xlfn.XLOOKUP(B120,'New Projects'!D:D,'New Projects'!C:C,"",0)</f>
        <v/>
      </c>
      <c r="Y120" s="73" t="str">
        <f t="shared" si="3"/>
        <v/>
      </c>
      <c r="Z120" s="74" t="str">
        <f t="shared" si="4"/>
        <v>Missing</v>
      </c>
      <c r="AA120" s="74" t="str">
        <f t="shared" si="5"/>
        <v>Critical</v>
      </c>
    </row>
    <row r="121" spans="1:27" x14ac:dyDescent="0.2">
      <c r="A121" s="103" t="s">
        <v>473</v>
      </c>
      <c r="B121" s="103" t="s">
        <v>474</v>
      </c>
      <c r="D121" s="103">
        <v>50</v>
      </c>
      <c r="E121" s="103">
        <v>70</v>
      </c>
      <c r="F121" s="103">
        <v>50</v>
      </c>
      <c r="G121" s="103">
        <v>50</v>
      </c>
      <c r="H121" s="103" t="s">
        <v>1659</v>
      </c>
      <c r="J121" s="103" t="s">
        <v>13</v>
      </c>
      <c r="K121" s="103" t="s">
        <v>1109</v>
      </c>
      <c r="L121" s="103" t="s">
        <v>49</v>
      </c>
      <c r="M121" s="103" t="s">
        <v>41</v>
      </c>
      <c r="N121" s="103" t="s">
        <v>68</v>
      </c>
      <c r="O121" s="103" t="s">
        <v>751</v>
      </c>
      <c r="Q121" s="118" t="s">
        <v>1598</v>
      </c>
      <c r="R121" s="118" t="s">
        <v>1599</v>
      </c>
      <c r="U121" s="103">
        <v>220</v>
      </c>
      <c r="V121" s="73" t="str">
        <f>_xlfn.XLOOKUP(B121,'Non-Projects (RUN-BAU)'!C:C,'Non-Projects (RUN-BAU)'!B:B,"",0)</f>
        <v/>
      </c>
      <c r="W121" s="73" t="str">
        <f>_xlfn.XLOOKUP(A121,'Ongoing Projects'!B:B,'Ongoing Projects'!B:B,"",0)</f>
        <v/>
      </c>
      <c r="X121" s="73" t="str">
        <f>_xlfn.XLOOKUP(B121,'New Projects'!D:D,'New Projects'!C:C,"",0)</f>
        <v/>
      </c>
      <c r="Y121" s="73" t="str">
        <f t="shared" si="3"/>
        <v/>
      </c>
      <c r="Z121" s="74" t="str">
        <f t="shared" si="4"/>
        <v>Missing</v>
      </c>
      <c r="AA121" s="74" t="str">
        <f t="shared" si="5"/>
        <v>Critical</v>
      </c>
    </row>
    <row r="122" spans="1:27" x14ac:dyDescent="0.2">
      <c r="A122" s="103" t="s">
        <v>475</v>
      </c>
      <c r="B122" s="103" t="s">
        <v>476</v>
      </c>
      <c r="D122" s="103">
        <v>100</v>
      </c>
      <c r="E122" s="103">
        <v>100</v>
      </c>
      <c r="F122" s="103">
        <v>100</v>
      </c>
      <c r="G122" s="103">
        <v>100</v>
      </c>
      <c r="H122" s="103" t="s">
        <v>1659</v>
      </c>
      <c r="J122" s="103" t="s">
        <v>13</v>
      </c>
      <c r="K122" s="103" t="s">
        <v>1109</v>
      </c>
      <c r="L122" s="103" t="s">
        <v>46</v>
      </c>
      <c r="M122" s="103" t="s">
        <v>41</v>
      </c>
      <c r="N122" s="103" t="s">
        <v>68</v>
      </c>
      <c r="O122" s="103" t="s">
        <v>751</v>
      </c>
      <c r="Q122" s="118" t="s">
        <v>1598</v>
      </c>
      <c r="R122" s="118" t="s">
        <v>1599</v>
      </c>
      <c r="U122" s="103">
        <v>400</v>
      </c>
      <c r="V122" s="73" t="str">
        <f>_xlfn.XLOOKUP(B122,'Non-Projects (RUN-BAU)'!C:C,'Non-Projects (RUN-BAU)'!B:B,"",0)</f>
        <v/>
      </c>
      <c r="W122" s="73" t="str">
        <f>_xlfn.XLOOKUP(A122,'Ongoing Projects'!B:B,'Ongoing Projects'!B:B,"",0)</f>
        <v/>
      </c>
      <c r="X122" s="73" t="str">
        <f>_xlfn.XLOOKUP(B122,'New Projects'!D:D,'New Projects'!C:C,"",0)</f>
        <v/>
      </c>
      <c r="Y122" s="73" t="str">
        <f t="shared" si="3"/>
        <v/>
      </c>
      <c r="Z122" s="74" t="str">
        <f t="shared" si="4"/>
        <v>Missing</v>
      </c>
      <c r="AA122" s="74" t="str">
        <f t="shared" si="5"/>
        <v>Critical</v>
      </c>
    </row>
    <row r="123" spans="1:27" x14ac:dyDescent="0.2">
      <c r="A123" s="103" t="s">
        <v>477</v>
      </c>
      <c r="B123" s="103" t="s">
        <v>478</v>
      </c>
      <c r="D123" s="103">
        <v>130</v>
      </c>
      <c r="E123" s="103">
        <v>130</v>
      </c>
      <c r="F123" s="103">
        <v>140</v>
      </c>
      <c r="G123" s="103">
        <v>0</v>
      </c>
      <c r="H123" s="103" t="s">
        <v>1659</v>
      </c>
      <c r="J123" s="103" t="s">
        <v>13</v>
      </c>
      <c r="K123" s="103" t="s">
        <v>1109</v>
      </c>
      <c r="L123" s="103" t="s">
        <v>55</v>
      </c>
      <c r="M123" s="103" t="s">
        <v>41</v>
      </c>
      <c r="N123" s="103" t="s">
        <v>68</v>
      </c>
      <c r="O123" s="103" t="s">
        <v>751</v>
      </c>
      <c r="Q123" s="118" t="s">
        <v>1598</v>
      </c>
      <c r="R123" s="118" t="s">
        <v>1608</v>
      </c>
      <c r="U123" s="103">
        <v>400</v>
      </c>
      <c r="V123" s="73" t="str">
        <f>_xlfn.XLOOKUP(B123,'Non-Projects (RUN-BAU)'!C:C,'Non-Projects (RUN-BAU)'!B:B,"",0)</f>
        <v/>
      </c>
      <c r="W123" s="73" t="str">
        <f>_xlfn.XLOOKUP(A123,'Ongoing Projects'!B:B,'Ongoing Projects'!B:B,"",0)</f>
        <v/>
      </c>
      <c r="X123" s="73" t="str">
        <f>_xlfn.XLOOKUP(B123,'New Projects'!D:D,'New Projects'!C:C,"",0)</f>
        <v/>
      </c>
      <c r="Y123" s="73" t="str">
        <f t="shared" si="3"/>
        <v/>
      </c>
      <c r="Z123" s="74" t="str">
        <f t="shared" si="4"/>
        <v>Missing</v>
      </c>
      <c r="AA123" s="74" t="str">
        <f t="shared" si="5"/>
        <v>Critical</v>
      </c>
    </row>
    <row r="124" spans="1:27" x14ac:dyDescent="0.2">
      <c r="A124" s="103" t="s">
        <v>479</v>
      </c>
      <c r="B124" s="103" t="s">
        <v>480</v>
      </c>
      <c r="D124" s="103">
        <v>200</v>
      </c>
      <c r="E124" s="103">
        <v>200</v>
      </c>
      <c r="F124" s="103">
        <v>0</v>
      </c>
      <c r="G124" s="103">
        <v>0</v>
      </c>
      <c r="H124" s="103" t="s">
        <v>1659</v>
      </c>
      <c r="J124" s="103" t="s">
        <v>13</v>
      </c>
      <c r="K124" s="103" t="s">
        <v>1109</v>
      </c>
      <c r="L124" s="103" t="s">
        <v>55</v>
      </c>
      <c r="M124" s="103" t="s">
        <v>41</v>
      </c>
      <c r="N124" s="103" t="s">
        <v>68</v>
      </c>
      <c r="O124" s="103" t="s">
        <v>751</v>
      </c>
      <c r="Q124" s="118" t="s">
        <v>1598</v>
      </c>
      <c r="R124" s="118" t="s">
        <v>1606</v>
      </c>
      <c r="U124" s="103">
        <v>400</v>
      </c>
      <c r="V124" s="73" t="str">
        <f>_xlfn.XLOOKUP(B124,'Non-Projects (RUN-BAU)'!C:C,'Non-Projects (RUN-BAU)'!B:B,"",0)</f>
        <v/>
      </c>
      <c r="W124" s="73" t="str">
        <f>_xlfn.XLOOKUP(A124,'Ongoing Projects'!B:B,'Ongoing Projects'!B:B,"",0)</f>
        <v/>
      </c>
      <c r="X124" s="73" t="str">
        <f>_xlfn.XLOOKUP(B124,'New Projects'!D:D,'New Projects'!C:C,"",0)</f>
        <v/>
      </c>
      <c r="Y124" s="73" t="str">
        <f t="shared" si="3"/>
        <v/>
      </c>
      <c r="Z124" s="74" t="str">
        <f t="shared" si="4"/>
        <v>Missing</v>
      </c>
      <c r="AA124" s="74" t="str">
        <f t="shared" si="5"/>
        <v>Critical</v>
      </c>
    </row>
    <row r="125" spans="1:27" x14ac:dyDescent="0.2">
      <c r="A125" s="103" t="s">
        <v>481</v>
      </c>
      <c r="B125" s="103" t="s">
        <v>482</v>
      </c>
      <c r="D125" s="103">
        <v>800</v>
      </c>
      <c r="E125" s="103">
        <v>800</v>
      </c>
      <c r="F125" s="103">
        <v>800</v>
      </c>
      <c r="G125" s="103">
        <v>792</v>
      </c>
      <c r="H125" s="103" t="s">
        <v>1659</v>
      </c>
      <c r="J125" s="103" t="s">
        <v>35</v>
      </c>
      <c r="K125" s="103" t="s">
        <v>1109</v>
      </c>
      <c r="L125" s="103" t="s">
        <v>49</v>
      </c>
      <c r="M125" s="103" t="s">
        <v>41</v>
      </c>
      <c r="N125" s="103" t="s">
        <v>68</v>
      </c>
      <c r="O125" s="103" t="s">
        <v>751</v>
      </c>
      <c r="Q125" s="118" t="s">
        <v>1598</v>
      </c>
      <c r="R125" s="118" t="s">
        <v>1599</v>
      </c>
      <c r="U125" s="103">
        <v>3192</v>
      </c>
      <c r="V125" s="73" t="str">
        <f>_xlfn.XLOOKUP(B125,'Non-Projects (RUN-BAU)'!C:C,'Non-Projects (RUN-BAU)'!B:B,"",0)</f>
        <v/>
      </c>
      <c r="W125" s="73" t="str">
        <f>_xlfn.XLOOKUP(A125,'Ongoing Projects'!B:B,'Ongoing Projects'!B:B,"",0)</f>
        <v/>
      </c>
      <c r="X125" s="73" t="str">
        <f>_xlfn.XLOOKUP(B125,'New Projects'!D:D,'New Projects'!C:C,"",0)</f>
        <v/>
      </c>
      <c r="Y125" s="73" t="str">
        <f t="shared" si="3"/>
        <v/>
      </c>
      <c r="Z125" s="74" t="str">
        <f t="shared" si="4"/>
        <v>Missing</v>
      </c>
      <c r="AA125" s="74" t="str">
        <f t="shared" si="5"/>
        <v>Critical</v>
      </c>
    </row>
    <row r="126" spans="1:27" x14ac:dyDescent="0.2">
      <c r="A126" s="103" t="s">
        <v>484</v>
      </c>
      <c r="B126" s="103" t="s">
        <v>485</v>
      </c>
      <c r="D126" s="103">
        <v>100</v>
      </c>
      <c r="E126" s="103">
        <v>100</v>
      </c>
      <c r="F126" s="103">
        <v>100</v>
      </c>
      <c r="G126" s="103">
        <v>100</v>
      </c>
      <c r="H126" s="103" t="s">
        <v>1659</v>
      </c>
      <c r="J126" s="103" t="s">
        <v>889</v>
      </c>
      <c r="K126" s="103" t="s">
        <v>1109</v>
      </c>
      <c r="L126" s="103" t="s">
        <v>61</v>
      </c>
      <c r="M126" s="103" t="s">
        <v>41</v>
      </c>
      <c r="N126" s="103" t="s">
        <v>68</v>
      </c>
      <c r="O126" s="103" t="s">
        <v>751</v>
      </c>
      <c r="Q126" s="118" t="s">
        <v>1598</v>
      </c>
      <c r="R126" s="118" t="s">
        <v>1599</v>
      </c>
      <c r="U126" s="103">
        <v>400</v>
      </c>
      <c r="V126" s="73" t="str">
        <f>_xlfn.XLOOKUP(B126,'Non-Projects (RUN-BAU)'!C:C,'Non-Projects (RUN-BAU)'!B:B,"",0)</f>
        <v/>
      </c>
      <c r="W126" s="73" t="str">
        <f>_xlfn.XLOOKUP(A126,'Ongoing Projects'!B:B,'Ongoing Projects'!B:B,"",0)</f>
        <v/>
      </c>
      <c r="X126" s="73" t="str">
        <f>_xlfn.XLOOKUP(B126,'New Projects'!D:D,'New Projects'!C:C,"",0)</f>
        <v/>
      </c>
      <c r="Y126" s="73" t="str">
        <f t="shared" si="3"/>
        <v/>
      </c>
      <c r="Z126" s="74" t="str">
        <f t="shared" si="4"/>
        <v>Missing</v>
      </c>
      <c r="AA126" s="74" t="str">
        <f t="shared" si="5"/>
        <v>Critical</v>
      </c>
    </row>
    <row r="127" spans="1:27" x14ac:dyDescent="0.2">
      <c r="A127" s="103" t="s">
        <v>486</v>
      </c>
      <c r="B127" s="103" t="s">
        <v>487</v>
      </c>
      <c r="D127" s="103">
        <v>50</v>
      </c>
      <c r="E127" s="103">
        <v>50</v>
      </c>
      <c r="F127" s="103">
        <v>50</v>
      </c>
      <c r="G127" s="103">
        <v>50</v>
      </c>
      <c r="H127" s="103" t="s">
        <v>1659</v>
      </c>
      <c r="J127" s="103" t="s">
        <v>889</v>
      </c>
      <c r="K127" s="103" t="s">
        <v>1109</v>
      </c>
      <c r="L127" s="103" t="s">
        <v>61</v>
      </c>
      <c r="M127" s="103" t="s">
        <v>41</v>
      </c>
      <c r="N127" s="103" t="s">
        <v>68</v>
      </c>
      <c r="O127" s="103" t="s">
        <v>751</v>
      </c>
      <c r="Q127" s="118" t="s">
        <v>1598</v>
      </c>
      <c r="R127" s="118" t="s">
        <v>1599</v>
      </c>
      <c r="U127" s="103">
        <v>200</v>
      </c>
      <c r="V127" s="73" t="str">
        <f>_xlfn.XLOOKUP(B127,'Non-Projects (RUN-BAU)'!C:C,'Non-Projects (RUN-BAU)'!B:B,"",0)</f>
        <v/>
      </c>
      <c r="W127" s="73" t="str">
        <f>_xlfn.XLOOKUP(A127,'Ongoing Projects'!B:B,'Ongoing Projects'!B:B,"",0)</f>
        <v/>
      </c>
      <c r="X127" s="73" t="str">
        <f>_xlfn.XLOOKUP(B127,'New Projects'!D:D,'New Projects'!C:C,"",0)</f>
        <v/>
      </c>
      <c r="Y127" s="73" t="str">
        <f t="shared" si="3"/>
        <v/>
      </c>
      <c r="Z127" s="74" t="str">
        <f t="shared" si="4"/>
        <v>Missing</v>
      </c>
      <c r="AA127" s="74" t="str">
        <f t="shared" si="5"/>
        <v>Critical</v>
      </c>
    </row>
    <row r="128" spans="1:27" x14ac:dyDescent="0.2">
      <c r="A128" s="103" t="s">
        <v>488</v>
      </c>
      <c r="B128" s="103" t="s">
        <v>489</v>
      </c>
      <c r="D128" s="103">
        <v>100</v>
      </c>
      <c r="E128" s="103">
        <v>100</v>
      </c>
      <c r="F128" s="103">
        <v>100</v>
      </c>
      <c r="G128" s="103">
        <v>100</v>
      </c>
      <c r="H128" s="103" t="s">
        <v>1659</v>
      </c>
      <c r="J128" s="103" t="s">
        <v>13</v>
      </c>
      <c r="K128" s="103" t="s">
        <v>1109</v>
      </c>
      <c r="L128" s="103" t="s">
        <v>46</v>
      </c>
      <c r="M128" s="103" t="s">
        <v>41</v>
      </c>
      <c r="N128" s="103" t="s">
        <v>68</v>
      </c>
      <c r="O128" s="103" t="s">
        <v>751</v>
      </c>
      <c r="Q128" s="118" t="s">
        <v>1598</v>
      </c>
      <c r="R128" s="118" t="s">
        <v>1599</v>
      </c>
      <c r="U128" s="103">
        <v>400</v>
      </c>
      <c r="V128" s="73" t="str">
        <f>_xlfn.XLOOKUP(B128,'Non-Projects (RUN-BAU)'!C:C,'Non-Projects (RUN-BAU)'!B:B,"",0)</f>
        <v/>
      </c>
      <c r="W128" s="73" t="str">
        <f>_xlfn.XLOOKUP(A128,'Ongoing Projects'!B:B,'Ongoing Projects'!B:B,"",0)</f>
        <v/>
      </c>
      <c r="X128" s="73" t="str">
        <f>_xlfn.XLOOKUP(B128,'New Projects'!D:D,'New Projects'!C:C,"",0)</f>
        <v/>
      </c>
      <c r="Y128" s="73" t="str">
        <f t="shared" si="3"/>
        <v/>
      </c>
      <c r="Z128" s="74" t="str">
        <f t="shared" si="4"/>
        <v>Missing</v>
      </c>
      <c r="AA128" s="74" t="str">
        <f t="shared" si="5"/>
        <v>Critical</v>
      </c>
    </row>
    <row r="129" spans="1:27" x14ac:dyDescent="0.2">
      <c r="A129" s="103" t="s">
        <v>490</v>
      </c>
      <c r="B129" s="103" t="s">
        <v>491</v>
      </c>
      <c r="D129" s="103">
        <v>200</v>
      </c>
      <c r="E129" s="103">
        <v>200</v>
      </c>
      <c r="F129" s="103">
        <v>0</v>
      </c>
      <c r="G129" s="103">
        <v>0</v>
      </c>
      <c r="H129" s="103" t="s">
        <v>1659</v>
      </c>
      <c r="J129" s="103" t="s">
        <v>23</v>
      </c>
      <c r="K129" s="103" t="s">
        <v>1109</v>
      </c>
      <c r="L129" s="103" t="s">
        <v>59</v>
      </c>
      <c r="M129" s="103" t="s">
        <v>41</v>
      </c>
      <c r="N129" s="103" t="s">
        <v>68</v>
      </c>
      <c r="O129" s="103" t="s">
        <v>751</v>
      </c>
      <c r="Q129" s="118" t="s">
        <v>1598</v>
      </c>
      <c r="R129" s="118" t="s">
        <v>1606</v>
      </c>
      <c r="U129" s="103">
        <v>400</v>
      </c>
      <c r="V129" s="73" t="str">
        <f>_xlfn.XLOOKUP(B129,'Non-Projects (RUN-BAU)'!C:C,'Non-Projects (RUN-BAU)'!B:B,"",0)</f>
        <v/>
      </c>
      <c r="W129" s="73" t="str">
        <f>_xlfn.XLOOKUP(A129,'Ongoing Projects'!B:B,'Ongoing Projects'!B:B,"",0)</f>
        <v/>
      </c>
      <c r="X129" s="73" t="str">
        <f>_xlfn.XLOOKUP(B129,'New Projects'!D:D,'New Projects'!C:C,"",0)</f>
        <v/>
      </c>
      <c r="Y129" s="73" t="str">
        <f t="shared" si="3"/>
        <v/>
      </c>
      <c r="Z129" s="74" t="str">
        <f t="shared" si="4"/>
        <v>Missing</v>
      </c>
      <c r="AA129" s="74" t="str">
        <f t="shared" si="5"/>
        <v>Critical</v>
      </c>
    </row>
    <row r="130" spans="1:27" x14ac:dyDescent="0.2">
      <c r="A130" s="103" t="s">
        <v>492</v>
      </c>
      <c r="B130" s="103" t="s">
        <v>493</v>
      </c>
      <c r="D130" s="103">
        <v>100</v>
      </c>
      <c r="E130" s="103">
        <v>100</v>
      </c>
      <c r="F130" s="103">
        <v>100</v>
      </c>
      <c r="G130" s="103">
        <v>100</v>
      </c>
      <c r="H130" s="103" t="s">
        <v>1659</v>
      </c>
      <c r="J130" s="103" t="s">
        <v>35</v>
      </c>
      <c r="K130" s="103" t="s">
        <v>1109</v>
      </c>
      <c r="L130" s="103" t="s">
        <v>49</v>
      </c>
      <c r="M130" s="103" t="s">
        <v>41</v>
      </c>
      <c r="N130" s="103" t="s">
        <v>68</v>
      </c>
      <c r="O130" s="103" t="s">
        <v>751</v>
      </c>
      <c r="Q130" s="118" t="s">
        <v>1598</v>
      </c>
      <c r="R130" s="118" t="s">
        <v>1599</v>
      </c>
      <c r="U130" s="103">
        <v>400</v>
      </c>
      <c r="V130" s="73" t="str">
        <f>_xlfn.XLOOKUP(B130,'Non-Projects (RUN-BAU)'!C:C,'Non-Projects (RUN-BAU)'!B:B,"",0)</f>
        <v/>
      </c>
      <c r="W130" s="73" t="str">
        <f>_xlfn.XLOOKUP(A130,'Ongoing Projects'!B:B,'Ongoing Projects'!B:B,"",0)</f>
        <v/>
      </c>
      <c r="X130" s="73" t="str">
        <f>_xlfn.XLOOKUP(B130,'New Projects'!D:D,'New Projects'!C:C,"",0)</f>
        <v/>
      </c>
      <c r="Y130" s="73" t="str">
        <f t="shared" si="3"/>
        <v/>
      </c>
      <c r="Z130" s="74" t="str">
        <f t="shared" si="4"/>
        <v>Missing</v>
      </c>
      <c r="AA130" s="74" t="str">
        <f t="shared" si="5"/>
        <v>Critical</v>
      </c>
    </row>
    <row r="131" spans="1:27" x14ac:dyDescent="0.2">
      <c r="A131" s="103" t="s">
        <v>494</v>
      </c>
      <c r="B131" s="103" t="s">
        <v>495</v>
      </c>
      <c r="D131" s="103">
        <v>100</v>
      </c>
      <c r="E131" s="103">
        <v>100</v>
      </c>
      <c r="F131" s="103">
        <v>100</v>
      </c>
      <c r="G131" s="103">
        <v>100</v>
      </c>
      <c r="H131" s="103" t="s">
        <v>1659</v>
      </c>
      <c r="J131" s="103" t="s">
        <v>889</v>
      </c>
      <c r="K131" s="103" t="s">
        <v>1109</v>
      </c>
      <c r="L131" s="103" t="s">
        <v>61</v>
      </c>
      <c r="M131" s="103" t="s">
        <v>41</v>
      </c>
      <c r="N131" s="103" t="s">
        <v>68</v>
      </c>
      <c r="O131" s="103" t="s">
        <v>751</v>
      </c>
      <c r="Q131" s="118" t="s">
        <v>1598</v>
      </c>
      <c r="R131" s="118" t="s">
        <v>1599</v>
      </c>
      <c r="U131" s="103">
        <v>400</v>
      </c>
      <c r="V131" s="73" t="str">
        <f>_xlfn.XLOOKUP(B131,'Non-Projects (RUN-BAU)'!C:C,'Non-Projects (RUN-BAU)'!B:B,"",0)</f>
        <v/>
      </c>
      <c r="W131" s="73" t="str">
        <f>_xlfn.XLOOKUP(A131,'Ongoing Projects'!B:B,'Ongoing Projects'!B:B,"",0)</f>
        <v/>
      </c>
      <c r="X131" s="73" t="str">
        <f>_xlfn.XLOOKUP(B131,'New Projects'!D:D,'New Projects'!C:C,"",0)</f>
        <v/>
      </c>
      <c r="Y131" s="73" t="str">
        <f t="shared" ref="Y131:Y194" si="6">V131&amp;W131&amp;X131</f>
        <v/>
      </c>
      <c r="Z131" s="74" t="str">
        <f t="shared" ref="Z131:Z194" si="7">IF(AND(V131="",W131="",X131=""),"Missing",IF(Y131=A131,"","Don't match"))</f>
        <v>Missing</v>
      </c>
      <c r="AA131" s="74" t="str">
        <f t="shared" ref="AA131:AA194" si="8">IF(AND(Z131&lt;&gt;"",SUM(D131:G131)&lt;&gt;0,I131&lt;&gt;"Not Acceptance"),"Critical", "")</f>
        <v>Critical</v>
      </c>
    </row>
    <row r="132" spans="1:27" x14ac:dyDescent="0.2">
      <c r="A132" s="103" t="s">
        <v>499</v>
      </c>
      <c r="B132" s="103" t="s">
        <v>500</v>
      </c>
      <c r="D132" s="103">
        <v>0</v>
      </c>
      <c r="E132" s="103">
        <v>66.67</v>
      </c>
      <c r="F132" s="103">
        <v>66.67</v>
      </c>
      <c r="G132" s="103">
        <v>66.66</v>
      </c>
      <c r="H132" s="103" t="s">
        <v>1639</v>
      </c>
      <c r="I132" s="103" t="s">
        <v>1597</v>
      </c>
      <c r="J132" s="103" t="s">
        <v>13</v>
      </c>
      <c r="K132" s="103" t="s">
        <v>933</v>
      </c>
      <c r="L132" s="103" t="s">
        <v>46</v>
      </c>
      <c r="M132" s="103" t="s">
        <v>41</v>
      </c>
      <c r="N132" s="103" t="s">
        <v>64</v>
      </c>
      <c r="O132" s="103" t="s">
        <v>305</v>
      </c>
      <c r="Q132" s="118" t="s">
        <v>1601</v>
      </c>
      <c r="R132" s="118" t="s">
        <v>1599</v>
      </c>
      <c r="U132" s="103">
        <v>200</v>
      </c>
      <c r="V132" s="73" t="str">
        <f>_xlfn.XLOOKUP(B132,'Non-Projects (RUN-BAU)'!C:C,'Non-Projects (RUN-BAU)'!B:B,"",0)</f>
        <v/>
      </c>
      <c r="W132" s="73" t="str">
        <f>_xlfn.XLOOKUP(A132,'Ongoing Projects'!B:B,'Ongoing Projects'!B:B,"",0)</f>
        <v/>
      </c>
      <c r="X132" s="73" t="str">
        <f>_xlfn.XLOOKUP(B132,'New Projects'!D:D,'New Projects'!C:C,"",0)</f>
        <v/>
      </c>
      <c r="Y132" s="73" t="str">
        <f t="shared" si="6"/>
        <v/>
      </c>
      <c r="Z132" s="74" t="str">
        <f t="shared" si="7"/>
        <v>Missing</v>
      </c>
      <c r="AA132" s="74" t="str">
        <f t="shared" si="8"/>
        <v>Critical</v>
      </c>
    </row>
    <row r="133" spans="1:27" x14ac:dyDescent="0.2">
      <c r="A133" s="103" t="s">
        <v>501</v>
      </c>
      <c r="B133" s="103" t="s">
        <v>502</v>
      </c>
      <c r="D133" s="103">
        <v>100</v>
      </c>
      <c r="E133" s="103">
        <v>100</v>
      </c>
      <c r="F133" s="103">
        <v>100</v>
      </c>
      <c r="G133" s="103">
        <v>100</v>
      </c>
      <c r="H133" s="103" t="s">
        <v>1639</v>
      </c>
      <c r="I133" s="103" t="s">
        <v>1597</v>
      </c>
      <c r="J133" s="103" t="s">
        <v>13</v>
      </c>
      <c r="K133" s="103" t="s">
        <v>933</v>
      </c>
      <c r="L133" s="103" t="s">
        <v>46</v>
      </c>
      <c r="M133" s="103" t="s">
        <v>41</v>
      </c>
      <c r="N133" s="103" t="s">
        <v>64</v>
      </c>
      <c r="O133" s="103" t="s">
        <v>305</v>
      </c>
      <c r="Q133" s="118" t="s">
        <v>1598</v>
      </c>
      <c r="R133" s="118" t="s">
        <v>1599</v>
      </c>
      <c r="U133" s="103">
        <v>400</v>
      </c>
      <c r="V133" s="73" t="str">
        <f>_xlfn.XLOOKUP(B133,'Non-Projects (RUN-BAU)'!C:C,'Non-Projects (RUN-BAU)'!B:B,"",0)</f>
        <v/>
      </c>
      <c r="W133" s="73" t="str">
        <f>_xlfn.XLOOKUP(A133,'Ongoing Projects'!B:B,'Ongoing Projects'!B:B,"",0)</f>
        <v/>
      </c>
      <c r="X133" s="73" t="str">
        <f>_xlfn.XLOOKUP(B133,'New Projects'!D:D,'New Projects'!C:C,"",0)</f>
        <v/>
      </c>
      <c r="Y133" s="73" t="str">
        <f t="shared" si="6"/>
        <v/>
      </c>
      <c r="Z133" s="74" t="str">
        <f t="shared" si="7"/>
        <v>Missing</v>
      </c>
      <c r="AA133" s="74" t="str">
        <f t="shared" si="8"/>
        <v>Critical</v>
      </c>
    </row>
    <row r="134" spans="1:27" x14ac:dyDescent="0.2">
      <c r="A134" s="103" t="s">
        <v>503</v>
      </c>
      <c r="B134" s="103" t="s">
        <v>504</v>
      </c>
      <c r="D134" s="103">
        <v>126</v>
      </c>
      <c r="E134" s="103">
        <v>126</v>
      </c>
      <c r="F134" s="103">
        <v>126</v>
      </c>
      <c r="G134" s="103">
        <v>126</v>
      </c>
      <c r="H134" s="103" t="s">
        <v>1639</v>
      </c>
      <c r="I134" s="103" t="s">
        <v>1597</v>
      </c>
      <c r="J134" s="103" t="s">
        <v>13</v>
      </c>
      <c r="K134" s="103" t="s">
        <v>933</v>
      </c>
      <c r="L134" s="103" t="s">
        <v>46</v>
      </c>
      <c r="M134" s="103" t="s">
        <v>41</v>
      </c>
      <c r="N134" s="103" t="s">
        <v>64</v>
      </c>
      <c r="O134" s="103" t="s">
        <v>305</v>
      </c>
      <c r="Q134" s="118" t="s">
        <v>1598</v>
      </c>
      <c r="R134" s="118" t="s">
        <v>1599</v>
      </c>
      <c r="U134" s="103">
        <v>504</v>
      </c>
      <c r="V134" s="73" t="str">
        <f>_xlfn.XLOOKUP(B134,'Non-Projects (RUN-BAU)'!C:C,'Non-Projects (RUN-BAU)'!B:B,"",0)</f>
        <v/>
      </c>
      <c r="W134" s="73" t="str">
        <f>_xlfn.XLOOKUP(A134,'Ongoing Projects'!B:B,'Ongoing Projects'!B:B,"",0)</f>
        <v/>
      </c>
      <c r="X134" s="73" t="str">
        <f>_xlfn.XLOOKUP(B134,'New Projects'!D:D,'New Projects'!C:C,"",0)</f>
        <v/>
      </c>
      <c r="Y134" s="73" t="str">
        <f t="shared" si="6"/>
        <v/>
      </c>
      <c r="Z134" s="74" t="str">
        <f t="shared" si="7"/>
        <v>Missing</v>
      </c>
      <c r="AA134" s="74" t="str">
        <f t="shared" si="8"/>
        <v>Critical</v>
      </c>
    </row>
    <row r="135" spans="1:27" x14ac:dyDescent="0.2">
      <c r="A135" s="103" t="s">
        <v>505</v>
      </c>
      <c r="B135" s="103" t="s">
        <v>506</v>
      </c>
      <c r="D135" s="103">
        <v>188</v>
      </c>
      <c r="E135" s="103">
        <v>66</v>
      </c>
      <c r="F135" s="103">
        <v>65</v>
      </c>
      <c r="G135" s="103">
        <v>65</v>
      </c>
      <c r="H135" s="103" t="s">
        <v>1639</v>
      </c>
      <c r="I135" s="103" t="s">
        <v>1597</v>
      </c>
      <c r="J135" s="103" t="s">
        <v>13</v>
      </c>
      <c r="K135" s="103" t="s">
        <v>933</v>
      </c>
      <c r="L135" s="103" t="s">
        <v>46</v>
      </c>
      <c r="M135" s="103" t="s">
        <v>22</v>
      </c>
      <c r="N135" s="103" t="s">
        <v>64</v>
      </c>
      <c r="O135" s="103" t="s">
        <v>934</v>
      </c>
      <c r="Q135" s="118" t="s">
        <v>1598</v>
      </c>
      <c r="R135" s="118" t="s">
        <v>1599</v>
      </c>
      <c r="U135" s="103">
        <v>384</v>
      </c>
      <c r="V135" s="73" t="str">
        <f>_xlfn.XLOOKUP(B135,'Non-Projects (RUN-BAU)'!C:C,'Non-Projects (RUN-BAU)'!B:B,"",0)</f>
        <v/>
      </c>
      <c r="W135" s="73" t="str">
        <f>_xlfn.XLOOKUP(A135,'Ongoing Projects'!B:B,'Ongoing Projects'!B:B,"",0)</f>
        <v/>
      </c>
      <c r="X135" s="73" t="str">
        <f>_xlfn.XLOOKUP(B135,'New Projects'!D:D,'New Projects'!C:C,"",0)</f>
        <v/>
      </c>
      <c r="Y135" s="73" t="str">
        <f t="shared" si="6"/>
        <v/>
      </c>
      <c r="Z135" s="74" t="str">
        <f t="shared" si="7"/>
        <v>Missing</v>
      </c>
      <c r="AA135" s="74" t="str">
        <f t="shared" si="8"/>
        <v>Critical</v>
      </c>
    </row>
    <row r="136" spans="1:27" x14ac:dyDescent="0.2">
      <c r="A136" s="103" t="s">
        <v>508</v>
      </c>
      <c r="B136" s="103" t="s">
        <v>509</v>
      </c>
      <c r="D136" s="103">
        <v>50</v>
      </c>
      <c r="E136" s="103">
        <v>0</v>
      </c>
      <c r="F136" s="103">
        <v>0</v>
      </c>
      <c r="G136" s="103">
        <v>0</v>
      </c>
      <c r="H136" s="103" t="s">
        <v>839</v>
      </c>
      <c r="I136" s="103" t="s">
        <v>1597</v>
      </c>
      <c r="J136" s="103" t="s">
        <v>13</v>
      </c>
      <c r="K136" s="103" t="s">
        <v>1618</v>
      </c>
      <c r="L136" s="103" t="s">
        <v>49</v>
      </c>
      <c r="M136" s="103" t="s">
        <v>41</v>
      </c>
      <c r="N136" s="103" t="s">
        <v>64</v>
      </c>
      <c r="O136" s="103" t="s">
        <v>767</v>
      </c>
      <c r="Q136" s="118" t="s">
        <v>1598</v>
      </c>
      <c r="R136" s="118" t="s">
        <v>1610</v>
      </c>
      <c r="U136" s="103">
        <v>50</v>
      </c>
      <c r="V136" s="73" t="str">
        <f>_xlfn.XLOOKUP(B136,'Non-Projects (RUN-BAU)'!C:C,'Non-Projects (RUN-BAU)'!B:B,"",0)</f>
        <v/>
      </c>
      <c r="W136" s="73" t="str">
        <f>_xlfn.XLOOKUP(A136,'Ongoing Projects'!B:B,'Ongoing Projects'!B:B,"",0)</f>
        <v/>
      </c>
      <c r="X136" s="73" t="str">
        <f>_xlfn.XLOOKUP(B136,'New Projects'!D:D,'New Projects'!C:C,"",0)</f>
        <v/>
      </c>
      <c r="Y136" s="73" t="str">
        <f t="shared" si="6"/>
        <v/>
      </c>
      <c r="Z136" s="74" t="str">
        <f t="shared" si="7"/>
        <v>Missing</v>
      </c>
      <c r="AA136" s="74" t="str">
        <f t="shared" si="8"/>
        <v>Critical</v>
      </c>
    </row>
    <row r="137" spans="1:27" x14ac:dyDescent="0.2">
      <c r="A137" s="103" t="s">
        <v>510</v>
      </c>
      <c r="B137" s="103" t="s">
        <v>511</v>
      </c>
      <c r="D137" s="103">
        <v>125</v>
      </c>
      <c r="E137" s="103">
        <v>150</v>
      </c>
      <c r="F137" s="103">
        <v>75</v>
      </c>
      <c r="G137" s="103">
        <v>0</v>
      </c>
      <c r="H137" s="103" t="s">
        <v>839</v>
      </c>
      <c r="I137" s="103" t="s">
        <v>1597</v>
      </c>
      <c r="J137" s="103" t="s">
        <v>13</v>
      </c>
      <c r="K137" s="103" t="s">
        <v>1618</v>
      </c>
      <c r="L137" s="103" t="s">
        <v>46</v>
      </c>
      <c r="M137" s="103" t="s">
        <v>22</v>
      </c>
      <c r="N137" s="103" t="s">
        <v>64</v>
      </c>
      <c r="O137" s="103" t="s">
        <v>767</v>
      </c>
      <c r="Q137" s="118" t="s">
        <v>1598</v>
      </c>
      <c r="R137" s="118" t="s">
        <v>1608</v>
      </c>
      <c r="U137" s="103">
        <v>350</v>
      </c>
      <c r="V137" s="73" t="str">
        <f>_xlfn.XLOOKUP(B137,'Non-Projects (RUN-BAU)'!C:C,'Non-Projects (RUN-BAU)'!B:B,"",0)</f>
        <v/>
      </c>
      <c r="W137" s="73" t="str">
        <f>_xlfn.XLOOKUP(A137,'Ongoing Projects'!B:B,'Ongoing Projects'!B:B,"",0)</f>
        <v/>
      </c>
      <c r="X137" s="73" t="str">
        <f>_xlfn.XLOOKUP(B137,'New Projects'!D:D,'New Projects'!C:C,"",0)</f>
        <v/>
      </c>
      <c r="Y137" s="73" t="str">
        <f t="shared" si="6"/>
        <v/>
      </c>
      <c r="Z137" s="74" t="str">
        <f t="shared" si="7"/>
        <v>Missing</v>
      </c>
      <c r="AA137" s="74" t="str">
        <f t="shared" si="8"/>
        <v>Critical</v>
      </c>
    </row>
    <row r="138" spans="1:27" x14ac:dyDescent="0.2">
      <c r="A138" s="103" t="s">
        <v>512</v>
      </c>
      <c r="B138" s="103" t="s">
        <v>513</v>
      </c>
      <c r="D138" s="103">
        <v>0</v>
      </c>
      <c r="E138" s="103">
        <v>100</v>
      </c>
      <c r="F138" s="103">
        <v>0</v>
      </c>
      <c r="G138" s="103">
        <v>0</v>
      </c>
      <c r="H138" s="103" t="s">
        <v>839</v>
      </c>
      <c r="I138" s="103" t="s">
        <v>1597</v>
      </c>
      <c r="J138" s="103" t="s">
        <v>37</v>
      </c>
      <c r="K138" s="103" t="s">
        <v>1618</v>
      </c>
      <c r="L138" s="103" t="s">
        <v>49</v>
      </c>
      <c r="M138" s="103" t="s">
        <v>41</v>
      </c>
      <c r="N138" s="103" t="s">
        <v>64</v>
      </c>
      <c r="O138" s="103" t="s">
        <v>767</v>
      </c>
      <c r="Q138" s="118" t="s">
        <v>1601</v>
      </c>
      <c r="R138" s="118" t="s">
        <v>1606</v>
      </c>
      <c r="U138" s="103">
        <v>100</v>
      </c>
      <c r="V138" s="73" t="str">
        <f>_xlfn.XLOOKUP(B138,'Non-Projects (RUN-BAU)'!C:C,'Non-Projects (RUN-BAU)'!B:B,"",0)</f>
        <v/>
      </c>
      <c r="W138" s="73" t="str">
        <f>_xlfn.XLOOKUP(A138,'Ongoing Projects'!B:B,'Ongoing Projects'!B:B,"",0)</f>
        <v/>
      </c>
      <c r="X138" s="73" t="str">
        <f>_xlfn.XLOOKUP(B138,'New Projects'!D:D,'New Projects'!C:C,"",0)</f>
        <v/>
      </c>
      <c r="Y138" s="73" t="str">
        <f t="shared" si="6"/>
        <v/>
      </c>
      <c r="Z138" s="74" t="str">
        <f t="shared" si="7"/>
        <v>Missing</v>
      </c>
      <c r="AA138" s="74" t="str">
        <f t="shared" si="8"/>
        <v>Critical</v>
      </c>
    </row>
    <row r="139" spans="1:27" x14ac:dyDescent="0.2">
      <c r="A139" s="103" t="s">
        <v>514</v>
      </c>
      <c r="B139" s="103" t="s">
        <v>515</v>
      </c>
      <c r="D139" s="103">
        <v>0</v>
      </c>
      <c r="E139" s="103">
        <v>0</v>
      </c>
      <c r="F139" s="103">
        <v>0</v>
      </c>
      <c r="G139" s="103">
        <v>175</v>
      </c>
      <c r="H139" s="103" t="s">
        <v>839</v>
      </c>
      <c r="I139" s="103" t="s">
        <v>1597</v>
      </c>
      <c r="J139" s="103" t="s">
        <v>37</v>
      </c>
      <c r="K139" s="103" t="s">
        <v>1618</v>
      </c>
      <c r="L139" s="103" t="s">
        <v>49</v>
      </c>
      <c r="M139" s="103" t="s">
        <v>41</v>
      </c>
      <c r="N139" s="103" t="s">
        <v>64</v>
      </c>
      <c r="O139" s="103" t="s">
        <v>767</v>
      </c>
      <c r="Q139" s="118" t="s">
        <v>1604</v>
      </c>
      <c r="R139" s="118" t="s">
        <v>1599</v>
      </c>
      <c r="U139" s="103">
        <v>175</v>
      </c>
      <c r="V139" s="73" t="str">
        <f>_xlfn.XLOOKUP(B139,'Non-Projects (RUN-BAU)'!C:C,'Non-Projects (RUN-BAU)'!B:B,"",0)</f>
        <v/>
      </c>
      <c r="W139" s="73" t="str">
        <f>_xlfn.XLOOKUP(A139,'Ongoing Projects'!B:B,'Ongoing Projects'!B:B,"",0)</f>
        <v/>
      </c>
      <c r="X139" s="73" t="str">
        <f>_xlfn.XLOOKUP(B139,'New Projects'!D:D,'New Projects'!C:C,"",0)</f>
        <v/>
      </c>
      <c r="Y139" s="73" t="str">
        <f t="shared" si="6"/>
        <v/>
      </c>
      <c r="Z139" s="74" t="str">
        <f t="shared" si="7"/>
        <v>Missing</v>
      </c>
      <c r="AA139" s="74" t="str">
        <f t="shared" si="8"/>
        <v>Critical</v>
      </c>
    </row>
    <row r="140" spans="1:27" x14ac:dyDescent="0.2">
      <c r="A140" s="103" t="s">
        <v>516</v>
      </c>
      <c r="B140" s="103" t="s">
        <v>517</v>
      </c>
      <c r="D140" s="103">
        <v>0</v>
      </c>
      <c r="E140" s="103">
        <v>25</v>
      </c>
      <c r="F140" s="103">
        <v>150</v>
      </c>
      <c r="G140" s="103">
        <v>0</v>
      </c>
      <c r="H140" s="103" t="s">
        <v>839</v>
      </c>
      <c r="I140" s="103" t="s">
        <v>1597</v>
      </c>
      <c r="J140" s="103" t="s">
        <v>13</v>
      </c>
      <c r="K140" s="103" t="s">
        <v>1618</v>
      </c>
      <c r="L140" s="103" t="s">
        <v>46</v>
      </c>
      <c r="M140" s="103" t="s">
        <v>22</v>
      </c>
      <c r="N140" s="103" t="s">
        <v>64</v>
      </c>
      <c r="O140" s="103" t="s">
        <v>767</v>
      </c>
      <c r="Q140" s="118" t="s">
        <v>1601</v>
      </c>
      <c r="R140" s="118" t="s">
        <v>1608</v>
      </c>
      <c r="U140" s="103">
        <v>175</v>
      </c>
      <c r="V140" s="73" t="str">
        <f>_xlfn.XLOOKUP(B140,'Non-Projects (RUN-BAU)'!C:C,'Non-Projects (RUN-BAU)'!B:B,"",0)</f>
        <v/>
      </c>
      <c r="W140" s="73" t="str">
        <f>_xlfn.XLOOKUP(A140,'Ongoing Projects'!B:B,'Ongoing Projects'!B:B,"",0)</f>
        <v/>
      </c>
      <c r="X140" s="73" t="str">
        <f>_xlfn.XLOOKUP(B140,'New Projects'!D:D,'New Projects'!C:C,"",0)</f>
        <v/>
      </c>
      <c r="Y140" s="73" t="str">
        <f t="shared" si="6"/>
        <v/>
      </c>
      <c r="Z140" s="74" t="str">
        <f t="shared" si="7"/>
        <v>Missing</v>
      </c>
      <c r="AA140" s="74" t="str">
        <f t="shared" si="8"/>
        <v>Critical</v>
      </c>
    </row>
    <row r="141" spans="1:27" x14ac:dyDescent="0.2">
      <c r="A141" s="103" t="s">
        <v>518</v>
      </c>
      <c r="B141" s="103" t="s">
        <v>519</v>
      </c>
      <c r="D141" s="103">
        <v>0</v>
      </c>
      <c r="E141" s="103">
        <v>50</v>
      </c>
      <c r="F141" s="103">
        <v>0</v>
      </c>
      <c r="G141" s="103">
        <v>0</v>
      </c>
      <c r="H141" s="103" t="s">
        <v>839</v>
      </c>
      <c r="I141" s="103" t="s">
        <v>1597</v>
      </c>
      <c r="J141" s="103" t="s">
        <v>13</v>
      </c>
      <c r="K141" s="103" t="s">
        <v>1618</v>
      </c>
      <c r="L141" s="103" t="s">
        <v>49</v>
      </c>
      <c r="M141" s="103" t="s">
        <v>41</v>
      </c>
      <c r="N141" s="103" t="s">
        <v>64</v>
      </c>
      <c r="O141" s="103" t="s">
        <v>767</v>
      </c>
      <c r="Q141" s="118" t="s">
        <v>1601</v>
      </c>
      <c r="R141" s="118" t="s">
        <v>1606</v>
      </c>
      <c r="U141" s="103">
        <v>50</v>
      </c>
      <c r="V141" s="73" t="str">
        <f>_xlfn.XLOOKUP(B141,'Non-Projects (RUN-BAU)'!C:C,'Non-Projects (RUN-BAU)'!B:B,"",0)</f>
        <v/>
      </c>
      <c r="W141" s="73" t="str">
        <f>_xlfn.XLOOKUP(A141,'Ongoing Projects'!B:B,'Ongoing Projects'!B:B,"",0)</f>
        <v/>
      </c>
      <c r="X141" s="73" t="str">
        <f>_xlfn.XLOOKUP(B141,'New Projects'!D:D,'New Projects'!C:C,"",0)</f>
        <v/>
      </c>
      <c r="Y141" s="73" t="str">
        <f t="shared" si="6"/>
        <v/>
      </c>
      <c r="Z141" s="74" t="str">
        <f t="shared" si="7"/>
        <v>Missing</v>
      </c>
      <c r="AA141" s="74" t="str">
        <f t="shared" si="8"/>
        <v>Critical</v>
      </c>
    </row>
    <row r="142" spans="1:27" x14ac:dyDescent="0.2">
      <c r="A142" s="103" t="s">
        <v>520</v>
      </c>
      <c r="B142" s="103" t="s">
        <v>521</v>
      </c>
      <c r="C142" s="103" t="s">
        <v>1953</v>
      </c>
      <c r="D142" s="103">
        <v>0</v>
      </c>
      <c r="E142" s="103">
        <v>50</v>
      </c>
      <c r="F142" s="103">
        <v>0</v>
      </c>
      <c r="G142" s="103">
        <v>100</v>
      </c>
      <c r="H142" s="103" t="s">
        <v>839</v>
      </c>
      <c r="I142" s="103" t="s">
        <v>1597</v>
      </c>
      <c r="J142" s="103" t="s">
        <v>732</v>
      </c>
      <c r="K142" s="103" t="s">
        <v>1618</v>
      </c>
      <c r="L142" s="103" t="s">
        <v>46</v>
      </c>
      <c r="M142" s="103" t="s">
        <v>43</v>
      </c>
      <c r="N142" s="103" t="s">
        <v>71</v>
      </c>
      <c r="O142" s="103" t="s">
        <v>767</v>
      </c>
      <c r="Q142" s="118" t="s">
        <v>1601</v>
      </c>
      <c r="R142" s="118" t="s">
        <v>1599</v>
      </c>
      <c r="U142" s="103">
        <v>150</v>
      </c>
      <c r="V142" s="73" t="str">
        <f>_xlfn.XLOOKUP(B142,'Non-Projects (RUN-BAU)'!C:C,'Non-Projects (RUN-BAU)'!B:B,"",0)</f>
        <v/>
      </c>
      <c r="W142" s="73" t="str">
        <f>_xlfn.XLOOKUP(A142,'Ongoing Projects'!B:B,'Ongoing Projects'!B:B,"",0)</f>
        <v/>
      </c>
      <c r="X142" s="73" t="str">
        <f>_xlfn.XLOOKUP(B142,'New Projects'!D:D,'New Projects'!C:C,"",0)</f>
        <v/>
      </c>
      <c r="Y142" s="73" t="str">
        <f t="shared" si="6"/>
        <v/>
      </c>
      <c r="Z142" s="74" t="str">
        <f t="shared" si="7"/>
        <v>Missing</v>
      </c>
      <c r="AA142" s="74" t="str">
        <f t="shared" si="8"/>
        <v>Critical</v>
      </c>
    </row>
    <row r="143" spans="1:27" x14ac:dyDescent="0.2">
      <c r="A143" s="103" t="s">
        <v>522</v>
      </c>
      <c r="B143" s="103" t="s">
        <v>523</v>
      </c>
      <c r="D143" s="103">
        <v>220</v>
      </c>
      <c r="E143" s="103">
        <v>180</v>
      </c>
      <c r="F143" s="103">
        <v>0</v>
      </c>
      <c r="G143" s="103">
        <v>0</v>
      </c>
      <c r="H143" s="103" t="s">
        <v>839</v>
      </c>
      <c r="I143" s="103" t="s">
        <v>1597</v>
      </c>
      <c r="J143" s="103" t="s">
        <v>13</v>
      </c>
      <c r="K143" s="103" t="s">
        <v>1618</v>
      </c>
      <c r="L143" s="103" t="s">
        <v>46</v>
      </c>
      <c r="M143" s="103" t="s">
        <v>41</v>
      </c>
      <c r="N143" s="103" t="s">
        <v>64</v>
      </c>
      <c r="O143" s="103" t="s">
        <v>767</v>
      </c>
      <c r="Q143" s="118" t="s">
        <v>1598</v>
      </c>
      <c r="R143" s="118" t="s">
        <v>1606</v>
      </c>
      <c r="U143" s="103">
        <v>400</v>
      </c>
      <c r="V143" s="73" t="str">
        <f>_xlfn.XLOOKUP(B143,'Non-Projects (RUN-BAU)'!C:C,'Non-Projects (RUN-BAU)'!B:B,"",0)</f>
        <v/>
      </c>
      <c r="W143" s="73" t="str">
        <f>_xlfn.XLOOKUP(A143,'Ongoing Projects'!B:B,'Ongoing Projects'!B:B,"",0)</f>
        <v/>
      </c>
      <c r="X143" s="73" t="str">
        <f>_xlfn.XLOOKUP(B143,'New Projects'!D:D,'New Projects'!C:C,"",0)</f>
        <v/>
      </c>
      <c r="Y143" s="73" t="str">
        <f t="shared" si="6"/>
        <v/>
      </c>
      <c r="Z143" s="74" t="str">
        <f t="shared" si="7"/>
        <v>Missing</v>
      </c>
      <c r="AA143" s="74" t="str">
        <f t="shared" si="8"/>
        <v>Critical</v>
      </c>
    </row>
    <row r="144" spans="1:27" x14ac:dyDescent="0.2">
      <c r="A144" s="103" t="s">
        <v>524</v>
      </c>
      <c r="B144" s="103" t="s">
        <v>525</v>
      </c>
      <c r="C144" s="103" t="s">
        <v>1954</v>
      </c>
      <c r="D144" s="103">
        <v>10</v>
      </c>
      <c r="E144" s="103">
        <v>20</v>
      </c>
      <c r="F144" s="103">
        <v>80</v>
      </c>
      <c r="G144" s="103">
        <v>130</v>
      </c>
      <c r="H144" s="103" t="s">
        <v>839</v>
      </c>
      <c r="I144" s="103" t="s">
        <v>1597</v>
      </c>
      <c r="J144" s="103" t="s">
        <v>13</v>
      </c>
      <c r="K144" s="103" t="s">
        <v>1618</v>
      </c>
      <c r="L144" s="103" t="s">
        <v>46</v>
      </c>
      <c r="M144" s="103" t="s">
        <v>22</v>
      </c>
      <c r="N144" s="103" t="s">
        <v>64</v>
      </c>
      <c r="O144" s="103" t="s">
        <v>767</v>
      </c>
      <c r="Q144" s="118" t="s">
        <v>1598</v>
      </c>
      <c r="R144" s="118" t="s">
        <v>1599</v>
      </c>
      <c r="U144" s="103">
        <v>240</v>
      </c>
      <c r="V144" s="73" t="str">
        <f>_xlfn.XLOOKUP(B144,'Non-Projects (RUN-BAU)'!C:C,'Non-Projects (RUN-BAU)'!B:B,"",0)</f>
        <v/>
      </c>
      <c r="W144" s="73" t="str">
        <f>_xlfn.XLOOKUP(A144,'Ongoing Projects'!B:B,'Ongoing Projects'!B:B,"",0)</f>
        <v/>
      </c>
      <c r="X144" s="73" t="str">
        <f>_xlfn.XLOOKUP(B144,'New Projects'!D:D,'New Projects'!C:C,"",0)</f>
        <v/>
      </c>
      <c r="Y144" s="73" t="str">
        <f t="shared" si="6"/>
        <v/>
      </c>
      <c r="Z144" s="74" t="str">
        <f t="shared" si="7"/>
        <v>Missing</v>
      </c>
      <c r="AA144" s="74" t="str">
        <f t="shared" si="8"/>
        <v>Critical</v>
      </c>
    </row>
    <row r="145" spans="1:27" x14ac:dyDescent="0.2">
      <c r="A145" s="103" t="s">
        <v>526</v>
      </c>
      <c r="B145" s="103" t="s">
        <v>527</v>
      </c>
      <c r="D145" s="103">
        <v>0</v>
      </c>
      <c r="E145" s="103">
        <v>0</v>
      </c>
      <c r="F145" s="103">
        <v>100</v>
      </c>
      <c r="G145" s="103">
        <v>245</v>
      </c>
      <c r="H145" s="103" t="s">
        <v>839</v>
      </c>
      <c r="I145" s="103" t="s">
        <v>1597</v>
      </c>
      <c r="J145" s="103" t="s">
        <v>13</v>
      </c>
      <c r="K145" s="103" t="s">
        <v>1618</v>
      </c>
      <c r="L145" s="103" t="s">
        <v>53</v>
      </c>
      <c r="M145" s="103" t="s">
        <v>41</v>
      </c>
      <c r="N145" s="103" t="s">
        <v>71</v>
      </c>
      <c r="O145" s="103" t="s">
        <v>767</v>
      </c>
      <c r="Q145" s="118" t="s">
        <v>1607</v>
      </c>
      <c r="R145" s="118" t="s">
        <v>1599</v>
      </c>
      <c r="U145" s="103">
        <v>345</v>
      </c>
      <c r="V145" s="73" t="str">
        <f>_xlfn.XLOOKUP(B145,'Non-Projects (RUN-BAU)'!C:C,'Non-Projects (RUN-BAU)'!B:B,"",0)</f>
        <v/>
      </c>
      <c r="W145" s="73" t="str">
        <f>_xlfn.XLOOKUP(A145,'Ongoing Projects'!B:B,'Ongoing Projects'!B:B,"",0)</f>
        <v/>
      </c>
      <c r="X145" s="73" t="str">
        <f>_xlfn.XLOOKUP(B145,'New Projects'!D:D,'New Projects'!C:C,"",0)</f>
        <v/>
      </c>
      <c r="Y145" s="73" t="str">
        <f t="shared" si="6"/>
        <v/>
      </c>
      <c r="Z145" s="74" t="str">
        <f t="shared" si="7"/>
        <v>Missing</v>
      </c>
      <c r="AA145" s="74" t="str">
        <f t="shared" si="8"/>
        <v>Critical</v>
      </c>
    </row>
    <row r="146" spans="1:27" x14ac:dyDescent="0.2">
      <c r="A146" s="103" t="s">
        <v>533</v>
      </c>
      <c r="B146" s="103" t="s">
        <v>534</v>
      </c>
      <c r="D146" s="103">
        <v>0</v>
      </c>
      <c r="E146" s="103">
        <v>40</v>
      </c>
      <c r="F146" s="103">
        <v>80</v>
      </c>
      <c r="G146" s="103">
        <v>80</v>
      </c>
      <c r="H146" s="103" t="s">
        <v>774</v>
      </c>
      <c r="I146" s="103" t="s">
        <v>1597</v>
      </c>
      <c r="J146" s="103" t="s">
        <v>13</v>
      </c>
      <c r="K146" s="103" t="s">
        <v>766</v>
      </c>
      <c r="L146" s="103" t="s">
        <v>46</v>
      </c>
      <c r="M146" s="103" t="s">
        <v>41</v>
      </c>
      <c r="N146" s="103" t="s">
        <v>68</v>
      </c>
      <c r="O146" s="103" t="s">
        <v>767</v>
      </c>
      <c r="Q146" s="118" t="s">
        <v>1601</v>
      </c>
      <c r="R146" s="118" t="s">
        <v>1599</v>
      </c>
      <c r="U146" s="103">
        <v>200</v>
      </c>
      <c r="V146" s="73" t="str">
        <f>_xlfn.XLOOKUP(B146,'Non-Projects (RUN-BAU)'!C:C,'Non-Projects (RUN-BAU)'!B:B,"",0)</f>
        <v/>
      </c>
      <c r="W146" s="73" t="str">
        <f>_xlfn.XLOOKUP(A146,'Ongoing Projects'!B:B,'Ongoing Projects'!B:B,"",0)</f>
        <v/>
      </c>
      <c r="X146" s="73" t="str">
        <f>_xlfn.XLOOKUP(B146,'New Projects'!D:D,'New Projects'!C:C,"",0)</f>
        <v/>
      </c>
      <c r="Y146" s="73" t="str">
        <f t="shared" si="6"/>
        <v/>
      </c>
      <c r="Z146" s="74" t="str">
        <f t="shared" si="7"/>
        <v>Missing</v>
      </c>
      <c r="AA146" s="74" t="str">
        <f t="shared" si="8"/>
        <v>Critical</v>
      </c>
    </row>
    <row r="147" spans="1:27" x14ac:dyDescent="0.2">
      <c r="A147" s="103" t="s">
        <v>536</v>
      </c>
      <c r="B147" s="103" t="s">
        <v>537</v>
      </c>
      <c r="D147" s="103">
        <v>50</v>
      </c>
      <c r="E147" s="103">
        <v>125</v>
      </c>
      <c r="F147" s="103">
        <v>250</v>
      </c>
      <c r="G147" s="103">
        <v>725</v>
      </c>
      <c r="H147" s="103" t="s">
        <v>811</v>
      </c>
      <c r="I147" s="103" t="s">
        <v>1597</v>
      </c>
      <c r="J147" s="103" t="s">
        <v>13</v>
      </c>
      <c r="K147" s="103" t="s">
        <v>810</v>
      </c>
      <c r="L147" s="103" t="s">
        <v>46</v>
      </c>
      <c r="M147" s="103" t="s">
        <v>41</v>
      </c>
      <c r="N147" s="103" t="s">
        <v>71</v>
      </c>
      <c r="O147" s="103" t="s">
        <v>779</v>
      </c>
      <c r="Q147" s="118" t="s">
        <v>1598</v>
      </c>
      <c r="R147" s="118" t="s">
        <v>1599</v>
      </c>
      <c r="U147" s="103">
        <v>550</v>
      </c>
      <c r="V147" s="73" t="str">
        <f>_xlfn.XLOOKUP(B147,'Non-Projects (RUN-BAU)'!C:C,'Non-Projects (RUN-BAU)'!B:B,"",0)</f>
        <v/>
      </c>
      <c r="W147" s="73" t="str">
        <f>_xlfn.XLOOKUP(A147,'Ongoing Projects'!B:B,'Ongoing Projects'!B:B,"",0)</f>
        <v/>
      </c>
      <c r="X147" s="73" t="str">
        <f>_xlfn.XLOOKUP(B147,'New Projects'!D:D,'New Projects'!C:C,"",0)</f>
        <v/>
      </c>
      <c r="Y147" s="73" t="str">
        <f t="shared" si="6"/>
        <v/>
      </c>
      <c r="Z147" s="74" t="str">
        <f t="shared" si="7"/>
        <v>Missing</v>
      </c>
      <c r="AA147" s="74" t="str">
        <f t="shared" si="8"/>
        <v>Critical</v>
      </c>
    </row>
    <row r="148" spans="1:27" x14ac:dyDescent="0.2">
      <c r="A148" s="103" t="s">
        <v>539</v>
      </c>
      <c r="B148" s="103" t="s">
        <v>540</v>
      </c>
      <c r="D148" s="103">
        <v>50</v>
      </c>
      <c r="E148" s="103">
        <v>0</v>
      </c>
      <c r="F148" s="103">
        <v>0</v>
      </c>
      <c r="G148" s="103">
        <v>100</v>
      </c>
      <c r="H148" s="103" t="s">
        <v>811</v>
      </c>
      <c r="I148" s="103" t="s">
        <v>1597</v>
      </c>
      <c r="J148" s="103" t="s">
        <v>13</v>
      </c>
      <c r="K148" s="103" t="s">
        <v>810</v>
      </c>
      <c r="L148" s="103" t="s">
        <v>46</v>
      </c>
      <c r="M148" s="103" t="s">
        <v>41</v>
      </c>
      <c r="N148" s="103" t="s">
        <v>71</v>
      </c>
      <c r="O148" s="103" t="s">
        <v>779</v>
      </c>
      <c r="Q148" s="118" t="s">
        <v>1598</v>
      </c>
      <c r="R148" s="118" t="s">
        <v>1599</v>
      </c>
      <c r="U148" s="103">
        <v>50</v>
      </c>
      <c r="V148" s="73" t="str">
        <f>_xlfn.XLOOKUP(B148,'Non-Projects (RUN-BAU)'!C:C,'Non-Projects (RUN-BAU)'!B:B,"",0)</f>
        <v/>
      </c>
      <c r="W148" s="73" t="str">
        <f>_xlfn.XLOOKUP(A148,'Ongoing Projects'!B:B,'Ongoing Projects'!B:B,"",0)</f>
        <v/>
      </c>
      <c r="X148" s="73" t="str">
        <f>_xlfn.XLOOKUP(B148,'New Projects'!D:D,'New Projects'!C:C,"",0)</f>
        <v/>
      </c>
      <c r="Y148" s="73" t="str">
        <f t="shared" si="6"/>
        <v/>
      </c>
      <c r="Z148" s="74" t="str">
        <f t="shared" si="7"/>
        <v>Missing</v>
      </c>
      <c r="AA148" s="74" t="str">
        <f t="shared" si="8"/>
        <v>Critical</v>
      </c>
    </row>
    <row r="149" spans="1:27" x14ac:dyDescent="0.2">
      <c r="A149" s="103" t="s">
        <v>541</v>
      </c>
      <c r="B149" s="103" t="s">
        <v>542</v>
      </c>
      <c r="D149" s="103">
        <v>0</v>
      </c>
      <c r="E149" s="103">
        <v>50</v>
      </c>
      <c r="F149" s="103">
        <v>150</v>
      </c>
      <c r="G149" s="103">
        <v>100</v>
      </c>
      <c r="H149" s="103" t="s">
        <v>811</v>
      </c>
      <c r="I149" s="103" t="s">
        <v>1597</v>
      </c>
      <c r="J149" s="103" t="s">
        <v>20</v>
      </c>
      <c r="K149" s="103" t="s">
        <v>810</v>
      </c>
      <c r="L149" s="103" t="s">
        <v>1944</v>
      </c>
      <c r="M149" s="103" t="s">
        <v>41</v>
      </c>
      <c r="N149" s="103" t="s">
        <v>71</v>
      </c>
      <c r="O149" s="103" t="s">
        <v>779</v>
      </c>
      <c r="Q149" s="118" t="s">
        <v>1601</v>
      </c>
      <c r="R149" s="118" t="s">
        <v>1599</v>
      </c>
      <c r="U149" s="103">
        <v>200</v>
      </c>
      <c r="V149" s="73" t="str">
        <f>_xlfn.XLOOKUP(B149,'Non-Projects (RUN-BAU)'!C:C,'Non-Projects (RUN-BAU)'!B:B,"",0)</f>
        <v/>
      </c>
      <c r="W149" s="73" t="str">
        <f>_xlfn.XLOOKUP(A149,'Ongoing Projects'!B:B,'Ongoing Projects'!B:B,"",0)</f>
        <v/>
      </c>
      <c r="X149" s="73" t="str">
        <f>_xlfn.XLOOKUP(B149,'New Projects'!D:D,'New Projects'!C:C,"",0)</f>
        <v/>
      </c>
      <c r="Y149" s="73" t="str">
        <f t="shared" si="6"/>
        <v/>
      </c>
      <c r="Z149" s="74" t="str">
        <f t="shared" si="7"/>
        <v>Missing</v>
      </c>
      <c r="AA149" s="74" t="str">
        <f t="shared" si="8"/>
        <v>Critical</v>
      </c>
    </row>
    <row r="150" spans="1:27" x14ac:dyDescent="0.2">
      <c r="A150" s="103" t="s">
        <v>549</v>
      </c>
      <c r="B150" s="103" t="s">
        <v>550</v>
      </c>
      <c r="D150" s="103">
        <v>0</v>
      </c>
      <c r="E150" s="103">
        <v>36.700000000000003</v>
      </c>
      <c r="F150" s="103">
        <v>36.700000000000003</v>
      </c>
      <c r="G150" s="103">
        <v>36.6</v>
      </c>
      <c r="H150" s="103" t="s">
        <v>1639</v>
      </c>
      <c r="I150" s="103" t="s">
        <v>1597</v>
      </c>
      <c r="J150" s="103" t="s">
        <v>13</v>
      </c>
      <c r="K150" s="103" t="s">
        <v>933</v>
      </c>
      <c r="L150" s="103" t="s">
        <v>46</v>
      </c>
      <c r="M150" s="103" t="s">
        <v>41</v>
      </c>
      <c r="N150" s="103" t="s">
        <v>64</v>
      </c>
      <c r="O150" s="103" t="s">
        <v>934</v>
      </c>
      <c r="Q150" s="118" t="s">
        <v>1601</v>
      </c>
      <c r="R150" s="118" t="s">
        <v>1599</v>
      </c>
      <c r="U150" s="103">
        <v>110</v>
      </c>
      <c r="V150" s="73" t="str">
        <f>_xlfn.XLOOKUP(B150,'Non-Projects (RUN-BAU)'!C:C,'Non-Projects (RUN-BAU)'!B:B,"",0)</f>
        <v/>
      </c>
      <c r="W150" s="73" t="str">
        <f>_xlfn.XLOOKUP(A150,'Ongoing Projects'!B:B,'Ongoing Projects'!B:B,"",0)</f>
        <v/>
      </c>
      <c r="X150" s="73" t="str">
        <f>_xlfn.XLOOKUP(B150,'New Projects'!D:D,'New Projects'!C:C,"",0)</f>
        <v/>
      </c>
      <c r="Y150" s="73" t="str">
        <f t="shared" si="6"/>
        <v/>
      </c>
      <c r="Z150" s="74" t="str">
        <f t="shared" si="7"/>
        <v>Missing</v>
      </c>
      <c r="AA150" s="74" t="str">
        <f t="shared" si="8"/>
        <v>Critical</v>
      </c>
    </row>
    <row r="151" spans="1:27" x14ac:dyDescent="0.2">
      <c r="A151" s="103" t="s">
        <v>551</v>
      </c>
      <c r="B151" s="103" t="s">
        <v>552</v>
      </c>
      <c r="C151" s="103" t="s">
        <v>1955</v>
      </c>
      <c r="D151" s="103">
        <v>150</v>
      </c>
      <c r="E151" s="103">
        <v>0</v>
      </c>
      <c r="F151" s="103">
        <v>0</v>
      </c>
      <c r="G151" s="103">
        <v>0</v>
      </c>
      <c r="H151" s="103" t="s">
        <v>839</v>
      </c>
      <c r="I151" s="103" t="s">
        <v>1597</v>
      </c>
      <c r="J151" s="103" t="s">
        <v>35</v>
      </c>
      <c r="K151" s="103" t="s">
        <v>1473</v>
      </c>
      <c r="L151" s="103" t="s">
        <v>55</v>
      </c>
      <c r="M151" s="103" t="s">
        <v>43</v>
      </c>
      <c r="N151" s="103" t="s">
        <v>95</v>
      </c>
      <c r="O151" s="103" t="s">
        <v>767</v>
      </c>
      <c r="Q151" s="118" t="s">
        <v>1598</v>
      </c>
      <c r="R151" s="118" t="s">
        <v>1610</v>
      </c>
      <c r="U151" s="103">
        <v>150</v>
      </c>
      <c r="V151" s="73" t="str">
        <f>_xlfn.XLOOKUP(B151,'Non-Projects (RUN-BAU)'!C:C,'Non-Projects (RUN-BAU)'!B:B,"",0)</f>
        <v/>
      </c>
      <c r="W151" s="73" t="str">
        <f>_xlfn.XLOOKUP(A151,'Ongoing Projects'!B:B,'Ongoing Projects'!B:B,"",0)</f>
        <v/>
      </c>
      <c r="X151" s="73" t="str">
        <f>_xlfn.XLOOKUP(B151,'New Projects'!D:D,'New Projects'!C:C,"",0)</f>
        <v/>
      </c>
      <c r="Y151" s="73" t="str">
        <f t="shared" si="6"/>
        <v/>
      </c>
      <c r="Z151" s="74" t="str">
        <f t="shared" si="7"/>
        <v>Missing</v>
      </c>
      <c r="AA151" s="74" t="str">
        <f t="shared" si="8"/>
        <v>Critical</v>
      </c>
    </row>
    <row r="152" spans="1:27" x14ac:dyDescent="0.2">
      <c r="A152" s="103" t="s">
        <v>558</v>
      </c>
      <c r="B152" s="103" t="s">
        <v>559</v>
      </c>
      <c r="C152" s="103" t="s">
        <v>1956</v>
      </c>
      <c r="D152" s="103">
        <v>55</v>
      </c>
      <c r="E152" s="103">
        <v>25</v>
      </c>
      <c r="F152" s="103">
        <v>25</v>
      </c>
      <c r="G152" s="103">
        <v>25</v>
      </c>
      <c r="H152" s="103" t="s">
        <v>1617</v>
      </c>
      <c r="I152" s="103" t="s">
        <v>1597</v>
      </c>
      <c r="J152" s="103" t="s">
        <v>23</v>
      </c>
      <c r="K152" s="103" t="s">
        <v>750</v>
      </c>
      <c r="L152" s="103" t="s">
        <v>51</v>
      </c>
      <c r="M152" s="103" t="s">
        <v>43</v>
      </c>
      <c r="N152" s="103" t="s">
        <v>64</v>
      </c>
      <c r="O152" s="103" t="s">
        <v>934</v>
      </c>
      <c r="Q152" s="118" t="s">
        <v>1598</v>
      </c>
      <c r="R152" s="118" t="s">
        <v>1599</v>
      </c>
      <c r="U152" s="103">
        <v>130</v>
      </c>
      <c r="V152" s="73" t="str">
        <f>_xlfn.XLOOKUP(B152,'Non-Projects (RUN-BAU)'!C:C,'Non-Projects (RUN-BAU)'!B:B,"",0)</f>
        <v/>
      </c>
      <c r="W152" s="73" t="str">
        <f>_xlfn.XLOOKUP(A152,'Ongoing Projects'!B:B,'Ongoing Projects'!B:B,"",0)</f>
        <v/>
      </c>
      <c r="X152" s="73" t="str">
        <f>_xlfn.XLOOKUP(B152,'New Projects'!D:D,'New Projects'!C:C,"",0)</f>
        <v/>
      </c>
      <c r="Y152" s="73" t="str">
        <f t="shared" si="6"/>
        <v/>
      </c>
      <c r="Z152" s="74" t="str">
        <f t="shared" si="7"/>
        <v>Missing</v>
      </c>
      <c r="AA152" s="74" t="str">
        <f t="shared" si="8"/>
        <v>Critical</v>
      </c>
    </row>
    <row r="153" spans="1:27" x14ac:dyDescent="0.2">
      <c r="A153" s="103" t="s">
        <v>560</v>
      </c>
      <c r="B153" s="103" t="s">
        <v>561</v>
      </c>
      <c r="C153" s="103" t="s">
        <v>448</v>
      </c>
      <c r="D153" s="103">
        <v>25</v>
      </c>
      <c r="E153" s="103">
        <v>75</v>
      </c>
      <c r="F153" s="103">
        <v>0</v>
      </c>
      <c r="G153" s="103">
        <v>0</v>
      </c>
      <c r="H153" s="103" t="s">
        <v>1617</v>
      </c>
      <c r="I153" s="103" t="s">
        <v>1597</v>
      </c>
      <c r="J153" s="103" t="s">
        <v>23</v>
      </c>
      <c r="K153" s="103" t="s">
        <v>1262</v>
      </c>
      <c r="L153" s="103" t="s">
        <v>51</v>
      </c>
      <c r="M153" s="103" t="s">
        <v>43</v>
      </c>
      <c r="N153" s="103" t="s">
        <v>64</v>
      </c>
      <c r="O153" s="103" t="s">
        <v>934</v>
      </c>
      <c r="Q153" s="118" t="s">
        <v>1598</v>
      </c>
      <c r="R153" s="118" t="s">
        <v>1606</v>
      </c>
      <c r="U153" s="103">
        <v>100</v>
      </c>
      <c r="V153" s="73" t="str">
        <f>_xlfn.XLOOKUP(B153,'Non-Projects (RUN-BAU)'!C:C,'Non-Projects (RUN-BAU)'!B:B,"",0)</f>
        <v/>
      </c>
      <c r="W153" s="73" t="str">
        <f>_xlfn.XLOOKUP(A153,'Ongoing Projects'!B:B,'Ongoing Projects'!B:B,"",0)</f>
        <v/>
      </c>
      <c r="X153" s="73" t="str">
        <f>_xlfn.XLOOKUP(B153,'New Projects'!D:D,'New Projects'!C:C,"",0)</f>
        <v/>
      </c>
      <c r="Y153" s="73" t="str">
        <f t="shared" si="6"/>
        <v/>
      </c>
      <c r="Z153" s="74" t="str">
        <f t="shared" si="7"/>
        <v>Missing</v>
      </c>
      <c r="AA153" s="74" t="str">
        <f t="shared" si="8"/>
        <v>Critical</v>
      </c>
    </row>
    <row r="154" spans="1:27" x14ac:dyDescent="0.2">
      <c r="A154" s="103" t="s">
        <v>562</v>
      </c>
      <c r="B154" s="103" t="s">
        <v>563</v>
      </c>
      <c r="C154" s="103" t="s">
        <v>1957</v>
      </c>
      <c r="D154" s="103">
        <v>236</v>
      </c>
      <c r="E154" s="103">
        <v>237</v>
      </c>
      <c r="F154" s="103">
        <v>236</v>
      </c>
      <c r="G154" s="103">
        <v>237</v>
      </c>
      <c r="H154" s="103" t="s">
        <v>1617</v>
      </c>
      <c r="I154" s="103" t="s">
        <v>1597</v>
      </c>
      <c r="J154" s="103" t="s">
        <v>732</v>
      </c>
      <c r="K154" s="103" t="s">
        <v>1262</v>
      </c>
      <c r="L154" s="103" t="s">
        <v>49</v>
      </c>
      <c r="M154" s="103" t="s">
        <v>41</v>
      </c>
      <c r="N154" s="103" t="s">
        <v>64</v>
      </c>
      <c r="O154" s="103" t="s">
        <v>934</v>
      </c>
      <c r="Q154" s="118" t="s">
        <v>1598</v>
      </c>
      <c r="R154" s="118" t="s">
        <v>1599</v>
      </c>
      <c r="U154" s="103">
        <v>946</v>
      </c>
      <c r="V154" s="73" t="str">
        <f>_xlfn.XLOOKUP(B154,'Non-Projects (RUN-BAU)'!C:C,'Non-Projects (RUN-BAU)'!B:B,"",0)</f>
        <v/>
      </c>
      <c r="W154" s="73" t="str">
        <f>_xlfn.XLOOKUP(A154,'Ongoing Projects'!B:B,'Ongoing Projects'!B:B,"",0)</f>
        <v/>
      </c>
      <c r="X154" s="73" t="str">
        <f>_xlfn.XLOOKUP(B154,'New Projects'!D:D,'New Projects'!C:C,"",0)</f>
        <v/>
      </c>
      <c r="Y154" s="73" t="str">
        <f t="shared" si="6"/>
        <v/>
      </c>
      <c r="Z154" s="74" t="str">
        <f t="shared" si="7"/>
        <v>Missing</v>
      </c>
      <c r="AA154" s="74" t="str">
        <f t="shared" si="8"/>
        <v>Critical</v>
      </c>
    </row>
    <row r="155" spans="1:27" x14ac:dyDescent="0.2">
      <c r="A155" s="103" t="s">
        <v>564</v>
      </c>
      <c r="B155" s="103" t="s">
        <v>565</v>
      </c>
      <c r="C155" s="103" t="s">
        <v>1958</v>
      </c>
      <c r="D155" s="103">
        <v>0</v>
      </c>
      <c r="E155" s="103">
        <v>0</v>
      </c>
      <c r="F155" s="103">
        <v>0</v>
      </c>
      <c r="G155" s="103">
        <v>161.25</v>
      </c>
      <c r="H155" s="103" t="s">
        <v>1617</v>
      </c>
      <c r="I155" s="103" t="s">
        <v>1597</v>
      </c>
      <c r="J155" s="103" t="s">
        <v>13</v>
      </c>
      <c r="K155" s="103" t="s">
        <v>1262</v>
      </c>
      <c r="L155" s="103" t="s">
        <v>46</v>
      </c>
      <c r="M155" s="103" t="s">
        <v>41</v>
      </c>
      <c r="N155" s="103" t="s">
        <v>64</v>
      </c>
      <c r="O155" s="103" t="s">
        <v>934</v>
      </c>
      <c r="Q155" s="118" t="s">
        <v>1604</v>
      </c>
      <c r="R155" s="118" t="s">
        <v>1599</v>
      </c>
      <c r="U155" s="103">
        <v>161.25</v>
      </c>
      <c r="V155" s="73" t="str">
        <f>_xlfn.XLOOKUP(B155,'Non-Projects (RUN-BAU)'!C:C,'Non-Projects (RUN-BAU)'!B:B,"",0)</f>
        <v/>
      </c>
      <c r="W155" s="73" t="str">
        <f>_xlfn.XLOOKUP(A155,'Ongoing Projects'!B:B,'Ongoing Projects'!B:B,"",0)</f>
        <v/>
      </c>
      <c r="X155" s="73" t="str">
        <f>_xlfn.XLOOKUP(B155,'New Projects'!D:D,'New Projects'!C:C,"",0)</f>
        <v/>
      </c>
      <c r="Y155" s="73" t="str">
        <f t="shared" si="6"/>
        <v/>
      </c>
      <c r="Z155" s="74" t="str">
        <f t="shared" si="7"/>
        <v>Missing</v>
      </c>
      <c r="AA155" s="74" t="str">
        <f t="shared" si="8"/>
        <v>Critical</v>
      </c>
    </row>
    <row r="156" spans="1:27" x14ac:dyDescent="0.2">
      <c r="A156" s="103" t="s">
        <v>566</v>
      </c>
      <c r="B156" s="103" t="s">
        <v>567</v>
      </c>
      <c r="C156" s="103" t="s">
        <v>1959</v>
      </c>
      <c r="D156" s="103">
        <v>0</v>
      </c>
      <c r="E156" s="103">
        <v>0</v>
      </c>
      <c r="F156" s="103">
        <v>107.5</v>
      </c>
      <c r="G156" s="103">
        <v>0</v>
      </c>
      <c r="H156" s="103" t="s">
        <v>1617</v>
      </c>
      <c r="I156" s="103" t="s">
        <v>1597</v>
      </c>
      <c r="J156" s="103" t="s">
        <v>13</v>
      </c>
      <c r="K156" s="103" t="s">
        <v>1262</v>
      </c>
      <c r="L156" s="103" t="s">
        <v>46</v>
      </c>
      <c r="M156" s="103" t="s">
        <v>22</v>
      </c>
      <c r="N156" s="103" t="s">
        <v>64</v>
      </c>
      <c r="O156" s="103" t="s">
        <v>934</v>
      </c>
      <c r="Q156" s="118" t="s">
        <v>1607</v>
      </c>
      <c r="R156" s="118" t="s">
        <v>1608</v>
      </c>
      <c r="U156" s="103">
        <v>107.5</v>
      </c>
      <c r="V156" s="73" t="str">
        <f>_xlfn.XLOOKUP(B156,'Non-Projects (RUN-BAU)'!C:C,'Non-Projects (RUN-BAU)'!B:B,"",0)</f>
        <v/>
      </c>
      <c r="W156" s="73" t="str">
        <f>_xlfn.XLOOKUP(A156,'Ongoing Projects'!B:B,'Ongoing Projects'!B:B,"",0)</f>
        <v/>
      </c>
      <c r="X156" s="73" t="str">
        <f>_xlfn.XLOOKUP(B156,'New Projects'!D:D,'New Projects'!C:C,"",0)</f>
        <v/>
      </c>
      <c r="Y156" s="73" t="str">
        <f t="shared" si="6"/>
        <v/>
      </c>
      <c r="Z156" s="74" t="str">
        <f t="shared" si="7"/>
        <v>Missing</v>
      </c>
      <c r="AA156" s="74" t="str">
        <f t="shared" si="8"/>
        <v>Critical</v>
      </c>
    </row>
    <row r="157" spans="1:27" x14ac:dyDescent="0.2">
      <c r="A157" s="103" t="s">
        <v>568</v>
      </c>
      <c r="B157" s="103" t="s">
        <v>569</v>
      </c>
      <c r="C157" s="103" t="s">
        <v>1959</v>
      </c>
      <c r="D157" s="103">
        <v>0</v>
      </c>
      <c r="E157" s="103">
        <v>0</v>
      </c>
      <c r="F157" s="103">
        <v>0</v>
      </c>
      <c r="G157" s="103">
        <v>161.25</v>
      </c>
      <c r="H157" s="103" t="s">
        <v>1617</v>
      </c>
      <c r="I157" s="103" t="s">
        <v>1597</v>
      </c>
      <c r="J157" s="103" t="s">
        <v>13</v>
      </c>
      <c r="K157" s="103" t="s">
        <v>1262</v>
      </c>
      <c r="L157" s="103" t="s">
        <v>46</v>
      </c>
      <c r="M157" s="103" t="s">
        <v>22</v>
      </c>
      <c r="N157" s="103" t="s">
        <v>64</v>
      </c>
      <c r="O157" s="103" t="s">
        <v>934</v>
      </c>
      <c r="Q157" s="118" t="s">
        <v>1604</v>
      </c>
      <c r="R157" s="118" t="s">
        <v>1599</v>
      </c>
      <c r="U157" s="103">
        <v>161.25</v>
      </c>
      <c r="V157" s="73" t="str">
        <f>_xlfn.XLOOKUP(B157,'Non-Projects (RUN-BAU)'!C:C,'Non-Projects (RUN-BAU)'!B:B,"",0)</f>
        <v/>
      </c>
      <c r="W157" s="73" t="str">
        <f>_xlfn.XLOOKUP(A157,'Ongoing Projects'!B:B,'Ongoing Projects'!B:B,"",0)</f>
        <v/>
      </c>
      <c r="X157" s="73" t="str">
        <f>_xlfn.XLOOKUP(B157,'New Projects'!D:D,'New Projects'!C:C,"",0)</f>
        <v/>
      </c>
      <c r="Y157" s="73" t="str">
        <f t="shared" si="6"/>
        <v/>
      </c>
      <c r="Z157" s="74" t="str">
        <f t="shared" si="7"/>
        <v>Missing</v>
      </c>
      <c r="AA157" s="74" t="str">
        <f t="shared" si="8"/>
        <v>Critical</v>
      </c>
    </row>
    <row r="158" spans="1:27" x14ac:dyDescent="0.2">
      <c r="A158" s="103" t="s">
        <v>570</v>
      </c>
      <c r="B158" s="103" t="s">
        <v>571</v>
      </c>
      <c r="C158" s="103" t="s">
        <v>1959</v>
      </c>
      <c r="D158" s="103">
        <v>0</v>
      </c>
      <c r="E158" s="103">
        <v>0</v>
      </c>
      <c r="F158" s="103">
        <v>0</v>
      </c>
      <c r="G158" s="103">
        <v>215</v>
      </c>
      <c r="H158" s="103" t="s">
        <v>1617</v>
      </c>
      <c r="I158" s="103" t="s">
        <v>1597</v>
      </c>
      <c r="J158" s="103" t="s">
        <v>13</v>
      </c>
      <c r="K158" s="103" t="s">
        <v>1262</v>
      </c>
      <c r="L158" s="103" t="s">
        <v>46</v>
      </c>
      <c r="M158" s="103" t="s">
        <v>22</v>
      </c>
      <c r="N158" s="103" t="s">
        <v>64</v>
      </c>
      <c r="O158" s="103" t="s">
        <v>934</v>
      </c>
      <c r="Q158" s="118" t="s">
        <v>1604</v>
      </c>
      <c r="R158" s="118" t="s">
        <v>1599</v>
      </c>
      <c r="U158" s="103">
        <v>215</v>
      </c>
      <c r="V158" s="73" t="str">
        <f>_xlfn.XLOOKUP(B158,'Non-Projects (RUN-BAU)'!C:C,'Non-Projects (RUN-BAU)'!B:B,"",0)</f>
        <v/>
      </c>
      <c r="W158" s="73" t="str">
        <f>_xlfn.XLOOKUP(A158,'Ongoing Projects'!B:B,'Ongoing Projects'!B:B,"",0)</f>
        <v/>
      </c>
      <c r="X158" s="73" t="str">
        <f>_xlfn.XLOOKUP(B158,'New Projects'!D:D,'New Projects'!C:C,"",0)</f>
        <v/>
      </c>
      <c r="Y158" s="73" t="str">
        <f t="shared" si="6"/>
        <v/>
      </c>
      <c r="Z158" s="74" t="str">
        <f t="shared" si="7"/>
        <v>Missing</v>
      </c>
      <c r="AA158" s="74" t="str">
        <f t="shared" si="8"/>
        <v>Critical</v>
      </c>
    </row>
    <row r="159" spans="1:27" x14ac:dyDescent="0.2">
      <c r="A159" s="103" t="s">
        <v>572</v>
      </c>
      <c r="B159" s="103" t="s">
        <v>573</v>
      </c>
      <c r="C159" s="103" t="s">
        <v>1960</v>
      </c>
      <c r="D159" s="103">
        <v>0</v>
      </c>
      <c r="E159" s="103">
        <v>110</v>
      </c>
      <c r="F159" s="103">
        <v>0</v>
      </c>
      <c r="G159" s="103">
        <v>0</v>
      </c>
      <c r="H159" s="103" t="s">
        <v>1617</v>
      </c>
      <c r="I159" s="103" t="s">
        <v>1597</v>
      </c>
      <c r="J159" s="103" t="s">
        <v>13</v>
      </c>
      <c r="K159" s="103" t="s">
        <v>1262</v>
      </c>
      <c r="L159" s="103" t="s">
        <v>46</v>
      </c>
      <c r="M159" s="103" t="s">
        <v>41</v>
      </c>
      <c r="N159" s="103" t="s">
        <v>64</v>
      </c>
      <c r="O159" s="103" t="s">
        <v>934</v>
      </c>
      <c r="Q159" s="118" t="s">
        <v>1601</v>
      </c>
      <c r="R159" s="118" t="s">
        <v>1606</v>
      </c>
      <c r="U159" s="103">
        <v>110</v>
      </c>
      <c r="V159" s="73" t="str">
        <f>_xlfn.XLOOKUP(B159,'Non-Projects (RUN-BAU)'!C:C,'Non-Projects (RUN-BAU)'!B:B,"",0)</f>
        <v/>
      </c>
      <c r="W159" s="73" t="str">
        <f>_xlfn.XLOOKUP(A159,'Ongoing Projects'!B:B,'Ongoing Projects'!B:B,"",0)</f>
        <v/>
      </c>
      <c r="X159" s="73" t="str">
        <f>_xlfn.XLOOKUP(B159,'New Projects'!D:D,'New Projects'!C:C,"",0)</f>
        <v/>
      </c>
      <c r="Y159" s="73" t="str">
        <f t="shared" si="6"/>
        <v/>
      </c>
      <c r="Z159" s="74" t="str">
        <f t="shared" si="7"/>
        <v>Missing</v>
      </c>
      <c r="AA159" s="74" t="str">
        <f t="shared" si="8"/>
        <v>Critical</v>
      </c>
    </row>
    <row r="160" spans="1:27" x14ac:dyDescent="0.2">
      <c r="A160" s="103" t="s">
        <v>574</v>
      </c>
      <c r="B160" s="103" t="s">
        <v>575</v>
      </c>
      <c r="C160" s="103" t="s">
        <v>1960</v>
      </c>
      <c r="D160" s="103">
        <v>0</v>
      </c>
      <c r="E160" s="103">
        <v>0</v>
      </c>
      <c r="F160" s="103">
        <v>0</v>
      </c>
      <c r="G160" s="103">
        <v>161.25</v>
      </c>
      <c r="H160" s="103" t="s">
        <v>1617</v>
      </c>
      <c r="I160" s="103" t="s">
        <v>1597</v>
      </c>
      <c r="J160" s="103" t="s">
        <v>13</v>
      </c>
      <c r="K160" s="103" t="s">
        <v>1262</v>
      </c>
      <c r="L160" s="103" t="s">
        <v>46</v>
      </c>
      <c r="M160" s="103" t="s">
        <v>41</v>
      </c>
      <c r="N160" s="103" t="s">
        <v>64</v>
      </c>
      <c r="O160" s="103" t="s">
        <v>934</v>
      </c>
      <c r="Q160" s="118" t="s">
        <v>1604</v>
      </c>
      <c r="R160" s="118" t="s">
        <v>1599</v>
      </c>
      <c r="U160" s="103">
        <v>161.25</v>
      </c>
      <c r="V160" s="73" t="str">
        <f>_xlfn.XLOOKUP(B160,'Non-Projects (RUN-BAU)'!C:C,'Non-Projects (RUN-BAU)'!B:B,"",0)</f>
        <v/>
      </c>
      <c r="W160" s="73" t="str">
        <f>_xlfn.XLOOKUP(A160,'Ongoing Projects'!B:B,'Ongoing Projects'!B:B,"",0)</f>
        <v/>
      </c>
      <c r="X160" s="73" t="str">
        <f>_xlfn.XLOOKUP(B160,'New Projects'!D:D,'New Projects'!C:C,"",0)</f>
        <v/>
      </c>
      <c r="Y160" s="73" t="str">
        <f t="shared" si="6"/>
        <v/>
      </c>
      <c r="Z160" s="74" t="str">
        <f t="shared" si="7"/>
        <v>Missing</v>
      </c>
      <c r="AA160" s="74" t="str">
        <f t="shared" si="8"/>
        <v>Critical</v>
      </c>
    </row>
    <row r="161" spans="1:27" x14ac:dyDescent="0.2">
      <c r="A161" s="103" t="s">
        <v>576</v>
      </c>
      <c r="B161" s="103" t="s">
        <v>577</v>
      </c>
      <c r="C161" s="103" t="s">
        <v>1961</v>
      </c>
      <c r="D161" s="103">
        <v>0</v>
      </c>
      <c r="E161" s="103">
        <v>0</v>
      </c>
      <c r="F161" s="103">
        <v>55</v>
      </c>
      <c r="G161" s="103">
        <v>0</v>
      </c>
      <c r="H161" s="103" t="s">
        <v>1617</v>
      </c>
      <c r="I161" s="103" t="s">
        <v>1597</v>
      </c>
      <c r="J161" s="103" t="s">
        <v>13</v>
      </c>
      <c r="K161" s="103" t="s">
        <v>1262</v>
      </c>
      <c r="L161" s="103" t="s">
        <v>49</v>
      </c>
      <c r="M161" s="103" t="s">
        <v>41</v>
      </c>
      <c r="N161" s="103" t="s">
        <v>64</v>
      </c>
      <c r="O161" s="103" t="s">
        <v>934</v>
      </c>
      <c r="Q161" s="118" t="s">
        <v>1607</v>
      </c>
      <c r="R161" s="118" t="s">
        <v>1608</v>
      </c>
      <c r="U161" s="103">
        <v>55</v>
      </c>
      <c r="V161" s="73" t="str">
        <f>_xlfn.XLOOKUP(B161,'Non-Projects (RUN-BAU)'!C:C,'Non-Projects (RUN-BAU)'!B:B,"",0)</f>
        <v/>
      </c>
      <c r="W161" s="73" t="str">
        <f>_xlfn.XLOOKUP(A161,'Ongoing Projects'!B:B,'Ongoing Projects'!B:B,"",0)</f>
        <v/>
      </c>
      <c r="X161" s="73" t="str">
        <f>_xlfn.XLOOKUP(B161,'New Projects'!D:D,'New Projects'!C:C,"",0)</f>
        <v/>
      </c>
      <c r="Y161" s="73" t="str">
        <f t="shared" si="6"/>
        <v/>
      </c>
      <c r="Z161" s="74" t="str">
        <f t="shared" si="7"/>
        <v>Missing</v>
      </c>
      <c r="AA161" s="74" t="str">
        <f t="shared" si="8"/>
        <v>Critical</v>
      </c>
    </row>
    <row r="162" spans="1:27" x14ac:dyDescent="0.2">
      <c r="A162" s="103" t="s">
        <v>578</v>
      </c>
      <c r="B162" s="103" t="s">
        <v>579</v>
      </c>
      <c r="C162" s="103" t="s">
        <v>1962</v>
      </c>
      <c r="D162" s="103">
        <v>0</v>
      </c>
      <c r="E162" s="103">
        <v>55</v>
      </c>
      <c r="F162" s="103">
        <v>0</v>
      </c>
      <c r="G162" s="103">
        <v>0</v>
      </c>
      <c r="H162" s="103" t="s">
        <v>1617</v>
      </c>
      <c r="I162" s="103" t="s">
        <v>1597</v>
      </c>
      <c r="J162" s="103" t="s">
        <v>23</v>
      </c>
      <c r="K162" s="103" t="s">
        <v>1262</v>
      </c>
      <c r="L162" s="103" t="s">
        <v>51</v>
      </c>
      <c r="M162" s="103" t="s">
        <v>43</v>
      </c>
      <c r="N162" s="103" t="s">
        <v>64</v>
      </c>
      <c r="O162" s="103" t="s">
        <v>934</v>
      </c>
      <c r="Q162" s="118" t="s">
        <v>1601</v>
      </c>
      <c r="R162" s="118" t="s">
        <v>1606</v>
      </c>
      <c r="U162" s="103">
        <v>55</v>
      </c>
      <c r="V162" s="73" t="str">
        <f>_xlfn.XLOOKUP(B162,'Non-Projects (RUN-BAU)'!C:C,'Non-Projects (RUN-BAU)'!B:B,"",0)</f>
        <v/>
      </c>
      <c r="W162" s="73" t="str">
        <f>_xlfn.XLOOKUP(A162,'Ongoing Projects'!B:B,'Ongoing Projects'!B:B,"",0)</f>
        <v/>
      </c>
      <c r="X162" s="73" t="str">
        <f>_xlfn.XLOOKUP(B162,'New Projects'!D:D,'New Projects'!C:C,"",0)</f>
        <v/>
      </c>
      <c r="Y162" s="73" t="str">
        <f t="shared" si="6"/>
        <v/>
      </c>
      <c r="Z162" s="74" t="str">
        <f t="shared" si="7"/>
        <v>Missing</v>
      </c>
      <c r="AA162" s="74" t="str">
        <f t="shared" si="8"/>
        <v>Critical</v>
      </c>
    </row>
    <row r="163" spans="1:27" x14ac:dyDescent="0.2">
      <c r="A163" s="103" t="s">
        <v>580</v>
      </c>
      <c r="B163" s="103" t="s">
        <v>581</v>
      </c>
      <c r="C163" s="103" t="s">
        <v>1963</v>
      </c>
      <c r="D163" s="103">
        <v>0</v>
      </c>
      <c r="E163" s="103">
        <v>0</v>
      </c>
      <c r="F163" s="103">
        <v>110</v>
      </c>
      <c r="G163" s="103">
        <v>0</v>
      </c>
      <c r="H163" s="103" t="s">
        <v>1617</v>
      </c>
      <c r="I163" s="103" t="s">
        <v>1597</v>
      </c>
      <c r="J163" s="103" t="s">
        <v>13</v>
      </c>
      <c r="K163" s="103" t="s">
        <v>1262</v>
      </c>
      <c r="L163" s="103" t="s">
        <v>46</v>
      </c>
      <c r="M163" s="103" t="s">
        <v>41</v>
      </c>
      <c r="N163" s="103" t="s">
        <v>64</v>
      </c>
      <c r="O163" s="103" t="s">
        <v>934</v>
      </c>
      <c r="Q163" s="118" t="s">
        <v>1607</v>
      </c>
      <c r="R163" s="118" t="s">
        <v>1608</v>
      </c>
      <c r="U163" s="103">
        <v>110</v>
      </c>
      <c r="V163" s="73" t="str">
        <f>_xlfn.XLOOKUP(B163,'Non-Projects (RUN-BAU)'!C:C,'Non-Projects (RUN-BAU)'!B:B,"",0)</f>
        <v/>
      </c>
      <c r="W163" s="73" t="str">
        <f>_xlfn.XLOOKUP(A163,'Ongoing Projects'!B:B,'Ongoing Projects'!B:B,"",0)</f>
        <v/>
      </c>
      <c r="X163" s="73" t="str">
        <f>_xlfn.XLOOKUP(B163,'New Projects'!D:D,'New Projects'!C:C,"",0)</f>
        <v/>
      </c>
      <c r="Y163" s="73" t="str">
        <f t="shared" si="6"/>
        <v/>
      </c>
      <c r="Z163" s="74" t="str">
        <f t="shared" si="7"/>
        <v>Missing</v>
      </c>
      <c r="AA163" s="74" t="str">
        <f t="shared" si="8"/>
        <v>Critical</v>
      </c>
    </row>
    <row r="164" spans="1:27" x14ac:dyDescent="0.2">
      <c r="A164" s="103" t="s">
        <v>583</v>
      </c>
      <c r="B164" s="103" t="s">
        <v>584</v>
      </c>
      <c r="C164" s="103" t="s">
        <v>1960</v>
      </c>
      <c r="D164" s="103">
        <v>0</v>
      </c>
      <c r="E164" s="103">
        <v>118.25</v>
      </c>
      <c r="F164" s="103">
        <v>0</v>
      </c>
      <c r="G164" s="103">
        <v>0</v>
      </c>
      <c r="H164" s="103" t="s">
        <v>1617</v>
      </c>
      <c r="I164" s="103" t="s">
        <v>1597</v>
      </c>
      <c r="J164" s="103" t="s">
        <v>13</v>
      </c>
      <c r="K164" s="103" t="s">
        <v>750</v>
      </c>
      <c r="L164" s="103" t="s">
        <v>46</v>
      </c>
      <c r="M164" s="103" t="s">
        <v>41</v>
      </c>
      <c r="N164" s="103" t="s">
        <v>64</v>
      </c>
      <c r="O164" s="103" t="s">
        <v>934</v>
      </c>
      <c r="Q164" s="118" t="s">
        <v>1601</v>
      </c>
      <c r="R164" s="118" t="s">
        <v>1606</v>
      </c>
      <c r="U164" s="103">
        <v>118.25</v>
      </c>
      <c r="V164" s="73" t="str">
        <f>_xlfn.XLOOKUP(B164,'Non-Projects (RUN-BAU)'!C:C,'Non-Projects (RUN-BAU)'!B:B,"",0)</f>
        <v/>
      </c>
      <c r="W164" s="73" t="str">
        <f>_xlfn.XLOOKUP(A164,'Ongoing Projects'!B:B,'Ongoing Projects'!B:B,"",0)</f>
        <v/>
      </c>
      <c r="X164" s="73" t="str">
        <f>_xlfn.XLOOKUP(B164,'New Projects'!D:D,'New Projects'!C:C,"",0)</f>
        <v/>
      </c>
      <c r="Y164" s="73" t="str">
        <f t="shared" si="6"/>
        <v/>
      </c>
      <c r="Z164" s="74" t="str">
        <f t="shared" si="7"/>
        <v>Missing</v>
      </c>
      <c r="AA164" s="74" t="str">
        <f t="shared" si="8"/>
        <v>Critical</v>
      </c>
    </row>
    <row r="165" spans="1:27" x14ac:dyDescent="0.2">
      <c r="A165" s="103" t="s">
        <v>585</v>
      </c>
      <c r="B165" s="103" t="s">
        <v>586</v>
      </c>
      <c r="C165" s="103" t="s">
        <v>1964</v>
      </c>
      <c r="D165" s="103">
        <v>0</v>
      </c>
      <c r="E165" s="103">
        <v>0</v>
      </c>
      <c r="F165" s="103">
        <v>215</v>
      </c>
      <c r="G165" s="103">
        <v>0</v>
      </c>
      <c r="H165" s="103" t="s">
        <v>1617</v>
      </c>
      <c r="I165" s="103" t="s">
        <v>1597</v>
      </c>
      <c r="J165" s="103" t="s">
        <v>13</v>
      </c>
      <c r="K165" s="103" t="s">
        <v>750</v>
      </c>
      <c r="L165" s="103" t="s">
        <v>46</v>
      </c>
      <c r="M165" s="103" t="s">
        <v>41</v>
      </c>
      <c r="N165" s="103" t="s">
        <v>64</v>
      </c>
      <c r="O165" s="103" t="s">
        <v>934</v>
      </c>
      <c r="Q165" s="118" t="s">
        <v>1607</v>
      </c>
      <c r="R165" s="118" t="s">
        <v>1608</v>
      </c>
      <c r="U165" s="103">
        <v>215</v>
      </c>
      <c r="V165" s="73" t="str">
        <f>_xlfn.XLOOKUP(B165,'Non-Projects (RUN-BAU)'!C:C,'Non-Projects (RUN-BAU)'!B:B,"",0)</f>
        <v/>
      </c>
      <c r="W165" s="73" t="str">
        <f>_xlfn.XLOOKUP(A165,'Ongoing Projects'!B:B,'Ongoing Projects'!B:B,"",0)</f>
        <v/>
      </c>
      <c r="X165" s="73" t="str">
        <f>_xlfn.XLOOKUP(B165,'New Projects'!D:D,'New Projects'!C:C,"",0)</f>
        <v/>
      </c>
      <c r="Y165" s="73" t="str">
        <f t="shared" si="6"/>
        <v/>
      </c>
      <c r="Z165" s="74" t="str">
        <f t="shared" si="7"/>
        <v>Missing</v>
      </c>
      <c r="AA165" s="74" t="str">
        <f t="shared" si="8"/>
        <v>Critical</v>
      </c>
    </row>
    <row r="166" spans="1:27" x14ac:dyDescent="0.2">
      <c r="A166" s="103" t="s">
        <v>587</v>
      </c>
      <c r="B166" s="103" t="s">
        <v>588</v>
      </c>
      <c r="D166" s="103">
        <v>107.5</v>
      </c>
      <c r="E166" s="103">
        <v>0</v>
      </c>
      <c r="F166" s="103">
        <v>0</v>
      </c>
      <c r="G166" s="103">
        <v>0</v>
      </c>
      <c r="H166" s="103" t="s">
        <v>1679</v>
      </c>
      <c r="I166" s="103" t="s">
        <v>1597</v>
      </c>
      <c r="J166" s="103" t="s">
        <v>23</v>
      </c>
      <c r="K166" s="103" t="s">
        <v>750</v>
      </c>
      <c r="L166" s="103" t="s">
        <v>51</v>
      </c>
      <c r="M166" s="103" t="s">
        <v>41</v>
      </c>
      <c r="N166" s="103" t="s">
        <v>64</v>
      </c>
      <c r="O166" s="103" t="s">
        <v>934</v>
      </c>
      <c r="Q166" s="118" t="s">
        <v>1598</v>
      </c>
      <c r="R166" s="118" t="s">
        <v>1610</v>
      </c>
      <c r="U166" s="103">
        <v>107.5</v>
      </c>
      <c r="V166" s="73" t="str">
        <f>_xlfn.XLOOKUP(B166,'Non-Projects (RUN-BAU)'!C:C,'Non-Projects (RUN-BAU)'!B:B,"",0)</f>
        <v/>
      </c>
      <c r="W166" s="73" t="str">
        <f>_xlfn.XLOOKUP(A166,'Ongoing Projects'!B:B,'Ongoing Projects'!B:B,"",0)</f>
        <v/>
      </c>
      <c r="X166" s="73" t="str">
        <f>_xlfn.XLOOKUP(B166,'New Projects'!D:D,'New Projects'!C:C,"",0)</f>
        <v/>
      </c>
      <c r="Y166" s="73" t="str">
        <f t="shared" si="6"/>
        <v/>
      </c>
      <c r="Z166" s="74" t="str">
        <f t="shared" si="7"/>
        <v>Missing</v>
      </c>
      <c r="AA166" s="74" t="str">
        <f t="shared" si="8"/>
        <v>Critical</v>
      </c>
    </row>
    <row r="167" spans="1:27" x14ac:dyDescent="0.2">
      <c r="A167" s="103" t="s">
        <v>589</v>
      </c>
      <c r="B167" s="103" t="s">
        <v>590</v>
      </c>
      <c r="D167" s="103">
        <v>54</v>
      </c>
      <c r="E167" s="103">
        <v>0</v>
      </c>
      <c r="F167" s="103">
        <v>53.5</v>
      </c>
      <c r="G167" s="103">
        <v>0</v>
      </c>
      <c r="H167" s="103" t="s">
        <v>1679</v>
      </c>
      <c r="I167" s="103" t="s">
        <v>1597</v>
      </c>
      <c r="J167" s="103" t="s">
        <v>13</v>
      </c>
      <c r="K167" s="103" t="s">
        <v>750</v>
      </c>
      <c r="L167" s="103" t="s">
        <v>49</v>
      </c>
      <c r="M167" s="103" t="s">
        <v>41</v>
      </c>
      <c r="N167" s="103" t="s">
        <v>64</v>
      </c>
      <c r="O167" s="103" t="s">
        <v>934</v>
      </c>
      <c r="Q167" s="118" t="s">
        <v>1598</v>
      </c>
      <c r="R167" s="118" t="s">
        <v>1608</v>
      </c>
      <c r="U167" s="103">
        <v>107.5</v>
      </c>
      <c r="V167" s="73" t="str">
        <f>_xlfn.XLOOKUP(B167,'Non-Projects (RUN-BAU)'!C:C,'Non-Projects (RUN-BAU)'!B:B,"",0)</f>
        <v/>
      </c>
      <c r="W167" s="73" t="str">
        <f>_xlfn.XLOOKUP(A167,'Ongoing Projects'!B:B,'Ongoing Projects'!B:B,"",0)</f>
        <v/>
      </c>
      <c r="X167" s="73" t="str">
        <f>_xlfn.XLOOKUP(B167,'New Projects'!D:D,'New Projects'!C:C,"",0)</f>
        <v/>
      </c>
      <c r="Y167" s="73" t="str">
        <f t="shared" si="6"/>
        <v/>
      </c>
      <c r="Z167" s="74" t="str">
        <f t="shared" si="7"/>
        <v>Missing</v>
      </c>
      <c r="AA167" s="74" t="str">
        <f t="shared" si="8"/>
        <v>Critical</v>
      </c>
    </row>
    <row r="168" spans="1:27" x14ac:dyDescent="0.2">
      <c r="A168" s="103" t="s">
        <v>591</v>
      </c>
      <c r="B168" s="103" t="s">
        <v>592</v>
      </c>
      <c r="D168" s="103">
        <v>268.75</v>
      </c>
      <c r="E168" s="103">
        <v>0</v>
      </c>
      <c r="F168" s="103">
        <v>0</v>
      </c>
      <c r="G168" s="103">
        <v>0</v>
      </c>
      <c r="H168" s="103" t="s">
        <v>1679</v>
      </c>
      <c r="I168" s="103" t="s">
        <v>1597</v>
      </c>
      <c r="J168" s="103" t="s">
        <v>13</v>
      </c>
      <c r="K168" s="103" t="s">
        <v>750</v>
      </c>
      <c r="L168" s="103" t="s">
        <v>46</v>
      </c>
      <c r="M168" s="103" t="s">
        <v>41</v>
      </c>
      <c r="N168" s="103" t="s">
        <v>64</v>
      </c>
      <c r="O168" s="103" t="s">
        <v>934</v>
      </c>
      <c r="Q168" s="118" t="s">
        <v>1598</v>
      </c>
      <c r="R168" s="118" t="s">
        <v>1610</v>
      </c>
      <c r="U168" s="103">
        <v>268.75</v>
      </c>
      <c r="V168" s="73" t="str">
        <f>_xlfn.XLOOKUP(B168,'Non-Projects (RUN-BAU)'!C:C,'Non-Projects (RUN-BAU)'!B:B,"",0)</f>
        <v/>
      </c>
      <c r="W168" s="73" t="str">
        <f>_xlfn.XLOOKUP(A168,'Ongoing Projects'!B:B,'Ongoing Projects'!B:B,"",0)</f>
        <v/>
      </c>
      <c r="X168" s="73" t="str">
        <f>_xlfn.XLOOKUP(B168,'New Projects'!D:D,'New Projects'!C:C,"",0)</f>
        <v/>
      </c>
      <c r="Y168" s="73" t="str">
        <f t="shared" si="6"/>
        <v/>
      </c>
      <c r="Z168" s="74" t="str">
        <f t="shared" si="7"/>
        <v>Missing</v>
      </c>
      <c r="AA168" s="74" t="str">
        <f t="shared" si="8"/>
        <v>Critical</v>
      </c>
    </row>
    <row r="169" spans="1:27" x14ac:dyDescent="0.2">
      <c r="A169" s="103" t="s">
        <v>594</v>
      </c>
      <c r="B169" s="103" t="s">
        <v>595</v>
      </c>
      <c r="D169" s="103">
        <v>0</v>
      </c>
      <c r="E169" s="103">
        <v>0</v>
      </c>
      <c r="F169" s="103">
        <v>100</v>
      </c>
      <c r="G169" s="103">
        <v>87</v>
      </c>
      <c r="H169" s="103" t="s">
        <v>1679</v>
      </c>
      <c r="I169" s="103" t="s">
        <v>1597</v>
      </c>
      <c r="J169" s="103" t="s">
        <v>13</v>
      </c>
      <c r="K169" s="103" t="s">
        <v>750</v>
      </c>
      <c r="L169" s="103" t="s">
        <v>46</v>
      </c>
      <c r="M169" s="103" t="s">
        <v>41</v>
      </c>
      <c r="N169" s="103" t="s">
        <v>64</v>
      </c>
      <c r="O169" s="103" t="s">
        <v>934</v>
      </c>
      <c r="Q169" s="118" t="s">
        <v>1607</v>
      </c>
      <c r="R169" s="118" t="s">
        <v>1599</v>
      </c>
      <c r="U169" s="103">
        <v>187</v>
      </c>
      <c r="V169" s="73" t="str">
        <f>_xlfn.XLOOKUP(B169,'Non-Projects (RUN-BAU)'!C:C,'Non-Projects (RUN-BAU)'!B:B,"",0)</f>
        <v/>
      </c>
      <c r="W169" s="73" t="str">
        <f>_xlfn.XLOOKUP(A169,'Ongoing Projects'!B:B,'Ongoing Projects'!B:B,"",0)</f>
        <v/>
      </c>
      <c r="X169" s="73" t="str">
        <f>_xlfn.XLOOKUP(B169,'New Projects'!D:D,'New Projects'!C:C,"",0)</f>
        <v/>
      </c>
      <c r="Y169" s="73" t="str">
        <f t="shared" si="6"/>
        <v/>
      </c>
      <c r="Z169" s="74" t="str">
        <f t="shared" si="7"/>
        <v>Missing</v>
      </c>
      <c r="AA169" s="74" t="str">
        <f t="shared" si="8"/>
        <v>Critical</v>
      </c>
    </row>
    <row r="170" spans="1:27" x14ac:dyDescent="0.2">
      <c r="A170" s="103" t="s">
        <v>596</v>
      </c>
      <c r="B170" s="103" t="s">
        <v>597</v>
      </c>
      <c r="D170" s="103">
        <v>0</v>
      </c>
      <c r="E170" s="103">
        <v>0</v>
      </c>
      <c r="F170" s="103">
        <v>0</v>
      </c>
      <c r="G170" s="103">
        <v>182.75</v>
      </c>
      <c r="H170" s="103" t="s">
        <v>1679</v>
      </c>
      <c r="I170" s="103" t="s">
        <v>1597</v>
      </c>
      <c r="J170" s="103" t="s">
        <v>13</v>
      </c>
      <c r="K170" s="103" t="s">
        <v>750</v>
      </c>
      <c r="L170" s="103" t="s">
        <v>46</v>
      </c>
      <c r="M170" s="103" t="s">
        <v>41</v>
      </c>
      <c r="N170" s="103" t="s">
        <v>64</v>
      </c>
      <c r="O170" s="103" t="s">
        <v>934</v>
      </c>
      <c r="Q170" s="118" t="s">
        <v>1604</v>
      </c>
      <c r="R170" s="118" t="s">
        <v>1599</v>
      </c>
      <c r="U170" s="103">
        <v>182.75</v>
      </c>
      <c r="V170" s="73" t="str">
        <f>_xlfn.XLOOKUP(B170,'Non-Projects (RUN-BAU)'!C:C,'Non-Projects (RUN-BAU)'!B:B,"",0)</f>
        <v/>
      </c>
      <c r="W170" s="73" t="str">
        <f>_xlfn.XLOOKUP(A170,'Ongoing Projects'!B:B,'Ongoing Projects'!B:B,"",0)</f>
        <v/>
      </c>
      <c r="X170" s="73" t="str">
        <f>_xlfn.XLOOKUP(B170,'New Projects'!D:D,'New Projects'!C:C,"",0)</f>
        <v/>
      </c>
      <c r="Y170" s="73" t="str">
        <f t="shared" si="6"/>
        <v/>
      </c>
      <c r="Z170" s="74" t="str">
        <f t="shared" si="7"/>
        <v>Missing</v>
      </c>
      <c r="AA170" s="74" t="str">
        <f t="shared" si="8"/>
        <v>Critical</v>
      </c>
    </row>
    <row r="171" spans="1:27" x14ac:dyDescent="0.2">
      <c r="A171" s="103" t="s">
        <v>598</v>
      </c>
      <c r="B171" s="103" t="s">
        <v>599</v>
      </c>
      <c r="D171" s="103">
        <v>0</v>
      </c>
      <c r="E171" s="103">
        <v>0</v>
      </c>
      <c r="F171" s="103">
        <v>0</v>
      </c>
      <c r="G171" s="103">
        <v>182.75</v>
      </c>
      <c r="H171" s="103" t="s">
        <v>1679</v>
      </c>
      <c r="I171" s="103" t="s">
        <v>1597</v>
      </c>
      <c r="J171" s="103" t="s">
        <v>13</v>
      </c>
      <c r="K171" s="103" t="s">
        <v>750</v>
      </c>
      <c r="L171" s="103" t="s">
        <v>46</v>
      </c>
      <c r="M171" s="103" t="s">
        <v>41</v>
      </c>
      <c r="N171" s="103" t="s">
        <v>64</v>
      </c>
      <c r="O171" s="103" t="s">
        <v>934</v>
      </c>
      <c r="Q171" s="118" t="s">
        <v>1604</v>
      </c>
      <c r="R171" s="118" t="s">
        <v>1599</v>
      </c>
      <c r="U171" s="103">
        <v>182.75</v>
      </c>
      <c r="V171" s="73" t="str">
        <f>_xlfn.XLOOKUP(B171,'Non-Projects (RUN-BAU)'!C:C,'Non-Projects (RUN-BAU)'!B:B,"",0)</f>
        <v/>
      </c>
      <c r="W171" s="73" t="str">
        <f>_xlfn.XLOOKUP(A171,'Ongoing Projects'!B:B,'Ongoing Projects'!B:B,"",0)</f>
        <v/>
      </c>
      <c r="X171" s="73" t="str">
        <f>_xlfn.XLOOKUP(B171,'New Projects'!D:D,'New Projects'!C:C,"",0)</f>
        <v/>
      </c>
      <c r="Y171" s="73" t="str">
        <f t="shared" si="6"/>
        <v/>
      </c>
      <c r="Z171" s="74" t="str">
        <f t="shared" si="7"/>
        <v>Missing</v>
      </c>
      <c r="AA171" s="74" t="str">
        <f t="shared" si="8"/>
        <v>Critical</v>
      </c>
    </row>
    <row r="172" spans="1:27" x14ac:dyDescent="0.2">
      <c r="A172" s="103" t="s">
        <v>600</v>
      </c>
      <c r="B172" s="103" t="s">
        <v>601</v>
      </c>
      <c r="D172" s="103">
        <v>0</v>
      </c>
      <c r="E172" s="103">
        <v>0</v>
      </c>
      <c r="F172" s="103">
        <v>0</v>
      </c>
      <c r="G172" s="103">
        <v>182.75</v>
      </c>
      <c r="H172" s="103" t="s">
        <v>1679</v>
      </c>
      <c r="I172" s="103" t="s">
        <v>1597</v>
      </c>
      <c r="J172" s="103" t="s">
        <v>13</v>
      </c>
      <c r="K172" s="103" t="s">
        <v>750</v>
      </c>
      <c r="L172" s="103" t="s">
        <v>46</v>
      </c>
      <c r="M172" s="103" t="s">
        <v>41</v>
      </c>
      <c r="N172" s="103" t="s">
        <v>64</v>
      </c>
      <c r="O172" s="103" t="s">
        <v>934</v>
      </c>
      <c r="Q172" s="118" t="s">
        <v>1604</v>
      </c>
      <c r="R172" s="118" t="s">
        <v>1599</v>
      </c>
      <c r="U172" s="103">
        <v>182.75</v>
      </c>
      <c r="V172" s="73" t="str">
        <f>_xlfn.XLOOKUP(B172,'Non-Projects (RUN-BAU)'!C:C,'Non-Projects (RUN-BAU)'!B:B,"",0)</f>
        <v/>
      </c>
      <c r="W172" s="73" t="str">
        <f>_xlfn.XLOOKUP(A172,'Ongoing Projects'!B:B,'Ongoing Projects'!B:B,"",0)</f>
        <v/>
      </c>
      <c r="X172" s="73" t="str">
        <f>_xlfn.XLOOKUP(B172,'New Projects'!D:D,'New Projects'!C:C,"",0)</f>
        <v/>
      </c>
      <c r="Y172" s="73" t="str">
        <f t="shared" si="6"/>
        <v/>
      </c>
      <c r="Z172" s="74" t="str">
        <f t="shared" si="7"/>
        <v>Missing</v>
      </c>
      <c r="AA172" s="74" t="str">
        <f t="shared" si="8"/>
        <v>Critical</v>
      </c>
    </row>
    <row r="173" spans="1:27" x14ac:dyDescent="0.2">
      <c r="A173" s="103" t="s">
        <v>606</v>
      </c>
      <c r="B173" s="103" t="s">
        <v>607</v>
      </c>
      <c r="C173" s="103" t="s">
        <v>1965</v>
      </c>
      <c r="D173" s="103">
        <v>0</v>
      </c>
      <c r="E173" s="103">
        <v>150</v>
      </c>
      <c r="F173" s="103">
        <v>250</v>
      </c>
      <c r="G173" s="103">
        <v>150</v>
      </c>
      <c r="H173" s="103" t="s">
        <v>1617</v>
      </c>
      <c r="J173" s="103" t="s">
        <v>13</v>
      </c>
      <c r="K173" s="103" t="s">
        <v>750</v>
      </c>
      <c r="L173" s="103" t="s">
        <v>46</v>
      </c>
      <c r="M173" s="103" t="s">
        <v>41</v>
      </c>
      <c r="N173" s="103" t="s">
        <v>74</v>
      </c>
      <c r="O173" s="103" t="s">
        <v>305</v>
      </c>
      <c r="Q173" s="118" t="s">
        <v>1601</v>
      </c>
      <c r="R173" s="118" t="s">
        <v>1599</v>
      </c>
      <c r="U173" s="103">
        <v>550</v>
      </c>
      <c r="V173" s="73" t="str">
        <f>_xlfn.XLOOKUP(B173,'Non-Projects (RUN-BAU)'!C:C,'Non-Projects (RUN-BAU)'!B:B,"",0)</f>
        <v/>
      </c>
      <c r="W173" s="73" t="str">
        <f>_xlfn.XLOOKUP(A173,'Ongoing Projects'!B:B,'Ongoing Projects'!B:B,"",0)</f>
        <v/>
      </c>
      <c r="X173" s="73" t="str">
        <f>_xlfn.XLOOKUP(B173,'New Projects'!D:D,'New Projects'!C:C,"",0)</f>
        <v/>
      </c>
      <c r="Y173" s="73" t="str">
        <f t="shared" si="6"/>
        <v/>
      </c>
      <c r="Z173" s="74" t="str">
        <f t="shared" si="7"/>
        <v>Missing</v>
      </c>
      <c r="AA173" s="74" t="str">
        <f t="shared" si="8"/>
        <v>Critical</v>
      </c>
    </row>
    <row r="174" spans="1:27" x14ac:dyDescent="0.2">
      <c r="A174" s="103" t="s">
        <v>608</v>
      </c>
      <c r="B174" s="103" t="s">
        <v>609</v>
      </c>
      <c r="D174" s="103">
        <v>115</v>
      </c>
      <c r="E174" s="103">
        <v>140</v>
      </c>
      <c r="F174" s="103">
        <v>155</v>
      </c>
      <c r="G174" s="103">
        <v>115</v>
      </c>
      <c r="H174" s="103" t="s">
        <v>1232</v>
      </c>
      <c r="I174" s="103" t="s">
        <v>1597</v>
      </c>
      <c r="J174" s="103" t="s">
        <v>13</v>
      </c>
      <c r="K174" s="103" t="s">
        <v>1687</v>
      </c>
      <c r="L174" s="103" t="s">
        <v>46</v>
      </c>
      <c r="M174" s="103" t="s">
        <v>41</v>
      </c>
      <c r="N174" s="103" t="s">
        <v>64</v>
      </c>
      <c r="O174" s="103" t="s">
        <v>1285</v>
      </c>
      <c r="Q174" s="118" t="s">
        <v>1598</v>
      </c>
      <c r="R174" s="118" t="s">
        <v>1599</v>
      </c>
      <c r="U174" s="103">
        <v>525</v>
      </c>
      <c r="V174" s="73" t="str">
        <f>_xlfn.XLOOKUP(B174,'Non-Projects (RUN-BAU)'!C:C,'Non-Projects (RUN-BAU)'!B:B,"",0)</f>
        <v/>
      </c>
      <c r="W174" s="73" t="str">
        <f>_xlfn.XLOOKUP(A174,'Ongoing Projects'!B:B,'Ongoing Projects'!B:B,"",0)</f>
        <v/>
      </c>
      <c r="X174" s="73" t="str">
        <f>_xlfn.XLOOKUP(B174,'New Projects'!D:D,'New Projects'!C:C,"",0)</f>
        <v/>
      </c>
      <c r="Y174" s="73" t="str">
        <f t="shared" si="6"/>
        <v/>
      </c>
      <c r="Z174" s="74" t="str">
        <f t="shared" si="7"/>
        <v>Missing</v>
      </c>
      <c r="AA174" s="74" t="str">
        <f t="shared" si="8"/>
        <v>Critical</v>
      </c>
    </row>
    <row r="175" spans="1:27" x14ac:dyDescent="0.2">
      <c r="A175" s="103" t="s">
        <v>611</v>
      </c>
      <c r="B175" s="103" t="s">
        <v>612</v>
      </c>
      <c r="D175" s="103">
        <v>0</v>
      </c>
      <c r="E175" s="103">
        <v>0</v>
      </c>
      <c r="F175" s="103">
        <v>150</v>
      </c>
      <c r="G175" s="103">
        <v>150</v>
      </c>
      <c r="H175" s="103" t="s">
        <v>1609</v>
      </c>
      <c r="I175" s="103" t="s">
        <v>1597</v>
      </c>
      <c r="J175" s="103" t="s">
        <v>13</v>
      </c>
      <c r="K175" s="103" t="s">
        <v>750</v>
      </c>
      <c r="L175" s="103" t="s">
        <v>46</v>
      </c>
      <c r="M175" s="103" t="s">
        <v>41</v>
      </c>
      <c r="N175" s="103" t="s">
        <v>64</v>
      </c>
      <c r="O175" s="103" t="s">
        <v>305</v>
      </c>
      <c r="Q175" s="118" t="s">
        <v>1607</v>
      </c>
      <c r="R175" s="118" t="s">
        <v>1599</v>
      </c>
      <c r="U175" s="103">
        <v>300</v>
      </c>
      <c r="V175" s="73" t="str">
        <f>_xlfn.XLOOKUP(B175,'Non-Projects (RUN-BAU)'!C:C,'Non-Projects (RUN-BAU)'!B:B,"",0)</f>
        <v/>
      </c>
      <c r="W175" s="73" t="str">
        <f>_xlfn.XLOOKUP(A175,'Ongoing Projects'!B:B,'Ongoing Projects'!B:B,"",0)</f>
        <v/>
      </c>
      <c r="X175" s="73" t="str">
        <f>_xlfn.XLOOKUP(B175,'New Projects'!D:D,'New Projects'!C:C,"",0)</f>
        <v/>
      </c>
      <c r="Y175" s="73" t="str">
        <f t="shared" si="6"/>
        <v/>
      </c>
      <c r="Z175" s="74" t="str">
        <f t="shared" si="7"/>
        <v>Missing</v>
      </c>
      <c r="AA175" s="74" t="str">
        <f t="shared" si="8"/>
        <v>Critical</v>
      </c>
    </row>
    <row r="176" spans="1:27" x14ac:dyDescent="0.2">
      <c r="A176" s="103" t="s">
        <v>614</v>
      </c>
      <c r="B176" s="103" t="s">
        <v>615</v>
      </c>
      <c r="D176" s="103">
        <v>0</v>
      </c>
      <c r="E176" s="103">
        <v>50</v>
      </c>
      <c r="F176" s="103">
        <v>250</v>
      </c>
      <c r="G176" s="103">
        <v>250</v>
      </c>
      <c r="H176" s="103" t="s">
        <v>1609</v>
      </c>
      <c r="I176" s="103" t="s">
        <v>1597</v>
      </c>
      <c r="J176" s="103" t="s">
        <v>13</v>
      </c>
      <c r="K176" s="103" t="s">
        <v>750</v>
      </c>
      <c r="L176" s="103" t="s">
        <v>46</v>
      </c>
      <c r="M176" s="103" t="s">
        <v>41</v>
      </c>
      <c r="N176" s="103" t="s">
        <v>74</v>
      </c>
      <c r="O176" s="103" t="s">
        <v>305</v>
      </c>
      <c r="Q176" s="118" t="s">
        <v>1601</v>
      </c>
      <c r="R176" s="118" t="s">
        <v>1599</v>
      </c>
      <c r="U176" s="103">
        <v>350</v>
      </c>
      <c r="V176" s="73" t="str">
        <f>_xlfn.XLOOKUP(B176,'Non-Projects (RUN-BAU)'!C:C,'Non-Projects (RUN-BAU)'!B:B,"",0)</f>
        <v/>
      </c>
      <c r="W176" s="73" t="str">
        <f>_xlfn.XLOOKUP(A176,'Ongoing Projects'!B:B,'Ongoing Projects'!B:B,"",0)</f>
        <v/>
      </c>
      <c r="X176" s="73" t="str">
        <f>_xlfn.XLOOKUP(B176,'New Projects'!D:D,'New Projects'!C:C,"",0)</f>
        <v/>
      </c>
      <c r="Y176" s="73" t="str">
        <f t="shared" si="6"/>
        <v/>
      </c>
      <c r="Z176" s="74" t="str">
        <f t="shared" si="7"/>
        <v>Missing</v>
      </c>
      <c r="AA176" s="74" t="str">
        <f t="shared" si="8"/>
        <v>Critical</v>
      </c>
    </row>
    <row r="177" spans="1:27" x14ac:dyDescent="0.2">
      <c r="A177" s="103" t="s">
        <v>616</v>
      </c>
      <c r="B177" s="103" t="s">
        <v>617</v>
      </c>
      <c r="D177" s="103">
        <v>95</v>
      </c>
      <c r="E177" s="103">
        <v>95</v>
      </c>
      <c r="F177" s="103">
        <v>95</v>
      </c>
      <c r="G177" s="103">
        <v>95</v>
      </c>
      <c r="H177" s="103" t="s">
        <v>1639</v>
      </c>
      <c r="I177" s="103" t="s">
        <v>1597</v>
      </c>
      <c r="J177" s="103" t="s">
        <v>23</v>
      </c>
      <c r="K177" s="103" t="s">
        <v>933</v>
      </c>
      <c r="L177" s="103" t="s">
        <v>51</v>
      </c>
      <c r="M177" s="103" t="s">
        <v>43</v>
      </c>
      <c r="N177" s="103" t="s">
        <v>64</v>
      </c>
      <c r="O177" s="103" t="s">
        <v>305</v>
      </c>
      <c r="Q177" s="118" t="s">
        <v>1598</v>
      </c>
      <c r="R177" s="118" t="s">
        <v>1599</v>
      </c>
      <c r="U177" s="103">
        <v>380</v>
      </c>
      <c r="V177" s="73" t="str">
        <f>_xlfn.XLOOKUP(B177,'Non-Projects (RUN-BAU)'!C:C,'Non-Projects (RUN-BAU)'!B:B,"",0)</f>
        <v/>
      </c>
      <c r="W177" s="73" t="str">
        <f>_xlfn.XLOOKUP(A177,'Ongoing Projects'!B:B,'Ongoing Projects'!B:B,"",0)</f>
        <v/>
      </c>
      <c r="X177" s="73" t="str">
        <f>_xlfn.XLOOKUP(B177,'New Projects'!D:D,'New Projects'!C:C,"",0)</f>
        <v/>
      </c>
      <c r="Y177" s="73" t="str">
        <f t="shared" si="6"/>
        <v/>
      </c>
      <c r="Z177" s="74" t="str">
        <f t="shared" si="7"/>
        <v>Missing</v>
      </c>
      <c r="AA177" s="74" t="str">
        <f t="shared" si="8"/>
        <v>Critical</v>
      </c>
    </row>
    <row r="178" spans="1:27" x14ac:dyDescent="0.2">
      <c r="A178" s="103" t="s">
        <v>620</v>
      </c>
      <c r="B178" s="103" t="s">
        <v>621</v>
      </c>
      <c r="D178" s="103">
        <v>80</v>
      </c>
      <c r="E178" s="103">
        <v>85</v>
      </c>
      <c r="F178" s="103">
        <v>125.25</v>
      </c>
      <c r="G178" s="103">
        <v>0</v>
      </c>
      <c r="H178" s="103" t="s">
        <v>1232</v>
      </c>
      <c r="I178" s="103" t="s">
        <v>1597</v>
      </c>
      <c r="J178" s="103" t="s">
        <v>13</v>
      </c>
      <c r="K178" s="103" t="s">
        <v>750</v>
      </c>
      <c r="L178" s="103" t="s">
        <v>46</v>
      </c>
      <c r="M178" s="103" t="s">
        <v>41</v>
      </c>
      <c r="N178" s="103" t="s">
        <v>64</v>
      </c>
      <c r="O178" s="103" t="s">
        <v>751</v>
      </c>
      <c r="Q178" s="118" t="s">
        <v>1598</v>
      </c>
      <c r="R178" s="118" t="s">
        <v>1599</v>
      </c>
      <c r="U178" s="103">
        <v>290.25</v>
      </c>
      <c r="V178" s="73" t="str">
        <f>_xlfn.XLOOKUP(B178,'Non-Projects (RUN-BAU)'!C:C,'Non-Projects (RUN-BAU)'!B:B,"",0)</f>
        <v/>
      </c>
      <c r="W178" s="73" t="str">
        <f>_xlfn.XLOOKUP(A178,'Ongoing Projects'!B:B,'Ongoing Projects'!B:B,"",0)</f>
        <v/>
      </c>
      <c r="X178" s="73" t="str">
        <f>_xlfn.XLOOKUP(B178,'New Projects'!D:D,'New Projects'!C:C,"",0)</f>
        <v/>
      </c>
      <c r="Y178" s="73" t="str">
        <f t="shared" si="6"/>
        <v/>
      </c>
      <c r="Z178" s="74" t="str">
        <f t="shared" si="7"/>
        <v>Missing</v>
      </c>
      <c r="AA178" s="74" t="str">
        <f t="shared" si="8"/>
        <v>Critical</v>
      </c>
    </row>
    <row r="179" spans="1:27" x14ac:dyDescent="0.2">
      <c r="A179" s="103" t="s">
        <v>622</v>
      </c>
      <c r="B179" s="103" t="s">
        <v>623</v>
      </c>
      <c r="D179" s="103">
        <v>380</v>
      </c>
      <c r="E179" s="103">
        <v>660</v>
      </c>
      <c r="F179" s="103">
        <v>910</v>
      </c>
      <c r="G179" s="103">
        <v>970</v>
      </c>
      <c r="H179" s="103" t="s">
        <v>1232</v>
      </c>
      <c r="I179" s="103" t="s">
        <v>1597</v>
      </c>
      <c r="J179" s="103" t="s">
        <v>23</v>
      </c>
      <c r="K179" s="103" t="s">
        <v>750</v>
      </c>
      <c r="L179" s="103" t="s">
        <v>51</v>
      </c>
      <c r="M179" s="103" t="s">
        <v>43</v>
      </c>
      <c r="N179" s="103" t="s">
        <v>64</v>
      </c>
      <c r="O179" s="103" t="s">
        <v>305</v>
      </c>
      <c r="Q179" s="118" t="s">
        <v>1598</v>
      </c>
      <c r="R179" s="118" t="s">
        <v>1599</v>
      </c>
      <c r="U179" s="103">
        <v>2820</v>
      </c>
      <c r="V179" s="73" t="str">
        <f>_xlfn.XLOOKUP(B179,'Non-Projects (RUN-BAU)'!C:C,'Non-Projects (RUN-BAU)'!B:B,"",0)</f>
        <v/>
      </c>
      <c r="W179" s="73" t="str">
        <f>_xlfn.XLOOKUP(A179,'Ongoing Projects'!B:B,'Ongoing Projects'!B:B,"",0)</f>
        <v/>
      </c>
      <c r="X179" s="73" t="str">
        <f>_xlfn.XLOOKUP(B179,'New Projects'!D:D,'New Projects'!C:C,"",0)</f>
        <v/>
      </c>
      <c r="Y179" s="73" t="str">
        <f t="shared" si="6"/>
        <v/>
      </c>
      <c r="Z179" s="74" t="str">
        <f t="shared" si="7"/>
        <v>Missing</v>
      </c>
      <c r="AA179" s="74" t="str">
        <f t="shared" si="8"/>
        <v>Critical</v>
      </c>
    </row>
    <row r="180" spans="1:27" x14ac:dyDescent="0.2">
      <c r="A180" s="103" t="s">
        <v>624</v>
      </c>
      <c r="B180" s="103" t="s">
        <v>625</v>
      </c>
      <c r="D180" s="103">
        <v>0</v>
      </c>
      <c r="E180" s="103">
        <v>0</v>
      </c>
      <c r="F180" s="103">
        <v>236.5</v>
      </c>
      <c r="G180" s="103">
        <v>0</v>
      </c>
      <c r="H180" s="103" t="s">
        <v>1232</v>
      </c>
      <c r="I180" s="103" t="s">
        <v>1597</v>
      </c>
      <c r="J180" s="103" t="s">
        <v>13</v>
      </c>
      <c r="K180" s="103" t="s">
        <v>750</v>
      </c>
      <c r="L180" s="103" t="s">
        <v>46</v>
      </c>
      <c r="M180" s="103" t="s">
        <v>41</v>
      </c>
      <c r="N180" s="103" t="s">
        <v>64</v>
      </c>
      <c r="O180" s="103" t="s">
        <v>751</v>
      </c>
      <c r="Q180" s="118" t="s">
        <v>1607</v>
      </c>
      <c r="R180" s="118" t="s">
        <v>1608</v>
      </c>
      <c r="U180" s="103">
        <v>236.5</v>
      </c>
      <c r="V180" s="73" t="str">
        <f>_xlfn.XLOOKUP(B180,'Non-Projects (RUN-BAU)'!C:C,'Non-Projects (RUN-BAU)'!B:B,"",0)</f>
        <v/>
      </c>
      <c r="W180" s="73" t="str">
        <f>_xlfn.XLOOKUP(A180,'Ongoing Projects'!B:B,'Ongoing Projects'!B:B,"",0)</f>
        <v/>
      </c>
      <c r="X180" s="73" t="str">
        <f>_xlfn.XLOOKUP(B180,'New Projects'!D:D,'New Projects'!C:C,"",0)</f>
        <v/>
      </c>
      <c r="Y180" s="73" t="str">
        <f t="shared" si="6"/>
        <v/>
      </c>
      <c r="Z180" s="74" t="str">
        <f t="shared" si="7"/>
        <v>Missing</v>
      </c>
      <c r="AA180" s="74" t="str">
        <f t="shared" si="8"/>
        <v>Critical</v>
      </c>
    </row>
    <row r="181" spans="1:27" x14ac:dyDescent="0.2">
      <c r="A181" s="103" t="s">
        <v>631</v>
      </c>
      <c r="B181" s="103" t="s">
        <v>632</v>
      </c>
      <c r="D181" s="103">
        <v>0</v>
      </c>
      <c r="E181" s="103">
        <v>0</v>
      </c>
      <c r="F181" s="103">
        <v>50</v>
      </c>
      <c r="G181" s="103">
        <v>50</v>
      </c>
      <c r="H181" s="103" t="s">
        <v>1246</v>
      </c>
      <c r="I181" s="103" t="s">
        <v>1597</v>
      </c>
      <c r="J181" s="103" t="s">
        <v>13</v>
      </c>
      <c r="K181" s="103" t="s">
        <v>1241</v>
      </c>
      <c r="L181" s="103" t="s">
        <v>61</v>
      </c>
      <c r="M181" s="103" t="s">
        <v>41</v>
      </c>
      <c r="N181" s="103" t="s">
        <v>74</v>
      </c>
      <c r="O181" s="103" t="s">
        <v>305</v>
      </c>
      <c r="Q181" s="118" t="s">
        <v>1607</v>
      </c>
      <c r="R181" s="118" t="s">
        <v>1599</v>
      </c>
      <c r="U181" s="103">
        <v>100</v>
      </c>
      <c r="V181" s="73" t="str">
        <f>_xlfn.XLOOKUP(B181,'Non-Projects (RUN-BAU)'!C:C,'Non-Projects (RUN-BAU)'!B:B,"",0)</f>
        <v/>
      </c>
      <c r="W181" s="73" t="str">
        <f>_xlfn.XLOOKUP(A181,'Ongoing Projects'!B:B,'Ongoing Projects'!B:B,"",0)</f>
        <v/>
      </c>
      <c r="X181" s="73" t="str">
        <f>_xlfn.XLOOKUP(B181,'New Projects'!D:D,'New Projects'!C:C,"",0)</f>
        <v/>
      </c>
      <c r="Y181" s="73" t="str">
        <f t="shared" si="6"/>
        <v/>
      </c>
      <c r="Z181" s="74" t="str">
        <f t="shared" si="7"/>
        <v>Missing</v>
      </c>
      <c r="AA181" s="74" t="str">
        <f t="shared" si="8"/>
        <v>Critical</v>
      </c>
    </row>
    <row r="182" spans="1:27" x14ac:dyDescent="0.2">
      <c r="A182" s="103" t="s">
        <v>633</v>
      </c>
      <c r="B182" s="103" t="s">
        <v>634</v>
      </c>
      <c r="D182" s="103">
        <v>100</v>
      </c>
      <c r="E182" s="103">
        <v>100</v>
      </c>
      <c r="F182" s="103">
        <v>100</v>
      </c>
      <c r="G182" s="103">
        <v>100</v>
      </c>
      <c r="H182" s="103" t="s">
        <v>1246</v>
      </c>
      <c r="I182" s="103" t="s">
        <v>1597</v>
      </c>
      <c r="J182" s="103" t="s">
        <v>13</v>
      </c>
      <c r="K182" s="103" t="s">
        <v>1241</v>
      </c>
      <c r="L182" s="103" t="s">
        <v>49</v>
      </c>
      <c r="M182" s="103" t="s">
        <v>41</v>
      </c>
      <c r="N182" s="103" t="s">
        <v>74</v>
      </c>
      <c r="O182" s="103" t="s">
        <v>305</v>
      </c>
      <c r="Q182" s="118" t="s">
        <v>1598</v>
      </c>
      <c r="R182" s="118" t="s">
        <v>1599</v>
      </c>
      <c r="U182" s="103">
        <v>400</v>
      </c>
      <c r="V182" s="73" t="str">
        <f>_xlfn.XLOOKUP(B182,'Non-Projects (RUN-BAU)'!C:C,'Non-Projects (RUN-BAU)'!B:B,"",0)</f>
        <v/>
      </c>
      <c r="W182" s="73" t="str">
        <f>_xlfn.XLOOKUP(A182,'Ongoing Projects'!B:B,'Ongoing Projects'!B:B,"",0)</f>
        <v/>
      </c>
      <c r="X182" s="73" t="str">
        <f>_xlfn.XLOOKUP(B182,'New Projects'!D:D,'New Projects'!C:C,"",0)</f>
        <v/>
      </c>
      <c r="Y182" s="73" t="str">
        <f t="shared" si="6"/>
        <v/>
      </c>
      <c r="Z182" s="74" t="str">
        <f t="shared" si="7"/>
        <v>Missing</v>
      </c>
      <c r="AA182" s="74" t="str">
        <f t="shared" si="8"/>
        <v>Critical</v>
      </c>
    </row>
    <row r="183" spans="1:27" x14ac:dyDescent="0.2">
      <c r="A183" s="103" t="s">
        <v>641</v>
      </c>
      <c r="B183" s="103" t="s">
        <v>642</v>
      </c>
      <c r="D183" s="103">
        <v>0</v>
      </c>
      <c r="E183" s="103">
        <v>0</v>
      </c>
      <c r="F183" s="103">
        <v>115</v>
      </c>
      <c r="G183" s="103">
        <v>145</v>
      </c>
      <c r="H183" s="103" t="s">
        <v>1246</v>
      </c>
      <c r="I183" s="103" t="s">
        <v>1597</v>
      </c>
      <c r="J183" s="103" t="s">
        <v>13</v>
      </c>
      <c r="K183" s="103" t="s">
        <v>1241</v>
      </c>
      <c r="L183" s="103" t="s">
        <v>46</v>
      </c>
      <c r="M183" s="103" t="s">
        <v>22</v>
      </c>
      <c r="N183" s="103" t="s">
        <v>74</v>
      </c>
      <c r="O183" s="103" t="s">
        <v>305</v>
      </c>
      <c r="Q183" s="118" t="s">
        <v>1607</v>
      </c>
      <c r="R183" s="118" t="s">
        <v>1599</v>
      </c>
      <c r="U183" s="103">
        <v>260</v>
      </c>
      <c r="V183" s="73" t="str">
        <f>_xlfn.XLOOKUP(B183,'Non-Projects (RUN-BAU)'!C:C,'Non-Projects (RUN-BAU)'!B:B,"",0)</f>
        <v/>
      </c>
      <c r="W183" s="73" t="str">
        <f>_xlfn.XLOOKUP(A183,'Ongoing Projects'!B:B,'Ongoing Projects'!B:B,"",0)</f>
        <v/>
      </c>
      <c r="X183" s="73" t="str">
        <f>_xlfn.XLOOKUP(B183,'New Projects'!D:D,'New Projects'!C:C,"",0)</f>
        <v/>
      </c>
      <c r="Y183" s="73" t="str">
        <f t="shared" si="6"/>
        <v/>
      </c>
      <c r="Z183" s="74" t="str">
        <f t="shared" si="7"/>
        <v>Missing</v>
      </c>
      <c r="AA183" s="74" t="str">
        <f t="shared" si="8"/>
        <v>Critical</v>
      </c>
    </row>
    <row r="184" spans="1:27" x14ac:dyDescent="0.2">
      <c r="A184" s="103" t="s">
        <v>645</v>
      </c>
      <c r="B184" s="103" t="s">
        <v>646</v>
      </c>
      <c r="D184" s="103">
        <v>0</v>
      </c>
      <c r="E184" s="103">
        <v>50</v>
      </c>
      <c r="F184" s="103">
        <v>50</v>
      </c>
      <c r="G184" s="103">
        <v>0</v>
      </c>
      <c r="H184" s="103" t="s">
        <v>1701</v>
      </c>
      <c r="K184" s="103" t="s">
        <v>1618</v>
      </c>
      <c r="L184" s="103" t="s">
        <v>53</v>
      </c>
      <c r="M184" s="103" t="s">
        <v>41</v>
      </c>
      <c r="N184" s="103" t="s">
        <v>64</v>
      </c>
      <c r="Q184" s="118" t="s">
        <v>1601</v>
      </c>
      <c r="R184" s="118" t="s">
        <v>1608</v>
      </c>
      <c r="U184" s="103">
        <v>100</v>
      </c>
      <c r="V184" s="73" t="str">
        <f>_xlfn.XLOOKUP(B184,'Non-Projects (RUN-BAU)'!C:C,'Non-Projects (RUN-BAU)'!B:B,"",0)</f>
        <v/>
      </c>
      <c r="W184" s="73" t="str">
        <f>_xlfn.XLOOKUP(A184,'Ongoing Projects'!B:B,'Ongoing Projects'!B:B,"",0)</f>
        <v/>
      </c>
      <c r="X184" s="73" t="str">
        <f>_xlfn.XLOOKUP(B184,'New Projects'!D:D,'New Projects'!C:C,"",0)</f>
        <v/>
      </c>
      <c r="Y184" s="73" t="str">
        <f t="shared" si="6"/>
        <v/>
      </c>
      <c r="Z184" s="74" t="str">
        <f t="shared" si="7"/>
        <v>Missing</v>
      </c>
      <c r="AA184" s="74" t="str">
        <f t="shared" si="8"/>
        <v>Critical</v>
      </c>
    </row>
    <row r="185" spans="1:27" x14ac:dyDescent="0.2">
      <c r="A185" s="103" t="s">
        <v>647</v>
      </c>
      <c r="B185" s="103" t="s">
        <v>648</v>
      </c>
      <c r="D185" s="103">
        <v>75</v>
      </c>
      <c r="E185" s="103">
        <v>75</v>
      </c>
      <c r="F185" s="103">
        <v>75</v>
      </c>
      <c r="G185" s="103">
        <v>75</v>
      </c>
      <c r="H185" s="103" t="s">
        <v>1701</v>
      </c>
      <c r="K185" s="103" t="s">
        <v>1618</v>
      </c>
      <c r="L185" s="103" t="s">
        <v>55</v>
      </c>
      <c r="M185" s="103" t="s">
        <v>41</v>
      </c>
      <c r="N185" s="103" t="s">
        <v>64</v>
      </c>
      <c r="Q185" s="118" t="s">
        <v>1598</v>
      </c>
      <c r="R185" s="118" t="s">
        <v>1599</v>
      </c>
      <c r="U185" s="103">
        <v>300</v>
      </c>
      <c r="V185" s="73" t="str">
        <f>_xlfn.XLOOKUP(B185,'Non-Projects (RUN-BAU)'!C:C,'Non-Projects (RUN-BAU)'!B:B,"",0)</f>
        <v/>
      </c>
      <c r="W185" s="73" t="str">
        <f>_xlfn.XLOOKUP(A185,'Ongoing Projects'!B:B,'Ongoing Projects'!B:B,"",0)</f>
        <v/>
      </c>
      <c r="X185" s="73" t="str">
        <f>_xlfn.XLOOKUP(B185,'New Projects'!D:D,'New Projects'!C:C,"",0)</f>
        <v/>
      </c>
      <c r="Y185" s="73" t="str">
        <f t="shared" si="6"/>
        <v/>
      </c>
      <c r="Z185" s="74" t="str">
        <f t="shared" si="7"/>
        <v>Missing</v>
      </c>
      <c r="AA185" s="74" t="str">
        <f t="shared" si="8"/>
        <v>Critical</v>
      </c>
    </row>
    <row r="186" spans="1:27" x14ac:dyDescent="0.2">
      <c r="A186" s="103" t="s">
        <v>649</v>
      </c>
      <c r="B186" s="103" t="s">
        <v>650</v>
      </c>
      <c r="D186" s="103">
        <v>0</v>
      </c>
      <c r="E186" s="103">
        <v>100</v>
      </c>
      <c r="F186" s="103">
        <v>100</v>
      </c>
      <c r="G186" s="103">
        <v>0</v>
      </c>
      <c r="H186" s="103" t="s">
        <v>1701</v>
      </c>
      <c r="K186" s="103" t="s">
        <v>1618</v>
      </c>
      <c r="L186" s="103" t="s">
        <v>53</v>
      </c>
      <c r="M186" s="103" t="s">
        <v>41</v>
      </c>
      <c r="N186" s="103" t="s">
        <v>64</v>
      </c>
      <c r="Q186" s="118" t="s">
        <v>1601</v>
      </c>
      <c r="R186" s="118" t="s">
        <v>1608</v>
      </c>
      <c r="U186" s="103">
        <v>200</v>
      </c>
      <c r="V186" s="73" t="str">
        <f>_xlfn.XLOOKUP(B186,'Non-Projects (RUN-BAU)'!C:C,'Non-Projects (RUN-BAU)'!B:B,"",0)</f>
        <v/>
      </c>
      <c r="W186" s="73" t="str">
        <f>_xlfn.XLOOKUP(A186,'Ongoing Projects'!B:B,'Ongoing Projects'!B:B,"",0)</f>
        <v/>
      </c>
      <c r="X186" s="73" t="str">
        <f>_xlfn.XLOOKUP(B186,'New Projects'!D:D,'New Projects'!C:C,"",0)</f>
        <v/>
      </c>
      <c r="Y186" s="73" t="str">
        <f t="shared" si="6"/>
        <v/>
      </c>
      <c r="Z186" s="74" t="str">
        <f t="shared" si="7"/>
        <v>Missing</v>
      </c>
      <c r="AA186" s="74" t="str">
        <f t="shared" si="8"/>
        <v>Critical</v>
      </c>
    </row>
    <row r="187" spans="1:27" x14ac:dyDescent="0.2">
      <c r="A187" s="103" t="s">
        <v>653</v>
      </c>
      <c r="B187" s="103" t="s">
        <v>654</v>
      </c>
      <c r="C187" s="103" t="s">
        <v>1966</v>
      </c>
      <c r="D187" s="103">
        <v>200</v>
      </c>
      <c r="E187" s="103">
        <v>200</v>
      </c>
      <c r="F187" s="103">
        <v>200</v>
      </c>
      <c r="G187" s="103">
        <v>220</v>
      </c>
      <c r="H187" s="103" t="s">
        <v>791</v>
      </c>
      <c r="I187" s="103" t="s">
        <v>1597</v>
      </c>
      <c r="J187" s="103" t="s">
        <v>13</v>
      </c>
      <c r="K187" s="103" t="s">
        <v>898</v>
      </c>
      <c r="L187" s="103" t="s">
        <v>46</v>
      </c>
      <c r="M187" s="103" t="s">
        <v>22</v>
      </c>
      <c r="N187" s="103" t="s">
        <v>71</v>
      </c>
      <c r="O187" s="103" t="s">
        <v>779</v>
      </c>
      <c r="Q187" s="118" t="s">
        <v>1598</v>
      </c>
      <c r="R187" s="118" t="s">
        <v>1599</v>
      </c>
      <c r="U187" s="103">
        <v>820</v>
      </c>
      <c r="V187" s="73" t="str">
        <f>_xlfn.XLOOKUP(B187,'Non-Projects (RUN-BAU)'!C:C,'Non-Projects (RUN-BAU)'!B:B,"",0)</f>
        <v/>
      </c>
      <c r="W187" s="73" t="str">
        <f>_xlfn.XLOOKUP(A187,'Ongoing Projects'!B:B,'Ongoing Projects'!B:B,"",0)</f>
        <v/>
      </c>
      <c r="X187" s="73" t="str">
        <f>_xlfn.XLOOKUP(B187,'New Projects'!D:D,'New Projects'!C:C,"",0)</f>
        <v/>
      </c>
      <c r="Y187" s="73" t="str">
        <f t="shared" si="6"/>
        <v/>
      </c>
      <c r="Z187" s="74" t="str">
        <f t="shared" si="7"/>
        <v>Missing</v>
      </c>
      <c r="AA187" s="74" t="str">
        <f t="shared" si="8"/>
        <v>Critical</v>
      </c>
    </row>
    <row r="188" spans="1:27" x14ac:dyDescent="0.2">
      <c r="A188" s="103" t="s">
        <v>655</v>
      </c>
      <c r="B188" s="103" t="s">
        <v>656</v>
      </c>
      <c r="C188" s="103" t="s">
        <v>1967</v>
      </c>
      <c r="D188" s="103">
        <v>50</v>
      </c>
      <c r="E188" s="103">
        <v>50</v>
      </c>
      <c r="F188" s="103">
        <v>50</v>
      </c>
      <c r="G188" s="103">
        <v>170</v>
      </c>
      <c r="H188" s="103" t="s">
        <v>791</v>
      </c>
      <c r="I188" s="103" t="s">
        <v>1597</v>
      </c>
      <c r="J188" s="103" t="s">
        <v>13</v>
      </c>
      <c r="K188" s="103" t="s">
        <v>898</v>
      </c>
      <c r="L188" s="103" t="s">
        <v>49</v>
      </c>
      <c r="M188" s="103" t="s">
        <v>41</v>
      </c>
      <c r="N188" s="103" t="s">
        <v>71</v>
      </c>
      <c r="O188" s="103" t="s">
        <v>779</v>
      </c>
      <c r="Q188" s="118" t="s">
        <v>1598</v>
      </c>
      <c r="R188" s="118" t="s">
        <v>1599</v>
      </c>
      <c r="U188" s="103">
        <v>100</v>
      </c>
      <c r="V188" s="73" t="str">
        <f>_xlfn.XLOOKUP(B188,'Non-Projects (RUN-BAU)'!C:C,'Non-Projects (RUN-BAU)'!B:B,"",0)</f>
        <v/>
      </c>
      <c r="W188" s="73" t="str">
        <f>_xlfn.XLOOKUP(A188,'Ongoing Projects'!B:B,'Ongoing Projects'!B:B,"",0)</f>
        <v/>
      </c>
      <c r="X188" s="73" t="str">
        <f>_xlfn.XLOOKUP(B188,'New Projects'!D:D,'New Projects'!C:C,"",0)</f>
        <v/>
      </c>
      <c r="Y188" s="73" t="str">
        <f t="shared" si="6"/>
        <v/>
      </c>
      <c r="Z188" s="74" t="str">
        <f t="shared" si="7"/>
        <v>Missing</v>
      </c>
      <c r="AA188" s="74" t="str">
        <f t="shared" si="8"/>
        <v>Critical</v>
      </c>
    </row>
    <row r="189" spans="1:27" x14ac:dyDescent="0.2">
      <c r="A189" s="103" t="s">
        <v>657</v>
      </c>
      <c r="B189" s="103" t="s">
        <v>658</v>
      </c>
      <c r="D189" s="103">
        <v>150</v>
      </c>
      <c r="E189" s="103">
        <v>200</v>
      </c>
      <c r="F189" s="103">
        <v>200</v>
      </c>
      <c r="G189" s="103">
        <v>150</v>
      </c>
      <c r="H189" s="103" t="s">
        <v>1643</v>
      </c>
      <c r="I189" s="103" t="s">
        <v>1597</v>
      </c>
      <c r="K189" s="103" t="s">
        <v>1641</v>
      </c>
      <c r="M189" s="103" t="s">
        <v>41</v>
      </c>
      <c r="N189" s="103" t="s">
        <v>68</v>
      </c>
      <c r="Q189" s="118" t="s">
        <v>1598</v>
      </c>
      <c r="R189" s="118" t="s">
        <v>1599</v>
      </c>
      <c r="U189" s="103">
        <v>700</v>
      </c>
      <c r="V189" s="73" t="str">
        <f>_xlfn.XLOOKUP(B189,'Non-Projects (RUN-BAU)'!C:C,'Non-Projects (RUN-BAU)'!B:B,"",0)</f>
        <v/>
      </c>
      <c r="W189" s="73" t="str">
        <f>_xlfn.XLOOKUP(A189,'Ongoing Projects'!B:B,'Ongoing Projects'!B:B,"",0)</f>
        <v/>
      </c>
      <c r="X189" s="73" t="str">
        <f>_xlfn.XLOOKUP(B189,'New Projects'!D:D,'New Projects'!C:C,"",0)</f>
        <v/>
      </c>
      <c r="Y189" s="73" t="str">
        <f t="shared" si="6"/>
        <v/>
      </c>
      <c r="Z189" s="74" t="str">
        <f t="shared" si="7"/>
        <v>Missing</v>
      </c>
      <c r="AA189" s="74" t="str">
        <f t="shared" si="8"/>
        <v>Critical</v>
      </c>
    </row>
    <row r="190" spans="1:27" x14ac:dyDescent="0.2">
      <c r="A190" s="103" t="s">
        <v>668</v>
      </c>
      <c r="B190" s="103" t="s">
        <v>669</v>
      </c>
      <c r="D190" s="103">
        <v>150</v>
      </c>
      <c r="E190" s="103">
        <v>150</v>
      </c>
      <c r="F190" s="103">
        <v>150</v>
      </c>
      <c r="G190" s="103">
        <v>150</v>
      </c>
      <c r="H190" s="103" t="s">
        <v>820</v>
      </c>
      <c r="I190" s="103" t="s">
        <v>1597</v>
      </c>
      <c r="J190" s="103" t="s">
        <v>13</v>
      </c>
      <c r="K190" s="103" t="s">
        <v>898</v>
      </c>
      <c r="L190" s="103" t="s">
        <v>46</v>
      </c>
      <c r="M190" s="103" t="s">
        <v>41</v>
      </c>
      <c r="N190" s="103" t="s">
        <v>71</v>
      </c>
      <c r="Q190" s="118" t="s">
        <v>1598</v>
      </c>
      <c r="R190" s="118" t="s">
        <v>1599</v>
      </c>
      <c r="U190" s="103">
        <v>600</v>
      </c>
      <c r="V190" s="73" t="str">
        <f>_xlfn.XLOOKUP(B190,'Non-Projects (RUN-BAU)'!C:C,'Non-Projects (RUN-BAU)'!B:B,"",0)</f>
        <v/>
      </c>
      <c r="W190" s="73" t="str">
        <f>_xlfn.XLOOKUP(A190,'Ongoing Projects'!B:B,'Ongoing Projects'!B:B,"",0)</f>
        <v/>
      </c>
      <c r="X190" s="73" t="str">
        <f>_xlfn.XLOOKUP(B190,'New Projects'!D:D,'New Projects'!C:C,"",0)</f>
        <v/>
      </c>
      <c r="Y190" s="73" t="str">
        <f t="shared" si="6"/>
        <v/>
      </c>
      <c r="Z190" s="74" t="str">
        <f t="shared" si="7"/>
        <v>Missing</v>
      </c>
      <c r="AA190" s="74" t="str">
        <f t="shared" si="8"/>
        <v>Critical</v>
      </c>
    </row>
    <row r="191" spans="1:27" x14ac:dyDescent="0.2">
      <c r="A191" s="103" t="s">
        <v>671</v>
      </c>
      <c r="B191" s="103" t="s">
        <v>672</v>
      </c>
      <c r="D191" s="103">
        <v>100</v>
      </c>
      <c r="E191" s="103">
        <v>50</v>
      </c>
      <c r="F191" s="103">
        <v>50</v>
      </c>
      <c r="G191" s="103">
        <v>50</v>
      </c>
      <c r="H191" s="103" t="s">
        <v>1706</v>
      </c>
      <c r="J191" s="103" t="s">
        <v>13</v>
      </c>
      <c r="K191" s="103" t="s">
        <v>810</v>
      </c>
      <c r="L191" s="103" t="s">
        <v>46</v>
      </c>
      <c r="M191" s="103" t="s">
        <v>41</v>
      </c>
      <c r="N191" s="103" t="s">
        <v>71</v>
      </c>
      <c r="Q191" s="118" t="s">
        <v>1598</v>
      </c>
      <c r="R191" s="118" t="s">
        <v>1599</v>
      </c>
      <c r="U191" s="103">
        <v>250</v>
      </c>
      <c r="V191" s="73" t="str">
        <f>_xlfn.XLOOKUP(B191,'Non-Projects (RUN-BAU)'!C:C,'Non-Projects (RUN-BAU)'!B:B,"",0)</f>
        <v/>
      </c>
      <c r="W191" s="73" t="str">
        <f>_xlfn.XLOOKUP(A191,'Ongoing Projects'!B:B,'Ongoing Projects'!B:B,"",0)</f>
        <v/>
      </c>
      <c r="X191" s="73" t="str">
        <f>_xlfn.XLOOKUP(B191,'New Projects'!D:D,'New Projects'!C:C,"",0)</f>
        <v/>
      </c>
      <c r="Y191" s="73" t="str">
        <f t="shared" si="6"/>
        <v/>
      </c>
      <c r="Z191" s="74" t="str">
        <f t="shared" si="7"/>
        <v>Missing</v>
      </c>
      <c r="AA191" s="74" t="str">
        <f t="shared" si="8"/>
        <v>Critical</v>
      </c>
    </row>
    <row r="192" spans="1:27" x14ac:dyDescent="0.2">
      <c r="A192" s="103" t="s">
        <v>679</v>
      </c>
      <c r="B192" s="103" t="s">
        <v>680</v>
      </c>
      <c r="D192" s="103">
        <v>0</v>
      </c>
      <c r="E192" s="103">
        <v>110</v>
      </c>
      <c r="F192" s="103">
        <v>110</v>
      </c>
      <c r="G192" s="103">
        <v>30</v>
      </c>
      <c r="H192" s="103" t="s">
        <v>1643</v>
      </c>
      <c r="I192" s="103" t="s">
        <v>345</v>
      </c>
      <c r="K192" s="103" t="s">
        <v>1641</v>
      </c>
      <c r="M192" s="103" t="s">
        <v>41</v>
      </c>
      <c r="N192" s="103" t="s">
        <v>68</v>
      </c>
      <c r="Q192" s="118" t="s">
        <v>1601</v>
      </c>
      <c r="R192" s="118" t="s">
        <v>1599</v>
      </c>
      <c r="U192" s="103">
        <v>250</v>
      </c>
      <c r="V192" s="73" t="str">
        <f>_xlfn.XLOOKUP(B192,'Non-Projects (RUN-BAU)'!C:C,'Non-Projects (RUN-BAU)'!B:B,"",0)</f>
        <v/>
      </c>
      <c r="W192" s="73" t="str">
        <f>_xlfn.XLOOKUP(A192,'Ongoing Projects'!B:B,'Ongoing Projects'!B:B,"",0)</f>
        <v/>
      </c>
      <c r="X192" s="73" t="str">
        <f>_xlfn.XLOOKUP(B192,'New Projects'!D:D,'New Projects'!C:C,"",0)</f>
        <v/>
      </c>
      <c r="Y192" s="73" t="str">
        <f t="shared" si="6"/>
        <v/>
      </c>
      <c r="Z192" s="74" t="str">
        <f t="shared" si="7"/>
        <v>Missing</v>
      </c>
      <c r="AA192" s="74" t="str">
        <f t="shared" si="8"/>
        <v>Critical</v>
      </c>
    </row>
    <row r="193" spans="1:27" x14ac:dyDescent="0.2">
      <c r="A193" s="103" t="s">
        <v>681</v>
      </c>
      <c r="B193" s="103" t="s">
        <v>682</v>
      </c>
      <c r="D193" s="103">
        <v>0</v>
      </c>
      <c r="E193" s="103">
        <v>250</v>
      </c>
      <c r="F193" s="103">
        <v>250</v>
      </c>
      <c r="G193" s="103">
        <v>150</v>
      </c>
      <c r="H193" s="103" t="s">
        <v>1643</v>
      </c>
      <c r="I193" s="103" t="s">
        <v>1597</v>
      </c>
      <c r="K193" s="103" t="s">
        <v>1641</v>
      </c>
      <c r="M193" s="103" t="s">
        <v>41</v>
      </c>
      <c r="N193" s="103" t="s">
        <v>68</v>
      </c>
      <c r="Q193" s="118" t="s">
        <v>1601</v>
      </c>
      <c r="R193" s="118" t="s">
        <v>1599</v>
      </c>
      <c r="U193" s="103">
        <v>650</v>
      </c>
      <c r="V193" s="73" t="str">
        <f>_xlfn.XLOOKUP(B193,'Non-Projects (RUN-BAU)'!C:C,'Non-Projects (RUN-BAU)'!B:B,"",0)</f>
        <v/>
      </c>
      <c r="W193" s="73" t="str">
        <f>_xlfn.XLOOKUP(A193,'Ongoing Projects'!B:B,'Ongoing Projects'!B:B,"",0)</f>
        <v/>
      </c>
      <c r="X193" s="73" t="str">
        <f>_xlfn.XLOOKUP(B193,'New Projects'!D:D,'New Projects'!C:C,"",0)</f>
        <v/>
      </c>
      <c r="Y193" s="73" t="str">
        <f t="shared" si="6"/>
        <v/>
      </c>
      <c r="Z193" s="74" t="str">
        <f t="shared" si="7"/>
        <v>Missing</v>
      </c>
      <c r="AA193" s="74" t="str">
        <f t="shared" si="8"/>
        <v>Critical</v>
      </c>
    </row>
    <row r="194" spans="1:27" x14ac:dyDescent="0.2">
      <c r="A194" s="103" t="s">
        <v>683</v>
      </c>
      <c r="B194" s="103" t="s">
        <v>684</v>
      </c>
      <c r="D194" s="103">
        <v>0</v>
      </c>
      <c r="E194" s="103">
        <v>0</v>
      </c>
      <c r="F194" s="103">
        <v>100</v>
      </c>
      <c r="G194" s="103">
        <v>150</v>
      </c>
      <c r="H194" s="103" t="s">
        <v>985</v>
      </c>
      <c r="I194" s="103" t="s">
        <v>345</v>
      </c>
      <c r="J194" s="103" t="s">
        <v>35</v>
      </c>
      <c r="K194" s="103" t="s">
        <v>984</v>
      </c>
      <c r="L194" s="103" t="s">
        <v>55</v>
      </c>
      <c r="M194" s="103" t="s">
        <v>43</v>
      </c>
      <c r="N194" s="103" t="s">
        <v>64</v>
      </c>
      <c r="Q194" s="118" t="s">
        <v>1607</v>
      </c>
      <c r="R194" s="118" t="s">
        <v>1599</v>
      </c>
      <c r="U194" s="103">
        <v>250</v>
      </c>
      <c r="V194" s="73" t="str">
        <f>_xlfn.XLOOKUP(B194,'Non-Projects (RUN-BAU)'!C:C,'Non-Projects (RUN-BAU)'!B:B,"",0)</f>
        <v/>
      </c>
      <c r="W194" s="73" t="str">
        <f>_xlfn.XLOOKUP(A194,'Ongoing Projects'!B:B,'Ongoing Projects'!B:B,"",0)</f>
        <v/>
      </c>
      <c r="X194" s="73" t="str">
        <f>_xlfn.XLOOKUP(B194,'New Projects'!D:D,'New Projects'!C:C,"",0)</f>
        <v/>
      </c>
      <c r="Y194" s="73" t="str">
        <f t="shared" si="6"/>
        <v/>
      </c>
      <c r="Z194" s="74" t="str">
        <f t="shared" si="7"/>
        <v>Missing</v>
      </c>
      <c r="AA194" s="74" t="str">
        <f t="shared" si="8"/>
        <v>Critical</v>
      </c>
    </row>
    <row r="195" spans="1:27" x14ac:dyDescent="0.2">
      <c r="A195" s="103" t="s">
        <v>692</v>
      </c>
      <c r="B195" s="103" t="s">
        <v>693</v>
      </c>
      <c r="D195" s="103">
        <v>0</v>
      </c>
      <c r="E195" s="103">
        <v>25</v>
      </c>
      <c r="F195" s="103">
        <v>0</v>
      </c>
      <c r="G195" s="103">
        <v>0</v>
      </c>
      <c r="H195" s="103" t="s">
        <v>1679</v>
      </c>
      <c r="I195" s="103" t="s">
        <v>345</v>
      </c>
      <c r="J195" s="103" t="s">
        <v>13</v>
      </c>
      <c r="K195" s="103" t="s">
        <v>750</v>
      </c>
      <c r="L195" s="103" t="s">
        <v>46</v>
      </c>
      <c r="M195" s="103" t="s">
        <v>41</v>
      </c>
      <c r="N195" s="103" t="s">
        <v>64</v>
      </c>
      <c r="Q195" s="118" t="s">
        <v>1601</v>
      </c>
      <c r="R195" s="118" t="s">
        <v>1599</v>
      </c>
      <c r="U195" s="103">
        <v>25</v>
      </c>
      <c r="V195" s="73" t="str">
        <f>_xlfn.XLOOKUP(B195,'Non-Projects (RUN-BAU)'!C:C,'Non-Projects (RUN-BAU)'!B:B,"",0)</f>
        <v/>
      </c>
      <c r="W195" s="73" t="str">
        <f>_xlfn.XLOOKUP(A195,'Ongoing Projects'!B:B,'Ongoing Projects'!B:B,"",0)</f>
        <v/>
      </c>
      <c r="X195" s="73" t="str">
        <f>_xlfn.XLOOKUP(B195,'New Projects'!D:D,'New Projects'!C:C,"",0)</f>
        <v/>
      </c>
      <c r="Y195" s="73" t="str">
        <f t="shared" ref="Y195:Y211" si="9">V195&amp;W195&amp;X195</f>
        <v/>
      </c>
      <c r="Z195" s="74" t="str">
        <f t="shared" ref="Z195:Z211" si="10">IF(AND(V195="",W195="",X195=""),"Missing",IF(Y195=A195,"","Don't match"))</f>
        <v>Missing</v>
      </c>
      <c r="AA195" s="74" t="str">
        <f t="shared" ref="AA195:AA211" si="11">IF(AND(Z195&lt;&gt;"",SUM(D195:G195)&lt;&gt;0,I195&lt;&gt;"Not Acceptance"),"Critical", "")</f>
        <v>Critical</v>
      </c>
    </row>
    <row r="196" spans="1:27" x14ac:dyDescent="0.2">
      <c r="A196" s="103" t="s">
        <v>701</v>
      </c>
      <c r="B196" s="103" t="s">
        <v>702</v>
      </c>
      <c r="D196" s="103">
        <v>240</v>
      </c>
      <c r="E196" s="103">
        <v>220</v>
      </c>
      <c r="F196" s="103">
        <v>60</v>
      </c>
      <c r="G196" s="103">
        <v>105</v>
      </c>
      <c r="H196" s="103" t="s">
        <v>1246</v>
      </c>
      <c r="I196" s="103" t="s">
        <v>1597</v>
      </c>
      <c r="J196" s="103" t="s">
        <v>13</v>
      </c>
      <c r="K196" s="103" t="s">
        <v>1241</v>
      </c>
      <c r="L196" s="103" t="s">
        <v>49</v>
      </c>
      <c r="M196" s="103" t="s">
        <v>41</v>
      </c>
      <c r="N196" s="103" t="s">
        <v>74</v>
      </c>
      <c r="O196" s="103" t="s">
        <v>305</v>
      </c>
      <c r="Q196" s="118" t="s">
        <v>1598</v>
      </c>
      <c r="R196" s="118" t="s">
        <v>1599</v>
      </c>
      <c r="U196" s="103">
        <v>625</v>
      </c>
      <c r="V196" s="73" t="str">
        <f>_xlfn.XLOOKUP(B196,'Non-Projects (RUN-BAU)'!C:C,'Non-Projects (RUN-BAU)'!B:B,"",0)</f>
        <v/>
      </c>
      <c r="W196" s="73" t="str">
        <f>_xlfn.XLOOKUP(A196,'Ongoing Projects'!B:B,'Ongoing Projects'!B:B,"",0)</f>
        <v/>
      </c>
      <c r="X196" s="73" t="str">
        <f>_xlfn.XLOOKUP(B196,'New Projects'!D:D,'New Projects'!C:C,"",0)</f>
        <v/>
      </c>
      <c r="Y196" s="73" t="str">
        <f t="shared" si="9"/>
        <v/>
      </c>
      <c r="Z196" s="74" t="str">
        <f t="shared" si="10"/>
        <v>Missing</v>
      </c>
      <c r="AA196" s="74" t="str">
        <f t="shared" si="11"/>
        <v>Critical</v>
      </c>
    </row>
    <row r="197" spans="1:27" x14ac:dyDescent="0.2">
      <c r="A197" s="103" t="s">
        <v>703</v>
      </c>
      <c r="B197" s="103" t="s">
        <v>704</v>
      </c>
      <c r="D197" s="103">
        <v>25</v>
      </c>
      <c r="E197" s="103">
        <v>25</v>
      </c>
      <c r="F197" s="103">
        <v>25</v>
      </c>
      <c r="G197" s="103">
        <v>25</v>
      </c>
      <c r="H197" s="103" t="s">
        <v>1246</v>
      </c>
      <c r="I197" s="103" t="s">
        <v>1597</v>
      </c>
      <c r="J197" s="103" t="s">
        <v>13</v>
      </c>
      <c r="K197" s="103" t="s">
        <v>1241</v>
      </c>
      <c r="L197" s="103" t="s">
        <v>46</v>
      </c>
      <c r="M197" s="103" t="s">
        <v>41</v>
      </c>
      <c r="N197" s="103" t="s">
        <v>74</v>
      </c>
      <c r="O197" s="103" t="s">
        <v>305</v>
      </c>
      <c r="Q197" s="118" t="s">
        <v>1598</v>
      </c>
      <c r="R197" s="118" t="s">
        <v>1599</v>
      </c>
      <c r="U197" s="103">
        <v>100</v>
      </c>
      <c r="V197" s="73" t="str">
        <f>_xlfn.XLOOKUP(B197,'Non-Projects (RUN-BAU)'!C:C,'Non-Projects (RUN-BAU)'!B:B,"",0)</f>
        <v/>
      </c>
      <c r="W197" s="73" t="str">
        <f>_xlfn.XLOOKUP(A197,'Ongoing Projects'!B:B,'Ongoing Projects'!B:B,"",0)</f>
        <v/>
      </c>
      <c r="X197" s="73" t="str">
        <f>_xlfn.XLOOKUP(B197,'New Projects'!D:D,'New Projects'!C:C,"",0)</f>
        <v/>
      </c>
      <c r="Y197" s="73" t="str">
        <f t="shared" si="9"/>
        <v/>
      </c>
      <c r="Z197" s="74" t="str">
        <f t="shared" si="10"/>
        <v>Missing</v>
      </c>
      <c r="AA197" s="74" t="str">
        <f t="shared" si="11"/>
        <v>Critical</v>
      </c>
    </row>
    <row r="198" spans="1:27" x14ac:dyDescent="0.2">
      <c r="A198" s="103" t="s">
        <v>705</v>
      </c>
      <c r="B198" s="103" t="s">
        <v>706</v>
      </c>
      <c r="D198" s="103">
        <v>50</v>
      </c>
      <c r="E198" s="103">
        <v>50</v>
      </c>
      <c r="F198" s="103">
        <v>50</v>
      </c>
      <c r="G198" s="103">
        <v>50</v>
      </c>
      <c r="H198" s="103" t="s">
        <v>1246</v>
      </c>
      <c r="I198" s="103" t="s">
        <v>1597</v>
      </c>
      <c r="J198" s="103" t="s">
        <v>13</v>
      </c>
      <c r="K198" s="103" t="s">
        <v>1241</v>
      </c>
      <c r="L198" s="103" t="s">
        <v>46</v>
      </c>
      <c r="M198" s="103" t="s">
        <v>41</v>
      </c>
      <c r="N198" s="103" t="s">
        <v>74</v>
      </c>
      <c r="O198" s="103" t="s">
        <v>305</v>
      </c>
      <c r="Q198" s="118" t="s">
        <v>1598</v>
      </c>
      <c r="R198" s="118" t="s">
        <v>1599</v>
      </c>
      <c r="U198" s="103">
        <v>200</v>
      </c>
      <c r="V198" s="73" t="str">
        <f>_xlfn.XLOOKUP(B198,'Non-Projects (RUN-BAU)'!C:C,'Non-Projects (RUN-BAU)'!B:B,"",0)</f>
        <v/>
      </c>
      <c r="W198" s="73" t="str">
        <f>_xlfn.XLOOKUP(A198,'Ongoing Projects'!B:B,'Ongoing Projects'!B:B,"",0)</f>
        <v/>
      </c>
      <c r="X198" s="73" t="str">
        <f>_xlfn.XLOOKUP(B198,'New Projects'!D:D,'New Projects'!C:C,"",0)</f>
        <v/>
      </c>
      <c r="Y198" s="73" t="str">
        <f t="shared" si="9"/>
        <v/>
      </c>
      <c r="Z198" s="74" t="str">
        <f t="shared" si="10"/>
        <v>Missing</v>
      </c>
      <c r="AA198" s="74" t="str">
        <f t="shared" si="11"/>
        <v>Critical</v>
      </c>
    </row>
    <row r="199" spans="1:27" x14ac:dyDescent="0.2">
      <c r="A199" s="103" t="s">
        <v>707</v>
      </c>
      <c r="B199" s="103" t="s">
        <v>708</v>
      </c>
      <c r="D199" s="103">
        <v>25</v>
      </c>
      <c r="E199" s="103">
        <v>30</v>
      </c>
      <c r="F199" s="103">
        <v>25</v>
      </c>
      <c r="G199" s="103">
        <v>25</v>
      </c>
      <c r="H199" s="103" t="s">
        <v>1246</v>
      </c>
      <c r="I199" s="103" t="s">
        <v>1597</v>
      </c>
      <c r="J199" s="103" t="s">
        <v>13</v>
      </c>
      <c r="K199" s="103" t="s">
        <v>1241</v>
      </c>
      <c r="L199" s="103" t="s">
        <v>46</v>
      </c>
      <c r="M199" s="103" t="s">
        <v>43</v>
      </c>
      <c r="N199" s="103" t="s">
        <v>74</v>
      </c>
      <c r="O199" s="103" t="s">
        <v>305</v>
      </c>
      <c r="Q199" s="118" t="s">
        <v>1598</v>
      </c>
      <c r="R199" s="118" t="s">
        <v>1599</v>
      </c>
      <c r="U199" s="103">
        <v>105</v>
      </c>
      <c r="V199" s="73" t="str">
        <f>_xlfn.XLOOKUP(B199,'Non-Projects (RUN-BAU)'!C:C,'Non-Projects (RUN-BAU)'!B:B,"",0)</f>
        <v/>
      </c>
      <c r="W199" s="73" t="str">
        <f>_xlfn.XLOOKUP(A199,'Ongoing Projects'!B:B,'Ongoing Projects'!B:B,"",0)</f>
        <v/>
      </c>
      <c r="X199" s="73" t="str">
        <f>_xlfn.XLOOKUP(B199,'New Projects'!D:D,'New Projects'!C:C,"",0)</f>
        <v/>
      </c>
      <c r="Y199" s="73" t="str">
        <f t="shared" si="9"/>
        <v/>
      </c>
      <c r="Z199" s="74" t="str">
        <f t="shared" si="10"/>
        <v>Missing</v>
      </c>
      <c r="AA199" s="74" t="str">
        <f t="shared" si="11"/>
        <v>Critical</v>
      </c>
    </row>
    <row r="200" spans="1:27" x14ac:dyDescent="0.2">
      <c r="A200" s="103" t="s">
        <v>710</v>
      </c>
      <c r="B200" s="103" t="s">
        <v>711</v>
      </c>
      <c r="D200" s="103">
        <v>15</v>
      </c>
      <c r="E200" s="103">
        <v>15</v>
      </c>
      <c r="F200" s="103">
        <v>0</v>
      </c>
      <c r="G200" s="103">
        <v>0</v>
      </c>
      <c r="H200" s="103" t="s">
        <v>1679</v>
      </c>
      <c r="I200" s="103" t="s">
        <v>345</v>
      </c>
      <c r="J200" s="103" t="s">
        <v>13</v>
      </c>
      <c r="K200" s="103" t="s">
        <v>750</v>
      </c>
      <c r="L200" s="103" t="s">
        <v>55</v>
      </c>
      <c r="M200" s="103" t="s">
        <v>41</v>
      </c>
      <c r="N200" s="103" t="s">
        <v>64</v>
      </c>
      <c r="O200" s="103" t="s">
        <v>767</v>
      </c>
      <c r="Q200" s="118" t="s">
        <v>1598</v>
      </c>
      <c r="R200" s="118" t="s">
        <v>1606</v>
      </c>
      <c r="U200" s="103">
        <v>30</v>
      </c>
      <c r="V200" s="73" t="str">
        <f>_xlfn.XLOOKUP(B200,'Non-Projects (RUN-BAU)'!C:C,'Non-Projects (RUN-BAU)'!B:B,"",0)</f>
        <v/>
      </c>
      <c r="W200" s="73" t="str">
        <f>_xlfn.XLOOKUP(A200,'Ongoing Projects'!B:B,'Ongoing Projects'!B:B,"",0)</f>
        <v/>
      </c>
      <c r="X200" s="73" t="str">
        <f>_xlfn.XLOOKUP(B200,'New Projects'!D:D,'New Projects'!C:C,"",0)</f>
        <v/>
      </c>
      <c r="Y200" s="73" t="str">
        <f t="shared" si="9"/>
        <v/>
      </c>
      <c r="Z200" s="74" t="str">
        <f t="shared" si="10"/>
        <v>Missing</v>
      </c>
      <c r="AA200" s="74" t="str">
        <f t="shared" si="11"/>
        <v>Critical</v>
      </c>
    </row>
    <row r="201" spans="1:27" x14ac:dyDescent="0.2">
      <c r="A201" s="103" t="s">
        <v>712</v>
      </c>
      <c r="B201" s="103" t="s">
        <v>713</v>
      </c>
      <c r="D201" s="103">
        <v>100</v>
      </c>
      <c r="E201" s="103">
        <v>0</v>
      </c>
      <c r="F201" s="103">
        <v>0</v>
      </c>
      <c r="G201" s="103">
        <v>0</v>
      </c>
      <c r="H201" s="103" t="s">
        <v>839</v>
      </c>
      <c r="I201" s="103" t="s">
        <v>1597</v>
      </c>
      <c r="J201" s="103" t="s">
        <v>889</v>
      </c>
      <c r="K201" s="103" t="s">
        <v>1618</v>
      </c>
      <c r="L201" s="103" t="s">
        <v>49</v>
      </c>
      <c r="M201" s="103" t="s">
        <v>41</v>
      </c>
      <c r="N201" s="103" t="s">
        <v>64</v>
      </c>
      <c r="O201" s="103" t="s">
        <v>767</v>
      </c>
      <c r="Q201" s="118" t="s">
        <v>1598</v>
      </c>
      <c r="R201" s="118" t="s">
        <v>1610</v>
      </c>
      <c r="U201" s="103">
        <v>100</v>
      </c>
      <c r="V201" s="73" t="str">
        <f>_xlfn.XLOOKUP(B201,'Non-Projects (RUN-BAU)'!C:C,'Non-Projects (RUN-BAU)'!B:B,"",0)</f>
        <v/>
      </c>
      <c r="W201" s="73" t="str">
        <f>_xlfn.XLOOKUP(A201,'Ongoing Projects'!B:B,'Ongoing Projects'!B:B,"",0)</f>
        <v/>
      </c>
      <c r="X201" s="73" t="str">
        <f>_xlfn.XLOOKUP(B201,'New Projects'!D:D,'New Projects'!C:C,"",0)</f>
        <v/>
      </c>
      <c r="Y201" s="73" t="str">
        <f t="shared" si="9"/>
        <v/>
      </c>
      <c r="Z201" s="74" t="str">
        <f t="shared" si="10"/>
        <v>Missing</v>
      </c>
      <c r="AA201" s="74" t="str">
        <f t="shared" si="11"/>
        <v>Critical</v>
      </c>
    </row>
    <row r="202" spans="1:27" x14ac:dyDescent="0.2">
      <c r="A202" s="103" t="s">
        <v>714</v>
      </c>
      <c r="B202" s="103" t="s">
        <v>715</v>
      </c>
      <c r="D202" s="103">
        <v>0</v>
      </c>
      <c r="E202" s="103">
        <v>25</v>
      </c>
      <c r="F202" s="103">
        <v>125</v>
      </c>
      <c r="G202" s="103">
        <v>0</v>
      </c>
      <c r="H202" s="103" t="s">
        <v>839</v>
      </c>
      <c r="I202" s="103" t="s">
        <v>1597</v>
      </c>
      <c r="J202" s="103" t="s">
        <v>889</v>
      </c>
      <c r="K202" s="103" t="s">
        <v>1618</v>
      </c>
      <c r="L202" s="103" t="s">
        <v>49</v>
      </c>
      <c r="M202" s="103" t="s">
        <v>43</v>
      </c>
      <c r="N202" s="103" t="s">
        <v>64</v>
      </c>
      <c r="O202" s="103" t="s">
        <v>767</v>
      </c>
      <c r="Q202" s="118" t="s">
        <v>1601</v>
      </c>
      <c r="R202" s="118" t="s">
        <v>1608</v>
      </c>
      <c r="U202" s="103">
        <v>150</v>
      </c>
      <c r="V202" s="73" t="str">
        <f>_xlfn.XLOOKUP(B202,'Non-Projects (RUN-BAU)'!C:C,'Non-Projects (RUN-BAU)'!B:B,"",0)</f>
        <v/>
      </c>
      <c r="W202" s="73" t="str">
        <f>_xlfn.XLOOKUP(A202,'Ongoing Projects'!B:B,'Ongoing Projects'!B:B,"",0)</f>
        <v/>
      </c>
      <c r="X202" s="73" t="str">
        <f>_xlfn.XLOOKUP(B202,'New Projects'!D:D,'New Projects'!C:C,"",0)</f>
        <v/>
      </c>
      <c r="Y202" s="73" t="str">
        <f t="shared" si="9"/>
        <v/>
      </c>
      <c r="Z202" s="74" t="str">
        <f t="shared" si="10"/>
        <v>Missing</v>
      </c>
      <c r="AA202" s="74" t="str">
        <f t="shared" si="11"/>
        <v>Critical</v>
      </c>
    </row>
    <row r="203" spans="1:27" x14ac:dyDescent="0.2">
      <c r="A203" s="103" t="s">
        <v>382</v>
      </c>
      <c r="B203" s="103" t="s">
        <v>383</v>
      </c>
      <c r="D203" s="103">
        <v>250</v>
      </c>
      <c r="E203" s="103">
        <v>560</v>
      </c>
      <c r="F203" s="103">
        <v>1780</v>
      </c>
      <c r="G203" s="103">
        <v>950</v>
      </c>
      <c r="H203" s="103" t="s">
        <v>1059</v>
      </c>
      <c r="I203" s="103" t="s">
        <v>1597</v>
      </c>
      <c r="J203" s="103" t="s">
        <v>13</v>
      </c>
      <c r="K203" s="103" t="s">
        <v>766</v>
      </c>
      <c r="L203" s="103" t="s">
        <v>46</v>
      </c>
      <c r="M203" s="103" t="s">
        <v>41</v>
      </c>
      <c r="N203" s="103" t="s">
        <v>68</v>
      </c>
      <c r="O203" s="103" t="s">
        <v>767</v>
      </c>
      <c r="Q203" s="118" t="s">
        <v>1598</v>
      </c>
      <c r="R203" s="118" t="s">
        <v>1599</v>
      </c>
      <c r="U203" s="103">
        <v>0</v>
      </c>
      <c r="V203" s="73" t="str">
        <f>_xlfn.XLOOKUP(B203,'Non-Projects (RUN-BAU)'!C:C,'Non-Projects (RUN-BAU)'!B:B,"",0)</f>
        <v/>
      </c>
      <c r="W203" s="73" t="str">
        <f>_xlfn.XLOOKUP(A203,'Ongoing Projects'!B:B,'Ongoing Projects'!B:B,"",0)</f>
        <v/>
      </c>
      <c r="X203" s="73" t="str">
        <f>_xlfn.XLOOKUP(B203,'New Projects'!D:D,'New Projects'!C:C,"",0)</f>
        <v/>
      </c>
      <c r="Y203" s="73" t="str">
        <f t="shared" si="9"/>
        <v/>
      </c>
      <c r="Z203" s="74" t="str">
        <f t="shared" si="10"/>
        <v>Missing</v>
      </c>
      <c r="AA203" s="74" t="str">
        <f t="shared" si="11"/>
        <v>Critical</v>
      </c>
    </row>
    <row r="204" spans="1:27" x14ac:dyDescent="0.2">
      <c r="A204" s="103" t="s">
        <v>3822</v>
      </c>
      <c r="B204" s="103" t="s">
        <v>610</v>
      </c>
      <c r="D204" s="103">
        <v>290</v>
      </c>
      <c r="E204" s="103">
        <v>290</v>
      </c>
      <c r="F204" s="103">
        <v>270</v>
      </c>
      <c r="G204" s="103">
        <v>270</v>
      </c>
      <c r="H204" s="103" t="s">
        <v>1232</v>
      </c>
      <c r="I204" s="103" t="s">
        <v>1597</v>
      </c>
      <c r="J204" s="103" t="s">
        <v>13</v>
      </c>
      <c r="K204" s="103" t="s">
        <v>1687</v>
      </c>
      <c r="L204" s="103" t="s">
        <v>55</v>
      </c>
      <c r="M204" s="103" t="s">
        <v>41</v>
      </c>
      <c r="N204" s="103" t="s">
        <v>64</v>
      </c>
      <c r="O204" s="103" t="s">
        <v>305</v>
      </c>
      <c r="Q204" s="118" t="s">
        <v>1598</v>
      </c>
      <c r="R204" s="118" t="s">
        <v>1599</v>
      </c>
      <c r="U204" s="103">
        <v>1120</v>
      </c>
      <c r="V204" s="73" t="str">
        <f>_xlfn.XLOOKUP(B204,'Non-Projects (RUN-BAU)'!C:C,'Non-Projects (RUN-BAU)'!B:B,"",0)</f>
        <v/>
      </c>
      <c r="W204" s="73" t="str">
        <f>_xlfn.XLOOKUP(A204,'Ongoing Projects'!B:B,'Ongoing Projects'!B:B,"",0)</f>
        <v/>
      </c>
      <c r="X204" s="73" t="str">
        <f>_xlfn.XLOOKUP(B204,'New Projects'!D:D,'New Projects'!C:C,"",0)</f>
        <v/>
      </c>
      <c r="Y204" s="73" t="str">
        <f t="shared" si="9"/>
        <v/>
      </c>
      <c r="Z204" s="74" t="str">
        <f t="shared" si="10"/>
        <v>Missing</v>
      </c>
      <c r="AA204" s="74" t="str">
        <f t="shared" si="11"/>
        <v>Critical</v>
      </c>
    </row>
    <row r="205" spans="1:27" x14ac:dyDescent="0.2">
      <c r="A205" s="103" t="s">
        <v>367</v>
      </c>
      <c r="B205" s="103" t="s">
        <v>368</v>
      </c>
      <c r="C205" s="103" t="s">
        <v>1968</v>
      </c>
      <c r="D205" s="103">
        <v>215</v>
      </c>
      <c r="E205" s="103">
        <v>215</v>
      </c>
      <c r="F205" s="103">
        <v>215</v>
      </c>
      <c r="G205" s="103">
        <v>215</v>
      </c>
      <c r="H205" s="103" t="s">
        <v>1567</v>
      </c>
      <c r="I205" s="103" t="s">
        <v>1597</v>
      </c>
      <c r="J205" s="103" t="s">
        <v>35</v>
      </c>
      <c r="K205" s="103" t="s">
        <v>766</v>
      </c>
      <c r="L205" s="103" t="s">
        <v>57</v>
      </c>
      <c r="M205" s="103" t="s">
        <v>43</v>
      </c>
      <c r="N205" s="103" t="s">
        <v>68</v>
      </c>
      <c r="O205" s="103" t="s">
        <v>767</v>
      </c>
      <c r="Q205" s="118" t="s">
        <v>1598</v>
      </c>
      <c r="R205" s="118" t="s">
        <v>1599</v>
      </c>
      <c r="U205" s="103">
        <v>860</v>
      </c>
      <c r="V205" s="73" t="str">
        <f>_xlfn.XLOOKUP(B205,'Non-Projects (RUN-BAU)'!C:C,'Non-Projects (RUN-BAU)'!B:B,"",0)</f>
        <v/>
      </c>
      <c r="W205" s="73" t="str">
        <f>_xlfn.XLOOKUP(A205,'Ongoing Projects'!B:B,'Ongoing Projects'!B:B,"",0)</f>
        <v/>
      </c>
      <c r="X205" s="73" t="str">
        <f>_xlfn.XLOOKUP(B205,'New Projects'!D:D,'New Projects'!C:C,"",0)</f>
        <v/>
      </c>
      <c r="Y205" s="73" t="str">
        <f t="shared" si="9"/>
        <v/>
      </c>
      <c r="Z205" s="74" t="str">
        <f t="shared" si="10"/>
        <v>Missing</v>
      </c>
      <c r="AA205" s="74" t="str">
        <f t="shared" si="11"/>
        <v>Critical</v>
      </c>
    </row>
    <row r="206" spans="1:27" x14ac:dyDescent="0.2">
      <c r="A206" s="103" t="s">
        <v>369</v>
      </c>
      <c r="B206" s="103" t="s">
        <v>370</v>
      </c>
      <c r="C206" s="103" t="s">
        <v>1969</v>
      </c>
      <c r="D206" s="103">
        <v>258</v>
      </c>
      <c r="E206" s="103">
        <v>258</v>
      </c>
      <c r="F206" s="103">
        <v>258</v>
      </c>
      <c r="G206" s="103">
        <v>258</v>
      </c>
      <c r="H206" s="103" t="s">
        <v>1567</v>
      </c>
      <c r="I206" s="103" t="s">
        <v>1597</v>
      </c>
      <c r="J206" s="103" t="s">
        <v>35</v>
      </c>
      <c r="K206" s="103" t="s">
        <v>766</v>
      </c>
      <c r="L206" s="103" t="s">
        <v>57</v>
      </c>
      <c r="M206" s="103" t="s">
        <v>43</v>
      </c>
      <c r="N206" s="103" t="s">
        <v>68</v>
      </c>
      <c r="O206" s="103" t="s">
        <v>767</v>
      </c>
      <c r="Q206" s="118" t="s">
        <v>1598</v>
      </c>
      <c r="R206" s="118" t="s">
        <v>1599</v>
      </c>
      <c r="U206" s="103">
        <v>1032</v>
      </c>
      <c r="V206" s="73" t="str">
        <f>_xlfn.XLOOKUP(B206,'Non-Projects (RUN-BAU)'!C:C,'Non-Projects (RUN-BAU)'!B:B,"",0)</f>
        <v/>
      </c>
      <c r="W206" s="73" t="str">
        <f>_xlfn.XLOOKUP(A206,'Ongoing Projects'!B:B,'Ongoing Projects'!B:B,"",0)</f>
        <v/>
      </c>
      <c r="X206" s="73" t="str">
        <f>_xlfn.XLOOKUP(B206,'New Projects'!D:D,'New Projects'!C:C,"",0)</f>
        <v/>
      </c>
      <c r="Y206" s="73" t="str">
        <f t="shared" si="9"/>
        <v/>
      </c>
      <c r="Z206" s="74" t="str">
        <f t="shared" si="10"/>
        <v>Missing</v>
      </c>
      <c r="AA206" s="74" t="str">
        <f t="shared" si="11"/>
        <v>Critical</v>
      </c>
    </row>
    <row r="207" spans="1:27" x14ac:dyDescent="0.2">
      <c r="A207" s="103" t="s">
        <v>401</v>
      </c>
      <c r="B207" s="103" t="s">
        <v>402</v>
      </c>
      <c r="D207" s="103">
        <v>114.75</v>
      </c>
      <c r="E207" s="103">
        <v>114.75</v>
      </c>
      <c r="F207" s="103">
        <v>114.75</v>
      </c>
      <c r="G207" s="103">
        <v>114.75</v>
      </c>
      <c r="H207" s="103" t="s">
        <v>1567</v>
      </c>
      <c r="I207" s="103" t="s">
        <v>1597</v>
      </c>
      <c r="J207" s="103" t="s">
        <v>35</v>
      </c>
      <c r="K207" s="103" t="s">
        <v>766</v>
      </c>
      <c r="L207" s="103" t="s">
        <v>57</v>
      </c>
      <c r="M207" s="103" t="s">
        <v>43</v>
      </c>
      <c r="N207" s="103" t="s">
        <v>68</v>
      </c>
      <c r="O207" s="103" t="s">
        <v>767</v>
      </c>
      <c r="Q207" s="118" t="s">
        <v>1598</v>
      </c>
      <c r="R207" s="118" t="s">
        <v>1599</v>
      </c>
      <c r="U207" s="103">
        <v>459</v>
      </c>
      <c r="V207" s="73" t="str">
        <f>_xlfn.XLOOKUP(B207,'Non-Projects (RUN-BAU)'!C:C,'Non-Projects (RUN-BAU)'!B:B,"",0)</f>
        <v/>
      </c>
      <c r="W207" s="73" t="str">
        <f>_xlfn.XLOOKUP(A207,'Ongoing Projects'!B:B,'Ongoing Projects'!B:B,"",0)</f>
        <v/>
      </c>
      <c r="X207" s="73" t="str">
        <f>_xlfn.XLOOKUP(B207,'New Projects'!D:D,'New Projects'!C:C,"",0)</f>
        <v/>
      </c>
      <c r="Y207" s="73" t="str">
        <f t="shared" si="9"/>
        <v/>
      </c>
      <c r="Z207" s="74" t="str">
        <f t="shared" si="10"/>
        <v>Missing</v>
      </c>
      <c r="AA207" s="74" t="str">
        <f t="shared" si="11"/>
        <v>Critical</v>
      </c>
    </row>
    <row r="208" spans="1:27" x14ac:dyDescent="0.2">
      <c r="A208" s="103" t="s">
        <v>416</v>
      </c>
      <c r="B208" s="103" t="s">
        <v>417</v>
      </c>
      <c r="D208" s="103">
        <v>71.75</v>
      </c>
      <c r="E208" s="103">
        <v>71.75</v>
      </c>
      <c r="F208" s="103">
        <v>71.75</v>
      </c>
      <c r="G208" s="103">
        <v>71.75</v>
      </c>
      <c r="H208" s="103" t="s">
        <v>1567</v>
      </c>
      <c r="I208" s="103" t="s">
        <v>1597</v>
      </c>
      <c r="J208" s="103" t="s">
        <v>35</v>
      </c>
      <c r="K208" s="103" t="s">
        <v>766</v>
      </c>
      <c r="L208" s="103" t="s">
        <v>57</v>
      </c>
      <c r="M208" s="103" t="s">
        <v>43</v>
      </c>
      <c r="N208" s="103" t="s">
        <v>68</v>
      </c>
      <c r="O208" s="103" t="s">
        <v>767</v>
      </c>
      <c r="Q208" s="118" t="s">
        <v>1598</v>
      </c>
      <c r="R208" s="118" t="s">
        <v>1599</v>
      </c>
      <c r="U208" s="103">
        <v>287</v>
      </c>
      <c r="V208" s="73" t="str">
        <f>_xlfn.XLOOKUP(B208,'Non-Projects (RUN-BAU)'!C:C,'Non-Projects (RUN-BAU)'!B:B,"",0)</f>
        <v/>
      </c>
      <c r="W208" s="73" t="str">
        <f>_xlfn.XLOOKUP(A208,'Ongoing Projects'!B:B,'Ongoing Projects'!B:B,"",0)</f>
        <v/>
      </c>
      <c r="X208" s="73" t="str">
        <f>_xlfn.XLOOKUP(B208,'New Projects'!D:D,'New Projects'!C:C,"",0)</f>
        <v/>
      </c>
      <c r="Y208" s="73" t="str">
        <f t="shared" si="9"/>
        <v/>
      </c>
      <c r="Z208" s="74" t="str">
        <f t="shared" si="10"/>
        <v>Missing</v>
      </c>
      <c r="AA208" s="74" t="str">
        <f t="shared" si="11"/>
        <v>Critical</v>
      </c>
    </row>
    <row r="209" spans="1:27" x14ac:dyDescent="0.2">
      <c r="A209" s="103" t="s">
        <v>422</v>
      </c>
      <c r="B209" s="103" t="s">
        <v>423</v>
      </c>
      <c r="D209" s="103">
        <v>0</v>
      </c>
      <c r="E209" s="103">
        <v>60</v>
      </c>
      <c r="F209" s="103">
        <v>160</v>
      </c>
      <c r="G209" s="103">
        <v>200</v>
      </c>
      <c r="H209" s="103" t="s">
        <v>774</v>
      </c>
      <c r="I209" s="103" t="s">
        <v>1597</v>
      </c>
      <c r="J209" s="103" t="s">
        <v>35</v>
      </c>
      <c r="K209" s="103" t="s">
        <v>766</v>
      </c>
      <c r="L209" s="103" t="s">
        <v>57</v>
      </c>
      <c r="M209" s="103" t="s">
        <v>41</v>
      </c>
      <c r="N209" s="103" t="s">
        <v>68</v>
      </c>
      <c r="O209" s="103" t="s">
        <v>767</v>
      </c>
      <c r="Q209" s="118" t="s">
        <v>1601</v>
      </c>
      <c r="R209" s="118" t="s">
        <v>1599</v>
      </c>
      <c r="U209" s="103">
        <v>420</v>
      </c>
      <c r="V209" s="73" t="str">
        <f>_xlfn.XLOOKUP(B209,'Non-Projects (RUN-BAU)'!C:C,'Non-Projects (RUN-BAU)'!B:B,"",0)</f>
        <v/>
      </c>
      <c r="W209" s="73" t="str">
        <f>_xlfn.XLOOKUP(A209,'Ongoing Projects'!B:B,'Ongoing Projects'!B:B,"",0)</f>
        <v/>
      </c>
      <c r="X209" s="73" t="str">
        <f>_xlfn.XLOOKUP(B209,'New Projects'!D:D,'New Projects'!C:C,"",0)</f>
        <v/>
      </c>
      <c r="Y209" s="73" t="str">
        <f t="shared" si="9"/>
        <v/>
      </c>
      <c r="Z209" s="74" t="str">
        <f t="shared" si="10"/>
        <v>Missing</v>
      </c>
      <c r="AA209" s="74" t="str">
        <f t="shared" si="11"/>
        <v>Critical</v>
      </c>
    </row>
    <row r="210" spans="1:27" x14ac:dyDescent="0.2">
      <c r="A210" s="103" t="s">
        <v>445</v>
      </c>
      <c r="B210" s="103" t="s">
        <v>446</v>
      </c>
      <c r="D210" s="103">
        <v>0</v>
      </c>
      <c r="E210" s="103">
        <v>0</v>
      </c>
      <c r="F210" s="103">
        <v>100</v>
      </c>
      <c r="G210" s="103">
        <v>100</v>
      </c>
      <c r="H210" s="103" t="s">
        <v>839</v>
      </c>
      <c r="I210" s="103" t="s">
        <v>1597</v>
      </c>
      <c r="J210" s="103" t="s">
        <v>889</v>
      </c>
      <c r="K210" s="103" t="s">
        <v>1473</v>
      </c>
      <c r="L210" s="103" t="s">
        <v>57</v>
      </c>
      <c r="M210" s="103" t="s">
        <v>41</v>
      </c>
      <c r="N210" s="103" t="s">
        <v>95</v>
      </c>
      <c r="O210" s="103" t="s">
        <v>767</v>
      </c>
      <c r="Q210" s="118" t="s">
        <v>1607</v>
      </c>
      <c r="R210" s="118" t="s">
        <v>1599</v>
      </c>
      <c r="U210" s="103">
        <v>200</v>
      </c>
      <c r="V210" s="73" t="str">
        <f>_xlfn.XLOOKUP(B210,'Non-Projects (RUN-BAU)'!C:C,'Non-Projects (RUN-BAU)'!B:B,"",0)</f>
        <v/>
      </c>
      <c r="W210" s="73" t="str">
        <f>_xlfn.XLOOKUP(A210,'Ongoing Projects'!B:B,'Ongoing Projects'!B:B,"",0)</f>
        <v/>
      </c>
      <c r="X210" s="73" t="str">
        <f>_xlfn.XLOOKUP(B210,'New Projects'!D:D,'New Projects'!C:C,"",0)</f>
        <v/>
      </c>
      <c r="Y210" s="73" t="str">
        <f t="shared" si="9"/>
        <v/>
      </c>
      <c r="Z210" s="74" t="str">
        <f t="shared" si="10"/>
        <v>Missing</v>
      </c>
      <c r="AA210" s="74" t="str">
        <f t="shared" si="11"/>
        <v>Critical</v>
      </c>
    </row>
    <row r="211" spans="1:27" x14ac:dyDescent="0.2">
      <c r="A211" s="103" t="s">
        <v>529</v>
      </c>
      <c r="B211" s="103" t="s">
        <v>530</v>
      </c>
      <c r="D211" s="103">
        <v>0</v>
      </c>
      <c r="E211" s="103">
        <v>0</v>
      </c>
      <c r="F211" s="103">
        <v>0</v>
      </c>
      <c r="G211" s="103">
        <v>145</v>
      </c>
      <c r="H211" s="103" t="s">
        <v>839</v>
      </c>
      <c r="I211" s="103" t="s">
        <v>1597</v>
      </c>
      <c r="J211" s="103" t="s">
        <v>23</v>
      </c>
      <c r="K211" s="103" t="s">
        <v>1618</v>
      </c>
      <c r="L211" s="103" t="s">
        <v>59</v>
      </c>
      <c r="M211" s="103" t="s">
        <v>43</v>
      </c>
      <c r="N211" s="103" t="s">
        <v>71</v>
      </c>
      <c r="O211" s="103" t="s">
        <v>767</v>
      </c>
      <c r="Q211" s="118" t="s">
        <v>1604</v>
      </c>
      <c r="R211" s="118" t="s">
        <v>1599</v>
      </c>
      <c r="U211" s="103">
        <v>145</v>
      </c>
      <c r="V211" s="73" t="str">
        <f>_xlfn.XLOOKUP(B211,'Non-Projects (RUN-BAU)'!C:C,'Non-Projects (RUN-BAU)'!B:B,"",0)</f>
        <v/>
      </c>
      <c r="W211" s="73" t="str">
        <f>_xlfn.XLOOKUP(A211,'Ongoing Projects'!B:B,'Ongoing Projects'!B:B,"",0)</f>
        <v/>
      </c>
      <c r="X211" s="73" t="str">
        <f>_xlfn.XLOOKUP(B211,'New Projects'!D:D,'New Projects'!C:C,"",0)</f>
        <v/>
      </c>
      <c r="Y211" s="73" t="str">
        <f t="shared" si="9"/>
        <v/>
      </c>
      <c r="Z211" s="74" t="str">
        <f t="shared" si="10"/>
        <v>Missing</v>
      </c>
      <c r="AA211" s="74" t="str">
        <f t="shared" si="11"/>
        <v>Critical</v>
      </c>
    </row>
    <row r="212" spans="1:27" x14ac:dyDescent="0.2">
      <c r="A212" s="103" t="s">
        <v>531</v>
      </c>
      <c r="B212" s="103" t="s">
        <v>532</v>
      </c>
      <c r="D212" s="103">
        <v>170</v>
      </c>
      <c r="E212" s="103">
        <v>0</v>
      </c>
      <c r="F212" s="103">
        <v>0</v>
      </c>
      <c r="G212" s="103">
        <v>0</v>
      </c>
      <c r="H212" s="103" t="s">
        <v>839</v>
      </c>
      <c r="I212" s="103" t="s">
        <v>1597</v>
      </c>
      <c r="J212" s="103" t="s">
        <v>23</v>
      </c>
      <c r="K212" s="103" t="s">
        <v>1618</v>
      </c>
      <c r="L212" s="103" t="s">
        <v>59</v>
      </c>
      <c r="M212" s="103" t="s">
        <v>43</v>
      </c>
      <c r="N212" s="103" t="s">
        <v>71</v>
      </c>
      <c r="O212" s="103" t="s">
        <v>767</v>
      </c>
      <c r="Q212" s="118" t="s">
        <v>1598</v>
      </c>
      <c r="R212" s="118" t="s">
        <v>1610</v>
      </c>
      <c r="U212" s="103">
        <v>170</v>
      </c>
      <c r="V212" s="73" t="str">
        <f>_xlfn.XLOOKUP(B212,'Non-Projects (RUN-BAU)'!C:C,'Non-Projects (RUN-BAU)'!B:B,"",0)</f>
        <v/>
      </c>
      <c r="W212" s="73" t="str">
        <f>_xlfn.XLOOKUP(A212,'Ongoing Projects'!B:B,'Ongoing Projects'!B:B,"",0)</f>
        <v/>
      </c>
      <c r="X212" s="73" t="str">
        <f>_xlfn.XLOOKUP(B212,'New Projects'!D:D,'New Projects'!C:C,"",0)</f>
        <v/>
      </c>
      <c r="Y212" s="73" t="str">
        <f t="shared" ref="Y212:Y275" si="12">V212&amp;W212&amp;X212</f>
        <v/>
      </c>
      <c r="Z212" s="74" t="str">
        <f t="shared" ref="Z212:Z275" si="13">IF(AND(V212="",W212="",X212=""),"Missing",IF(Y212=A212,"","Don't match"))</f>
        <v>Missing</v>
      </c>
      <c r="AA212" s="74" t="str">
        <f t="shared" ref="AA212:AA275" si="14">IF(AND(Z212&lt;&gt;"",SUM(D212:G212)&lt;&gt;0,I212&lt;&gt;"Not Acceptance"),"Critical", "")</f>
        <v>Critical</v>
      </c>
    </row>
    <row r="213" spans="1:27" x14ac:dyDescent="0.2">
      <c r="A213" s="103" t="s">
        <v>554</v>
      </c>
      <c r="B213" s="103" t="s">
        <v>555</v>
      </c>
      <c r="D213" s="103">
        <v>65</v>
      </c>
      <c r="E213" s="103">
        <v>85</v>
      </c>
      <c r="F213" s="103">
        <v>25</v>
      </c>
      <c r="G213" s="103">
        <v>25</v>
      </c>
      <c r="H213" s="103" t="s">
        <v>839</v>
      </c>
      <c r="I213" s="103" t="s">
        <v>1597</v>
      </c>
      <c r="J213" s="103" t="s">
        <v>23</v>
      </c>
      <c r="K213" s="103" t="s">
        <v>1618</v>
      </c>
      <c r="L213" s="103" t="s">
        <v>59</v>
      </c>
      <c r="M213" s="103" t="s">
        <v>43</v>
      </c>
      <c r="N213" s="103" t="s">
        <v>71</v>
      </c>
      <c r="O213" s="103" t="s">
        <v>767</v>
      </c>
      <c r="Q213" s="118" t="s">
        <v>1598</v>
      </c>
      <c r="R213" s="118" t="s">
        <v>1599</v>
      </c>
      <c r="U213" s="103">
        <v>200</v>
      </c>
      <c r="V213" s="73" t="str">
        <f>_xlfn.XLOOKUP(B213,'Non-Projects (RUN-BAU)'!C:C,'Non-Projects (RUN-BAU)'!B:B,"",0)</f>
        <v/>
      </c>
      <c r="W213" s="73" t="str">
        <f>_xlfn.XLOOKUP(A213,'Ongoing Projects'!B:B,'Ongoing Projects'!B:B,"",0)</f>
        <v/>
      </c>
      <c r="X213" s="73" t="str">
        <f>_xlfn.XLOOKUP(B213,'New Projects'!D:D,'New Projects'!C:C,"",0)</f>
        <v/>
      </c>
      <c r="Y213" s="73" t="str">
        <f t="shared" si="12"/>
        <v/>
      </c>
      <c r="Z213" s="74" t="str">
        <f t="shared" si="13"/>
        <v>Missing</v>
      </c>
      <c r="AA213" s="74" t="str">
        <f t="shared" si="14"/>
        <v>Critical</v>
      </c>
    </row>
    <row r="214" spans="1:27" x14ac:dyDescent="0.2">
      <c r="A214" s="103" t="s">
        <v>637</v>
      </c>
      <c r="B214" s="103" t="s">
        <v>638</v>
      </c>
      <c r="D214" s="103">
        <v>0</v>
      </c>
      <c r="E214" s="103">
        <v>260</v>
      </c>
      <c r="F214" s="103">
        <v>260</v>
      </c>
      <c r="G214" s="103">
        <v>290</v>
      </c>
      <c r="H214" s="103" t="s">
        <v>1246</v>
      </c>
      <c r="I214" s="103" t="s">
        <v>1597</v>
      </c>
      <c r="J214" s="103" t="s">
        <v>13</v>
      </c>
      <c r="K214" s="103" t="s">
        <v>1241</v>
      </c>
      <c r="L214" s="103" t="s">
        <v>46</v>
      </c>
      <c r="M214" s="103" t="s">
        <v>22</v>
      </c>
      <c r="N214" s="103" t="s">
        <v>74</v>
      </c>
      <c r="O214" s="103" t="s">
        <v>305</v>
      </c>
      <c r="Q214" s="118" t="s">
        <v>1601</v>
      </c>
      <c r="R214" s="118" t="s">
        <v>1599</v>
      </c>
      <c r="U214" s="103">
        <v>810</v>
      </c>
      <c r="V214" s="73" t="str">
        <f>_xlfn.XLOOKUP(B214,'Non-Projects (RUN-BAU)'!C:C,'Non-Projects (RUN-BAU)'!B:B,"",0)</f>
        <v/>
      </c>
      <c r="W214" s="73" t="str">
        <f>_xlfn.XLOOKUP(A214,'Ongoing Projects'!B:B,'Ongoing Projects'!B:B,"",0)</f>
        <v/>
      </c>
      <c r="X214" s="73" t="str">
        <f>_xlfn.XLOOKUP(B214,'New Projects'!D:D,'New Projects'!C:C,"",0)</f>
        <v/>
      </c>
      <c r="Y214" s="73" t="str">
        <f t="shared" si="12"/>
        <v/>
      </c>
      <c r="Z214" s="74" t="str">
        <f t="shared" si="13"/>
        <v>Missing</v>
      </c>
      <c r="AA214" s="74" t="str">
        <f t="shared" si="14"/>
        <v>Critical</v>
      </c>
    </row>
    <row r="215" spans="1:27" x14ac:dyDescent="0.2">
      <c r="A215" s="103" t="s">
        <v>639</v>
      </c>
      <c r="B215" s="103" t="s">
        <v>640</v>
      </c>
      <c r="D215" s="103">
        <v>0</v>
      </c>
      <c r="E215" s="103">
        <v>105</v>
      </c>
      <c r="F215" s="103">
        <v>60</v>
      </c>
      <c r="G215" s="103">
        <v>105</v>
      </c>
      <c r="H215" s="103" t="s">
        <v>1246</v>
      </c>
      <c r="I215" s="103" t="s">
        <v>1597</v>
      </c>
      <c r="J215" s="103" t="s">
        <v>13</v>
      </c>
      <c r="K215" s="103" t="s">
        <v>1241</v>
      </c>
      <c r="L215" s="103" t="s">
        <v>46</v>
      </c>
      <c r="M215" s="103" t="s">
        <v>41</v>
      </c>
      <c r="N215" s="103" t="s">
        <v>74</v>
      </c>
      <c r="O215" s="103" t="s">
        <v>305</v>
      </c>
      <c r="Q215" s="118" t="s">
        <v>1601</v>
      </c>
      <c r="R215" s="118" t="s">
        <v>1599</v>
      </c>
      <c r="U215" s="103">
        <v>270</v>
      </c>
      <c r="V215" s="73" t="str">
        <f>_xlfn.XLOOKUP(B215,'Non-Projects (RUN-BAU)'!C:C,'Non-Projects (RUN-BAU)'!B:B,"",0)</f>
        <v/>
      </c>
      <c r="W215" s="73" t="str">
        <f>_xlfn.XLOOKUP(A215,'Ongoing Projects'!B:B,'Ongoing Projects'!B:B,"",0)</f>
        <v/>
      </c>
      <c r="X215" s="73" t="str">
        <f>_xlfn.XLOOKUP(B215,'New Projects'!D:D,'New Projects'!C:C,"",0)</f>
        <v/>
      </c>
      <c r="Y215" s="73" t="str">
        <f t="shared" si="12"/>
        <v/>
      </c>
      <c r="Z215" s="74" t="str">
        <f t="shared" si="13"/>
        <v>Missing</v>
      </c>
      <c r="AA215" s="74" t="str">
        <f t="shared" si="14"/>
        <v>Critical</v>
      </c>
    </row>
    <row r="216" spans="1:27" x14ac:dyDescent="0.2">
      <c r="A216" s="103" t="s">
        <v>697</v>
      </c>
      <c r="B216" s="103" t="s">
        <v>698</v>
      </c>
      <c r="C216" s="103" t="s">
        <v>1970</v>
      </c>
      <c r="D216" s="103">
        <v>186.22499999999999</v>
      </c>
      <c r="E216" s="103">
        <v>186.22499999999999</v>
      </c>
      <c r="F216" s="103">
        <v>186.22499999999999</v>
      </c>
      <c r="G216" s="103">
        <v>186.22499999999999</v>
      </c>
      <c r="H216" s="103" t="s">
        <v>1567</v>
      </c>
      <c r="I216" s="103" t="s">
        <v>1597</v>
      </c>
      <c r="J216" s="103" t="s">
        <v>35</v>
      </c>
      <c r="K216" s="103" t="s">
        <v>766</v>
      </c>
      <c r="L216" s="103" t="s">
        <v>57</v>
      </c>
      <c r="M216" s="103" t="s">
        <v>43</v>
      </c>
      <c r="N216" s="103" t="s">
        <v>68</v>
      </c>
      <c r="O216" s="103" t="s">
        <v>767</v>
      </c>
      <c r="Q216" s="118" t="s">
        <v>1598</v>
      </c>
      <c r="R216" s="118" t="s">
        <v>1599</v>
      </c>
      <c r="U216" s="103">
        <v>744.9</v>
      </c>
      <c r="V216" s="73" t="str">
        <f>_xlfn.XLOOKUP(B216,'Non-Projects (RUN-BAU)'!C:C,'Non-Projects (RUN-BAU)'!B:B,"",0)</f>
        <v/>
      </c>
      <c r="W216" s="73" t="str">
        <f>_xlfn.XLOOKUP(A216,'Ongoing Projects'!B:B,'Ongoing Projects'!B:B,"",0)</f>
        <v/>
      </c>
      <c r="X216" s="73" t="str">
        <f>_xlfn.XLOOKUP(B216,'New Projects'!D:D,'New Projects'!C:C,"",0)</f>
        <v/>
      </c>
      <c r="Y216" s="73" t="str">
        <f t="shared" si="12"/>
        <v/>
      </c>
      <c r="Z216" s="74" t="str">
        <f t="shared" si="13"/>
        <v>Missing</v>
      </c>
      <c r="AA216" s="74" t="str">
        <f t="shared" si="14"/>
        <v>Critical</v>
      </c>
    </row>
    <row r="217" spans="1:27" x14ac:dyDescent="0.2">
      <c r="A217" s="103" t="s">
        <v>331</v>
      </c>
      <c r="B217" s="103" t="s">
        <v>332</v>
      </c>
      <c r="D217" s="103">
        <v>100</v>
      </c>
      <c r="E217" s="103">
        <v>0</v>
      </c>
      <c r="F217" s="103">
        <v>0</v>
      </c>
      <c r="G217" s="103">
        <v>0</v>
      </c>
      <c r="H217" s="103" t="s">
        <v>985</v>
      </c>
      <c r="I217" s="103" t="s">
        <v>1597</v>
      </c>
      <c r="J217" s="103" t="s">
        <v>13</v>
      </c>
      <c r="K217" s="103" t="s">
        <v>984</v>
      </c>
      <c r="L217" s="103" t="s">
        <v>1944</v>
      </c>
      <c r="M217" s="103" t="s">
        <v>22</v>
      </c>
      <c r="N217" s="103" t="s">
        <v>64</v>
      </c>
      <c r="O217" s="103" t="s">
        <v>934</v>
      </c>
      <c r="Q217" s="118" t="s">
        <v>1598</v>
      </c>
      <c r="R217" s="118" t="s">
        <v>1610</v>
      </c>
      <c r="S217" s="103" t="s">
        <v>1971</v>
      </c>
      <c r="U217" s="103">
        <v>100</v>
      </c>
      <c r="V217" s="73" t="str">
        <f>_xlfn.XLOOKUP(B217,'Non-Projects (RUN-BAU)'!C:C,'Non-Projects (RUN-BAU)'!B:B,"",0)</f>
        <v/>
      </c>
      <c r="W217" s="73" t="str">
        <f>_xlfn.XLOOKUP(A217,'Ongoing Projects'!B:B,'Ongoing Projects'!B:B,"",0)</f>
        <v/>
      </c>
      <c r="X217" s="73" t="str">
        <f>_xlfn.XLOOKUP(B217,'New Projects'!D:D,'New Projects'!C:C,"",0)</f>
        <v/>
      </c>
      <c r="Y217" s="73" t="str">
        <f t="shared" si="12"/>
        <v/>
      </c>
      <c r="Z217" s="74" t="str">
        <f t="shared" si="13"/>
        <v>Missing</v>
      </c>
      <c r="AA217" s="74" t="str">
        <f t="shared" si="14"/>
        <v>Critical</v>
      </c>
    </row>
    <row r="218" spans="1:27" x14ac:dyDescent="0.2">
      <c r="A218" s="103" t="s">
        <v>618</v>
      </c>
      <c r="B218" s="103" t="s">
        <v>619</v>
      </c>
      <c r="D218" s="103">
        <v>100</v>
      </c>
      <c r="E218" s="103">
        <v>125</v>
      </c>
      <c r="F218" s="103">
        <v>125</v>
      </c>
      <c r="G218" s="103">
        <v>100</v>
      </c>
      <c r="H218" s="103" t="s">
        <v>1609</v>
      </c>
      <c r="I218" s="103" t="s">
        <v>1597</v>
      </c>
      <c r="J218" s="103" t="s">
        <v>20</v>
      </c>
      <c r="K218" s="103" t="s">
        <v>750</v>
      </c>
      <c r="L218" s="103" t="s">
        <v>61</v>
      </c>
      <c r="M218" s="103" t="s">
        <v>41</v>
      </c>
      <c r="N218" s="103" t="s">
        <v>64</v>
      </c>
      <c r="O218" s="103" t="s">
        <v>305</v>
      </c>
      <c r="Q218" s="118" t="s">
        <v>1598</v>
      </c>
      <c r="R218" s="118" t="s">
        <v>1599</v>
      </c>
      <c r="U218" s="103">
        <v>450</v>
      </c>
      <c r="V218" s="73" t="str">
        <f>_xlfn.XLOOKUP(B218,'Non-Projects (RUN-BAU)'!C:C,'Non-Projects (RUN-BAU)'!B:B,"",0)</f>
        <v/>
      </c>
      <c r="W218" s="73" t="str">
        <f>_xlfn.XLOOKUP(A218,'Ongoing Projects'!B:B,'Ongoing Projects'!B:B,"",0)</f>
        <v/>
      </c>
      <c r="X218" s="73" t="str">
        <f>_xlfn.XLOOKUP(B218,'New Projects'!D:D,'New Projects'!C:C,"",0)</f>
        <v/>
      </c>
      <c r="Y218" s="73" t="str">
        <f t="shared" si="12"/>
        <v/>
      </c>
      <c r="Z218" s="74" t="str">
        <f t="shared" si="13"/>
        <v>Missing</v>
      </c>
      <c r="AA218" s="74" t="str">
        <f t="shared" si="14"/>
        <v>Critical</v>
      </c>
    </row>
    <row r="219" spans="1:27" x14ac:dyDescent="0.2">
      <c r="A219" s="103" t="s">
        <v>635</v>
      </c>
      <c r="B219" s="103" t="s">
        <v>636</v>
      </c>
      <c r="D219" s="103">
        <v>25</v>
      </c>
      <c r="E219" s="103">
        <v>25</v>
      </c>
      <c r="F219" s="103">
        <v>25</v>
      </c>
      <c r="G219" s="103">
        <v>25</v>
      </c>
      <c r="H219" s="103" t="s">
        <v>1246</v>
      </c>
      <c r="I219" s="103" t="s">
        <v>1597</v>
      </c>
      <c r="J219" s="103" t="s">
        <v>13</v>
      </c>
      <c r="K219" s="103" t="s">
        <v>1241</v>
      </c>
      <c r="L219" s="103" t="s">
        <v>49</v>
      </c>
      <c r="M219" s="103" t="s">
        <v>41</v>
      </c>
      <c r="N219" s="103" t="s">
        <v>74</v>
      </c>
      <c r="O219" s="103" t="s">
        <v>305</v>
      </c>
      <c r="Q219" s="118" t="s">
        <v>1598</v>
      </c>
      <c r="R219" s="118" t="s">
        <v>1599</v>
      </c>
      <c r="U219" s="103">
        <v>100</v>
      </c>
      <c r="V219" s="73" t="str">
        <f>_xlfn.XLOOKUP(B219,'Non-Projects (RUN-BAU)'!C:C,'Non-Projects (RUN-BAU)'!B:B,"",0)</f>
        <v/>
      </c>
      <c r="W219" s="73" t="str">
        <f>_xlfn.XLOOKUP(A219,'Ongoing Projects'!B:B,'Ongoing Projects'!B:B,"",0)</f>
        <v/>
      </c>
      <c r="X219" s="73" t="str">
        <f>_xlfn.XLOOKUP(B219,'New Projects'!D:D,'New Projects'!C:C,"",0)</f>
        <v/>
      </c>
      <c r="Y219" s="73" t="str">
        <f t="shared" si="12"/>
        <v/>
      </c>
      <c r="Z219" s="74" t="str">
        <f t="shared" si="13"/>
        <v>Missing</v>
      </c>
      <c r="AA219" s="74" t="str">
        <f t="shared" si="14"/>
        <v>Critical</v>
      </c>
    </row>
    <row r="220" spans="1:27" x14ac:dyDescent="0.2">
      <c r="A220" s="103" t="s">
        <v>675</v>
      </c>
      <c r="B220" s="103" t="s">
        <v>676</v>
      </c>
      <c r="D220" s="103">
        <v>50</v>
      </c>
      <c r="E220" s="103">
        <v>0</v>
      </c>
      <c r="F220" s="103">
        <v>0</v>
      </c>
      <c r="G220" s="103">
        <v>0</v>
      </c>
      <c r="H220" s="103" t="s">
        <v>1609</v>
      </c>
      <c r="I220" s="103" t="s">
        <v>1597</v>
      </c>
      <c r="J220" s="103" t="s">
        <v>20</v>
      </c>
      <c r="K220" s="103" t="s">
        <v>750</v>
      </c>
      <c r="L220" s="103" t="s">
        <v>61</v>
      </c>
      <c r="M220" s="103" t="s">
        <v>41</v>
      </c>
      <c r="N220" s="103" t="s">
        <v>64</v>
      </c>
      <c r="Q220" s="118" t="s">
        <v>1598</v>
      </c>
      <c r="R220" s="118" t="s">
        <v>1610</v>
      </c>
      <c r="S220" s="103" t="s">
        <v>1972</v>
      </c>
      <c r="U220" s="103">
        <v>50</v>
      </c>
      <c r="V220" s="73" t="str">
        <f>_xlfn.XLOOKUP(B220,'Non-Projects (RUN-BAU)'!C:C,'Non-Projects (RUN-BAU)'!B:B,"",0)</f>
        <v/>
      </c>
      <c r="W220" s="73" t="str">
        <f>_xlfn.XLOOKUP(A220,'Ongoing Projects'!B:B,'Ongoing Projects'!B:B,"",0)</f>
        <v/>
      </c>
      <c r="X220" s="73" t="str">
        <f>_xlfn.XLOOKUP(B220,'New Projects'!D:D,'New Projects'!C:C,"",0)</f>
        <v/>
      </c>
      <c r="Y220" s="73" t="str">
        <f t="shared" si="12"/>
        <v/>
      </c>
      <c r="Z220" s="74" t="str">
        <f t="shared" si="13"/>
        <v>Missing</v>
      </c>
      <c r="AA220" s="74" t="str">
        <f t="shared" si="14"/>
        <v>Critical</v>
      </c>
    </row>
    <row r="221" spans="1:27" x14ac:dyDescent="0.2">
      <c r="A221" s="103" t="s">
        <v>1973</v>
      </c>
      <c r="B221" s="103" t="s">
        <v>1974</v>
      </c>
      <c r="C221" s="103" t="s">
        <v>1863</v>
      </c>
      <c r="D221" s="103">
        <v>2</v>
      </c>
      <c r="E221" s="103">
        <v>3</v>
      </c>
      <c r="F221" s="103">
        <v>2</v>
      </c>
      <c r="G221" s="103">
        <v>3</v>
      </c>
      <c r="H221" s="103" t="s">
        <v>1975</v>
      </c>
      <c r="I221" s="103" t="s">
        <v>1945</v>
      </c>
      <c r="M221" s="103" t="s">
        <v>305</v>
      </c>
      <c r="N221" s="103" t="s">
        <v>95</v>
      </c>
      <c r="O221" s="103" t="s">
        <v>305</v>
      </c>
      <c r="Q221" s="118" t="s">
        <v>1598</v>
      </c>
      <c r="R221" s="118" t="s">
        <v>1599</v>
      </c>
      <c r="U221" s="103">
        <v>0</v>
      </c>
      <c r="V221" s="73" t="str">
        <f>_xlfn.XLOOKUP(B221,'Non-Projects (RUN-BAU)'!C:C,'Non-Projects (RUN-BAU)'!B:B,"",0)</f>
        <v/>
      </c>
      <c r="W221" s="73" t="str">
        <f>_xlfn.XLOOKUP(A221,'Ongoing Projects'!B:B,'Ongoing Projects'!B:B,"",0)</f>
        <v/>
      </c>
      <c r="X221" s="73" t="str">
        <f>_xlfn.XLOOKUP(B221,'New Projects'!D:D,'New Projects'!C:C,"",0)</f>
        <v/>
      </c>
      <c r="Y221" s="73" t="str">
        <f t="shared" si="12"/>
        <v/>
      </c>
      <c r="Z221" s="74" t="str">
        <f t="shared" si="13"/>
        <v>Missing</v>
      </c>
      <c r="AA221" s="74" t="str">
        <f t="shared" si="14"/>
        <v/>
      </c>
    </row>
    <row r="222" spans="1:27" x14ac:dyDescent="0.2">
      <c r="A222" s="103" t="s">
        <v>1735</v>
      </c>
      <c r="B222" s="103" t="s">
        <v>1532</v>
      </c>
      <c r="D222" s="103">
        <v>0</v>
      </c>
      <c r="E222" s="103">
        <v>0</v>
      </c>
      <c r="F222" s="103">
        <v>0</v>
      </c>
      <c r="G222" s="103">
        <v>0</v>
      </c>
      <c r="H222" s="103" t="s">
        <v>1603</v>
      </c>
      <c r="I222" s="103" t="s">
        <v>1597</v>
      </c>
      <c r="J222" s="103" t="s">
        <v>732</v>
      </c>
      <c r="K222" s="103" t="s">
        <v>810</v>
      </c>
      <c r="L222" s="103" t="s">
        <v>1736</v>
      </c>
      <c r="N222" s="103" t="s">
        <v>71</v>
      </c>
      <c r="Q222" s="118" t="s">
        <v>3851</v>
      </c>
      <c r="R222" s="118" t="s">
        <v>1605</v>
      </c>
      <c r="U222" s="103">
        <v>0</v>
      </c>
      <c r="V222" s="73" t="str">
        <f>_xlfn.XLOOKUP(B222,'Non-Projects (RUN-BAU)'!C:C,'Non-Projects (RUN-BAU)'!B:B,"",0)</f>
        <v/>
      </c>
      <c r="W222" s="73" t="str">
        <f>_xlfn.XLOOKUP(A222,'Ongoing Projects'!B:B,'Ongoing Projects'!B:B,"",0)</f>
        <v/>
      </c>
      <c r="X222" s="73" t="str">
        <f>_xlfn.XLOOKUP(B222,'New Projects'!D:D,'New Projects'!C:C,"",0)</f>
        <v/>
      </c>
      <c r="Y222" s="73" t="str">
        <f t="shared" si="12"/>
        <v/>
      </c>
      <c r="Z222" s="74" t="str">
        <f t="shared" si="13"/>
        <v>Missing</v>
      </c>
      <c r="AA222" s="74" t="str">
        <f t="shared" si="14"/>
        <v/>
      </c>
    </row>
    <row r="223" spans="1:27" x14ac:dyDescent="0.2">
      <c r="A223" s="103" t="s">
        <v>1738</v>
      </c>
      <c r="B223" s="103" t="s">
        <v>1534</v>
      </c>
      <c r="C223" s="103" t="s">
        <v>1976</v>
      </c>
      <c r="D223" s="103">
        <v>156.75</v>
      </c>
      <c r="E223" s="103">
        <v>156.75</v>
      </c>
      <c r="F223" s="103">
        <v>140.25</v>
      </c>
      <c r="G223" s="103">
        <v>140.25</v>
      </c>
      <c r="H223" s="103" t="s">
        <v>1977</v>
      </c>
      <c r="I223" s="103" t="s">
        <v>1736</v>
      </c>
      <c r="J223" s="103" t="s">
        <v>37</v>
      </c>
      <c r="K223" s="103" t="s">
        <v>1618</v>
      </c>
      <c r="L223" s="103" t="s">
        <v>1736</v>
      </c>
      <c r="M223" s="103" t="s">
        <v>305</v>
      </c>
      <c r="N223" s="103" t="s">
        <v>64</v>
      </c>
      <c r="O223" s="103" t="s">
        <v>767</v>
      </c>
      <c r="Q223" s="118" t="s">
        <v>1598</v>
      </c>
      <c r="R223" s="118" t="s">
        <v>1599</v>
      </c>
      <c r="U223" s="103">
        <v>594</v>
      </c>
      <c r="V223" s="73" t="str">
        <f>_xlfn.XLOOKUP(B223,'Non-Projects (RUN-BAU)'!C:C,'Non-Projects (RUN-BAU)'!B:B,"",0)</f>
        <v/>
      </c>
      <c r="W223" s="73" t="str">
        <f>_xlfn.XLOOKUP(A223,'Ongoing Projects'!B:B,'Ongoing Projects'!B:B,"",0)</f>
        <v/>
      </c>
      <c r="X223" s="73" t="str">
        <f>_xlfn.XLOOKUP(B223,'New Projects'!D:D,'New Projects'!C:C,"",0)</f>
        <v/>
      </c>
      <c r="Y223" s="73" t="str">
        <f t="shared" si="12"/>
        <v/>
      </c>
      <c r="Z223" s="74" t="str">
        <f t="shared" si="13"/>
        <v>Missing</v>
      </c>
      <c r="AA223" s="74" t="str">
        <f t="shared" si="14"/>
        <v>Critical</v>
      </c>
    </row>
    <row r="224" spans="1:27" x14ac:dyDescent="0.2">
      <c r="A224" s="103" t="s">
        <v>1740</v>
      </c>
      <c r="B224" s="103" t="s">
        <v>1536</v>
      </c>
      <c r="C224" s="103" t="s">
        <v>1976</v>
      </c>
      <c r="D224" s="103">
        <v>90</v>
      </c>
      <c r="E224" s="103">
        <v>90</v>
      </c>
      <c r="F224" s="103">
        <v>90</v>
      </c>
      <c r="G224" s="103">
        <v>90</v>
      </c>
      <c r="H224" s="103" t="s">
        <v>1977</v>
      </c>
      <c r="I224" s="103" t="s">
        <v>1736</v>
      </c>
      <c r="J224" s="103" t="s">
        <v>37</v>
      </c>
      <c r="K224" s="103" t="s">
        <v>1687</v>
      </c>
      <c r="L224" s="103" t="s">
        <v>1736</v>
      </c>
      <c r="M224" s="103" t="s">
        <v>305</v>
      </c>
      <c r="N224" s="103" t="s">
        <v>64</v>
      </c>
      <c r="O224" s="103" t="s">
        <v>305</v>
      </c>
      <c r="Q224" s="118" t="s">
        <v>1598</v>
      </c>
      <c r="R224" s="118" t="s">
        <v>1599</v>
      </c>
      <c r="U224" s="103">
        <v>360</v>
      </c>
      <c r="V224" s="73" t="str">
        <f>_xlfn.XLOOKUP(B224,'Non-Projects (RUN-BAU)'!C:C,'Non-Projects (RUN-BAU)'!B:B,"",0)</f>
        <v/>
      </c>
      <c r="W224" s="73" t="str">
        <f>_xlfn.XLOOKUP(A224,'Ongoing Projects'!B:B,'Ongoing Projects'!B:B,"",0)</f>
        <v/>
      </c>
      <c r="X224" s="73" t="str">
        <f>_xlfn.XLOOKUP(B224,'New Projects'!D:D,'New Projects'!C:C,"",0)</f>
        <v/>
      </c>
      <c r="Y224" s="73" t="str">
        <f t="shared" si="12"/>
        <v/>
      </c>
      <c r="Z224" s="74" t="str">
        <f t="shared" si="13"/>
        <v>Missing</v>
      </c>
      <c r="AA224" s="74" t="str">
        <f t="shared" si="14"/>
        <v>Critical</v>
      </c>
    </row>
    <row r="225" spans="1:27" x14ac:dyDescent="0.2">
      <c r="A225" s="103" t="s">
        <v>1752</v>
      </c>
      <c r="B225" s="103" t="s">
        <v>1548</v>
      </c>
      <c r="C225" s="103" t="s">
        <v>1976</v>
      </c>
      <c r="D225" s="103">
        <v>88</v>
      </c>
      <c r="E225" s="103">
        <v>88</v>
      </c>
      <c r="F225" s="103">
        <v>88</v>
      </c>
      <c r="G225" s="103">
        <v>88</v>
      </c>
      <c r="H225" s="103" t="s">
        <v>1977</v>
      </c>
      <c r="I225" s="103" t="s">
        <v>1736</v>
      </c>
      <c r="J225" s="103" t="s">
        <v>37</v>
      </c>
      <c r="K225" s="103" t="s">
        <v>1262</v>
      </c>
      <c r="L225" s="103" t="s">
        <v>1736</v>
      </c>
      <c r="M225" s="103" t="s">
        <v>305</v>
      </c>
      <c r="N225" s="103" t="s">
        <v>64</v>
      </c>
      <c r="O225" s="103" t="s">
        <v>305</v>
      </c>
      <c r="Q225" s="118" t="s">
        <v>1598</v>
      </c>
      <c r="R225" s="118" t="s">
        <v>1599</v>
      </c>
      <c r="U225" s="103">
        <v>352</v>
      </c>
      <c r="V225" s="73" t="str">
        <f>_xlfn.XLOOKUP(B225,'Non-Projects (RUN-BAU)'!C:C,'Non-Projects (RUN-BAU)'!B:B,"",0)</f>
        <v/>
      </c>
      <c r="W225" s="73" t="str">
        <f>_xlfn.XLOOKUP(A225,'Ongoing Projects'!B:B,'Ongoing Projects'!B:B,"",0)</f>
        <v/>
      </c>
      <c r="X225" s="73" t="str">
        <f>_xlfn.XLOOKUP(B225,'New Projects'!D:D,'New Projects'!C:C,"",0)</f>
        <v/>
      </c>
      <c r="Y225" s="73" t="str">
        <f t="shared" si="12"/>
        <v/>
      </c>
      <c r="Z225" s="74" t="str">
        <f t="shared" si="13"/>
        <v>Missing</v>
      </c>
      <c r="AA225" s="74" t="str">
        <f t="shared" si="14"/>
        <v>Critical</v>
      </c>
    </row>
    <row r="226" spans="1:27" x14ac:dyDescent="0.2">
      <c r="A226" s="103" t="s">
        <v>1753</v>
      </c>
      <c r="B226" s="103" t="s">
        <v>1549</v>
      </c>
      <c r="D226" s="103">
        <v>0</v>
      </c>
      <c r="E226" s="103">
        <v>0</v>
      </c>
      <c r="F226" s="103">
        <v>0</v>
      </c>
      <c r="G226" s="103">
        <v>0</v>
      </c>
      <c r="I226" s="103" t="s">
        <v>1736</v>
      </c>
      <c r="N226" s="103" t="s">
        <v>95</v>
      </c>
      <c r="Q226" s="118" t="s">
        <v>3851</v>
      </c>
      <c r="R226" s="118" t="s">
        <v>1599</v>
      </c>
      <c r="U226" s="103">
        <v>0</v>
      </c>
      <c r="V226" s="73" t="str">
        <f>_xlfn.XLOOKUP(B226,'Non-Projects (RUN-BAU)'!C:C,'Non-Projects (RUN-BAU)'!B:B,"",0)</f>
        <v/>
      </c>
      <c r="W226" s="73" t="str">
        <f>_xlfn.XLOOKUP(A226,'Ongoing Projects'!B:B,'Ongoing Projects'!B:B,"",0)</f>
        <v/>
      </c>
      <c r="X226" s="73" t="str">
        <f>_xlfn.XLOOKUP(B226,'New Projects'!D:D,'New Projects'!C:C,"",0)</f>
        <v/>
      </c>
      <c r="Y226" s="73" t="str">
        <f t="shared" si="12"/>
        <v/>
      </c>
      <c r="Z226" s="74" t="str">
        <f t="shared" si="13"/>
        <v>Missing</v>
      </c>
      <c r="AA226" s="74" t="str">
        <f t="shared" si="14"/>
        <v/>
      </c>
    </row>
    <row r="227" spans="1:27" x14ac:dyDescent="0.2">
      <c r="A227" s="103" t="s">
        <v>1754</v>
      </c>
      <c r="B227" s="103" t="s">
        <v>1550</v>
      </c>
      <c r="C227" s="103" t="s">
        <v>1976</v>
      </c>
      <c r="D227" s="103">
        <v>806</v>
      </c>
      <c r="E227" s="103">
        <v>806</v>
      </c>
      <c r="F227" s="103">
        <v>806</v>
      </c>
      <c r="G227" s="103">
        <v>806</v>
      </c>
      <c r="H227" s="103" t="s">
        <v>1977</v>
      </c>
      <c r="I227" s="103" t="s">
        <v>1736</v>
      </c>
      <c r="J227" s="103" t="s">
        <v>37</v>
      </c>
      <c r="K227" s="103" t="s">
        <v>1284</v>
      </c>
      <c r="L227" s="103" t="s">
        <v>1736</v>
      </c>
      <c r="M227" s="103" t="s">
        <v>305</v>
      </c>
      <c r="N227" s="103" t="s">
        <v>64</v>
      </c>
      <c r="O227" s="103" t="s">
        <v>305</v>
      </c>
      <c r="Q227" s="118" t="s">
        <v>1598</v>
      </c>
      <c r="R227" s="118" t="s">
        <v>1599</v>
      </c>
      <c r="U227" s="103">
        <v>3224</v>
      </c>
      <c r="V227" s="73" t="str">
        <f>_xlfn.XLOOKUP(B227,'Non-Projects (RUN-BAU)'!C:C,'Non-Projects (RUN-BAU)'!B:B,"",0)</f>
        <v/>
      </c>
      <c r="W227" s="73" t="str">
        <f>_xlfn.XLOOKUP(A227,'Ongoing Projects'!B:B,'Ongoing Projects'!B:B,"",0)</f>
        <v/>
      </c>
      <c r="X227" s="73" t="str">
        <f>_xlfn.XLOOKUP(B227,'New Projects'!D:D,'New Projects'!C:C,"",0)</f>
        <v/>
      </c>
      <c r="Y227" s="73" t="str">
        <f t="shared" si="12"/>
        <v/>
      </c>
      <c r="Z227" s="74" t="str">
        <f t="shared" si="13"/>
        <v>Missing</v>
      </c>
      <c r="AA227" s="74" t="str">
        <f t="shared" si="14"/>
        <v>Critical</v>
      </c>
    </row>
    <row r="228" spans="1:27" x14ac:dyDescent="0.2">
      <c r="A228" s="103" t="s">
        <v>1755</v>
      </c>
      <c r="B228" s="103" t="s">
        <v>1551</v>
      </c>
      <c r="C228" s="103" t="s">
        <v>1976</v>
      </c>
      <c r="D228" s="103">
        <v>0</v>
      </c>
      <c r="E228" s="103">
        <v>0</v>
      </c>
      <c r="F228" s="103">
        <v>0</v>
      </c>
      <c r="G228" s="103">
        <v>0</v>
      </c>
      <c r="H228" s="103" t="s">
        <v>1638</v>
      </c>
      <c r="I228" s="103" t="s">
        <v>1736</v>
      </c>
      <c r="K228" s="103" t="s">
        <v>1116</v>
      </c>
      <c r="L228" s="103" t="s">
        <v>1736</v>
      </c>
      <c r="M228" s="103" t="s">
        <v>305</v>
      </c>
      <c r="N228" s="103" t="s">
        <v>68</v>
      </c>
      <c r="O228" s="103" t="s">
        <v>305</v>
      </c>
      <c r="Q228" s="118" t="s">
        <v>3851</v>
      </c>
      <c r="R228" s="118" t="s">
        <v>1605</v>
      </c>
      <c r="U228" s="103">
        <v>0</v>
      </c>
      <c r="V228" s="73" t="str">
        <f>_xlfn.XLOOKUP(B228,'Non-Projects (RUN-BAU)'!C:C,'Non-Projects (RUN-BAU)'!B:B,"",0)</f>
        <v/>
      </c>
      <c r="W228" s="73" t="str">
        <f>_xlfn.XLOOKUP(A228,'Ongoing Projects'!B:B,'Ongoing Projects'!B:B,"",0)</f>
        <v/>
      </c>
      <c r="X228" s="73" t="str">
        <f>_xlfn.XLOOKUP(B228,'New Projects'!D:D,'New Projects'!C:C,"",0)</f>
        <v/>
      </c>
      <c r="Y228" s="73" t="str">
        <f t="shared" si="12"/>
        <v/>
      </c>
      <c r="Z228" s="74" t="str">
        <f t="shared" si="13"/>
        <v>Missing</v>
      </c>
      <c r="AA228" s="74" t="str">
        <f t="shared" si="14"/>
        <v/>
      </c>
    </row>
    <row r="229" spans="1:27" x14ac:dyDescent="0.2">
      <c r="A229" s="103" t="s">
        <v>1756</v>
      </c>
      <c r="B229" s="103" t="s">
        <v>1552</v>
      </c>
      <c r="C229" s="103" t="s">
        <v>1976</v>
      </c>
      <c r="D229" s="103">
        <v>0</v>
      </c>
      <c r="E229" s="103">
        <v>0</v>
      </c>
      <c r="F229" s="103">
        <v>0</v>
      </c>
      <c r="G229" s="103">
        <v>0</v>
      </c>
      <c r="H229" s="103" t="s">
        <v>1638</v>
      </c>
      <c r="I229" s="103" t="s">
        <v>1736</v>
      </c>
      <c r="K229" s="103" t="s">
        <v>1109</v>
      </c>
      <c r="L229" s="103" t="s">
        <v>1736</v>
      </c>
      <c r="M229" s="103" t="s">
        <v>305</v>
      </c>
      <c r="N229" s="103" t="s">
        <v>68</v>
      </c>
      <c r="O229" s="103" t="s">
        <v>305</v>
      </c>
      <c r="Q229" s="118" t="s">
        <v>3851</v>
      </c>
      <c r="R229" s="118" t="s">
        <v>1605</v>
      </c>
      <c r="U229" s="103">
        <v>0</v>
      </c>
      <c r="V229" s="73" t="str">
        <f>_xlfn.XLOOKUP(B229,'Non-Projects (RUN-BAU)'!C:C,'Non-Projects (RUN-BAU)'!B:B,"",0)</f>
        <v/>
      </c>
      <c r="W229" s="73" t="str">
        <f>_xlfn.XLOOKUP(A229,'Ongoing Projects'!B:B,'Ongoing Projects'!B:B,"",0)</f>
        <v/>
      </c>
      <c r="X229" s="73" t="str">
        <f>_xlfn.XLOOKUP(B229,'New Projects'!D:D,'New Projects'!C:C,"",0)</f>
        <v/>
      </c>
      <c r="Y229" s="73" t="str">
        <f t="shared" si="12"/>
        <v/>
      </c>
      <c r="Z229" s="74" t="str">
        <f t="shared" si="13"/>
        <v>Missing</v>
      </c>
      <c r="AA229" s="74" t="str">
        <f t="shared" si="14"/>
        <v/>
      </c>
    </row>
    <row r="230" spans="1:27" x14ac:dyDescent="0.2">
      <c r="A230" s="103" t="s">
        <v>1757</v>
      </c>
      <c r="B230" s="103" t="s">
        <v>1553</v>
      </c>
      <c r="C230" s="103" t="s">
        <v>1976</v>
      </c>
      <c r="D230" s="103">
        <v>1325.5</v>
      </c>
      <c r="E230" s="103">
        <v>1479.5</v>
      </c>
      <c r="F230" s="103">
        <v>1611.5</v>
      </c>
      <c r="G230" s="103">
        <v>1765.5</v>
      </c>
      <c r="H230" s="103" t="s">
        <v>758</v>
      </c>
      <c r="I230" s="103" t="s">
        <v>1736</v>
      </c>
      <c r="J230" s="103" t="s">
        <v>37</v>
      </c>
      <c r="K230" s="103" t="s">
        <v>750</v>
      </c>
      <c r="L230" s="103" t="s">
        <v>1736</v>
      </c>
      <c r="M230" s="103" t="s">
        <v>786</v>
      </c>
      <c r="N230" s="103" t="s">
        <v>64</v>
      </c>
      <c r="O230" s="103" t="s">
        <v>305</v>
      </c>
      <c r="Q230" s="118" t="s">
        <v>1598</v>
      </c>
      <c r="R230" s="118" t="s">
        <v>1599</v>
      </c>
      <c r="U230" s="103">
        <v>6182</v>
      </c>
      <c r="V230" s="73" t="str">
        <f>_xlfn.XLOOKUP(B230,'Non-Projects (RUN-BAU)'!C:C,'Non-Projects (RUN-BAU)'!B:B,"",0)</f>
        <v/>
      </c>
      <c r="W230" s="73" t="str">
        <f>_xlfn.XLOOKUP(A230,'Ongoing Projects'!B:B,'Ongoing Projects'!B:B,"",0)</f>
        <v/>
      </c>
      <c r="X230" s="73" t="str">
        <f>_xlfn.XLOOKUP(B230,'New Projects'!D:D,'New Projects'!C:C,"",0)</f>
        <v/>
      </c>
      <c r="Y230" s="73" t="str">
        <f t="shared" si="12"/>
        <v/>
      </c>
      <c r="Z230" s="74" t="str">
        <f t="shared" si="13"/>
        <v>Missing</v>
      </c>
      <c r="AA230" s="74" t="str">
        <f t="shared" si="14"/>
        <v>Critical</v>
      </c>
    </row>
    <row r="231" spans="1:27" x14ac:dyDescent="0.2">
      <c r="A231" s="103" t="s">
        <v>1762</v>
      </c>
      <c r="B231" s="103" t="s">
        <v>1558</v>
      </c>
      <c r="C231" s="103" t="s">
        <v>1978</v>
      </c>
      <c r="D231" s="103">
        <v>300</v>
      </c>
      <c r="E231" s="103">
        <v>300</v>
      </c>
      <c r="F231" s="103">
        <v>300</v>
      </c>
      <c r="G231" s="103">
        <v>300</v>
      </c>
      <c r="H231" s="103" t="s">
        <v>1559</v>
      </c>
      <c r="I231" s="103" t="s">
        <v>1736</v>
      </c>
      <c r="J231" s="103" t="s">
        <v>35</v>
      </c>
      <c r="K231" s="103" t="s">
        <v>1241</v>
      </c>
      <c r="L231" s="103" t="s">
        <v>1736</v>
      </c>
      <c r="M231" s="103" t="s">
        <v>43</v>
      </c>
      <c r="N231" s="103" t="s">
        <v>68</v>
      </c>
      <c r="O231" s="103" t="s">
        <v>305</v>
      </c>
      <c r="Q231" s="118" t="s">
        <v>1598</v>
      </c>
      <c r="R231" s="118" t="s">
        <v>1599</v>
      </c>
      <c r="U231" s="103">
        <v>1200</v>
      </c>
      <c r="V231" s="73" t="str">
        <f>_xlfn.XLOOKUP(B231,'Non-Projects (RUN-BAU)'!C:C,'Non-Projects (RUN-BAU)'!B:B,"",0)</f>
        <v/>
      </c>
      <c r="W231" s="73" t="str">
        <f>_xlfn.XLOOKUP(A231,'Ongoing Projects'!B:B,'Ongoing Projects'!B:B,"",0)</f>
        <v/>
      </c>
      <c r="X231" s="73" t="str">
        <f>_xlfn.XLOOKUP(B231,'New Projects'!D:D,'New Projects'!C:C,"",0)</f>
        <v/>
      </c>
      <c r="Y231" s="73" t="str">
        <f t="shared" si="12"/>
        <v/>
      </c>
      <c r="Z231" s="74" t="str">
        <f t="shared" si="13"/>
        <v>Missing</v>
      </c>
      <c r="AA231" s="74" t="str">
        <f t="shared" si="14"/>
        <v>Critical</v>
      </c>
    </row>
    <row r="232" spans="1:27" x14ac:dyDescent="0.2">
      <c r="A232" s="103" t="s">
        <v>1763</v>
      </c>
      <c r="B232" s="103" t="s">
        <v>1560</v>
      </c>
      <c r="C232" s="103" t="s">
        <v>1978</v>
      </c>
      <c r="D232" s="103">
        <v>120</v>
      </c>
      <c r="E232" s="103">
        <v>120</v>
      </c>
      <c r="F232" s="103">
        <v>80</v>
      </c>
      <c r="G232" s="103">
        <v>80</v>
      </c>
      <c r="H232" s="103" t="s">
        <v>771</v>
      </c>
      <c r="I232" s="103" t="s">
        <v>1736</v>
      </c>
      <c r="J232" s="103" t="s">
        <v>35</v>
      </c>
      <c r="K232" s="103" t="s">
        <v>766</v>
      </c>
      <c r="L232" s="103" t="s">
        <v>1736</v>
      </c>
      <c r="M232" s="103" t="s">
        <v>305</v>
      </c>
      <c r="N232" s="103" t="s">
        <v>68</v>
      </c>
      <c r="Q232" s="118" t="s">
        <v>1598</v>
      </c>
      <c r="R232" s="118" t="s">
        <v>1599</v>
      </c>
      <c r="U232" s="103">
        <v>400</v>
      </c>
      <c r="V232" s="73" t="str">
        <f>_xlfn.XLOOKUP(B232,'Non-Projects (RUN-BAU)'!C:C,'Non-Projects (RUN-BAU)'!B:B,"",0)</f>
        <v/>
      </c>
      <c r="W232" s="73" t="str">
        <f>_xlfn.XLOOKUP(A232,'Ongoing Projects'!B:B,'Ongoing Projects'!B:B,"",0)</f>
        <v/>
      </c>
      <c r="X232" s="73" t="str">
        <f>_xlfn.XLOOKUP(B232,'New Projects'!D:D,'New Projects'!C:C,"",0)</f>
        <v/>
      </c>
      <c r="Y232" s="73" t="str">
        <f t="shared" si="12"/>
        <v/>
      </c>
      <c r="Z232" s="74" t="str">
        <f t="shared" si="13"/>
        <v>Missing</v>
      </c>
      <c r="AA232" s="74" t="str">
        <f t="shared" si="14"/>
        <v>Critical</v>
      </c>
    </row>
    <row r="233" spans="1:27" x14ac:dyDescent="0.2">
      <c r="A233" s="103" t="s">
        <v>1764</v>
      </c>
      <c r="B233" s="103" t="s">
        <v>1561</v>
      </c>
      <c r="C233" s="103" t="s">
        <v>1978</v>
      </c>
      <c r="D233" s="103">
        <v>150</v>
      </c>
      <c r="E233" s="103">
        <v>100</v>
      </c>
      <c r="F233" s="103">
        <v>150</v>
      </c>
      <c r="G233" s="103">
        <v>200</v>
      </c>
      <c r="H233" s="103" t="s">
        <v>771</v>
      </c>
      <c r="I233" s="103" t="s">
        <v>1736</v>
      </c>
      <c r="J233" s="103" t="s">
        <v>35</v>
      </c>
      <c r="K233" s="103" t="s">
        <v>766</v>
      </c>
      <c r="L233" s="103" t="s">
        <v>1736</v>
      </c>
      <c r="M233" s="103" t="s">
        <v>305</v>
      </c>
      <c r="N233" s="103" t="s">
        <v>68</v>
      </c>
      <c r="Q233" s="118" t="s">
        <v>1598</v>
      </c>
      <c r="R233" s="118" t="s">
        <v>1599</v>
      </c>
      <c r="U233" s="103">
        <v>600</v>
      </c>
      <c r="V233" s="73" t="str">
        <f>_xlfn.XLOOKUP(B233,'Non-Projects (RUN-BAU)'!C:C,'Non-Projects (RUN-BAU)'!B:B,"",0)</f>
        <v/>
      </c>
      <c r="W233" s="73" t="str">
        <f>_xlfn.XLOOKUP(A233,'Ongoing Projects'!B:B,'Ongoing Projects'!B:B,"",0)</f>
        <v/>
      </c>
      <c r="X233" s="73" t="str">
        <f>_xlfn.XLOOKUP(B233,'New Projects'!D:D,'New Projects'!C:C,"",0)</f>
        <v/>
      </c>
      <c r="Y233" s="73" t="str">
        <f t="shared" si="12"/>
        <v/>
      </c>
      <c r="Z233" s="74" t="str">
        <f t="shared" si="13"/>
        <v>Missing</v>
      </c>
      <c r="AA233" s="74" t="str">
        <f t="shared" si="14"/>
        <v>Critical</v>
      </c>
    </row>
    <row r="234" spans="1:27" x14ac:dyDescent="0.2">
      <c r="A234" s="103" t="s">
        <v>1766</v>
      </c>
      <c r="B234" s="103" t="s">
        <v>1563</v>
      </c>
      <c r="C234" s="103" t="s">
        <v>1978</v>
      </c>
      <c r="D234" s="103">
        <v>150</v>
      </c>
      <c r="E234" s="103">
        <v>150</v>
      </c>
      <c r="F234" s="103">
        <v>200</v>
      </c>
      <c r="G234" s="103">
        <v>100</v>
      </c>
      <c r="H234" s="103" t="s">
        <v>771</v>
      </c>
      <c r="I234" s="103" t="s">
        <v>1736</v>
      </c>
      <c r="J234" s="103" t="s">
        <v>35</v>
      </c>
      <c r="K234" s="103" t="s">
        <v>766</v>
      </c>
      <c r="L234" s="103" t="s">
        <v>1736</v>
      </c>
      <c r="M234" s="103" t="s">
        <v>305</v>
      </c>
      <c r="N234" s="103" t="s">
        <v>68</v>
      </c>
      <c r="Q234" s="118" t="s">
        <v>1598</v>
      </c>
      <c r="R234" s="118" t="s">
        <v>1599</v>
      </c>
      <c r="U234" s="103">
        <v>600</v>
      </c>
      <c r="V234" s="73" t="str">
        <f>_xlfn.XLOOKUP(B234,'Non-Projects (RUN-BAU)'!C:C,'Non-Projects (RUN-BAU)'!B:B,"",0)</f>
        <v/>
      </c>
      <c r="W234" s="73" t="str">
        <f>_xlfn.XLOOKUP(A234,'Ongoing Projects'!B:B,'Ongoing Projects'!B:B,"",0)</f>
        <v/>
      </c>
      <c r="X234" s="73" t="str">
        <f>_xlfn.XLOOKUP(B234,'New Projects'!D:D,'New Projects'!C:C,"",0)</f>
        <v/>
      </c>
      <c r="Y234" s="73" t="str">
        <f t="shared" si="12"/>
        <v/>
      </c>
      <c r="Z234" s="74" t="str">
        <f t="shared" si="13"/>
        <v>Missing</v>
      </c>
      <c r="AA234" s="74" t="str">
        <f t="shared" si="14"/>
        <v>Critical</v>
      </c>
    </row>
    <row r="235" spans="1:27" x14ac:dyDescent="0.2">
      <c r="A235" s="103" t="s">
        <v>1767</v>
      </c>
      <c r="B235" s="103" t="s">
        <v>1564</v>
      </c>
      <c r="C235" s="103" t="s">
        <v>1978</v>
      </c>
      <c r="D235" s="103">
        <v>100</v>
      </c>
      <c r="E235" s="103">
        <v>100</v>
      </c>
      <c r="F235" s="103">
        <v>100</v>
      </c>
      <c r="G235" s="103">
        <v>100</v>
      </c>
      <c r="H235" s="103" t="s">
        <v>1559</v>
      </c>
      <c r="I235" s="103" t="s">
        <v>1736</v>
      </c>
      <c r="J235" s="103" t="s">
        <v>35</v>
      </c>
      <c r="K235" s="103" t="s">
        <v>766</v>
      </c>
      <c r="L235" s="103" t="s">
        <v>1736</v>
      </c>
      <c r="M235" s="103" t="s">
        <v>43</v>
      </c>
      <c r="N235" s="103" t="s">
        <v>68</v>
      </c>
      <c r="Q235" s="118" t="s">
        <v>1598</v>
      </c>
      <c r="R235" s="118" t="s">
        <v>1599</v>
      </c>
      <c r="U235" s="103">
        <v>400</v>
      </c>
      <c r="V235" s="73" t="str">
        <f>_xlfn.XLOOKUP(B235,'Non-Projects (RUN-BAU)'!C:C,'Non-Projects (RUN-BAU)'!B:B,"",0)</f>
        <v/>
      </c>
      <c r="W235" s="73" t="str">
        <f>_xlfn.XLOOKUP(A235,'Ongoing Projects'!B:B,'Ongoing Projects'!B:B,"",0)</f>
        <v/>
      </c>
      <c r="X235" s="73" t="str">
        <f>_xlfn.XLOOKUP(B235,'New Projects'!D:D,'New Projects'!C:C,"",0)</f>
        <v/>
      </c>
      <c r="Y235" s="73" t="str">
        <f t="shared" si="12"/>
        <v/>
      </c>
      <c r="Z235" s="74" t="str">
        <f t="shared" si="13"/>
        <v>Missing</v>
      </c>
      <c r="AA235" s="74" t="str">
        <f t="shared" si="14"/>
        <v>Critical</v>
      </c>
    </row>
    <row r="236" spans="1:27" x14ac:dyDescent="0.2">
      <c r="A236" s="103" t="s">
        <v>1769</v>
      </c>
      <c r="B236" s="103" t="s">
        <v>1566</v>
      </c>
      <c r="C236" s="103" t="s">
        <v>1979</v>
      </c>
      <c r="D236" s="103">
        <v>124.15</v>
      </c>
      <c r="E236" s="103">
        <v>124.15</v>
      </c>
      <c r="F236" s="103">
        <v>124.15</v>
      </c>
      <c r="G236" s="103">
        <v>124.15</v>
      </c>
      <c r="H236" s="103" t="s">
        <v>1567</v>
      </c>
      <c r="I236" s="103" t="s">
        <v>1736</v>
      </c>
      <c r="J236" s="103" t="s">
        <v>35</v>
      </c>
      <c r="K236" s="103" t="s">
        <v>766</v>
      </c>
      <c r="L236" s="103" t="s">
        <v>1736</v>
      </c>
      <c r="M236" s="103" t="s">
        <v>786</v>
      </c>
      <c r="N236" s="103" t="s">
        <v>68</v>
      </c>
      <c r="O236" s="103" t="s">
        <v>767</v>
      </c>
      <c r="Q236" s="118" t="s">
        <v>1598</v>
      </c>
      <c r="R236" s="118" t="s">
        <v>1599</v>
      </c>
      <c r="U236" s="103">
        <v>496.6</v>
      </c>
      <c r="V236" s="73" t="str">
        <f>_xlfn.XLOOKUP(B236,'Non-Projects (RUN-BAU)'!C:C,'Non-Projects (RUN-BAU)'!B:B,"",0)</f>
        <v/>
      </c>
      <c r="W236" s="73" t="str">
        <f>_xlfn.XLOOKUP(A236,'Ongoing Projects'!B:B,'Ongoing Projects'!B:B,"",0)</f>
        <v/>
      </c>
      <c r="X236" s="73" t="str">
        <f>_xlfn.XLOOKUP(B236,'New Projects'!D:D,'New Projects'!C:C,"",0)</f>
        <v/>
      </c>
      <c r="Y236" s="73" t="str">
        <f t="shared" si="12"/>
        <v/>
      </c>
      <c r="Z236" s="74" t="str">
        <f t="shared" si="13"/>
        <v>Missing</v>
      </c>
      <c r="AA236" s="74" t="str">
        <f t="shared" si="14"/>
        <v>Critical</v>
      </c>
    </row>
    <row r="237" spans="1:27" x14ac:dyDescent="0.2">
      <c r="A237" s="103" t="s">
        <v>1770</v>
      </c>
      <c r="B237" s="103" t="s">
        <v>1568</v>
      </c>
      <c r="C237" s="103" t="s">
        <v>1980</v>
      </c>
      <c r="D237" s="103">
        <v>171.9</v>
      </c>
      <c r="E237" s="103">
        <v>171.9</v>
      </c>
      <c r="F237" s="103">
        <v>171.9</v>
      </c>
      <c r="G237" s="103">
        <v>171.9</v>
      </c>
      <c r="H237" s="103" t="s">
        <v>1567</v>
      </c>
      <c r="I237" s="103" t="s">
        <v>1736</v>
      </c>
      <c r="J237" s="103" t="s">
        <v>35</v>
      </c>
      <c r="K237" s="103" t="s">
        <v>766</v>
      </c>
      <c r="L237" s="103" t="s">
        <v>1736</v>
      </c>
      <c r="M237" s="103" t="s">
        <v>786</v>
      </c>
      <c r="N237" s="103" t="s">
        <v>68</v>
      </c>
      <c r="O237" s="103" t="s">
        <v>767</v>
      </c>
      <c r="Q237" s="118" t="s">
        <v>1598</v>
      </c>
      <c r="R237" s="118" t="s">
        <v>1599</v>
      </c>
      <c r="U237" s="103">
        <v>687.6</v>
      </c>
      <c r="V237" s="73" t="str">
        <f>_xlfn.XLOOKUP(B237,'Non-Projects (RUN-BAU)'!C:C,'Non-Projects (RUN-BAU)'!B:B,"",0)</f>
        <v/>
      </c>
      <c r="W237" s="73" t="str">
        <f>_xlfn.XLOOKUP(A237,'Ongoing Projects'!B:B,'Ongoing Projects'!B:B,"",0)</f>
        <v/>
      </c>
      <c r="X237" s="73" t="str">
        <f>_xlfn.XLOOKUP(B237,'New Projects'!D:D,'New Projects'!C:C,"",0)</f>
        <v/>
      </c>
      <c r="Y237" s="73" t="str">
        <f t="shared" si="12"/>
        <v/>
      </c>
      <c r="Z237" s="74" t="str">
        <f t="shared" si="13"/>
        <v>Missing</v>
      </c>
      <c r="AA237" s="74" t="str">
        <f t="shared" si="14"/>
        <v>Critical</v>
      </c>
    </row>
    <row r="238" spans="1:27" x14ac:dyDescent="0.2">
      <c r="A238" s="103" t="s">
        <v>1771</v>
      </c>
      <c r="B238" s="103" t="s">
        <v>1569</v>
      </c>
      <c r="C238" s="103" t="s">
        <v>1981</v>
      </c>
      <c r="D238" s="103">
        <v>76.400000000000006</v>
      </c>
      <c r="E238" s="103">
        <v>76.400000000000006</v>
      </c>
      <c r="F238" s="103">
        <v>76.400000000000006</v>
      </c>
      <c r="G238" s="103">
        <v>76.400000000000006</v>
      </c>
      <c r="H238" s="103" t="s">
        <v>1567</v>
      </c>
      <c r="I238" s="103" t="s">
        <v>1736</v>
      </c>
      <c r="J238" s="103" t="s">
        <v>35</v>
      </c>
      <c r="K238" s="103" t="s">
        <v>766</v>
      </c>
      <c r="L238" s="103" t="s">
        <v>1736</v>
      </c>
      <c r="M238" s="103" t="s">
        <v>786</v>
      </c>
      <c r="N238" s="103" t="s">
        <v>68</v>
      </c>
      <c r="O238" s="103" t="s">
        <v>767</v>
      </c>
      <c r="Q238" s="118" t="s">
        <v>1598</v>
      </c>
      <c r="R238" s="118" t="s">
        <v>1599</v>
      </c>
      <c r="U238" s="103">
        <v>305.60000000000002</v>
      </c>
      <c r="V238" s="73" t="str">
        <f>_xlfn.XLOOKUP(B238,'Non-Projects (RUN-BAU)'!C:C,'Non-Projects (RUN-BAU)'!B:B,"",0)</f>
        <v/>
      </c>
      <c r="W238" s="73" t="str">
        <f>_xlfn.XLOOKUP(A238,'Ongoing Projects'!B:B,'Ongoing Projects'!B:B,"",0)</f>
        <v/>
      </c>
      <c r="X238" s="73" t="str">
        <f>_xlfn.XLOOKUP(B238,'New Projects'!D:D,'New Projects'!C:C,"",0)</f>
        <v/>
      </c>
      <c r="Y238" s="73" t="str">
        <f t="shared" si="12"/>
        <v/>
      </c>
      <c r="Z238" s="74" t="str">
        <f t="shared" si="13"/>
        <v>Missing</v>
      </c>
      <c r="AA238" s="74" t="str">
        <f t="shared" si="14"/>
        <v>Critical</v>
      </c>
    </row>
    <row r="239" spans="1:27" x14ac:dyDescent="0.2">
      <c r="A239" s="103" t="s">
        <v>1772</v>
      </c>
      <c r="B239" s="103" t="s">
        <v>1570</v>
      </c>
      <c r="D239" s="103">
        <v>76</v>
      </c>
      <c r="E239" s="103">
        <v>86</v>
      </c>
      <c r="F239" s="103">
        <v>96</v>
      </c>
      <c r="G239" s="103">
        <v>96</v>
      </c>
      <c r="H239" s="103" t="s">
        <v>1571</v>
      </c>
      <c r="I239" s="103" t="s">
        <v>1736</v>
      </c>
      <c r="J239" s="103" t="s">
        <v>889</v>
      </c>
      <c r="K239" s="103" t="s">
        <v>766</v>
      </c>
      <c r="L239" s="103" t="s">
        <v>1736</v>
      </c>
      <c r="M239" s="103" t="s">
        <v>305</v>
      </c>
      <c r="N239" s="103" t="s">
        <v>68</v>
      </c>
      <c r="Q239" s="118" t="s">
        <v>1598</v>
      </c>
      <c r="R239" s="118" t="s">
        <v>1599</v>
      </c>
      <c r="U239" s="103">
        <v>354</v>
      </c>
      <c r="V239" s="73" t="str">
        <f>_xlfn.XLOOKUP(B239,'Non-Projects (RUN-BAU)'!C:C,'Non-Projects (RUN-BAU)'!B:B,"",0)</f>
        <v/>
      </c>
      <c r="W239" s="73" t="str">
        <f>_xlfn.XLOOKUP(A239,'Ongoing Projects'!B:B,'Ongoing Projects'!B:B,"",0)</f>
        <v/>
      </c>
      <c r="X239" s="73" t="str">
        <f>_xlfn.XLOOKUP(B239,'New Projects'!D:D,'New Projects'!C:C,"",0)</f>
        <v/>
      </c>
      <c r="Y239" s="73" t="str">
        <f t="shared" si="12"/>
        <v/>
      </c>
      <c r="Z239" s="74" t="str">
        <f t="shared" si="13"/>
        <v>Missing</v>
      </c>
      <c r="AA239" s="74" t="str">
        <f t="shared" si="14"/>
        <v>Critical</v>
      </c>
    </row>
    <row r="240" spans="1:27" x14ac:dyDescent="0.2">
      <c r="A240" s="103" t="s">
        <v>1774</v>
      </c>
      <c r="B240" s="103" t="s">
        <v>1573</v>
      </c>
      <c r="D240" s="103">
        <v>460</v>
      </c>
      <c r="E240" s="103">
        <v>460</v>
      </c>
      <c r="F240" s="103">
        <v>460</v>
      </c>
      <c r="G240" s="103">
        <v>370</v>
      </c>
      <c r="H240" s="103" t="s">
        <v>1609</v>
      </c>
      <c r="I240" s="103" t="s">
        <v>1736</v>
      </c>
      <c r="J240" s="103" t="s">
        <v>37</v>
      </c>
      <c r="K240" s="103" t="s">
        <v>898</v>
      </c>
      <c r="L240" s="103" t="s">
        <v>1736</v>
      </c>
      <c r="M240" s="103" t="s">
        <v>786</v>
      </c>
      <c r="N240" s="103" t="s">
        <v>71</v>
      </c>
      <c r="O240" s="103" t="s">
        <v>305</v>
      </c>
      <c r="Q240" s="118" t="s">
        <v>1598</v>
      </c>
      <c r="R240" s="118" t="s">
        <v>1599</v>
      </c>
      <c r="U240" s="103">
        <v>1750</v>
      </c>
      <c r="V240" s="73" t="str">
        <f>_xlfn.XLOOKUP(B240,'Non-Projects (RUN-BAU)'!C:C,'Non-Projects (RUN-BAU)'!B:B,"",0)</f>
        <v/>
      </c>
      <c r="W240" s="73" t="str">
        <f>_xlfn.XLOOKUP(A240,'Ongoing Projects'!B:B,'Ongoing Projects'!B:B,"",0)</f>
        <v/>
      </c>
      <c r="X240" s="73" t="str">
        <f>_xlfn.XLOOKUP(B240,'New Projects'!D:D,'New Projects'!C:C,"",0)</f>
        <v/>
      </c>
      <c r="Y240" s="73" t="str">
        <f t="shared" si="12"/>
        <v/>
      </c>
      <c r="Z240" s="74" t="str">
        <f t="shared" si="13"/>
        <v>Missing</v>
      </c>
      <c r="AA240" s="74" t="str">
        <f t="shared" si="14"/>
        <v>Critical</v>
      </c>
    </row>
    <row r="241" spans="1:27" x14ac:dyDescent="0.2">
      <c r="A241" s="103" t="s">
        <v>1775</v>
      </c>
      <c r="B241" s="103" t="s">
        <v>895</v>
      </c>
      <c r="C241" s="103" t="s">
        <v>1982</v>
      </c>
      <c r="D241" s="103">
        <v>100</v>
      </c>
      <c r="E241" s="103">
        <v>100</v>
      </c>
      <c r="F241" s="103">
        <v>100</v>
      </c>
      <c r="G241" s="103">
        <v>100</v>
      </c>
      <c r="H241" s="103" t="s">
        <v>783</v>
      </c>
      <c r="I241" s="103" t="s">
        <v>1736</v>
      </c>
      <c r="J241" s="103" t="s">
        <v>889</v>
      </c>
      <c r="K241" s="103" t="s">
        <v>810</v>
      </c>
      <c r="L241" s="103" t="s">
        <v>53</v>
      </c>
      <c r="M241" s="103" t="s">
        <v>43</v>
      </c>
      <c r="N241" s="103" t="s">
        <v>71</v>
      </c>
      <c r="O241" s="103" t="s">
        <v>779</v>
      </c>
      <c r="Q241" s="118" t="s">
        <v>1598</v>
      </c>
      <c r="R241" s="118" t="s">
        <v>1599</v>
      </c>
      <c r="U241" s="103">
        <v>400</v>
      </c>
      <c r="V241" s="73" t="str">
        <f>_xlfn.XLOOKUP(B241,'Non-Projects (RUN-BAU)'!C:C,'Non-Projects (RUN-BAU)'!B:B,"",0)</f>
        <v/>
      </c>
      <c r="W241" s="73" t="str">
        <f>_xlfn.XLOOKUP(A241,'Ongoing Projects'!B:B,'Ongoing Projects'!B:B,"",0)</f>
        <v/>
      </c>
      <c r="X241" s="73" t="str">
        <f>_xlfn.XLOOKUP(B241,'New Projects'!D:D,'New Projects'!C:C,"",0)</f>
        <v/>
      </c>
      <c r="Y241" s="73" t="str">
        <f t="shared" si="12"/>
        <v/>
      </c>
      <c r="Z241" s="74" t="str">
        <f t="shared" si="13"/>
        <v>Missing</v>
      </c>
      <c r="AA241" s="74" t="str">
        <f t="shared" si="14"/>
        <v>Critical</v>
      </c>
    </row>
    <row r="242" spans="1:27" x14ac:dyDescent="0.2">
      <c r="A242" s="103" t="s">
        <v>1776</v>
      </c>
      <c r="B242" s="103" t="s">
        <v>1574</v>
      </c>
      <c r="D242" s="103">
        <v>768</v>
      </c>
      <c r="E242" s="103">
        <v>788</v>
      </c>
      <c r="F242" s="103">
        <v>743</v>
      </c>
      <c r="G242" s="103">
        <v>733</v>
      </c>
      <c r="H242" s="103" t="s">
        <v>811</v>
      </c>
      <c r="I242" s="103" t="s">
        <v>1736</v>
      </c>
      <c r="J242" s="103" t="s">
        <v>889</v>
      </c>
      <c r="K242" s="103" t="s">
        <v>810</v>
      </c>
      <c r="L242" s="103" t="s">
        <v>1736</v>
      </c>
      <c r="M242" s="103" t="s">
        <v>43</v>
      </c>
      <c r="N242" s="103" t="s">
        <v>71</v>
      </c>
      <c r="O242" s="103" t="s">
        <v>779</v>
      </c>
      <c r="Q242" s="118" t="s">
        <v>1598</v>
      </c>
      <c r="R242" s="118" t="s">
        <v>1599</v>
      </c>
      <c r="U242" s="103">
        <v>3032</v>
      </c>
      <c r="V242" s="73" t="str">
        <f>_xlfn.XLOOKUP(B242,'Non-Projects (RUN-BAU)'!C:C,'Non-Projects (RUN-BAU)'!B:B,"",0)</f>
        <v/>
      </c>
      <c r="W242" s="73" t="str">
        <f>_xlfn.XLOOKUP(A242,'Ongoing Projects'!B:B,'Ongoing Projects'!B:B,"",0)</f>
        <v/>
      </c>
      <c r="X242" s="73" t="str">
        <f>_xlfn.XLOOKUP(B242,'New Projects'!D:D,'New Projects'!C:C,"",0)</f>
        <v/>
      </c>
      <c r="Y242" s="73" t="str">
        <f t="shared" si="12"/>
        <v/>
      </c>
      <c r="Z242" s="74" t="str">
        <f t="shared" si="13"/>
        <v>Missing</v>
      </c>
      <c r="AA242" s="74" t="str">
        <f t="shared" si="14"/>
        <v>Critical</v>
      </c>
    </row>
    <row r="243" spans="1:27" x14ac:dyDescent="0.2">
      <c r="A243" s="103" t="s">
        <v>1777</v>
      </c>
      <c r="B243" s="103" t="s">
        <v>891</v>
      </c>
      <c r="C243" s="103" t="s">
        <v>1983</v>
      </c>
      <c r="D243" s="103">
        <v>62</v>
      </c>
      <c r="E243" s="103">
        <v>62</v>
      </c>
      <c r="F243" s="103">
        <v>62</v>
      </c>
      <c r="G243" s="103">
        <v>64</v>
      </c>
      <c r="H243" s="103" t="s">
        <v>1624</v>
      </c>
      <c r="I243" s="103" t="s">
        <v>1736</v>
      </c>
      <c r="J243" s="103" t="s">
        <v>889</v>
      </c>
      <c r="K243" s="103" t="s">
        <v>810</v>
      </c>
      <c r="L243" s="103" t="s">
        <v>53</v>
      </c>
      <c r="M243" s="103" t="s">
        <v>43</v>
      </c>
      <c r="N243" s="103" t="s">
        <v>71</v>
      </c>
      <c r="O243" s="103" t="s">
        <v>779</v>
      </c>
      <c r="Q243" s="118" t="s">
        <v>1598</v>
      </c>
      <c r="R243" s="118" t="s">
        <v>1599</v>
      </c>
      <c r="U243" s="103">
        <v>250</v>
      </c>
      <c r="V243" s="73" t="str">
        <f>_xlfn.XLOOKUP(B243,'Non-Projects (RUN-BAU)'!C:C,'Non-Projects (RUN-BAU)'!B:B,"",0)</f>
        <v/>
      </c>
      <c r="W243" s="73" t="str">
        <f>_xlfn.XLOOKUP(A243,'Ongoing Projects'!B:B,'Ongoing Projects'!B:B,"",0)</f>
        <v/>
      </c>
      <c r="X243" s="73" t="str">
        <f>_xlfn.XLOOKUP(B243,'New Projects'!D:D,'New Projects'!C:C,"",0)</f>
        <v/>
      </c>
      <c r="Y243" s="73" t="str">
        <f t="shared" si="12"/>
        <v/>
      </c>
      <c r="Z243" s="74" t="str">
        <f t="shared" si="13"/>
        <v>Missing</v>
      </c>
      <c r="AA243" s="74" t="str">
        <f t="shared" si="14"/>
        <v>Critical</v>
      </c>
    </row>
    <row r="244" spans="1:27" x14ac:dyDescent="0.2">
      <c r="A244" s="103" t="s">
        <v>1778</v>
      </c>
      <c r="B244" s="103" t="s">
        <v>1575</v>
      </c>
      <c r="D244" s="103">
        <v>240</v>
      </c>
      <c r="E244" s="103">
        <v>240</v>
      </c>
      <c r="F244" s="103">
        <v>240</v>
      </c>
      <c r="G244" s="103">
        <v>240</v>
      </c>
      <c r="H244" s="103" t="s">
        <v>985</v>
      </c>
      <c r="I244" s="103" t="s">
        <v>1736</v>
      </c>
      <c r="J244" s="103" t="s">
        <v>889</v>
      </c>
      <c r="K244" s="103" t="s">
        <v>984</v>
      </c>
      <c r="L244" s="103" t="s">
        <v>53</v>
      </c>
      <c r="M244" s="103" t="s">
        <v>43</v>
      </c>
      <c r="N244" s="103" t="s">
        <v>64</v>
      </c>
      <c r="O244" s="103" t="s">
        <v>934</v>
      </c>
      <c r="Q244" s="118" t="s">
        <v>1598</v>
      </c>
      <c r="R244" s="118" t="s">
        <v>1599</v>
      </c>
      <c r="U244" s="103">
        <v>960</v>
      </c>
      <c r="V244" s="73" t="str">
        <f>_xlfn.XLOOKUP(B244,'Non-Projects (RUN-BAU)'!C:C,'Non-Projects (RUN-BAU)'!B:B,"",0)</f>
        <v/>
      </c>
      <c r="W244" s="73" t="str">
        <f>_xlfn.XLOOKUP(A244,'Ongoing Projects'!B:B,'Ongoing Projects'!B:B,"",0)</f>
        <v/>
      </c>
      <c r="X244" s="73" t="str">
        <f>_xlfn.XLOOKUP(B244,'New Projects'!D:D,'New Projects'!C:C,"",0)</f>
        <v/>
      </c>
      <c r="Y244" s="73" t="str">
        <f t="shared" si="12"/>
        <v/>
      </c>
      <c r="Z244" s="74" t="str">
        <f t="shared" si="13"/>
        <v>Missing</v>
      </c>
      <c r="AA244" s="74" t="str">
        <f t="shared" si="14"/>
        <v>Critical</v>
      </c>
    </row>
    <row r="245" spans="1:27" x14ac:dyDescent="0.2">
      <c r="A245" s="103" t="s">
        <v>1779</v>
      </c>
      <c r="B245" s="103" t="s">
        <v>1576</v>
      </c>
      <c r="D245" s="103">
        <v>63</v>
      </c>
      <c r="E245" s="103">
        <v>63</v>
      </c>
      <c r="F245" s="103">
        <v>62</v>
      </c>
      <c r="G245" s="103">
        <v>62</v>
      </c>
      <c r="H245" s="103" t="s">
        <v>1567</v>
      </c>
      <c r="I245" s="103" t="s">
        <v>1736</v>
      </c>
      <c r="J245" s="103" t="s">
        <v>35</v>
      </c>
      <c r="K245" s="103" t="s">
        <v>766</v>
      </c>
      <c r="L245" s="103" t="s">
        <v>53</v>
      </c>
      <c r="M245" s="103" t="s">
        <v>43</v>
      </c>
      <c r="N245" s="103" t="s">
        <v>68</v>
      </c>
      <c r="O245" s="103" t="s">
        <v>767</v>
      </c>
      <c r="Q245" s="118" t="s">
        <v>1598</v>
      </c>
      <c r="R245" s="118" t="s">
        <v>1599</v>
      </c>
      <c r="U245" s="103">
        <v>250</v>
      </c>
      <c r="V245" s="73" t="str">
        <f>_xlfn.XLOOKUP(B245,'Non-Projects (RUN-BAU)'!C:C,'Non-Projects (RUN-BAU)'!B:B,"",0)</f>
        <v/>
      </c>
      <c r="W245" s="73" t="str">
        <f>_xlfn.XLOOKUP(A245,'Ongoing Projects'!B:B,'Ongoing Projects'!B:B,"",0)</f>
        <v/>
      </c>
      <c r="X245" s="73" t="str">
        <f>_xlfn.XLOOKUP(B245,'New Projects'!D:D,'New Projects'!C:C,"",0)</f>
        <v/>
      </c>
      <c r="Y245" s="73" t="str">
        <f t="shared" si="12"/>
        <v/>
      </c>
      <c r="Z245" s="74" t="str">
        <f t="shared" si="13"/>
        <v>Missing</v>
      </c>
      <c r="AA245" s="74" t="str">
        <f t="shared" si="14"/>
        <v>Critical</v>
      </c>
    </row>
    <row r="246" spans="1:27" x14ac:dyDescent="0.2">
      <c r="A246" s="103" t="s">
        <v>1780</v>
      </c>
      <c r="B246" s="103" t="s">
        <v>1577</v>
      </c>
      <c r="D246" s="103">
        <v>267.40000000000003</v>
      </c>
      <c r="E246" s="103">
        <v>267.40000000000003</v>
      </c>
      <c r="F246" s="103">
        <v>267.40000000000003</v>
      </c>
      <c r="G246" s="103">
        <v>267.40000000000003</v>
      </c>
      <c r="H246" s="103" t="s">
        <v>1571</v>
      </c>
      <c r="I246" s="103" t="s">
        <v>1736</v>
      </c>
      <c r="J246" s="103" t="s">
        <v>889</v>
      </c>
      <c r="K246" s="103" t="s">
        <v>766</v>
      </c>
      <c r="L246" s="103" t="s">
        <v>1736</v>
      </c>
      <c r="M246" s="103" t="s">
        <v>305</v>
      </c>
      <c r="N246" s="103" t="s">
        <v>68</v>
      </c>
      <c r="O246" s="103" t="s">
        <v>767</v>
      </c>
      <c r="Q246" s="118" t="s">
        <v>1598</v>
      </c>
      <c r="R246" s="118" t="s">
        <v>1599</v>
      </c>
      <c r="U246" s="103">
        <v>1069.6000000000001</v>
      </c>
      <c r="V246" s="73" t="str">
        <f>_xlfn.XLOOKUP(B246,'Non-Projects (RUN-BAU)'!C:C,'Non-Projects (RUN-BAU)'!B:B,"",0)</f>
        <v/>
      </c>
      <c r="W246" s="73" t="str">
        <f>_xlfn.XLOOKUP(A246,'Ongoing Projects'!B:B,'Ongoing Projects'!B:B,"",0)</f>
        <v/>
      </c>
      <c r="X246" s="73" t="str">
        <f>_xlfn.XLOOKUP(B246,'New Projects'!D:D,'New Projects'!C:C,"",0)</f>
        <v/>
      </c>
      <c r="Y246" s="73" t="str">
        <f t="shared" si="12"/>
        <v/>
      </c>
      <c r="Z246" s="74" t="str">
        <f t="shared" si="13"/>
        <v>Missing</v>
      </c>
      <c r="AA246" s="74" t="str">
        <f t="shared" si="14"/>
        <v>Critical</v>
      </c>
    </row>
    <row r="247" spans="1:27" x14ac:dyDescent="0.2">
      <c r="A247" s="103" t="s">
        <v>1781</v>
      </c>
      <c r="B247" s="103" t="s">
        <v>1578</v>
      </c>
      <c r="D247" s="103">
        <v>400</v>
      </c>
      <c r="E247" s="103">
        <v>400</v>
      </c>
      <c r="F247" s="103">
        <v>400</v>
      </c>
      <c r="G247" s="103">
        <v>328</v>
      </c>
      <c r="H247" s="103" t="s">
        <v>1659</v>
      </c>
      <c r="I247" s="103" t="s">
        <v>1736</v>
      </c>
      <c r="K247" s="103" t="s">
        <v>1109</v>
      </c>
      <c r="M247" s="103" t="s">
        <v>305</v>
      </c>
      <c r="N247" s="103" t="s">
        <v>68</v>
      </c>
      <c r="O247" s="103" t="s">
        <v>751</v>
      </c>
      <c r="Q247" s="118" t="s">
        <v>1598</v>
      </c>
      <c r="R247" s="118" t="s">
        <v>1599</v>
      </c>
      <c r="U247" s="103">
        <v>1528</v>
      </c>
      <c r="V247" s="73" t="str">
        <f>_xlfn.XLOOKUP(B247,'Non-Projects (RUN-BAU)'!C:C,'Non-Projects (RUN-BAU)'!B:B,"",0)</f>
        <v/>
      </c>
      <c r="W247" s="73" t="str">
        <f>_xlfn.XLOOKUP(A247,'Ongoing Projects'!B:B,'Ongoing Projects'!B:B,"",0)</f>
        <v/>
      </c>
      <c r="X247" s="73" t="str">
        <f>_xlfn.XLOOKUP(B247,'New Projects'!D:D,'New Projects'!C:C,"",0)</f>
        <v/>
      </c>
      <c r="Y247" s="73" t="str">
        <f t="shared" si="12"/>
        <v/>
      </c>
      <c r="Z247" s="74" t="str">
        <f t="shared" si="13"/>
        <v>Missing</v>
      </c>
      <c r="AA247" s="74" t="str">
        <f t="shared" si="14"/>
        <v>Critical</v>
      </c>
    </row>
    <row r="248" spans="1:27" x14ac:dyDescent="0.2">
      <c r="A248" s="103" t="s">
        <v>3862</v>
      </c>
      <c r="B248" s="103" t="s">
        <v>365</v>
      </c>
      <c r="D248" s="103">
        <v>0</v>
      </c>
      <c r="E248" s="103">
        <v>0</v>
      </c>
      <c r="F248" s="103">
        <v>0</v>
      </c>
      <c r="G248" s="103">
        <v>0</v>
      </c>
      <c r="H248" s="103" t="s">
        <v>771</v>
      </c>
      <c r="I248" s="103" t="s">
        <v>1597</v>
      </c>
      <c r="M248" s="103" t="s">
        <v>41</v>
      </c>
      <c r="N248" s="103" t="s">
        <v>68</v>
      </c>
      <c r="Q248" s="118" t="s">
        <v>3851</v>
      </c>
      <c r="R248" s="118" t="s">
        <v>1599</v>
      </c>
      <c r="U248" s="103">
        <v>0</v>
      </c>
      <c r="V248" s="73" t="str">
        <f>_xlfn.XLOOKUP(B248,'Non-Projects (RUN-BAU)'!C:C,'Non-Projects (RUN-BAU)'!B:B,"",0)</f>
        <v/>
      </c>
      <c r="W248" s="73" t="str">
        <f>_xlfn.XLOOKUP(A248,'Ongoing Projects'!B:B,'Ongoing Projects'!B:B,"",0)</f>
        <v/>
      </c>
      <c r="X248" s="73" t="str">
        <f>_xlfn.XLOOKUP(B248,'New Projects'!D:D,'New Projects'!C:C,"",0)</f>
        <v/>
      </c>
      <c r="Y248" s="73" t="str">
        <f t="shared" si="12"/>
        <v/>
      </c>
      <c r="Z248" s="74" t="str">
        <f t="shared" si="13"/>
        <v>Missing</v>
      </c>
      <c r="AA248" s="74" t="str">
        <f t="shared" si="14"/>
        <v/>
      </c>
    </row>
    <row r="249" spans="1:27" x14ac:dyDescent="0.2">
      <c r="A249" s="103" t="s">
        <v>1782</v>
      </c>
      <c r="B249" s="103" t="s">
        <v>1579</v>
      </c>
      <c r="D249" s="103">
        <v>450</v>
      </c>
      <c r="E249" s="103">
        <v>450</v>
      </c>
      <c r="F249" s="103">
        <v>450</v>
      </c>
      <c r="G249" s="103">
        <v>450</v>
      </c>
      <c r="H249" s="103" t="s">
        <v>1559</v>
      </c>
      <c r="I249" s="103" t="s">
        <v>1736</v>
      </c>
      <c r="J249" s="103" t="s">
        <v>35</v>
      </c>
      <c r="K249" s="103" t="s">
        <v>1241</v>
      </c>
      <c r="L249" s="103" t="s">
        <v>1736</v>
      </c>
      <c r="M249" s="103" t="s">
        <v>43</v>
      </c>
      <c r="N249" s="103" t="s">
        <v>68</v>
      </c>
      <c r="O249" s="103" t="s">
        <v>305</v>
      </c>
      <c r="Q249" s="118" t="s">
        <v>1598</v>
      </c>
      <c r="R249" s="118" t="s">
        <v>1599</v>
      </c>
      <c r="U249" s="103">
        <v>1800</v>
      </c>
      <c r="V249" s="73" t="str">
        <f>_xlfn.XLOOKUP(B249,'Non-Projects (RUN-BAU)'!C:C,'Non-Projects (RUN-BAU)'!B:B,"",0)</f>
        <v/>
      </c>
      <c r="W249" s="73" t="str">
        <f>_xlfn.XLOOKUP(A249,'Ongoing Projects'!B:B,'Ongoing Projects'!B:B,"",0)</f>
        <v/>
      </c>
      <c r="X249" s="73" t="str">
        <f>_xlfn.XLOOKUP(B249,'New Projects'!D:D,'New Projects'!C:C,"",0)</f>
        <v/>
      </c>
      <c r="Y249" s="73" t="str">
        <f t="shared" si="12"/>
        <v/>
      </c>
      <c r="Z249" s="74" t="str">
        <f t="shared" si="13"/>
        <v>Missing</v>
      </c>
      <c r="AA249" s="74" t="str">
        <f t="shared" si="14"/>
        <v>Critical</v>
      </c>
    </row>
    <row r="250" spans="1:27" x14ac:dyDescent="0.2">
      <c r="A250" s="103" t="s">
        <v>1783</v>
      </c>
      <c r="B250" s="103" t="s">
        <v>1580</v>
      </c>
      <c r="D250" s="103">
        <v>0</v>
      </c>
      <c r="E250" s="103">
        <v>0</v>
      </c>
      <c r="F250" s="103">
        <v>0</v>
      </c>
      <c r="G250" s="103">
        <v>0</v>
      </c>
      <c r="H250" s="103" t="s">
        <v>1706</v>
      </c>
      <c r="I250" s="103" t="s">
        <v>1736</v>
      </c>
      <c r="J250" s="103" t="s">
        <v>37</v>
      </c>
      <c r="K250" s="103" t="s">
        <v>1224</v>
      </c>
      <c r="M250" s="103" t="s">
        <v>41</v>
      </c>
      <c r="N250" s="103" t="s">
        <v>71</v>
      </c>
      <c r="Q250" s="118" t="s">
        <v>3851</v>
      </c>
      <c r="R250" s="118" t="s">
        <v>1599</v>
      </c>
      <c r="U250" s="103">
        <v>0</v>
      </c>
      <c r="V250" s="73" t="str">
        <f>_xlfn.XLOOKUP(B250,'Non-Projects (RUN-BAU)'!C:C,'Non-Projects (RUN-BAU)'!B:B,"",0)</f>
        <v/>
      </c>
      <c r="W250" s="73" t="str">
        <f>_xlfn.XLOOKUP(A250,'Ongoing Projects'!B:B,'Ongoing Projects'!B:B,"",0)</f>
        <v/>
      </c>
      <c r="X250" s="73" t="str">
        <f>_xlfn.XLOOKUP(B250,'New Projects'!D:D,'New Projects'!C:C,"",0)</f>
        <v/>
      </c>
      <c r="Y250" s="73" t="str">
        <f t="shared" si="12"/>
        <v/>
      </c>
      <c r="Z250" s="74" t="str">
        <f t="shared" si="13"/>
        <v>Missing</v>
      </c>
      <c r="AA250" s="74" t="str">
        <f t="shared" si="14"/>
        <v/>
      </c>
    </row>
    <row r="251" spans="1:27" x14ac:dyDescent="0.2">
      <c r="A251" s="103" t="s">
        <v>1784</v>
      </c>
      <c r="B251" s="103" t="s">
        <v>1581</v>
      </c>
      <c r="D251" s="103">
        <v>506</v>
      </c>
      <c r="E251" s="103">
        <v>506</v>
      </c>
      <c r="F251" s="103">
        <v>506</v>
      </c>
      <c r="G251" s="103">
        <v>506</v>
      </c>
      <c r="H251" s="103" t="s">
        <v>1571</v>
      </c>
      <c r="I251" s="103" t="s">
        <v>1736</v>
      </c>
      <c r="J251" s="103" t="s">
        <v>889</v>
      </c>
      <c r="K251" s="103" t="s">
        <v>766</v>
      </c>
      <c r="L251" s="103" t="s">
        <v>1736</v>
      </c>
      <c r="M251" s="103" t="s">
        <v>41</v>
      </c>
      <c r="N251" s="103" t="s">
        <v>68</v>
      </c>
      <c r="O251" s="103" t="s">
        <v>767</v>
      </c>
      <c r="Q251" s="118" t="s">
        <v>1598</v>
      </c>
      <c r="R251" s="118" t="s">
        <v>1599</v>
      </c>
      <c r="U251" s="103">
        <v>2024</v>
      </c>
      <c r="V251" s="73" t="str">
        <f>_xlfn.XLOOKUP(B251,'Non-Projects (RUN-BAU)'!C:C,'Non-Projects (RUN-BAU)'!B:B,"",0)</f>
        <v/>
      </c>
      <c r="W251" s="73" t="str">
        <f>_xlfn.XLOOKUP(A251,'Ongoing Projects'!B:B,'Ongoing Projects'!B:B,"",0)</f>
        <v/>
      </c>
      <c r="X251" s="73" t="str">
        <f>_xlfn.XLOOKUP(B251,'New Projects'!D:D,'New Projects'!C:C,"",0)</f>
        <v/>
      </c>
      <c r="Y251" s="73" t="str">
        <f t="shared" si="12"/>
        <v/>
      </c>
      <c r="Z251" s="74" t="str">
        <f t="shared" si="13"/>
        <v>Missing</v>
      </c>
      <c r="AA251" s="74" t="str">
        <f t="shared" si="14"/>
        <v>Critical</v>
      </c>
    </row>
    <row r="252" spans="1:27" x14ac:dyDescent="0.2">
      <c r="A252" s="103" t="s">
        <v>1785</v>
      </c>
      <c r="B252" s="103" t="s">
        <v>1582</v>
      </c>
      <c r="D252" s="103">
        <v>143</v>
      </c>
      <c r="E252" s="103">
        <v>143</v>
      </c>
      <c r="F252" s="103">
        <v>143</v>
      </c>
      <c r="G252" s="103">
        <v>143</v>
      </c>
      <c r="H252" s="103" t="s">
        <v>1571</v>
      </c>
      <c r="I252" s="103" t="s">
        <v>1736</v>
      </c>
      <c r="J252" s="103" t="s">
        <v>889</v>
      </c>
      <c r="K252" s="103" t="s">
        <v>766</v>
      </c>
      <c r="L252" s="103" t="s">
        <v>1736</v>
      </c>
      <c r="M252" s="103" t="s">
        <v>41</v>
      </c>
      <c r="N252" s="103" t="s">
        <v>68</v>
      </c>
      <c r="O252" s="103" t="s">
        <v>767</v>
      </c>
      <c r="Q252" s="118" t="s">
        <v>1598</v>
      </c>
      <c r="R252" s="118" t="s">
        <v>1599</v>
      </c>
      <c r="U252" s="103">
        <v>572</v>
      </c>
      <c r="V252" s="73" t="str">
        <f>_xlfn.XLOOKUP(B252,'Non-Projects (RUN-BAU)'!C:C,'Non-Projects (RUN-BAU)'!B:B,"",0)</f>
        <v/>
      </c>
      <c r="W252" s="73" t="str">
        <f>_xlfn.XLOOKUP(A252,'Ongoing Projects'!B:B,'Ongoing Projects'!B:B,"",0)</f>
        <v/>
      </c>
      <c r="X252" s="73" t="str">
        <f>_xlfn.XLOOKUP(B252,'New Projects'!D:D,'New Projects'!C:C,"",0)</f>
        <v/>
      </c>
      <c r="Y252" s="73" t="str">
        <f t="shared" si="12"/>
        <v/>
      </c>
      <c r="Z252" s="74" t="str">
        <f t="shared" si="13"/>
        <v>Missing</v>
      </c>
      <c r="AA252" s="74" t="str">
        <f t="shared" si="14"/>
        <v>Critical</v>
      </c>
    </row>
    <row r="253" spans="1:27" x14ac:dyDescent="0.2">
      <c r="A253" s="103" t="s">
        <v>1786</v>
      </c>
      <c r="B253" s="103" t="s">
        <v>1583</v>
      </c>
      <c r="D253" s="103">
        <v>153</v>
      </c>
      <c r="E253" s="103">
        <v>153</v>
      </c>
      <c r="F253" s="103">
        <v>153</v>
      </c>
      <c r="G253" s="103">
        <v>153</v>
      </c>
      <c r="H253" s="103" t="s">
        <v>1571</v>
      </c>
      <c r="I253" s="103" t="s">
        <v>1736</v>
      </c>
      <c r="J253" s="103" t="s">
        <v>889</v>
      </c>
      <c r="K253" s="103" t="s">
        <v>766</v>
      </c>
      <c r="L253" s="103" t="s">
        <v>1736</v>
      </c>
      <c r="M253" s="103" t="s">
        <v>41</v>
      </c>
      <c r="N253" s="103" t="s">
        <v>68</v>
      </c>
      <c r="O253" s="103" t="s">
        <v>767</v>
      </c>
      <c r="Q253" s="118" t="s">
        <v>1598</v>
      </c>
      <c r="R253" s="118" t="s">
        <v>1599</v>
      </c>
      <c r="U253" s="103">
        <v>612</v>
      </c>
      <c r="V253" s="73" t="str">
        <f>_xlfn.XLOOKUP(B253,'Non-Projects (RUN-BAU)'!C:C,'Non-Projects (RUN-BAU)'!B:B,"",0)</f>
        <v/>
      </c>
      <c r="W253" s="73" t="str">
        <f>_xlfn.XLOOKUP(A253,'Ongoing Projects'!B:B,'Ongoing Projects'!B:B,"",0)</f>
        <v/>
      </c>
      <c r="X253" s="73" t="str">
        <f>_xlfn.XLOOKUP(B253,'New Projects'!D:D,'New Projects'!C:C,"",0)</f>
        <v/>
      </c>
      <c r="Y253" s="73" t="str">
        <f t="shared" si="12"/>
        <v/>
      </c>
      <c r="Z253" s="74" t="str">
        <f t="shared" si="13"/>
        <v>Missing</v>
      </c>
      <c r="AA253" s="74" t="str">
        <f t="shared" si="14"/>
        <v>Critical</v>
      </c>
    </row>
    <row r="254" spans="1:27" x14ac:dyDescent="0.2">
      <c r="A254" s="103" t="s">
        <v>3863</v>
      </c>
      <c r="B254" s="103" t="s">
        <v>605</v>
      </c>
      <c r="D254" s="103">
        <v>19</v>
      </c>
      <c r="E254" s="103">
        <v>20</v>
      </c>
      <c r="F254" s="103">
        <v>19</v>
      </c>
      <c r="G254" s="103">
        <v>21</v>
      </c>
      <c r="H254" s="103" t="s">
        <v>1686</v>
      </c>
      <c r="I254" s="103" t="s">
        <v>1736</v>
      </c>
      <c r="N254" s="103" t="s">
        <v>95</v>
      </c>
      <c r="Q254" s="118" t="s">
        <v>1598</v>
      </c>
      <c r="R254" s="118" t="s">
        <v>1599</v>
      </c>
      <c r="U254" s="103">
        <v>79</v>
      </c>
      <c r="V254" s="73" t="str">
        <f>_xlfn.XLOOKUP(B254,'Non-Projects (RUN-BAU)'!C:C,'Non-Projects (RUN-BAU)'!B:B,"",0)</f>
        <v/>
      </c>
      <c r="W254" s="73" t="str">
        <f>_xlfn.XLOOKUP(A254,'Ongoing Projects'!B:B,'Ongoing Projects'!B:B,"",0)</f>
        <v/>
      </c>
      <c r="X254" s="73" t="str">
        <f>_xlfn.XLOOKUP(B254,'New Projects'!D:D,'New Projects'!C:C,"",0)</f>
        <v/>
      </c>
      <c r="Y254" s="73" t="str">
        <f t="shared" si="12"/>
        <v/>
      </c>
      <c r="Z254" s="74" t="str">
        <f t="shared" si="13"/>
        <v>Missing</v>
      </c>
      <c r="AA254" s="74" t="str">
        <f t="shared" si="14"/>
        <v>Critical</v>
      </c>
    </row>
    <row r="255" spans="1:27" x14ac:dyDescent="0.2">
      <c r="A255" s="103" t="s">
        <v>1787</v>
      </c>
      <c r="B255" s="103" t="s">
        <v>1584</v>
      </c>
      <c r="D255" s="103">
        <v>406.25</v>
      </c>
      <c r="E255" s="103">
        <v>406.25</v>
      </c>
      <c r="F255" s="103">
        <v>406.25</v>
      </c>
      <c r="G255" s="103">
        <v>406.25</v>
      </c>
      <c r="H255" s="103" t="s">
        <v>1706</v>
      </c>
      <c r="I255" s="103" t="s">
        <v>1736</v>
      </c>
      <c r="J255" s="103" t="s">
        <v>37</v>
      </c>
      <c r="K255" s="103" t="s">
        <v>1224</v>
      </c>
      <c r="L255" s="103" t="s">
        <v>1736</v>
      </c>
      <c r="M255" s="103" t="s">
        <v>41</v>
      </c>
      <c r="N255" s="103" t="s">
        <v>71</v>
      </c>
      <c r="Q255" s="118" t="s">
        <v>1598</v>
      </c>
      <c r="R255" s="118" t="s">
        <v>1599</v>
      </c>
      <c r="U255" s="103">
        <v>1625</v>
      </c>
      <c r="V255" s="73" t="str">
        <f>_xlfn.XLOOKUP(B255,'Non-Projects (RUN-BAU)'!C:C,'Non-Projects (RUN-BAU)'!B:B,"",0)</f>
        <v/>
      </c>
      <c r="W255" s="73" t="str">
        <f>_xlfn.XLOOKUP(A255,'Ongoing Projects'!B:B,'Ongoing Projects'!B:B,"",0)</f>
        <v/>
      </c>
      <c r="X255" s="73" t="str">
        <f>_xlfn.XLOOKUP(B255,'New Projects'!D:D,'New Projects'!C:C,"",0)</f>
        <v/>
      </c>
      <c r="Y255" s="73" t="str">
        <f t="shared" si="12"/>
        <v/>
      </c>
      <c r="Z255" s="74" t="str">
        <f t="shared" si="13"/>
        <v>Missing</v>
      </c>
      <c r="AA255" s="74" t="str">
        <f t="shared" si="14"/>
        <v>Critical</v>
      </c>
    </row>
    <row r="256" spans="1:27" x14ac:dyDescent="0.2">
      <c r="A256" s="103" t="s">
        <v>1788</v>
      </c>
      <c r="B256" s="103" t="s">
        <v>1585</v>
      </c>
      <c r="D256" s="103">
        <v>75</v>
      </c>
      <c r="E256" s="103">
        <v>75</v>
      </c>
      <c r="F256" s="103">
        <v>75</v>
      </c>
      <c r="G256" s="103">
        <v>75</v>
      </c>
      <c r="H256" s="103" t="s">
        <v>1984</v>
      </c>
      <c r="I256" s="103" t="s">
        <v>1736</v>
      </c>
      <c r="J256" s="103" t="s">
        <v>889</v>
      </c>
      <c r="K256" s="103" t="s">
        <v>1618</v>
      </c>
      <c r="L256" s="103" t="s">
        <v>53</v>
      </c>
      <c r="M256" s="103" t="s">
        <v>43</v>
      </c>
      <c r="N256" s="103" t="s">
        <v>64</v>
      </c>
      <c r="O256" s="103" t="s">
        <v>767</v>
      </c>
      <c r="Q256" s="118" t="s">
        <v>1598</v>
      </c>
      <c r="R256" s="118" t="s">
        <v>1599</v>
      </c>
      <c r="U256" s="103">
        <v>300</v>
      </c>
      <c r="V256" s="73" t="str">
        <f>_xlfn.XLOOKUP(B256,'Non-Projects (RUN-BAU)'!C:C,'Non-Projects (RUN-BAU)'!B:B,"",0)</f>
        <v/>
      </c>
      <c r="W256" s="73" t="str">
        <f>_xlfn.XLOOKUP(A256,'Ongoing Projects'!B:B,'Ongoing Projects'!B:B,"",0)</f>
        <v/>
      </c>
      <c r="X256" s="73" t="str">
        <f>_xlfn.XLOOKUP(B256,'New Projects'!D:D,'New Projects'!C:C,"",0)</f>
        <v/>
      </c>
      <c r="Y256" s="73" t="str">
        <f t="shared" si="12"/>
        <v/>
      </c>
      <c r="Z256" s="74" t="str">
        <f t="shared" si="13"/>
        <v>Missing</v>
      </c>
      <c r="AA256" s="74" t="str">
        <f t="shared" si="14"/>
        <v>Critical</v>
      </c>
    </row>
    <row r="257" spans="1:27" x14ac:dyDescent="0.2">
      <c r="A257" s="103" t="s">
        <v>1789</v>
      </c>
      <c r="B257" s="103" t="s">
        <v>1586</v>
      </c>
      <c r="D257" s="103">
        <v>176</v>
      </c>
      <c r="E257" s="103">
        <v>240</v>
      </c>
      <c r="F257" s="103">
        <v>474</v>
      </c>
      <c r="G257" s="103">
        <v>300</v>
      </c>
      <c r="H257" s="103" t="s">
        <v>1246</v>
      </c>
      <c r="I257" s="103" t="s">
        <v>345</v>
      </c>
      <c r="J257" s="103" t="s">
        <v>13</v>
      </c>
      <c r="K257" s="103" t="s">
        <v>1241</v>
      </c>
      <c r="L257" s="103" t="s">
        <v>46</v>
      </c>
      <c r="M257" s="103" t="s">
        <v>41</v>
      </c>
      <c r="N257" s="103" t="s">
        <v>74</v>
      </c>
      <c r="Q257" s="118" t="s">
        <v>1598</v>
      </c>
      <c r="R257" s="118" t="s">
        <v>1599</v>
      </c>
      <c r="U257" s="103">
        <v>1190</v>
      </c>
      <c r="V257" s="73" t="str">
        <f>_xlfn.XLOOKUP(B257,'Non-Projects (RUN-BAU)'!C:C,'Non-Projects (RUN-BAU)'!B:B,"",0)</f>
        <v/>
      </c>
      <c r="W257" s="73" t="str">
        <f>_xlfn.XLOOKUP(A257,'Ongoing Projects'!B:B,'Ongoing Projects'!B:B,"",0)</f>
        <v/>
      </c>
      <c r="X257" s="73" t="str">
        <f>_xlfn.XLOOKUP(B257,'New Projects'!D:D,'New Projects'!C:C,"",0)</f>
        <v/>
      </c>
      <c r="Y257" s="73" t="str">
        <f t="shared" si="12"/>
        <v/>
      </c>
      <c r="Z257" s="74" t="str">
        <f t="shared" si="13"/>
        <v>Missing</v>
      </c>
      <c r="AA257" s="74" t="str">
        <f t="shared" si="14"/>
        <v>Critical</v>
      </c>
    </row>
    <row r="258" spans="1:27" x14ac:dyDescent="0.2">
      <c r="A258" s="103" t="s">
        <v>1790</v>
      </c>
      <c r="B258" s="103" t="s">
        <v>1587</v>
      </c>
      <c r="C258" s="103" t="s">
        <v>1985</v>
      </c>
      <c r="D258" s="103">
        <v>207</v>
      </c>
      <c r="E258" s="103">
        <v>215</v>
      </c>
      <c r="F258" s="103">
        <v>215</v>
      </c>
      <c r="G258" s="103">
        <v>215</v>
      </c>
      <c r="H258" s="103" t="s">
        <v>1652</v>
      </c>
      <c r="I258" s="103" t="s">
        <v>1736</v>
      </c>
      <c r="J258" s="103" t="s">
        <v>889</v>
      </c>
      <c r="K258" s="103" t="s">
        <v>1241</v>
      </c>
      <c r="L258" s="103" t="s">
        <v>53</v>
      </c>
      <c r="M258" s="103" t="s">
        <v>43</v>
      </c>
      <c r="N258" s="103" t="s">
        <v>74</v>
      </c>
      <c r="O258" s="103" t="s">
        <v>1242</v>
      </c>
      <c r="Q258" s="118" t="s">
        <v>1598</v>
      </c>
      <c r="R258" s="118" t="s">
        <v>1599</v>
      </c>
      <c r="U258" s="103">
        <v>852</v>
      </c>
      <c r="V258" s="73" t="str">
        <f>_xlfn.XLOOKUP(B258,'Non-Projects (RUN-BAU)'!C:C,'Non-Projects (RUN-BAU)'!B:B,"",0)</f>
        <v/>
      </c>
      <c r="W258" s="73" t="str">
        <f>_xlfn.XLOOKUP(A258,'Ongoing Projects'!B:B,'Ongoing Projects'!B:B,"",0)</f>
        <v/>
      </c>
      <c r="X258" s="73" t="str">
        <f>_xlfn.XLOOKUP(B258,'New Projects'!D:D,'New Projects'!C:C,"",0)</f>
        <v/>
      </c>
      <c r="Y258" s="73" t="str">
        <f t="shared" si="12"/>
        <v/>
      </c>
      <c r="Z258" s="74" t="str">
        <f t="shared" si="13"/>
        <v>Missing</v>
      </c>
      <c r="AA258" s="74" t="str">
        <f t="shared" si="14"/>
        <v>Critical</v>
      </c>
    </row>
    <row r="259" spans="1:27" x14ac:dyDescent="0.2">
      <c r="A259" s="103" t="s">
        <v>1986</v>
      </c>
      <c r="B259" s="103" t="s">
        <v>1987</v>
      </c>
      <c r="C259" s="103" t="s">
        <v>1863</v>
      </c>
      <c r="D259" s="103">
        <v>1</v>
      </c>
      <c r="E259" s="103">
        <v>1</v>
      </c>
      <c r="F259" s="103">
        <v>1</v>
      </c>
      <c r="G259" s="103">
        <v>1</v>
      </c>
      <c r="H259" s="103" t="s">
        <v>1988</v>
      </c>
      <c r="I259" s="103" t="s">
        <v>1945</v>
      </c>
      <c r="M259" s="103" t="s">
        <v>305</v>
      </c>
      <c r="N259" s="103" t="s">
        <v>95</v>
      </c>
      <c r="O259" s="103" t="s">
        <v>305</v>
      </c>
      <c r="Q259" s="118" t="s">
        <v>1598</v>
      </c>
      <c r="R259" s="118" t="s">
        <v>1599</v>
      </c>
      <c r="U259" s="103">
        <v>0</v>
      </c>
      <c r="V259" s="73" t="str">
        <f>_xlfn.XLOOKUP(B259,'Non-Projects (RUN-BAU)'!C:C,'Non-Projects (RUN-BAU)'!B:B,"",0)</f>
        <v/>
      </c>
      <c r="W259" s="73" t="str">
        <f>_xlfn.XLOOKUP(A259,'Ongoing Projects'!B:B,'Ongoing Projects'!B:B,"",0)</f>
        <v/>
      </c>
      <c r="X259" s="73" t="str">
        <f>_xlfn.XLOOKUP(B259,'New Projects'!D:D,'New Projects'!C:C,"",0)</f>
        <v/>
      </c>
      <c r="Y259" s="73" t="str">
        <f t="shared" si="12"/>
        <v/>
      </c>
      <c r="Z259" s="74" t="str">
        <f t="shared" si="13"/>
        <v>Missing</v>
      </c>
      <c r="AA259" s="74" t="str">
        <f t="shared" si="14"/>
        <v/>
      </c>
    </row>
    <row r="260" spans="1:27" x14ac:dyDescent="0.2">
      <c r="A260" s="103" t="s">
        <v>1989</v>
      </c>
      <c r="B260" s="103" t="s">
        <v>1990</v>
      </c>
      <c r="C260" s="103" t="s">
        <v>1863</v>
      </c>
      <c r="D260" s="103">
        <v>10</v>
      </c>
      <c r="E260" s="103">
        <v>10</v>
      </c>
      <c r="F260" s="103">
        <v>10</v>
      </c>
      <c r="G260" s="103">
        <v>9</v>
      </c>
      <c r="H260" s="103" t="s">
        <v>1988</v>
      </c>
      <c r="I260" s="103" t="s">
        <v>1945</v>
      </c>
      <c r="M260" s="103" t="s">
        <v>305</v>
      </c>
      <c r="N260" s="103" t="s">
        <v>95</v>
      </c>
      <c r="O260" s="103" t="s">
        <v>305</v>
      </c>
      <c r="Q260" s="118" t="s">
        <v>1598</v>
      </c>
      <c r="R260" s="118" t="s">
        <v>1599</v>
      </c>
      <c r="U260" s="103">
        <v>0</v>
      </c>
      <c r="V260" s="73" t="str">
        <f>_xlfn.XLOOKUP(B260,'Non-Projects (RUN-BAU)'!C:C,'Non-Projects (RUN-BAU)'!B:B,"",0)</f>
        <v/>
      </c>
      <c r="W260" s="73" t="str">
        <f>_xlfn.XLOOKUP(A260,'Ongoing Projects'!B:B,'Ongoing Projects'!B:B,"",0)</f>
        <v/>
      </c>
      <c r="X260" s="73" t="str">
        <f>_xlfn.XLOOKUP(B260,'New Projects'!D:D,'New Projects'!C:C,"",0)</f>
        <v/>
      </c>
      <c r="Y260" s="73" t="str">
        <f t="shared" si="12"/>
        <v/>
      </c>
      <c r="Z260" s="74" t="str">
        <f t="shared" si="13"/>
        <v>Missing</v>
      </c>
      <c r="AA260" s="74" t="str">
        <f t="shared" si="14"/>
        <v/>
      </c>
    </row>
    <row r="261" spans="1:27" x14ac:dyDescent="0.2">
      <c r="A261" s="103" t="s">
        <v>1991</v>
      </c>
      <c r="B261" s="103" t="s">
        <v>1992</v>
      </c>
      <c r="C261" s="103" t="s">
        <v>1863</v>
      </c>
      <c r="D261" s="103">
        <v>12</v>
      </c>
      <c r="E261" s="103">
        <v>13</v>
      </c>
      <c r="F261" s="103">
        <v>12</v>
      </c>
      <c r="G261" s="103">
        <v>12</v>
      </c>
      <c r="H261" s="103" t="s">
        <v>1988</v>
      </c>
      <c r="I261" s="103" t="s">
        <v>1945</v>
      </c>
      <c r="M261" s="103" t="s">
        <v>305</v>
      </c>
      <c r="N261" s="103" t="s">
        <v>95</v>
      </c>
      <c r="O261" s="103" t="s">
        <v>305</v>
      </c>
      <c r="Q261" s="118" t="s">
        <v>1598</v>
      </c>
      <c r="R261" s="118" t="s">
        <v>1599</v>
      </c>
      <c r="U261" s="103">
        <v>0</v>
      </c>
      <c r="V261" s="73" t="str">
        <f>_xlfn.XLOOKUP(B261,'Non-Projects (RUN-BAU)'!C:C,'Non-Projects (RUN-BAU)'!B:B,"",0)</f>
        <v/>
      </c>
      <c r="W261" s="73" t="str">
        <f>_xlfn.XLOOKUP(A261,'Ongoing Projects'!B:B,'Ongoing Projects'!B:B,"",0)</f>
        <v/>
      </c>
      <c r="X261" s="73" t="str">
        <f>_xlfn.XLOOKUP(B261,'New Projects'!D:D,'New Projects'!C:C,"",0)</f>
        <v/>
      </c>
      <c r="Y261" s="73" t="str">
        <f t="shared" si="12"/>
        <v/>
      </c>
      <c r="Z261" s="74" t="str">
        <f t="shared" si="13"/>
        <v>Missing</v>
      </c>
      <c r="AA261" s="74" t="str">
        <f t="shared" si="14"/>
        <v/>
      </c>
    </row>
    <row r="262" spans="1:27" x14ac:dyDescent="0.2">
      <c r="A262" s="103" t="s">
        <v>1993</v>
      </c>
      <c r="B262" s="103" t="s">
        <v>1994</v>
      </c>
      <c r="C262" s="103" t="s">
        <v>1863</v>
      </c>
      <c r="D262" s="103">
        <v>10</v>
      </c>
      <c r="E262" s="103">
        <v>10</v>
      </c>
      <c r="F262" s="103">
        <v>10</v>
      </c>
      <c r="G262" s="103">
        <v>9</v>
      </c>
      <c r="H262" s="103" t="s">
        <v>1988</v>
      </c>
      <c r="I262" s="103" t="s">
        <v>1945</v>
      </c>
      <c r="M262" s="103" t="s">
        <v>305</v>
      </c>
      <c r="N262" s="103" t="s">
        <v>95</v>
      </c>
      <c r="O262" s="103" t="s">
        <v>305</v>
      </c>
      <c r="Q262" s="118" t="s">
        <v>1598</v>
      </c>
      <c r="R262" s="118" t="s">
        <v>1599</v>
      </c>
      <c r="U262" s="103">
        <v>0</v>
      </c>
      <c r="V262" s="73" t="str">
        <f>_xlfn.XLOOKUP(B262,'Non-Projects (RUN-BAU)'!C:C,'Non-Projects (RUN-BAU)'!B:B,"",0)</f>
        <v/>
      </c>
      <c r="W262" s="73" t="str">
        <f>_xlfn.XLOOKUP(A262,'Ongoing Projects'!B:B,'Ongoing Projects'!B:B,"",0)</f>
        <v/>
      </c>
      <c r="X262" s="73" t="str">
        <f>_xlfn.XLOOKUP(B262,'New Projects'!D:D,'New Projects'!C:C,"",0)</f>
        <v/>
      </c>
      <c r="Y262" s="73" t="str">
        <f t="shared" si="12"/>
        <v/>
      </c>
      <c r="Z262" s="74" t="str">
        <f t="shared" si="13"/>
        <v>Missing</v>
      </c>
      <c r="AA262" s="74" t="str">
        <f t="shared" si="14"/>
        <v/>
      </c>
    </row>
    <row r="263" spans="1:27" x14ac:dyDescent="0.2">
      <c r="A263" s="103" t="s">
        <v>1995</v>
      </c>
      <c r="B263" s="103" t="s">
        <v>1996</v>
      </c>
      <c r="C263" s="103" t="s">
        <v>1863</v>
      </c>
      <c r="D263" s="103">
        <v>1</v>
      </c>
      <c r="E263" s="103">
        <v>1</v>
      </c>
      <c r="F263" s="103">
        <v>1</v>
      </c>
      <c r="G263" s="103">
        <v>2</v>
      </c>
      <c r="H263" s="103" t="s">
        <v>1988</v>
      </c>
      <c r="I263" s="103" t="s">
        <v>1945</v>
      </c>
      <c r="M263" s="103" t="s">
        <v>305</v>
      </c>
      <c r="N263" s="103" t="s">
        <v>95</v>
      </c>
      <c r="O263" s="103" t="s">
        <v>305</v>
      </c>
      <c r="Q263" s="118" t="s">
        <v>1598</v>
      </c>
      <c r="R263" s="118" t="s">
        <v>1599</v>
      </c>
      <c r="U263" s="103">
        <v>0</v>
      </c>
      <c r="V263" s="73" t="str">
        <f>_xlfn.XLOOKUP(B263,'Non-Projects (RUN-BAU)'!C:C,'Non-Projects (RUN-BAU)'!B:B,"",0)</f>
        <v/>
      </c>
      <c r="W263" s="73" t="str">
        <f>_xlfn.XLOOKUP(A263,'Ongoing Projects'!B:B,'Ongoing Projects'!B:B,"",0)</f>
        <v/>
      </c>
      <c r="X263" s="73" t="str">
        <f>_xlfn.XLOOKUP(B263,'New Projects'!D:D,'New Projects'!C:C,"",0)</f>
        <v/>
      </c>
      <c r="Y263" s="73" t="str">
        <f t="shared" si="12"/>
        <v/>
      </c>
      <c r="Z263" s="74" t="str">
        <f t="shared" si="13"/>
        <v>Missing</v>
      </c>
      <c r="AA263" s="74" t="str">
        <f t="shared" si="14"/>
        <v/>
      </c>
    </row>
    <row r="264" spans="1:27" x14ac:dyDescent="0.2">
      <c r="A264" s="103" t="s">
        <v>1997</v>
      </c>
      <c r="B264" s="103" t="s">
        <v>1998</v>
      </c>
      <c r="C264" s="103" t="s">
        <v>1999</v>
      </c>
      <c r="D264" s="103">
        <v>10</v>
      </c>
      <c r="E264" s="103">
        <v>10</v>
      </c>
      <c r="F264" s="103">
        <v>10</v>
      </c>
      <c r="G264" s="103">
        <v>10</v>
      </c>
      <c r="H264" s="103" t="s">
        <v>2000</v>
      </c>
      <c r="I264" s="103" t="s">
        <v>1945</v>
      </c>
      <c r="J264" s="103" t="s">
        <v>13</v>
      </c>
      <c r="L264" s="103" t="s">
        <v>46</v>
      </c>
      <c r="M264" s="103" t="s">
        <v>43</v>
      </c>
      <c r="N264" s="103" t="s">
        <v>95</v>
      </c>
      <c r="O264" s="103" t="s">
        <v>305</v>
      </c>
      <c r="Q264" s="118" t="s">
        <v>1598</v>
      </c>
      <c r="R264" s="118" t="s">
        <v>1599</v>
      </c>
      <c r="U264" s="103">
        <v>0</v>
      </c>
      <c r="V264" s="73" t="str">
        <f>_xlfn.XLOOKUP(B264,'Non-Projects (RUN-BAU)'!C:C,'Non-Projects (RUN-BAU)'!B:B,"",0)</f>
        <v/>
      </c>
      <c r="W264" s="73" t="str">
        <f>_xlfn.XLOOKUP(A264,'Ongoing Projects'!B:B,'Ongoing Projects'!B:B,"",0)</f>
        <v/>
      </c>
      <c r="X264" s="73" t="str">
        <f>_xlfn.XLOOKUP(B264,'New Projects'!D:D,'New Projects'!C:C,"",0)</f>
        <v/>
      </c>
      <c r="Y264" s="73" t="str">
        <f t="shared" si="12"/>
        <v/>
      </c>
      <c r="Z264" s="74" t="str">
        <f t="shared" si="13"/>
        <v>Missing</v>
      </c>
      <c r="AA264" s="74" t="str">
        <f t="shared" si="14"/>
        <v/>
      </c>
    </row>
    <row r="265" spans="1:27" x14ac:dyDescent="0.2">
      <c r="A265" s="103" t="s">
        <v>748</v>
      </c>
      <c r="B265" s="103" t="s">
        <v>749</v>
      </c>
      <c r="D265" s="103">
        <v>580</v>
      </c>
      <c r="E265" s="103">
        <v>960</v>
      </c>
      <c r="F265" s="103">
        <v>1550</v>
      </c>
      <c r="G265" s="103">
        <v>1640</v>
      </c>
      <c r="H265" s="103" t="s">
        <v>2001</v>
      </c>
      <c r="I265" s="103" t="s">
        <v>1597</v>
      </c>
      <c r="J265" s="103" t="s">
        <v>35</v>
      </c>
      <c r="K265" s="103" t="s">
        <v>750</v>
      </c>
      <c r="L265" s="103" t="s">
        <v>49</v>
      </c>
      <c r="M265" s="103" t="s">
        <v>43</v>
      </c>
      <c r="N265" s="103" t="s">
        <v>64</v>
      </c>
      <c r="O265" s="103" t="s">
        <v>751</v>
      </c>
      <c r="Q265" s="118" t="s">
        <v>1598</v>
      </c>
      <c r="R265" s="118" t="s">
        <v>1599</v>
      </c>
      <c r="U265" s="103">
        <v>4340</v>
      </c>
      <c r="V265" s="73" t="str">
        <f>_xlfn.XLOOKUP(B265,'Non-Projects (RUN-BAU)'!C:C,'Non-Projects (RUN-BAU)'!B:B,"",0)</f>
        <v/>
      </c>
      <c r="W265" s="73" t="str">
        <f>_xlfn.XLOOKUP(A265,'Ongoing Projects'!B:B,'Ongoing Projects'!B:B,"",0)</f>
        <v/>
      </c>
      <c r="X265" s="73" t="str">
        <f>_xlfn.XLOOKUP(B265,'New Projects'!D:D,'New Projects'!C:C,"",0)</f>
        <v/>
      </c>
      <c r="Y265" s="73" t="str">
        <f t="shared" si="12"/>
        <v/>
      </c>
      <c r="Z265" s="74" t="str">
        <f t="shared" si="13"/>
        <v>Missing</v>
      </c>
      <c r="AA265" s="74" t="str">
        <f t="shared" si="14"/>
        <v>Critical</v>
      </c>
    </row>
    <row r="266" spans="1:27" x14ac:dyDescent="0.2">
      <c r="A266" s="103" t="s">
        <v>777</v>
      </c>
      <c r="B266" s="103" t="s">
        <v>778</v>
      </c>
      <c r="C266" s="103" t="s">
        <v>2002</v>
      </c>
      <c r="D266" s="103">
        <v>50</v>
      </c>
      <c r="E266" s="103">
        <v>50</v>
      </c>
      <c r="F266" s="103">
        <v>175</v>
      </c>
      <c r="G266" s="103">
        <v>125</v>
      </c>
      <c r="H266" s="103" t="s">
        <v>791</v>
      </c>
      <c r="I266" s="103" t="s">
        <v>1597</v>
      </c>
      <c r="J266" s="103" t="s">
        <v>13</v>
      </c>
      <c r="K266" s="103" t="s">
        <v>810</v>
      </c>
      <c r="L266" s="103" t="s">
        <v>49</v>
      </c>
      <c r="M266" s="103" t="s">
        <v>43</v>
      </c>
      <c r="N266" s="103" t="s">
        <v>71</v>
      </c>
      <c r="O266" s="103" t="s">
        <v>779</v>
      </c>
      <c r="Q266" s="118" t="s">
        <v>1598</v>
      </c>
      <c r="R266" s="118" t="s">
        <v>1599</v>
      </c>
      <c r="U266" s="103">
        <v>200</v>
      </c>
      <c r="V266" s="73" t="str">
        <f>_xlfn.XLOOKUP(B266,'Non-Projects (RUN-BAU)'!C:C,'Non-Projects (RUN-BAU)'!B:B,"",0)</f>
        <v/>
      </c>
      <c r="W266" s="73" t="str">
        <f>_xlfn.XLOOKUP(A266,'Ongoing Projects'!B:B,'Ongoing Projects'!B:B,"",0)</f>
        <v/>
      </c>
      <c r="X266" s="73" t="str">
        <f>_xlfn.XLOOKUP(B266,'New Projects'!D:D,'New Projects'!C:C,"",0)</f>
        <v/>
      </c>
      <c r="Y266" s="73" t="str">
        <f t="shared" si="12"/>
        <v/>
      </c>
      <c r="Z266" s="74" t="str">
        <f t="shared" si="13"/>
        <v>Missing</v>
      </c>
      <c r="AA266" s="74" t="str">
        <f t="shared" si="14"/>
        <v>Critical</v>
      </c>
    </row>
    <row r="267" spans="1:27" x14ac:dyDescent="0.2">
      <c r="A267" s="103" t="s">
        <v>784</v>
      </c>
      <c r="B267" s="103" t="s">
        <v>785</v>
      </c>
      <c r="C267" s="103" t="s">
        <v>2003</v>
      </c>
      <c r="D267" s="103">
        <v>633</v>
      </c>
      <c r="E267" s="103">
        <v>774</v>
      </c>
      <c r="F267" s="103">
        <v>349</v>
      </c>
      <c r="G267" s="103">
        <v>314</v>
      </c>
      <c r="H267" s="103" t="s">
        <v>1609</v>
      </c>
      <c r="I267" s="103" t="s">
        <v>1597</v>
      </c>
      <c r="J267" s="103" t="s">
        <v>35</v>
      </c>
      <c r="K267" s="103" t="s">
        <v>898</v>
      </c>
      <c r="L267" s="103" t="s">
        <v>1949</v>
      </c>
      <c r="M267" s="103" t="s">
        <v>43</v>
      </c>
      <c r="N267" s="103" t="s">
        <v>71</v>
      </c>
      <c r="O267" s="103" t="s">
        <v>787</v>
      </c>
      <c r="P267" s="103" t="s">
        <v>1615</v>
      </c>
      <c r="Q267" s="118" t="s">
        <v>1598</v>
      </c>
      <c r="R267" s="118" t="s">
        <v>1599</v>
      </c>
      <c r="S267" s="103" t="s">
        <v>2004</v>
      </c>
      <c r="U267" s="103">
        <v>2070</v>
      </c>
      <c r="V267" s="73" t="str">
        <f>_xlfn.XLOOKUP(B267,'Non-Projects (RUN-BAU)'!C:C,'Non-Projects (RUN-BAU)'!B:B,"",0)</f>
        <v/>
      </c>
      <c r="W267" s="73" t="str">
        <f>_xlfn.XLOOKUP(A267,'Ongoing Projects'!B:B,'Ongoing Projects'!B:B,"",0)</f>
        <v/>
      </c>
      <c r="X267" s="73" t="str">
        <f>_xlfn.XLOOKUP(B267,'New Projects'!D:D,'New Projects'!C:C,"",0)</f>
        <v/>
      </c>
      <c r="Y267" s="73" t="str">
        <f t="shared" si="12"/>
        <v/>
      </c>
      <c r="Z267" s="74" t="str">
        <f t="shared" si="13"/>
        <v>Missing</v>
      </c>
      <c r="AA267" s="74" t="str">
        <f t="shared" si="14"/>
        <v>Critical</v>
      </c>
    </row>
    <row r="268" spans="1:27" x14ac:dyDescent="0.2">
      <c r="A268" s="103" t="s">
        <v>795</v>
      </c>
      <c r="B268" s="103" t="s">
        <v>796</v>
      </c>
      <c r="C268" s="103" t="s">
        <v>2005</v>
      </c>
      <c r="D268" s="103">
        <v>828</v>
      </c>
      <c r="E268" s="103">
        <v>928</v>
      </c>
      <c r="F268" s="103">
        <v>958</v>
      </c>
      <c r="G268" s="103">
        <v>888</v>
      </c>
      <c r="H268" s="103" t="s">
        <v>783</v>
      </c>
      <c r="J268" s="103" t="s">
        <v>13</v>
      </c>
      <c r="K268" s="103" t="s">
        <v>810</v>
      </c>
      <c r="L268" s="103" t="s">
        <v>49</v>
      </c>
      <c r="M268" s="103" t="s">
        <v>43</v>
      </c>
      <c r="N268" s="103" t="s">
        <v>71</v>
      </c>
      <c r="O268" s="103" t="s">
        <v>779</v>
      </c>
      <c r="Q268" s="118" t="s">
        <v>1598</v>
      </c>
      <c r="R268" s="118" t="s">
        <v>1599</v>
      </c>
      <c r="U268" s="103">
        <v>2842</v>
      </c>
      <c r="V268" s="73" t="str">
        <f>_xlfn.XLOOKUP(B268,'Non-Projects (RUN-BAU)'!C:C,'Non-Projects (RUN-BAU)'!B:B,"",0)</f>
        <v/>
      </c>
      <c r="W268" s="73" t="str">
        <f>_xlfn.XLOOKUP(A268,'Ongoing Projects'!B:B,'Ongoing Projects'!B:B,"",0)</f>
        <v/>
      </c>
      <c r="X268" s="73" t="str">
        <f>_xlfn.XLOOKUP(B268,'New Projects'!D:D,'New Projects'!C:C,"",0)</f>
        <v/>
      </c>
      <c r="Y268" s="73" t="str">
        <f t="shared" si="12"/>
        <v/>
      </c>
      <c r="Z268" s="74" t="str">
        <f t="shared" si="13"/>
        <v>Missing</v>
      </c>
      <c r="AA268" s="74" t="str">
        <f t="shared" si="14"/>
        <v>Critical</v>
      </c>
    </row>
    <row r="269" spans="1:27" x14ac:dyDescent="0.2">
      <c r="A269" s="103" t="s">
        <v>808</v>
      </c>
      <c r="B269" s="103" t="s">
        <v>809</v>
      </c>
      <c r="C269" s="103" t="s">
        <v>2006</v>
      </c>
      <c r="D269" s="103">
        <v>37.5</v>
      </c>
      <c r="E269" s="103">
        <v>37.5</v>
      </c>
      <c r="F269" s="103">
        <v>37.5</v>
      </c>
      <c r="G269" s="103">
        <v>37.5</v>
      </c>
      <c r="H269" s="103" t="s">
        <v>811</v>
      </c>
      <c r="I269" s="103" t="s">
        <v>1597</v>
      </c>
      <c r="J269" s="103" t="s">
        <v>23</v>
      </c>
      <c r="K269" s="103" t="s">
        <v>810</v>
      </c>
      <c r="L269" s="103" t="s">
        <v>51</v>
      </c>
      <c r="M269" s="103" t="s">
        <v>43</v>
      </c>
      <c r="N269" s="103" t="s">
        <v>71</v>
      </c>
      <c r="O269" s="103" t="s">
        <v>779</v>
      </c>
      <c r="Q269" s="118" t="s">
        <v>1598</v>
      </c>
      <c r="R269" s="118" t="s">
        <v>1599</v>
      </c>
      <c r="U269" s="103">
        <v>150</v>
      </c>
      <c r="V269" s="73" t="str">
        <f>_xlfn.XLOOKUP(B269,'Non-Projects (RUN-BAU)'!C:C,'Non-Projects (RUN-BAU)'!B:B,"",0)</f>
        <v/>
      </c>
      <c r="W269" s="73" t="str">
        <f>_xlfn.XLOOKUP(A269,'Ongoing Projects'!B:B,'Ongoing Projects'!B:B,"",0)</f>
        <v/>
      </c>
      <c r="X269" s="73" t="str">
        <f>_xlfn.XLOOKUP(B269,'New Projects'!D:D,'New Projects'!C:C,"",0)</f>
        <v/>
      </c>
      <c r="Y269" s="73" t="str">
        <f t="shared" si="12"/>
        <v/>
      </c>
      <c r="Z269" s="74" t="str">
        <f t="shared" si="13"/>
        <v>Missing</v>
      </c>
      <c r="AA269" s="74" t="str">
        <f t="shared" si="14"/>
        <v>Critical</v>
      </c>
    </row>
    <row r="270" spans="1:27" x14ac:dyDescent="0.2">
      <c r="A270" s="103" t="s">
        <v>818</v>
      </c>
      <c r="B270" s="103" t="s">
        <v>819</v>
      </c>
      <c r="C270" s="103" t="s">
        <v>2007</v>
      </c>
      <c r="D270" s="103">
        <v>430</v>
      </c>
      <c r="E270" s="103">
        <v>450</v>
      </c>
      <c r="F270" s="103">
        <v>540</v>
      </c>
      <c r="G270" s="103">
        <v>400</v>
      </c>
      <c r="H270" s="103" t="s">
        <v>820</v>
      </c>
      <c r="J270" s="103" t="s">
        <v>23</v>
      </c>
      <c r="K270" s="103" t="s">
        <v>810</v>
      </c>
      <c r="L270" s="103" t="s">
        <v>51</v>
      </c>
      <c r="M270" s="103" t="s">
        <v>43</v>
      </c>
      <c r="N270" s="103" t="s">
        <v>71</v>
      </c>
      <c r="O270" s="103" t="s">
        <v>779</v>
      </c>
      <c r="Q270" s="118" t="s">
        <v>1598</v>
      </c>
      <c r="R270" s="118" t="s">
        <v>1599</v>
      </c>
      <c r="U270" s="103">
        <v>920</v>
      </c>
      <c r="V270" s="73" t="str">
        <f>_xlfn.XLOOKUP(B270,'Non-Projects (RUN-BAU)'!C:C,'Non-Projects (RUN-BAU)'!B:B,"",0)</f>
        <v/>
      </c>
      <c r="W270" s="73" t="str">
        <f>_xlfn.XLOOKUP(A270,'Ongoing Projects'!B:B,'Ongoing Projects'!B:B,"",0)</f>
        <v/>
      </c>
      <c r="X270" s="73" t="str">
        <f>_xlfn.XLOOKUP(B270,'New Projects'!D:D,'New Projects'!C:C,"",0)</f>
        <v/>
      </c>
      <c r="Y270" s="73" t="str">
        <f t="shared" si="12"/>
        <v/>
      </c>
      <c r="Z270" s="74" t="str">
        <f t="shared" si="13"/>
        <v>Missing</v>
      </c>
      <c r="AA270" s="74" t="str">
        <f t="shared" si="14"/>
        <v>Critical</v>
      </c>
    </row>
    <row r="271" spans="1:27" x14ac:dyDescent="0.2">
      <c r="A271" s="103" t="s">
        <v>823</v>
      </c>
      <c r="B271" s="103" t="s">
        <v>824</v>
      </c>
      <c r="C271" s="103" t="s">
        <v>2008</v>
      </c>
      <c r="D271" s="103">
        <v>161.25</v>
      </c>
      <c r="E271" s="103">
        <v>0</v>
      </c>
      <c r="F271" s="103">
        <v>0</v>
      </c>
      <c r="G271" s="103">
        <v>0</v>
      </c>
      <c r="H271" s="103" t="s">
        <v>1617</v>
      </c>
      <c r="I271" s="103" t="s">
        <v>1597</v>
      </c>
      <c r="J271" s="103" t="s">
        <v>13</v>
      </c>
      <c r="K271" s="103" t="s">
        <v>750</v>
      </c>
      <c r="L271" s="103" t="s">
        <v>46</v>
      </c>
      <c r="M271" s="103" t="s">
        <v>41</v>
      </c>
      <c r="N271" s="103" t="s">
        <v>64</v>
      </c>
      <c r="O271" s="103" t="s">
        <v>751</v>
      </c>
      <c r="Q271" s="118" t="s">
        <v>1598</v>
      </c>
      <c r="R271" s="118" t="s">
        <v>1610</v>
      </c>
      <c r="U271" s="103">
        <v>161.25</v>
      </c>
      <c r="V271" s="73" t="str">
        <f>_xlfn.XLOOKUP(B271,'Non-Projects (RUN-BAU)'!C:C,'Non-Projects (RUN-BAU)'!B:B,"",0)</f>
        <v/>
      </c>
      <c r="W271" s="73" t="str">
        <f>_xlfn.XLOOKUP(A271,'Ongoing Projects'!B:B,'Ongoing Projects'!B:B,"",0)</f>
        <v/>
      </c>
      <c r="X271" s="73" t="str">
        <f>_xlfn.XLOOKUP(B271,'New Projects'!D:D,'New Projects'!C:C,"",0)</f>
        <v/>
      </c>
      <c r="Y271" s="73" t="str">
        <f t="shared" si="12"/>
        <v/>
      </c>
      <c r="Z271" s="74" t="str">
        <f t="shared" si="13"/>
        <v>Missing</v>
      </c>
      <c r="AA271" s="74" t="str">
        <f t="shared" si="14"/>
        <v>Critical</v>
      </c>
    </row>
    <row r="272" spans="1:27" x14ac:dyDescent="0.2">
      <c r="A272" s="103" t="s">
        <v>853</v>
      </c>
      <c r="B272" s="103" t="s">
        <v>854</v>
      </c>
      <c r="C272" s="103" t="s">
        <v>2009</v>
      </c>
      <c r="D272" s="103">
        <v>760</v>
      </c>
      <c r="E272" s="103">
        <v>775</v>
      </c>
      <c r="F272" s="103">
        <v>705</v>
      </c>
      <c r="G272" s="103">
        <v>760</v>
      </c>
      <c r="H272" s="103" t="s">
        <v>811</v>
      </c>
      <c r="I272" s="103" t="s">
        <v>1597</v>
      </c>
      <c r="J272" s="103" t="s">
        <v>20</v>
      </c>
      <c r="K272" s="103" t="s">
        <v>810</v>
      </c>
      <c r="L272" s="103" t="s">
        <v>61</v>
      </c>
      <c r="M272" s="103" t="s">
        <v>786</v>
      </c>
      <c r="N272" s="103" t="s">
        <v>71</v>
      </c>
      <c r="O272" s="103" t="s">
        <v>779</v>
      </c>
      <c r="Q272" s="118" t="s">
        <v>1598</v>
      </c>
      <c r="R272" s="118" t="s">
        <v>1599</v>
      </c>
      <c r="U272" s="103">
        <v>2000</v>
      </c>
      <c r="V272" s="73" t="str">
        <f>_xlfn.XLOOKUP(B272,'Non-Projects (RUN-BAU)'!C:C,'Non-Projects (RUN-BAU)'!B:B,"",0)</f>
        <v/>
      </c>
      <c r="W272" s="73" t="str">
        <f>_xlfn.XLOOKUP(A272,'Ongoing Projects'!B:B,'Ongoing Projects'!B:B,"",0)</f>
        <v/>
      </c>
      <c r="X272" s="73" t="str">
        <f>_xlfn.XLOOKUP(B272,'New Projects'!D:D,'New Projects'!C:C,"",0)</f>
        <v/>
      </c>
      <c r="Y272" s="73" t="str">
        <f t="shared" si="12"/>
        <v/>
      </c>
      <c r="Z272" s="74" t="str">
        <f t="shared" si="13"/>
        <v>Missing</v>
      </c>
      <c r="AA272" s="74" t="str">
        <f t="shared" si="14"/>
        <v>Critical</v>
      </c>
    </row>
    <row r="273" spans="1:27" x14ac:dyDescent="0.2">
      <c r="A273" s="103" t="s">
        <v>855</v>
      </c>
      <c r="B273" s="103" t="s">
        <v>856</v>
      </c>
      <c r="C273" s="103" t="s">
        <v>2010</v>
      </c>
      <c r="D273" s="103">
        <v>150</v>
      </c>
      <c r="E273" s="103">
        <v>260</v>
      </c>
      <c r="F273" s="103">
        <v>255</v>
      </c>
      <c r="G273" s="103">
        <v>225</v>
      </c>
      <c r="H273" s="103" t="s">
        <v>791</v>
      </c>
      <c r="I273" s="103" t="s">
        <v>1597</v>
      </c>
      <c r="J273" s="103" t="s">
        <v>20</v>
      </c>
      <c r="K273" s="103" t="s">
        <v>898</v>
      </c>
      <c r="L273" s="103" t="s">
        <v>1944</v>
      </c>
      <c r="M273" s="103" t="s">
        <v>43</v>
      </c>
      <c r="N273" s="103" t="s">
        <v>71</v>
      </c>
      <c r="O273" s="103" t="s">
        <v>787</v>
      </c>
      <c r="Q273" s="118" t="s">
        <v>1598</v>
      </c>
      <c r="R273" s="118" t="s">
        <v>1599</v>
      </c>
      <c r="S273" s="103" t="s">
        <v>2011</v>
      </c>
      <c r="T273" s="103" t="s">
        <v>2012</v>
      </c>
      <c r="U273" s="103">
        <v>370</v>
      </c>
      <c r="V273" s="73" t="str">
        <f>_xlfn.XLOOKUP(B273,'Non-Projects (RUN-BAU)'!C:C,'Non-Projects (RUN-BAU)'!B:B,"",0)</f>
        <v/>
      </c>
      <c r="W273" s="73" t="str">
        <f>_xlfn.XLOOKUP(A273,'Ongoing Projects'!B:B,'Ongoing Projects'!B:B,"",0)</f>
        <v/>
      </c>
      <c r="X273" s="73" t="str">
        <f>_xlfn.XLOOKUP(B273,'New Projects'!D:D,'New Projects'!C:C,"",0)</f>
        <v/>
      </c>
      <c r="Y273" s="73" t="str">
        <f t="shared" si="12"/>
        <v/>
      </c>
      <c r="Z273" s="74" t="str">
        <f t="shared" si="13"/>
        <v>Missing</v>
      </c>
      <c r="AA273" s="74" t="str">
        <f t="shared" si="14"/>
        <v>Critical</v>
      </c>
    </row>
    <row r="274" spans="1:27" x14ac:dyDescent="0.2">
      <c r="A274" s="103" t="s">
        <v>857</v>
      </c>
      <c r="B274" s="103" t="s">
        <v>858</v>
      </c>
      <c r="C274" s="103" t="s">
        <v>2013</v>
      </c>
      <c r="D274" s="103">
        <v>90</v>
      </c>
      <c r="E274" s="103">
        <v>85</v>
      </c>
      <c r="F274" s="103">
        <v>50</v>
      </c>
      <c r="G274" s="103">
        <v>50</v>
      </c>
      <c r="H274" s="103" t="s">
        <v>811</v>
      </c>
      <c r="I274" s="103" t="s">
        <v>1597</v>
      </c>
      <c r="J274" s="103" t="s">
        <v>20</v>
      </c>
      <c r="K274" s="103" t="s">
        <v>810</v>
      </c>
      <c r="L274" s="103" t="s">
        <v>1944</v>
      </c>
      <c r="M274" s="103" t="s">
        <v>786</v>
      </c>
      <c r="N274" s="103" t="s">
        <v>71</v>
      </c>
      <c r="O274" s="103" t="s">
        <v>787</v>
      </c>
      <c r="Q274" s="118" t="s">
        <v>1598</v>
      </c>
      <c r="R274" s="118" t="s">
        <v>1599</v>
      </c>
      <c r="U274" s="103">
        <v>275</v>
      </c>
      <c r="V274" s="73" t="str">
        <f>_xlfn.XLOOKUP(B274,'Non-Projects (RUN-BAU)'!C:C,'Non-Projects (RUN-BAU)'!B:B,"",0)</f>
        <v/>
      </c>
      <c r="W274" s="73" t="str">
        <f>_xlfn.XLOOKUP(A274,'Ongoing Projects'!B:B,'Ongoing Projects'!B:B,"",0)</f>
        <v/>
      </c>
      <c r="X274" s="73" t="str">
        <f>_xlfn.XLOOKUP(B274,'New Projects'!D:D,'New Projects'!C:C,"",0)</f>
        <v/>
      </c>
      <c r="Y274" s="73" t="str">
        <f t="shared" si="12"/>
        <v/>
      </c>
      <c r="Z274" s="74" t="str">
        <f t="shared" si="13"/>
        <v>Missing</v>
      </c>
      <c r="AA274" s="74" t="str">
        <f t="shared" si="14"/>
        <v>Critical</v>
      </c>
    </row>
    <row r="275" spans="1:27" x14ac:dyDescent="0.2">
      <c r="A275" s="103" t="s">
        <v>859</v>
      </c>
      <c r="B275" s="103" t="s">
        <v>860</v>
      </c>
      <c r="C275" s="103" t="s">
        <v>2014</v>
      </c>
      <c r="D275" s="103">
        <v>150</v>
      </c>
      <c r="E275" s="103">
        <v>100</v>
      </c>
      <c r="F275" s="103">
        <v>100</v>
      </c>
      <c r="G275" s="103">
        <v>50</v>
      </c>
      <c r="H275" s="103" t="s">
        <v>811</v>
      </c>
      <c r="I275" s="103" t="s">
        <v>1597</v>
      </c>
      <c r="J275" s="103" t="s">
        <v>20</v>
      </c>
      <c r="K275" s="103" t="s">
        <v>810</v>
      </c>
      <c r="L275" s="103" t="s">
        <v>1944</v>
      </c>
      <c r="M275" s="103" t="s">
        <v>786</v>
      </c>
      <c r="N275" s="103" t="s">
        <v>71</v>
      </c>
      <c r="O275" s="103" t="s">
        <v>787</v>
      </c>
      <c r="Q275" s="118" t="s">
        <v>1598</v>
      </c>
      <c r="R275" s="118" t="s">
        <v>1599</v>
      </c>
      <c r="U275" s="103">
        <v>300</v>
      </c>
      <c r="V275" s="73" t="str">
        <f>_xlfn.XLOOKUP(B275,'Non-Projects (RUN-BAU)'!C:C,'Non-Projects (RUN-BAU)'!B:B,"",0)</f>
        <v/>
      </c>
      <c r="W275" s="73" t="str">
        <f>_xlfn.XLOOKUP(A275,'Ongoing Projects'!B:B,'Ongoing Projects'!B:B,"",0)</f>
        <v/>
      </c>
      <c r="X275" s="73" t="str">
        <f>_xlfn.XLOOKUP(B275,'New Projects'!D:D,'New Projects'!C:C,"",0)</f>
        <v/>
      </c>
      <c r="Y275" s="73" t="str">
        <f t="shared" si="12"/>
        <v/>
      </c>
      <c r="Z275" s="74" t="str">
        <f t="shared" si="13"/>
        <v>Missing</v>
      </c>
      <c r="AA275" s="74" t="str">
        <f t="shared" si="14"/>
        <v>Critical</v>
      </c>
    </row>
    <row r="276" spans="1:27" x14ac:dyDescent="0.2">
      <c r="A276" s="103" t="s">
        <v>861</v>
      </c>
      <c r="B276" s="103" t="s">
        <v>862</v>
      </c>
      <c r="C276" s="103" t="s">
        <v>2015</v>
      </c>
      <c r="D276" s="103">
        <v>300</v>
      </c>
      <c r="E276" s="103">
        <v>220</v>
      </c>
      <c r="F276" s="103">
        <v>120</v>
      </c>
      <c r="G276" s="103">
        <v>110</v>
      </c>
      <c r="H276" s="103" t="s">
        <v>811</v>
      </c>
      <c r="I276" s="103" t="s">
        <v>1597</v>
      </c>
      <c r="J276" s="103" t="s">
        <v>20</v>
      </c>
      <c r="K276" s="103" t="s">
        <v>810</v>
      </c>
      <c r="L276" s="103" t="s">
        <v>1944</v>
      </c>
      <c r="M276" s="103" t="s">
        <v>786</v>
      </c>
      <c r="N276" s="103" t="s">
        <v>71</v>
      </c>
      <c r="O276" s="103" t="s">
        <v>787</v>
      </c>
      <c r="Q276" s="118" t="s">
        <v>1598</v>
      </c>
      <c r="R276" s="118" t="s">
        <v>1599</v>
      </c>
      <c r="U276" s="103">
        <v>650</v>
      </c>
      <c r="V276" s="73" t="str">
        <f>_xlfn.XLOOKUP(B276,'Non-Projects (RUN-BAU)'!C:C,'Non-Projects (RUN-BAU)'!B:B,"",0)</f>
        <v/>
      </c>
      <c r="W276" s="73" t="str">
        <f>_xlfn.XLOOKUP(A276,'Ongoing Projects'!B:B,'Ongoing Projects'!B:B,"",0)</f>
        <v/>
      </c>
      <c r="X276" s="73" t="str">
        <f>_xlfn.XLOOKUP(B276,'New Projects'!D:D,'New Projects'!C:C,"",0)</f>
        <v/>
      </c>
      <c r="Y276" s="73" t="str">
        <f t="shared" ref="Y276:Y339" si="15">V276&amp;W276&amp;X276</f>
        <v/>
      </c>
      <c r="Z276" s="74" t="str">
        <f t="shared" ref="Z276:Z339" si="16">IF(AND(V276="",W276="",X276=""),"Missing",IF(Y276=A276,"","Don't match"))</f>
        <v>Missing</v>
      </c>
      <c r="AA276" s="74" t="str">
        <f t="shared" ref="AA276:AA339" si="17">IF(AND(Z276&lt;&gt;"",SUM(D276:G276)&lt;&gt;0,I276&lt;&gt;"Not Acceptance"),"Critical", "")</f>
        <v>Critical</v>
      </c>
    </row>
    <row r="277" spans="1:27" x14ac:dyDescent="0.2">
      <c r="A277" s="103" t="s">
        <v>863</v>
      </c>
      <c r="B277" s="103" t="s">
        <v>864</v>
      </c>
      <c r="C277" s="103" t="s">
        <v>2016</v>
      </c>
      <c r="D277" s="103">
        <v>25</v>
      </c>
      <c r="E277" s="103">
        <v>175</v>
      </c>
      <c r="F277" s="103">
        <v>25</v>
      </c>
      <c r="G277" s="103">
        <v>25</v>
      </c>
      <c r="H277" s="103" t="s">
        <v>811</v>
      </c>
      <c r="I277" s="103" t="s">
        <v>1597</v>
      </c>
      <c r="J277" s="103" t="s">
        <v>20</v>
      </c>
      <c r="K277" s="103" t="s">
        <v>810</v>
      </c>
      <c r="L277" s="103" t="s">
        <v>1944</v>
      </c>
      <c r="M277" s="103" t="s">
        <v>786</v>
      </c>
      <c r="N277" s="103" t="s">
        <v>71</v>
      </c>
      <c r="O277" s="103" t="s">
        <v>787</v>
      </c>
      <c r="Q277" s="118" t="s">
        <v>1598</v>
      </c>
      <c r="R277" s="118" t="s">
        <v>1599</v>
      </c>
      <c r="U277" s="103">
        <v>100</v>
      </c>
      <c r="V277" s="73" t="str">
        <f>_xlfn.XLOOKUP(B277,'Non-Projects (RUN-BAU)'!C:C,'Non-Projects (RUN-BAU)'!B:B,"",0)</f>
        <v/>
      </c>
      <c r="W277" s="73" t="str">
        <f>_xlfn.XLOOKUP(A277,'Ongoing Projects'!B:B,'Ongoing Projects'!B:B,"",0)</f>
        <v/>
      </c>
      <c r="X277" s="73" t="str">
        <f>_xlfn.XLOOKUP(B277,'New Projects'!D:D,'New Projects'!C:C,"",0)</f>
        <v/>
      </c>
      <c r="Y277" s="73" t="str">
        <f t="shared" si="15"/>
        <v/>
      </c>
      <c r="Z277" s="74" t="str">
        <f t="shared" si="16"/>
        <v>Missing</v>
      </c>
      <c r="AA277" s="74" t="str">
        <f t="shared" si="17"/>
        <v>Critical</v>
      </c>
    </row>
    <row r="278" spans="1:27" x14ac:dyDescent="0.2">
      <c r="A278" s="103" t="s">
        <v>871</v>
      </c>
      <c r="B278" s="103" t="s">
        <v>872</v>
      </c>
      <c r="C278" s="103" t="s">
        <v>1934</v>
      </c>
      <c r="D278" s="103">
        <v>125</v>
      </c>
      <c r="E278" s="103">
        <v>125</v>
      </c>
      <c r="F278" s="103">
        <v>175</v>
      </c>
      <c r="G278" s="103">
        <v>175</v>
      </c>
      <c r="H278" s="103" t="s">
        <v>873</v>
      </c>
      <c r="I278" s="103" t="s">
        <v>1597</v>
      </c>
      <c r="J278" s="103" t="s">
        <v>13</v>
      </c>
      <c r="K278" s="103" t="s">
        <v>766</v>
      </c>
      <c r="L278" s="103" t="s">
        <v>46</v>
      </c>
      <c r="M278" s="103" t="s">
        <v>41</v>
      </c>
      <c r="N278" s="103" t="s">
        <v>68</v>
      </c>
      <c r="O278" s="103" t="s">
        <v>767</v>
      </c>
      <c r="Q278" s="118" t="s">
        <v>1598</v>
      </c>
      <c r="R278" s="118" t="s">
        <v>1599</v>
      </c>
      <c r="U278" s="103">
        <v>600</v>
      </c>
      <c r="V278" s="73" t="str">
        <f>_xlfn.XLOOKUP(B278,'Non-Projects (RUN-BAU)'!C:C,'Non-Projects (RUN-BAU)'!B:B,"",0)</f>
        <v/>
      </c>
      <c r="W278" s="73" t="str">
        <f>_xlfn.XLOOKUP(A278,'Ongoing Projects'!B:B,'Ongoing Projects'!B:B,"",0)</f>
        <v/>
      </c>
      <c r="X278" s="73" t="str">
        <f>_xlfn.XLOOKUP(B278,'New Projects'!D:D,'New Projects'!C:C,"",0)</f>
        <v/>
      </c>
      <c r="Y278" s="73" t="str">
        <f t="shared" si="15"/>
        <v/>
      </c>
      <c r="Z278" s="74" t="str">
        <f t="shared" si="16"/>
        <v>Missing</v>
      </c>
      <c r="AA278" s="74" t="str">
        <f t="shared" si="17"/>
        <v>Critical</v>
      </c>
    </row>
    <row r="279" spans="1:27" x14ac:dyDescent="0.2">
      <c r="A279" s="103" t="s">
        <v>876</v>
      </c>
      <c r="B279" s="103" t="s">
        <v>2017</v>
      </c>
      <c r="C279" s="103" t="s">
        <v>2018</v>
      </c>
      <c r="D279" s="103">
        <v>240</v>
      </c>
      <c r="E279" s="103">
        <v>0</v>
      </c>
      <c r="F279" s="103">
        <v>0</v>
      </c>
      <c r="G279" s="103">
        <v>0</v>
      </c>
      <c r="H279" s="103" t="s">
        <v>771</v>
      </c>
      <c r="I279" s="103" t="s">
        <v>1597</v>
      </c>
      <c r="J279" s="103" t="s">
        <v>20</v>
      </c>
      <c r="K279" s="103" t="s">
        <v>766</v>
      </c>
      <c r="L279" s="103" t="s">
        <v>1944</v>
      </c>
      <c r="M279" s="103" t="s">
        <v>786</v>
      </c>
      <c r="N279" s="103" t="s">
        <v>68</v>
      </c>
      <c r="O279" s="103" t="s">
        <v>767</v>
      </c>
      <c r="Q279" s="118" t="s">
        <v>1598</v>
      </c>
      <c r="R279" s="118" t="s">
        <v>1610</v>
      </c>
      <c r="U279" s="103">
        <v>240</v>
      </c>
      <c r="V279" s="73" t="str">
        <f>_xlfn.XLOOKUP(B279,'Non-Projects (RUN-BAU)'!C:C,'Non-Projects (RUN-BAU)'!B:B,"",0)</f>
        <v/>
      </c>
      <c r="W279" s="73" t="str">
        <f>_xlfn.XLOOKUP(A279,'Ongoing Projects'!B:B,'Ongoing Projects'!B:B,"",0)</f>
        <v/>
      </c>
      <c r="X279" s="73" t="str">
        <f>_xlfn.XLOOKUP(B279,'New Projects'!D:D,'New Projects'!C:C,"",0)</f>
        <v/>
      </c>
      <c r="Y279" s="73" t="str">
        <f t="shared" si="15"/>
        <v/>
      </c>
      <c r="Z279" s="74" t="str">
        <f t="shared" si="16"/>
        <v>Missing</v>
      </c>
      <c r="AA279" s="74" t="str">
        <f t="shared" si="17"/>
        <v>Critical</v>
      </c>
    </row>
    <row r="280" spans="1:27" x14ac:dyDescent="0.2">
      <c r="A280" s="103" t="s">
        <v>881</v>
      </c>
      <c r="B280" s="103" t="s">
        <v>882</v>
      </c>
      <c r="C280" s="103" t="s">
        <v>2019</v>
      </c>
      <c r="D280" s="103">
        <v>255</v>
      </c>
      <c r="E280" s="103">
        <v>145</v>
      </c>
      <c r="F280" s="103">
        <v>60</v>
      </c>
      <c r="G280" s="103">
        <v>50</v>
      </c>
      <c r="H280" s="103" t="s">
        <v>820</v>
      </c>
      <c r="J280" s="103" t="s">
        <v>13</v>
      </c>
      <c r="K280" s="103" t="s">
        <v>810</v>
      </c>
      <c r="L280" s="103" t="s">
        <v>46</v>
      </c>
      <c r="M280" s="103" t="s">
        <v>41</v>
      </c>
      <c r="N280" s="103" t="s">
        <v>71</v>
      </c>
      <c r="O280" s="103" t="s">
        <v>779</v>
      </c>
      <c r="Q280" s="118" t="s">
        <v>1598</v>
      </c>
      <c r="R280" s="118" t="s">
        <v>1599</v>
      </c>
      <c r="T280" s="103" t="s">
        <v>2012</v>
      </c>
      <c r="U280" s="103">
        <v>140</v>
      </c>
      <c r="V280" s="73" t="str">
        <f>_xlfn.XLOOKUP(B280,'Non-Projects (RUN-BAU)'!C:C,'Non-Projects (RUN-BAU)'!B:B,"",0)</f>
        <v/>
      </c>
      <c r="W280" s="73" t="str">
        <f>_xlfn.XLOOKUP(A280,'Ongoing Projects'!B:B,'Ongoing Projects'!B:B,"",0)</f>
        <v/>
      </c>
      <c r="X280" s="73" t="str">
        <f>_xlfn.XLOOKUP(B280,'New Projects'!D:D,'New Projects'!C:C,"",0)</f>
        <v/>
      </c>
      <c r="Y280" s="73" t="str">
        <f t="shared" si="15"/>
        <v/>
      </c>
      <c r="Z280" s="74" t="str">
        <f t="shared" si="16"/>
        <v>Missing</v>
      </c>
      <c r="AA280" s="74" t="str">
        <f t="shared" si="17"/>
        <v>Critical</v>
      </c>
    </row>
    <row r="281" spans="1:27" x14ac:dyDescent="0.2">
      <c r="A281" s="103" t="s">
        <v>883</v>
      </c>
      <c r="B281" s="103" t="s">
        <v>884</v>
      </c>
      <c r="C281" s="103" t="s">
        <v>2020</v>
      </c>
      <c r="D281" s="103">
        <v>765</v>
      </c>
      <c r="E281" s="103">
        <v>815</v>
      </c>
      <c r="F281" s="103">
        <v>805</v>
      </c>
      <c r="G281" s="103">
        <v>975</v>
      </c>
      <c r="H281" s="103" t="s">
        <v>820</v>
      </c>
      <c r="J281" s="103" t="s">
        <v>13</v>
      </c>
      <c r="K281" s="103" t="s">
        <v>810</v>
      </c>
      <c r="L281" s="103" t="s">
        <v>46</v>
      </c>
      <c r="M281" s="103" t="s">
        <v>41</v>
      </c>
      <c r="N281" s="103" t="s">
        <v>71</v>
      </c>
      <c r="O281" s="103" t="s">
        <v>779</v>
      </c>
      <c r="Q281" s="118" t="s">
        <v>1598</v>
      </c>
      <c r="R281" s="118" t="s">
        <v>1599</v>
      </c>
      <c r="T281" s="103" t="s">
        <v>2012</v>
      </c>
      <c r="U281" s="103">
        <v>820</v>
      </c>
      <c r="V281" s="73" t="str">
        <f>_xlfn.XLOOKUP(B281,'Non-Projects (RUN-BAU)'!C:C,'Non-Projects (RUN-BAU)'!B:B,"",0)</f>
        <v/>
      </c>
      <c r="W281" s="73" t="str">
        <f>_xlfn.XLOOKUP(A281,'Ongoing Projects'!B:B,'Ongoing Projects'!B:B,"",0)</f>
        <v/>
      </c>
      <c r="X281" s="73" t="str">
        <f>_xlfn.XLOOKUP(B281,'New Projects'!D:D,'New Projects'!C:C,"",0)</f>
        <v/>
      </c>
      <c r="Y281" s="73" t="str">
        <f t="shared" si="15"/>
        <v/>
      </c>
      <c r="Z281" s="74" t="str">
        <f t="shared" si="16"/>
        <v>Missing</v>
      </c>
      <c r="AA281" s="74" t="str">
        <f t="shared" si="17"/>
        <v>Critical</v>
      </c>
    </row>
    <row r="282" spans="1:27" x14ac:dyDescent="0.2">
      <c r="A282" s="103" t="s">
        <v>885</v>
      </c>
      <c r="B282" s="103" t="s">
        <v>886</v>
      </c>
      <c r="C282" s="103" t="s">
        <v>2021</v>
      </c>
      <c r="D282" s="103">
        <v>50</v>
      </c>
      <c r="E282" s="103">
        <v>75</v>
      </c>
      <c r="F282" s="103">
        <v>100</v>
      </c>
      <c r="G282" s="103">
        <v>75</v>
      </c>
      <c r="H282" s="103" t="s">
        <v>873</v>
      </c>
      <c r="I282" s="103" t="s">
        <v>1597</v>
      </c>
      <c r="J282" s="103" t="s">
        <v>13</v>
      </c>
      <c r="K282" s="103" t="s">
        <v>766</v>
      </c>
      <c r="L282" s="103" t="s">
        <v>46</v>
      </c>
      <c r="M282" s="103" t="s">
        <v>41</v>
      </c>
      <c r="N282" s="103" t="s">
        <v>68</v>
      </c>
      <c r="O282" s="103" t="s">
        <v>767</v>
      </c>
      <c r="Q282" s="118" t="s">
        <v>1598</v>
      </c>
      <c r="R282" s="118" t="s">
        <v>1599</v>
      </c>
      <c r="U282" s="103">
        <v>300</v>
      </c>
      <c r="V282" s="73" t="str">
        <f>_xlfn.XLOOKUP(B282,'Non-Projects (RUN-BAU)'!C:C,'Non-Projects (RUN-BAU)'!B:B,"",0)</f>
        <v/>
      </c>
      <c r="W282" s="73" t="str">
        <f>_xlfn.XLOOKUP(A282,'Ongoing Projects'!B:B,'Ongoing Projects'!B:B,"",0)</f>
        <v/>
      </c>
      <c r="X282" s="73" t="str">
        <f>_xlfn.XLOOKUP(B282,'New Projects'!D:D,'New Projects'!C:C,"",0)</f>
        <v/>
      </c>
      <c r="Y282" s="73" t="str">
        <f t="shared" si="15"/>
        <v/>
      </c>
      <c r="Z282" s="74" t="str">
        <f t="shared" si="16"/>
        <v>Missing</v>
      </c>
      <c r="AA282" s="74" t="str">
        <f t="shared" si="17"/>
        <v>Critical</v>
      </c>
    </row>
    <row r="283" spans="1:27" x14ac:dyDescent="0.2">
      <c r="A283" s="103" t="s">
        <v>896</v>
      </c>
      <c r="B283" s="103" t="s">
        <v>897</v>
      </c>
      <c r="C283" s="103" t="s">
        <v>2022</v>
      </c>
      <c r="D283" s="103">
        <v>133</v>
      </c>
      <c r="E283" s="103">
        <v>124</v>
      </c>
      <c r="F283" s="103">
        <v>24</v>
      </c>
      <c r="G283" s="103">
        <v>24</v>
      </c>
      <c r="H283" s="103" t="s">
        <v>1609</v>
      </c>
      <c r="I283" s="103" t="s">
        <v>1597</v>
      </c>
      <c r="J283" s="103" t="s">
        <v>23</v>
      </c>
      <c r="K283" s="103" t="s">
        <v>898</v>
      </c>
      <c r="L283" s="103" t="s">
        <v>51</v>
      </c>
      <c r="M283" s="103" t="s">
        <v>43</v>
      </c>
      <c r="N283" s="103" t="s">
        <v>71</v>
      </c>
      <c r="O283" s="103" t="s">
        <v>787</v>
      </c>
      <c r="P283" s="103" t="s">
        <v>1615</v>
      </c>
      <c r="Q283" s="118" t="s">
        <v>1598</v>
      </c>
      <c r="R283" s="118" t="s">
        <v>1599</v>
      </c>
      <c r="U283" s="103">
        <v>305</v>
      </c>
      <c r="V283" s="73" t="str">
        <f>_xlfn.XLOOKUP(B283,'Non-Projects (RUN-BAU)'!C:C,'Non-Projects (RUN-BAU)'!B:B,"",0)</f>
        <v/>
      </c>
      <c r="W283" s="73" t="str">
        <f>_xlfn.XLOOKUP(A283,'Ongoing Projects'!B:B,'Ongoing Projects'!B:B,"",0)</f>
        <v/>
      </c>
      <c r="X283" s="73" t="str">
        <f>_xlfn.XLOOKUP(B283,'New Projects'!D:D,'New Projects'!C:C,"",0)</f>
        <v/>
      </c>
      <c r="Y283" s="73" t="str">
        <f t="shared" si="15"/>
        <v/>
      </c>
      <c r="Z283" s="74" t="str">
        <f t="shared" si="16"/>
        <v>Missing</v>
      </c>
      <c r="AA283" s="74" t="str">
        <f t="shared" si="17"/>
        <v>Critical</v>
      </c>
    </row>
    <row r="284" spans="1:27" x14ac:dyDescent="0.2">
      <c r="A284" s="103" t="s">
        <v>899</v>
      </c>
      <c r="B284" s="103" t="s">
        <v>900</v>
      </c>
      <c r="C284" s="103" t="s">
        <v>2023</v>
      </c>
      <c r="D284" s="103">
        <v>65</v>
      </c>
      <c r="E284" s="103">
        <v>45</v>
      </c>
      <c r="F284" s="103">
        <v>30</v>
      </c>
      <c r="G284" s="103">
        <v>30</v>
      </c>
      <c r="H284" s="103" t="s">
        <v>791</v>
      </c>
      <c r="I284" s="103" t="s">
        <v>1597</v>
      </c>
      <c r="J284" s="103" t="s">
        <v>23</v>
      </c>
      <c r="K284" s="103" t="s">
        <v>898</v>
      </c>
      <c r="L284" s="103" t="s">
        <v>51</v>
      </c>
      <c r="M284" s="103" t="s">
        <v>43</v>
      </c>
      <c r="N284" s="103" t="s">
        <v>71</v>
      </c>
      <c r="O284" s="103" t="s">
        <v>779</v>
      </c>
      <c r="Q284" s="118" t="s">
        <v>1598</v>
      </c>
      <c r="R284" s="118" t="s">
        <v>1599</v>
      </c>
      <c r="U284" s="103">
        <v>100</v>
      </c>
      <c r="V284" s="73" t="str">
        <f>_xlfn.XLOOKUP(B284,'Non-Projects (RUN-BAU)'!C:C,'Non-Projects (RUN-BAU)'!B:B,"",0)</f>
        <v/>
      </c>
      <c r="W284" s="73" t="str">
        <f>_xlfn.XLOOKUP(A284,'Ongoing Projects'!B:B,'Ongoing Projects'!B:B,"",0)</f>
        <v/>
      </c>
      <c r="X284" s="73" t="str">
        <f>_xlfn.XLOOKUP(B284,'New Projects'!D:D,'New Projects'!C:C,"",0)</f>
        <v/>
      </c>
      <c r="Y284" s="73" t="str">
        <f t="shared" si="15"/>
        <v/>
      </c>
      <c r="Z284" s="74" t="str">
        <f t="shared" si="16"/>
        <v>Missing</v>
      </c>
      <c r="AA284" s="74" t="str">
        <f t="shared" si="17"/>
        <v>Critical</v>
      </c>
    </row>
    <row r="285" spans="1:27" x14ac:dyDescent="0.2">
      <c r="A285" s="103" t="s">
        <v>901</v>
      </c>
      <c r="B285" s="103" t="s">
        <v>2024</v>
      </c>
      <c r="C285" s="103" t="s">
        <v>2025</v>
      </c>
      <c r="D285" s="103">
        <v>100</v>
      </c>
      <c r="E285" s="103">
        <v>100</v>
      </c>
      <c r="F285" s="103">
        <v>100</v>
      </c>
      <c r="G285" s="103">
        <v>100</v>
      </c>
      <c r="H285" s="103" t="s">
        <v>1624</v>
      </c>
      <c r="I285" s="103" t="s">
        <v>1736</v>
      </c>
      <c r="J285" s="103" t="s">
        <v>35</v>
      </c>
      <c r="K285" s="103" t="s">
        <v>810</v>
      </c>
      <c r="L285" s="103" t="s">
        <v>49</v>
      </c>
      <c r="M285" s="103" t="s">
        <v>43</v>
      </c>
      <c r="N285" s="103" t="s">
        <v>71</v>
      </c>
      <c r="O285" s="103" t="s">
        <v>779</v>
      </c>
      <c r="Q285" s="118" t="s">
        <v>1598</v>
      </c>
      <c r="R285" s="118" t="s">
        <v>1599</v>
      </c>
      <c r="U285" s="103">
        <v>400</v>
      </c>
      <c r="V285" s="73" t="str">
        <f>_xlfn.XLOOKUP(B285,'Non-Projects (RUN-BAU)'!C:C,'Non-Projects (RUN-BAU)'!B:B,"",0)</f>
        <v/>
      </c>
      <c r="W285" s="73" t="str">
        <f>_xlfn.XLOOKUP(A285,'Ongoing Projects'!B:B,'Ongoing Projects'!B:B,"",0)</f>
        <v/>
      </c>
      <c r="X285" s="73" t="str">
        <f>_xlfn.XLOOKUP(B285,'New Projects'!D:D,'New Projects'!C:C,"",0)</f>
        <v/>
      </c>
      <c r="Y285" s="73" t="str">
        <f t="shared" si="15"/>
        <v/>
      </c>
      <c r="Z285" s="74" t="str">
        <f t="shared" si="16"/>
        <v>Missing</v>
      </c>
      <c r="AA285" s="74" t="str">
        <f t="shared" si="17"/>
        <v>Critical</v>
      </c>
    </row>
    <row r="286" spans="1:27" x14ac:dyDescent="0.2">
      <c r="A286" s="103" t="s">
        <v>905</v>
      </c>
      <c r="B286" s="103" t="s">
        <v>906</v>
      </c>
      <c r="C286" s="103" t="s">
        <v>2026</v>
      </c>
      <c r="D286" s="103">
        <v>187</v>
      </c>
      <c r="E286" s="103">
        <v>127</v>
      </c>
      <c r="F286" s="103">
        <v>32</v>
      </c>
      <c r="G286" s="103">
        <v>24</v>
      </c>
      <c r="H286" s="103" t="s">
        <v>811</v>
      </c>
      <c r="I286" s="103" t="s">
        <v>1597</v>
      </c>
      <c r="J286" s="103" t="s">
        <v>23</v>
      </c>
      <c r="K286" s="103" t="s">
        <v>810</v>
      </c>
      <c r="L286" s="103" t="s">
        <v>51</v>
      </c>
      <c r="M286" s="103" t="s">
        <v>43</v>
      </c>
      <c r="N286" s="103" t="s">
        <v>71</v>
      </c>
      <c r="O286" s="103" t="s">
        <v>779</v>
      </c>
      <c r="Q286" s="118" t="s">
        <v>1598</v>
      </c>
      <c r="R286" s="118" t="s">
        <v>1599</v>
      </c>
      <c r="T286" s="103" t="s">
        <v>2012</v>
      </c>
      <c r="U286" s="103">
        <v>370</v>
      </c>
      <c r="V286" s="73" t="str">
        <f>_xlfn.XLOOKUP(B286,'Non-Projects (RUN-BAU)'!C:C,'Non-Projects (RUN-BAU)'!B:B,"",0)</f>
        <v/>
      </c>
      <c r="W286" s="73" t="str">
        <f>_xlfn.XLOOKUP(A286,'Ongoing Projects'!B:B,'Ongoing Projects'!B:B,"",0)</f>
        <v/>
      </c>
      <c r="X286" s="73" t="str">
        <f>_xlfn.XLOOKUP(B286,'New Projects'!D:D,'New Projects'!C:C,"",0)</f>
        <v/>
      </c>
      <c r="Y286" s="73" t="str">
        <f t="shared" si="15"/>
        <v/>
      </c>
      <c r="Z286" s="74" t="str">
        <f t="shared" si="16"/>
        <v>Missing</v>
      </c>
      <c r="AA286" s="74" t="str">
        <f t="shared" si="17"/>
        <v>Critical</v>
      </c>
    </row>
    <row r="287" spans="1:27" x14ac:dyDescent="0.2">
      <c r="A287" s="103" t="s">
        <v>910</v>
      </c>
      <c r="B287" s="103" t="s">
        <v>911</v>
      </c>
      <c r="C287" s="103" t="s">
        <v>2027</v>
      </c>
      <c r="D287" s="103">
        <v>200</v>
      </c>
      <c r="E287" s="103">
        <v>200</v>
      </c>
      <c r="F287" s="103">
        <v>100</v>
      </c>
      <c r="G287" s="103">
        <v>420</v>
      </c>
      <c r="H287" s="103" t="s">
        <v>811</v>
      </c>
      <c r="I287" s="103" t="s">
        <v>1597</v>
      </c>
      <c r="J287" s="103" t="s">
        <v>23</v>
      </c>
      <c r="K287" s="103" t="s">
        <v>810</v>
      </c>
      <c r="L287" s="103" t="s">
        <v>51</v>
      </c>
      <c r="M287" s="103" t="s">
        <v>43</v>
      </c>
      <c r="N287" s="103" t="s">
        <v>71</v>
      </c>
      <c r="O287" s="103" t="s">
        <v>779</v>
      </c>
      <c r="Q287" s="118" t="s">
        <v>1598</v>
      </c>
      <c r="R287" s="118" t="s">
        <v>1599</v>
      </c>
      <c r="U287" s="103">
        <v>600</v>
      </c>
      <c r="V287" s="73" t="str">
        <f>_xlfn.XLOOKUP(B287,'Non-Projects (RUN-BAU)'!C:C,'Non-Projects (RUN-BAU)'!B:B,"",0)</f>
        <v/>
      </c>
      <c r="W287" s="73" t="str">
        <f>_xlfn.XLOOKUP(A287,'Ongoing Projects'!B:B,'Ongoing Projects'!B:B,"",0)</f>
        <v/>
      </c>
      <c r="X287" s="73" t="str">
        <f>_xlfn.XLOOKUP(B287,'New Projects'!D:D,'New Projects'!C:C,"",0)</f>
        <v/>
      </c>
      <c r="Y287" s="73" t="str">
        <f t="shared" si="15"/>
        <v/>
      </c>
      <c r="Z287" s="74" t="str">
        <f t="shared" si="16"/>
        <v>Missing</v>
      </c>
      <c r="AA287" s="74" t="str">
        <f t="shared" si="17"/>
        <v>Critical</v>
      </c>
    </row>
    <row r="288" spans="1:27" x14ac:dyDescent="0.2">
      <c r="A288" s="103" t="s">
        <v>912</v>
      </c>
      <c r="B288" s="103" t="s">
        <v>913</v>
      </c>
      <c r="C288" s="103" t="s">
        <v>2028</v>
      </c>
      <c r="D288" s="103">
        <v>140</v>
      </c>
      <c r="E288" s="103">
        <v>45</v>
      </c>
      <c r="F288" s="103">
        <v>105</v>
      </c>
      <c r="G288" s="103">
        <v>110</v>
      </c>
      <c r="H288" s="103" t="s">
        <v>791</v>
      </c>
      <c r="I288" s="103" t="s">
        <v>1597</v>
      </c>
      <c r="J288" s="103" t="s">
        <v>13</v>
      </c>
      <c r="K288" s="103" t="s">
        <v>898</v>
      </c>
      <c r="L288" s="103" t="s">
        <v>46</v>
      </c>
      <c r="M288" s="103" t="s">
        <v>41</v>
      </c>
      <c r="N288" s="103" t="s">
        <v>71</v>
      </c>
      <c r="O288" s="103" t="s">
        <v>779</v>
      </c>
      <c r="Q288" s="118" t="s">
        <v>1598</v>
      </c>
      <c r="R288" s="118" t="s">
        <v>1599</v>
      </c>
      <c r="T288" s="103" t="s">
        <v>2012</v>
      </c>
      <c r="U288" s="103">
        <v>160</v>
      </c>
      <c r="V288" s="73" t="str">
        <f>_xlfn.XLOOKUP(B288,'Non-Projects (RUN-BAU)'!C:C,'Non-Projects (RUN-BAU)'!B:B,"",0)</f>
        <v/>
      </c>
      <c r="W288" s="73" t="str">
        <f>_xlfn.XLOOKUP(A288,'Ongoing Projects'!B:B,'Ongoing Projects'!B:B,"",0)</f>
        <v/>
      </c>
      <c r="X288" s="73" t="str">
        <f>_xlfn.XLOOKUP(B288,'New Projects'!D:D,'New Projects'!C:C,"",0)</f>
        <v/>
      </c>
      <c r="Y288" s="73" t="str">
        <f t="shared" si="15"/>
        <v/>
      </c>
      <c r="Z288" s="74" t="str">
        <f t="shared" si="16"/>
        <v>Missing</v>
      </c>
      <c r="AA288" s="74" t="str">
        <f t="shared" si="17"/>
        <v>Critical</v>
      </c>
    </row>
    <row r="289" spans="1:27" x14ac:dyDescent="0.2">
      <c r="A289" s="103" t="s">
        <v>914</v>
      </c>
      <c r="B289" s="103" t="s">
        <v>915</v>
      </c>
      <c r="C289" s="103" t="s">
        <v>2029</v>
      </c>
      <c r="D289" s="103">
        <v>2199</v>
      </c>
      <c r="E289" s="103">
        <v>2158</v>
      </c>
      <c r="F289" s="103">
        <v>1998</v>
      </c>
      <c r="G289" s="103">
        <v>1875</v>
      </c>
      <c r="H289" s="103" t="s">
        <v>1624</v>
      </c>
      <c r="I289" s="103" t="s">
        <v>1736</v>
      </c>
      <c r="J289" s="103" t="s">
        <v>35</v>
      </c>
      <c r="K289" s="103" t="s">
        <v>810</v>
      </c>
      <c r="L289" s="103" t="s">
        <v>49</v>
      </c>
      <c r="M289" s="103" t="s">
        <v>43</v>
      </c>
      <c r="N289" s="103" t="s">
        <v>71</v>
      </c>
      <c r="O289" s="103" t="s">
        <v>779</v>
      </c>
      <c r="Q289" s="118" t="s">
        <v>1598</v>
      </c>
      <c r="R289" s="118" t="s">
        <v>1599</v>
      </c>
      <c r="U289" s="103">
        <v>5930</v>
      </c>
      <c r="V289" s="73" t="str">
        <f>_xlfn.XLOOKUP(B289,'Non-Projects (RUN-BAU)'!C:C,'Non-Projects (RUN-BAU)'!B:B,"",0)</f>
        <v/>
      </c>
      <c r="W289" s="73" t="str">
        <f>_xlfn.XLOOKUP(A289,'Ongoing Projects'!B:B,'Ongoing Projects'!B:B,"",0)</f>
        <v/>
      </c>
      <c r="X289" s="73" t="str">
        <f>_xlfn.XLOOKUP(B289,'New Projects'!D:D,'New Projects'!C:C,"",0)</f>
        <v/>
      </c>
      <c r="Y289" s="73" t="str">
        <f t="shared" si="15"/>
        <v/>
      </c>
      <c r="Z289" s="74" t="str">
        <f t="shared" si="16"/>
        <v>Missing</v>
      </c>
      <c r="AA289" s="74" t="str">
        <f t="shared" si="17"/>
        <v>Critical</v>
      </c>
    </row>
    <row r="290" spans="1:27" x14ac:dyDescent="0.2">
      <c r="A290" s="103" t="s">
        <v>916</v>
      </c>
      <c r="B290" s="103" t="s">
        <v>2030</v>
      </c>
      <c r="C290" s="103" t="s">
        <v>2031</v>
      </c>
      <c r="D290" s="103">
        <v>45</v>
      </c>
      <c r="E290" s="103">
        <v>130</v>
      </c>
      <c r="F290" s="103">
        <v>175</v>
      </c>
      <c r="G290" s="103">
        <v>200</v>
      </c>
      <c r="H290" s="103" t="s">
        <v>791</v>
      </c>
      <c r="I290" s="103" t="s">
        <v>1597</v>
      </c>
      <c r="J290" s="103" t="s">
        <v>20</v>
      </c>
      <c r="K290" s="103" t="s">
        <v>898</v>
      </c>
      <c r="L290" s="103" t="s">
        <v>46</v>
      </c>
      <c r="M290" s="103" t="s">
        <v>41</v>
      </c>
      <c r="N290" s="103" t="s">
        <v>71</v>
      </c>
      <c r="O290" s="103" t="s">
        <v>779</v>
      </c>
      <c r="Q290" s="118" t="s">
        <v>1598</v>
      </c>
      <c r="R290" s="118" t="s">
        <v>1599</v>
      </c>
      <c r="T290" s="103" t="s">
        <v>2012</v>
      </c>
      <c r="U290" s="103">
        <v>250</v>
      </c>
      <c r="V290" s="73" t="str">
        <f>_xlfn.XLOOKUP(B290,'Non-Projects (RUN-BAU)'!C:C,'Non-Projects (RUN-BAU)'!B:B,"",0)</f>
        <v/>
      </c>
      <c r="W290" s="73" t="str">
        <f>_xlfn.XLOOKUP(A290,'Ongoing Projects'!B:B,'Ongoing Projects'!B:B,"",0)</f>
        <v/>
      </c>
      <c r="X290" s="73" t="str">
        <f>_xlfn.XLOOKUP(B290,'New Projects'!D:D,'New Projects'!C:C,"",0)</f>
        <v/>
      </c>
      <c r="Y290" s="73" t="str">
        <f t="shared" si="15"/>
        <v/>
      </c>
      <c r="Z290" s="74" t="str">
        <f t="shared" si="16"/>
        <v>Missing</v>
      </c>
      <c r="AA290" s="74" t="str">
        <f t="shared" si="17"/>
        <v>Critical</v>
      </c>
    </row>
    <row r="291" spans="1:27" x14ac:dyDescent="0.2">
      <c r="A291" s="103" t="s">
        <v>918</v>
      </c>
      <c r="B291" s="103" t="s">
        <v>2032</v>
      </c>
      <c r="C291" s="103" t="s">
        <v>2033</v>
      </c>
      <c r="D291" s="103">
        <v>650</v>
      </c>
      <c r="E291" s="103">
        <v>285</v>
      </c>
      <c r="F291" s="103">
        <v>215</v>
      </c>
      <c r="G291" s="103">
        <v>220</v>
      </c>
      <c r="H291" s="103" t="s">
        <v>1624</v>
      </c>
      <c r="I291" s="103" t="s">
        <v>1736</v>
      </c>
      <c r="J291" s="103" t="s">
        <v>35</v>
      </c>
      <c r="K291" s="103" t="s">
        <v>810</v>
      </c>
      <c r="L291" s="103" t="s">
        <v>49</v>
      </c>
      <c r="M291" s="103" t="s">
        <v>43</v>
      </c>
      <c r="N291" s="103" t="s">
        <v>71</v>
      </c>
      <c r="O291" s="103" t="s">
        <v>779</v>
      </c>
      <c r="Q291" s="118" t="s">
        <v>1598</v>
      </c>
      <c r="R291" s="118" t="s">
        <v>1599</v>
      </c>
      <c r="U291" s="103">
        <v>1370</v>
      </c>
      <c r="V291" s="73" t="str">
        <f>_xlfn.XLOOKUP(B291,'Non-Projects (RUN-BAU)'!C:C,'Non-Projects (RUN-BAU)'!B:B,"",0)</f>
        <v/>
      </c>
      <c r="W291" s="73" t="str">
        <f>_xlfn.XLOOKUP(A291,'Ongoing Projects'!B:B,'Ongoing Projects'!B:B,"",0)</f>
        <v/>
      </c>
      <c r="X291" s="73" t="str">
        <f>_xlfn.XLOOKUP(B291,'New Projects'!D:D,'New Projects'!C:C,"",0)</f>
        <v/>
      </c>
      <c r="Y291" s="73" t="str">
        <f t="shared" si="15"/>
        <v/>
      </c>
      <c r="Z291" s="74" t="str">
        <f t="shared" si="16"/>
        <v>Missing</v>
      </c>
      <c r="AA291" s="74" t="str">
        <f t="shared" si="17"/>
        <v>Critical</v>
      </c>
    </row>
    <row r="292" spans="1:27" x14ac:dyDescent="0.2">
      <c r="A292" s="103" t="s">
        <v>920</v>
      </c>
      <c r="B292" s="103" t="s">
        <v>921</v>
      </c>
      <c r="C292" s="103" t="s">
        <v>2034</v>
      </c>
      <c r="D292" s="103">
        <v>125</v>
      </c>
      <c r="E292" s="103">
        <v>25</v>
      </c>
      <c r="F292" s="103">
        <v>100</v>
      </c>
      <c r="G292" s="103">
        <v>100</v>
      </c>
      <c r="H292" s="103" t="s">
        <v>1609</v>
      </c>
      <c r="I292" s="103" t="s">
        <v>1597</v>
      </c>
      <c r="J292" s="103" t="s">
        <v>889</v>
      </c>
      <c r="K292" s="103" t="s">
        <v>750</v>
      </c>
      <c r="L292" s="103" t="s">
        <v>49</v>
      </c>
      <c r="M292" s="103" t="s">
        <v>43</v>
      </c>
      <c r="N292" s="103" t="s">
        <v>64</v>
      </c>
      <c r="O292" s="103" t="s">
        <v>751</v>
      </c>
      <c r="Q292" s="118" t="s">
        <v>1598</v>
      </c>
      <c r="R292" s="118" t="s">
        <v>1599</v>
      </c>
      <c r="U292" s="103">
        <v>350</v>
      </c>
      <c r="V292" s="73" t="str">
        <f>_xlfn.XLOOKUP(B292,'Non-Projects (RUN-BAU)'!C:C,'Non-Projects (RUN-BAU)'!B:B,"",0)</f>
        <v/>
      </c>
      <c r="W292" s="73" t="str">
        <f>_xlfn.XLOOKUP(A292,'Ongoing Projects'!B:B,'Ongoing Projects'!B:B,"",0)</f>
        <v/>
      </c>
      <c r="X292" s="73" t="str">
        <f>_xlfn.XLOOKUP(B292,'New Projects'!D:D,'New Projects'!C:C,"",0)</f>
        <v/>
      </c>
      <c r="Y292" s="73" t="str">
        <f t="shared" si="15"/>
        <v/>
      </c>
      <c r="Z292" s="74" t="str">
        <f t="shared" si="16"/>
        <v>Missing</v>
      </c>
      <c r="AA292" s="74" t="str">
        <f t="shared" si="17"/>
        <v>Critical</v>
      </c>
    </row>
    <row r="293" spans="1:27" x14ac:dyDescent="0.2">
      <c r="A293" s="103" t="s">
        <v>922</v>
      </c>
      <c r="B293" s="103" t="s">
        <v>923</v>
      </c>
      <c r="C293" s="103" t="s">
        <v>2035</v>
      </c>
      <c r="D293" s="103">
        <v>90</v>
      </c>
      <c r="E293" s="103">
        <v>70</v>
      </c>
      <c r="F293" s="103">
        <v>20</v>
      </c>
      <c r="G293" s="103">
        <v>0</v>
      </c>
      <c r="H293" s="103" t="s">
        <v>1609</v>
      </c>
      <c r="I293" s="103" t="s">
        <v>1597</v>
      </c>
      <c r="J293" s="103" t="s">
        <v>13</v>
      </c>
      <c r="K293" s="103" t="s">
        <v>750</v>
      </c>
      <c r="L293" s="103" t="s">
        <v>49</v>
      </c>
      <c r="M293" s="103" t="s">
        <v>41</v>
      </c>
      <c r="N293" s="103" t="s">
        <v>64</v>
      </c>
      <c r="O293" s="103" t="s">
        <v>751</v>
      </c>
      <c r="Q293" s="118" t="s">
        <v>1598</v>
      </c>
      <c r="R293" s="118" t="s">
        <v>1608</v>
      </c>
      <c r="U293" s="103">
        <v>160</v>
      </c>
      <c r="V293" s="73" t="str">
        <f>_xlfn.XLOOKUP(B293,'Non-Projects (RUN-BAU)'!C:C,'Non-Projects (RUN-BAU)'!B:B,"",0)</f>
        <v/>
      </c>
      <c r="W293" s="73" t="str">
        <f>_xlfn.XLOOKUP(A293,'Ongoing Projects'!B:B,'Ongoing Projects'!B:B,"",0)</f>
        <v/>
      </c>
      <c r="X293" s="73" t="str">
        <f>_xlfn.XLOOKUP(B293,'New Projects'!D:D,'New Projects'!C:C,"",0)</f>
        <v/>
      </c>
      <c r="Y293" s="73" t="str">
        <f t="shared" si="15"/>
        <v/>
      </c>
      <c r="Z293" s="74" t="str">
        <f t="shared" si="16"/>
        <v>Missing</v>
      </c>
      <c r="AA293" s="74" t="str">
        <f t="shared" si="17"/>
        <v>Critical</v>
      </c>
    </row>
    <row r="294" spans="1:27" x14ac:dyDescent="0.2">
      <c r="A294" s="103" t="s">
        <v>924</v>
      </c>
      <c r="B294" s="103" t="s">
        <v>925</v>
      </c>
      <c r="C294" s="103" t="s">
        <v>2036</v>
      </c>
      <c r="D294" s="103">
        <v>245</v>
      </c>
      <c r="E294" s="103">
        <v>295</v>
      </c>
      <c r="F294" s="103">
        <v>145</v>
      </c>
      <c r="G294" s="103">
        <v>125</v>
      </c>
      <c r="H294" s="103" t="s">
        <v>1609</v>
      </c>
      <c r="I294" s="103" t="s">
        <v>1597</v>
      </c>
      <c r="J294" s="103" t="s">
        <v>13</v>
      </c>
      <c r="K294" s="103" t="s">
        <v>750</v>
      </c>
      <c r="L294" s="103" t="s">
        <v>46</v>
      </c>
      <c r="M294" s="103" t="s">
        <v>41</v>
      </c>
      <c r="N294" s="103" t="s">
        <v>64</v>
      </c>
      <c r="O294" s="103" t="s">
        <v>779</v>
      </c>
      <c r="Q294" s="118" t="s">
        <v>1598</v>
      </c>
      <c r="R294" s="118" t="s">
        <v>1599</v>
      </c>
      <c r="U294" s="103">
        <v>710</v>
      </c>
      <c r="V294" s="73" t="str">
        <f>_xlfn.XLOOKUP(B294,'Non-Projects (RUN-BAU)'!C:C,'Non-Projects (RUN-BAU)'!B:B,"",0)</f>
        <v/>
      </c>
      <c r="W294" s="73" t="str">
        <f>_xlfn.XLOOKUP(A294,'Ongoing Projects'!B:B,'Ongoing Projects'!B:B,"",0)</f>
        <v/>
      </c>
      <c r="X294" s="73" t="str">
        <f>_xlfn.XLOOKUP(B294,'New Projects'!D:D,'New Projects'!C:C,"",0)</f>
        <v/>
      </c>
      <c r="Y294" s="73" t="str">
        <f t="shared" si="15"/>
        <v/>
      </c>
      <c r="Z294" s="74" t="str">
        <f t="shared" si="16"/>
        <v>Missing</v>
      </c>
      <c r="AA294" s="74" t="str">
        <f t="shared" si="17"/>
        <v>Critical</v>
      </c>
    </row>
    <row r="295" spans="1:27" x14ac:dyDescent="0.2">
      <c r="A295" s="103" t="s">
        <v>927</v>
      </c>
      <c r="B295" s="103" t="s">
        <v>2037</v>
      </c>
      <c r="C295" s="103" t="s">
        <v>2038</v>
      </c>
      <c r="D295" s="103">
        <v>325</v>
      </c>
      <c r="E295" s="103">
        <v>375</v>
      </c>
      <c r="F295" s="103">
        <v>260</v>
      </c>
      <c r="G295" s="103">
        <v>130</v>
      </c>
      <c r="H295" s="103" t="s">
        <v>791</v>
      </c>
      <c r="I295" s="103" t="s">
        <v>1736</v>
      </c>
      <c r="J295" s="103" t="s">
        <v>35</v>
      </c>
      <c r="K295" s="103" t="s">
        <v>898</v>
      </c>
      <c r="L295" s="103" t="s">
        <v>49</v>
      </c>
      <c r="M295" s="103" t="s">
        <v>43</v>
      </c>
      <c r="N295" s="103" t="s">
        <v>71</v>
      </c>
      <c r="O295" s="103" t="s">
        <v>779</v>
      </c>
      <c r="Q295" s="118" t="s">
        <v>1598</v>
      </c>
      <c r="R295" s="118" t="s">
        <v>1599</v>
      </c>
      <c r="S295" s="103" t="s">
        <v>2039</v>
      </c>
      <c r="U295" s="103">
        <v>1090</v>
      </c>
      <c r="V295" s="73" t="str">
        <f>_xlfn.XLOOKUP(B295,'Non-Projects (RUN-BAU)'!C:C,'Non-Projects (RUN-BAU)'!B:B,"",0)</f>
        <v/>
      </c>
      <c r="W295" s="73" t="str">
        <f>_xlfn.XLOOKUP(A295,'Ongoing Projects'!B:B,'Ongoing Projects'!B:B,"",0)</f>
        <v/>
      </c>
      <c r="X295" s="73" t="str">
        <f>_xlfn.XLOOKUP(B295,'New Projects'!D:D,'New Projects'!C:C,"",0)</f>
        <v/>
      </c>
      <c r="Y295" s="73" t="str">
        <f t="shared" si="15"/>
        <v/>
      </c>
      <c r="Z295" s="74" t="str">
        <f t="shared" si="16"/>
        <v>Missing</v>
      </c>
      <c r="AA295" s="74" t="str">
        <f t="shared" si="17"/>
        <v>Critical</v>
      </c>
    </row>
    <row r="296" spans="1:27" x14ac:dyDescent="0.2">
      <c r="A296" s="103" t="s">
        <v>962</v>
      </c>
      <c r="B296" s="103" t="s">
        <v>2040</v>
      </c>
      <c r="C296" s="103" t="s">
        <v>2041</v>
      </c>
      <c r="D296" s="103">
        <v>360</v>
      </c>
      <c r="E296" s="103">
        <v>635</v>
      </c>
      <c r="F296" s="103">
        <v>540</v>
      </c>
      <c r="G296" s="103">
        <v>625</v>
      </c>
      <c r="H296" s="103" t="s">
        <v>791</v>
      </c>
      <c r="I296" s="103" t="s">
        <v>1597</v>
      </c>
      <c r="J296" s="103" t="s">
        <v>35</v>
      </c>
      <c r="K296" s="103" t="s">
        <v>898</v>
      </c>
      <c r="L296" s="103" t="s">
        <v>49</v>
      </c>
      <c r="M296" s="103" t="s">
        <v>43</v>
      </c>
      <c r="N296" s="103" t="s">
        <v>71</v>
      </c>
      <c r="O296" s="103" t="s">
        <v>787</v>
      </c>
      <c r="Q296" s="118" t="s">
        <v>1598</v>
      </c>
      <c r="R296" s="118" t="s">
        <v>1599</v>
      </c>
      <c r="U296" s="103">
        <v>1190</v>
      </c>
      <c r="V296" s="73" t="str">
        <f>_xlfn.XLOOKUP(B296,'Non-Projects (RUN-BAU)'!C:C,'Non-Projects (RUN-BAU)'!B:B,"",0)</f>
        <v/>
      </c>
      <c r="W296" s="73" t="str">
        <f>_xlfn.XLOOKUP(A296,'Ongoing Projects'!B:B,'Ongoing Projects'!B:B,"",0)</f>
        <v/>
      </c>
      <c r="X296" s="73" t="str">
        <f>_xlfn.XLOOKUP(B296,'New Projects'!D:D,'New Projects'!C:C,"",0)</f>
        <v/>
      </c>
      <c r="Y296" s="73" t="str">
        <f t="shared" si="15"/>
        <v/>
      </c>
      <c r="Z296" s="74" t="str">
        <f t="shared" si="16"/>
        <v>Missing</v>
      </c>
      <c r="AA296" s="74" t="str">
        <f t="shared" si="17"/>
        <v>Critical</v>
      </c>
    </row>
    <row r="297" spans="1:27" x14ac:dyDescent="0.2">
      <c r="A297" s="103" t="s">
        <v>978</v>
      </c>
      <c r="B297" s="103" t="s">
        <v>979</v>
      </c>
      <c r="C297" s="103" t="s">
        <v>979</v>
      </c>
      <c r="D297" s="103">
        <v>25</v>
      </c>
      <c r="E297" s="103">
        <v>25</v>
      </c>
      <c r="F297" s="103">
        <v>75</v>
      </c>
      <c r="G297" s="103">
        <v>75</v>
      </c>
      <c r="H297" s="103" t="s">
        <v>811</v>
      </c>
      <c r="I297" s="103" t="s">
        <v>1597</v>
      </c>
      <c r="J297" s="103" t="s">
        <v>35</v>
      </c>
      <c r="K297" s="103" t="s">
        <v>810</v>
      </c>
      <c r="L297" s="103" t="s">
        <v>46</v>
      </c>
      <c r="M297" s="103" t="s">
        <v>43</v>
      </c>
      <c r="N297" s="103" t="s">
        <v>71</v>
      </c>
      <c r="O297" s="103" t="s">
        <v>779</v>
      </c>
      <c r="Q297" s="118" t="s">
        <v>1598</v>
      </c>
      <c r="R297" s="118" t="s">
        <v>1599</v>
      </c>
      <c r="U297" s="103">
        <v>200</v>
      </c>
      <c r="V297" s="73" t="str">
        <f>_xlfn.XLOOKUP(B297,'Non-Projects (RUN-BAU)'!C:C,'Non-Projects (RUN-BAU)'!B:B,"",0)</f>
        <v/>
      </c>
      <c r="W297" s="73" t="str">
        <f>_xlfn.XLOOKUP(A297,'Ongoing Projects'!B:B,'Ongoing Projects'!B:B,"",0)</f>
        <v/>
      </c>
      <c r="X297" s="73" t="str">
        <f>_xlfn.XLOOKUP(B297,'New Projects'!D:D,'New Projects'!C:C,"",0)</f>
        <v/>
      </c>
      <c r="Y297" s="73" t="str">
        <f t="shared" si="15"/>
        <v/>
      </c>
      <c r="Z297" s="74" t="str">
        <f t="shared" si="16"/>
        <v>Missing</v>
      </c>
      <c r="AA297" s="74" t="str">
        <f t="shared" si="17"/>
        <v>Critical</v>
      </c>
    </row>
    <row r="298" spans="1:27" x14ac:dyDescent="0.2">
      <c r="A298" s="103" t="s">
        <v>982</v>
      </c>
      <c r="B298" s="103" t="s">
        <v>983</v>
      </c>
      <c r="C298" s="103" t="s">
        <v>2042</v>
      </c>
      <c r="D298" s="103">
        <v>600</v>
      </c>
      <c r="E298" s="103">
        <v>375</v>
      </c>
      <c r="F298" s="103">
        <v>140</v>
      </c>
      <c r="G298" s="103">
        <v>135</v>
      </c>
      <c r="H298" s="103" t="s">
        <v>985</v>
      </c>
      <c r="I298" s="103" t="s">
        <v>1597</v>
      </c>
      <c r="J298" s="103" t="s">
        <v>23</v>
      </c>
      <c r="K298" s="103" t="s">
        <v>984</v>
      </c>
      <c r="L298" s="103" t="s">
        <v>46</v>
      </c>
      <c r="M298" s="103" t="s">
        <v>41</v>
      </c>
      <c r="N298" s="103" t="s">
        <v>64</v>
      </c>
      <c r="O298" s="103" t="s">
        <v>934</v>
      </c>
      <c r="Q298" s="118" t="s">
        <v>1598</v>
      </c>
      <c r="R298" s="118" t="s">
        <v>1599</v>
      </c>
      <c r="U298" s="103">
        <v>1250</v>
      </c>
      <c r="V298" s="73" t="str">
        <f>_xlfn.XLOOKUP(B298,'Non-Projects (RUN-BAU)'!C:C,'Non-Projects (RUN-BAU)'!B:B,"",0)</f>
        <v/>
      </c>
      <c r="W298" s="73" t="str">
        <f>_xlfn.XLOOKUP(A298,'Ongoing Projects'!B:B,'Ongoing Projects'!B:B,"",0)</f>
        <v/>
      </c>
      <c r="X298" s="73" t="str">
        <f>_xlfn.XLOOKUP(B298,'New Projects'!D:D,'New Projects'!C:C,"",0)</f>
        <v/>
      </c>
      <c r="Y298" s="73" t="str">
        <f t="shared" si="15"/>
        <v/>
      </c>
      <c r="Z298" s="74" t="str">
        <f t="shared" si="16"/>
        <v>Missing</v>
      </c>
      <c r="AA298" s="74" t="str">
        <f t="shared" si="17"/>
        <v>Critical</v>
      </c>
    </row>
    <row r="299" spans="1:27" x14ac:dyDescent="0.2">
      <c r="A299" s="103" t="s">
        <v>994</v>
      </c>
      <c r="B299" s="103" t="s">
        <v>995</v>
      </c>
      <c r="C299" s="103" t="s">
        <v>2043</v>
      </c>
      <c r="D299" s="103">
        <v>150</v>
      </c>
      <c r="E299" s="103">
        <v>150</v>
      </c>
      <c r="F299" s="103">
        <v>70</v>
      </c>
      <c r="G299" s="103">
        <v>0</v>
      </c>
      <c r="H299" s="103" t="s">
        <v>1624</v>
      </c>
      <c r="I299" s="103" t="s">
        <v>1736</v>
      </c>
      <c r="J299" s="103" t="s">
        <v>23</v>
      </c>
      <c r="K299" s="103" t="s">
        <v>810</v>
      </c>
      <c r="L299" s="103" t="s">
        <v>53</v>
      </c>
      <c r="M299" s="103" t="s">
        <v>43</v>
      </c>
      <c r="N299" s="103" t="s">
        <v>71</v>
      </c>
      <c r="O299" s="103" t="s">
        <v>779</v>
      </c>
      <c r="Q299" s="118" t="s">
        <v>1598</v>
      </c>
      <c r="R299" s="118" t="s">
        <v>1608</v>
      </c>
      <c r="U299" s="103">
        <v>250</v>
      </c>
      <c r="V299" s="73" t="str">
        <f>_xlfn.XLOOKUP(B299,'Non-Projects (RUN-BAU)'!C:C,'Non-Projects (RUN-BAU)'!B:B,"",0)</f>
        <v/>
      </c>
      <c r="W299" s="73" t="str">
        <f>_xlfn.XLOOKUP(A299,'Ongoing Projects'!B:B,'Ongoing Projects'!B:B,"",0)</f>
        <v/>
      </c>
      <c r="X299" s="73" t="str">
        <f>_xlfn.XLOOKUP(B299,'New Projects'!D:D,'New Projects'!C:C,"",0)</f>
        <v/>
      </c>
      <c r="Y299" s="73" t="str">
        <f t="shared" si="15"/>
        <v/>
      </c>
      <c r="Z299" s="74" t="str">
        <f t="shared" si="16"/>
        <v>Missing</v>
      </c>
      <c r="AA299" s="74" t="str">
        <f t="shared" si="17"/>
        <v>Critical</v>
      </c>
    </row>
    <row r="300" spans="1:27" x14ac:dyDescent="0.2">
      <c r="A300" s="103" t="s">
        <v>1007</v>
      </c>
      <c r="B300" s="103" t="s">
        <v>2044</v>
      </c>
      <c r="C300" s="103" t="s">
        <v>2044</v>
      </c>
      <c r="D300" s="103">
        <v>25</v>
      </c>
      <c r="E300" s="103">
        <v>25</v>
      </c>
      <c r="F300" s="103">
        <v>25</v>
      </c>
      <c r="G300" s="103">
        <v>25</v>
      </c>
      <c r="H300" s="103" t="s">
        <v>1624</v>
      </c>
      <c r="I300" s="103" t="s">
        <v>1736</v>
      </c>
      <c r="J300" s="103" t="s">
        <v>35</v>
      </c>
      <c r="K300" s="103" t="s">
        <v>810</v>
      </c>
      <c r="L300" s="103" t="s">
        <v>49</v>
      </c>
      <c r="M300" s="103" t="s">
        <v>43</v>
      </c>
      <c r="N300" s="103" t="s">
        <v>71</v>
      </c>
      <c r="O300" s="103" t="s">
        <v>779</v>
      </c>
      <c r="Q300" s="118" t="s">
        <v>1598</v>
      </c>
      <c r="R300" s="118" t="s">
        <v>1599</v>
      </c>
      <c r="U300" s="103">
        <v>100</v>
      </c>
      <c r="V300" s="73" t="str">
        <f>_xlfn.XLOOKUP(B300,'Non-Projects (RUN-BAU)'!C:C,'Non-Projects (RUN-BAU)'!B:B,"",0)</f>
        <v/>
      </c>
      <c r="W300" s="73" t="str">
        <f>_xlfn.XLOOKUP(A300,'Ongoing Projects'!B:B,'Ongoing Projects'!B:B,"",0)</f>
        <v/>
      </c>
      <c r="X300" s="73" t="str">
        <f>_xlfn.XLOOKUP(B300,'New Projects'!D:D,'New Projects'!C:C,"",0)</f>
        <v/>
      </c>
      <c r="Y300" s="73" t="str">
        <f t="shared" si="15"/>
        <v/>
      </c>
      <c r="Z300" s="74" t="str">
        <f t="shared" si="16"/>
        <v>Missing</v>
      </c>
      <c r="AA300" s="74" t="str">
        <f t="shared" si="17"/>
        <v>Critical</v>
      </c>
    </row>
    <row r="301" spans="1:27" x14ac:dyDescent="0.2">
      <c r="A301" s="103" t="s">
        <v>1011</v>
      </c>
      <c r="B301" s="103" t="s">
        <v>1012</v>
      </c>
      <c r="C301" s="103" t="s">
        <v>1934</v>
      </c>
      <c r="D301" s="103">
        <v>50</v>
      </c>
      <c r="E301" s="103">
        <v>50</v>
      </c>
      <c r="F301" s="103">
        <v>0</v>
      </c>
      <c r="G301" s="103">
        <v>0</v>
      </c>
      <c r="H301" s="103" t="s">
        <v>774</v>
      </c>
      <c r="I301" s="103" t="s">
        <v>1597</v>
      </c>
      <c r="J301" s="103" t="s">
        <v>13</v>
      </c>
      <c r="K301" s="103" t="s">
        <v>766</v>
      </c>
      <c r="L301" s="103" t="s">
        <v>46</v>
      </c>
      <c r="M301" s="103" t="s">
        <v>41</v>
      </c>
      <c r="N301" s="103" t="s">
        <v>68</v>
      </c>
      <c r="O301" s="103" t="s">
        <v>767</v>
      </c>
      <c r="Q301" s="118" t="s">
        <v>1598</v>
      </c>
      <c r="R301" s="118" t="s">
        <v>1606</v>
      </c>
      <c r="U301" s="103">
        <v>100</v>
      </c>
      <c r="V301" s="73" t="str">
        <f>_xlfn.XLOOKUP(B301,'Non-Projects (RUN-BAU)'!C:C,'Non-Projects (RUN-BAU)'!B:B,"",0)</f>
        <v/>
      </c>
      <c r="W301" s="73" t="str">
        <f>_xlfn.XLOOKUP(A301,'Ongoing Projects'!B:B,'Ongoing Projects'!B:B,"",0)</f>
        <v/>
      </c>
      <c r="X301" s="73" t="str">
        <f>_xlfn.XLOOKUP(B301,'New Projects'!D:D,'New Projects'!C:C,"",0)</f>
        <v/>
      </c>
      <c r="Y301" s="73" t="str">
        <f t="shared" si="15"/>
        <v/>
      </c>
      <c r="Z301" s="74" t="str">
        <f t="shared" si="16"/>
        <v>Missing</v>
      </c>
      <c r="AA301" s="74" t="str">
        <f t="shared" si="17"/>
        <v>Critical</v>
      </c>
    </row>
    <row r="302" spans="1:27" x14ac:dyDescent="0.2">
      <c r="A302" s="103" t="s">
        <v>1013</v>
      </c>
      <c r="B302" s="103" t="s">
        <v>1014</v>
      </c>
      <c r="C302" s="103" t="s">
        <v>2021</v>
      </c>
      <c r="D302" s="103">
        <v>100</v>
      </c>
      <c r="E302" s="103">
        <v>50</v>
      </c>
      <c r="F302" s="103">
        <v>0</v>
      </c>
      <c r="G302" s="103">
        <v>0</v>
      </c>
      <c r="H302" s="103" t="s">
        <v>774</v>
      </c>
      <c r="I302" s="103" t="s">
        <v>1597</v>
      </c>
      <c r="J302" s="103" t="s">
        <v>13</v>
      </c>
      <c r="K302" s="103" t="s">
        <v>766</v>
      </c>
      <c r="L302" s="103" t="s">
        <v>46</v>
      </c>
      <c r="M302" s="103" t="s">
        <v>41</v>
      </c>
      <c r="N302" s="103" t="s">
        <v>68</v>
      </c>
      <c r="O302" s="103" t="s">
        <v>767</v>
      </c>
      <c r="Q302" s="118" t="s">
        <v>1598</v>
      </c>
      <c r="R302" s="118" t="s">
        <v>1606</v>
      </c>
      <c r="U302" s="103">
        <v>150</v>
      </c>
      <c r="V302" s="73" t="str">
        <f>_xlfn.XLOOKUP(B302,'Non-Projects (RUN-BAU)'!C:C,'Non-Projects (RUN-BAU)'!B:B,"",0)</f>
        <v/>
      </c>
      <c r="W302" s="73" t="str">
        <f>_xlfn.XLOOKUP(A302,'Ongoing Projects'!B:B,'Ongoing Projects'!B:B,"",0)</f>
        <v/>
      </c>
      <c r="X302" s="73" t="str">
        <f>_xlfn.XLOOKUP(B302,'New Projects'!D:D,'New Projects'!C:C,"",0)</f>
        <v/>
      </c>
      <c r="Y302" s="73" t="str">
        <f t="shared" si="15"/>
        <v/>
      </c>
      <c r="Z302" s="74" t="str">
        <f t="shared" si="16"/>
        <v>Missing</v>
      </c>
      <c r="AA302" s="74" t="str">
        <f t="shared" si="17"/>
        <v>Critical</v>
      </c>
    </row>
    <row r="303" spans="1:27" x14ac:dyDescent="0.2">
      <c r="A303" s="103" t="s">
        <v>1015</v>
      </c>
      <c r="B303" s="103" t="s">
        <v>1016</v>
      </c>
      <c r="C303" s="103" t="s">
        <v>1934</v>
      </c>
      <c r="D303" s="103">
        <v>50</v>
      </c>
      <c r="E303" s="103">
        <v>20</v>
      </c>
      <c r="F303" s="103">
        <v>0</v>
      </c>
      <c r="G303" s="103">
        <v>0</v>
      </c>
      <c r="H303" s="103" t="s">
        <v>774</v>
      </c>
      <c r="I303" s="103" t="s">
        <v>1597</v>
      </c>
      <c r="J303" s="103" t="s">
        <v>13</v>
      </c>
      <c r="K303" s="103" t="s">
        <v>766</v>
      </c>
      <c r="L303" s="103" t="s">
        <v>53</v>
      </c>
      <c r="M303" s="103" t="s">
        <v>41</v>
      </c>
      <c r="N303" s="103" t="s">
        <v>68</v>
      </c>
      <c r="O303" s="103" t="s">
        <v>767</v>
      </c>
      <c r="Q303" s="118" t="s">
        <v>1598</v>
      </c>
      <c r="R303" s="118" t="s">
        <v>1606</v>
      </c>
      <c r="U303" s="103">
        <v>70</v>
      </c>
      <c r="V303" s="73" t="str">
        <f>_xlfn.XLOOKUP(B303,'Non-Projects (RUN-BAU)'!C:C,'Non-Projects (RUN-BAU)'!B:B,"",0)</f>
        <v/>
      </c>
      <c r="W303" s="73" t="str">
        <f>_xlfn.XLOOKUP(A303,'Ongoing Projects'!B:B,'Ongoing Projects'!B:B,"",0)</f>
        <v/>
      </c>
      <c r="X303" s="73" t="str">
        <f>_xlfn.XLOOKUP(B303,'New Projects'!D:D,'New Projects'!C:C,"",0)</f>
        <v/>
      </c>
      <c r="Y303" s="73" t="str">
        <f t="shared" si="15"/>
        <v/>
      </c>
      <c r="Z303" s="74" t="str">
        <f t="shared" si="16"/>
        <v>Missing</v>
      </c>
      <c r="AA303" s="74" t="str">
        <f t="shared" si="17"/>
        <v>Critical</v>
      </c>
    </row>
    <row r="304" spans="1:27" x14ac:dyDescent="0.2">
      <c r="A304" s="103" t="s">
        <v>1021</v>
      </c>
      <c r="B304" s="103" t="s">
        <v>1022</v>
      </c>
      <c r="C304" s="103" t="s">
        <v>2045</v>
      </c>
      <c r="D304" s="103">
        <v>25</v>
      </c>
      <c r="E304" s="103">
        <v>35</v>
      </c>
      <c r="F304" s="103">
        <v>110</v>
      </c>
      <c r="G304" s="103">
        <v>100</v>
      </c>
      <c r="H304" s="103" t="s">
        <v>820</v>
      </c>
      <c r="J304" s="103" t="s">
        <v>13</v>
      </c>
      <c r="K304" s="103" t="s">
        <v>810</v>
      </c>
      <c r="L304" s="103" t="s">
        <v>46</v>
      </c>
      <c r="M304" s="103" t="s">
        <v>41</v>
      </c>
      <c r="N304" s="103" t="s">
        <v>71</v>
      </c>
      <c r="O304" s="103" t="s">
        <v>779</v>
      </c>
      <c r="Q304" s="118" t="s">
        <v>1598</v>
      </c>
      <c r="R304" s="118" t="s">
        <v>1599</v>
      </c>
      <c r="T304" s="103" t="s">
        <v>2012</v>
      </c>
      <c r="U304" s="103">
        <v>270</v>
      </c>
      <c r="V304" s="73" t="str">
        <f>_xlfn.XLOOKUP(B304,'Non-Projects (RUN-BAU)'!C:C,'Non-Projects (RUN-BAU)'!B:B,"",0)</f>
        <v/>
      </c>
      <c r="W304" s="73" t="str">
        <f>_xlfn.XLOOKUP(A304,'Ongoing Projects'!B:B,'Ongoing Projects'!B:B,"",0)</f>
        <v/>
      </c>
      <c r="X304" s="73" t="str">
        <f>_xlfn.XLOOKUP(B304,'New Projects'!D:D,'New Projects'!C:C,"",0)</f>
        <v/>
      </c>
      <c r="Y304" s="73" t="str">
        <f t="shared" si="15"/>
        <v/>
      </c>
      <c r="Z304" s="74" t="str">
        <f t="shared" si="16"/>
        <v>Missing</v>
      </c>
      <c r="AA304" s="74" t="str">
        <f t="shared" si="17"/>
        <v>Critical</v>
      </c>
    </row>
    <row r="305" spans="1:27" x14ac:dyDescent="0.2">
      <c r="A305" s="103" t="s">
        <v>1031</v>
      </c>
      <c r="B305" s="103" t="s">
        <v>1032</v>
      </c>
      <c r="D305" s="103">
        <v>0</v>
      </c>
      <c r="E305" s="103">
        <v>0</v>
      </c>
      <c r="F305" s="103">
        <v>0</v>
      </c>
      <c r="G305" s="103">
        <v>0</v>
      </c>
      <c r="H305" s="103" t="s">
        <v>873</v>
      </c>
      <c r="N305" s="103" t="s">
        <v>68</v>
      </c>
      <c r="Q305" s="118" t="s">
        <v>3851</v>
      </c>
      <c r="R305" s="118" t="s">
        <v>1599</v>
      </c>
      <c r="U305" s="103">
        <v>0</v>
      </c>
      <c r="V305" s="73" t="str">
        <f>_xlfn.XLOOKUP(B305,'Non-Projects (RUN-BAU)'!C:C,'Non-Projects (RUN-BAU)'!B:B,"",0)</f>
        <v/>
      </c>
      <c r="W305" s="73" t="str">
        <f>_xlfn.XLOOKUP(A305,'Ongoing Projects'!B:B,'Ongoing Projects'!B:B,"",0)</f>
        <v/>
      </c>
      <c r="X305" s="73" t="str">
        <f>_xlfn.XLOOKUP(B305,'New Projects'!D:D,'New Projects'!C:C,"",0)</f>
        <v/>
      </c>
      <c r="Y305" s="73" t="str">
        <f t="shared" si="15"/>
        <v/>
      </c>
      <c r="Z305" s="74" t="str">
        <f t="shared" si="16"/>
        <v>Missing</v>
      </c>
      <c r="AA305" s="74" t="str">
        <f t="shared" si="17"/>
        <v/>
      </c>
    </row>
    <row r="306" spans="1:27" x14ac:dyDescent="0.2">
      <c r="A306" s="103" t="s">
        <v>1033</v>
      </c>
      <c r="B306" s="103" t="s">
        <v>1034</v>
      </c>
      <c r="C306" s="103" t="s">
        <v>2021</v>
      </c>
      <c r="D306" s="103">
        <v>100</v>
      </c>
      <c r="E306" s="103">
        <v>45</v>
      </c>
      <c r="F306" s="103">
        <v>355</v>
      </c>
      <c r="G306" s="103">
        <v>0</v>
      </c>
      <c r="H306" s="103" t="s">
        <v>771</v>
      </c>
      <c r="I306" s="103" t="s">
        <v>1597</v>
      </c>
      <c r="J306" s="103" t="s">
        <v>13</v>
      </c>
      <c r="K306" s="103" t="s">
        <v>766</v>
      </c>
      <c r="L306" s="103" t="s">
        <v>51</v>
      </c>
      <c r="M306" s="103" t="s">
        <v>43</v>
      </c>
      <c r="N306" s="103" t="s">
        <v>68</v>
      </c>
      <c r="O306" s="103" t="s">
        <v>767</v>
      </c>
      <c r="Q306" s="118" t="s">
        <v>1598</v>
      </c>
      <c r="R306" s="118" t="s">
        <v>1608</v>
      </c>
      <c r="U306" s="103">
        <v>500</v>
      </c>
      <c r="V306" s="73" t="str">
        <f>_xlfn.XLOOKUP(B306,'Non-Projects (RUN-BAU)'!C:C,'Non-Projects (RUN-BAU)'!B:B,"",0)</f>
        <v/>
      </c>
      <c r="W306" s="73" t="str">
        <f>_xlfn.XLOOKUP(A306,'Ongoing Projects'!B:B,'Ongoing Projects'!B:B,"",0)</f>
        <v/>
      </c>
      <c r="X306" s="73" t="str">
        <f>_xlfn.XLOOKUP(B306,'New Projects'!D:D,'New Projects'!C:C,"",0)</f>
        <v/>
      </c>
      <c r="Y306" s="73" t="str">
        <f t="shared" si="15"/>
        <v/>
      </c>
      <c r="Z306" s="74" t="str">
        <f t="shared" si="16"/>
        <v>Missing</v>
      </c>
      <c r="AA306" s="74" t="str">
        <f t="shared" si="17"/>
        <v>Critical</v>
      </c>
    </row>
    <row r="307" spans="1:27" x14ac:dyDescent="0.2">
      <c r="A307" s="103" t="s">
        <v>1037</v>
      </c>
      <c r="B307" s="103" t="s">
        <v>1038</v>
      </c>
      <c r="C307" s="103" t="s">
        <v>2021</v>
      </c>
      <c r="D307" s="103">
        <v>95</v>
      </c>
      <c r="E307" s="103">
        <v>233</v>
      </c>
      <c r="F307" s="103">
        <v>2</v>
      </c>
      <c r="G307" s="103">
        <v>70</v>
      </c>
      <c r="H307" s="103" t="s">
        <v>771</v>
      </c>
      <c r="I307" s="103" t="s">
        <v>1597</v>
      </c>
      <c r="J307" s="103" t="s">
        <v>13</v>
      </c>
      <c r="K307" s="103" t="s">
        <v>766</v>
      </c>
      <c r="L307" s="103" t="s">
        <v>46</v>
      </c>
      <c r="M307" s="103" t="s">
        <v>41</v>
      </c>
      <c r="N307" s="103" t="s">
        <v>68</v>
      </c>
      <c r="O307" s="103" t="s">
        <v>767</v>
      </c>
      <c r="Q307" s="118" t="s">
        <v>1598</v>
      </c>
      <c r="R307" s="118" t="s">
        <v>1599</v>
      </c>
      <c r="U307" s="103">
        <v>400</v>
      </c>
      <c r="V307" s="73" t="str">
        <f>_xlfn.XLOOKUP(B307,'Non-Projects (RUN-BAU)'!C:C,'Non-Projects (RUN-BAU)'!B:B,"",0)</f>
        <v/>
      </c>
      <c r="W307" s="73" t="str">
        <f>_xlfn.XLOOKUP(A307,'Ongoing Projects'!B:B,'Ongoing Projects'!B:B,"",0)</f>
        <v/>
      </c>
      <c r="X307" s="73" t="str">
        <f>_xlfn.XLOOKUP(B307,'New Projects'!D:D,'New Projects'!C:C,"",0)</f>
        <v/>
      </c>
      <c r="Y307" s="73" t="str">
        <f t="shared" si="15"/>
        <v/>
      </c>
      <c r="Z307" s="74" t="str">
        <f t="shared" si="16"/>
        <v>Missing</v>
      </c>
      <c r="AA307" s="74" t="str">
        <f t="shared" si="17"/>
        <v>Critical</v>
      </c>
    </row>
    <row r="308" spans="1:27" x14ac:dyDescent="0.2">
      <c r="A308" s="103" t="s">
        <v>1039</v>
      </c>
      <c r="B308" s="103" t="s">
        <v>1040</v>
      </c>
      <c r="C308" s="103" t="s">
        <v>1042</v>
      </c>
      <c r="D308" s="103">
        <v>120</v>
      </c>
      <c r="E308" s="103">
        <v>125</v>
      </c>
      <c r="F308" s="103">
        <v>155</v>
      </c>
      <c r="G308" s="103">
        <v>225</v>
      </c>
      <c r="H308" s="103" t="s">
        <v>771</v>
      </c>
      <c r="I308" s="103" t="s">
        <v>1597</v>
      </c>
      <c r="J308" s="103" t="s">
        <v>35</v>
      </c>
      <c r="K308" s="103" t="s">
        <v>766</v>
      </c>
      <c r="L308" s="103" t="s">
        <v>1736</v>
      </c>
      <c r="M308" s="103" t="s">
        <v>41</v>
      </c>
      <c r="N308" s="103" t="s">
        <v>68</v>
      </c>
      <c r="O308" s="103" t="s">
        <v>767</v>
      </c>
      <c r="Q308" s="118" t="s">
        <v>1598</v>
      </c>
      <c r="R308" s="118" t="s">
        <v>1599</v>
      </c>
      <c r="U308" s="103">
        <v>625</v>
      </c>
      <c r="V308" s="73" t="str">
        <f>_xlfn.XLOOKUP(B308,'Non-Projects (RUN-BAU)'!C:C,'Non-Projects (RUN-BAU)'!B:B,"",0)</f>
        <v/>
      </c>
      <c r="W308" s="73" t="str">
        <f>_xlfn.XLOOKUP(A308,'Ongoing Projects'!B:B,'Ongoing Projects'!B:B,"",0)</f>
        <v/>
      </c>
      <c r="X308" s="73" t="str">
        <f>_xlfn.XLOOKUP(B308,'New Projects'!D:D,'New Projects'!C:C,"",0)</f>
        <v/>
      </c>
      <c r="Y308" s="73" t="str">
        <f t="shared" si="15"/>
        <v/>
      </c>
      <c r="Z308" s="74" t="str">
        <f t="shared" si="16"/>
        <v>Missing</v>
      </c>
      <c r="AA308" s="74" t="str">
        <f t="shared" si="17"/>
        <v>Critical</v>
      </c>
    </row>
    <row r="309" spans="1:27" x14ac:dyDescent="0.2">
      <c r="A309" s="103" t="s">
        <v>1062</v>
      </c>
      <c r="B309" s="103" t="s">
        <v>1063</v>
      </c>
      <c r="C309" s="103" t="s">
        <v>1042</v>
      </c>
      <c r="D309" s="103">
        <v>490</v>
      </c>
      <c r="E309" s="103">
        <v>480</v>
      </c>
      <c r="F309" s="103">
        <v>510</v>
      </c>
      <c r="G309" s="103">
        <v>620</v>
      </c>
      <c r="H309" s="103" t="s">
        <v>771</v>
      </c>
      <c r="I309" s="103" t="s">
        <v>1597</v>
      </c>
      <c r="J309" s="103" t="s">
        <v>35</v>
      </c>
      <c r="K309" s="103" t="s">
        <v>766</v>
      </c>
      <c r="L309" s="103" t="s">
        <v>1736</v>
      </c>
      <c r="M309" s="103" t="s">
        <v>41</v>
      </c>
      <c r="N309" s="103" t="s">
        <v>68</v>
      </c>
      <c r="O309" s="103" t="s">
        <v>767</v>
      </c>
      <c r="Q309" s="118" t="s">
        <v>1598</v>
      </c>
      <c r="R309" s="118" t="s">
        <v>1599</v>
      </c>
      <c r="U309" s="103">
        <v>2100</v>
      </c>
      <c r="V309" s="73" t="str">
        <f>_xlfn.XLOOKUP(B309,'Non-Projects (RUN-BAU)'!C:C,'Non-Projects (RUN-BAU)'!B:B,"",0)</f>
        <v/>
      </c>
      <c r="W309" s="73" t="str">
        <f>_xlfn.XLOOKUP(A309,'Ongoing Projects'!B:B,'Ongoing Projects'!B:B,"",0)</f>
        <v/>
      </c>
      <c r="X309" s="73" t="str">
        <f>_xlfn.XLOOKUP(B309,'New Projects'!D:D,'New Projects'!C:C,"",0)</f>
        <v/>
      </c>
      <c r="Y309" s="73" t="str">
        <f t="shared" si="15"/>
        <v/>
      </c>
      <c r="Z309" s="74" t="str">
        <f t="shared" si="16"/>
        <v>Missing</v>
      </c>
      <c r="AA309" s="74" t="str">
        <f t="shared" si="17"/>
        <v>Critical</v>
      </c>
    </row>
    <row r="310" spans="1:27" x14ac:dyDescent="0.2">
      <c r="A310" s="103" t="s">
        <v>1084</v>
      </c>
      <c r="B310" s="103" t="s">
        <v>1085</v>
      </c>
      <c r="C310" s="103" t="s">
        <v>1042</v>
      </c>
      <c r="D310" s="103">
        <v>255</v>
      </c>
      <c r="E310" s="103">
        <v>225</v>
      </c>
      <c r="F310" s="103">
        <v>245</v>
      </c>
      <c r="G310" s="103">
        <v>175</v>
      </c>
      <c r="H310" s="103" t="s">
        <v>1559</v>
      </c>
      <c r="I310" s="103" t="s">
        <v>1597</v>
      </c>
      <c r="J310" s="103" t="s">
        <v>35</v>
      </c>
      <c r="K310" s="103" t="s">
        <v>766</v>
      </c>
      <c r="L310" s="103" t="s">
        <v>46</v>
      </c>
      <c r="M310" s="103" t="s">
        <v>43</v>
      </c>
      <c r="N310" s="103" t="s">
        <v>68</v>
      </c>
      <c r="O310" s="103" t="s">
        <v>767</v>
      </c>
      <c r="Q310" s="118" t="s">
        <v>1598</v>
      </c>
      <c r="R310" s="118" t="s">
        <v>1599</v>
      </c>
      <c r="U310" s="103">
        <v>900</v>
      </c>
      <c r="V310" s="73" t="str">
        <f>_xlfn.XLOOKUP(B310,'Non-Projects (RUN-BAU)'!C:C,'Non-Projects (RUN-BAU)'!B:B,"",0)</f>
        <v/>
      </c>
      <c r="W310" s="73" t="str">
        <f>_xlfn.XLOOKUP(A310,'Ongoing Projects'!B:B,'Ongoing Projects'!B:B,"",0)</f>
        <v/>
      </c>
      <c r="X310" s="73" t="str">
        <f>_xlfn.XLOOKUP(B310,'New Projects'!D:D,'New Projects'!C:C,"",0)</f>
        <v/>
      </c>
      <c r="Y310" s="73" t="str">
        <f t="shared" si="15"/>
        <v/>
      </c>
      <c r="Z310" s="74" t="str">
        <f t="shared" si="16"/>
        <v>Missing</v>
      </c>
      <c r="AA310" s="74" t="str">
        <f t="shared" si="17"/>
        <v>Critical</v>
      </c>
    </row>
    <row r="311" spans="1:27" x14ac:dyDescent="0.2">
      <c r="A311" s="103" t="s">
        <v>1086</v>
      </c>
      <c r="B311" s="103" t="s">
        <v>1087</v>
      </c>
      <c r="C311" s="103" t="s">
        <v>1934</v>
      </c>
      <c r="D311" s="103">
        <v>300</v>
      </c>
      <c r="E311" s="103">
        <v>150</v>
      </c>
      <c r="F311" s="103">
        <v>210</v>
      </c>
      <c r="G311" s="103">
        <v>300</v>
      </c>
      <c r="H311" s="103" t="s">
        <v>873</v>
      </c>
      <c r="I311" s="103" t="s">
        <v>1597</v>
      </c>
      <c r="J311" s="103" t="s">
        <v>13</v>
      </c>
      <c r="K311" s="103" t="s">
        <v>766</v>
      </c>
      <c r="L311" s="103" t="s">
        <v>46</v>
      </c>
      <c r="M311" s="103" t="s">
        <v>41</v>
      </c>
      <c r="N311" s="103" t="s">
        <v>68</v>
      </c>
      <c r="O311" s="103" t="s">
        <v>767</v>
      </c>
      <c r="Q311" s="118" t="s">
        <v>1598</v>
      </c>
      <c r="R311" s="118" t="s">
        <v>1599</v>
      </c>
      <c r="U311" s="103">
        <v>760</v>
      </c>
      <c r="V311" s="73" t="str">
        <f>_xlfn.XLOOKUP(B311,'Non-Projects (RUN-BAU)'!C:C,'Non-Projects (RUN-BAU)'!B:B,"",0)</f>
        <v/>
      </c>
      <c r="W311" s="73" t="str">
        <f>_xlfn.XLOOKUP(A311,'Ongoing Projects'!B:B,'Ongoing Projects'!B:B,"",0)</f>
        <v/>
      </c>
      <c r="X311" s="73" t="str">
        <f>_xlfn.XLOOKUP(B311,'New Projects'!D:D,'New Projects'!C:C,"",0)</f>
        <v/>
      </c>
      <c r="Y311" s="73" t="str">
        <f t="shared" si="15"/>
        <v/>
      </c>
      <c r="Z311" s="74" t="str">
        <f t="shared" si="16"/>
        <v>Missing</v>
      </c>
      <c r="AA311" s="74" t="str">
        <f t="shared" si="17"/>
        <v>Critical</v>
      </c>
    </row>
    <row r="312" spans="1:27" x14ac:dyDescent="0.2">
      <c r="A312" s="103" t="s">
        <v>1088</v>
      </c>
      <c r="B312" s="103" t="s">
        <v>1107</v>
      </c>
      <c r="D312" s="103">
        <v>0</v>
      </c>
      <c r="E312" s="103">
        <v>140</v>
      </c>
      <c r="F312" s="103">
        <v>160</v>
      </c>
      <c r="G312" s="103">
        <v>22.5</v>
      </c>
      <c r="H312" s="103" t="s">
        <v>1679</v>
      </c>
      <c r="I312" s="103" t="s">
        <v>1597</v>
      </c>
      <c r="J312" s="103" t="s">
        <v>13</v>
      </c>
      <c r="K312" s="103" t="s">
        <v>750</v>
      </c>
      <c r="L312" s="103" t="s">
        <v>46</v>
      </c>
      <c r="M312" s="103" t="s">
        <v>41</v>
      </c>
      <c r="N312" s="103" t="s">
        <v>64</v>
      </c>
      <c r="O312" s="103" t="s">
        <v>751</v>
      </c>
      <c r="Q312" s="118" t="s">
        <v>1601</v>
      </c>
      <c r="R312" s="118" t="s">
        <v>1599</v>
      </c>
      <c r="U312" s="103">
        <v>322.5</v>
      </c>
      <c r="V312" s="73" t="str">
        <f>_xlfn.XLOOKUP(B312,'Non-Projects (RUN-BAU)'!C:C,'Non-Projects (RUN-BAU)'!B:B,"",0)</f>
        <v/>
      </c>
      <c r="W312" s="73" t="str">
        <f>_xlfn.XLOOKUP(A312,'Ongoing Projects'!B:B,'Ongoing Projects'!B:B,"",0)</f>
        <v/>
      </c>
      <c r="X312" s="73" t="str">
        <f>_xlfn.XLOOKUP(B312,'New Projects'!D:D,'New Projects'!C:C,"",0)</f>
        <v/>
      </c>
      <c r="Y312" s="73" t="str">
        <f t="shared" si="15"/>
        <v/>
      </c>
      <c r="Z312" s="74" t="str">
        <f t="shared" si="16"/>
        <v>Missing</v>
      </c>
      <c r="AA312" s="74" t="str">
        <f t="shared" si="17"/>
        <v>Critical</v>
      </c>
    </row>
    <row r="313" spans="1:27" x14ac:dyDescent="0.2">
      <c r="A313" s="103" t="s">
        <v>1096</v>
      </c>
      <c r="B313" s="103" t="s">
        <v>1097</v>
      </c>
      <c r="C313" s="103" t="s">
        <v>1934</v>
      </c>
      <c r="D313" s="103">
        <v>216</v>
      </c>
      <c r="E313" s="103">
        <v>146</v>
      </c>
      <c r="F313" s="103">
        <v>146</v>
      </c>
      <c r="G313" s="103">
        <v>116</v>
      </c>
      <c r="H313" s="103" t="s">
        <v>771</v>
      </c>
      <c r="I313" s="103" t="s">
        <v>1597</v>
      </c>
      <c r="J313" s="103" t="s">
        <v>889</v>
      </c>
      <c r="K313" s="103" t="s">
        <v>766</v>
      </c>
      <c r="L313" s="103" t="s">
        <v>46</v>
      </c>
      <c r="M313" s="103" t="s">
        <v>41</v>
      </c>
      <c r="N313" s="103" t="s">
        <v>68</v>
      </c>
      <c r="O313" s="103" t="s">
        <v>767</v>
      </c>
      <c r="Q313" s="118" t="s">
        <v>1598</v>
      </c>
      <c r="R313" s="118" t="s">
        <v>1599</v>
      </c>
      <c r="U313" s="103">
        <v>624</v>
      </c>
      <c r="V313" s="73" t="str">
        <f>_xlfn.XLOOKUP(B313,'Non-Projects (RUN-BAU)'!C:C,'Non-Projects (RUN-BAU)'!B:B,"",0)</f>
        <v/>
      </c>
      <c r="W313" s="73" t="str">
        <f>_xlfn.XLOOKUP(A313,'Ongoing Projects'!B:B,'Ongoing Projects'!B:B,"",0)</f>
        <v/>
      </c>
      <c r="X313" s="73" t="str">
        <f>_xlfn.XLOOKUP(B313,'New Projects'!D:D,'New Projects'!C:C,"",0)</f>
        <v/>
      </c>
      <c r="Y313" s="73" t="str">
        <f t="shared" si="15"/>
        <v/>
      </c>
      <c r="Z313" s="74" t="str">
        <f t="shared" si="16"/>
        <v>Missing</v>
      </c>
      <c r="AA313" s="74" t="str">
        <f t="shared" si="17"/>
        <v>Critical</v>
      </c>
    </row>
    <row r="314" spans="1:27" x14ac:dyDescent="0.2">
      <c r="A314" s="103" t="s">
        <v>1102</v>
      </c>
      <c r="B314" s="103" t="s">
        <v>1103</v>
      </c>
      <c r="C314" s="103" t="s">
        <v>1042</v>
      </c>
      <c r="D314" s="103">
        <v>130</v>
      </c>
      <c r="E314" s="103">
        <v>160</v>
      </c>
      <c r="F314" s="103">
        <v>190</v>
      </c>
      <c r="G314" s="103">
        <v>180</v>
      </c>
      <c r="H314" s="103" t="s">
        <v>771</v>
      </c>
      <c r="I314" s="103" t="s">
        <v>1597</v>
      </c>
      <c r="J314" s="103" t="s">
        <v>35</v>
      </c>
      <c r="K314" s="103" t="s">
        <v>766</v>
      </c>
      <c r="L314" s="103" t="s">
        <v>1736</v>
      </c>
      <c r="M314" s="103" t="s">
        <v>41</v>
      </c>
      <c r="N314" s="103" t="s">
        <v>68</v>
      </c>
      <c r="O314" s="103" t="s">
        <v>767</v>
      </c>
      <c r="Q314" s="118" t="s">
        <v>1598</v>
      </c>
      <c r="R314" s="118" t="s">
        <v>1599</v>
      </c>
      <c r="U314" s="103">
        <v>660</v>
      </c>
      <c r="V314" s="73" t="str">
        <f>_xlfn.XLOOKUP(B314,'Non-Projects (RUN-BAU)'!C:C,'Non-Projects (RUN-BAU)'!B:B,"",0)</f>
        <v/>
      </c>
      <c r="W314" s="73" t="str">
        <f>_xlfn.XLOOKUP(A314,'Ongoing Projects'!B:B,'Ongoing Projects'!B:B,"",0)</f>
        <v/>
      </c>
      <c r="X314" s="73" t="str">
        <f>_xlfn.XLOOKUP(B314,'New Projects'!D:D,'New Projects'!C:C,"",0)</f>
        <v/>
      </c>
      <c r="Y314" s="73" t="str">
        <f t="shared" si="15"/>
        <v/>
      </c>
      <c r="Z314" s="74" t="str">
        <f t="shared" si="16"/>
        <v>Missing</v>
      </c>
      <c r="AA314" s="74" t="str">
        <f t="shared" si="17"/>
        <v>Critical</v>
      </c>
    </row>
    <row r="315" spans="1:27" x14ac:dyDescent="0.2">
      <c r="A315" s="103" t="s">
        <v>1114</v>
      </c>
      <c r="B315" s="103" t="s">
        <v>1115</v>
      </c>
      <c r="C315" s="103" t="s">
        <v>1934</v>
      </c>
      <c r="D315" s="103">
        <v>38</v>
      </c>
      <c r="E315" s="103">
        <v>42</v>
      </c>
      <c r="F315" s="103">
        <v>48</v>
      </c>
      <c r="G315" s="103">
        <v>48</v>
      </c>
      <c r="H315" s="103" t="s">
        <v>1571</v>
      </c>
      <c r="I315" s="103" t="s">
        <v>1597</v>
      </c>
      <c r="J315" s="103" t="s">
        <v>13</v>
      </c>
      <c r="K315" s="103" t="s">
        <v>1116</v>
      </c>
      <c r="L315" s="103" t="s">
        <v>46</v>
      </c>
      <c r="M315" s="103" t="s">
        <v>41</v>
      </c>
      <c r="N315" s="103" t="s">
        <v>68</v>
      </c>
      <c r="O315" s="103" t="s">
        <v>787</v>
      </c>
      <c r="Q315" s="118" t="s">
        <v>1598</v>
      </c>
      <c r="R315" s="118" t="s">
        <v>1599</v>
      </c>
      <c r="U315" s="103">
        <v>176</v>
      </c>
      <c r="V315" s="73" t="str">
        <f>_xlfn.XLOOKUP(B315,'Non-Projects (RUN-BAU)'!C:C,'Non-Projects (RUN-BAU)'!B:B,"",0)</f>
        <v/>
      </c>
      <c r="W315" s="73" t="str">
        <f>_xlfn.XLOOKUP(A315,'Ongoing Projects'!B:B,'Ongoing Projects'!B:B,"",0)</f>
        <v/>
      </c>
      <c r="X315" s="73" t="str">
        <f>_xlfn.XLOOKUP(B315,'New Projects'!D:D,'New Projects'!C:C,"",0)</f>
        <v/>
      </c>
      <c r="Y315" s="73" t="str">
        <f t="shared" si="15"/>
        <v/>
      </c>
      <c r="Z315" s="74" t="str">
        <f t="shared" si="16"/>
        <v>Missing</v>
      </c>
      <c r="AA315" s="74" t="str">
        <f t="shared" si="17"/>
        <v>Critical</v>
      </c>
    </row>
    <row r="316" spans="1:27" x14ac:dyDescent="0.2">
      <c r="A316" s="103" t="s">
        <v>1119</v>
      </c>
      <c r="B316" s="103" t="s">
        <v>1120</v>
      </c>
      <c r="C316" s="103" t="s">
        <v>1042</v>
      </c>
      <c r="D316" s="103">
        <v>114</v>
      </c>
      <c r="E316" s="103">
        <v>128</v>
      </c>
      <c r="F316" s="103">
        <v>143</v>
      </c>
      <c r="G316" s="103">
        <v>143</v>
      </c>
      <c r="H316" s="103" t="s">
        <v>1571</v>
      </c>
      <c r="I316" s="103" t="s">
        <v>1597</v>
      </c>
      <c r="J316" s="103" t="s">
        <v>35</v>
      </c>
      <c r="K316" s="103" t="s">
        <v>1116</v>
      </c>
      <c r="L316" s="103" t="s">
        <v>53</v>
      </c>
      <c r="M316" s="103" t="s">
        <v>41</v>
      </c>
      <c r="N316" s="103" t="s">
        <v>68</v>
      </c>
      <c r="O316" s="103" t="s">
        <v>787</v>
      </c>
      <c r="Q316" s="118" t="s">
        <v>1598</v>
      </c>
      <c r="R316" s="118" t="s">
        <v>1599</v>
      </c>
      <c r="U316" s="103">
        <v>528</v>
      </c>
      <c r="V316" s="73" t="str">
        <f>_xlfn.XLOOKUP(B316,'Non-Projects (RUN-BAU)'!C:C,'Non-Projects (RUN-BAU)'!B:B,"",0)</f>
        <v/>
      </c>
      <c r="W316" s="73" t="str">
        <f>_xlfn.XLOOKUP(A316,'Ongoing Projects'!B:B,'Ongoing Projects'!B:B,"",0)</f>
        <v/>
      </c>
      <c r="X316" s="73" t="str">
        <f>_xlfn.XLOOKUP(B316,'New Projects'!D:D,'New Projects'!C:C,"",0)</f>
        <v/>
      </c>
      <c r="Y316" s="73" t="str">
        <f t="shared" si="15"/>
        <v/>
      </c>
      <c r="Z316" s="74" t="str">
        <f t="shared" si="16"/>
        <v>Missing</v>
      </c>
      <c r="AA316" s="74" t="str">
        <f t="shared" si="17"/>
        <v>Critical</v>
      </c>
    </row>
    <row r="317" spans="1:27" x14ac:dyDescent="0.2">
      <c r="A317" s="103" t="s">
        <v>1123</v>
      </c>
      <c r="B317" s="103" t="s">
        <v>1124</v>
      </c>
      <c r="C317" s="103" t="s">
        <v>2046</v>
      </c>
      <c r="D317" s="103">
        <v>60</v>
      </c>
      <c r="E317" s="103">
        <v>80</v>
      </c>
      <c r="F317" s="103">
        <v>0</v>
      </c>
      <c r="G317" s="103">
        <v>0</v>
      </c>
      <c r="H317" s="103" t="s">
        <v>1571</v>
      </c>
      <c r="I317" s="103" t="s">
        <v>1597</v>
      </c>
      <c r="J317" s="103" t="s">
        <v>23</v>
      </c>
      <c r="K317" s="103" t="s">
        <v>1116</v>
      </c>
      <c r="L317" s="103" t="s">
        <v>46</v>
      </c>
      <c r="M317" s="103" t="s">
        <v>41</v>
      </c>
      <c r="N317" s="103" t="s">
        <v>68</v>
      </c>
      <c r="O317" s="103" t="s">
        <v>787</v>
      </c>
      <c r="Q317" s="118" t="s">
        <v>1598</v>
      </c>
      <c r="R317" s="118" t="s">
        <v>1606</v>
      </c>
      <c r="U317" s="103">
        <v>140</v>
      </c>
      <c r="V317" s="73" t="str">
        <f>_xlfn.XLOOKUP(B317,'Non-Projects (RUN-BAU)'!C:C,'Non-Projects (RUN-BAU)'!B:B,"",0)</f>
        <v/>
      </c>
      <c r="W317" s="73" t="str">
        <f>_xlfn.XLOOKUP(A317,'Ongoing Projects'!B:B,'Ongoing Projects'!B:B,"",0)</f>
        <v/>
      </c>
      <c r="X317" s="73" t="str">
        <f>_xlfn.XLOOKUP(B317,'New Projects'!D:D,'New Projects'!C:C,"",0)</f>
        <v/>
      </c>
      <c r="Y317" s="73" t="str">
        <f t="shared" si="15"/>
        <v/>
      </c>
      <c r="Z317" s="74" t="str">
        <f t="shared" si="16"/>
        <v>Missing</v>
      </c>
      <c r="AA317" s="74" t="str">
        <f t="shared" si="17"/>
        <v>Critical</v>
      </c>
    </row>
    <row r="318" spans="1:27" x14ac:dyDescent="0.2">
      <c r="A318" s="103" t="s">
        <v>1131</v>
      </c>
      <c r="B318" s="103" t="s">
        <v>1132</v>
      </c>
      <c r="D318" s="103">
        <v>99</v>
      </c>
      <c r="E318" s="103">
        <v>0</v>
      </c>
      <c r="F318" s="103">
        <v>0</v>
      </c>
      <c r="G318" s="103">
        <v>0</v>
      </c>
      <c r="H318" s="103" t="s">
        <v>1232</v>
      </c>
      <c r="I318" s="103" t="s">
        <v>1597</v>
      </c>
      <c r="J318" s="103" t="s">
        <v>13</v>
      </c>
      <c r="K318" s="103" t="s">
        <v>750</v>
      </c>
      <c r="L318" s="103" t="s">
        <v>46</v>
      </c>
      <c r="M318" s="103" t="s">
        <v>22</v>
      </c>
      <c r="N318" s="103" t="s">
        <v>64</v>
      </c>
      <c r="O318" s="103" t="s">
        <v>751</v>
      </c>
      <c r="Q318" s="118" t="s">
        <v>1598</v>
      </c>
      <c r="R318" s="118" t="s">
        <v>1610</v>
      </c>
      <c r="U318" s="103">
        <v>99</v>
      </c>
      <c r="V318" s="73" t="str">
        <f>_xlfn.XLOOKUP(B318,'Non-Projects (RUN-BAU)'!C:C,'Non-Projects (RUN-BAU)'!B:B,"",0)</f>
        <v/>
      </c>
      <c r="W318" s="73" t="str">
        <f>_xlfn.XLOOKUP(A318,'Ongoing Projects'!B:B,'Ongoing Projects'!B:B,"",0)</f>
        <v/>
      </c>
      <c r="X318" s="73" t="str">
        <f>_xlfn.XLOOKUP(B318,'New Projects'!D:D,'New Projects'!C:C,"",0)</f>
        <v/>
      </c>
      <c r="Y318" s="73" t="str">
        <f t="shared" si="15"/>
        <v/>
      </c>
      <c r="Z318" s="74" t="str">
        <f t="shared" si="16"/>
        <v>Missing</v>
      </c>
      <c r="AA318" s="74" t="str">
        <f t="shared" si="17"/>
        <v>Critical</v>
      </c>
    </row>
    <row r="319" spans="1:27" x14ac:dyDescent="0.2">
      <c r="A319" s="103" t="s">
        <v>1137</v>
      </c>
      <c r="B319" s="103" t="s">
        <v>2047</v>
      </c>
      <c r="C319" s="103" t="s">
        <v>2048</v>
      </c>
      <c r="D319" s="103">
        <v>688</v>
      </c>
      <c r="E319" s="103">
        <v>588</v>
      </c>
      <c r="F319" s="103">
        <v>438</v>
      </c>
      <c r="G319" s="103">
        <v>511</v>
      </c>
      <c r="H319" s="103" t="s">
        <v>783</v>
      </c>
      <c r="J319" s="103" t="s">
        <v>13</v>
      </c>
      <c r="K319" s="103" t="s">
        <v>810</v>
      </c>
      <c r="L319" s="103" t="s">
        <v>46</v>
      </c>
      <c r="M319" s="103" t="s">
        <v>41</v>
      </c>
      <c r="N319" s="103" t="s">
        <v>71</v>
      </c>
      <c r="O319" s="103" t="s">
        <v>779</v>
      </c>
      <c r="Q319" s="118" t="s">
        <v>1598</v>
      </c>
      <c r="R319" s="118" t="s">
        <v>1599</v>
      </c>
      <c r="U319" s="103">
        <v>2225</v>
      </c>
      <c r="V319" s="73" t="str">
        <f>_xlfn.XLOOKUP(B319,'Non-Projects (RUN-BAU)'!C:C,'Non-Projects (RUN-BAU)'!B:B,"",0)</f>
        <v/>
      </c>
      <c r="W319" s="73" t="str">
        <f>_xlfn.XLOOKUP(A319,'Ongoing Projects'!B:B,'Ongoing Projects'!B:B,"",0)</f>
        <v/>
      </c>
      <c r="X319" s="73" t="str">
        <f>_xlfn.XLOOKUP(B319,'New Projects'!D:D,'New Projects'!C:C,"",0)</f>
        <v/>
      </c>
      <c r="Y319" s="73" t="str">
        <f t="shared" si="15"/>
        <v/>
      </c>
      <c r="Z319" s="74" t="str">
        <f t="shared" si="16"/>
        <v>Missing</v>
      </c>
      <c r="AA319" s="74" t="str">
        <f t="shared" si="17"/>
        <v>Critical</v>
      </c>
    </row>
    <row r="320" spans="1:27" x14ac:dyDescent="0.2">
      <c r="A320" s="103" t="s">
        <v>1139</v>
      </c>
      <c r="B320" s="103" t="s">
        <v>1140</v>
      </c>
      <c r="C320" s="103" t="s">
        <v>2049</v>
      </c>
      <c r="D320" s="103">
        <v>75</v>
      </c>
      <c r="E320" s="103">
        <v>75</v>
      </c>
      <c r="F320" s="103">
        <v>75</v>
      </c>
      <c r="G320" s="103">
        <v>75</v>
      </c>
      <c r="H320" s="103" t="s">
        <v>783</v>
      </c>
      <c r="I320" s="103" t="s">
        <v>1597</v>
      </c>
      <c r="J320" s="103" t="s">
        <v>13</v>
      </c>
      <c r="K320" s="103" t="s">
        <v>810</v>
      </c>
      <c r="L320" s="103" t="s">
        <v>46</v>
      </c>
      <c r="M320" s="103" t="s">
        <v>41</v>
      </c>
      <c r="N320" s="103" t="s">
        <v>71</v>
      </c>
      <c r="O320" s="103" t="s">
        <v>787</v>
      </c>
      <c r="Q320" s="118" t="s">
        <v>1598</v>
      </c>
      <c r="R320" s="118" t="s">
        <v>1599</v>
      </c>
      <c r="U320" s="103">
        <v>300</v>
      </c>
      <c r="V320" s="73" t="str">
        <f>_xlfn.XLOOKUP(B320,'Non-Projects (RUN-BAU)'!C:C,'Non-Projects (RUN-BAU)'!B:B,"",0)</f>
        <v/>
      </c>
      <c r="W320" s="73" t="str">
        <f>_xlfn.XLOOKUP(A320,'Ongoing Projects'!B:B,'Ongoing Projects'!B:B,"",0)</f>
        <v/>
      </c>
      <c r="X320" s="73" t="str">
        <f>_xlfn.XLOOKUP(B320,'New Projects'!D:D,'New Projects'!C:C,"",0)</f>
        <v/>
      </c>
      <c r="Y320" s="73" t="str">
        <f t="shared" si="15"/>
        <v/>
      </c>
      <c r="Z320" s="74" t="str">
        <f t="shared" si="16"/>
        <v>Missing</v>
      </c>
      <c r="AA320" s="74" t="str">
        <f t="shared" si="17"/>
        <v>Critical</v>
      </c>
    </row>
    <row r="321" spans="1:27" x14ac:dyDescent="0.2">
      <c r="A321" s="103" t="s">
        <v>1143</v>
      </c>
      <c r="B321" s="103" t="s">
        <v>1144</v>
      </c>
      <c r="C321" s="103" t="s">
        <v>2050</v>
      </c>
      <c r="D321" s="103">
        <v>105</v>
      </c>
      <c r="E321" s="103">
        <v>210</v>
      </c>
      <c r="F321" s="103">
        <v>200</v>
      </c>
      <c r="G321" s="103">
        <v>215</v>
      </c>
      <c r="H321" s="103" t="s">
        <v>820</v>
      </c>
      <c r="I321" s="103" t="s">
        <v>1597</v>
      </c>
      <c r="J321" s="103" t="s">
        <v>13</v>
      </c>
      <c r="K321" s="103" t="s">
        <v>898</v>
      </c>
      <c r="L321" s="103" t="s">
        <v>46</v>
      </c>
      <c r="M321" s="103" t="s">
        <v>41</v>
      </c>
      <c r="N321" s="103" t="s">
        <v>71</v>
      </c>
      <c r="O321" s="103" t="s">
        <v>779</v>
      </c>
      <c r="Q321" s="118" t="s">
        <v>1598</v>
      </c>
      <c r="R321" s="118" t="s">
        <v>1599</v>
      </c>
      <c r="T321" s="103" t="s">
        <v>2012</v>
      </c>
      <c r="U321" s="103">
        <v>250</v>
      </c>
      <c r="V321" s="73" t="str">
        <f>_xlfn.XLOOKUP(B321,'Non-Projects (RUN-BAU)'!C:C,'Non-Projects (RUN-BAU)'!B:B,"",0)</f>
        <v/>
      </c>
      <c r="W321" s="73" t="str">
        <f>_xlfn.XLOOKUP(A321,'Ongoing Projects'!B:B,'Ongoing Projects'!B:B,"",0)</f>
        <v/>
      </c>
      <c r="X321" s="73" t="str">
        <f>_xlfn.XLOOKUP(B321,'New Projects'!D:D,'New Projects'!C:C,"",0)</f>
        <v/>
      </c>
      <c r="Y321" s="73" t="str">
        <f t="shared" si="15"/>
        <v/>
      </c>
      <c r="Z321" s="74" t="str">
        <f t="shared" si="16"/>
        <v>Missing</v>
      </c>
      <c r="AA321" s="74" t="str">
        <f t="shared" si="17"/>
        <v>Critical</v>
      </c>
    </row>
    <row r="322" spans="1:27" x14ac:dyDescent="0.2">
      <c r="A322" s="103" t="s">
        <v>1145</v>
      </c>
      <c r="B322" s="103" t="s">
        <v>1146</v>
      </c>
      <c r="D322" s="103">
        <v>215</v>
      </c>
      <c r="E322" s="103">
        <v>215</v>
      </c>
      <c r="F322" s="103">
        <v>215</v>
      </c>
      <c r="G322" s="103">
        <v>215</v>
      </c>
      <c r="H322" s="103" t="s">
        <v>1679</v>
      </c>
      <c r="I322" s="103" t="s">
        <v>1597</v>
      </c>
      <c r="J322" s="103" t="s">
        <v>13</v>
      </c>
      <c r="K322" s="103" t="s">
        <v>750</v>
      </c>
      <c r="L322" s="103" t="s">
        <v>46</v>
      </c>
      <c r="M322" s="103" t="s">
        <v>41</v>
      </c>
      <c r="N322" s="103" t="s">
        <v>64</v>
      </c>
      <c r="O322" s="103" t="s">
        <v>751</v>
      </c>
      <c r="Q322" s="118" t="s">
        <v>1598</v>
      </c>
      <c r="R322" s="118" t="s">
        <v>1599</v>
      </c>
      <c r="U322" s="103">
        <v>860</v>
      </c>
      <c r="V322" s="73" t="str">
        <f>_xlfn.XLOOKUP(B322,'Non-Projects (RUN-BAU)'!C:C,'Non-Projects (RUN-BAU)'!B:B,"",0)</f>
        <v/>
      </c>
      <c r="W322" s="73" t="str">
        <f>_xlfn.XLOOKUP(A322,'Ongoing Projects'!B:B,'Ongoing Projects'!B:B,"",0)</f>
        <v/>
      </c>
      <c r="X322" s="73" t="str">
        <f>_xlfn.XLOOKUP(B322,'New Projects'!D:D,'New Projects'!C:C,"",0)</f>
        <v/>
      </c>
      <c r="Y322" s="73" t="str">
        <f t="shared" si="15"/>
        <v/>
      </c>
      <c r="Z322" s="74" t="str">
        <f t="shared" si="16"/>
        <v>Missing</v>
      </c>
      <c r="AA322" s="74" t="str">
        <f t="shared" si="17"/>
        <v>Critical</v>
      </c>
    </row>
    <row r="323" spans="1:27" x14ac:dyDescent="0.2">
      <c r="A323" s="103" t="s">
        <v>1151</v>
      </c>
      <c r="B323" s="103" t="s">
        <v>1152</v>
      </c>
      <c r="D323" s="103">
        <v>86</v>
      </c>
      <c r="E323" s="103">
        <v>0</v>
      </c>
      <c r="F323" s="103">
        <v>0</v>
      </c>
      <c r="G323" s="103">
        <v>0</v>
      </c>
      <c r="H323" s="103" t="s">
        <v>1232</v>
      </c>
      <c r="I323" s="103" t="s">
        <v>1597</v>
      </c>
      <c r="J323" s="103" t="s">
        <v>23</v>
      </c>
      <c r="K323" s="103" t="s">
        <v>750</v>
      </c>
      <c r="L323" s="103" t="s">
        <v>51</v>
      </c>
      <c r="M323" s="103" t="s">
        <v>43</v>
      </c>
      <c r="N323" s="103" t="s">
        <v>64</v>
      </c>
      <c r="O323" s="103" t="s">
        <v>751</v>
      </c>
      <c r="Q323" s="118" t="s">
        <v>1598</v>
      </c>
      <c r="R323" s="118" t="s">
        <v>1610</v>
      </c>
      <c r="U323" s="103">
        <v>86</v>
      </c>
      <c r="V323" s="73" t="str">
        <f>_xlfn.XLOOKUP(B323,'Non-Projects (RUN-BAU)'!C:C,'Non-Projects (RUN-BAU)'!B:B,"",0)</f>
        <v/>
      </c>
      <c r="W323" s="73" t="str">
        <f>_xlfn.XLOOKUP(A323,'Ongoing Projects'!B:B,'Ongoing Projects'!B:B,"",0)</f>
        <v/>
      </c>
      <c r="X323" s="73" t="str">
        <f>_xlfn.XLOOKUP(B323,'New Projects'!D:D,'New Projects'!C:C,"",0)</f>
        <v/>
      </c>
      <c r="Y323" s="73" t="str">
        <f t="shared" si="15"/>
        <v/>
      </c>
      <c r="Z323" s="74" t="str">
        <f t="shared" si="16"/>
        <v>Missing</v>
      </c>
      <c r="AA323" s="74" t="str">
        <f t="shared" si="17"/>
        <v>Critical</v>
      </c>
    </row>
    <row r="324" spans="1:27" x14ac:dyDescent="0.2">
      <c r="A324" s="103" t="s">
        <v>1153</v>
      </c>
      <c r="B324" s="103" t="s">
        <v>1154</v>
      </c>
      <c r="C324" s="103" t="s">
        <v>2051</v>
      </c>
      <c r="D324" s="103">
        <v>185</v>
      </c>
      <c r="E324" s="103">
        <v>225</v>
      </c>
      <c r="F324" s="103">
        <v>150</v>
      </c>
      <c r="G324" s="103">
        <v>310</v>
      </c>
      <c r="H324" s="103" t="s">
        <v>1617</v>
      </c>
      <c r="I324" s="103" t="s">
        <v>1597</v>
      </c>
      <c r="J324" s="103" t="s">
        <v>35</v>
      </c>
      <c r="K324" s="103" t="s">
        <v>750</v>
      </c>
      <c r="L324" s="103" t="s">
        <v>49</v>
      </c>
      <c r="M324" s="103" t="s">
        <v>43</v>
      </c>
      <c r="N324" s="103" t="s">
        <v>64</v>
      </c>
      <c r="O324" s="103" t="s">
        <v>751</v>
      </c>
      <c r="Q324" s="118" t="s">
        <v>1598</v>
      </c>
      <c r="R324" s="118" t="s">
        <v>1599</v>
      </c>
      <c r="U324" s="103">
        <v>870</v>
      </c>
      <c r="V324" s="73" t="str">
        <f>_xlfn.XLOOKUP(B324,'Non-Projects (RUN-BAU)'!C:C,'Non-Projects (RUN-BAU)'!B:B,"",0)</f>
        <v/>
      </c>
      <c r="W324" s="73" t="str">
        <f>_xlfn.XLOOKUP(A324,'Ongoing Projects'!B:B,'Ongoing Projects'!B:B,"",0)</f>
        <v/>
      </c>
      <c r="X324" s="73" t="str">
        <f>_xlfn.XLOOKUP(B324,'New Projects'!D:D,'New Projects'!C:C,"",0)</f>
        <v/>
      </c>
      <c r="Y324" s="73" t="str">
        <f t="shared" si="15"/>
        <v/>
      </c>
      <c r="Z324" s="74" t="str">
        <f t="shared" si="16"/>
        <v>Missing</v>
      </c>
      <c r="AA324" s="74" t="str">
        <f t="shared" si="17"/>
        <v>Critical</v>
      </c>
    </row>
    <row r="325" spans="1:27" x14ac:dyDescent="0.2">
      <c r="A325" s="103" t="s">
        <v>1157</v>
      </c>
      <c r="B325" s="103" t="s">
        <v>2052</v>
      </c>
      <c r="C325" s="103" t="s">
        <v>2053</v>
      </c>
      <c r="D325" s="103">
        <v>540</v>
      </c>
      <c r="E325" s="103">
        <v>740</v>
      </c>
      <c r="F325" s="103">
        <v>695</v>
      </c>
      <c r="G325" s="103">
        <v>575</v>
      </c>
      <c r="H325" s="103" t="s">
        <v>1609</v>
      </c>
      <c r="I325" s="103" t="s">
        <v>1597</v>
      </c>
      <c r="J325" s="103" t="s">
        <v>20</v>
      </c>
      <c r="K325" s="103" t="s">
        <v>898</v>
      </c>
      <c r="L325" s="103" t="s">
        <v>61</v>
      </c>
      <c r="M325" s="103" t="s">
        <v>41</v>
      </c>
      <c r="N325" s="103" t="s">
        <v>71</v>
      </c>
      <c r="O325" s="103" t="s">
        <v>787</v>
      </c>
      <c r="Q325" s="118" t="s">
        <v>1598</v>
      </c>
      <c r="R325" s="118" t="s">
        <v>1599</v>
      </c>
      <c r="S325" s="103" t="s">
        <v>2054</v>
      </c>
      <c r="U325" s="103">
        <v>450</v>
      </c>
      <c r="V325" s="73" t="str">
        <f>_xlfn.XLOOKUP(B325,'Non-Projects (RUN-BAU)'!C:C,'Non-Projects (RUN-BAU)'!B:B,"",0)</f>
        <v/>
      </c>
      <c r="W325" s="73" t="str">
        <f>_xlfn.XLOOKUP(A325,'Ongoing Projects'!B:B,'Ongoing Projects'!B:B,"",0)</f>
        <v/>
      </c>
      <c r="X325" s="73" t="str">
        <f>_xlfn.XLOOKUP(B325,'New Projects'!D:D,'New Projects'!C:C,"",0)</f>
        <v/>
      </c>
      <c r="Y325" s="73" t="str">
        <f t="shared" si="15"/>
        <v/>
      </c>
      <c r="Z325" s="74" t="str">
        <f t="shared" si="16"/>
        <v>Missing</v>
      </c>
      <c r="AA325" s="74" t="str">
        <f t="shared" si="17"/>
        <v>Critical</v>
      </c>
    </row>
    <row r="326" spans="1:27" x14ac:dyDescent="0.2">
      <c r="A326" s="103" t="s">
        <v>1159</v>
      </c>
      <c r="B326" s="103" t="s">
        <v>1160</v>
      </c>
      <c r="C326" s="103" t="s">
        <v>2055</v>
      </c>
      <c r="D326" s="103">
        <v>25</v>
      </c>
      <c r="E326" s="103">
        <v>25</v>
      </c>
      <c r="F326" s="103">
        <v>0</v>
      </c>
      <c r="G326" s="103">
        <v>0</v>
      </c>
      <c r="H326" s="103" t="s">
        <v>811</v>
      </c>
      <c r="I326" s="103" t="s">
        <v>1597</v>
      </c>
      <c r="J326" s="103" t="s">
        <v>20</v>
      </c>
      <c r="K326" s="103" t="s">
        <v>810</v>
      </c>
      <c r="L326" s="103" t="s">
        <v>1944</v>
      </c>
      <c r="M326" s="103" t="s">
        <v>786</v>
      </c>
      <c r="N326" s="103" t="s">
        <v>71</v>
      </c>
      <c r="O326" s="103" t="s">
        <v>787</v>
      </c>
      <c r="Q326" s="118" t="s">
        <v>1598</v>
      </c>
      <c r="R326" s="118" t="s">
        <v>1606</v>
      </c>
      <c r="U326" s="103">
        <v>50</v>
      </c>
      <c r="V326" s="73" t="str">
        <f>_xlfn.XLOOKUP(B326,'Non-Projects (RUN-BAU)'!C:C,'Non-Projects (RUN-BAU)'!B:B,"",0)</f>
        <v/>
      </c>
      <c r="W326" s="73" t="str">
        <f>_xlfn.XLOOKUP(A326,'Ongoing Projects'!B:B,'Ongoing Projects'!B:B,"",0)</f>
        <v/>
      </c>
      <c r="X326" s="73" t="str">
        <f>_xlfn.XLOOKUP(B326,'New Projects'!D:D,'New Projects'!C:C,"",0)</f>
        <v/>
      </c>
      <c r="Y326" s="73" t="str">
        <f t="shared" si="15"/>
        <v/>
      </c>
      <c r="Z326" s="74" t="str">
        <f t="shared" si="16"/>
        <v>Missing</v>
      </c>
      <c r="AA326" s="74" t="str">
        <f t="shared" si="17"/>
        <v>Critical</v>
      </c>
    </row>
    <row r="327" spans="1:27" x14ac:dyDescent="0.2">
      <c r="A327" s="103" t="s">
        <v>1161</v>
      </c>
      <c r="B327" s="103" t="s">
        <v>1162</v>
      </c>
      <c r="C327" s="103" t="s">
        <v>2056</v>
      </c>
      <c r="D327" s="103">
        <v>85</v>
      </c>
      <c r="E327" s="103">
        <v>95</v>
      </c>
      <c r="F327" s="103">
        <v>20</v>
      </c>
      <c r="G327" s="103">
        <v>10</v>
      </c>
      <c r="H327" s="103" t="s">
        <v>791</v>
      </c>
      <c r="I327" s="103" t="s">
        <v>1597</v>
      </c>
      <c r="J327" s="103" t="s">
        <v>20</v>
      </c>
      <c r="K327" s="103" t="s">
        <v>898</v>
      </c>
      <c r="L327" s="103" t="s">
        <v>1944</v>
      </c>
      <c r="M327" s="103" t="s">
        <v>41</v>
      </c>
      <c r="N327" s="103" t="s">
        <v>71</v>
      </c>
      <c r="O327" s="103" t="s">
        <v>787</v>
      </c>
      <c r="Q327" s="118" t="s">
        <v>1598</v>
      </c>
      <c r="R327" s="118" t="s">
        <v>1599</v>
      </c>
      <c r="S327" s="103" t="s">
        <v>2057</v>
      </c>
      <c r="T327" s="103" t="s">
        <v>2012</v>
      </c>
      <c r="U327" s="103">
        <v>160</v>
      </c>
      <c r="V327" s="73" t="str">
        <f>_xlfn.XLOOKUP(B327,'Non-Projects (RUN-BAU)'!C:C,'Non-Projects (RUN-BAU)'!B:B,"",0)</f>
        <v/>
      </c>
      <c r="W327" s="73" t="str">
        <f>_xlfn.XLOOKUP(A327,'Ongoing Projects'!B:B,'Ongoing Projects'!B:B,"",0)</f>
        <v/>
      </c>
      <c r="X327" s="73" t="str">
        <f>_xlfn.XLOOKUP(B327,'New Projects'!D:D,'New Projects'!C:C,"",0)</f>
        <v/>
      </c>
      <c r="Y327" s="73" t="str">
        <f t="shared" si="15"/>
        <v/>
      </c>
      <c r="Z327" s="74" t="str">
        <f t="shared" si="16"/>
        <v>Missing</v>
      </c>
      <c r="AA327" s="74" t="str">
        <f t="shared" si="17"/>
        <v>Critical</v>
      </c>
    </row>
    <row r="328" spans="1:27" x14ac:dyDescent="0.2">
      <c r="A328" s="103" t="s">
        <v>1163</v>
      </c>
      <c r="B328" s="103" t="s">
        <v>1164</v>
      </c>
      <c r="C328" s="103" t="s">
        <v>2058</v>
      </c>
      <c r="D328" s="103">
        <v>185</v>
      </c>
      <c r="E328" s="103">
        <v>190</v>
      </c>
      <c r="F328" s="103">
        <v>190</v>
      </c>
      <c r="G328" s="103">
        <v>204</v>
      </c>
      <c r="H328" s="103" t="s">
        <v>791</v>
      </c>
      <c r="I328" s="103" t="s">
        <v>1597</v>
      </c>
      <c r="J328" s="103" t="s">
        <v>20</v>
      </c>
      <c r="K328" s="103" t="s">
        <v>898</v>
      </c>
      <c r="L328" s="103" t="s">
        <v>61</v>
      </c>
      <c r="M328" s="103" t="s">
        <v>41</v>
      </c>
      <c r="N328" s="103" t="s">
        <v>71</v>
      </c>
      <c r="O328" s="103" t="s">
        <v>779</v>
      </c>
      <c r="Q328" s="118" t="s">
        <v>1598</v>
      </c>
      <c r="R328" s="118" t="s">
        <v>1599</v>
      </c>
      <c r="S328" s="103" t="s">
        <v>2059</v>
      </c>
      <c r="U328" s="103">
        <v>769</v>
      </c>
      <c r="V328" s="73" t="str">
        <f>_xlfn.XLOOKUP(B328,'Non-Projects (RUN-BAU)'!C:C,'Non-Projects (RUN-BAU)'!B:B,"",0)</f>
        <v/>
      </c>
      <c r="W328" s="73" t="str">
        <f>_xlfn.XLOOKUP(A328,'Ongoing Projects'!B:B,'Ongoing Projects'!B:B,"",0)</f>
        <v/>
      </c>
      <c r="X328" s="73" t="str">
        <f>_xlfn.XLOOKUP(B328,'New Projects'!D:D,'New Projects'!C:C,"",0)</f>
        <v/>
      </c>
      <c r="Y328" s="73" t="str">
        <f t="shared" si="15"/>
        <v/>
      </c>
      <c r="Z328" s="74" t="str">
        <f t="shared" si="16"/>
        <v>Missing</v>
      </c>
      <c r="AA328" s="74" t="str">
        <f t="shared" si="17"/>
        <v>Critical</v>
      </c>
    </row>
    <row r="329" spans="1:27" x14ac:dyDescent="0.2">
      <c r="A329" s="103" t="s">
        <v>1165</v>
      </c>
      <c r="B329" s="103" t="s">
        <v>1166</v>
      </c>
      <c r="C329" s="103" t="s">
        <v>2060</v>
      </c>
      <c r="D329" s="103">
        <v>57</v>
      </c>
      <c r="E329" s="103">
        <v>101</v>
      </c>
      <c r="F329" s="103">
        <v>120</v>
      </c>
      <c r="G329" s="103">
        <v>75</v>
      </c>
      <c r="H329" s="103" t="s">
        <v>791</v>
      </c>
      <c r="I329" s="103" t="s">
        <v>1597</v>
      </c>
      <c r="J329" s="103" t="s">
        <v>20</v>
      </c>
      <c r="K329" s="103" t="s">
        <v>898</v>
      </c>
      <c r="L329" s="103" t="s">
        <v>1944</v>
      </c>
      <c r="M329" s="103" t="s">
        <v>43</v>
      </c>
      <c r="N329" s="103" t="s">
        <v>71</v>
      </c>
      <c r="O329" s="103" t="s">
        <v>787</v>
      </c>
      <c r="Q329" s="118" t="s">
        <v>1598</v>
      </c>
      <c r="R329" s="118" t="s">
        <v>1599</v>
      </c>
      <c r="S329" s="103" t="s">
        <v>2061</v>
      </c>
      <c r="U329" s="103">
        <v>353</v>
      </c>
      <c r="V329" s="73" t="str">
        <f>_xlfn.XLOOKUP(B329,'Non-Projects (RUN-BAU)'!C:C,'Non-Projects (RUN-BAU)'!B:B,"",0)</f>
        <v/>
      </c>
      <c r="W329" s="73" t="str">
        <f>_xlfn.XLOOKUP(A329,'Ongoing Projects'!B:B,'Ongoing Projects'!B:B,"",0)</f>
        <v/>
      </c>
      <c r="X329" s="73" t="str">
        <f>_xlfn.XLOOKUP(B329,'New Projects'!D:D,'New Projects'!C:C,"",0)</f>
        <v/>
      </c>
      <c r="Y329" s="73" t="str">
        <f t="shared" si="15"/>
        <v/>
      </c>
      <c r="Z329" s="74" t="str">
        <f t="shared" si="16"/>
        <v>Missing</v>
      </c>
      <c r="AA329" s="74" t="str">
        <f t="shared" si="17"/>
        <v>Critical</v>
      </c>
    </row>
    <row r="330" spans="1:27" x14ac:dyDescent="0.2">
      <c r="A330" s="103" t="s">
        <v>1167</v>
      </c>
      <c r="B330" s="103" t="s">
        <v>1168</v>
      </c>
      <c r="C330" s="103" t="s">
        <v>2062</v>
      </c>
      <c r="D330" s="103">
        <v>518</v>
      </c>
      <c r="E330" s="103">
        <v>660</v>
      </c>
      <c r="F330" s="103">
        <v>850</v>
      </c>
      <c r="G330" s="103">
        <v>780</v>
      </c>
      <c r="H330" s="103" t="s">
        <v>791</v>
      </c>
      <c r="I330" s="103" t="s">
        <v>1597</v>
      </c>
      <c r="J330" s="103" t="s">
        <v>20</v>
      </c>
      <c r="K330" s="103" t="s">
        <v>898</v>
      </c>
      <c r="L330" s="103" t="s">
        <v>1944</v>
      </c>
      <c r="M330" s="103" t="s">
        <v>43</v>
      </c>
      <c r="N330" s="103" t="s">
        <v>71</v>
      </c>
      <c r="O330" s="103" t="s">
        <v>787</v>
      </c>
      <c r="Q330" s="118" t="s">
        <v>1598</v>
      </c>
      <c r="R330" s="118" t="s">
        <v>1599</v>
      </c>
      <c r="S330" s="103" t="s">
        <v>2004</v>
      </c>
      <c r="T330" s="103" t="s">
        <v>2012</v>
      </c>
      <c r="U330" s="103">
        <v>928</v>
      </c>
      <c r="V330" s="73" t="str">
        <f>_xlfn.XLOOKUP(B330,'Non-Projects (RUN-BAU)'!C:C,'Non-Projects (RUN-BAU)'!B:B,"",0)</f>
        <v/>
      </c>
      <c r="W330" s="73" t="str">
        <f>_xlfn.XLOOKUP(A330,'Ongoing Projects'!B:B,'Ongoing Projects'!B:B,"",0)</f>
        <v/>
      </c>
      <c r="X330" s="73" t="str">
        <f>_xlfn.XLOOKUP(B330,'New Projects'!D:D,'New Projects'!C:C,"",0)</f>
        <v/>
      </c>
      <c r="Y330" s="73" t="str">
        <f t="shared" si="15"/>
        <v/>
      </c>
      <c r="Z330" s="74" t="str">
        <f t="shared" si="16"/>
        <v>Missing</v>
      </c>
      <c r="AA330" s="74" t="str">
        <f t="shared" si="17"/>
        <v>Critical</v>
      </c>
    </row>
    <row r="331" spans="1:27" x14ac:dyDescent="0.2">
      <c r="A331" s="103" t="s">
        <v>1169</v>
      </c>
      <c r="B331" s="103" t="s">
        <v>1170</v>
      </c>
      <c r="C331" s="103" t="s">
        <v>2063</v>
      </c>
      <c r="D331" s="103">
        <v>70</v>
      </c>
      <c r="E331" s="103">
        <v>60</v>
      </c>
      <c r="F331" s="103">
        <v>35</v>
      </c>
      <c r="G331" s="103">
        <v>35</v>
      </c>
      <c r="H331" s="103" t="s">
        <v>791</v>
      </c>
      <c r="I331" s="103" t="s">
        <v>1597</v>
      </c>
      <c r="J331" s="103" t="s">
        <v>20</v>
      </c>
      <c r="K331" s="103" t="s">
        <v>898</v>
      </c>
      <c r="L331" s="103" t="s">
        <v>1944</v>
      </c>
      <c r="M331" s="103" t="s">
        <v>43</v>
      </c>
      <c r="N331" s="103" t="s">
        <v>71</v>
      </c>
      <c r="O331" s="103" t="s">
        <v>787</v>
      </c>
      <c r="Q331" s="118" t="s">
        <v>1598</v>
      </c>
      <c r="R331" s="118" t="s">
        <v>1599</v>
      </c>
      <c r="S331" s="103" t="s">
        <v>2064</v>
      </c>
      <c r="U331" s="103">
        <v>200</v>
      </c>
      <c r="V331" s="73" t="str">
        <f>_xlfn.XLOOKUP(B331,'Non-Projects (RUN-BAU)'!C:C,'Non-Projects (RUN-BAU)'!B:B,"",0)</f>
        <v/>
      </c>
      <c r="W331" s="73" t="str">
        <f>_xlfn.XLOOKUP(A331,'Ongoing Projects'!B:B,'Ongoing Projects'!B:B,"",0)</f>
        <v/>
      </c>
      <c r="X331" s="73" t="str">
        <f>_xlfn.XLOOKUP(B331,'New Projects'!D:D,'New Projects'!C:C,"",0)</f>
        <v/>
      </c>
      <c r="Y331" s="73" t="str">
        <f t="shared" si="15"/>
        <v/>
      </c>
      <c r="Z331" s="74" t="str">
        <f t="shared" si="16"/>
        <v>Missing</v>
      </c>
      <c r="AA331" s="74" t="str">
        <f t="shared" si="17"/>
        <v>Critical</v>
      </c>
    </row>
    <row r="332" spans="1:27" x14ac:dyDescent="0.2">
      <c r="A332" s="103" t="s">
        <v>1173</v>
      </c>
      <c r="B332" s="103" t="s">
        <v>1174</v>
      </c>
      <c r="C332" s="103" t="s">
        <v>2065</v>
      </c>
      <c r="D332" s="103">
        <v>0</v>
      </c>
      <c r="E332" s="103">
        <v>0</v>
      </c>
      <c r="F332" s="103">
        <v>50</v>
      </c>
      <c r="G332" s="103">
        <v>0</v>
      </c>
      <c r="H332" s="103" t="s">
        <v>811</v>
      </c>
      <c r="I332" s="103" t="s">
        <v>1597</v>
      </c>
      <c r="J332" s="103" t="s">
        <v>20</v>
      </c>
      <c r="K332" s="103" t="s">
        <v>810</v>
      </c>
      <c r="L332" s="103" t="s">
        <v>1944</v>
      </c>
      <c r="M332" s="103" t="s">
        <v>786</v>
      </c>
      <c r="N332" s="103" t="s">
        <v>71</v>
      </c>
      <c r="O332" s="103" t="s">
        <v>787</v>
      </c>
      <c r="Q332" s="118" t="s">
        <v>1607</v>
      </c>
      <c r="R332" s="118" t="s">
        <v>1608</v>
      </c>
      <c r="U332" s="103">
        <v>50</v>
      </c>
      <c r="V332" s="73" t="str">
        <f>_xlfn.XLOOKUP(B332,'Non-Projects (RUN-BAU)'!C:C,'Non-Projects (RUN-BAU)'!B:B,"",0)</f>
        <v/>
      </c>
      <c r="W332" s="73" t="str">
        <f>_xlfn.XLOOKUP(A332,'Ongoing Projects'!B:B,'Ongoing Projects'!B:B,"",0)</f>
        <v/>
      </c>
      <c r="X332" s="73" t="str">
        <f>_xlfn.XLOOKUP(B332,'New Projects'!D:D,'New Projects'!C:C,"",0)</f>
        <v/>
      </c>
      <c r="Y332" s="73" t="str">
        <f t="shared" si="15"/>
        <v/>
      </c>
      <c r="Z332" s="74" t="str">
        <f t="shared" si="16"/>
        <v>Missing</v>
      </c>
      <c r="AA332" s="74" t="str">
        <f t="shared" si="17"/>
        <v>Critical</v>
      </c>
    </row>
    <row r="333" spans="1:27" x14ac:dyDescent="0.2">
      <c r="A333" s="103" t="s">
        <v>1175</v>
      </c>
      <c r="B333" s="103" t="s">
        <v>1176</v>
      </c>
      <c r="C333" s="103" t="s">
        <v>2066</v>
      </c>
      <c r="D333" s="103">
        <v>50</v>
      </c>
      <c r="E333" s="103">
        <v>50</v>
      </c>
      <c r="F333" s="103">
        <v>0</v>
      </c>
      <c r="G333" s="103">
        <v>0</v>
      </c>
      <c r="H333" s="103" t="s">
        <v>811</v>
      </c>
      <c r="I333" s="103" t="s">
        <v>1597</v>
      </c>
      <c r="J333" s="103" t="s">
        <v>20</v>
      </c>
      <c r="K333" s="103" t="s">
        <v>810</v>
      </c>
      <c r="L333" s="103" t="s">
        <v>1944</v>
      </c>
      <c r="M333" s="103" t="s">
        <v>786</v>
      </c>
      <c r="N333" s="103" t="s">
        <v>71</v>
      </c>
      <c r="O333" s="103" t="s">
        <v>787</v>
      </c>
      <c r="Q333" s="118" t="s">
        <v>1598</v>
      </c>
      <c r="R333" s="118" t="s">
        <v>1606</v>
      </c>
      <c r="U333" s="103">
        <v>100</v>
      </c>
      <c r="V333" s="73" t="str">
        <f>_xlfn.XLOOKUP(B333,'Non-Projects (RUN-BAU)'!C:C,'Non-Projects (RUN-BAU)'!B:B,"",0)</f>
        <v/>
      </c>
      <c r="W333" s="73" t="str">
        <f>_xlfn.XLOOKUP(A333,'Ongoing Projects'!B:B,'Ongoing Projects'!B:B,"",0)</f>
        <v/>
      </c>
      <c r="X333" s="73" t="str">
        <f>_xlfn.XLOOKUP(B333,'New Projects'!D:D,'New Projects'!C:C,"",0)</f>
        <v/>
      </c>
      <c r="Y333" s="73" t="str">
        <f t="shared" si="15"/>
        <v/>
      </c>
      <c r="Z333" s="74" t="str">
        <f t="shared" si="16"/>
        <v>Missing</v>
      </c>
      <c r="AA333" s="74" t="str">
        <f t="shared" si="17"/>
        <v>Critical</v>
      </c>
    </row>
    <row r="334" spans="1:27" x14ac:dyDescent="0.2">
      <c r="A334" s="103" t="s">
        <v>1177</v>
      </c>
      <c r="B334" s="103" t="s">
        <v>1178</v>
      </c>
      <c r="C334" s="103" t="s">
        <v>2067</v>
      </c>
      <c r="D334" s="103">
        <v>25</v>
      </c>
      <c r="E334" s="103">
        <v>25</v>
      </c>
      <c r="F334" s="103">
        <v>25</v>
      </c>
      <c r="G334" s="103">
        <v>25</v>
      </c>
      <c r="H334" s="103" t="s">
        <v>811</v>
      </c>
      <c r="I334" s="103" t="s">
        <v>1597</v>
      </c>
      <c r="J334" s="103" t="s">
        <v>20</v>
      </c>
      <c r="K334" s="103" t="s">
        <v>810</v>
      </c>
      <c r="L334" s="103" t="s">
        <v>1944</v>
      </c>
      <c r="M334" s="103" t="s">
        <v>786</v>
      </c>
      <c r="N334" s="103" t="s">
        <v>71</v>
      </c>
      <c r="O334" s="103" t="s">
        <v>787</v>
      </c>
      <c r="Q334" s="118" t="s">
        <v>1598</v>
      </c>
      <c r="R334" s="118" t="s">
        <v>1599</v>
      </c>
      <c r="U334" s="103">
        <v>100</v>
      </c>
      <c r="V334" s="73" t="str">
        <f>_xlfn.XLOOKUP(B334,'Non-Projects (RUN-BAU)'!C:C,'Non-Projects (RUN-BAU)'!B:B,"",0)</f>
        <v/>
      </c>
      <c r="W334" s="73" t="str">
        <f>_xlfn.XLOOKUP(A334,'Ongoing Projects'!B:B,'Ongoing Projects'!B:B,"",0)</f>
        <v/>
      </c>
      <c r="X334" s="73" t="str">
        <f>_xlfn.XLOOKUP(B334,'New Projects'!D:D,'New Projects'!C:C,"",0)</f>
        <v/>
      </c>
      <c r="Y334" s="73" t="str">
        <f t="shared" si="15"/>
        <v/>
      </c>
      <c r="Z334" s="74" t="str">
        <f t="shared" si="16"/>
        <v>Missing</v>
      </c>
      <c r="AA334" s="74" t="str">
        <f t="shared" si="17"/>
        <v>Critical</v>
      </c>
    </row>
    <row r="335" spans="1:27" x14ac:dyDescent="0.2">
      <c r="A335" s="103" t="s">
        <v>1179</v>
      </c>
      <c r="B335" s="103" t="s">
        <v>1180</v>
      </c>
      <c r="C335" s="103" t="s">
        <v>2068</v>
      </c>
      <c r="D335" s="103">
        <v>280</v>
      </c>
      <c r="E335" s="103">
        <v>260</v>
      </c>
      <c r="F335" s="103">
        <v>360</v>
      </c>
      <c r="G335" s="103">
        <v>290</v>
      </c>
      <c r="H335" s="103" t="s">
        <v>811</v>
      </c>
      <c r="I335" s="103" t="s">
        <v>1597</v>
      </c>
      <c r="J335" s="103" t="s">
        <v>20</v>
      </c>
      <c r="K335" s="103" t="s">
        <v>810</v>
      </c>
      <c r="L335" s="103" t="s">
        <v>1944</v>
      </c>
      <c r="M335" s="103" t="s">
        <v>786</v>
      </c>
      <c r="N335" s="103" t="s">
        <v>71</v>
      </c>
      <c r="O335" s="103" t="s">
        <v>779</v>
      </c>
      <c r="Q335" s="118" t="s">
        <v>1598</v>
      </c>
      <c r="R335" s="118" t="s">
        <v>1599</v>
      </c>
      <c r="U335" s="103">
        <v>490</v>
      </c>
      <c r="V335" s="73" t="str">
        <f>_xlfn.XLOOKUP(B335,'Non-Projects (RUN-BAU)'!C:C,'Non-Projects (RUN-BAU)'!B:B,"",0)</f>
        <v/>
      </c>
      <c r="W335" s="73" t="str">
        <f>_xlfn.XLOOKUP(A335,'Ongoing Projects'!B:B,'Ongoing Projects'!B:B,"",0)</f>
        <v/>
      </c>
      <c r="X335" s="73" t="str">
        <f>_xlfn.XLOOKUP(B335,'New Projects'!D:D,'New Projects'!C:C,"",0)</f>
        <v/>
      </c>
      <c r="Y335" s="73" t="str">
        <f t="shared" si="15"/>
        <v/>
      </c>
      <c r="Z335" s="74" t="str">
        <f t="shared" si="16"/>
        <v>Missing</v>
      </c>
      <c r="AA335" s="74" t="str">
        <f t="shared" si="17"/>
        <v>Critical</v>
      </c>
    </row>
    <row r="336" spans="1:27" x14ac:dyDescent="0.2">
      <c r="A336" s="103" t="s">
        <v>1200</v>
      </c>
      <c r="B336" s="103" t="s">
        <v>1201</v>
      </c>
      <c r="C336" s="103" t="s">
        <v>1960</v>
      </c>
      <c r="D336" s="103">
        <v>330</v>
      </c>
      <c r="E336" s="103">
        <v>24.75</v>
      </c>
      <c r="F336" s="103">
        <v>0</v>
      </c>
      <c r="G336" s="103">
        <v>0</v>
      </c>
      <c r="H336" s="103" t="s">
        <v>1617</v>
      </c>
      <c r="I336" s="103" t="s">
        <v>1597</v>
      </c>
      <c r="J336" s="103" t="s">
        <v>13</v>
      </c>
      <c r="K336" s="103" t="s">
        <v>750</v>
      </c>
      <c r="L336" s="103" t="s">
        <v>46</v>
      </c>
      <c r="M336" s="103" t="s">
        <v>41</v>
      </c>
      <c r="N336" s="103" t="s">
        <v>64</v>
      </c>
      <c r="O336" s="103" t="s">
        <v>751</v>
      </c>
      <c r="Q336" s="118" t="s">
        <v>1598</v>
      </c>
      <c r="R336" s="118" t="s">
        <v>1599</v>
      </c>
      <c r="U336" s="103">
        <v>354.75</v>
      </c>
      <c r="V336" s="73" t="str">
        <f>_xlfn.XLOOKUP(B336,'Non-Projects (RUN-BAU)'!C:C,'Non-Projects (RUN-BAU)'!B:B,"",0)</f>
        <v/>
      </c>
      <c r="W336" s="73" t="str">
        <f>_xlfn.XLOOKUP(A336,'Ongoing Projects'!B:B,'Ongoing Projects'!B:B,"",0)</f>
        <v/>
      </c>
      <c r="X336" s="73" t="str">
        <f>_xlfn.XLOOKUP(B336,'New Projects'!D:D,'New Projects'!C:C,"",0)</f>
        <v/>
      </c>
      <c r="Y336" s="73" t="str">
        <f t="shared" si="15"/>
        <v/>
      </c>
      <c r="Z336" s="74" t="str">
        <f t="shared" si="16"/>
        <v>Missing</v>
      </c>
      <c r="AA336" s="74" t="str">
        <f t="shared" si="17"/>
        <v>Critical</v>
      </c>
    </row>
    <row r="337" spans="1:27" x14ac:dyDescent="0.2">
      <c r="A337" s="103" t="s">
        <v>1235</v>
      </c>
      <c r="B337" s="103" t="s">
        <v>2069</v>
      </c>
      <c r="D337" s="103">
        <v>0</v>
      </c>
      <c r="E337" s="103">
        <v>0</v>
      </c>
      <c r="F337" s="103">
        <v>0</v>
      </c>
      <c r="G337" s="103">
        <v>0</v>
      </c>
      <c r="H337" s="103" t="s">
        <v>2070</v>
      </c>
      <c r="N337" s="103" t="s">
        <v>64</v>
      </c>
      <c r="Q337" s="118" t="s">
        <v>3851</v>
      </c>
      <c r="R337" s="118" t="s">
        <v>1605</v>
      </c>
      <c r="U337" s="103">
        <v>0</v>
      </c>
      <c r="V337" s="73" t="str">
        <f>_xlfn.XLOOKUP(B337,'Non-Projects (RUN-BAU)'!C:C,'Non-Projects (RUN-BAU)'!B:B,"",0)</f>
        <v/>
      </c>
      <c r="W337" s="73" t="str">
        <f>_xlfn.XLOOKUP(A337,'Ongoing Projects'!B:B,'Ongoing Projects'!B:B,"",0)</f>
        <v/>
      </c>
      <c r="X337" s="73" t="str">
        <f>_xlfn.XLOOKUP(B337,'New Projects'!D:D,'New Projects'!C:C,"",0)</f>
        <v/>
      </c>
      <c r="Y337" s="73" t="str">
        <f t="shared" si="15"/>
        <v/>
      </c>
      <c r="Z337" s="74" t="str">
        <f t="shared" si="16"/>
        <v>Missing</v>
      </c>
      <c r="AA337" s="74" t="str">
        <f t="shared" si="17"/>
        <v/>
      </c>
    </row>
    <row r="338" spans="1:27" x14ac:dyDescent="0.2">
      <c r="A338" s="103" t="s">
        <v>1291</v>
      </c>
      <c r="B338" s="103" t="s">
        <v>1292</v>
      </c>
      <c r="D338" s="103">
        <v>0</v>
      </c>
      <c r="E338" s="103">
        <v>0</v>
      </c>
      <c r="F338" s="103">
        <v>0</v>
      </c>
      <c r="G338" s="103">
        <v>0</v>
      </c>
      <c r="H338" s="103" t="s">
        <v>2071</v>
      </c>
      <c r="N338" s="103" t="s">
        <v>64</v>
      </c>
      <c r="Q338" s="118" t="s">
        <v>3851</v>
      </c>
      <c r="R338" s="118" t="s">
        <v>1605</v>
      </c>
      <c r="U338" s="103">
        <v>0</v>
      </c>
      <c r="V338" s="73" t="str">
        <f>_xlfn.XLOOKUP(B338,'Non-Projects (RUN-BAU)'!C:C,'Non-Projects (RUN-BAU)'!B:B,"",0)</f>
        <v/>
      </c>
      <c r="W338" s="73" t="str">
        <f>_xlfn.XLOOKUP(A338,'Ongoing Projects'!B:B,'Ongoing Projects'!B:B,"",0)</f>
        <v/>
      </c>
      <c r="X338" s="73" t="str">
        <f>_xlfn.XLOOKUP(B338,'New Projects'!D:D,'New Projects'!C:C,"",0)</f>
        <v/>
      </c>
      <c r="Y338" s="73" t="str">
        <f t="shared" si="15"/>
        <v/>
      </c>
      <c r="Z338" s="74" t="str">
        <f t="shared" si="16"/>
        <v>Missing</v>
      </c>
      <c r="AA338" s="74" t="str">
        <f t="shared" si="17"/>
        <v/>
      </c>
    </row>
    <row r="339" spans="1:27" x14ac:dyDescent="0.2">
      <c r="A339" s="103" t="s">
        <v>1301</v>
      </c>
      <c r="B339" s="103" t="s">
        <v>1302</v>
      </c>
      <c r="C339" s="103" t="s">
        <v>2072</v>
      </c>
      <c r="D339" s="103">
        <v>0</v>
      </c>
      <c r="E339" s="103">
        <v>82</v>
      </c>
      <c r="F339" s="103">
        <v>212.5</v>
      </c>
      <c r="G339" s="103">
        <v>28</v>
      </c>
      <c r="H339" s="103" t="s">
        <v>1617</v>
      </c>
      <c r="I339" s="103" t="s">
        <v>1597</v>
      </c>
      <c r="J339" s="103" t="s">
        <v>23</v>
      </c>
      <c r="K339" s="103" t="s">
        <v>1262</v>
      </c>
      <c r="L339" s="103" t="s">
        <v>51</v>
      </c>
      <c r="M339" s="103" t="s">
        <v>43</v>
      </c>
      <c r="N339" s="103" t="s">
        <v>64</v>
      </c>
      <c r="O339" s="103" t="s">
        <v>751</v>
      </c>
      <c r="Q339" s="118" t="s">
        <v>1601</v>
      </c>
      <c r="R339" s="118" t="s">
        <v>1599</v>
      </c>
      <c r="U339" s="103">
        <v>322.5</v>
      </c>
      <c r="V339" s="73" t="str">
        <f>_xlfn.XLOOKUP(B339,'Non-Projects (RUN-BAU)'!C:C,'Non-Projects (RUN-BAU)'!B:B,"",0)</f>
        <v/>
      </c>
      <c r="W339" s="73" t="str">
        <f>_xlfn.XLOOKUP(A339,'Ongoing Projects'!B:B,'Ongoing Projects'!B:B,"",0)</f>
        <v/>
      </c>
      <c r="X339" s="73" t="str">
        <f>_xlfn.XLOOKUP(B339,'New Projects'!D:D,'New Projects'!C:C,"",0)</f>
        <v/>
      </c>
      <c r="Y339" s="73" t="str">
        <f t="shared" si="15"/>
        <v/>
      </c>
      <c r="Z339" s="74" t="str">
        <f t="shared" si="16"/>
        <v>Missing</v>
      </c>
      <c r="AA339" s="74" t="str">
        <f t="shared" si="17"/>
        <v>Critical</v>
      </c>
    </row>
    <row r="340" spans="1:27" x14ac:dyDescent="0.2">
      <c r="A340" s="103" t="s">
        <v>1303</v>
      </c>
      <c r="B340" s="103" t="s">
        <v>1304</v>
      </c>
      <c r="C340" s="103" t="s">
        <v>2073</v>
      </c>
      <c r="D340" s="103">
        <v>0</v>
      </c>
      <c r="E340" s="103">
        <v>0</v>
      </c>
      <c r="F340" s="103">
        <v>55</v>
      </c>
      <c r="G340" s="103">
        <v>0</v>
      </c>
      <c r="H340" s="103" t="s">
        <v>1617</v>
      </c>
      <c r="I340" s="103" t="s">
        <v>1597</v>
      </c>
      <c r="J340" s="103" t="s">
        <v>13</v>
      </c>
      <c r="K340" s="103" t="s">
        <v>1262</v>
      </c>
      <c r="L340" s="103" t="s">
        <v>46</v>
      </c>
      <c r="M340" s="103" t="s">
        <v>41</v>
      </c>
      <c r="N340" s="103" t="s">
        <v>64</v>
      </c>
      <c r="O340" s="103" t="s">
        <v>751</v>
      </c>
      <c r="Q340" s="118" t="s">
        <v>1607</v>
      </c>
      <c r="R340" s="118" t="s">
        <v>1608</v>
      </c>
      <c r="U340" s="103">
        <v>55</v>
      </c>
      <c r="V340" s="73" t="str">
        <f>_xlfn.XLOOKUP(B340,'Non-Projects (RUN-BAU)'!C:C,'Non-Projects (RUN-BAU)'!B:B,"",0)</f>
        <v/>
      </c>
      <c r="W340" s="73" t="str">
        <f>_xlfn.XLOOKUP(A340,'Ongoing Projects'!B:B,'Ongoing Projects'!B:B,"",0)</f>
        <v/>
      </c>
      <c r="X340" s="73" t="str">
        <f>_xlfn.XLOOKUP(B340,'New Projects'!D:D,'New Projects'!C:C,"",0)</f>
        <v/>
      </c>
      <c r="Y340" s="73" t="str">
        <f t="shared" ref="Y340:Y369" si="18">V340&amp;W340&amp;X340</f>
        <v/>
      </c>
      <c r="Z340" s="74" t="str">
        <f t="shared" ref="Z340:Z369" si="19">IF(AND(V340="",W340="",X340=""),"Missing",IF(Y340=A340,"","Don't match"))</f>
        <v>Missing</v>
      </c>
      <c r="AA340" s="74" t="str">
        <f t="shared" ref="AA340:AA369" si="20">IF(AND(Z340&lt;&gt;"",SUM(D340:G340)&lt;&gt;0,I340&lt;&gt;"Not Acceptance"),"Critical", "")</f>
        <v>Critical</v>
      </c>
    </row>
    <row r="341" spans="1:27" x14ac:dyDescent="0.2">
      <c r="A341" s="103" t="s">
        <v>1305</v>
      </c>
      <c r="B341" s="103" t="s">
        <v>2074</v>
      </c>
      <c r="D341" s="103">
        <v>0</v>
      </c>
      <c r="E341" s="103">
        <v>0</v>
      </c>
      <c r="F341" s="103">
        <v>0</v>
      </c>
      <c r="G341" s="103">
        <v>0</v>
      </c>
      <c r="H341" s="103" t="s">
        <v>2075</v>
      </c>
      <c r="N341" s="103" t="s">
        <v>64</v>
      </c>
      <c r="Q341" s="118" t="s">
        <v>3851</v>
      </c>
      <c r="R341" s="118" t="s">
        <v>1605</v>
      </c>
      <c r="U341" s="103">
        <v>0</v>
      </c>
      <c r="V341" s="73" t="str">
        <f>_xlfn.XLOOKUP(B341,'Non-Projects (RUN-BAU)'!C:C,'Non-Projects (RUN-BAU)'!B:B,"",0)</f>
        <v/>
      </c>
      <c r="W341" s="73" t="str">
        <f>_xlfn.XLOOKUP(A341,'Ongoing Projects'!B:B,'Ongoing Projects'!B:B,"",0)</f>
        <v/>
      </c>
      <c r="X341" s="73" t="str">
        <f>_xlfn.XLOOKUP(B341,'New Projects'!D:D,'New Projects'!C:C,"",0)</f>
        <v/>
      </c>
      <c r="Y341" s="73" t="str">
        <f t="shared" si="18"/>
        <v/>
      </c>
      <c r="Z341" s="74" t="str">
        <f t="shared" si="19"/>
        <v>Missing</v>
      </c>
      <c r="AA341" s="74" t="str">
        <f t="shared" si="20"/>
        <v/>
      </c>
    </row>
    <row r="342" spans="1:27" x14ac:dyDescent="0.2">
      <c r="A342" s="103" t="s">
        <v>1323</v>
      </c>
      <c r="B342" s="103" t="s">
        <v>1324</v>
      </c>
      <c r="C342" s="103" t="s">
        <v>2076</v>
      </c>
      <c r="D342" s="103">
        <v>0</v>
      </c>
      <c r="E342" s="103">
        <v>55</v>
      </c>
      <c r="F342" s="103">
        <v>0</v>
      </c>
      <c r="G342" s="103">
        <v>0</v>
      </c>
      <c r="H342" s="103" t="s">
        <v>1617</v>
      </c>
      <c r="I342" s="103" t="s">
        <v>1597</v>
      </c>
      <c r="J342" s="103" t="s">
        <v>13</v>
      </c>
      <c r="K342" s="103" t="s">
        <v>1262</v>
      </c>
      <c r="L342" s="103" t="s">
        <v>53</v>
      </c>
      <c r="M342" s="103" t="s">
        <v>43</v>
      </c>
      <c r="N342" s="103" t="s">
        <v>64</v>
      </c>
      <c r="O342" s="103" t="s">
        <v>305</v>
      </c>
      <c r="Q342" s="118" t="s">
        <v>1601</v>
      </c>
      <c r="R342" s="118" t="s">
        <v>1606</v>
      </c>
      <c r="U342" s="103">
        <v>55</v>
      </c>
      <c r="V342" s="73" t="str">
        <f>_xlfn.XLOOKUP(B342,'Non-Projects (RUN-BAU)'!C:C,'Non-Projects (RUN-BAU)'!B:B,"",0)</f>
        <v/>
      </c>
      <c r="W342" s="73" t="str">
        <f>_xlfn.XLOOKUP(A342,'Ongoing Projects'!B:B,'Ongoing Projects'!B:B,"",0)</f>
        <v/>
      </c>
      <c r="X342" s="73" t="str">
        <f>_xlfn.XLOOKUP(B342,'New Projects'!D:D,'New Projects'!C:C,"",0)</f>
        <v/>
      </c>
      <c r="Y342" s="73" t="str">
        <f t="shared" si="18"/>
        <v/>
      </c>
      <c r="Z342" s="74" t="str">
        <f t="shared" si="19"/>
        <v>Missing</v>
      </c>
      <c r="AA342" s="74" t="str">
        <f t="shared" si="20"/>
        <v>Critical</v>
      </c>
    </row>
    <row r="343" spans="1:27" x14ac:dyDescent="0.2">
      <c r="A343" s="103" t="s">
        <v>1309</v>
      </c>
      <c r="B343" s="103" t="s">
        <v>1310</v>
      </c>
      <c r="C343" s="103" t="s">
        <v>1959</v>
      </c>
      <c r="D343" s="103">
        <v>25</v>
      </c>
      <c r="E343" s="103">
        <v>0</v>
      </c>
      <c r="F343" s="103">
        <v>0</v>
      </c>
      <c r="G343" s="103">
        <v>0</v>
      </c>
      <c r="H343" s="103" t="s">
        <v>1617</v>
      </c>
      <c r="I343" s="103" t="s">
        <v>1597</v>
      </c>
      <c r="J343" s="103" t="s">
        <v>13</v>
      </c>
      <c r="K343" s="103" t="s">
        <v>1262</v>
      </c>
      <c r="L343" s="103" t="s">
        <v>46</v>
      </c>
      <c r="M343" s="103" t="s">
        <v>41</v>
      </c>
      <c r="N343" s="103" t="s">
        <v>64</v>
      </c>
      <c r="O343" s="103" t="s">
        <v>751</v>
      </c>
      <c r="Q343" s="118" t="s">
        <v>1598</v>
      </c>
      <c r="R343" s="118" t="s">
        <v>1610</v>
      </c>
      <c r="U343" s="103">
        <v>25</v>
      </c>
      <c r="V343" s="73" t="str">
        <f>_xlfn.XLOOKUP(B343,'Non-Projects (RUN-BAU)'!C:C,'Non-Projects (RUN-BAU)'!B:B,"",0)</f>
        <v/>
      </c>
      <c r="W343" s="73" t="str">
        <f>_xlfn.XLOOKUP(A343,'Ongoing Projects'!B:B,'Ongoing Projects'!B:B,"",0)</f>
        <v/>
      </c>
      <c r="X343" s="73" t="str">
        <f>_xlfn.XLOOKUP(B343,'New Projects'!D:D,'New Projects'!C:C,"",0)</f>
        <v/>
      </c>
      <c r="Y343" s="73" t="str">
        <f t="shared" si="18"/>
        <v/>
      </c>
      <c r="Z343" s="74" t="str">
        <f t="shared" si="19"/>
        <v>Missing</v>
      </c>
      <c r="AA343" s="74" t="str">
        <f t="shared" si="20"/>
        <v>Critical</v>
      </c>
    </row>
    <row r="344" spans="1:27" x14ac:dyDescent="0.2">
      <c r="A344" s="103" t="s">
        <v>1311</v>
      </c>
      <c r="B344" s="103" t="s">
        <v>1312</v>
      </c>
      <c r="D344" s="103">
        <v>0</v>
      </c>
      <c r="E344" s="103">
        <v>0</v>
      </c>
      <c r="F344" s="103">
        <v>0</v>
      </c>
      <c r="G344" s="103">
        <v>0</v>
      </c>
      <c r="H344" s="103" t="s">
        <v>2077</v>
      </c>
      <c r="N344" s="103" t="s">
        <v>64</v>
      </c>
      <c r="Q344" s="118" t="s">
        <v>3851</v>
      </c>
      <c r="R344" s="118" t="s">
        <v>1605</v>
      </c>
      <c r="U344" s="103">
        <v>0</v>
      </c>
      <c r="V344" s="73" t="str">
        <f>_xlfn.XLOOKUP(B344,'Non-Projects (RUN-BAU)'!C:C,'Non-Projects (RUN-BAU)'!B:B,"",0)</f>
        <v/>
      </c>
      <c r="W344" s="73" t="str">
        <f>_xlfn.XLOOKUP(A344,'Ongoing Projects'!B:B,'Ongoing Projects'!B:B,"",0)</f>
        <v/>
      </c>
      <c r="X344" s="73" t="str">
        <f>_xlfn.XLOOKUP(B344,'New Projects'!D:D,'New Projects'!C:C,"",0)</f>
        <v/>
      </c>
      <c r="Y344" s="73" t="str">
        <f t="shared" si="18"/>
        <v/>
      </c>
      <c r="Z344" s="74" t="str">
        <f t="shared" si="19"/>
        <v>Missing</v>
      </c>
      <c r="AA344" s="74" t="str">
        <f t="shared" si="20"/>
        <v/>
      </c>
    </row>
    <row r="345" spans="1:27" x14ac:dyDescent="0.2">
      <c r="A345" s="103" t="s">
        <v>1315</v>
      </c>
      <c r="B345" s="103" t="s">
        <v>1316</v>
      </c>
      <c r="C345" s="103" t="s">
        <v>2078</v>
      </c>
      <c r="D345" s="103">
        <v>134</v>
      </c>
      <c r="E345" s="103">
        <v>163</v>
      </c>
      <c r="F345" s="103">
        <v>0</v>
      </c>
      <c r="G345" s="103">
        <v>0</v>
      </c>
      <c r="H345" s="103" t="s">
        <v>1617</v>
      </c>
      <c r="I345" s="103" t="s">
        <v>345</v>
      </c>
      <c r="J345" s="103" t="s">
        <v>23</v>
      </c>
      <c r="K345" s="103" t="s">
        <v>750</v>
      </c>
      <c r="L345" s="103" t="s">
        <v>51</v>
      </c>
      <c r="M345" s="103" t="s">
        <v>43</v>
      </c>
      <c r="N345" s="103" t="s">
        <v>64</v>
      </c>
      <c r="O345" s="103" t="s">
        <v>787</v>
      </c>
      <c r="P345" s="103" t="s">
        <v>1615</v>
      </c>
      <c r="Q345" s="118" t="s">
        <v>1598</v>
      </c>
      <c r="R345" s="118" t="s">
        <v>1606</v>
      </c>
      <c r="U345" s="103">
        <v>297</v>
      </c>
      <c r="V345" s="73" t="str">
        <f>_xlfn.XLOOKUP(B345,'Non-Projects (RUN-BAU)'!C:C,'Non-Projects (RUN-BAU)'!B:B,"",0)</f>
        <v/>
      </c>
      <c r="W345" s="73" t="str">
        <f>_xlfn.XLOOKUP(A345,'Ongoing Projects'!B:B,'Ongoing Projects'!B:B,"",0)</f>
        <v/>
      </c>
      <c r="X345" s="73" t="str">
        <f>_xlfn.XLOOKUP(B345,'New Projects'!D:D,'New Projects'!C:C,"",0)</f>
        <v/>
      </c>
      <c r="Y345" s="73" t="str">
        <f t="shared" si="18"/>
        <v/>
      </c>
      <c r="Z345" s="74" t="str">
        <f t="shared" si="19"/>
        <v>Missing</v>
      </c>
      <c r="AA345" s="74" t="str">
        <f t="shared" si="20"/>
        <v>Critical</v>
      </c>
    </row>
    <row r="346" spans="1:27" x14ac:dyDescent="0.2">
      <c r="A346" s="103" t="s">
        <v>1321</v>
      </c>
      <c r="B346" s="103" t="s">
        <v>1322</v>
      </c>
      <c r="C346" s="103" t="s">
        <v>2079</v>
      </c>
      <c r="D346" s="103">
        <v>0</v>
      </c>
      <c r="E346" s="103">
        <v>0</v>
      </c>
      <c r="F346" s="103">
        <v>0</v>
      </c>
      <c r="G346" s="103">
        <v>161.25</v>
      </c>
      <c r="H346" s="103" t="s">
        <v>1617</v>
      </c>
      <c r="I346" s="103" t="s">
        <v>1597</v>
      </c>
      <c r="J346" s="103" t="s">
        <v>13</v>
      </c>
      <c r="K346" s="103" t="s">
        <v>1262</v>
      </c>
      <c r="L346" s="103" t="s">
        <v>46</v>
      </c>
      <c r="M346" s="103" t="s">
        <v>41</v>
      </c>
      <c r="N346" s="103" t="s">
        <v>64</v>
      </c>
      <c r="O346" s="103" t="s">
        <v>751</v>
      </c>
      <c r="Q346" s="118" t="s">
        <v>1604</v>
      </c>
      <c r="R346" s="118" t="s">
        <v>1599</v>
      </c>
      <c r="U346" s="103">
        <v>161.25</v>
      </c>
      <c r="V346" s="73" t="str">
        <f>_xlfn.XLOOKUP(B346,'Non-Projects (RUN-BAU)'!C:C,'Non-Projects (RUN-BAU)'!B:B,"",0)</f>
        <v/>
      </c>
      <c r="W346" s="73" t="str">
        <f>_xlfn.XLOOKUP(A346,'Ongoing Projects'!B:B,'Ongoing Projects'!B:B,"",0)</f>
        <v/>
      </c>
      <c r="X346" s="73" t="str">
        <f>_xlfn.XLOOKUP(B346,'New Projects'!D:D,'New Projects'!C:C,"",0)</f>
        <v/>
      </c>
      <c r="Y346" s="73" t="str">
        <f t="shared" si="18"/>
        <v/>
      </c>
      <c r="Z346" s="74" t="str">
        <f t="shared" si="19"/>
        <v>Missing</v>
      </c>
      <c r="AA346" s="74" t="str">
        <f t="shared" si="20"/>
        <v>Critical</v>
      </c>
    </row>
    <row r="347" spans="1:27" x14ac:dyDescent="0.2">
      <c r="A347" s="103" t="s">
        <v>1325</v>
      </c>
      <c r="B347" s="103" t="s">
        <v>1326</v>
      </c>
      <c r="D347" s="103">
        <v>0</v>
      </c>
      <c r="E347" s="103">
        <v>0</v>
      </c>
      <c r="F347" s="103">
        <v>0</v>
      </c>
      <c r="G347" s="103">
        <v>0</v>
      </c>
      <c r="H347" s="103" t="s">
        <v>2080</v>
      </c>
      <c r="N347" s="103" t="s">
        <v>71</v>
      </c>
      <c r="Q347" s="118" t="s">
        <v>3851</v>
      </c>
      <c r="R347" s="118" t="s">
        <v>1605</v>
      </c>
      <c r="U347" s="103">
        <v>0</v>
      </c>
      <c r="V347" s="73" t="str">
        <f>_xlfn.XLOOKUP(B347,'Non-Projects (RUN-BAU)'!C:C,'Non-Projects (RUN-BAU)'!B:B,"",0)</f>
        <v/>
      </c>
      <c r="W347" s="73" t="str">
        <f>_xlfn.XLOOKUP(A347,'Ongoing Projects'!B:B,'Ongoing Projects'!B:B,"",0)</f>
        <v/>
      </c>
      <c r="X347" s="73" t="str">
        <f>_xlfn.XLOOKUP(B347,'New Projects'!D:D,'New Projects'!C:C,"",0)</f>
        <v/>
      </c>
      <c r="Y347" s="73" t="str">
        <f t="shared" si="18"/>
        <v/>
      </c>
      <c r="Z347" s="74" t="str">
        <f t="shared" si="19"/>
        <v>Missing</v>
      </c>
      <c r="AA347" s="74" t="str">
        <f t="shared" si="20"/>
        <v/>
      </c>
    </row>
    <row r="348" spans="1:27" x14ac:dyDescent="0.2">
      <c r="A348" s="103" t="s">
        <v>1528</v>
      </c>
      <c r="B348" s="103" t="s">
        <v>1529</v>
      </c>
      <c r="D348" s="103">
        <v>655</v>
      </c>
      <c r="E348" s="103">
        <v>1065</v>
      </c>
      <c r="F348" s="103">
        <v>500</v>
      </c>
      <c r="G348" s="103">
        <v>500</v>
      </c>
      <c r="H348" s="103" t="s">
        <v>1059</v>
      </c>
      <c r="I348" s="103" t="s">
        <v>1597</v>
      </c>
      <c r="K348" s="103" t="s">
        <v>766</v>
      </c>
      <c r="L348" s="103" t="s">
        <v>46</v>
      </c>
      <c r="M348" s="103" t="s">
        <v>43</v>
      </c>
      <c r="N348" s="103" t="s">
        <v>68</v>
      </c>
      <c r="O348" s="103" t="s">
        <v>767</v>
      </c>
      <c r="Q348" s="118" t="s">
        <v>1598</v>
      </c>
      <c r="R348" s="118" t="s">
        <v>1599</v>
      </c>
      <c r="U348" s="103">
        <v>2720</v>
      </c>
      <c r="V348" s="73" t="str">
        <f>_xlfn.XLOOKUP(B348,'Non-Projects (RUN-BAU)'!C:C,'Non-Projects (RUN-BAU)'!B:B,"",0)</f>
        <v/>
      </c>
      <c r="W348" s="73" t="str">
        <f>_xlfn.XLOOKUP(A348,'Ongoing Projects'!B:B,'Ongoing Projects'!B:B,"",0)</f>
        <v/>
      </c>
      <c r="X348" s="73" t="str">
        <f>_xlfn.XLOOKUP(B348,'New Projects'!D:D,'New Projects'!C:C,"",0)</f>
        <v/>
      </c>
      <c r="Y348" s="73" t="str">
        <f t="shared" si="18"/>
        <v/>
      </c>
      <c r="Z348" s="74" t="str">
        <f t="shared" si="19"/>
        <v>Missing</v>
      </c>
      <c r="AA348" s="74" t="str">
        <f t="shared" si="20"/>
        <v>Critical</v>
      </c>
    </row>
    <row r="349" spans="1:27" x14ac:dyDescent="0.2">
      <c r="A349" s="103" t="s">
        <v>1350</v>
      </c>
      <c r="B349" s="103" t="s">
        <v>1351</v>
      </c>
      <c r="C349" s="103" t="s">
        <v>1934</v>
      </c>
      <c r="D349" s="103">
        <v>82</v>
      </c>
      <c r="E349" s="103">
        <v>100</v>
      </c>
      <c r="F349" s="103">
        <v>100</v>
      </c>
      <c r="G349" s="103">
        <v>287</v>
      </c>
      <c r="H349" s="103" t="s">
        <v>771</v>
      </c>
      <c r="I349" s="103" t="s">
        <v>1597</v>
      </c>
      <c r="J349" s="103" t="s">
        <v>889</v>
      </c>
      <c r="K349" s="103" t="s">
        <v>1641</v>
      </c>
      <c r="L349" s="103" t="s">
        <v>46</v>
      </c>
      <c r="M349" s="103" t="s">
        <v>43</v>
      </c>
      <c r="N349" s="103" t="s">
        <v>68</v>
      </c>
      <c r="O349" s="103" t="s">
        <v>1242</v>
      </c>
      <c r="Q349" s="118" t="s">
        <v>1598</v>
      </c>
      <c r="R349" s="118" t="s">
        <v>1599</v>
      </c>
      <c r="U349" s="103">
        <v>569</v>
      </c>
      <c r="V349" s="73" t="str">
        <f>_xlfn.XLOOKUP(B349,'Non-Projects (RUN-BAU)'!C:C,'Non-Projects (RUN-BAU)'!B:B,"",0)</f>
        <v/>
      </c>
      <c r="W349" s="73" t="str">
        <f>_xlfn.XLOOKUP(A349,'Ongoing Projects'!B:B,'Ongoing Projects'!B:B,"",0)</f>
        <v/>
      </c>
      <c r="X349" s="73" t="str">
        <f>_xlfn.XLOOKUP(B349,'New Projects'!D:D,'New Projects'!C:C,"",0)</f>
        <v/>
      </c>
      <c r="Y349" s="73" t="str">
        <f t="shared" si="18"/>
        <v/>
      </c>
      <c r="Z349" s="74" t="str">
        <f t="shared" si="19"/>
        <v>Missing</v>
      </c>
      <c r="AA349" s="74" t="str">
        <f t="shared" si="20"/>
        <v>Critical</v>
      </c>
    </row>
    <row r="350" spans="1:27" x14ac:dyDescent="0.2">
      <c r="A350" s="103" t="s">
        <v>1361</v>
      </c>
      <c r="B350" s="103" t="s">
        <v>1362</v>
      </c>
      <c r="C350" s="103" t="s">
        <v>1042</v>
      </c>
      <c r="D350" s="103">
        <v>50</v>
      </c>
      <c r="E350" s="103">
        <v>50</v>
      </c>
      <c r="F350" s="103">
        <v>50</v>
      </c>
      <c r="G350" s="103">
        <v>70</v>
      </c>
      <c r="H350" s="103" t="s">
        <v>771</v>
      </c>
      <c r="I350" s="103" t="s">
        <v>1597</v>
      </c>
      <c r="J350" s="103" t="s">
        <v>35</v>
      </c>
      <c r="K350" s="103" t="s">
        <v>1641</v>
      </c>
      <c r="L350" s="103" t="s">
        <v>1736</v>
      </c>
      <c r="M350" s="103" t="s">
        <v>43</v>
      </c>
      <c r="N350" s="103" t="s">
        <v>68</v>
      </c>
      <c r="O350" s="103" t="s">
        <v>1242</v>
      </c>
      <c r="Q350" s="118" t="s">
        <v>1598</v>
      </c>
      <c r="R350" s="118" t="s">
        <v>1599</v>
      </c>
      <c r="U350" s="103">
        <v>220</v>
      </c>
      <c r="V350" s="73" t="str">
        <f>_xlfn.XLOOKUP(B350,'Non-Projects (RUN-BAU)'!C:C,'Non-Projects (RUN-BAU)'!B:B,"",0)</f>
        <v/>
      </c>
      <c r="W350" s="73" t="str">
        <f>_xlfn.XLOOKUP(A350,'Ongoing Projects'!B:B,'Ongoing Projects'!B:B,"",0)</f>
        <v/>
      </c>
      <c r="X350" s="73" t="str">
        <f>_xlfn.XLOOKUP(B350,'New Projects'!D:D,'New Projects'!C:C,"",0)</f>
        <v/>
      </c>
      <c r="Y350" s="73" t="str">
        <f t="shared" si="18"/>
        <v/>
      </c>
      <c r="Z350" s="74" t="str">
        <f t="shared" si="19"/>
        <v>Missing</v>
      </c>
      <c r="AA350" s="74" t="str">
        <f t="shared" si="20"/>
        <v>Critical</v>
      </c>
    </row>
    <row r="351" spans="1:27" x14ac:dyDescent="0.2">
      <c r="A351" s="103" t="s">
        <v>1367</v>
      </c>
      <c r="B351" s="103" t="s">
        <v>2081</v>
      </c>
      <c r="D351" s="103">
        <v>25</v>
      </c>
      <c r="E351" s="103">
        <v>25</v>
      </c>
      <c r="F351" s="103">
        <v>25</v>
      </c>
      <c r="G351" s="103">
        <v>25</v>
      </c>
      <c r="H351" s="103" t="s">
        <v>811</v>
      </c>
      <c r="I351" s="103" t="s">
        <v>1597</v>
      </c>
      <c r="J351" s="103" t="s">
        <v>20</v>
      </c>
      <c r="K351" s="103" t="s">
        <v>810</v>
      </c>
      <c r="L351" s="103" t="s">
        <v>46</v>
      </c>
      <c r="M351" s="103" t="s">
        <v>43</v>
      </c>
      <c r="N351" s="103" t="s">
        <v>71</v>
      </c>
      <c r="O351" s="103" t="s">
        <v>779</v>
      </c>
      <c r="Q351" s="118" t="s">
        <v>1598</v>
      </c>
      <c r="R351" s="118" t="s">
        <v>1599</v>
      </c>
      <c r="U351" s="103">
        <v>100</v>
      </c>
      <c r="V351" s="73" t="str">
        <f>_xlfn.XLOOKUP(B351,'Non-Projects (RUN-BAU)'!C:C,'Non-Projects (RUN-BAU)'!B:B,"",0)</f>
        <v/>
      </c>
      <c r="W351" s="73" t="str">
        <f>_xlfn.XLOOKUP(A351,'Ongoing Projects'!B:B,'Ongoing Projects'!B:B,"",0)</f>
        <v/>
      </c>
      <c r="X351" s="73" t="str">
        <f>_xlfn.XLOOKUP(B351,'New Projects'!D:D,'New Projects'!C:C,"",0)</f>
        <v/>
      </c>
      <c r="Y351" s="73" t="str">
        <f t="shared" si="18"/>
        <v/>
      </c>
      <c r="Z351" s="74" t="str">
        <f t="shared" si="19"/>
        <v>Missing</v>
      </c>
      <c r="AA351" s="74" t="str">
        <f t="shared" si="20"/>
        <v>Critical</v>
      </c>
    </row>
    <row r="352" spans="1:27" x14ac:dyDescent="0.2">
      <c r="A352" s="103" t="s">
        <v>311</v>
      </c>
      <c r="B352" s="103" t="s">
        <v>312</v>
      </c>
      <c r="D352" s="103">
        <v>0</v>
      </c>
      <c r="E352" s="103">
        <v>0</v>
      </c>
      <c r="F352" s="103">
        <v>210</v>
      </c>
      <c r="G352" s="103">
        <v>490</v>
      </c>
      <c r="H352" s="103" t="s">
        <v>1059</v>
      </c>
      <c r="I352" s="103" t="s">
        <v>1597</v>
      </c>
      <c r="J352" s="103" t="s">
        <v>13</v>
      </c>
      <c r="K352" s="103" t="s">
        <v>766</v>
      </c>
      <c r="L352" s="103" t="s">
        <v>46</v>
      </c>
      <c r="M352" s="103" t="s">
        <v>41</v>
      </c>
      <c r="N352" s="103" t="s">
        <v>68</v>
      </c>
      <c r="O352" s="103" t="s">
        <v>767</v>
      </c>
      <c r="Q352" s="118" t="s">
        <v>1607</v>
      </c>
      <c r="R352" s="118" t="s">
        <v>1599</v>
      </c>
      <c r="U352" s="103">
        <v>700</v>
      </c>
      <c r="V352" s="73" t="str">
        <f>_xlfn.XLOOKUP(B352,'Non-Projects (RUN-BAU)'!C:C,'Non-Projects (RUN-BAU)'!B:B,"",0)</f>
        <v/>
      </c>
      <c r="W352" s="73" t="str">
        <f>_xlfn.XLOOKUP(A352,'Ongoing Projects'!B:B,'Ongoing Projects'!B:B,"",0)</f>
        <v/>
      </c>
      <c r="X352" s="73" t="str">
        <f>_xlfn.XLOOKUP(B352,'New Projects'!D:D,'New Projects'!C:C,"",0)</f>
        <v/>
      </c>
      <c r="Y352" s="73" t="str">
        <f t="shared" si="18"/>
        <v/>
      </c>
      <c r="Z352" s="74" t="str">
        <f t="shared" si="19"/>
        <v>Missing</v>
      </c>
      <c r="AA352" s="74" t="str">
        <f t="shared" si="20"/>
        <v>Critical</v>
      </c>
    </row>
    <row r="353" spans="1:27" x14ac:dyDescent="0.2">
      <c r="A353" s="103" t="s">
        <v>3832</v>
      </c>
      <c r="B353" s="103" t="s">
        <v>3833</v>
      </c>
      <c r="D353" s="103">
        <v>32</v>
      </c>
      <c r="E353" s="103">
        <v>33</v>
      </c>
      <c r="F353" s="103">
        <v>32</v>
      </c>
      <c r="G353" s="103">
        <v>23</v>
      </c>
      <c r="H353" s="103" t="s">
        <v>758</v>
      </c>
      <c r="I353" s="103" t="s">
        <v>1597</v>
      </c>
      <c r="J353" s="103" t="s">
        <v>20</v>
      </c>
      <c r="K353" s="103" t="s">
        <v>750</v>
      </c>
      <c r="L353" s="103" t="s">
        <v>61</v>
      </c>
      <c r="N353" s="103" t="s">
        <v>64</v>
      </c>
      <c r="O353" s="103" t="s">
        <v>767</v>
      </c>
      <c r="P353" s="103" t="s">
        <v>1392</v>
      </c>
      <c r="Q353" s="118" t="s">
        <v>1598</v>
      </c>
      <c r="R353" s="118" t="s">
        <v>1599</v>
      </c>
      <c r="S353" s="103" t="s">
        <v>3834</v>
      </c>
      <c r="U353" s="103">
        <v>120</v>
      </c>
      <c r="V353" s="73" t="str">
        <f>_xlfn.XLOOKUP(B353,'Non-Projects (RUN-BAU)'!C:C,'Non-Projects (RUN-BAU)'!B:B,"",0)</f>
        <v/>
      </c>
      <c r="W353" s="73" t="str">
        <f>_xlfn.XLOOKUP(A353,'Ongoing Projects'!B:B,'Ongoing Projects'!B:B,"",0)</f>
        <v/>
      </c>
      <c r="X353" s="73" t="str">
        <f>_xlfn.XLOOKUP(B353,'New Projects'!D:D,'New Projects'!C:C,"",0)</f>
        <v/>
      </c>
      <c r="Y353" s="73" t="str">
        <f t="shared" si="18"/>
        <v/>
      </c>
      <c r="Z353" s="74" t="str">
        <f t="shared" si="19"/>
        <v>Missing</v>
      </c>
      <c r="AA353" s="74" t="str">
        <f t="shared" si="20"/>
        <v>Critical</v>
      </c>
    </row>
    <row r="354" spans="1:27" x14ac:dyDescent="0.2">
      <c r="A354" s="103" t="s">
        <v>2082</v>
      </c>
      <c r="B354" s="103" t="s">
        <v>2083</v>
      </c>
      <c r="C354" s="103" t="s">
        <v>2084</v>
      </c>
      <c r="D354" s="103">
        <v>2</v>
      </c>
      <c r="E354" s="103">
        <v>0</v>
      </c>
      <c r="F354" s="103">
        <v>0</v>
      </c>
      <c r="G354" s="103">
        <v>0</v>
      </c>
      <c r="H354" s="103" t="s">
        <v>1975</v>
      </c>
      <c r="I354" s="103" t="s">
        <v>1945</v>
      </c>
      <c r="K354" s="103" t="s">
        <v>1284</v>
      </c>
      <c r="M354" s="103" t="s">
        <v>305</v>
      </c>
      <c r="N354" s="103" t="s">
        <v>95</v>
      </c>
      <c r="O354" s="103" t="s">
        <v>305</v>
      </c>
      <c r="Q354" s="118" t="s">
        <v>1598</v>
      </c>
      <c r="R354" s="118" t="s">
        <v>1610</v>
      </c>
      <c r="U354" s="103">
        <v>0</v>
      </c>
      <c r="V354" s="73" t="str">
        <f>_xlfn.XLOOKUP(B354,'Non-Projects (RUN-BAU)'!C:C,'Non-Projects (RUN-BAU)'!B:B,"",0)</f>
        <v/>
      </c>
      <c r="W354" s="73" t="str">
        <f>_xlfn.XLOOKUP(A354,'Ongoing Projects'!B:B,'Ongoing Projects'!B:B,"",0)</f>
        <v/>
      </c>
      <c r="X354" s="73" t="str">
        <f>_xlfn.XLOOKUP(B354,'New Projects'!D:D,'New Projects'!C:C,"",0)</f>
        <v/>
      </c>
      <c r="Y354" s="73" t="str">
        <f t="shared" si="18"/>
        <v/>
      </c>
      <c r="Z354" s="74" t="str">
        <f t="shared" si="19"/>
        <v>Missing</v>
      </c>
      <c r="AA354" s="74" t="str">
        <f t="shared" si="20"/>
        <v/>
      </c>
    </row>
    <row r="355" spans="1:27" x14ac:dyDescent="0.2">
      <c r="A355" s="103" t="s">
        <v>3835</v>
      </c>
      <c r="B355" s="103" t="s">
        <v>3836</v>
      </c>
      <c r="C355" s="103" t="s">
        <v>3837</v>
      </c>
      <c r="D355" s="103">
        <v>0</v>
      </c>
      <c r="E355" s="103">
        <v>0</v>
      </c>
      <c r="F355" s="103">
        <v>0</v>
      </c>
      <c r="G355" s="103">
        <v>0</v>
      </c>
      <c r="H355" s="103" t="s">
        <v>1609</v>
      </c>
      <c r="I355" s="103" t="s">
        <v>1597</v>
      </c>
      <c r="J355" s="103" t="s">
        <v>35</v>
      </c>
      <c r="K355" s="103" t="s">
        <v>750</v>
      </c>
      <c r="L355" s="103" t="s">
        <v>46</v>
      </c>
      <c r="M355" s="103" t="s">
        <v>41</v>
      </c>
      <c r="N355" s="103" t="s">
        <v>64</v>
      </c>
      <c r="O355" s="103" t="s">
        <v>767</v>
      </c>
      <c r="P355" s="103" t="s">
        <v>1392</v>
      </c>
      <c r="Q355" s="118" t="s">
        <v>3851</v>
      </c>
      <c r="R355" s="118" t="s">
        <v>1605</v>
      </c>
      <c r="S355" s="103" t="s">
        <v>3838</v>
      </c>
      <c r="U355" s="103">
        <v>0</v>
      </c>
      <c r="V355" s="73" t="str">
        <f>_xlfn.XLOOKUP(B355,'Non-Projects (RUN-BAU)'!C:C,'Non-Projects (RUN-BAU)'!B:B,"",0)</f>
        <v/>
      </c>
      <c r="W355" s="73" t="str">
        <f>_xlfn.XLOOKUP(A355,'Ongoing Projects'!B:B,'Ongoing Projects'!B:B,"",0)</f>
        <v/>
      </c>
      <c r="X355" s="73" t="str">
        <f>_xlfn.XLOOKUP(B355,'New Projects'!D:D,'New Projects'!C:C,"",0)</f>
        <v/>
      </c>
      <c r="Y355" s="73" t="str">
        <f t="shared" si="18"/>
        <v/>
      </c>
      <c r="Z355" s="74" t="str">
        <f t="shared" si="19"/>
        <v>Missing</v>
      </c>
      <c r="AA355" s="74" t="str">
        <f t="shared" si="20"/>
        <v/>
      </c>
    </row>
    <row r="356" spans="1:27" x14ac:dyDescent="0.2">
      <c r="A356" s="103" t="s">
        <v>1382</v>
      </c>
      <c r="B356" s="103" t="s">
        <v>1383</v>
      </c>
      <c r="D356" s="103">
        <v>125</v>
      </c>
      <c r="E356" s="103">
        <v>125</v>
      </c>
      <c r="F356" s="103">
        <v>125</v>
      </c>
      <c r="G356" s="103">
        <v>125</v>
      </c>
      <c r="H356" s="103" t="s">
        <v>1232</v>
      </c>
      <c r="I356" s="103" t="s">
        <v>1597</v>
      </c>
      <c r="J356" s="103" t="s">
        <v>35</v>
      </c>
      <c r="K356" s="103" t="s">
        <v>1796</v>
      </c>
      <c r="L356" s="103" t="s">
        <v>53</v>
      </c>
      <c r="M356" s="103" t="s">
        <v>43</v>
      </c>
      <c r="N356" s="103" t="s">
        <v>64</v>
      </c>
      <c r="O356" s="103" t="s">
        <v>787</v>
      </c>
      <c r="Q356" s="118" t="s">
        <v>1598</v>
      </c>
      <c r="R356" s="118" t="s">
        <v>1599</v>
      </c>
      <c r="U356" s="103">
        <v>500</v>
      </c>
      <c r="V356" s="73" t="str">
        <f>_xlfn.XLOOKUP(B356,'Non-Projects (RUN-BAU)'!C:C,'Non-Projects (RUN-BAU)'!B:B,"",0)</f>
        <v/>
      </c>
      <c r="W356" s="73" t="str">
        <f>_xlfn.XLOOKUP(A356,'Ongoing Projects'!B:B,'Ongoing Projects'!B:B,"",0)</f>
        <v/>
      </c>
      <c r="X356" s="73" t="str">
        <f>_xlfn.XLOOKUP(B356,'New Projects'!D:D,'New Projects'!C:C,"",0)</f>
        <v/>
      </c>
      <c r="Y356" s="73" t="str">
        <f t="shared" si="18"/>
        <v/>
      </c>
      <c r="Z356" s="74" t="str">
        <f t="shared" si="19"/>
        <v>Missing</v>
      </c>
      <c r="AA356" s="74" t="str">
        <f t="shared" si="20"/>
        <v>Critical</v>
      </c>
    </row>
    <row r="357" spans="1:27" x14ac:dyDescent="0.2">
      <c r="A357" s="103" t="s">
        <v>1384</v>
      </c>
      <c r="B357" s="103" t="s">
        <v>1385</v>
      </c>
      <c r="D357" s="103">
        <v>400</v>
      </c>
      <c r="E357" s="103">
        <v>400</v>
      </c>
      <c r="F357" s="103">
        <v>400</v>
      </c>
      <c r="G357" s="103">
        <v>400</v>
      </c>
      <c r="H357" s="103" t="s">
        <v>1232</v>
      </c>
      <c r="I357" s="103" t="s">
        <v>1597</v>
      </c>
      <c r="J357" s="103" t="s">
        <v>23</v>
      </c>
      <c r="K357" s="103" t="s">
        <v>1796</v>
      </c>
      <c r="L357" s="103" t="s">
        <v>51</v>
      </c>
      <c r="M357" s="103" t="s">
        <v>43</v>
      </c>
      <c r="N357" s="103" t="s">
        <v>64</v>
      </c>
      <c r="O357" s="103" t="s">
        <v>787</v>
      </c>
      <c r="Q357" s="118" t="s">
        <v>1598</v>
      </c>
      <c r="R357" s="118" t="s">
        <v>1599</v>
      </c>
      <c r="U357" s="103">
        <v>1600</v>
      </c>
      <c r="V357" s="73" t="str">
        <f>_xlfn.XLOOKUP(B357,'Non-Projects (RUN-BAU)'!C:C,'Non-Projects (RUN-BAU)'!B:B,"",0)</f>
        <v/>
      </c>
      <c r="W357" s="73" t="str">
        <f>_xlfn.XLOOKUP(A357,'Ongoing Projects'!B:B,'Ongoing Projects'!B:B,"",0)</f>
        <v/>
      </c>
      <c r="X357" s="73" t="str">
        <f>_xlfn.XLOOKUP(B357,'New Projects'!D:D,'New Projects'!C:C,"",0)</f>
        <v/>
      </c>
      <c r="Y357" s="73" t="str">
        <f t="shared" si="18"/>
        <v/>
      </c>
      <c r="Z357" s="74" t="str">
        <f t="shared" si="19"/>
        <v>Missing</v>
      </c>
      <c r="AA357" s="74" t="str">
        <f t="shared" si="20"/>
        <v>Critical</v>
      </c>
    </row>
    <row r="358" spans="1:27" x14ac:dyDescent="0.2">
      <c r="A358" s="103" t="s">
        <v>1386</v>
      </c>
      <c r="B358" s="103" t="s">
        <v>1387</v>
      </c>
      <c r="D358" s="103">
        <v>764</v>
      </c>
      <c r="E358" s="103">
        <v>764</v>
      </c>
      <c r="F358" s="103">
        <v>839</v>
      </c>
      <c r="G358" s="103">
        <v>839</v>
      </c>
      <c r="H358" s="103" t="s">
        <v>1232</v>
      </c>
      <c r="I358" s="103" t="s">
        <v>1597</v>
      </c>
      <c r="J358" s="103" t="s">
        <v>23</v>
      </c>
      <c r="K358" s="103" t="s">
        <v>1796</v>
      </c>
      <c r="L358" s="103" t="s">
        <v>51</v>
      </c>
      <c r="M358" s="103" t="s">
        <v>43</v>
      </c>
      <c r="N358" s="103" t="s">
        <v>64</v>
      </c>
      <c r="O358" s="103" t="s">
        <v>787</v>
      </c>
      <c r="Q358" s="118" t="s">
        <v>1598</v>
      </c>
      <c r="R358" s="118" t="s">
        <v>1599</v>
      </c>
      <c r="U358" s="103">
        <v>3206</v>
      </c>
      <c r="V358" s="73" t="str">
        <f>_xlfn.XLOOKUP(B358,'Non-Projects (RUN-BAU)'!C:C,'Non-Projects (RUN-BAU)'!B:B,"",0)</f>
        <v/>
      </c>
      <c r="W358" s="73" t="str">
        <f>_xlfn.XLOOKUP(A358,'Ongoing Projects'!B:B,'Ongoing Projects'!B:B,"",0)</f>
        <v/>
      </c>
      <c r="X358" s="73" t="str">
        <f>_xlfn.XLOOKUP(B358,'New Projects'!D:D,'New Projects'!C:C,"",0)</f>
        <v/>
      </c>
      <c r="Y358" s="73" t="str">
        <f t="shared" si="18"/>
        <v/>
      </c>
      <c r="Z358" s="74" t="str">
        <f t="shared" si="19"/>
        <v>Missing</v>
      </c>
      <c r="AA358" s="74" t="str">
        <f t="shared" si="20"/>
        <v>Critical</v>
      </c>
    </row>
    <row r="359" spans="1:27" x14ac:dyDescent="0.2">
      <c r="A359" s="103" t="s">
        <v>1397</v>
      </c>
      <c r="B359" s="103" t="s">
        <v>3828</v>
      </c>
      <c r="C359" s="103" t="s">
        <v>2085</v>
      </c>
      <c r="D359" s="103">
        <v>0</v>
      </c>
      <c r="E359" s="103">
        <v>0</v>
      </c>
      <c r="F359" s="103">
        <v>0</v>
      </c>
      <c r="G359" s="103">
        <v>0</v>
      </c>
      <c r="H359" s="103" t="s">
        <v>2086</v>
      </c>
      <c r="I359" s="103" t="s">
        <v>345</v>
      </c>
      <c r="K359" s="103" t="s">
        <v>750</v>
      </c>
      <c r="L359" s="103" t="s">
        <v>46</v>
      </c>
      <c r="M359" s="103" t="s">
        <v>43</v>
      </c>
      <c r="N359" s="103" t="s">
        <v>64</v>
      </c>
      <c r="O359" s="103" t="s">
        <v>305</v>
      </c>
      <c r="P359" s="103" t="s">
        <v>1615</v>
      </c>
      <c r="Q359" s="118" t="s">
        <v>3851</v>
      </c>
      <c r="R359" s="118" t="s">
        <v>1605</v>
      </c>
      <c r="U359" s="103">
        <v>0</v>
      </c>
      <c r="V359" s="73" t="str">
        <f>_xlfn.XLOOKUP(B359,'Non-Projects (RUN-BAU)'!C:C,'Non-Projects (RUN-BAU)'!B:B,"",0)</f>
        <v/>
      </c>
      <c r="W359" s="73" t="str">
        <f>_xlfn.XLOOKUP(A359,'Ongoing Projects'!B:B,'Ongoing Projects'!B:B,"",0)</f>
        <v/>
      </c>
      <c r="X359" s="73" t="str">
        <f>_xlfn.XLOOKUP(B359,'New Projects'!D:D,'New Projects'!C:C,"",0)</f>
        <v/>
      </c>
      <c r="Y359" s="73" t="str">
        <f t="shared" si="18"/>
        <v/>
      </c>
      <c r="Z359" s="74" t="str">
        <f t="shared" si="19"/>
        <v>Missing</v>
      </c>
      <c r="AA359" s="74" t="str">
        <f t="shared" si="20"/>
        <v/>
      </c>
    </row>
    <row r="360" spans="1:27" x14ac:dyDescent="0.2">
      <c r="A360" s="103" t="s">
        <v>1404</v>
      </c>
      <c r="B360" s="103" t="s">
        <v>3827</v>
      </c>
      <c r="C360" s="103" t="s">
        <v>2085</v>
      </c>
      <c r="D360" s="103">
        <v>2032</v>
      </c>
      <c r="E360" s="103">
        <v>2991</v>
      </c>
      <c r="F360" s="103">
        <v>3785</v>
      </c>
      <c r="G360" s="103">
        <v>10716</v>
      </c>
      <c r="H360" s="103" t="s">
        <v>2086</v>
      </c>
      <c r="I360" s="103" t="s">
        <v>345</v>
      </c>
      <c r="K360" s="103" t="s">
        <v>750</v>
      </c>
      <c r="L360" s="103" t="s">
        <v>46</v>
      </c>
      <c r="M360" s="103" t="s">
        <v>43</v>
      </c>
      <c r="N360" s="103" t="s">
        <v>64</v>
      </c>
      <c r="O360" s="103" t="s">
        <v>305</v>
      </c>
      <c r="P360" s="103" t="s">
        <v>1615</v>
      </c>
      <c r="Q360" s="118" t="s">
        <v>1598</v>
      </c>
      <c r="R360" s="118" t="s">
        <v>1599</v>
      </c>
      <c r="U360" s="103">
        <v>9133</v>
      </c>
      <c r="V360" s="73" t="str">
        <f>_xlfn.XLOOKUP(B360,'Non-Projects (RUN-BAU)'!C:C,'Non-Projects (RUN-BAU)'!B:B,"",0)</f>
        <v/>
      </c>
      <c r="W360" s="73" t="str">
        <f>_xlfn.XLOOKUP(A360,'Ongoing Projects'!B:B,'Ongoing Projects'!B:B,"",0)</f>
        <v/>
      </c>
      <c r="X360" s="73" t="str">
        <f>_xlfn.XLOOKUP(B360,'New Projects'!D:D,'New Projects'!C:C,"",0)</f>
        <v/>
      </c>
      <c r="Y360" s="73" t="str">
        <f t="shared" si="18"/>
        <v/>
      </c>
      <c r="Z360" s="74" t="str">
        <f t="shared" si="19"/>
        <v>Missing</v>
      </c>
      <c r="AA360" s="74" t="str">
        <f t="shared" si="20"/>
        <v>Critical</v>
      </c>
    </row>
    <row r="361" spans="1:27" x14ac:dyDescent="0.2">
      <c r="A361" s="103" t="s">
        <v>1410</v>
      </c>
      <c r="B361" s="103" t="s">
        <v>2087</v>
      </c>
      <c r="D361" s="103">
        <v>0</v>
      </c>
      <c r="E361" s="103">
        <v>0</v>
      </c>
      <c r="F361" s="103">
        <v>0</v>
      </c>
      <c r="G361" s="103">
        <v>0</v>
      </c>
      <c r="H361" s="103" t="s">
        <v>2088</v>
      </c>
      <c r="I361" s="103" t="s">
        <v>345</v>
      </c>
      <c r="N361" s="103" t="s">
        <v>64</v>
      </c>
      <c r="Q361" s="118" t="s">
        <v>3851</v>
      </c>
      <c r="R361" s="118" t="s">
        <v>1599</v>
      </c>
      <c r="U361" s="103">
        <v>0</v>
      </c>
      <c r="V361" s="73" t="str">
        <f>_xlfn.XLOOKUP(B361,'Non-Projects (RUN-BAU)'!C:C,'Non-Projects (RUN-BAU)'!B:B,"",0)</f>
        <v/>
      </c>
      <c r="W361" s="73" t="str">
        <f>_xlfn.XLOOKUP(A361,'Ongoing Projects'!B:B,'Ongoing Projects'!B:B,"",0)</f>
        <v/>
      </c>
      <c r="X361" s="73" t="str">
        <f>_xlfn.XLOOKUP(B361,'New Projects'!D:D,'New Projects'!C:C,"",0)</f>
        <v/>
      </c>
      <c r="Y361" s="73" t="str">
        <f t="shared" si="18"/>
        <v/>
      </c>
      <c r="Z361" s="74" t="str">
        <f t="shared" si="19"/>
        <v>Missing</v>
      </c>
      <c r="AA361" s="74" t="str">
        <f t="shared" si="20"/>
        <v/>
      </c>
    </row>
    <row r="362" spans="1:27" x14ac:dyDescent="0.2">
      <c r="A362" s="103" t="s">
        <v>3812</v>
      </c>
      <c r="B362" s="103" t="s">
        <v>3813</v>
      </c>
      <c r="D362" s="103">
        <v>425</v>
      </c>
      <c r="E362" s="103">
        <v>733</v>
      </c>
      <c r="F362" s="103">
        <v>1705</v>
      </c>
      <c r="G362" s="103">
        <v>1805</v>
      </c>
      <c r="H362" s="103" t="s">
        <v>1232</v>
      </c>
      <c r="I362" s="103" t="s">
        <v>345</v>
      </c>
      <c r="J362" s="103" t="s">
        <v>13</v>
      </c>
      <c r="K362" s="103" t="s">
        <v>1230</v>
      </c>
      <c r="L362" s="103" t="s">
        <v>46</v>
      </c>
      <c r="M362" s="103" t="s">
        <v>41</v>
      </c>
      <c r="N362" s="103" t="s">
        <v>64</v>
      </c>
      <c r="O362" s="103" t="s">
        <v>1285</v>
      </c>
      <c r="P362" s="103" t="s">
        <v>1615</v>
      </c>
      <c r="Q362" s="118" t="s">
        <v>1598</v>
      </c>
      <c r="R362" s="118" t="s">
        <v>1599</v>
      </c>
      <c r="U362" s="103">
        <v>2050</v>
      </c>
      <c r="V362" s="73" t="str">
        <f>_xlfn.XLOOKUP(B362,'Non-Projects (RUN-BAU)'!C:C,'Non-Projects (RUN-BAU)'!B:B,"",0)</f>
        <v/>
      </c>
      <c r="W362" s="73" t="str">
        <f>_xlfn.XLOOKUP(A362,'Ongoing Projects'!B:B,'Ongoing Projects'!B:B,"",0)</f>
        <v/>
      </c>
      <c r="X362" s="73" t="str">
        <f>_xlfn.XLOOKUP(B362,'New Projects'!D:D,'New Projects'!C:C,"",0)</f>
        <v/>
      </c>
      <c r="Y362" s="73" t="str">
        <f t="shared" si="18"/>
        <v/>
      </c>
      <c r="Z362" s="74" t="str">
        <f t="shared" si="19"/>
        <v>Missing</v>
      </c>
      <c r="AA362" s="74" t="str">
        <f t="shared" si="20"/>
        <v>Critical</v>
      </c>
    </row>
    <row r="363" spans="1:27" x14ac:dyDescent="0.2">
      <c r="A363" s="103" t="s">
        <v>1414</v>
      </c>
      <c r="B363" s="103" t="s">
        <v>1415</v>
      </c>
      <c r="C363" s="103" t="s">
        <v>2089</v>
      </c>
      <c r="D363" s="103">
        <v>983.75</v>
      </c>
      <c r="E363" s="103">
        <v>623.75</v>
      </c>
      <c r="F363" s="103">
        <v>693.75</v>
      </c>
      <c r="G363" s="103">
        <v>323.75</v>
      </c>
      <c r="H363" s="103" t="s">
        <v>783</v>
      </c>
      <c r="I363" s="103" t="s">
        <v>345</v>
      </c>
      <c r="J363" s="103" t="s">
        <v>13</v>
      </c>
      <c r="K363" s="103" t="s">
        <v>810</v>
      </c>
      <c r="L363" s="103" t="s">
        <v>55</v>
      </c>
      <c r="M363" s="103" t="s">
        <v>43</v>
      </c>
      <c r="N363" s="103" t="s">
        <v>71</v>
      </c>
      <c r="O363" s="103" t="s">
        <v>787</v>
      </c>
      <c r="P363" s="103" t="s">
        <v>1615</v>
      </c>
      <c r="Q363" s="118" t="s">
        <v>1598</v>
      </c>
      <c r="R363" s="118" t="s">
        <v>1599</v>
      </c>
      <c r="U363" s="103">
        <v>2425</v>
      </c>
      <c r="V363" s="73" t="str">
        <f>_xlfn.XLOOKUP(B363,'Non-Projects (RUN-BAU)'!C:C,'Non-Projects (RUN-BAU)'!B:B,"",0)</f>
        <v/>
      </c>
      <c r="W363" s="73" t="str">
        <f>_xlfn.XLOOKUP(A363,'Ongoing Projects'!B:B,'Ongoing Projects'!B:B,"",0)</f>
        <v/>
      </c>
      <c r="X363" s="73" t="str">
        <f>_xlfn.XLOOKUP(B363,'New Projects'!D:D,'New Projects'!C:C,"",0)</f>
        <v/>
      </c>
      <c r="Y363" s="73" t="str">
        <f t="shared" si="18"/>
        <v/>
      </c>
      <c r="Z363" s="74" t="str">
        <f t="shared" si="19"/>
        <v>Missing</v>
      </c>
      <c r="AA363" s="74" t="str">
        <f t="shared" si="20"/>
        <v>Critical</v>
      </c>
    </row>
    <row r="364" spans="1:27" x14ac:dyDescent="0.2">
      <c r="A364" s="103" t="s">
        <v>1418</v>
      </c>
      <c r="B364" s="103" t="s">
        <v>1419</v>
      </c>
      <c r="D364" s="103">
        <v>512.5</v>
      </c>
      <c r="E364" s="103">
        <v>312.5</v>
      </c>
      <c r="F364" s="103">
        <v>537.5</v>
      </c>
      <c r="G364" s="103">
        <v>437.5</v>
      </c>
      <c r="H364" s="103" t="s">
        <v>820</v>
      </c>
      <c r="I364" s="103" t="s">
        <v>345</v>
      </c>
      <c r="J364" s="103" t="s">
        <v>13</v>
      </c>
      <c r="K364" s="103" t="s">
        <v>1671</v>
      </c>
      <c r="L364" s="103" t="s">
        <v>55</v>
      </c>
      <c r="M364" s="103" t="s">
        <v>22</v>
      </c>
      <c r="N364" s="103" t="s">
        <v>74</v>
      </c>
      <c r="O364" s="103" t="s">
        <v>305</v>
      </c>
      <c r="P364" s="103" t="s">
        <v>1615</v>
      </c>
      <c r="Q364" s="118" t="s">
        <v>1598</v>
      </c>
      <c r="R364" s="118" t="s">
        <v>1599</v>
      </c>
      <c r="T364" s="103" t="s">
        <v>2090</v>
      </c>
      <c r="U364" s="103">
        <v>1800</v>
      </c>
      <c r="V364" s="73" t="str">
        <f>_xlfn.XLOOKUP(B364,'Non-Projects (RUN-BAU)'!C:C,'Non-Projects (RUN-BAU)'!B:B,"",0)</f>
        <v/>
      </c>
      <c r="W364" s="73" t="str">
        <f>_xlfn.XLOOKUP(A364,'Ongoing Projects'!B:B,'Ongoing Projects'!B:B,"",0)</f>
        <v/>
      </c>
      <c r="X364" s="73" t="str">
        <f>_xlfn.XLOOKUP(B364,'New Projects'!D:D,'New Projects'!C:C,"",0)</f>
        <v/>
      </c>
      <c r="Y364" s="73" t="str">
        <f t="shared" si="18"/>
        <v/>
      </c>
      <c r="Z364" s="74" t="str">
        <f t="shared" si="19"/>
        <v>Missing</v>
      </c>
      <c r="AA364" s="74" t="str">
        <f t="shared" si="20"/>
        <v>Critical</v>
      </c>
    </row>
    <row r="365" spans="1:27" x14ac:dyDescent="0.2">
      <c r="A365" s="103" t="s">
        <v>1420</v>
      </c>
      <c r="B365" s="103" t="s">
        <v>1421</v>
      </c>
      <c r="C365" s="103" t="s">
        <v>1941</v>
      </c>
      <c r="D365" s="103">
        <v>165</v>
      </c>
      <c r="E365" s="103">
        <v>165</v>
      </c>
      <c r="F365" s="103">
        <v>170</v>
      </c>
      <c r="G365" s="103">
        <v>175</v>
      </c>
      <c r="H365" s="103" t="s">
        <v>1672</v>
      </c>
      <c r="I365" s="103" t="s">
        <v>345</v>
      </c>
      <c r="J365" s="103" t="s">
        <v>35</v>
      </c>
      <c r="K365" s="103" t="s">
        <v>766</v>
      </c>
      <c r="L365" s="103" t="s">
        <v>57</v>
      </c>
      <c r="M365" s="103" t="s">
        <v>305</v>
      </c>
      <c r="N365" s="103" t="s">
        <v>68</v>
      </c>
      <c r="O365" s="103" t="s">
        <v>305</v>
      </c>
      <c r="Q365" s="118" t="s">
        <v>1598</v>
      </c>
      <c r="R365" s="118" t="s">
        <v>1599</v>
      </c>
      <c r="U365" s="103">
        <v>675</v>
      </c>
      <c r="V365" s="73" t="str">
        <f>_xlfn.XLOOKUP(B365,'Non-Projects (RUN-BAU)'!C:C,'Non-Projects (RUN-BAU)'!B:B,"",0)</f>
        <v/>
      </c>
      <c r="W365" s="73" t="str">
        <f>_xlfn.XLOOKUP(A365,'Ongoing Projects'!B:B,'Ongoing Projects'!B:B,"",0)</f>
        <v/>
      </c>
      <c r="X365" s="73" t="str">
        <f>_xlfn.XLOOKUP(B365,'New Projects'!D:D,'New Projects'!C:C,"",0)</f>
        <v/>
      </c>
      <c r="Y365" s="73" t="str">
        <f t="shared" si="18"/>
        <v/>
      </c>
      <c r="Z365" s="74" t="str">
        <f t="shared" si="19"/>
        <v>Missing</v>
      </c>
      <c r="AA365" s="74" t="str">
        <f t="shared" si="20"/>
        <v>Critical</v>
      </c>
    </row>
    <row r="366" spans="1:27" x14ac:dyDescent="0.2">
      <c r="A366" s="103" t="s">
        <v>1423</v>
      </c>
      <c r="B366" s="103" t="s">
        <v>1424</v>
      </c>
      <c r="C366" s="103" t="s">
        <v>1941</v>
      </c>
      <c r="D366" s="103">
        <v>70</v>
      </c>
      <c r="E366" s="103">
        <v>225</v>
      </c>
      <c r="F366" s="103">
        <v>0</v>
      </c>
      <c r="G366" s="103">
        <v>0</v>
      </c>
      <c r="H366" s="103" t="s">
        <v>783</v>
      </c>
      <c r="I366" s="103" t="s">
        <v>345</v>
      </c>
      <c r="J366" s="103" t="s">
        <v>13</v>
      </c>
      <c r="K366" s="103" t="s">
        <v>810</v>
      </c>
      <c r="L366" s="103" t="s">
        <v>46</v>
      </c>
      <c r="M366" s="103" t="s">
        <v>43</v>
      </c>
      <c r="N366" s="103" t="s">
        <v>71</v>
      </c>
      <c r="O366" s="103" t="s">
        <v>767</v>
      </c>
      <c r="P366" s="103" t="s">
        <v>1392</v>
      </c>
      <c r="Q366" s="118" t="s">
        <v>1598</v>
      </c>
      <c r="R366" s="118" t="s">
        <v>1606</v>
      </c>
      <c r="U366" s="103">
        <v>295</v>
      </c>
      <c r="V366" s="73" t="str">
        <f>_xlfn.XLOOKUP(B366,'Non-Projects (RUN-BAU)'!C:C,'Non-Projects (RUN-BAU)'!B:B,"",0)</f>
        <v/>
      </c>
      <c r="W366" s="73" t="str">
        <f>_xlfn.XLOOKUP(A366,'Ongoing Projects'!B:B,'Ongoing Projects'!B:B,"",0)</f>
        <v/>
      </c>
      <c r="X366" s="73" t="str">
        <f>_xlfn.XLOOKUP(B366,'New Projects'!D:D,'New Projects'!C:C,"",0)</f>
        <v/>
      </c>
      <c r="Y366" s="73" t="str">
        <f t="shared" si="18"/>
        <v/>
      </c>
      <c r="Z366" s="74" t="str">
        <f t="shared" si="19"/>
        <v>Missing</v>
      </c>
      <c r="AA366" s="74" t="str">
        <f t="shared" si="20"/>
        <v>Critical</v>
      </c>
    </row>
    <row r="367" spans="1:27" x14ac:dyDescent="0.2">
      <c r="A367" s="103" t="s">
        <v>1425</v>
      </c>
      <c r="B367" s="103" t="s">
        <v>1426</v>
      </c>
      <c r="C367" s="103" t="s">
        <v>1941</v>
      </c>
      <c r="D367" s="103">
        <v>220</v>
      </c>
      <c r="E367" s="103">
        <v>220</v>
      </c>
      <c r="F367" s="103">
        <v>190</v>
      </c>
      <c r="G367" s="103">
        <v>23</v>
      </c>
      <c r="H367" s="103" t="s">
        <v>1672</v>
      </c>
      <c r="I367" s="103" t="s">
        <v>345</v>
      </c>
      <c r="J367" s="103" t="s">
        <v>13</v>
      </c>
      <c r="K367" s="103" t="s">
        <v>766</v>
      </c>
      <c r="L367" s="103" t="s">
        <v>46</v>
      </c>
      <c r="M367" s="103" t="s">
        <v>43</v>
      </c>
      <c r="N367" s="103" t="s">
        <v>68</v>
      </c>
      <c r="O367" s="103" t="s">
        <v>305</v>
      </c>
      <c r="Q367" s="118" t="s">
        <v>1598</v>
      </c>
      <c r="R367" s="118" t="s">
        <v>1599</v>
      </c>
      <c r="U367" s="103">
        <v>653</v>
      </c>
      <c r="V367" s="73" t="str">
        <f>_xlfn.XLOOKUP(B367,'Non-Projects (RUN-BAU)'!C:C,'Non-Projects (RUN-BAU)'!B:B,"",0)</f>
        <v/>
      </c>
      <c r="W367" s="73" t="str">
        <f>_xlfn.XLOOKUP(A367,'Ongoing Projects'!B:B,'Ongoing Projects'!B:B,"",0)</f>
        <v/>
      </c>
      <c r="X367" s="73" t="str">
        <f>_xlfn.XLOOKUP(B367,'New Projects'!D:D,'New Projects'!C:C,"",0)</f>
        <v/>
      </c>
      <c r="Y367" s="73" t="str">
        <f t="shared" si="18"/>
        <v/>
      </c>
      <c r="Z367" s="74" t="str">
        <f t="shared" si="19"/>
        <v>Missing</v>
      </c>
      <c r="AA367" s="74" t="str">
        <f t="shared" si="20"/>
        <v>Critical</v>
      </c>
    </row>
    <row r="368" spans="1:27" x14ac:dyDescent="0.2">
      <c r="A368" s="103" t="s">
        <v>1427</v>
      </c>
      <c r="B368" s="103" t="s">
        <v>1428</v>
      </c>
      <c r="C368" s="103" t="s">
        <v>1941</v>
      </c>
      <c r="D368" s="103">
        <v>0</v>
      </c>
      <c r="E368" s="103">
        <v>150</v>
      </c>
      <c r="F368" s="103">
        <v>350</v>
      </c>
      <c r="G368" s="103">
        <v>140</v>
      </c>
      <c r="H368" s="103" t="s">
        <v>1672</v>
      </c>
      <c r="I368" s="103" t="s">
        <v>345</v>
      </c>
      <c r="J368" s="103" t="s">
        <v>37</v>
      </c>
      <c r="K368" s="103" t="s">
        <v>1641</v>
      </c>
      <c r="L368" s="103" t="s">
        <v>46</v>
      </c>
      <c r="M368" s="103" t="s">
        <v>43</v>
      </c>
      <c r="N368" s="103" t="s">
        <v>68</v>
      </c>
      <c r="O368" s="103" t="s">
        <v>767</v>
      </c>
      <c r="P368" s="103" t="s">
        <v>1392</v>
      </c>
      <c r="Q368" s="118" t="s">
        <v>1601</v>
      </c>
      <c r="R368" s="118" t="s">
        <v>1599</v>
      </c>
      <c r="U368" s="103">
        <v>640</v>
      </c>
      <c r="V368" s="73" t="str">
        <f>_xlfn.XLOOKUP(B368,'Non-Projects (RUN-BAU)'!C:C,'Non-Projects (RUN-BAU)'!B:B,"",0)</f>
        <v/>
      </c>
      <c r="W368" s="73" t="str">
        <f>_xlfn.XLOOKUP(A368,'Ongoing Projects'!B:B,'Ongoing Projects'!B:B,"",0)</f>
        <v/>
      </c>
      <c r="X368" s="73" t="str">
        <f>_xlfn.XLOOKUP(B368,'New Projects'!D:D,'New Projects'!C:C,"",0)</f>
        <v/>
      </c>
      <c r="Y368" s="73" t="str">
        <f t="shared" si="18"/>
        <v/>
      </c>
      <c r="Z368" s="74" t="str">
        <f t="shared" si="19"/>
        <v>Missing</v>
      </c>
      <c r="AA368" s="74" t="str">
        <f t="shared" si="20"/>
        <v>Critical</v>
      </c>
    </row>
    <row r="369" spans="1:27" x14ac:dyDescent="0.2">
      <c r="A369" s="103" t="s">
        <v>1429</v>
      </c>
      <c r="B369" s="103" t="s">
        <v>1430</v>
      </c>
      <c r="C369" s="103" t="s">
        <v>1941</v>
      </c>
      <c r="D369" s="103">
        <v>320</v>
      </c>
      <c r="E369" s="103">
        <v>320</v>
      </c>
      <c r="F369" s="103">
        <v>310</v>
      </c>
      <c r="G369" s="103">
        <v>0</v>
      </c>
      <c r="H369" s="103" t="s">
        <v>1672</v>
      </c>
      <c r="I369" s="103" t="s">
        <v>345</v>
      </c>
      <c r="J369" s="103" t="s">
        <v>37</v>
      </c>
      <c r="K369" s="103" t="s">
        <v>1671</v>
      </c>
      <c r="L369" s="103" t="s">
        <v>46</v>
      </c>
      <c r="M369" s="103" t="s">
        <v>43</v>
      </c>
      <c r="N369" s="103" t="s">
        <v>68</v>
      </c>
      <c r="O369" s="103" t="s">
        <v>767</v>
      </c>
      <c r="P369" s="103" t="s">
        <v>1392</v>
      </c>
      <c r="Q369" s="118" t="s">
        <v>1598</v>
      </c>
      <c r="R369" s="118" t="s">
        <v>1608</v>
      </c>
      <c r="U369" s="103">
        <v>950</v>
      </c>
      <c r="V369" s="73" t="str">
        <f>_xlfn.XLOOKUP(B369,'Non-Projects (RUN-BAU)'!C:C,'Non-Projects (RUN-BAU)'!B:B,"",0)</f>
        <v/>
      </c>
      <c r="W369" s="73" t="str">
        <f>_xlfn.XLOOKUP(A369,'Ongoing Projects'!B:B,'Ongoing Projects'!B:B,"",0)</f>
        <v/>
      </c>
      <c r="X369" s="73" t="str">
        <f>_xlfn.XLOOKUP(B369,'New Projects'!D:D,'New Projects'!C:C,"",0)</f>
        <v/>
      </c>
      <c r="Y369" s="73" t="str">
        <f t="shared" si="18"/>
        <v/>
      </c>
      <c r="Z369" s="74" t="str">
        <f t="shared" si="19"/>
        <v>Missing</v>
      </c>
      <c r="AA369" s="74" t="str">
        <f t="shared" si="20"/>
        <v>Critical</v>
      </c>
    </row>
    <row r="370" spans="1:27" x14ac:dyDescent="0.2">
      <c r="A370" s="103" t="s">
        <v>1431</v>
      </c>
      <c r="B370" s="103" t="s">
        <v>1432</v>
      </c>
      <c r="C370" s="103" t="s">
        <v>1941</v>
      </c>
      <c r="D370" s="103">
        <v>290</v>
      </c>
      <c r="E370" s="103">
        <v>300</v>
      </c>
      <c r="F370" s="103">
        <v>250</v>
      </c>
      <c r="G370" s="103">
        <v>0</v>
      </c>
      <c r="H370" s="103" t="s">
        <v>1672</v>
      </c>
      <c r="I370" s="103" t="s">
        <v>345</v>
      </c>
      <c r="J370" s="103" t="s">
        <v>13</v>
      </c>
      <c r="K370" s="103" t="s">
        <v>766</v>
      </c>
      <c r="L370" s="103" t="s">
        <v>46</v>
      </c>
      <c r="M370" s="103" t="s">
        <v>43</v>
      </c>
      <c r="N370" s="103" t="s">
        <v>68</v>
      </c>
      <c r="O370" s="103" t="s">
        <v>305</v>
      </c>
      <c r="Q370" s="118" t="s">
        <v>1598</v>
      </c>
      <c r="R370" s="118" t="s">
        <v>1608</v>
      </c>
      <c r="U370" s="103">
        <v>840</v>
      </c>
      <c r="V370" s="73" t="str">
        <f>_xlfn.XLOOKUP(B370,'Non-Projects (RUN-BAU)'!C:C,'Non-Projects (RUN-BAU)'!B:B,"",0)</f>
        <v/>
      </c>
      <c r="W370" s="73" t="str">
        <f>_xlfn.XLOOKUP(A370,'Ongoing Projects'!B:B,'Ongoing Projects'!B:B,"",0)</f>
        <v/>
      </c>
      <c r="X370" s="73" t="str">
        <f>_xlfn.XLOOKUP(B370,'New Projects'!D:D,'New Projects'!C:C,"",0)</f>
        <v/>
      </c>
      <c r="Y370" s="73" t="str">
        <f t="shared" ref="Y370:Y384" si="21">V370&amp;W370&amp;X370</f>
        <v/>
      </c>
      <c r="Z370" s="74" t="str">
        <f t="shared" ref="Z370:Z384" si="22">IF(AND(V370="",W370="",X370=""),"Missing",IF(Y370=A370,"","Don't match"))</f>
        <v>Missing</v>
      </c>
      <c r="AA370" s="74" t="str">
        <f t="shared" ref="AA370:AA384" si="23">IF(AND(Z370&lt;&gt;"",SUM(D370:G370)&lt;&gt;0,I370&lt;&gt;"Not Acceptance"),"Critical", "")</f>
        <v>Critical</v>
      </c>
    </row>
    <row r="371" spans="1:27" x14ac:dyDescent="0.2">
      <c r="A371" s="103" t="s">
        <v>1435</v>
      </c>
      <c r="B371" s="103" t="s">
        <v>1436</v>
      </c>
      <c r="C371" s="103" t="s">
        <v>1941</v>
      </c>
      <c r="D371" s="103">
        <v>614</v>
      </c>
      <c r="E371" s="103">
        <v>514</v>
      </c>
      <c r="F371" s="103">
        <v>514</v>
      </c>
      <c r="G371" s="103">
        <v>424</v>
      </c>
      <c r="H371" s="103" t="s">
        <v>1672</v>
      </c>
      <c r="I371" s="103" t="s">
        <v>345</v>
      </c>
      <c r="J371" s="103" t="s">
        <v>13</v>
      </c>
      <c r="K371" s="103" t="s">
        <v>766</v>
      </c>
      <c r="L371" s="103" t="s">
        <v>46</v>
      </c>
      <c r="M371" s="103" t="s">
        <v>41</v>
      </c>
      <c r="N371" s="103" t="s">
        <v>68</v>
      </c>
      <c r="O371" s="103" t="s">
        <v>305</v>
      </c>
      <c r="Q371" s="118" t="s">
        <v>1598</v>
      </c>
      <c r="R371" s="118" t="s">
        <v>1599</v>
      </c>
      <c r="U371" s="103">
        <v>2066</v>
      </c>
      <c r="V371" s="73" t="str">
        <f>_xlfn.XLOOKUP(B371,'Non-Projects (RUN-BAU)'!C:C,'Non-Projects (RUN-BAU)'!B:B,"",0)</f>
        <v/>
      </c>
      <c r="W371" s="73" t="str">
        <f>_xlfn.XLOOKUP(A371,'Ongoing Projects'!B:B,'Ongoing Projects'!B:B,"",0)</f>
        <v/>
      </c>
      <c r="X371" s="73" t="str">
        <f>_xlfn.XLOOKUP(B371,'New Projects'!D:D,'New Projects'!C:C,"",0)</f>
        <v/>
      </c>
      <c r="Y371" s="73" t="str">
        <f t="shared" si="21"/>
        <v/>
      </c>
      <c r="Z371" s="74" t="str">
        <f t="shared" si="22"/>
        <v>Missing</v>
      </c>
      <c r="AA371" s="74" t="str">
        <f t="shared" si="23"/>
        <v>Critical</v>
      </c>
    </row>
    <row r="372" spans="1:27" x14ac:dyDescent="0.2">
      <c r="A372" s="103" t="s">
        <v>1437</v>
      </c>
      <c r="B372" s="103" t="s">
        <v>1438</v>
      </c>
      <c r="C372" s="103" t="s">
        <v>1941</v>
      </c>
      <c r="D372" s="103">
        <v>60</v>
      </c>
      <c r="E372" s="103">
        <v>60</v>
      </c>
      <c r="F372" s="103">
        <v>60</v>
      </c>
      <c r="G372" s="103">
        <v>60</v>
      </c>
      <c r="H372" s="103" t="s">
        <v>1672</v>
      </c>
      <c r="I372" s="103" t="s">
        <v>345</v>
      </c>
      <c r="J372" s="103" t="s">
        <v>35</v>
      </c>
      <c r="K372" s="103" t="s">
        <v>766</v>
      </c>
      <c r="L372" s="103" t="s">
        <v>46</v>
      </c>
      <c r="M372" s="103" t="s">
        <v>43</v>
      </c>
      <c r="N372" s="103" t="s">
        <v>68</v>
      </c>
      <c r="O372" s="103" t="s">
        <v>305</v>
      </c>
      <c r="Q372" s="118" t="s">
        <v>1598</v>
      </c>
      <c r="R372" s="118" t="s">
        <v>1599</v>
      </c>
      <c r="U372" s="103">
        <v>240</v>
      </c>
      <c r="V372" s="73" t="str">
        <f>_xlfn.XLOOKUP(B372,'Non-Projects (RUN-BAU)'!C:C,'Non-Projects (RUN-BAU)'!B:B,"",0)</f>
        <v/>
      </c>
      <c r="W372" s="73" t="str">
        <f>_xlfn.XLOOKUP(A372,'Ongoing Projects'!B:B,'Ongoing Projects'!B:B,"",0)</f>
        <v/>
      </c>
      <c r="X372" s="73" t="str">
        <f>_xlfn.XLOOKUP(B372,'New Projects'!D:D,'New Projects'!C:C,"",0)</f>
        <v/>
      </c>
      <c r="Y372" s="73" t="str">
        <f t="shared" si="21"/>
        <v/>
      </c>
      <c r="Z372" s="74" t="str">
        <f t="shared" si="22"/>
        <v>Missing</v>
      </c>
      <c r="AA372" s="74" t="str">
        <f t="shared" si="23"/>
        <v>Critical</v>
      </c>
    </row>
    <row r="373" spans="1:27" x14ac:dyDescent="0.2">
      <c r="A373" s="103" t="s">
        <v>1439</v>
      </c>
      <c r="B373" s="103" t="s">
        <v>1440</v>
      </c>
      <c r="C373" s="103" t="s">
        <v>1941</v>
      </c>
      <c r="D373" s="103">
        <v>225</v>
      </c>
      <c r="E373" s="103">
        <v>225</v>
      </c>
      <c r="F373" s="103">
        <v>225</v>
      </c>
      <c r="G373" s="103">
        <v>225</v>
      </c>
      <c r="H373" s="103" t="s">
        <v>1672</v>
      </c>
      <c r="I373" s="103" t="s">
        <v>345</v>
      </c>
      <c r="J373" s="103" t="s">
        <v>13</v>
      </c>
      <c r="K373" s="103" t="s">
        <v>766</v>
      </c>
      <c r="L373" s="103" t="s">
        <v>46</v>
      </c>
      <c r="M373" s="103" t="s">
        <v>41</v>
      </c>
      <c r="N373" s="103" t="s">
        <v>68</v>
      </c>
      <c r="O373" s="103" t="s">
        <v>767</v>
      </c>
      <c r="P373" s="103" t="s">
        <v>1392</v>
      </c>
      <c r="Q373" s="118" t="s">
        <v>1598</v>
      </c>
      <c r="R373" s="118" t="s">
        <v>1599</v>
      </c>
      <c r="U373" s="103">
        <v>900</v>
      </c>
      <c r="V373" s="73" t="str">
        <f>_xlfn.XLOOKUP(B373,'Non-Projects (RUN-BAU)'!C:C,'Non-Projects (RUN-BAU)'!B:B,"",0)</f>
        <v/>
      </c>
      <c r="W373" s="73" t="str">
        <f>_xlfn.XLOOKUP(A373,'Ongoing Projects'!B:B,'Ongoing Projects'!B:B,"",0)</f>
        <v/>
      </c>
      <c r="X373" s="73" t="str">
        <f>_xlfn.XLOOKUP(B373,'New Projects'!D:D,'New Projects'!C:C,"",0)</f>
        <v/>
      </c>
      <c r="Y373" s="73" t="str">
        <f t="shared" si="21"/>
        <v/>
      </c>
      <c r="Z373" s="74" t="str">
        <f t="shared" si="22"/>
        <v>Missing</v>
      </c>
      <c r="AA373" s="74" t="str">
        <f t="shared" si="23"/>
        <v>Critical</v>
      </c>
    </row>
    <row r="374" spans="1:27" x14ac:dyDescent="0.2">
      <c r="A374" s="103" t="s">
        <v>1441</v>
      </c>
      <c r="B374" s="103" t="s">
        <v>1442</v>
      </c>
      <c r="C374" s="103" t="s">
        <v>1941</v>
      </c>
      <c r="D374" s="103">
        <v>100</v>
      </c>
      <c r="E374" s="103">
        <v>200</v>
      </c>
      <c r="F374" s="103">
        <v>0</v>
      </c>
      <c r="G374" s="103">
        <v>0</v>
      </c>
      <c r="H374" s="103" t="s">
        <v>1672</v>
      </c>
      <c r="I374" s="103" t="s">
        <v>345</v>
      </c>
      <c r="J374" s="103" t="s">
        <v>13</v>
      </c>
      <c r="K374" s="103" t="s">
        <v>1641</v>
      </c>
      <c r="L374" s="103" t="s">
        <v>46</v>
      </c>
      <c r="M374" s="103" t="s">
        <v>41</v>
      </c>
      <c r="N374" s="103" t="s">
        <v>68</v>
      </c>
      <c r="O374" s="103" t="s">
        <v>767</v>
      </c>
      <c r="P374" s="103" t="s">
        <v>1392</v>
      </c>
      <c r="Q374" s="118" t="s">
        <v>1598</v>
      </c>
      <c r="R374" s="118" t="s">
        <v>1606</v>
      </c>
      <c r="U374" s="103">
        <v>300</v>
      </c>
      <c r="V374" s="73" t="str">
        <f>_xlfn.XLOOKUP(B374,'Non-Projects (RUN-BAU)'!C:C,'Non-Projects (RUN-BAU)'!B:B,"",0)</f>
        <v/>
      </c>
      <c r="W374" s="73" t="str">
        <f>_xlfn.XLOOKUP(A374,'Ongoing Projects'!B:B,'Ongoing Projects'!B:B,"",0)</f>
        <v/>
      </c>
      <c r="X374" s="73" t="str">
        <f>_xlfn.XLOOKUP(B374,'New Projects'!D:D,'New Projects'!C:C,"",0)</f>
        <v/>
      </c>
      <c r="Y374" s="73" t="str">
        <f t="shared" si="21"/>
        <v/>
      </c>
      <c r="Z374" s="74" t="str">
        <f t="shared" si="22"/>
        <v>Missing</v>
      </c>
      <c r="AA374" s="74" t="str">
        <f t="shared" si="23"/>
        <v>Critical</v>
      </c>
    </row>
    <row r="375" spans="1:27" x14ac:dyDescent="0.2">
      <c r="A375" s="103" t="s">
        <v>1443</v>
      </c>
      <c r="B375" s="103" t="s">
        <v>1444</v>
      </c>
      <c r="C375" s="103" t="s">
        <v>1941</v>
      </c>
      <c r="D375" s="103">
        <v>200</v>
      </c>
      <c r="E375" s="103">
        <v>200</v>
      </c>
      <c r="F375" s="103">
        <v>200</v>
      </c>
      <c r="G375" s="103">
        <v>0</v>
      </c>
      <c r="H375" s="103" t="s">
        <v>1672</v>
      </c>
      <c r="I375" s="103" t="s">
        <v>345</v>
      </c>
      <c r="J375" s="103" t="s">
        <v>13</v>
      </c>
      <c r="K375" s="103" t="s">
        <v>1671</v>
      </c>
      <c r="L375" s="103" t="s">
        <v>46</v>
      </c>
      <c r="M375" s="103" t="s">
        <v>41</v>
      </c>
      <c r="N375" s="103" t="s">
        <v>68</v>
      </c>
      <c r="O375" s="103" t="s">
        <v>767</v>
      </c>
      <c r="P375" s="103" t="s">
        <v>1392</v>
      </c>
      <c r="Q375" s="118" t="s">
        <v>1598</v>
      </c>
      <c r="R375" s="118" t="s">
        <v>1608</v>
      </c>
      <c r="U375" s="103">
        <v>600</v>
      </c>
      <c r="V375" s="73" t="str">
        <f>_xlfn.XLOOKUP(B375,'Non-Projects (RUN-BAU)'!C:C,'Non-Projects (RUN-BAU)'!B:B,"",0)</f>
        <v/>
      </c>
      <c r="W375" s="73" t="str">
        <f>_xlfn.XLOOKUP(A375,'Ongoing Projects'!B:B,'Ongoing Projects'!B:B,"",0)</f>
        <v/>
      </c>
      <c r="X375" s="73" t="str">
        <f>_xlfn.XLOOKUP(B375,'New Projects'!D:D,'New Projects'!C:C,"",0)</f>
        <v/>
      </c>
      <c r="Y375" s="73" t="str">
        <f t="shared" si="21"/>
        <v/>
      </c>
      <c r="Z375" s="74" t="str">
        <f t="shared" si="22"/>
        <v>Missing</v>
      </c>
      <c r="AA375" s="74" t="str">
        <f t="shared" si="23"/>
        <v>Critical</v>
      </c>
    </row>
    <row r="376" spans="1:27" x14ac:dyDescent="0.2">
      <c r="A376" s="103" t="s">
        <v>1445</v>
      </c>
      <c r="B376" s="103" t="s">
        <v>1446</v>
      </c>
      <c r="D376" s="103">
        <v>794</v>
      </c>
      <c r="E376" s="103">
        <v>748</v>
      </c>
      <c r="F376" s="103">
        <v>749</v>
      </c>
      <c r="G376" s="103">
        <v>673</v>
      </c>
      <c r="H376" s="103" t="s">
        <v>1622</v>
      </c>
      <c r="I376" s="103" t="s">
        <v>345</v>
      </c>
      <c r="J376" s="103" t="s">
        <v>13</v>
      </c>
      <c r="K376" s="103" t="s">
        <v>1241</v>
      </c>
      <c r="L376" s="103" t="s">
        <v>46</v>
      </c>
      <c r="M376" s="103" t="s">
        <v>43</v>
      </c>
      <c r="N376" s="103" t="s">
        <v>74</v>
      </c>
      <c r="O376" s="103" t="s">
        <v>305</v>
      </c>
      <c r="P376" s="103" t="s">
        <v>1615</v>
      </c>
      <c r="Q376" s="118" t="s">
        <v>1598</v>
      </c>
      <c r="R376" s="118" t="s">
        <v>1599</v>
      </c>
      <c r="U376" s="103">
        <v>2964</v>
      </c>
      <c r="V376" s="73" t="str">
        <f>_xlfn.XLOOKUP(B376,'Non-Projects (RUN-BAU)'!C:C,'Non-Projects (RUN-BAU)'!B:B,"",0)</f>
        <v/>
      </c>
      <c r="W376" s="73" t="str">
        <f>_xlfn.XLOOKUP(A376,'Ongoing Projects'!B:B,'Ongoing Projects'!B:B,"",0)</f>
        <v/>
      </c>
      <c r="X376" s="73" t="str">
        <f>_xlfn.XLOOKUP(B376,'New Projects'!D:D,'New Projects'!C:C,"",0)</f>
        <v/>
      </c>
      <c r="Y376" s="73" t="str">
        <f t="shared" si="21"/>
        <v/>
      </c>
      <c r="Z376" s="74" t="str">
        <f t="shared" si="22"/>
        <v>Missing</v>
      </c>
      <c r="AA376" s="74" t="str">
        <f t="shared" si="23"/>
        <v>Critical</v>
      </c>
    </row>
    <row r="377" spans="1:27" x14ac:dyDescent="0.2">
      <c r="A377" s="103" t="s">
        <v>1449</v>
      </c>
      <c r="B377" s="103" t="s">
        <v>1450</v>
      </c>
      <c r="C377" s="103" t="s">
        <v>2091</v>
      </c>
      <c r="D377" s="103">
        <v>415</v>
      </c>
      <c r="E377" s="103">
        <v>470</v>
      </c>
      <c r="F377" s="103">
        <v>295</v>
      </c>
      <c r="G377" s="103">
        <v>160</v>
      </c>
      <c r="H377" s="103" t="s">
        <v>1651</v>
      </c>
      <c r="I377" s="103" t="s">
        <v>345</v>
      </c>
      <c r="J377" s="103" t="s">
        <v>13</v>
      </c>
      <c r="K377" s="103" t="s">
        <v>1241</v>
      </c>
      <c r="L377" s="103" t="s">
        <v>46</v>
      </c>
      <c r="M377" s="103" t="s">
        <v>22</v>
      </c>
      <c r="N377" s="103" t="s">
        <v>74</v>
      </c>
      <c r="O377" s="103" t="s">
        <v>1242</v>
      </c>
      <c r="P377" s="103" t="s">
        <v>1447</v>
      </c>
      <c r="Q377" s="118" t="s">
        <v>1598</v>
      </c>
      <c r="R377" s="118" t="s">
        <v>1599</v>
      </c>
      <c r="T377" s="103" t="s">
        <v>2092</v>
      </c>
      <c r="U377" s="103">
        <v>1340</v>
      </c>
      <c r="V377" s="73" t="str">
        <f>_xlfn.XLOOKUP(B377,'Non-Projects (RUN-BAU)'!C:C,'Non-Projects (RUN-BAU)'!B:B,"",0)</f>
        <v/>
      </c>
      <c r="W377" s="73" t="str">
        <f>_xlfn.XLOOKUP(A377,'Ongoing Projects'!B:B,'Ongoing Projects'!B:B,"",0)</f>
        <v/>
      </c>
      <c r="X377" s="73" t="str">
        <f>_xlfn.XLOOKUP(B377,'New Projects'!D:D,'New Projects'!C:C,"",0)</f>
        <v/>
      </c>
      <c r="Y377" s="73" t="str">
        <f t="shared" si="21"/>
        <v/>
      </c>
      <c r="Z377" s="74" t="str">
        <f t="shared" si="22"/>
        <v>Missing</v>
      </c>
      <c r="AA377" s="74" t="str">
        <f t="shared" si="23"/>
        <v>Critical</v>
      </c>
    </row>
    <row r="378" spans="1:27" x14ac:dyDescent="0.2">
      <c r="A378" s="103" t="s">
        <v>1451</v>
      </c>
      <c r="B378" s="103" t="s">
        <v>1452</v>
      </c>
      <c r="D378" s="103">
        <v>0</v>
      </c>
      <c r="E378" s="103">
        <v>0</v>
      </c>
      <c r="F378" s="103">
        <v>0</v>
      </c>
      <c r="G378" s="103">
        <v>0</v>
      </c>
      <c r="H378" s="103" t="s">
        <v>2093</v>
      </c>
      <c r="I378" s="103" t="s">
        <v>345</v>
      </c>
      <c r="L378" s="103" t="s">
        <v>46</v>
      </c>
      <c r="M378" s="103" t="s">
        <v>43</v>
      </c>
      <c r="N378" s="103" t="s">
        <v>71</v>
      </c>
      <c r="Q378" s="118" t="s">
        <v>3851</v>
      </c>
      <c r="R378" s="118" t="s">
        <v>1605</v>
      </c>
      <c r="U378" s="103">
        <v>0</v>
      </c>
      <c r="V378" s="73" t="str">
        <f>_xlfn.XLOOKUP(B378,'Non-Projects (RUN-BAU)'!C:C,'Non-Projects (RUN-BAU)'!B:B,"",0)</f>
        <v/>
      </c>
      <c r="W378" s="73" t="str">
        <f>_xlfn.XLOOKUP(A378,'Ongoing Projects'!B:B,'Ongoing Projects'!B:B,"",0)</f>
        <v/>
      </c>
      <c r="X378" s="73" t="str">
        <f>_xlfn.XLOOKUP(B378,'New Projects'!D:D,'New Projects'!C:C,"",0)</f>
        <v/>
      </c>
      <c r="Y378" s="73" t="str">
        <f t="shared" si="21"/>
        <v/>
      </c>
      <c r="Z378" s="74" t="str">
        <f t="shared" si="22"/>
        <v>Missing</v>
      </c>
      <c r="AA378" s="74" t="str">
        <f t="shared" si="23"/>
        <v/>
      </c>
    </row>
    <row r="379" spans="1:27" x14ac:dyDescent="0.2">
      <c r="A379" s="103" t="s">
        <v>1455</v>
      </c>
      <c r="B379" s="103" t="s">
        <v>3829</v>
      </c>
      <c r="C379" s="103" t="s">
        <v>2094</v>
      </c>
      <c r="D379" s="103">
        <v>295</v>
      </c>
      <c r="E379" s="103">
        <v>245</v>
      </c>
      <c r="F379" s="103">
        <v>25</v>
      </c>
      <c r="G379" s="103">
        <v>25</v>
      </c>
      <c r="H379" s="103" t="s">
        <v>880</v>
      </c>
      <c r="I379" s="103" t="s">
        <v>345</v>
      </c>
      <c r="J379" s="103" t="s">
        <v>13</v>
      </c>
      <c r="K379" s="103" t="s">
        <v>810</v>
      </c>
      <c r="L379" s="103" t="s">
        <v>46</v>
      </c>
      <c r="M379" s="103" t="s">
        <v>41</v>
      </c>
      <c r="N379" s="103" t="s">
        <v>71</v>
      </c>
      <c r="O379" s="103" t="s">
        <v>787</v>
      </c>
      <c r="P379" s="103" t="s">
        <v>1615</v>
      </c>
      <c r="Q379" s="118" t="s">
        <v>1598</v>
      </c>
      <c r="R379" s="118" t="s">
        <v>1599</v>
      </c>
      <c r="U379" s="103">
        <v>590</v>
      </c>
      <c r="V379" s="73" t="str">
        <f>_xlfn.XLOOKUP(B379,'Non-Projects (RUN-BAU)'!C:C,'Non-Projects (RUN-BAU)'!B:B,"",0)</f>
        <v/>
      </c>
      <c r="W379" s="73" t="str">
        <f>_xlfn.XLOOKUP(A379,'Ongoing Projects'!B:B,'Ongoing Projects'!B:B,"",0)</f>
        <v/>
      </c>
      <c r="X379" s="73" t="str">
        <f>_xlfn.XLOOKUP(B379,'New Projects'!D:D,'New Projects'!C:C,"",0)</f>
        <v/>
      </c>
      <c r="Y379" s="73" t="str">
        <f t="shared" si="21"/>
        <v/>
      </c>
      <c r="Z379" s="74" t="str">
        <f t="shared" si="22"/>
        <v>Missing</v>
      </c>
      <c r="AA379" s="74" t="str">
        <f t="shared" si="23"/>
        <v>Critical</v>
      </c>
    </row>
    <row r="380" spans="1:27" x14ac:dyDescent="0.2">
      <c r="A380" s="103" t="s">
        <v>1458</v>
      </c>
      <c r="B380" s="103" t="s">
        <v>2095</v>
      </c>
      <c r="C380" s="103" t="s">
        <v>2096</v>
      </c>
      <c r="D380" s="103">
        <v>60</v>
      </c>
      <c r="E380" s="103">
        <v>0</v>
      </c>
      <c r="F380" s="103">
        <v>0</v>
      </c>
      <c r="G380" s="103">
        <v>0</v>
      </c>
      <c r="H380" s="103" t="s">
        <v>1622</v>
      </c>
      <c r="I380" s="103" t="s">
        <v>345</v>
      </c>
      <c r="J380" s="103" t="s">
        <v>13</v>
      </c>
      <c r="K380" s="103" t="s">
        <v>810</v>
      </c>
      <c r="L380" s="103" t="s">
        <v>46</v>
      </c>
      <c r="M380" s="103" t="s">
        <v>43</v>
      </c>
      <c r="N380" s="103" t="s">
        <v>71</v>
      </c>
      <c r="O380" s="103" t="s">
        <v>779</v>
      </c>
      <c r="P380" s="103" t="s">
        <v>1416</v>
      </c>
      <c r="Q380" s="118" t="s">
        <v>1598</v>
      </c>
      <c r="R380" s="118" t="s">
        <v>1610</v>
      </c>
      <c r="U380" s="103">
        <v>60</v>
      </c>
      <c r="V380" s="73" t="str">
        <f>_xlfn.XLOOKUP(B380,'Non-Projects (RUN-BAU)'!C:C,'Non-Projects (RUN-BAU)'!B:B,"",0)</f>
        <v/>
      </c>
      <c r="W380" s="73" t="str">
        <f>_xlfn.XLOOKUP(A380,'Ongoing Projects'!B:B,'Ongoing Projects'!B:B,"",0)</f>
        <v/>
      </c>
      <c r="X380" s="73" t="str">
        <f>_xlfn.XLOOKUP(B380,'New Projects'!D:D,'New Projects'!C:C,"",0)</f>
        <v/>
      </c>
      <c r="Y380" s="73" t="str">
        <f t="shared" si="21"/>
        <v/>
      </c>
      <c r="Z380" s="74" t="str">
        <f t="shared" si="22"/>
        <v>Missing</v>
      </c>
      <c r="AA380" s="74" t="str">
        <f t="shared" si="23"/>
        <v>Critical</v>
      </c>
    </row>
    <row r="381" spans="1:27" x14ac:dyDescent="0.2">
      <c r="A381" s="103" t="s">
        <v>1461</v>
      </c>
      <c r="B381" s="103" t="s">
        <v>1462</v>
      </c>
      <c r="C381" s="103" t="s">
        <v>1941</v>
      </c>
      <c r="D381" s="103">
        <v>0</v>
      </c>
      <c r="E381" s="103">
        <v>100</v>
      </c>
      <c r="F381" s="103">
        <v>100</v>
      </c>
      <c r="G381" s="103">
        <v>0</v>
      </c>
      <c r="H381" s="103" t="s">
        <v>1622</v>
      </c>
      <c r="I381" s="103" t="s">
        <v>345</v>
      </c>
      <c r="J381" s="103" t="s">
        <v>13</v>
      </c>
      <c r="K381" s="103" t="s">
        <v>750</v>
      </c>
      <c r="L381" s="103" t="s">
        <v>46</v>
      </c>
      <c r="M381" s="103" t="s">
        <v>43</v>
      </c>
      <c r="N381" s="103" t="s">
        <v>68</v>
      </c>
      <c r="O381" s="103" t="s">
        <v>767</v>
      </c>
      <c r="P381" s="103" t="s">
        <v>1392</v>
      </c>
      <c r="Q381" s="118" t="s">
        <v>1601</v>
      </c>
      <c r="R381" s="118" t="s">
        <v>1608</v>
      </c>
      <c r="U381" s="103">
        <v>200</v>
      </c>
      <c r="V381" s="73" t="str">
        <f>_xlfn.XLOOKUP(B381,'Non-Projects (RUN-BAU)'!C:C,'Non-Projects (RUN-BAU)'!B:B,"",0)</f>
        <v/>
      </c>
      <c r="W381" s="73" t="str">
        <f>_xlfn.XLOOKUP(A381,'Ongoing Projects'!B:B,'Ongoing Projects'!B:B,"",0)</f>
        <v/>
      </c>
      <c r="X381" s="73" t="str">
        <f>_xlfn.XLOOKUP(B381,'New Projects'!D:D,'New Projects'!C:C,"",0)</f>
        <v/>
      </c>
      <c r="Y381" s="73" t="str">
        <f t="shared" si="21"/>
        <v/>
      </c>
      <c r="Z381" s="74" t="str">
        <f t="shared" si="22"/>
        <v>Missing</v>
      </c>
      <c r="AA381" s="74" t="str">
        <f t="shared" si="23"/>
        <v>Critical</v>
      </c>
    </row>
    <row r="382" spans="1:27" x14ac:dyDescent="0.2">
      <c r="A382" s="103" t="s">
        <v>1467</v>
      </c>
      <c r="B382" s="103" t="s">
        <v>2097</v>
      </c>
      <c r="D382" s="103">
        <v>0</v>
      </c>
      <c r="E382" s="103">
        <v>0</v>
      </c>
      <c r="F382" s="103">
        <v>0</v>
      </c>
      <c r="G382" s="103">
        <v>0</v>
      </c>
      <c r="H382" s="103" t="s">
        <v>2098</v>
      </c>
      <c r="I382" s="103" t="s">
        <v>345</v>
      </c>
      <c r="N382" s="103" t="s">
        <v>64</v>
      </c>
      <c r="Q382" s="118" t="s">
        <v>3851</v>
      </c>
      <c r="R382" s="118" t="s">
        <v>1605</v>
      </c>
      <c r="U382" s="103">
        <v>0</v>
      </c>
      <c r="V382" s="73" t="str">
        <f>_xlfn.XLOOKUP(B382,'Non-Projects (RUN-BAU)'!C:C,'Non-Projects (RUN-BAU)'!B:B,"",0)</f>
        <v/>
      </c>
      <c r="W382" s="73" t="str">
        <f>_xlfn.XLOOKUP(A382,'Ongoing Projects'!B:B,'Ongoing Projects'!B:B,"",0)</f>
        <v/>
      </c>
      <c r="X382" s="73" t="str">
        <f>_xlfn.XLOOKUP(B382,'New Projects'!D:D,'New Projects'!C:C,"",0)</f>
        <v/>
      </c>
      <c r="Y382" s="73" t="str">
        <f t="shared" si="21"/>
        <v/>
      </c>
      <c r="Z382" s="74" t="str">
        <f t="shared" si="22"/>
        <v>Missing</v>
      </c>
      <c r="AA382" s="74" t="str">
        <f t="shared" si="23"/>
        <v/>
      </c>
    </row>
    <row r="383" spans="1:27" x14ac:dyDescent="0.2">
      <c r="A383" s="103" t="s">
        <v>1471</v>
      </c>
      <c r="B383" s="103" t="s">
        <v>1472</v>
      </c>
      <c r="D383" s="103">
        <v>160</v>
      </c>
      <c r="E383" s="103">
        <v>260</v>
      </c>
      <c r="F383" s="103">
        <v>0</v>
      </c>
      <c r="G383" s="103">
        <v>0</v>
      </c>
      <c r="H383" s="103" t="s">
        <v>1679</v>
      </c>
      <c r="I383" s="103" t="s">
        <v>345</v>
      </c>
      <c r="J383" s="103" t="s">
        <v>13</v>
      </c>
      <c r="K383" s="103" t="s">
        <v>1473</v>
      </c>
      <c r="L383" s="103" t="s">
        <v>51</v>
      </c>
      <c r="M383" s="103" t="s">
        <v>43</v>
      </c>
      <c r="N383" s="103" t="s">
        <v>64</v>
      </c>
      <c r="O383" s="103" t="s">
        <v>779</v>
      </c>
      <c r="P383" s="103" t="s">
        <v>1392</v>
      </c>
      <c r="Q383" s="118" t="s">
        <v>1598</v>
      </c>
      <c r="R383" s="118" t="s">
        <v>1599</v>
      </c>
      <c r="U383" s="103">
        <v>420</v>
      </c>
      <c r="V383" s="73" t="str">
        <f>_xlfn.XLOOKUP(B383,'Non-Projects (RUN-BAU)'!C:C,'Non-Projects (RUN-BAU)'!B:B,"",0)</f>
        <v/>
      </c>
      <c r="W383" s="73" t="str">
        <f>_xlfn.XLOOKUP(A383,'Ongoing Projects'!B:B,'Ongoing Projects'!B:B,"",0)</f>
        <v/>
      </c>
      <c r="X383" s="73" t="str">
        <f>_xlfn.XLOOKUP(B383,'New Projects'!D:D,'New Projects'!C:C,"",0)</f>
        <v/>
      </c>
      <c r="Y383" s="73" t="str">
        <f t="shared" si="21"/>
        <v/>
      </c>
      <c r="Z383" s="74" t="str">
        <f t="shared" si="22"/>
        <v>Missing</v>
      </c>
      <c r="AA383" s="74" t="str">
        <f t="shared" si="23"/>
        <v>Critical</v>
      </c>
    </row>
    <row r="384" spans="1:27" x14ac:dyDescent="0.2">
      <c r="A384" s="103" t="s">
        <v>3814</v>
      </c>
      <c r="B384" s="103" t="s">
        <v>456</v>
      </c>
      <c r="C384" s="103" t="s">
        <v>1936</v>
      </c>
      <c r="D384" s="103">
        <v>100</v>
      </c>
      <c r="E384" s="103">
        <v>60</v>
      </c>
      <c r="F384" s="103">
        <v>50</v>
      </c>
      <c r="G384" s="103">
        <v>50</v>
      </c>
      <c r="H384" s="103" t="s">
        <v>839</v>
      </c>
      <c r="I384" s="103" t="s">
        <v>1945</v>
      </c>
      <c r="J384" s="103" t="s">
        <v>13</v>
      </c>
      <c r="K384" s="103" t="s">
        <v>1618</v>
      </c>
      <c r="L384" s="103" t="s">
        <v>55</v>
      </c>
      <c r="M384" s="103" t="s">
        <v>43</v>
      </c>
      <c r="N384" s="103" t="s">
        <v>64</v>
      </c>
      <c r="O384" s="103" t="s">
        <v>787</v>
      </c>
      <c r="P384" s="103" t="s">
        <v>1615</v>
      </c>
      <c r="Q384" s="118" t="s">
        <v>1598</v>
      </c>
      <c r="R384" s="118" t="s">
        <v>1599</v>
      </c>
      <c r="U384" s="103">
        <v>0</v>
      </c>
      <c r="V384" s="73" t="str">
        <f>_xlfn.XLOOKUP(B384,'Non-Projects (RUN-BAU)'!C:C,'Non-Projects (RUN-BAU)'!B:B,"",0)</f>
        <v/>
      </c>
      <c r="W384" s="73" t="str">
        <f>_xlfn.XLOOKUP(A384,'Ongoing Projects'!B:B,'Ongoing Projects'!B:B,"",0)</f>
        <v/>
      </c>
      <c r="X384" s="73" t="str">
        <f>_xlfn.XLOOKUP(B384,'New Projects'!D:D,'New Projects'!C:C,"",0)</f>
        <v/>
      </c>
      <c r="Y384" s="73" t="str">
        <f t="shared" si="21"/>
        <v/>
      </c>
      <c r="Z384" s="74" t="str">
        <f t="shared" si="22"/>
        <v>Missing</v>
      </c>
      <c r="AA384" s="74" t="str">
        <f t="shared" si="23"/>
        <v/>
      </c>
    </row>
    <row r="385" spans="1:27" x14ac:dyDescent="0.2">
      <c r="A385" s="103" t="s">
        <v>3852</v>
      </c>
      <c r="B385" s="103" t="s">
        <v>528</v>
      </c>
      <c r="C385" s="103" t="s">
        <v>1939</v>
      </c>
      <c r="D385" s="103">
        <v>0</v>
      </c>
      <c r="E385" s="103">
        <v>0</v>
      </c>
      <c r="F385" s="103">
        <v>25</v>
      </c>
      <c r="G385" s="103">
        <v>0</v>
      </c>
      <c r="H385" s="103" t="s">
        <v>839</v>
      </c>
      <c r="I385" s="103" t="s">
        <v>1945</v>
      </c>
      <c r="J385" s="103" t="s">
        <v>13</v>
      </c>
      <c r="K385" s="103" t="s">
        <v>1618</v>
      </c>
      <c r="L385" s="103" t="s">
        <v>49</v>
      </c>
      <c r="M385" s="103" t="s">
        <v>41</v>
      </c>
      <c r="N385" s="103" t="s">
        <v>64</v>
      </c>
      <c r="O385" s="103" t="s">
        <v>787</v>
      </c>
      <c r="P385" s="103" t="s">
        <v>1615</v>
      </c>
      <c r="Q385" s="118" t="s">
        <v>1607</v>
      </c>
      <c r="R385" s="118" t="s">
        <v>1608</v>
      </c>
      <c r="U385" s="103">
        <v>0</v>
      </c>
      <c r="V385" s="73" t="str">
        <f>_xlfn.XLOOKUP(B385,'Non-Projects (RUN-BAU)'!C:C,'Non-Projects (RUN-BAU)'!B:B,"",0)</f>
        <v/>
      </c>
      <c r="W385" s="73" t="str">
        <f>_xlfn.XLOOKUP(A385,'Ongoing Projects'!B:B,'Ongoing Projects'!B:B,"",0)</f>
        <v/>
      </c>
      <c r="X385" s="73" t="str">
        <f>_xlfn.XLOOKUP(B385,'New Projects'!D:D,'New Projects'!C:C,"",0)</f>
        <v/>
      </c>
      <c r="Y385" s="73" t="str">
        <f t="shared" ref="Y385:Y386" si="24">V385&amp;W385&amp;X385</f>
        <v/>
      </c>
      <c r="Z385" s="74" t="str">
        <f t="shared" ref="Z385:Z386" si="25">IF(AND(V385="",W385="",X385=""),"Missing",IF(Y385=A385,"","Don't match"))</f>
        <v>Missing</v>
      </c>
      <c r="AA385" s="74" t="str">
        <f t="shared" ref="AA385:AA386" si="26">IF(AND(Z385&lt;&gt;"",SUM(D385:G385)&lt;&gt;0,I385&lt;&gt;"Not Acceptance"),"Critical", "")</f>
        <v/>
      </c>
    </row>
    <row r="386" spans="1:27" x14ac:dyDescent="0.2">
      <c r="A386" s="103" t="s">
        <v>3811</v>
      </c>
      <c r="B386" s="103" t="s">
        <v>3810</v>
      </c>
      <c r="D386" s="103">
        <v>0</v>
      </c>
      <c r="E386" s="103">
        <v>0</v>
      </c>
      <c r="F386" s="103">
        <v>360</v>
      </c>
      <c r="G386" s="103">
        <v>450</v>
      </c>
      <c r="H386" s="103" t="s">
        <v>1679</v>
      </c>
      <c r="I386" s="103" t="s">
        <v>345</v>
      </c>
      <c r="J386" s="103" t="s">
        <v>13</v>
      </c>
      <c r="K386" s="103" t="s">
        <v>750</v>
      </c>
      <c r="L386" s="103" t="s">
        <v>46</v>
      </c>
      <c r="M386" s="103" t="s">
        <v>41</v>
      </c>
      <c r="N386" s="103" t="s">
        <v>64</v>
      </c>
      <c r="Q386" s="118" t="s">
        <v>1607</v>
      </c>
      <c r="R386" s="118" t="s">
        <v>1599</v>
      </c>
      <c r="U386" s="103">
        <v>810</v>
      </c>
      <c r="V386" s="73" t="str">
        <f>_xlfn.XLOOKUP(B386,'Non-Projects (RUN-BAU)'!C:C,'Non-Projects (RUN-BAU)'!B:B,"",0)</f>
        <v/>
      </c>
      <c r="W386" s="73" t="str">
        <f>_xlfn.XLOOKUP(A386,'Ongoing Projects'!B:B,'Ongoing Projects'!B:B,"",0)</f>
        <v/>
      </c>
      <c r="X386" s="73" t="str">
        <f>_xlfn.XLOOKUP(B386,'New Projects'!D:D,'New Projects'!C:C,"",0)</f>
        <v/>
      </c>
      <c r="Y386" s="73" t="str">
        <f t="shared" si="24"/>
        <v/>
      </c>
      <c r="Z386" s="74" t="str">
        <f t="shared" si="25"/>
        <v>Missing</v>
      </c>
      <c r="AA386" s="74" t="str">
        <f t="shared" si="26"/>
        <v>Critical</v>
      </c>
    </row>
    <row r="387" spans="1:27" x14ac:dyDescent="0.2">
      <c r="A387" s="103" t="s">
        <v>3825</v>
      </c>
      <c r="B387" s="103" t="s">
        <v>3826</v>
      </c>
      <c r="D387" s="103">
        <v>0</v>
      </c>
      <c r="E387" s="103">
        <v>0</v>
      </c>
      <c r="F387" s="103">
        <v>300</v>
      </c>
      <c r="G387" s="103">
        <v>0</v>
      </c>
      <c r="H387" s="103" t="s">
        <v>1679</v>
      </c>
      <c r="I387" s="103" t="s">
        <v>345</v>
      </c>
      <c r="J387" s="103" t="s">
        <v>13</v>
      </c>
      <c r="K387" s="103" t="s">
        <v>750</v>
      </c>
      <c r="L387" s="103" t="s">
        <v>46</v>
      </c>
      <c r="M387" s="103" t="s">
        <v>41</v>
      </c>
      <c r="N387" s="103" t="s">
        <v>64</v>
      </c>
      <c r="O387" s="103" t="s">
        <v>305</v>
      </c>
      <c r="P387" s="103" t="s">
        <v>1615</v>
      </c>
      <c r="Q387" s="118" t="s">
        <v>1607</v>
      </c>
      <c r="R387" s="118" t="s">
        <v>1608</v>
      </c>
      <c r="U387" s="103">
        <v>300</v>
      </c>
      <c r="V387" s="73" t="str">
        <f>_xlfn.XLOOKUP(B387,'Non-Projects (RUN-BAU)'!C:C,'Non-Projects (RUN-BAU)'!B:B,"",0)</f>
        <v/>
      </c>
      <c r="W387" s="73" t="str">
        <f>_xlfn.XLOOKUP(A387,'Ongoing Projects'!B:B,'Ongoing Projects'!B:B,"",0)</f>
        <v/>
      </c>
      <c r="X387" s="73" t="str">
        <f>_xlfn.XLOOKUP(B387,'New Projects'!D:D,'New Projects'!C:C,"",0)</f>
        <v/>
      </c>
      <c r="Y387" s="73" t="str">
        <f t="shared" ref="Y387:Y398" si="27">V387&amp;W387&amp;X387</f>
        <v/>
      </c>
      <c r="Z387" s="74" t="str">
        <f t="shared" ref="Z387:Z398" si="28">IF(AND(V387="",W387="",X387=""),"Missing",IF(Y387=A387,"","Don't match"))</f>
        <v>Missing</v>
      </c>
      <c r="AA387" s="74" t="str">
        <f t="shared" ref="AA387:AA398" si="29">IF(AND(Z387&lt;&gt;"",SUM(D387:G387)&lt;&gt;0,I387&lt;&gt;"Not Acceptance"),"Critical", "")</f>
        <v>Critical</v>
      </c>
    </row>
    <row r="388" spans="1:27" x14ac:dyDescent="0.2">
      <c r="A388" s="103" t="s">
        <v>3815</v>
      </c>
      <c r="B388" s="103" t="s">
        <v>3831</v>
      </c>
      <c r="C388" s="103" t="s">
        <v>1942</v>
      </c>
      <c r="D388" s="103">
        <v>402</v>
      </c>
      <c r="E388" s="103">
        <v>688</v>
      </c>
      <c r="F388" s="103">
        <v>962</v>
      </c>
      <c r="G388" s="103">
        <v>1330</v>
      </c>
      <c r="H388" s="103" t="s">
        <v>1617</v>
      </c>
      <c r="I388" s="103" t="s">
        <v>345</v>
      </c>
      <c r="J388" s="103" t="s">
        <v>13</v>
      </c>
      <c r="K388" s="103" t="s">
        <v>750</v>
      </c>
      <c r="L388" s="103" t="s">
        <v>46</v>
      </c>
      <c r="M388" s="103" t="s">
        <v>22</v>
      </c>
      <c r="N388" s="103" t="s">
        <v>64</v>
      </c>
      <c r="O388" s="103" t="s">
        <v>305</v>
      </c>
      <c r="P388" s="103" t="s">
        <v>1615</v>
      </c>
      <c r="Q388" s="118" t="s">
        <v>1598</v>
      </c>
      <c r="R388" s="118" t="s">
        <v>1599</v>
      </c>
      <c r="U388" s="103">
        <v>2132</v>
      </c>
      <c r="V388" s="73" t="str">
        <f>_xlfn.XLOOKUP(B388,'Non-Projects (RUN-BAU)'!C:C,'Non-Projects (RUN-BAU)'!B:B,"",0)</f>
        <v/>
      </c>
      <c r="W388" s="73" t="str">
        <f>_xlfn.XLOOKUP(A388,'Ongoing Projects'!B:B,'Ongoing Projects'!B:B,"",0)</f>
        <v/>
      </c>
      <c r="X388" s="73" t="str">
        <f>_xlfn.XLOOKUP(B388,'New Projects'!D:D,'New Projects'!C:C,"",0)</f>
        <v/>
      </c>
      <c r="Y388" s="73" t="str">
        <f t="shared" si="27"/>
        <v/>
      </c>
      <c r="Z388" s="74" t="str">
        <f t="shared" si="28"/>
        <v>Missing</v>
      </c>
      <c r="AA388" s="74" t="str">
        <f t="shared" si="29"/>
        <v>Critical</v>
      </c>
    </row>
    <row r="389" spans="1:27" x14ac:dyDescent="0.2">
      <c r="A389" s="103" t="s">
        <v>3816</v>
      </c>
      <c r="B389" s="103" t="s">
        <v>3817</v>
      </c>
      <c r="D389" s="103">
        <v>180</v>
      </c>
      <c r="E389" s="103">
        <v>180</v>
      </c>
      <c r="F389" s="103">
        <v>180</v>
      </c>
      <c r="G389" s="103">
        <v>180</v>
      </c>
      <c r="H389" s="103" t="s">
        <v>1059</v>
      </c>
      <c r="I389" s="103" t="s">
        <v>345</v>
      </c>
      <c r="J389" s="103" t="s">
        <v>35</v>
      </c>
      <c r="K389" s="103" t="s">
        <v>1641</v>
      </c>
      <c r="L389" s="103" t="s">
        <v>55</v>
      </c>
      <c r="M389" s="103" t="s">
        <v>41</v>
      </c>
      <c r="N389" s="103" t="s">
        <v>68</v>
      </c>
      <c r="O389" s="103" t="s">
        <v>1242</v>
      </c>
      <c r="Q389" s="118" t="s">
        <v>1598</v>
      </c>
      <c r="R389" s="118" t="s">
        <v>1599</v>
      </c>
      <c r="U389" s="103">
        <v>720</v>
      </c>
      <c r="V389" s="73" t="str">
        <f>_xlfn.XLOOKUP(B389,'Non-Projects (RUN-BAU)'!C:C,'Non-Projects (RUN-BAU)'!B:B,"",0)</f>
        <v/>
      </c>
      <c r="W389" s="73" t="str">
        <f>_xlfn.XLOOKUP(A389,'Ongoing Projects'!B:B,'Ongoing Projects'!B:B,"",0)</f>
        <v/>
      </c>
      <c r="X389" s="73" t="str">
        <f>_xlfn.XLOOKUP(B389,'New Projects'!D:D,'New Projects'!C:C,"",0)</f>
        <v/>
      </c>
      <c r="Y389" s="73" t="str">
        <f t="shared" si="27"/>
        <v/>
      </c>
      <c r="Z389" s="74" t="str">
        <f t="shared" si="28"/>
        <v>Missing</v>
      </c>
      <c r="AA389" s="74" t="str">
        <f t="shared" si="29"/>
        <v>Critical</v>
      </c>
    </row>
    <row r="390" spans="1:27" x14ac:dyDescent="0.2">
      <c r="A390" s="103" t="s">
        <v>3818</v>
      </c>
      <c r="B390" s="103" t="s">
        <v>3819</v>
      </c>
      <c r="D390" s="103">
        <v>123</v>
      </c>
      <c r="E390" s="103">
        <v>136</v>
      </c>
      <c r="F390" s="103">
        <v>155</v>
      </c>
      <c r="G390" s="103">
        <v>155</v>
      </c>
      <c r="H390" s="103" t="s">
        <v>1571</v>
      </c>
      <c r="I390" s="103" t="s">
        <v>345</v>
      </c>
      <c r="J390" s="103" t="s">
        <v>13</v>
      </c>
      <c r="K390" s="103" t="s">
        <v>1116</v>
      </c>
      <c r="L390" s="103" t="s">
        <v>49</v>
      </c>
      <c r="M390" s="103" t="s">
        <v>41</v>
      </c>
      <c r="N390" s="103" t="s">
        <v>68</v>
      </c>
      <c r="O390" s="103" t="s">
        <v>305</v>
      </c>
      <c r="Q390" s="118" t="s">
        <v>1598</v>
      </c>
      <c r="R390" s="118" t="s">
        <v>1599</v>
      </c>
      <c r="U390" s="103">
        <v>569</v>
      </c>
      <c r="V390" s="73" t="str">
        <f>_xlfn.XLOOKUP(B390,'Non-Projects (RUN-BAU)'!C:C,'Non-Projects (RUN-BAU)'!B:B,"",0)</f>
        <v/>
      </c>
      <c r="W390" s="73" t="str">
        <f>_xlfn.XLOOKUP(A390,'Ongoing Projects'!B:B,'Ongoing Projects'!B:B,"",0)</f>
        <v/>
      </c>
      <c r="X390" s="73" t="str">
        <f>_xlfn.XLOOKUP(B390,'New Projects'!D:D,'New Projects'!C:C,"",0)</f>
        <v/>
      </c>
      <c r="Y390" s="73" t="str">
        <f t="shared" si="27"/>
        <v/>
      </c>
      <c r="Z390" s="74" t="str">
        <f t="shared" si="28"/>
        <v>Missing</v>
      </c>
      <c r="AA390" s="74" t="str">
        <f t="shared" si="29"/>
        <v>Critical</v>
      </c>
    </row>
    <row r="391" spans="1:27" x14ac:dyDescent="0.2">
      <c r="A391" s="103" t="s">
        <v>3820</v>
      </c>
      <c r="B391" s="103" t="s">
        <v>3821</v>
      </c>
      <c r="C391" s="103" t="s">
        <v>1941</v>
      </c>
      <c r="D391" s="103">
        <v>300</v>
      </c>
      <c r="E391" s="103">
        <v>300</v>
      </c>
      <c r="F391" s="103">
        <v>300</v>
      </c>
      <c r="G391" s="103">
        <v>300</v>
      </c>
      <c r="H391" s="103" t="s">
        <v>1672</v>
      </c>
      <c r="I391" s="103" t="s">
        <v>345</v>
      </c>
      <c r="J391" s="103" t="s">
        <v>13</v>
      </c>
      <c r="K391" s="103" t="s">
        <v>1671</v>
      </c>
      <c r="L391" s="103" t="s">
        <v>46</v>
      </c>
      <c r="M391" s="103" t="s">
        <v>41</v>
      </c>
      <c r="N391" s="103" t="s">
        <v>68</v>
      </c>
      <c r="O391" s="103" t="s">
        <v>305</v>
      </c>
      <c r="Q391" s="118" t="s">
        <v>1598</v>
      </c>
      <c r="R391" s="118" t="s">
        <v>1599</v>
      </c>
      <c r="U391" s="103">
        <v>1200</v>
      </c>
      <c r="V391" s="73" t="str">
        <f>_xlfn.XLOOKUP(B391,'Non-Projects (RUN-BAU)'!C:C,'Non-Projects (RUN-BAU)'!B:B,"",0)</f>
        <v/>
      </c>
      <c r="W391" s="73" t="str">
        <f>_xlfn.XLOOKUP(A391,'Ongoing Projects'!B:B,'Ongoing Projects'!B:B,"",0)</f>
        <v/>
      </c>
      <c r="X391" s="73" t="str">
        <f>_xlfn.XLOOKUP(B391,'New Projects'!D:D,'New Projects'!C:C,"",0)</f>
        <v/>
      </c>
      <c r="Y391" s="73" t="str">
        <f t="shared" si="27"/>
        <v/>
      </c>
      <c r="Z391" s="74" t="str">
        <f t="shared" si="28"/>
        <v>Missing</v>
      </c>
      <c r="AA391" s="74" t="str">
        <f t="shared" si="29"/>
        <v>Critical</v>
      </c>
    </row>
    <row r="392" spans="1:27" x14ac:dyDescent="0.2">
      <c r="A392" s="103" t="s">
        <v>3830</v>
      </c>
      <c r="B392" s="103" t="s">
        <v>3823</v>
      </c>
      <c r="C392" s="103" t="s">
        <v>1941</v>
      </c>
      <c r="D392" s="103">
        <v>0</v>
      </c>
      <c r="E392" s="103">
        <v>0</v>
      </c>
      <c r="F392" s="103">
        <v>170</v>
      </c>
      <c r="G392" s="103">
        <v>170</v>
      </c>
      <c r="H392" s="103" t="s">
        <v>1672</v>
      </c>
      <c r="I392" s="103" t="s">
        <v>345</v>
      </c>
      <c r="J392" s="103" t="s">
        <v>37</v>
      </c>
      <c r="K392" s="103" t="s">
        <v>1641</v>
      </c>
      <c r="L392" s="103" t="s">
        <v>46</v>
      </c>
      <c r="M392" s="103" t="s">
        <v>41</v>
      </c>
      <c r="N392" s="103" t="s">
        <v>68</v>
      </c>
      <c r="O392" s="103" t="s">
        <v>305</v>
      </c>
      <c r="Q392" s="118" t="s">
        <v>1607</v>
      </c>
      <c r="R392" s="118" t="s">
        <v>1599</v>
      </c>
      <c r="U392" s="103">
        <v>340</v>
      </c>
      <c r="V392" s="73" t="str">
        <f>_xlfn.XLOOKUP(B392,'Non-Projects (RUN-BAU)'!C:C,'Non-Projects (RUN-BAU)'!B:B,"",0)</f>
        <v/>
      </c>
      <c r="W392" s="73" t="str">
        <f>_xlfn.XLOOKUP(A392,'Ongoing Projects'!B:B,'Ongoing Projects'!B:B,"",0)</f>
        <v/>
      </c>
      <c r="X392" s="73" t="str">
        <f>_xlfn.XLOOKUP(B392,'New Projects'!D:D,'New Projects'!C:C,"",0)</f>
        <v/>
      </c>
      <c r="Y392" s="73" t="str">
        <f t="shared" si="27"/>
        <v/>
      </c>
      <c r="Z392" s="74" t="str">
        <f t="shared" si="28"/>
        <v>Missing</v>
      </c>
      <c r="AA392" s="74" t="str">
        <f t="shared" si="29"/>
        <v>Critical</v>
      </c>
    </row>
    <row r="393" spans="1:27" x14ac:dyDescent="0.2">
      <c r="A393" s="103" t="s">
        <v>3824</v>
      </c>
      <c r="B393" s="103" t="s">
        <v>3864</v>
      </c>
      <c r="D393" s="103">
        <v>0</v>
      </c>
      <c r="E393" s="103">
        <v>375</v>
      </c>
      <c r="F393" s="103">
        <v>750</v>
      </c>
      <c r="G393" s="103">
        <v>695</v>
      </c>
      <c r="H393" s="103" t="s">
        <v>1622</v>
      </c>
      <c r="I393" s="103" t="s">
        <v>345</v>
      </c>
      <c r="J393" s="103" t="s">
        <v>13</v>
      </c>
      <c r="K393" s="103" t="s">
        <v>1671</v>
      </c>
      <c r="L393" s="103" t="s">
        <v>55</v>
      </c>
      <c r="M393" s="103" t="s">
        <v>41</v>
      </c>
      <c r="N393" s="103" t="s">
        <v>74</v>
      </c>
      <c r="P393" s="103" t="s">
        <v>1615</v>
      </c>
      <c r="Q393" s="118" t="s">
        <v>1601</v>
      </c>
      <c r="R393" s="118" t="s">
        <v>1599</v>
      </c>
      <c r="U393" s="103">
        <v>1820</v>
      </c>
      <c r="V393" s="73" t="str">
        <f>_xlfn.XLOOKUP(B393,'Non-Projects (RUN-BAU)'!C:C,'Non-Projects (RUN-BAU)'!B:B,"",0)</f>
        <v/>
      </c>
      <c r="W393" s="73" t="str">
        <f>_xlfn.XLOOKUP(A393,'Ongoing Projects'!B:B,'Ongoing Projects'!B:B,"",0)</f>
        <v/>
      </c>
      <c r="X393" s="73" t="str">
        <f>_xlfn.XLOOKUP(B393,'New Projects'!D:D,'New Projects'!C:C,"",0)</f>
        <v/>
      </c>
      <c r="Y393" s="73" t="str">
        <f t="shared" si="27"/>
        <v/>
      </c>
      <c r="Z393" s="74" t="str">
        <f t="shared" si="28"/>
        <v>Missing</v>
      </c>
      <c r="AA393" s="74" t="str">
        <f t="shared" si="29"/>
        <v>Critical</v>
      </c>
    </row>
    <row r="394" spans="1:27" x14ac:dyDescent="0.2">
      <c r="A394" s="103" t="s">
        <v>3808</v>
      </c>
      <c r="B394" s="103" t="s">
        <v>3809</v>
      </c>
      <c r="C394" s="103" t="s">
        <v>1935</v>
      </c>
      <c r="D394" s="103">
        <v>380</v>
      </c>
      <c r="E394" s="103">
        <v>330</v>
      </c>
      <c r="F394" s="103">
        <v>280</v>
      </c>
      <c r="G394" s="103">
        <v>0</v>
      </c>
      <c r="H394" s="103" t="s">
        <v>839</v>
      </c>
      <c r="I394" s="103" t="s">
        <v>345</v>
      </c>
      <c r="J394" s="103" t="s">
        <v>37</v>
      </c>
      <c r="K394" s="103" t="s">
        <v>1473</v>
      </c>
      <c r="L394" s="103" t="s">
        <v>46</v>
      </c>
      <c r="M394" s="103" t="s">
        <v>43</v>
      </c>
      <c r="N394" s="103" t="s">
        <v>64</v>
      </c>
      <c r="O394" s="103" t="s">
        <v>305</v>
      </c>
      <c r="P394" s="103" t="s">
        <v>1615</v>
      </c>
      <c r="Q394" s="118" t="s">
        <v>1598</v>
      </c>
      <c r="R394" s="118" t="s">
        <v>1608</v>
      </c>
      <c r="U394" s="103">
        <v>990</v>
      </c>
      <c r="V394" s="73" t="str">
        <f>_xlfn.XLOOKUP(B394,'Non-Projects (RUN-BAU)'!C:C,'Non-Projects (RUN-BAU)'!B:B,"",0)</f>
        <v/>
      </c>
      <c r="W394" s="73" t="str">
        <f>_xlfn.XLOOKUP(A394,'Ongoing Projects'!B:B,'Ongoing Projects'!B:B,"",0)</f>
        <v/>
      </c>
      <c r="X394" s="73" t="str">
        <f>_xlfn.XLOOKUP(B394,'New Projects'!D:D,'New Projects'!C:C,"",0)</f>
        <v/>
      </c>
      <c r="Y394" s="73" t="str">
        <f t="shared" si="27"/>
        <v/>
      </c>
      <c r="Z394" s="74" t="str">
        <f t="shared" si="28"/>
        <v>Missing</v>
      </c>
      <c r="AA394" s="74" t="str">
        <f t="shared" si="29"/>
        <v>Critical</v>
      </c>
    </row>
    <row r="395" spans="1:27" x14ac:dyDescent="0.2">
      <c r="A395" s="103" t="s">
        <v>2099</v>
      </c>
      <c r="B395" s="103" t="s">
        <v>2100</v>
      </c>
      <c r="D395" s="103">
        <v>1053</v>
      </c>
      <c r="E395" s="103">
        <v>1053</v>
      </c>
      <c r="F395" s="103">
        <v>1053</v>
      </c>
      <c r="G395" s="103">
        <v>1060</v>
      </c>
      <c r="H395" s="103" t="s">
        <v>1725</v>
      </c>
      <c r="I395" s="103" t="s">
        <v>1945</v>
      </c>
      <c r="N395" s="103" t="s">
        <v>95</v>
      </c>
      <c r="Q395" s="118" t="s">
        <v>1598</v>
      </c>
      <c r="R395" s="118" t="s">
        <v>1599</v>
      </c>
      <c r="U395" s="103">
        <v>0</v>
      </c>
      <c r="V395" s="73" t="str">
        <f>_xlfn.XLOOKUP(B395,'Non-Projects (RUN-BAU)'!C:C,'Non-Projects (RUN-BAU)'!B:B,"",0)</f>
        <v/>
      </c>
      <c r="W395" s="73" t="str">
        <f>_xlfn.XLOOKUP(A395,'Ongoing Projects'!B:B,'Ongoing Projects'!B:B,"",0)</f>
        <v/>
      </c>
      <c r="X395" s="73" t="str">
        <f>_xlfn.XLOOKUP(B395,'New Projects'!D:D,'New Projects'!C:C,"",0)</f>
        <v/>
      </c>
      <c r="Y395" s="73" t="str">
        <f t="shared" si="27"/>
        <v/>
      </c>
      <c r="Z395" s="74" t="str">
        <f t="shared" si="28"/>
        <v>Missing</v>
      </c>
      <c r="AA395" s="74" t="str">
        <f t="shared" si="29"/>
        <v/>
      </c>
    </row>
    <row r="396" spans="1:27" x14ac:dyDescent="0.2">
      <c r="A396" s="103" t="s">
        <v>2101</v>
      </c>
      <c r="B396" s="103" t="s">
        <v>2102</v>
      </c>
      <c r="D396" s="103">
        <v>505</v>
      </c>
      <c r="E396" s="103">
        <v>505</v>
      </c>
      <c r="F396" s="103">
        <v>505</v>
      </c>
      <c r="G396" s="103">
        <v>514</v>
      </c>
      <c r="H396" s="103" t="s">
        <v>1725</v>
      </c>
      <c r="I396" s="103" t="s">
        <v>1945</v>
      </c>
      <c r="N396" s="103" t="s">
        <v>95</v>
      </c>
      <c r="Q396" s="118" t="s">
        <v>1598</v>
      </c>
      <c r="R396" s="118" t="s">
        <v>1599</v>
      </c>
      <c r="U396" s="103">
        <v>0</v>
      </c>
      <c r="V396" s="73" t="str">
        <f>_xlfn.XLOOKUP(B396,'Non-Projects (RUN-BAU)'!C:C,'Non-Projects (RUN-BAU)'!B:B,"",0)</f>
        <v/>
      </c>
      <c r="W396" s="73" t="str">
        <f>_xlfn.XLOOKUP(A396,'Ongoing Projects'!B:B,'Ongoing Projects'!B:B,"",0)</f>
        <v/>
      </c>
      <c r="X396" s="73" t="str">
        <f>_xlfn.XLOOKUP(B396,'New Projects'!D:D,'New Projects'!C:C,"",0)</f>
        <v/>
      </c>
      <c r="Y396" s="73" t="str">
        <f t="shared" si="27"/>
        <v/>
      </c>
      <c r="Z396" s="74" t="str">
        <f t="shared" si="28"/>
        <v>Missing</v>
      </c>
      <c r="AA396" s="74" t="str">
        <f t="shared" si="29"/>
        <v/>
      </c>
    </row>
    <row r="397" spans="1:27" x14ac:dyDescent="0.2">
      <c r="A397" s="103" t="s">
        <v>2103</v>
      </c>
      <c r="B397" s="103" t="s">
        <v>2104</v>
      </c>
      <c r="D397" s="103">
        <v>192</v>
      </c>
      <c r="E397" s="103">
        <v>192</v>
      </c>
      <c r="F397" s="103">
        <v>192</v>
      </c>
      <c r="G397" s="103">
        <v>194</v>
      </c>
      <c r="H397" s="103" t="s">
        <v>1725</v>
      </c>
      <c r="I397" s="103" t="s">
        <v>1945</v>
      </c>
      <c r="K397" s="103" t="s">
        <v>810</v>
      </c>
      <c r="N397" s="103" t="s">
        <v>95</v>
      </c>
      <c r="Q397" s="118" t="s">
        <v>1598</v>
      </c>
      <c r="R397" s="118" t="s">
        <v>1599</v>
      </c>
      <c r="U397" s="103">
        <v>0</v>
      </c>
      <c r="V397" s="73" t="str">
        <f>_xlfn.XLOOKUP(B397,'Non-Projects (RUN-BAU)'!C:C,'Non-Projects (RUN-BAU)'!B:B,"",0)</f>
        <v/>
      </c>
      <c r="W397" s="73" t="str">
        <f>_xlfn.XLOOKUP(A397,'Ongoing Projects'!B:B,'Ongoing Projects'!B:B,"",0)</f>
        <v/>
      </c>
      <c r="X397" s="73" t="str">
        <f>_xlfn.XLOOKUP(B397,'New Projects'!D:D,'New Projects'!C:C,"",0)</f>
        <v/>
      </c>
      <c r="Y397" s="73" t="str">
        <f t="shared" si="27"/>
        <v/>
      </c>
      <c r="Z397" s="74" t="str">
        <f t="shared" si="28"/>
        <v>Missing</v>
      </c>
      <c r="AA397" s="74" t="str">
        <f t="shared" si="29"/>
        <v/>
      </c>
    </row>
    <row r="398" spans="1:27" x14ac:dyDescent="0.2">
      <c r="A398" s="103" t="s">
        <v>2105</v>
      </c>
      <c r="B398" s="103" t="s">
        <v>2106</v>
      </c>
      <c r="D398" s="103">
        <v>110</v>
      </c>
      <c r="E398" s="103">
        <v>110</v>
      </c>
      <c r="F398" s="103">
        <v>110</v>
      </c>
      <c r="G398" s="103">
        <v>110</v>
      </c>
      <c r="H398" s="103" t="s">
        <v>1725</v>
      </c>
      <c r="I398" s="103" t="s">
        <v>1945</v>
      </c>
      <c r="N398" s="103" t="s">
        <v>95</v>
      </c>
      <c r="Q398" s="118" t="s">
        <v>1598</v>
      </c>
      <c r="R398" s="118" t="s">
        <v>1599</v>
      </c>
      <c r="U398" s="103">
        <v>0</v>
      </c>
      <c r="V398" s="73" t="str">
        <f>_xlfn.XLOOKUP(B398,'Non-Projects (RUN-BAU)'!C:C,'Non-Projects (RUN-BAU)'!B:B,"",0)</f>
        <v/>
      </c>
      <c r="W398" s="73" t="str">
        <f>_xlfn.XLOOKUP(A398,'Ongoing Projects'!B:B,'Ongoing Projects'!B:B,"",0)</f>
        <v/>
      </c>
      <c r="X398" s="73" t="str">
        <f>_xlfn.XLOOKUP(B398,'New Projects'!D:D,'New Projects'!C:C,"",0)</f>
        <v/>
      </c>
      <c r="Y398" s="73" t="str">
        <f t="shared" si="27"/>
        <v/>
      </c>
      <c r="Z398" s="74" t="str">
        <f t="shared" si="28"/>
        <v>Missing</v>
      </c>
      <c r="AA398" s="74" t="str">
        <f t="shared" si="29"/>
        <v/>
      </c>
    </row>
    <row r="399" spans="1:27" x14ac:dyDescent="0.2">
      <c r="A399" s="103" t="s">
        <v>2107</v>
      </c>
      <c r="B399" s="103" t="s">
        <v>2108</v>
      </c>
      <c r="D399" s="103">
        <v>0</v>
      </c>
      <c r="E399" s="103">
        <v>0</v>
      </c>
      <c r="F399" s="103">
        <v>0</v>
      </c>
      <c r="G399" s="103">
        <v>0</v>
      </c>
      <c r="N399" s="103" t="s">
        <v>95</v>
      </c>
      <c r="Q399" s="118" t="s">
        <v>3851</v>
      </c>
      <c r="R399" s="118" t="s">
        <v>1605</v>
      </c>
      <c r="U399" s="103">
        <v>0</v>
      </c>
      <c r="V399" s="73" t="str">
        <f>_xlfn.XLOOKUP(B399,'Non-Projects (RUN-BAU)'!C:C,'Non-Projects (RUN-BAU)'!B:B,"",0)</f>
        <v/>
      </c>
      <c r="W399" s="73" t="str">
        <f>_xlfn.XLOOKUP(A399,'Ongoing Projects'!B:B,'Ongoing Projects'!B:B,"",0)</f>
        <v/>
      </c>
      <c r="X399" s="73" t="str">
        <f>_xlfn.XLOOKUP(B399,'New Projects'!D:D,'New Projects'!C:C,"",0)</f>
        <v/>
      </c>
      <c r="Y399" s="73" t="str">
        <f t="shared" ref="Y399:Y401" si="30">V399&amp;W399&amp;X399</f>
        <v/>
      </c>
      <c r="Z399" s="74" t="str">
        <f t="shared" ref="Z399:Z401" si="31">IF(AND(V399="",W399="",X399=""),"Missing",IF(Y399=A399,"","Don't match"))</f>
        <v>Missing</v>
      </c>
      <c r="AA399" s="74" t="str">
        <f t="shared" ref="AA399:AA401" si="32">IF(AND(Z399&lt;&gt;"",SUM(D399:G399)&lt;&gt;0,I399&lt;&gt;"Not Acceptance"),"Critical", "")</f>
        <v/>
      </c>
    </row>
    <row r="400" spans="1:27" x14ac:dyDescent="0.2">
      <c r="A400" s="103" t="s">
        <v>2109</v>
      </c>
      <c r="B400" s="103" t="s">
        <v>2110</v>
      </c>
      <c r="D400" s="103">
        <v>0</v>
      </c>
      <c r="E400" s="103">
        <v>0</v>
      </c>
      <c r="F400" s="103">
        <v>0</v>
      </c>
      <c r="G400" s="103">
        <v>0</v>
      </c>
      <c r="H400" s="103" t="s">
        <v>771</v>
      </c>
      <c r="N400" s="103" t="s">
        <v>95</v>
      </c>
      <c r="Q400" s="118" t="s">
        <v>3851</v>
      </c>
      <c r="R400" s="118" t="s">
        <v>1605</v>
      </c>
      <c r="U400" s="103">
        <v>0</v>
      </c>
      <c r="V400" s="73" t="str">
        <f>_xlfn.XLOOKUP(B400,'Non-Projects (RUN-BAU)'!C:C,'Non-Projects (RUN-BAU)'!B:B,"",0)</f>
        <v/>
      </c>
      <c r="W400" s="73" t="str">
        <f>_xlfn.XLOOKUP(A400,'Ongoing Projects'!B:B,'Ongoing Projects'!B:B,"",0)</f>
        <v/>
      </c>
      <c r="X400" s="73" t="str">
        <f>_xlfn.XLOOKUP(B400,'New Projects'!D:D,'New Projects'!C:C,"",0)</f>
        <v/>
      </c>
      <c r="Y400" s="73" t="str">
        <f t="shared" si="30"/>
        <v/>
      </c>
      <c r="Z400" s="74" t="str">
        <f t="shared" si="31"/>
        <v>Missing</v>
      </c>
      <c r="AA400" s="74" t="str">
        <f t="shared" si="32"/>
        <v/>
      </c>
    </row>
    <row r="401" spans="1:27" x14ac:dyDescent="0.2">
      <c r="A401" s="103" t="s">
        <v>2111</v>
      </c>
      <c r="B401" s="103" t="s">
        <v>1091</v>
      </c>
      <c r="D401" s="103">
        <v>0</v>
      </c>
      <c r="E401" s="103">
        <v>0</v>
      </c>
      <c r="F401" s="103">
        <v>0</v>
      </c>
      <c r="G401" s="103">
        <v>0</v>
      </c>
      <c r="H401" s="103" t="s">
        <v>771</v>
      </c>
      <c r="N401" s="103" t="s">
        <v>95</v>
      </c>
      <c r="Q401" s="118" t="s">
        <v>3851</v>
      </c>
      <c r="R401" s="118" t="s">
        <v>1605</v>
      </c>
      <c r="U401" s="103">
        <v>0</v>
      </c>
      <c r="V401" s="73" t="str">
        <f>_xlfn.XLOOKUP(B401,'Non-Projects (RUN-BAU)'!C:C,'Non-Projects (RUN-BAU)'!B:B,"",0)</f>
        <v/>
      </c>
      <c r="W401" s="73" t="str">
        <f>_xlfn.XLOOKUP(A401,'Ongoing Projects'!B:B,'Ongoing Projects'!B:B,"",0)</f>
        <v/>
      </c>
      <c r="X401" s="73" t="str">
        <f>_xlfn.XLOOKUP(B401,'New Projects'!D:D,'New Projects'!C:C,"",0)</f>
        <v/>
      </c>
      <c r="Y401" s="73" t="str">
        <f t="shared" si="30"/>
        <v/>
      </c>
      <c r="Z401" s="74" t="str">
        <f t="shared" si="31"/>
        <v>Missing</v>
      </c>
      <c r="AA401" s="74" t="str">
        <f t="shared" si="32"/>
        <v/>
      </c>
    </row>
    <row r="402" spans="1:27" x14ac:dyDescent="0.2">
      <c r="A402" s="103" t="s">
        <v>2112</v>
      </c>
      <c r="B402" s="103" t="s">
        <v>763</v>
      </c>
      <c r="D402" s="103">
        <v>0</v>
      </c>
      <c r="E402" s="103">
        <v>0</v>
      </c>
      <c r="F402" s="103">
        <v>0</v>
      </c>
      <c r="G402" s="103">
        <v>0</v>
      </c>
      <c r="H402" s="103" t="s">
        <v>771</v>
      </c>
      <c r="N402" s="103" t="s">
        <v>95</v>
      </c>
      <c r="Q402" s="118" t="s">
        <v>3851</v>
      </c>
      <c r="R402" s="118" t="s">
        <v>1605</v>
      </c>
      <c r="U402" s="103">
        <v>0</v>
      </c>
      <c r="V402" s="73" t="str">
        <f>_xlfn.XLOOKUP(B402,'Non-Projects (RUN-BAU)'!C:C,'Non-Projects (RUN-BAU)'!B:B,"",0)</f>
        <v/>
      </c>
      <c r="W402" s="73" t="str">
        <f>_xlfn.XLOOKUP(A402,'Ongoing Projects'!B:B,'Ongoing Projects'!B:B,"",0)</f>
        <v/>
      </c>
      <c r="X402" s="73" t="str">
        <f>_xlfn.XLOOKUP(B402,'New Projects'!D:D,'New Projects'!C:C,"",0)</f>
        <v/>
      </c>
      <c r="Y402" s="73" t="str">
        <f t="shared" ref="Y402:Y403" si="33">V402&amp;W402&amp;X402</f>
        <v/>
      </c>
      <c r="Z402" s="74" t="str">
        <f t="shared" ref="Z402:Z403" si="34">IF(AND(V402="",W402="",X402=""),"Missing",IF(Y402=A402,"","Don't match"))</f>
        <v>Missing</v>
      </c>
      <c r="AA402" s="74" t="str">
        <f t="shared" ref="AA402:AA403" si="35">IF(AND(Z402&lt;&gt;"",SUM(D402:G402)&lt;&gt;0,I402&lt;&gt;"Not Acceptance"),"Critical", "")</f>
        <v/>
      </c>
    </row>
    <row r="403" spans="1:27" x14ac:dyDescent="0.2">
      <c r="A403" s="103" t="s">
        <v>2113</v>
      </c>
      <c r="B403" s="103" t="s">
        <v>2114</v>
      </c>
      <c r="D403" s="103">
        <v>0</v>
      </c>
      <c r="E403" s="103">
        <v>0</v>
      </c>
      <c r="F403" s="103">
        <v>0</v>
      </c>
      <c r="G403" s="103">
        <v>0</v>
      </c>
      <c r="H403" s="103" t="s">
        <v>1699</v>
      </c>
      <c r="N403" s="103" t="s">
        <v>95</v>
      </c>
      <c r="Q403" s="118" t="s">
        <v>3851</v>
      </c>
      <c r="R403" s="118" t="s">
        <v>1605</v>
      </c>
      <c r="U403" s="103">
        <v>0</v>
      </c>
      <c r="V403" s="73" t="str">
        <f>_xlfn.XLOOKUP(B403,'Non-Projects (RUN-BAU)'!C:C,'Non-Projects (RUN-BAU)'!B:B,"",0)</f>
        <v/>
      </c>
      <c r="W403" s="73" t="str">
        <f>_xlfn.XLOOKUP(A403,'Ongoing Projects'!B:B,'Ongoing Projects'!B:B,"",0)</f>
        <v/>
      </c>
      <c r="X403" s="73" t="str">
        <f>_xlfn.XLOOKUP(B403,'New Projects'!D:D,'New Projects'!C:C,"",0)</f>
        <v/>
      </c>
      <c r="Y403" s="73" t="str">
        <f t="shared" si="33"/>
        <v/>
      </c>
      <c r="Z403" s="74" t="str">
        <f t="shared" si="34"/>
        <v>Missing</v>
      </c>
      <c r="AA403" s="74" t="str">
        <f t="shared" si="35"/>
        <v/>
      </c>
    </row>
    <row r="404" spans="1:27" x14ac:dyDescent="0.2">
      <c r="A404" s="103" t="s">
        <v>2115</v>
      </c>
      <c r="B404" s="103" t="s">
        <v>2116</v>
      </c>
      <c r="D404" s="103">
        <v>0</v>
      </c>
      <c r="E404" s="103">
        <v>0</v>
      </c>
      <c r="F404" s="103">
        <v>0</v>
      </c>
      <c r="G404" s="103">
        <v>0</v>
      </c>
      <c r="H404" s="103" t="s">
        <v>1699</v>
      </c>
      <c r="N404" s="103" t="s">
        <v>95</v>
      </c>
      <c r="Q404" s="118" t="s">
        <v>3851</v>
      </c>
      <c r="R404" s="118" t="s">
        <v>1605</v>
      </c>
      <c r="U404" s="103">
        <v>0</v>
      </c>
      <c r="V404" s="73" t="str">
        <f>_xlfn.XLOOKUP(B404,'Non-Projects (RUN-BAU)'!C:C,'Non-Projects (RUN-BAU)'!B:B,"",0)</f>
        <v/>
      </c>
      <c r="W404" s="73" t="str">
        <f>_xlfn.XLOOKUP(A404,'Ongoing Projects'!B:B,'Ongoing Projects'!B:B,"",0)</f>
        <v/>
      </c>
      <c r="X404" s="73" t="str">
        <f>_xlfn.XLOOKUP(B404,'New Projects'!D:D,'New Projects'!C:C,"",0)</f>
        <v/>
      </c>
      <c r="Y404" s="73" t="str">
        <f t="shared" ref="Y404" si="36">V404&amp;W404&amp;X404</f>
        <v/>
      </c>
      <c r="Z404" s="74" t="str">
        <f t="shared" ref="Z404" si="37">IF(AND(V404="",W404="",X404=""),"Missing",IF(Y404=A404,"","Don't match"))</f>
        <v>Missing</v>
      </c>
      <c r="AA404" s="74" t="str">
        <f t="shared" ref="AA404" si="38">IF(AND(Z404&lt;&gt;"",SUM(D404:G404)&lt;&gt;0,I404&lt;&gt;"Not Acceptance"),"Critical", "")</f>
        <v/>
      </c>
    </row>
  </sheetData>
  <autoFilter ref="A1:AA404" xr:uid="{B84DBDA9-EAB9-461F-8703-3FA4F9BC9A91}"/>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74CF-E937-465E-AD2A-E5547F45DA56}">
  <sheetPr filterMode="1">
    <tabColor rgb="FFFFC000"/>
  </sheetPr>
  <dimension ref="A1:AF1566"/>
  <sheetViews>
    <sheetView workbookViewId="0">
      <selection activeCell="G1" sqref="G1:G1048576"/>
    </sheetView>
  </sheetViews>
  <sheetFormatPr baseColWidth="10" defaultColWidth="11" defaultRowHeight="14.25" x14ac:dyDescent="0.2"/>
  <cols>
    <col min="1" max="1" customWidth="true" style="103" width="20.25" collapsed="false"/>
    <col min="2" max="2" customWidth="true" style="103" width="24.125" collapsed="false"/>
    <col min="3" max="3" customWidth="true" style="103" width="20.25" collapsed="false"/>
    <col min="4" max="6" customWidth="true" style="103" width="6.125" collapsed="false"/>
    <col min="7" max="7" bestFit="true" customWidth="true" style="103" width="14.875" collapsed="false"/>
    <col min="8" max="21" customWidth="true" style="103" width="5.125" collapsed="false"/>
    <col min="22" max="22" bestFit="true" customWidth="true" style="103" width="13.125" collapsed="false"/>
    <col min="23" max="23" bestFit="true" customWidth="true" style="103" width="13.0" collapsed="false"/>
    <col min="24" max="32" style="103" width="11.0" collapsed="false"/>
  </cols>
  <sheetData>
    <row r="1" spans="1:32" x14ac:dyDescent="0.2">
      <c r="A1" s="105" t="s">
        <v>2117</v>
      </c>
      <c r="B1" s="105" t="s">
        <v>2118</v>
      </c>
      <c r="C1" s="105" t="s">
        <v>2119</v>
      </c>
      <c r="D1" s="105" t="s">
        <v>3839</v>
      </c>
      <c r="E1" s="105" t="s">
        <v>2121</v>
      </c>
      <c r="F1" s="105" t="s">
        <v>2122</v>
      </c>
      <c r="G1" s="105" t="s">
        <v>2123</v>
      </c>
      <c r="H1" s="105" t="s">
        <v>2124</v>
      </c>
      <c r="I1" s="105" t="s">
        <v>2125</v>
      </c>
      <c r="J1" s="105" t="s">
        <v>2126</v>
      </c>
      <c r="K1" s="105" t="s">
        <v>2127</v>
      </c>
      <c r="L1" s="105" t="s">
        <v>2128</v>
      </c>
      <c r="M1" s="105" t="s">
        <v>2129</v>
      </c>
      <c r="N1" s="105" t="s">
        <v>2130</v>
      </c>
      <c r="O1" s="105" t="s">
        <v>2131</v>
      </c>
      <c r="P1" s="105" t="s">
        <v>2132</v>
      </c>
      <c r="Q1" s="105" t="s">
        <v>2133</v>
      </c>
      <c r="R1" s="105" t="s">
        <v>2134</v>
      </c>
      <c r="S1" s="105" t="s">
        <v>2135</v>
      </c>
      <c r="T1" s="105" t="s">
        <v>1591</v>
      </c>
      <c r="U1" s="105" t="s">
        <v>2136</v>
      </c>
      <c r="V1" s="105" t="s">
        <v>2137</v>
      </c>
      <c r="W1" s="105" t="s">
        <v>2138</v>
      </c>
      <c r="X1" s="105" t="s">
        <v>2139</v>
      </c>
      <c r="Y1" s="105" t="s">
        <v>2140</v>
      </c>
      <c r="Z1" s="105" t="s">
        <v>2141</v>
      </c>
      <c r="AA1" s="105" t="s">
        <v>2142</v>
      </c>
      <c r="AB1" s="105" t="s">
        <v>2143</v>
      </c>
      <c r="AC1" s="105" t="s">
        <v>2144</v>
      </c>
      <c r="AD1" s="105" t="s">
        <v>2145</v>
      </c>
      <c r="AE1" s="105" t="s">
        <v>2146</v>
      </c>
      <c r="AF1" s="105" t="s">
        <v>2147</v>
      </c>
    </row>
    <row r="2" spans="1:32" hidden="1" x14ac:dyDescent="0.2">
      <c r="A2" s="103" t="s">
        <v>297</v>
      </c>
      <c r="B2" s="103" t="s">
        <v>296</v>
      </c>
      <c r="C2" s="103" t="s">
        <v>2148</v>
      </c>
      <c r="D2" s="103" t="s">
        <v>2149</v>
      </c>
      <c r="E2" s="103" t="s">
        <v>2150</v>
      </c>
      <c r="F2" s="103" t="s">
        <v>2151</v>
      </c>
      <c r="G2" s="103">
        <v>120</v>
      </c>
      <c r="H2" s="103" t="s">
        <v>2152</v>
      </c>
      <c r="I2" s="103" t="s">
        <v>2153</v>
      </c>
      <c r="M2" s="103">
        <v>120</v>
      </c>
      <c r="N2" s="103" t="s">
        <v>2154</v>
      </c>
      <c r="O2" s="103">
        <v>120</v>
      </c>
      <c r="P2" s="103" t="s">
        <v>1643</v>
      </c>
      <c r="Q2" s="103" t="s">
        <v>2155</v>
      </c>
      <c r="R2" s="103" t="s">
        <v>2156</v>
      </c>
      <c r="S2" s="103" t="s">
        <v>2157</v>
      </c>
      <c r="U2" s="103">
        <v>61.56</v>
      </c>
      <c r="V2" s="103" t="s">
        <v>2158</v>
      </c>
      <c r="W2" s="103" t="s">
        <v>114</v>
      </c>
      <c r="X2" s="103" t="s">
        <v>1597</v>
      </c>
      <c r="Y2" s="103" t="s">
        <v>1685</v>
      </c>
      <c r="AA2" s="103" t="s">
        <v>2156</v>
      </c>
      <c r="AB2" s="103" t="s">
        <v>68</v>
      </c>
      <c r="AC2" s="103" t="s">
        <v>2159</v>
      </c>
      <c r="AD2" s="103" t="s">
        <v>2160</v>
      </c>
      <c r="AE2" s="103" t="s">
        <v>766</v>
      </c>
      <c r="AF2" s="103" t="b">
        <v>1</v>
      </c>
    </row>
    <row r="3" spans="1:32" hidden="1" x14ac:dyDescent="0.2">
      <c r="A3" s="103" t="s">
        <v>297</v>
      </c>
      <c r="B3" s="103" t="s">
        <v>296</v>
      </c>
      <c r="C3" s="103" t="s">
        <v>2161</v>
      </c>
      <c r="D3" s="103" t="s">
        <v>2161</v>
      </c>
      <c r="E3" s="103" t="s">
        <v>133</v>
      </c>
      <c r="F3" s="103" t="s">
        <v>2162</v>
      </c>
      <c r="G3" s="103">
        <v>25</v>
      </c>
      <c r="H3" s="103" t="s">
        <v>2152</v>
      </c>
      <c r="I3" s="103" t="s">
        <v>2153</v>
      </c>
      <c r="J3" s="103">
        <v>25</v>
      </c>
      <c r="N3" s="103" t="s">
        <v>2163</v>
      </c>
      <c r="O3" s="103">
        <v>25</v>
      </c>
      <c r="P3" s="103" t="s">
        <v>1643</v>
      </c>
      <c r="Q3" s="103" t="s">
        <v>2155</v>
      </c>
      <c r="R3" s="103" t="s">
        <v>2164</v>
      </c>
      <c r="S3" s="103" t="s">
        <v>2157</v>
      </c>
      <c r="U3" s="103">
        <v>16.375</v>
      </c>
      <c r="V3" s="103" t="s">
        <v>2158</v>
      </c>
      <c r="W3" s="103" t="s">
        <v>133</v>
      </c>
      <c r="X3" s="103" t="s">
        <v>1597</v>
      </c>
      <c r="Y3" s="103" t="s">
        <v>1685</v>
      </c>
      <c r="AA3" s="103" t="s">
        <v>2164</v>
      </c>
      <c r="AB3" s="103" t="s">
        <v>68</v>
      </c>
      <c r="AC3" s="103" t="s">
        <v>2159</v>
      </c>
      <c r="AD3" s="103" t="s">
        <v>2160</v>
      </c>
      <c r="AE3" s="103" t="s">
        <v>766</v>
      </c>
      <c r="AF3" s="103" t="b">
        <v>1</v>
      </c>
    </row>
    <row r="4" spans="1:32" hidden="1" x14ac:dyDescent="0.2">
      <c r="A4" s="103" t="s">
        <v>297</v>
      </c>
      <c r="B4" s="103" t="s">
        <v>296</v>
      </c>
      <c r="C4" s="103" t="s">
        <v>2165</v>
      </c>
      <c r="D4" s="103" t="s">
        <v>2166</v>
      </c>
      <c r="E4" s="103" t="s">
        <v>2167</v>
      </c>
      <c r="F4" s="103" t="s">
        <v>2162</v>
      </c>
      <c r="G4" s="103">
        <v>50</v>
      </c>
      <c r="H4" s="103" t="s">
        <v>2168</v>
      </c>
      <c r="I4" s="103" t="s">
        <v>2153</v>
      </c>
      <c r="M4" s="103">
        <v>50</v>
      </c>
      <c r="N4" s="103" t="s">
        <v>2163</v>
      </c>
      <c r="O4" s="103">
        <v>50</v>
      </c>
      <c r="P4" s="103" t="s">
        <v>1059</v>
      </c>
      <c r="Q4" s="103" t="s">
        <v>2155</v>
      </c>
      <c r="R4" s="103" t="s">
        <v>2156</v>
      </c>
      <c r="S4" s="103" t="s">
        <v>2157</v>
      </c>
      <c r="U4" s="103">
        <v>25.65</v>
      </c>
      <c r="V4" s="103" t="s">
        <v>2158</v>
      </c>
      <c r="W4" s="103" t="s">
        <v>114</v>
      </c>
      <c r="X4" s="103" t="s">
        <v>1597</v>
      </c>
      <c r="Y4" s="103" t="s">
        <v>1685</v>
      </c>
      <c r="AA4" s="103" t="s">
        <v>2156</v>
      </c>
      <c r="AB4" s="103" t="s">
        <v>68</v>
      </c>
      <c r="AC4" s="103" t="s">
        <v>2159</v>
      </c>
      <c r="AD4" s="103" t="s">
        <v>2160</v>
      </c>
      <c r="AE4" s="103" t="s">
        <v>766</v>
      </c>
      <c r="AF4" s="103" t="b">
        <v>1</v>
      </c>
    </row>
    <row r="5" spans="1:32" hidden="1" x14ac:dyDescent="0.2">
      <c r="A5" s="103" t="s">
        <v>297</v>
      </c>
      <c r="B5" s="103" t="s">
        <v>296</v>
      </c>
      <c r="C5" s="103" t="s">
        <v>2148</v>
      </c>
      <c r="D5" s="103" t="s">
        <v>2169</v>
      </c>
      <c r="E5" s="103" t="s">
        <v>2150</v>
      </c>
      <c r="F5" s="103" t="s">
        <v>2162</v>
      </c>
      <c r="G5" s="103">
        <v>60</v>
      </c>
      <c r="H5" s="103" t="s">
        <v>2152</v>
      </c>
      <c r="I5" s="103" t="s">
        <v>2153</v>
      </c>
      <c r="J5" s="103">
        <v>60</v>
      </c>
      <c r="N5" s="103" t="s">
        <v>2154</v>
      </c>
      <c r="O5" s="103">
        <v>60</v>
      </c>
      <c r="P5" s="103" t="s">
        <v>1643</v>
      </c>
      <c r="Q5" s="103" t="s">
        <v>2155</v>
      </c>
      <c r="R5" s="103" t="s">
        <v>2156</v>
      </c>
      <c r="S5" s="103" t="s">
        <v>2157</v>
      </c>
      <c r="U5" s="103">
        <v>30.78</v>
      </c>
      <c r="V5" s="103" t="s">
        <v>2158</v>
      </c>
      <c r="W5" s="103" t="s">
        <v>114</v>
      </c>
      <c r="X5" s="103" t="s">
        <v>1597</v>
      </c>
      <c r="Y5" s="103" t="s">
        <v>1685</v>
      </c>
      <c r="AA5" s="103" t="s">
        <v>2156</v>
      </c>
      <c r="AB5" s="103" t="s">
        <v>68</v>
      </c>
      <c r="AC5" s="103" t="s">
        <v>2159</v>
      </c>
      <c r="AD5" s="103" t="s">
        <v>2160</v>
      </c>
      <c r="AE5" s="103" t="s">
        <v>766</v>
      </c>
      <c r="AF5" s="103" t="b">
        <v>1</v>
      </c>
    </row>
    <row r="6" spans="1:32" hidden="1" x14ac:dyDescent="0.2">
      <c r="A6" s="103" t="s">
        <v>297</v>
      </c>
      <c r="B6" s="103" t="s">
        <v>296</v>
      </c>
      <c r="C6" s="103" t="s">
        <v>2148</v>
      </c>
      <c r="D6" s="103" t="s">
        <v>2170</v>
      </c>
      <c r="E6" s="103" t="s">
        <v>2171</v>
      </c>
      <c r="F6" s="103" t="s">
        <v>2162</v>
      </c>
      <c r="G6" s="103">
        <v>50</v>
      </c>
      <c r="H6" s="103" t="s">
        <v>2168</v>
      </c>
      <c r="I6" s="103" t="s">
        <v>2153</v>
      </c>
      <c r="K6" s="103">
        <v>50</v>
      </c>
      <c r="N6" s="103" t="s">
        <v>2163</v>
      </c>
      <c r="O6" s="103">
        <v>50</v>
      </c>
      <c r="P6" s="103" t="s">
        <v>1643</v>
      </c>
      <c r="Q6" s="103" t="s">
        <v>2155</v>
      </c>
      <c r="R6" s="103" t="s">
        <v>2156</v>
      </c>
      <c r="S6" s="103" t="s">
        <v>2157</v>
      </c>
      <c r="U6" s="103">
        <v>25.65</v>
      </c>
      <c r="V6" s="103" t="s">
        <v>2158</v>
      </c>
      <c r="W6" s="103" t="s">
        <v>114</v>
      </c>
      <c r="X6" s="103" t="s">
        <v>1597</v>
      </c>
      <c r="Y6" s="103" t="s">
        <v>1685</v>
      </c>
      <c r="AA6" s="103" t="s">
        <v>2156</v>
      </c>
      <c r="AB6" s="103" t="s">
        <v>68</v>
      </c>
      <c r="AC6" s="103" t="s">
        <v>2159</v>
      </c>
      <c r="AD6" s="103" t="s">
        <v>2160</v>
      </c>
      <c r="AE6" s="103" t="s">
        <v>766</v>
      </c>
      <c r="AF6" s="103" t="b">
        <v>1</v>
      </c>
    </row>
    <row r="7" spans="1:32" hidden="1" x14ac:dyDescent="0.2">
      <c r="A7" s="103" t="s">
        <v>297</v>
      </c>
      <c r="B7" s="103" t="s">
        <v>296</v>
      </c>
      <c r="C7" s="103" t="s">
        <v>2148</v>
      </c>
      <c r="D7" s="103" t="s">
        <v>2172</v>
      </c>
      <c r="E7" s="103" t="s">
        <v>2150</v>
      </c>
      <c r="G7" s="103">
        <v>120</v>
      </c>
      <c r="H7" s="103" t="s">
        <v>2152</v>
      </c>
      <c r="I7" s="103" t="s">
        <v>2153</v>
      </c>
      <c r="K7" s="103">
        <v>120</v>
      </c>
      <c r="N7" s="103" t="s">
        <v>2163</v>
      </c>
      <c r="O7" s="103">
        <v>120</v>
      </c>
      <c r="P7" s="103" t="s">
        <v>1643</v>
      </c>
      <c r="Q7" s="103" t="s">
        <v>2155</v>
      </c>
      <c r="R7" s="103" t="s">
        <v>2156</v>
      </c>
      <c r="S7" s="103" t="s">
        <v>2157</v>
      </c>
      <c r="U7" s="103">
        <v>61.56</v>
      </c>
      <c r="V7" s="103" t="s">
        <v>2158</v>
      </c>
      <c r="W7" s="103" t="s">
        <v>114</v>
      </c>
      <c r="X7" s="103" t="s">
        <v>1597</v>
      </c>
      <c r="Y7" s="103" t="s">
        <v>1685</v>
      </c>
      <c r="AA7" s="103" t="s">
        <v>2156</v>
      </c>
      <c r="AB7" s="103" t="s">
        <v>68</v>
      </c>
      <c r="AC7" s="103" t="s">
        <v>2159</v>
      </c>
      <c r="AD7" s="103" t="s">
        <v>2160</v>
      </c>
      <c r="AE7" s="103" t="s">
        <v>766</v>
      </c>
      <c r="AF7" s="103" t="b">
        <v>1</v>
      </c>
    </row>
    <row r="8" spans="1:32" hidden="1" x14ac:dyDescent="0.2">
      <c r="A8" s="103" t="s">
        <v>297</v>
      </c>
      <c r="B8" s="103" t="s">
        <v>296</v>
      </c>
      <c r="C8" s="103" t="s">
        <v>2173</v>
      </c>
      <c r="E8" s="103" t="s">
        <v>2174</v>
      </c>
      <c r="F8" s="103" t="s">
        <v>2175</v>
      </c>
      <c r="G8" s="103">
        <v>100</v>
      </c>
      <c r="H8" s="103" t="s">
        <v>2152</v>
      </c>
      <c r="I8" s="103" t="s">
        <v>2153</v>
      </c>
      <c r="K8" s="103">
        <v>100</v>
      </c>
      <c r="N8" s="103" t="s">
        <v>2163</v>
      </c>
      <c r="O8" s="103">
        <v>100</v>
      </c>
      <c r="P8" s="103" t="s">
        <v>1059</v>
      </c>
      <c r="Q8" s="103" t="s">
        <v>2155</v>
      </c>
      <c r="R8" s="103" t="s">
        <v>2156</v>
      </c>
      <c r="S8" s="103" t="s">
        <v>2157</v>
      </c>
      <c r="U8" s="103">
        <v>51.3</v>
      </c>
      <c r="V8" s="103" t="s">
        <v>2158</v>
      </c>
      <c r="W8" s="103" t="s">
        <v>114</v>
      </c>
      <c r="X8" s="103" t="s">
        <v>1597</v>
      </c>
      <c r="Y8" s="103" t="s">
        <v>1685</v>
      </c>
      <c r="AA8" s="103" t="s">
        <v>2156</v>
      </c>
      <c r="AB8" s="103" t="s">
        <v>68</v>
      </c>
      <c r="AC8" s="103" t="s">
        <v>2159</v>
      </c>
      <c r="AD8" s="103" t="s">
        <v>2160</v>
      </c>
      <c r="AE8" s="103" t="s">
        <v>766</v>
      </c>
      <c r="AF8" s="103" t="b">
        <v>1</v>
      </c>
    </row>
    <row r="9" spans="1:32" hidden="1" x14ac:dyDescent="0.2">
      <c r="A9" s="103" t="s">
        <v>297</v>
      </c>
      <c r="B9" s="103" t="s">
        <v>296</v>
      </c>
      <c r="C9" s="103" t="s">
        <v>2173</v>
      </c>
      <c r="E9" s="103" t="s">
        <v>2167</v>
      </c>
      <c r="F9" s="103" t="s">
        <v>2175</v>
      </c>
      <c r="G9" s="103">
        <v>0</v>
      </c>
      <c r="H9" s="103" t="s">
        <v>2152</v>
      </c>
      <c r="I9" s="103" t="s">
        <v>2153</v>
      </c>
      <c r="N9" s="103" t="s">
        <v>2163</v>
      </c>
      <c r="O9" s="103">
        <v>0</v>
      </c>
      <c r="P9" s="103" t="s">
        <v>1059</v>
      </c>
      <c r="Q9" s="103" t="s">
        <v>2155</v>
      </c>
      <c r="R9" s="103" t="s">
        <v>2156</v>
      </c>
      <c r="S9" s="103" t="s">
        <v>2157</v>
      </c>
      <c r="T9" s="103" t="s">
        <v>2176</v>
      </c>
      <c r="U9" s="103">
        <v>0</v>
      </c>
      <c r="V9" s="103" t="s">
        <v>2158</v>
      </c>
      <c r="W9" s="103" t="s">
        <v>114</v>
      </c>
      <c r="X9" s="103" t="s">
        <v>1597</v>
      </c>
      <c r="Y9" s="103" t="s">
        <v>1685</v>
      </c>
      <c r="AA9" s="103" t="s">
        <v>2156</v>
      </c>
      <c r="AB9" s="103" t="s">
        <v>68</v>
      </c>
      <c r="AC9" s="103" t="s">
        <v>2159</v>
      </c>
      <c r="AD9" s="103" t="s">
        <v>2160</v>
      </c>
      <c r="AE9" s="103" t="s">
        <v>766</v>
      </c>
      <c r="AF9" s="103" t="b">
        <v>1</v>
      </c>
    </row>
    <row r="10" spans="1:32" hidden="1" x14ac:dyDescent="0.2">
      <c r="A10" s="103" t="s">
        <v>297</v>
      </c>
      <c r="B10" s="103" t="s">
        <v>296</v>
      </c>
      <c r="C10" s="103" t="s">
        <v>2177</v>
      </c>
      <c r="E10" s="103" t="s">
        <v>2174</v>
      </c>
      <c r="F10" s="103" t="s">
        <v>2175</v>
      </c>
      <c r="G10" s="103">
        <v>100</v>
      </c>
      <c r="H10" s="103" t="s">
        <v>2152</v>
      </c>
      <c r="I10" s="103" t="s">
        <v>2153</v>
      </c>
      <c r="L10" s="103">
        <v>100</v>
      </c>
      <c r="N10" s="103" t="s">
        <v>2163</v>
      </c>
      <c r="O10" s="103">
        <v>100</v>
      </c>
      <c r="P10" s="103" t="s">
        <v>1059</v>
      </c>
      <c r="Q10" s="103" t="s">
        <v>2155</v>
      </c>
      <c r="R10" s="103" t="s">
        <v>2156</v>
      </c>
      <c r="S10" s="103" t="s">
        <v>2157</v>
      </c>
      <c r="U10" s="103">
        <v>51.3</v>
      </c>
      <c r="V10" s="103" t="s">
        <v>2158</v>
      </c>
      <c r="W10" s="103" t="s">
        <v>114</v>
      </c>
      <c r="X10" s="103" t="s">
        <v>1597</v>
      </c>
      <c r="Y10" s="103" t="s">
        <v>1685</v>
      </c>
      <c r="AA10" s="103" t="s">
        <v>2156</v>
      </c>
      <c r="AB10" s="103" t="s">
        <v>68</v>
      </c>
      <c r="AC10" s="103" t="s">
        <v>2159</v>
      </c>
      <c r="AD10" s="103" t="s">
        <v>2160</v>
      </c>
      <c r="AE10" s="103" t="s">
        <v>766</v>
      </c>
      <c r="AF10" s="103" t="b">
        <v>1</v>
      </c>
    </row>
    <row r="11" spans="1:32" hidden="1" x14ac:dyDescent="0.2">
      <c r="A11" s="103" t="s">
        <v>297</v>
      </c>
      <c r="B11" s="103" t="s">
        <v>296</v>
      </c>
      <c r="C11" s="103" t="s">
        <v>2177</v>
      </c>
      <c r="E11" s="103" t="s">
        <v>2167</v>
      </c>
      <c r="F11" s="103" t="s">
        <v>2175</v>
      </c>
      <c r="G11" s="103">
        <v>0</v>
      </c>
      <c r="H11" s="103" t="s">
        <v>2152</v>
      </c>
      <c r="I11" s="103" t="s">
        <v>2153</v>
      </c>
      <c r="N11" s="103" t="s">
        <v>2163</v>
      </c>
      <c r="O11" s="103">
        <v>0</v>
      </c>
      <c r="P11" s="103" t="s">
        <v>1059</v>
      </c>
      <c r="Q11" s="103" t="s">
        <v>2155</v>
      </c>
      <c r="R11" s="103" t="s">
        <v>2156</v>
      </c>
      <c r="S11" s="103" t="s">
        <v>2157</v>
      </c>
      <c r="T11" s="103" t="s">
        <v>2176</v>
      </c>
      <c r="U11" s="103">
        <v>0</v>
      </c>
      <c r="V11" s="103" t="s">
        <v>2158</v>
      </c>
      <c r="W11" s="103" t="s">
        <v>114</v>
      </c>
      <c r="X11" s="103" t="s">
        <v>1597</v>
      </c>
      <c r="Y11" s="103" t="s">
        <v>1685</v>
      </c>
      <c r="AA11" s="103" t="s">
        <v>2156</v>
      </c>
      <c r="AB11" s="103" t="s">
        <v>68</v>
      </c>
      <c r="AC11" s="103" t="s">
        <v>2159</v>
      </c>
      <c r="AD11" s="103" t="s">
        <v>2160</v>
      </c>
      <c r="AE11" s="103" t="s">
        <v>766</v>
      </c>
      <c r="AF11" s="103" t="b">
        <v>1</v>
      </c>
    </row>
    <row r="12" spans="1:32" hidden="1" x14ac:dyDescent="0.2">
      <c r="A12" s="103" t="s">
        <v>297</v>
      </c>
      <c r="B12" s="103" t="s">
        <v>296</v>
      </c>
      <c r="C12" s="103" t="s">
        <v>2178</v>
      </c>
      <c r="E12" s="103" t="s">
        <v>2174</v>
      </c>
      <c r="F12" s="103" t="s">
        <v>2175</v>
      </c>
      <c r="G12" s="103">
        <v>200</v>
      </c>
      <c r="H12" s="103" t="s">
        <v>2152</v>
      </c>
      <c r="I12" s="103" t="s">
        <v>2153</v>
      </c>
      <c r="M12" s="103">
        <v>200</v>
      </c>
      <c r="N12" s="103" t="s">
        <v>2154</v>
      </c>
      <c r="O12" s="103">
        <v>200</v>
      </c>
      <c r="P12" s="103" t="s">
        <v>1059</v>
      </c>
      <c r="Q12" s="103" t="s">
        <v>2155</v>
      </c>
      <c r="R12" s="103" t="s">
        <v>2156</v>
      </c>
      <c r="S12" s="103" t="s">
        <v>2157</v>
      </c>
      <c r="U12" s="103">
        <v>102.6</v>
      </c>
      <c r="V12" s="103" t="s">
        <v>2158</v>
      </c>
      <c r="W12" s="103" t="s">
        <v>114</v>
      </c>
      <c r="X12" s="103" t="s">
        <v>1597</v>
      </c>
      <c r="Y12" s="103" t="s">
        <v>1685</v>
      </c>
      <c r="AA12" s="103" t="s">
        <v>2156</v>
      </c>
      <c r="AB12" s="103" t="s">
        <v>68</v>
      </c>
      <c r="AC12" s="103" t="s">
        <v>2159</v>
      </c>
      <c r="AD12" s="103" t="s">
        <v>2160</v>
      </c>
      <c r="AE12" s="103" t="s">
        <v>766</v>
      </c>
      <c r="AF12" s="103" t="b">
        <v>1</v>
      </c>
    </row>
    <row r="13" spans="1:32" hidden="1" x14ac:dyDescent="0.2">
      <c r="A13" s="103" t="s">
        <v>297</v>
      </c>
      <c r="B13" s="103" t="s">
        <v>296</v>
      </c>
      <c r="C13" s="103" t="s">
        <v>2178</v>
      </c>
      <c r="E13" s="103" t="s">
        <v>2171</v>
      </c>
      <c r="F13" s="103" t="s">
        <v>2175</v>
      </c>
      <c r="G13" s="103">
        <v>5</v>
      </c>
      <c r="H13" s="103" t="s">
        <v>2152</v>
      </c>
      <c r="I13" s="103" t="s">
        <v>2153</v>
      </c>
      <c r="L13" s="103">
        <v>5</v>
      </c>
      <c r="N13" s="103" t="s">
        <v>2154</v>
      </c>
      <c r="O13" s="103">
        <v>5</v>
      </c>
      <c r="P13" s="103" t="s">
        <v>1059</v>
      </c>
      <c r="Q13" s="103" t="s">
        <v>2155</v>
      </c>
      <c r="R13" s="103" t="s">
        <v>2156</v>
      </c>
      <c r="S13" s="103" t="s">
        <v>2157</v>
      </c>
      <c r="U13" s="103">
        <v>2.5649999999999999</v>
      </c>
      <c r="V13" s="103" t="s">
        <v>2158</v>
      </c>
      <c r="W13" s="103" t="s">
        <v>114</v>
      </c>
      <c r="X13" s="103" t="s">
        <v>1597</v>
      </c>
      <c r="Y13" s="103" t="s">
        <v>1685</v>
      </c>
      <c r="AA13" s="103" t="s">
        <v>2156</v>
      </c>
      <c r="AB13" s="103" t="s">
        <v>68</v>
      </c>
      <c r="AC13" s="103" t="s">
        <v>2159</v>
      </c>
      <c r="AD13" s="103" t="s">
        <v>2160</v>
      </c>
      <c r="AE13" s="103" t="s">
        <v>766</v>
      </c>
      <c r="AF13" s="103" t="b">
        <v>1</v>
      </c>
    </row>
    <row r="14" spans="1:32" hidden="1" x14ac:dyDescent="0.2">
      <c r="A14" s="103" t="s">
        <v>297</v>
      </c>
      <c r="B14" s="103" t="s">
        <v>296</v>
      </c>
      <c r="C14" s="103" t="s">
        <v>2179</v>
      </c>
      <c r="E14" s="103" t="s">
        <v>2174</v>
      </c>
      <c r="F14" s="103" t="s">
        <v>2175</v>
      </c>
      <c r="G14" s="103">
        <v>100</v>
      </c>
      <c r="H14" s="103" t="s">
        <v>2152</v>
      </c>
      <c r="I14" s="103" t="s">
        <v>2153</v>
      </c>
      <c r="J14" s="103">
        <v>100</v>
      </c>
      <c r="N14" s="103" t="s">
        <v>2163</v>
      </c>
      <c r="O14" s="103">
        <v>100</v>
      </c>
      <c r="P14" s="103" t="s">
        <v>1059</v>
      </c>
      <c r="Q14" s="103" t="s">
        <v>2155</v>
      </c>
      <c r="R14" s="103" t="s">
        <v>2156</v>
      </c>
      <c r="S14" s="103" t="s">
        <v>2157</v>
      </c>
      <c r="U14" s="103">
        <v>51.3</v>
      </c>
      <c r="V14" s="103" t="s">
        <v>2158</v>
      </c>
      <c r="W14" s="103" t="s">
        <v>114</v>
      </c>
      <c r="X14" s="103" t="s">
        <v>1597</v>
      </c>
      <c r="Y14" s="103" t="s">
        <v>1685</v>
      </c>
      <c r="AA14" s="103" t="s">
        <v>2156</v>
      </c>
      <c r="AB14" s="103" t="s">
        <v>68</v>
      </c>
      <c r="AC14" s="103" t="s">
        <v>2159</v>
      </c>
      <c r="AD14" s="103" t="s">
        <v>2160</v>
      </c>
      <c r="AE14" s="103" t="s">
        <v>766</v>
      </c>
      <c r="AF14" s="103" t="b">
        <v>1</v>
      </c>
    </row>
    <row r="15" spans="1:32" hidden="1" x14ac:dyDescent="0.2">
      <c r="A15" s="103" t="s">
        <v>297</v>
      </c>
      <c r="B15" s="103" t="s">
        <v>296</v>
      </c>
      <c r="C15" s="103" t="s">
        <v>2180</v>
      </c>
      <c r="E15" s="103" t="s">
        <v>2174</v>
      </c>
      <c r="F15" s="103" t="s">
        <v>2175</v>
      </c>
      <c r="G15" s="103">
        <v>100</v>
      </c>
      <c r="H15" s="103" t="s">
        <v>2152</v>
      </c>
      <c r="I15" s="103" t="s">
        <v>2153</v>
      </c>
      <c r="L15" s="103">
        <v>100</v>
      </c>
      <c r="N15" s="103" t="s">
        <v>2163</v>
      </c>
      <c r="O15" s="103">
        <v>100</v>
      </c>
      <c r="P15" s="103" t="s">
        <v>1059</v>
      </c>
      <c r="Q15" s="103" t="s">
        <v>2155</v>
      </c>
      <c r="R15" s="103" t="s">
        <v>2156</v>
      </c>
      <c r="S15" s="103" t="s">
        <v>2157</v>
      </c>
      <c r="U15" s="103">
        <v>51.3</v>
      </c>
      <c r="V15" s="103" t="s">
        <v>2158</v>
      </c>
      <c r="W15" s="103" t="s">
        <v>114</v>
      </c>
      <c r="X15" s="103" t="s">
        <v>1597</v>
      </c>
      <c r="Y15" s="103" t="s">
        <v>1685</v>
      </c>
      <c r="AA15" s="103" t="s">
        <v>2156</v>
      </c>
      <c r="AB15" s="103" t="s">
        <v>68</v>
      </c>
      <c r="AC15" s="103" t="s">
        <v>2159</v>
      </c>
      <c r="AD15" s="103" t="s">
        <v>2160</v>
      </c>
      <c r="AE15" s="103" t="s">
        <v>766</v>
      </c>
      <c r="AF15" s="103" t="b">
        <v>1</v>
      </c>
    </row>
    <row r="16" spans="1:32" hidden="1" x14ac:dyDescent="0.2">
      <c r="A16" s="103" t="s">
        <v>297</v>
      </c>
      <c r="B16" s="103" t="s">
        <v>296</v>
      </c>
      <c r="C16" s="103" t="s">
        <v>2181</v>
      </c>
      <c r="E16" s="103" t="s">
        <v>2174</v>
      </c>
      <c r="F16" s="103" t="s">
        <v>2175</v>
      </c>
      <c r="G16" s="103">
        <v>100</v>
      </c>
      <c r="H16" s="103" t="s">
        <v>2152</v>
      </c>
      <c r="I16" s="103" t="s">
        <v>2153</v>
      </c>
      <c r="L16" s="103">
        <v>100</v>
      </c>
      <c r="N16" s="103" t="s">
        <v>2163</v>
      </c>
      <c r="O16" s="103">
        <v>100</v>
      </c>
      <c r="P16" s="103" t="s">
        <v>1059</v>
      </c>
      <c r="Q16" s="103" t="s">
        <v>2155</v>
      </c>
      <c r="R16" s="103" t="s">
        <v>2156</v>
      </c>
      <c r="S16" s="103" t="s">
        <v>2157</v>
      </c>
      <c r="U16" s="103">
        <v>51.3</v>
      </c>
      <c r="V16" s="103" t="s">
        <v>2158</v>
      </c>
      <c r="W16" s="103" t="s">
        <v>114</v>
      </c>
      <c r="X16" s="103" t="s">
        <v>1597</v>
      </c>
      <c r="Y16" s="103" t="s">
        <v>1685</v>
      </c>
      <c r="AA16" s="103" t="s">
        <v>2156</v>
      </c>
      <c r="AB16" s="103" t="s">
        <v>68</v>
      </c>
      <c r="AC16" s="103" t="s">
        <v>2159</v>
      </c>
      <c r="AD16" s="103" t="s">
        <v>2160</v>
      </c>
      <c r="AE16" s="103" t="s">
        <v>766</v>
      </c>
      <c r="AF16" s="103" t="b">
        <v>1</v>
      </c>
    </row>
    <row r="17" spans="1:32" hidden="1" x14ac:dyDescent="0.2">
      <c r="A17" s="103" t="s">
        <v>297</v>
      </c>
      <c r="B17" s="103" t="s">
        <v>296</v>
      </c>
      <c r="C17" s="103" t="s">
        <v>2182</v>
      </c>
      <c r="E17" s="103" t="s">
        <v>2174</v>
      </c>
      <c r="F17" s="103" t="s">
        <v>2175</v>
      </c>
      <c r="G17" s="103">
        <v>100</v>
      </c>
      <c r="H17" s="103" t="s">
        <v>2152</v>
      </c>
      <c r="I17" s="103" t="s">
        <v>2153</v>
      </c>
      <c r="M17" s="103">
        <v>100</v>
      </c>
      <c r="N17" s="103" t="s">
        <v>2163</v>
      </c>
      <c r="O17" s="103">
        <v>100</v>
      </c>
      <c r="P17" s="103" t="s">
        <v>1059</v>
      </c>
      <c r="Q17" s="103" t="s">
        <v>2155</v>
      </c>
      <c r="R17" s="103" t="s">
        <v>2156</v>
      </c>
      <c r="S17" s="103" t="s">
        <v>2157</v>
      </c>
      <c r="U17" s="103">
        <v>51.3</v>
      </c>
      <c r="V17" s="103" t="s">
        <v>2158</v>
      </c>
      <c r="W17" s="103" t="s">
        <v>114</v>
      </c>
      <c r="X17" s="103" t="s">
        <v>1597</v>
      </c>
      <c r="Y17" s="103" t="s">
        <v>1685</v>
      </c>
      <c r="AA17" s="103" t="s">
        <v>2156</v>
      </c>
      <c r="AB17" s="103" t="s">
        <v>68</v>
      </c>
      <c r="AC17" s="103" t="s">
        <v>2159</v>
      </c>
      <c r="AD17" s="103" t="s">
        <v>2160</v>
      </c>
      <c r="AE17" s="103" t="s">
        <v>766</v>
      </c>
      <c r="AF17" s="103" t="b">
        <v>1</v>
      </c>
    </row>
    <row r="18" spans="1:32" hidden="1" x14ac:dyDescent="0.2">
      <c r="A18" s="103" t="s">
        <v>297</v>
      </c>
      <c r="B18" s="103" t="s">
        <v>296</v>
      </c>
      <c r="C18" s="103" t="s">
        <v>2183</v>
      </c>
      <c r="E18" s="103" t="s">
        <v>2174</v>
      </c>
      <c r="F18" s="103" t="s">
        <v>2175</v>
      </c>
      <c r="G18" s="103">
        <v>100</v>
      </c>
      <c r="H18" s="103" t="s">
        <v>2152</v>
      </c>
      <c r="I18" s="103" t="s">
        <v>2153</v>
      </c>
      <c r="M18" s="103">
        <v>100</v>
      </c>
      <c r="N18" s="103" t="s">
        <v>2163</v>
      </c>
      <c r="O18" s="103">
        <v>100</v>
      </c>
      <c r="P18" s="103" t="s">
        <v>1059</v>
      </c>
      <c r="Q18" s="103" t="s">
        <v>2155</v>
      </c>
      <c r="R18" s="103" t="s">
        <v>2156</v>
      </c>
      <c r="S18" s="103" t="s">
        <v>2157</v>
      </c>
      <c r="U18" s="103">
        <v>51.3</v>
      </c>
      <c r="V18" s="103" t="s">
        <v>2158</v>
      </c>
      <c r="W18" s="103" t="s">
        <v>114</v>
      </c>
      <c r="X18" s="103" t="s">
        <v>1597</v>
      </c>
      <c r="Y18" s="103" t="s">
        <v>1685</v>
      </c>
      <c r="AA18" s="103" t="s">
        <v>2156</v>
      </c>
      <c r="AB18" s="103" t="s">
        <v>68</v>
      </c>
      <c r="AC18" s="103" t="s">
        <v>2159</v>
      </c>
      <c r="AD18" s="103" t="s">
        <v>2160</v>
      </c>
      <c r="AE18" s="103" t="s">
        <v>766</v>
      </c>
      <c r="AF18" s="103" t="b">
        <v>1</v>
      </c>
    </row>
    <row r="19" spans="1:32" hidden="1" x14ac:dyDescent="0.2">
      <c r="A19" s="103" t="s">
        <v>297</v>
      </c>
      <c r="B19" s="103" t="s">
        <v>296</v>
      </c>
      <c r="C19" s="103" t="s">
        <v>2184</v>
      </c>
      <c r="E19" s="103" t="s">
        <v>2174</v>
      </c>
      <c r="F19" s="103" t="s">
        <v>2175</v>
      </c>
      <c r="G19" s="103">
        <v>100</v>
      </c>
      <c r="H19" s="103" t="s">
        <v>2152</v>
      </c>
      <c r="I19" s="103" t="s">
        <v>2153</v>
      </c>
      <c r="M19" s="103">
        <v>100</v>
      </c>
      <c r="N19" s="103" t="s">
        <v>2163</v>
      </c>
      <c r="O19" s="103">
        <v>100</v>
      </c>
      <c r="P19" s="103" t="s">
        <v>1059</v>
      </c>
      <c r="Q19" s="103" t="s">
        <v>2155</v>
      </c>
      <c r="R19" s="103" t="s">
        <v>2156</v>
      </c>
      <c r="S19" s="103" t="s">
        <v>2157</v>
      </c>
      <c r="U19" s="103">
        <v>51.3</v>
      </c>
      <c r="V19" s="103" t="s">
        <v>2158</v>
      </c>
      <c r="W19" s="103" t="s">
        <v>114</v>
      </c>
      <c r="X19" s="103" t="s">
        <v>1597</v>
      </c>
      <c r="Y19" s="103" t="s">
        <v>1685</v>
      </c>
      <c r="AA19" s="103" t="s">
        <v>2156</v>
      </c>
      <c r="AB19" s="103" t="s">
        <v>68</v>
      </c>
      <c r="AC19" s="103" t="s">
        <v>2159</v>
      </c>
      <c r="AD19" s="103" t="s">
        <v>2160</v>
      </c>
      <c r="AE19" s="103" t="s">
        <v>766</v>
      </c>
      <c r="AF19" s="103" t="b">
        <v>1</v>
      </c>
    </row>
    <row r="20" spans="1:32" hidden="1" x14ac:dyDescent="0.2">
      <c r="A20" s="103" t="s">
        <v>297</v>
      </c>
      <c r="B20" s="103" t="s">
        <v>296</v>
      </c>
      <c r="C20" s="103" t="s">
        <v>2184</v>
      </c>
      <c r="E20" s="103" t="s">
        <v>2167</v>
      </c>
      <c r="F20" s="103" t="s">
        <v>2175</v>
      </c>
      <c r="G20" s="103">
        <v>0</v>
      </c>
      <c r="H20" s="103" t="s">
        <v>2152</v>
      </c>
      <c r="I20" s="103" t="s">
        <v>2153</v>
      </c>
      <c r="M20" s="103">
        <v>0</v>
      </c>
      <c r="N20" s="103" t="s">
        <v>2163</v>
      </c>
      <c r="O20" s="103">
        <v>0</v>
      </c>
      <c r="P20" s="103" t="s">
        <v>1059</v>
      </c>
      <c r="Q20" s="103" t="s">
        <v>2155</v>
      </c>
      <c r="R20" s="103" t="s">
        <v>2156</v>
      </c>
      <c r="S20" s="103" t="s">
        <v>2157</v>
      </c>
      <c r="T20" s="103" t="s">
        <v>2185</v>
      </c>
      <c r="U20" s="103">
        <v>0</v>
      </c>
      <c r="V20" s="103" t="s">
        <v>2158</v>
      </c>
      <c r="W20" s="103" t="s">
        <v>114</v>
      </c>
      <c r="X20" s="103" t="s">
        <v>1597</v>
      </c>
      <c r="Y20" s="103" t="s">
        <v>1685</v>
      </c>
      <c r="AA20" s="103" t="s">
        <v>2156</v>
      </c>
      <c r="AB20" s="103" t="s">
        <v>68</v>
      </c>
      <c r="AC20" s="103" t="s">
        <v>2159</v>
      </c>
      <c r="AD20" s="103" t="s">
        <v>2160</v>
      </c>
      <c r="AE20" s="103" t="s">
        <v>766</v>
      </c>
      <c r="AF20" s="103" t="b">
        <v>1</v>
      </c>
    </row>
    <row r="21" spans="1:32" hidden="1" x14ac:dyDescent="0.2">
      <c r="A21" s="103" t="s">
        <v>297</v>
      </c>
      <c r="B21" s="103" t="s">
        <v>296</v>
      </c>
      <c r="C21" s="103" t="s">
        <v>2161</v>
      </c>
      <c r="D21" s="103" t="s">
        <v>2161</v>
      </c>
      <c r="E21" s="103" t="s">
        <v>134</v>
      </c>
      <c r="G21" s="103">
        <v>25</v>
      </c>
      <c r="H21" s="103" t="s">
        <v>2152</v>
      </c>
      <c r="I21" s="103" t="s">
        <v>2153</v>
      </c>
      <c r="J21" s="103">
        <v>25</v>
      </c>
      <c r="N21" s="103" t="s">
        <v>2163</v>
      </c>
      <c r="O21" s="103">
        <v>25</v>
      </c>
      <c r="P21" s="103" t="s">
        <v>1643</v>
      </c>
      <c r="Q21" s="103" t="s">
        <v>2155</v>
      </c>
      <c r="R21" s="103" t="s">
        <v>1638</v>
      </c>
      <c r="S21" s="103" t="s">
        <v>2157</v>
      </c>
      <c r="U21" s="103">
        <v>28.35</v>
      </c>
      <c r="V21" s="103" t="s">
        <v>2158</v>
      </c>
      <c r="W21" s="103" t="s">
        <v>134</v>
      </c>
      <c r="X21" s="103" t="s">
        <v>1597</v>
      </c>
      <c r="Y21" s="103" t="s">
        <v>1685</v>
      </c>
      <c r="AA21" s="103" t="s">
        <v>1638</v>
      </c>
      <c r="AB21" s="103" t="s">
        <v>68</v>
      </c>
      <c r="AC21" s="103" t="s">
        <v>2159</v>
      </c>
      <c r="AD21" s="103" t="s">
        <v>2160</v>
      </c>
      <c r="AE21" s="103" t="s">
        <v>766</v>
      </c>
      <c r="AF21" s="103" t="b">
        <v>1</v>
      </c>
    </row>
    <row r="22" spans="1:32" hidden="1" x14ac:dyDescent="0.2">
      <c r="A22" s="103" t="s">
        <v>300</v>
      </c>
      <c r="B22" s="103" t="s">
        <v>299</v>
      </c>
      <c r="C22" s="103" t="s">
        <v>2186</v>
      </c>
      <c r="E22" s="103" t="s">
        <v>2187</v>
      </c>
      <c r="F22" s="103" t="s">
        <v>2162</v>
      </c>
      <c r="G22" s="103">
        <v>300</v>
      </c>
      <c r="H22" s="103" t="s">
        <v>2152</v>
      </c>
      <c r="I22" s="103" t="s">
        <v>2153</v>
      </c>
      <c r="K22" s="103">
        <v>100</v>
      </c>
      <c r="L22" s="103">
        <v>100</v>
      </c>
      <c r="M22" s="103">
        <v>100</v>
      </c>
      <c r="N22" s="103" t="s">
        <v>2163</v>
      </c>
      <c r="O22" s="103">
        <v>300</v>
      </c>
      <c r="P22" s="103" t="s">
        <v>1059</v>
      </c>
      <c r="Q22" s="103" t="s">
        <v>2155</v>
      </c>
      <c r="R22" s="103" t="s">
        <v>121</v>
      </c>
      <c r="S22" s="103" t="s">
        <v>2188</v>
      </c>
      <c r="T22" s="103" t="s">
        <v>2189</v>
      </c>
      <c r="U22" s="103">
        <v>153.9</v>
      </c>
      <c r="V22" s="103" t="s">
        <v>2158</v>
      </c>
      <c r="W22" s="103" t="s">
        <v>121</v>
      </c>
      <c r="X22" s="103" t="s">
        <v>1597</v>
      </c>
      <c r="Y22" s="103" t="s">
        <v>1685</v>
      </c>
      <c r="AA22" s="103" t="s">
        <v>121</v>
      </c>
      <c r="AB22" s="103" t="s">
        <v>68</v>
      </c>
      <c r="AC22" s="103" t="s">
        <v>2159</v>
      </c>
      <c r="AD22" s="103" t="s">
        <v>2160</v>
      </c>
      <c r="AE22" s="103" t="s">
        <v>766</v>
      </c>
      <c r="AF22" s="103" t="b">
        <v>1</v>
      </c>
    </row>
    <row r="23" spans="1:32" hidden="1" x14ac:dyDescent="0.2">
      <c r="A23" s="103" t="s">
        <v>302</v>
      </c>
      <c r="B23" s="103" t="s">
        <v>301</v>
      </c>
      <c r="C23" s="103" t="s">
        <v>2190</v>
      </c>
      <c r="E23" s="103" t="s">
        <v>2191</v>
      </c>
      <c r="F23" s="103" t="s">
        <v>2151</v>
      </c>
      <c r="G23" s="103">
        <v>100</v>
      </c>
      <c r="H23" s="103" t="s">
        <v>2168</v>
      </c>
      <c r="I23" s="103" t="s">
        <v>2153</v>
      </c>
      <c r="J23" s="103">
        <v>50</v>
      </c>
      <c r="K23" s="103">
        <v>50</v>
      </c>
      <c r="N23" s="103" t="s">
        <v>2163</v>
      </c>
      <c r="O23" s="103">
        <v>100</v>
      </c>
      <c r="P23" s="103" t="s">
        <v>771</v>
      </c>
      <c r="Q23" s="103" t="s">
        <v>2155</v>
      </c>
      <c r="R23" s="103" t="s">
        <v>2164</v>
      </c>
      <c r="S23" s="103" t="s">
        <v>2192</v>
      </c>
      <c r="U23" s="103">
        <v>60</v>
      </c>
      <c r="V23" s="103" t="s">
        <v>2158</v>
      </c>
      <c r="W23" s="103" t="s">
        <v>132</v>
      </c>
      <c r="X23" s="103" t="s">
        <v>1597</v>
      </c>
      <c r="Y23" s="103" t="s">
        <v>1685</v>
      </c>
      <c r="AA23" s="103" t="s">
        <v>2164</v>
      </c>
      <c r="AB23" s="103" t="s">
        <v>68</v>
      </c>
      <c r="AC23" s="103" t="s">
        <v>2193</v>
      </c>
      <c r="AD23" s="103" t="s">
        <v>2160</v>
      </c>
      <c r="AE23" s="103" t="s">
        <v>766</v>
      </c>
      <c r="AF23" s="103" t="b">
        <v>1</v>
      </c>
    </row>
    <row r="24" spans="1:32" hidden="1" x14ac:dyDescent="0.2">
      <c r="A24" s="103" t="s">
        <v>302</v>
      </c>
      <c r="B24" s="103" t="s">
        <v>301</v>
      </c>
      <c r="C24" s="103" t="s">
        <v>2190</v>
      </c>
      <c r="D24" s="103" t="s">
        <v>2194</v>
      </c>
      <c r="E24" s="103" t="s">
        <v>2195</v>
      </c>
      <c r="F24" s="103" t="s">
        <v>2175</v>
      </c>
      <c r="G24" s="103">
        <v>0</v>
      </c>
      <c r="H24" s="103" t="s">
        <v>2152</v>
      </c>
      <c r="I24" s="103" t="s">
        <v>2153</v>
      </c>
      <c r="J24" s="103">
        <v>0</v>
      </c>
      <c r="K24" s="103">
        <v>0</v>
      </c>
      <c r="N24" s="103" t="s">
        <v>2163</v>
      </c>
      <c r="O24" s="103">
        <v>0</v>
      </c>
      <c r="P24" s="103" t="s">
        <v>1059</v>
      </c>
      <c r="Q24" s="103" t="s">
        <v>2155</v>
      </c>
      <c r="R24" s="103" t="s">
        <v>2156</v>
      </c>
      <c r="S24" s="103" t="s">
        <v>2192</v>
      </c>
      <c r="U24" s="103">
        <v>0</v>
      </c>
      <c r="V24" s="103" t="s">
        <v>2158</v>
      </c>
      <c r="W24" s="103" t="s">
        <v>114</v>
      </c>
      <c r="X24" s="103" t="s">
        <v>1597</v>
      </c>
      <c r="Y24" s="103" t="s">
        <v>1685</v>
      </c>
      <c r="AA24" s="103" t="s">
        <v>2156</v>
      </c>
      <c r="AB24" s="103" t="s">
        <v>68</v>
      </c>
      <c r="AC24" s="103" t="s">
        <v>2159</v>
      </c>
      <c r="AD24" s="103" t="s">
        <v>2160</v>
      </c>
      <c r="AE24" s="103" t="s">
        <v>766</v>
      </c>
      <c r="AF24" s="103" t="b">
        <v>1</v>
      </c>
    </row>
    <row r="25" spans="1:32" hidden="1" x14ac:dyDescent="0.2">
      <c r="A25" s="103" t="s">
        <v>302</v>
      </c>
      <c r="B25" s="103" t="s">
        <v>301</v>
      </c>
      <c r="C25" s="103" t="s">
        <v>2190</v>
      </c>
      <c r="E25" s="103" t="s">
        <v>2174</v>
      </c>
      <c r="F25" s="103" t="s">
        <v>2151</v>
      </c>
      <c r="G25" s="103">
        <v>700</v>
      </c>
      <c r="H25" s="103" t="s">
        <v>2152</v>
      </c>
      <c r="I25" s="103" t="s">
        <v>2153</v>
      </c>
      <c r="J25" s="103">
        <v>300</v>
      </c>
      <c r="K25" s="103">
        <v>400</v>
      </c>
      <c r="N25" s="103" t="s">
        <v>2163</v>
      </c>
      <c r="O25" s="103">
        <v>700</v>
      </c>
      <c r="P25" s="103" t="s">
        <v>1059</v>
      </c>
      <c r="Q25" s="103" t="s">
        <v>2155</v>
      </c>
      <c r="R25" s="103" t="s">
        <v>2156</v>
      </c>
      <c r="S25" s="103" t="s">
        <v>2192</v>
      </c>
      <c r="U25" s="103">
        <v>359.1</v>
      </c>
      <c r="V25" s="103" t="s">
        <v>2158</v>
      </c>
      <c r="W25" s="103" t="s">
        <v>114</v>
      </c>
      <c r="X25" s="103" t="s">
        <v>1597</v>
      </c>
      <c r="Y25" s="103" t="s">
        <v>1685</v>
      </c>
      <c r="AA25" s="103" t="s">
        <v>2156</v>
      </c>
      <c r="AB25" s="103" t="s">
        <v>68</v>
      </c>
      <c r="AC25" s="103" t="s">
        <v>2159</v>
      </c>
      <c r="AD25" s="103" t="s">
        <v>2160</v>
      </c>
      <c r="AE25" s="103" t="s">
        <v>766</v>
      </c>
      <c r="AF25" s="103" t="b">
        <v>1</v>
      </c>
    </row>
    <row r="26" spans="1:32" hidden="1" x14ac:dyDescent="0.2">
      <c r="A26" s="103" t="s">
        <v>302</v>
      </c>
      <c r="B26" s="103" t="s">
        <v>301</v>
      </c>
      <c r="C26" s="103" t="s">
        <v>2190</v>
      </c>
      <c r="E26" s="103" t="s">
        <v>2195</v>
      </c>
      <c r="F26" s="103" t="s">
        <v>2162</v>
      </c>
      <c r="G26" s="103">
        <v>300</v>
      </c>
      <c r="H26" s="103" t="s">
        <v>2152</v>
      </c>
      <c r="I26" s="103" t="s">
        <v>2153</v>
      </c>
      <c r="J26" s="103">
        <v>150</v>
      </c>
      <c r="K26" s="103">
        <v>150</v>
      </c>
      <c r="N26" s="103" t="s">
        <v>2163</v>
      </c>
      <c r="O26" s="103">
        <v>300</v>
      </c>
      <c r="P26" s="103" t="s">
        <v>1059</v>
      </c>
      <c r="Q26" s="103" t="s">
        <v>2155</v>
      </c>
      <c r="R26" s="103" t="s">
        <v>2156</v>
      </c>
      <c r="S26" s="103" t="s">
        <v>2192</v>
      </c>
      <c r="U26" s="103">
        <v>153.9</v>
      </c>
      <c r="V26" s="103" t="s">
        <v>2158</v>
      </c>
      <c r="W26" s="103" t="s">
        <v>114</v>
      </c>
      <c r="X26" s="103" t="s">
        <v>1597</v>
      </c>
      <c r="Y26" s="103" t="s">
        <v>1685</v>
      </c>
      <c r="AA26" s="103" t="s">
        <v>2156</v>
      </c>
      <c r="AB26" s="103" t="s">
        <v>68</v>
      </c>
      <c r="AC26" s="103" t="s">
        <v>2159</v>
      </c>
      <c r="AD26" s="103" t="s">
        <v>2160</v>
      </c>
      <c r="AE26" s="103" t="s">
        <v>766</v>
      </c>
      <c r="AF26" s="103" t="b">
        <v>1</v>
      </c>
    </row>
    <row r="27" spans="1:32" hidden="1" x14ac:dyDescent="0.2">
      <c r="A27" s="103" t="s">
        <v>302</v>
      </c>
      <c r="B27" s="103" t="s">
        <v>301</v>
      </c>
      <c r="C27" s="103" t="s">
        <v>2190</v>
      </c>
      <c r="E27" s="103" t="s">
        <v>2167</v>
      </c>
      <c r="F27" s="103" t="s">
        <v>2175</v>
      </c>
      <c r="G27" s="103">
        <v>70</v>
      </c>
      <c r="H27" s="103" t="s">
        <v>2152</v>
      </c>
      <c r="I27" s="103" t="s">
        <v>2153</v>
      </c>
      <c r="J27" s="103">
        <v>35</v>
      </c>
      <c r="K27" s="103">
        <v>35</v>
      </c>
      <c r="N27" s="103" t="s">
        <v>2163</v>
      </c>
      <c r="O27" s="103">
        <v>70</v>
      </c>
      <c r="P27" s="103" t="s">
        <v>1059</v>
      </c>
      <c r="Q27" s="103" t="s">
        <v>2155</v>
      </c>
      <c r="R27" s="103" t="s">
        <v>2156</v>
      </c>
      <c r="S27" s="103" t="s">
        <v>2192</v>
      </c>
      <c r="U27" s="103">
        <v>35.909999999999997</v>
      </c>
      <c r="V27" s="103" t="s">
        <v>2158</v>
      </c>
      <c r="W27" s="103" t="s">
        <v>114</v>
      </c>
      <c r="X27" s="103" t="s">
        <v>1597</v>
      </c>
      <c r="Y27" s="103" t="s">
        <v>1685</v>
      </c>
      <c r="AA27" s="103" t="s">
        <v>2156</v>
      </c>
      <c r="AB27" s="103" t="s">
        <v>68</v>
      </c>
      <c r="AC27" s="103" t="s">
        <v>2159</v>
      </c>
      <c r="AD27" s="103" t="s">
        <v>2160</v>
      </c>
      <c r="AE27" s="103" t="s">
        <v>766</v>
      </c>
      <c r="AF27" s="103" t="b">
        <v>1</v>
      </c>
    </row>
    <row r="28" spans="1:32" hidden="1" x14ac:dyDescent="0.2">
      <c r="A28" s="103" t="s">
        <v>302</v>
      </c>
      <c r="B28" s="103" t="s">
        <v>301</v>
      </c>
      <c r="C28" s="103" t="s">
        <v>2190</v>
      </c>
      <c r="E28" s="103" t="s">
        <v>2196</v>
      </c>
      <c r="F28" s="103" t="s">
        <v>2175</v>
      </c>
      <c r="G28" s="103">
        <v>250</v>
      </c>
      <c r="H28" s="103" t="s">
        <v>2152</v>
      </c>
      <c r="I28" s="103" t="s">
        <v>2153</v>
      </c>
      <c r="J28" s="103">
        <v>125</v>
      </c>
      <c r="K28" s="103">
        <v>125</v>
      </c>
      <c r="N28" s="103" t="s">
        <v>2163</v>
      </c>
      <c r="O28" s="103">
        <v>250</v>
      </c>
      <c r="P28" s="103" t="s">
        <v>1059</v>
      </c>
      <c r="Q28" s="103" t="s">
        <v>2155</v>
      </c>
      <c r="R28" s="103" t="s">
        <v>121</v>
      </c>
      <c r="S28" s="103" t="s">
        <v>2192</v>
      </c>
      <c r="U28" s="103">
        <v>128.25</v>
      </c>
      <c r="V28" s="103" t="s">
        <v>2158</v>
      </c>
      <c r="W28" s="103" t="s">
        <v>121</v>
      </c>
      <c r="X28" s="103" t="s">
        <v>1597</v>
      </c>
      <c r="Y28" s="103" t="s">
        <v>1685</v>
      </c>
      <c r="AA28" s="103" t="s">
        <v>121</v>
      </c>
      <c r="AB28" s="103" t="s">
        <v>68</v>
      </c>
      <c r="AC28" s="103" t="s">
        <v>2197</v>
      </c>
      <c r="AD28" s="103" t="s">
        <v>2160</v>
      </c>
      <c r="AE28" s="103" t="s">
        <v>766</v>
      </c>
      <c r="AF28" s="103" t="b">
        <v>1</v>
      </c>
    </row>
    <row r="29" spans="1:32" hidden="1" x14ac:dyDescent="0.2">
      <c r="A29" s="103" t="s">
        <v>302</v>
      </c>
      <c r="B29" s="103" t="s">
        <v>301</v>
      </c>
      <c r="C29" s="103" t="s">
        <v>2190</v>
      </c>
      <c r="E29" s="103" t="s">
        <v>133</v>
      </c>
      <c r="F29" s="103" t="s">
        <v>2162</v>
      </c>
      <c r="G29" s="103">
        <v>133</v>
      </c>
      <c r="H29" s="103" t="s">
        <v>2152</v>
      </c>
      <c r="I29" s="103" t="s">
        <v>2153</v>
      </c>
      <c r="K29" s="103">
        <v>100</v>
      </c>
      <c r="L29" s="103">
        <v>33</v>
      </c>
      <c r="N29" s="103" t="s">
        <v>2163</v>
      </c>
      <c r="O29" s="103">
        <v>133</v>
      </c>
      <c r="P29" s="103" t="s">
        <v>1059</v>
      </c>
      <c r="Q29" s="103" t="s">
        <v>2155</v>
      </c>
      <c r="R29" s="103" t="s">
        <v>2164</v>
      </c>
      <c r="S29" s="103" t="s">
        <v>2192</v>
      </c>
      <c r="U29" s="103">
        <v>87.114999999999995</v>
      </c>
      <c r="V29" s="103" t="s">
        <v>2158</v>
      </c>
      <c r="W29" s="103" t="s">
        <v>133</v>
      </c>
      <c r="X29" s="103" t="s">
        <v>1597</v>
      </c>
      <c r="Y29" s="103" t="s">
        <v>1685</v>
      </c>
      <c r="AA29" s="103" t="s">
        <v>2164</v>
      </c>
      <c r="AB29" s="103" t="s">
        <v>68</v>
      </c>
      <c r="AC29" s="103" t="s">
        <v>2198</v>
      </c>
      <c r="AD29" s="103" t="s">
        <v>2160</v>
      </c>
      <c r="AE29" s="103" t="s">
        <v>766</v>
      </c>
      <c r="AF29" s="103" t="b">
        <v>1</v>
      </c>
    </row>
    <row r="30" spans="1:32" hidden="1" x14ac:dyDescent="0.2">
      <c r="A30" s="103" t="s">
        <v>302</v>
      </c>
      <c r="B30" s="103" t="s">
        <v>301</v>
      </c>
      <c r="C30" s="103" t="s">
        <v>2199</v>
      </c>
      <c r="D30" s="103" t="s">
        <v>2200</v>
      </c>
      <c r="E30" s="103" t="s">
        <v>2201</v>
      </c>
      <c r="F30" s="103" t="s">
        <v>2202</v>
      </c>
      <c r="G30" s="103">
        <v>680</v>
      </c>
      <c r="H30" s="103" t="s">
        <v>2152</v>
      </c>
      <c r="I30" s="103" t="s">
        <v>2153</v>
      </c>
      <c r="K30" s="103">
        <v>200</v>
      </c>
      <c r="L30" s="103">
        <v>240</v>
      </c>
      <c r="M30" s="103">
        <v>240</v>
      </c>
      <c r="N30" s="103" t="s">
        <v>2163</v>
      </c>
      <c r="O30" s="103">
        <v>680</v>
      </c>
      <c r="P30" s="103" t="s">
        <v>771</v>
      </c>
      <c r="Q30" s="103" t="s">
        <v>2155</v>
      </c>
      <c r="R30" s="103" t="s">
        <v>2164</v>
      </c>
      <c r="S30" s="103" t="s">
        <v>2192</v>
      </c>
      <c r="U30" s="103">
        <v>408</v>
      </c>
      <c r="V30" s="103" t="s">
        <v>2158</v>
      </c>
      <c r="W30" s="103" t="s">
        <v>132</v>
      </c>
      <c r="X30" s="103" t="s">
        <v>1597</v>
      </c>
      <c r="Y30" s="103" t="s">
        <v>1685</v>
      </c>
      <c r="AA30" s="103" t="s">
        <v>2164</v>
      </c>
      <c r="AB30" s="103" t="s">
        <v>68</v>
      </c>
      <c r="AC30" s="103" t="s">
        <v>2193</v>
      </c>
      <c r="AD30" s="103" t="s">
        <v>2203</v>
      </c>
      <c r="AE30" s="103" t="s">
        <v>766</v>
      </c>
      <c r="AF30" s="103" t="b">
        <v>1</v>
      </c>
    </row>
    <row r="31" spans="1:32" hidden="1" x14ac:dyDescent="0.2">
      <c r="A31" s="103" t="s">
        <v>302</v>
      </c>
      <c r="B31" s="103" t="s">
        <v>301</v>
      </c>
      <c r="C31" s="103" t="s">
        <v>2190</v>
      </c>
      <c r="E31" s="103" t="s">
        <v>2204</v>
      </c>
      <c r="F31" s="103" t="s">
        <v>2151</v>
      </c>
      <c r="G31" s="103">
        <v>100</v>
      </c>
      <c r="H31" s="103" t="s">
        <v>2168</v>
      </c>
      <c r="I31" s="103" t="s">
        <v>2153</v>
      </c>
      <c r="J31" s="103">
        <v>30</v>
      </c>
      <c r="K31" s="103">
        <v>30</v>
      </c>
      <c r="L31" s="103">
        <v>20</v>
      </c>
      <c r="M31" s="103">
        <v>20</v>
      </c>
      <c r="N31" s="103" t="s">
        <v>2163</v>
      </c>
      <c r="O31" s="103">
        <v>100</v>
      </c>
      <c r="P31" s="103" t="s">
        <v>771</v>
      </c>
      <c r="Q31" s="103" t="s">
        <v>2155</v>
      </c>
      <c r="R31" s="103" t="s">
        <v>2164</v>
      </c>
      <c r="S31" s="103" t="s">
        <v>2192</v>
      </c>
      <c r="U31" s="103">
        <v>60</v>
      </c>
      <c r="V31" s="103" t="s">
        <v>2158</v>
      </c>
      <c r="W31" s="103" t="s">
        <v>132</v>
      </c>
      <c r="X31" s="103" t="s">
        <v>1597</v>
      </c>
      <c r="Y31" s="103" t="s">
        <v>1685</v>
      </c>
      <c r="AA31" s="103" t="s">
        <v>2164</v>
      </c>
      <c r="AB31" s="103" t="s">
        <v>68</v>
      </c>
      <c r="AC31" s="103" t="s">
        <v>2193</v>
      </c>
      <c r="AD31" s="103" t="s">
        <v>2203</v>
      </c>
      <c r="AE31" s="103" t="s">
        <v>766</v>
      </c>
      <c r="AF31" s="103" t="b">
        <v>1</v>
      </c>
    </row>
    <row r="32" spans="1:32" hidden="1" x14ac:dyDescent="0.2">
      <c r="A32" s="103" t="s">
        <v>304</v>
      </c>
      <c r="B32" s="103" t="s">
        <v>303</v>
      </c>
      <c r="C32" s="103" t="s">
        <v>2205</v>
      </c>
      <c r="E32" s="103" t="s">
        <v>2191</v>
      </c>
      <c r="F32" s="103" t="s">
        <v>2162</v>
      </c>
      <c r="G32" s="103">
        <v>50</v>
      </c>
      <c r="H32" s="103" t="s">
        <v>2168</v>
      </c>
      <c r="I32" s="103" t="s">
        <v>2153</v>
      </c>
      <c r="K32" s="103">
        <v>30</v>
      </c>
      <c r="L32" s="103">
        <v>20</v>
      </c>
      <c r="N32" s="103" t="s">
        <v>2163</v>
      </c>
      <c r="O32" s="103">
        <v>50</v>
      </c>
      <c r="P32" s="103" t="s">
        <v>771</v>
      </c>
      <c r="Q32" s="103" t="s">
        <v>2155</v>
      </c>
      <c r="R32" s="103" t="s">
        <v>2164</v>
      </c>
      <c r="S32" s="103" t="s">
        <v>2192</v>
      </c>
      <c r="U32" s="103">
        <v>30</v>
      </c>
      <c r="V32" s="103" t="s">
        <v>2158</v>
      </c>
      <c r="W32" s="103" t="s">
        <v>132</v>
      </c>
      <c r="X32" s="103" t="s">
        <v>1597</v>
      </c>
      <c r="Y32" s="103" t="s">
        <v>1685</v>
      </c>
      <c r="AA32" s="103" t="s">
        <v>2164</v>
      </c>
      <c r="AB32" s="103" t="s">
        <v>68</v>
      </c>
      <c r="AC32" s="103" t="s">
        <v>2193</v>
      </c>
      <c r="AD32" s="103" t="s">
        <v>2203</v>
      </c>
      <c r="AE32" s="103" t="s">
        <v>766</v>
      </c>
      <c r="AF32" s="103" t="b">
        <v>1</v>
      </c>
    </row>
    <row r="33" spans="1:32" hidden="1" x14ac:dyDescent="0.2">
      <c r="A33" s="103" t="s">
        <v>304</v>
      </c>
      <c r="B33" s="103" t="s">
        <v>303</v>
      </c>
      <c r="C33" s="103" t="s">
        <v>2205</v>
      </c>
      <c r="E33" s="103" t="s">
        <v>2174</v>
      </c>
      <c r="F33" s="103" t="s">
        <v>2162</v>
      </c>
      <c r="G33" s="103">
        <v>300</v>
      </c>
      <c r="H33" s="103" t="s">
        <v>2152</v>
      </c>
      <c r="I33" s="103" t="s">
        <v>2153</v>
      </c>
      <c r="J33" s="103">
        <v>100</v>
      </c>
      <c r="K33" s="103">
        <v>200</v>
      </c>
      <c r="N33" s="103" t="s">
        <v>2163</v>
      </c>
      <c r="O33" s="103">
        <v>300</v>
      </c>
      <c r="P33" s="103" t="s">
        <v>1059</v>
      </c>
      <c r="Q33" s="103" t="s">
        <v>2155</v>
      </c>
      <c r="R33" s="103" t="s">
        <v>2156</v>
      </c>
      <c r="S33" s="103" t="s">
        <v>2192</v>
      </c>
      <c r="U33" s="103">
        <v>153.9</v>
      </c>
      <c r="V33" s="103" t="s">
        <v>2158</v>
      </c>
      <c r="W33" s="103" t="s">
        <v>114</v>
      </c>
      <c r="X33" s="103" t="s">
        <v>1597</v>
      </c>
      <c r="Y33" s="103" t="s">
        <v>1685</v>
      </c>
      <c r="AA33" s="103" t="s">
        <v>2156</v>
      </c>
      <c r="AB33" s="103" t="s">
        <v>68</v>
      </c>
      <c r="AC33" s="103" t="s">
        <v>2159</v>
      </c>
      <c r="AD33" s="103" t="s">
        <v>2160</v>
      </c>
      <c r="AE33" s="103" t="s">
        <v>766</v>
      </c>
      <c r="AF33" s="103" t="b">
        <v>1</v>
      </c>
    </row>
    <row r="34" spans="1:32" hidden="1" x14ac:dyDescent="0.2">
      <c r="A34" s="103" t="s">
        <v>304</v>
      </c>
      <c r="B34" s="103" t="s">
        <v>303</v>
      </c>
      <c r="C34" s="103" t="s">
        <v>2205</v>
      </c>
      <c r="E34" s="103" t="s">
        <v>2195</v>
      </c>
      <c r="F34" s="103" t="s">
        <v>2162</v>
      </c>
      <c r="G34" s="103">
        <v>180</v>
      </c>
      <c r="H34" s="103" t="s">
        <v>2152</v>
      </c>
      <c r="I34" s="103" t="s">
        <v>2153</v>
      </c>
      <c r="J34" s="103">
        <v>90</v>
      </c>
      <c r="K34" s="103">
        <v>90</v>
      </c>
      <c r="N34" s="103" t="s">
        <v>2163</v>
      </c>
      <c r="O34" s="103">
        <v>180</v>
      </c>
      <c r="P34" s="103" t="s">
        <v>1059</v>
      </c>
      <c r="Q34" s="103" t="s">
        <v>2155</v>
      </c>
      <c r="R34" s="103" t="s">
        <v>2156</v>
      </c>
      <c r="S34" s="103" t="s">
        <v>2192</v>
      </c>
      <c r="U34" s="103">
        <v>92.34</v>
      </c>
      <c r="V34" s="103" t="s">
        <v>2158</v>
      </c>
      <c r="W34" s="103" t="s">
        <v>114</v>
      </c>
      <c r="X34" s="103" t="s">
        <v>1597</v>
      </c>
      <c r="Y34" s="103" t="s">
        <v>1685</v>
      </c>
      <c r="AA34" s="103" t="s">
        <v>2156</v>
      </c>
      <c r="AB34" s="103" t="s">
        <v>68</v>
      </c>
      <c r="AC34" s="103" t="s">
        <v>2159</v>
      </c>
      <c r="AD34" s="103" t="s">
        <v>2160</v>
      </c>
      <c r="AE34" s="103" t="s">
        <v>766</v>
      </c>
      <c r="AF34" s="103" t="b">
        <v>1</v>
      </c>
    </row>
    <row r="35" spans="1:32" hidden="1" x14ac:dyDescent="0.2">
      <c r="A35" s="103" t="s">
        <v>304</v>
      </c>
      <c r="B35" s="103" t="s">
        <v>303</v>
      </c>
      <c r="C35" s="103" t="s">
        <v>2205</v>
      </c>
      <c r="E35" s="103" t="s">
        <v>2206</v>
      </c>
      <c r="F35" s="103" t="s">
        <v>2162</v>
      </c>
      <c r="G35" s="103">
        <v>125</v>
      </c>
      <c r="H35" s="103" t="s">
        <v>2152</v>
      </c>
      <c r="I35" s="103" t="s">
        <v>2153</v>
      </c>
      <c r="J35" s="103">
        <v>25</v>
      </c>
      <c r="K35" s="103">
        <v>100</v>
      </c>
      <c r="N35" s="103" t="s">
        <v>2163</v>
      </c>
      <c r="O35" s="103">
        <v>125</v>
      </c>
      <c r="P35" s="103" t="s">
        <v>1059</v>
      </c>
      <c r="Q35" s="103" t="s">
        <v>2155</v>
      </c>
      <c r="R35" s="103" t="s">
        <v>121</v>
      </c>
      <c r="S35" s="103" t="s">
        <v>2192</v>
      </c>
      <c r="U35" s="103">
        <v>64.125</v>
      </c>
      <c r="V35" s="103" t="s">
        <v>2158</v>
      </c>
      <c r="W35" s="103" t="s">
        <v>121</v>
      </c>
      <c r="X35" s="103" t="s">
        <v>1597</v>
      </c>
      <c r="Y35" s="103" t="s">
        <v>1685</v>
      </c>
      <c r="AA35" s="103" t="s">
        <v>121</v>
      </c>
      <c r="AB35" s="103" t="s">
        <v>68</v>
      </c>
      <c r="AC35" s="103" t="s">
        <v>2197</v>
      </c>
      <c r="AD35" s="103" t="s">
        <v>2160</v>
      </c>
      <c r="AE35" s="103" t="s">
        <v>766</v>
      </c>
      <c r="AF35" s="103" t="b">
        <v>1</v>
      </c>
    </row>
    <row r="36" spans="1:32" hidden="1" x14ac:dyDescent="0.2">
      <c r="A36" s="103" t="s">
        <v>304</v>
      </c>
      <c r="B36" s="103" t="s">
        <v>303</v>
      </c>
      <c r="E36" s="103" t="s">
        <v>2204</v>
      </c>
      <c r="F36" s="103" t="s">
        <v>2151</v>
      </c>
      <c r="G36" s="103">
        <v>100</v>
      </c>
      <c r="H36" s="103" t="s">
        <v>2168</v>
      </c>
      <c r="I36" s="103" t="s">
        <v>2153</v>
      </c>
      <c r="J36" s="103">
        <v>30</v>
      </c>
      <c r="K36" s="103">
        <v>30</v>
      </c>
      <c r="L36" s="103">
        <v>20</v>
      </c>
      <c r="M36" s="103">
        <v>20</v>
      </c>
      <c r="N36" s="103" t="s">
        <v>2163</v>
      </c>
      <c r="O36" s="103">
        <v>100</v>
      </c>
      <c r="P36" s="103" t="s">
        <v>771</v>
      </c>
      <c r="Q36" s="103" t="s">
        <v>2155</v>
      </c>
      <c r="R36" s="103" t="s">
        <v>2164</v>
      </c>
      <c r="S36" s="103" t="s">
        <v>2192</v>
      </c>
      <c r="U36" s="103">
        <v>60</v>
      </c>
      <c r="V36" s="103" t="s">
        <v>2158</v>
      </c>
      <c r="W36" s="103" t="s">
        <v>132</v>
      </c>
      <c r="X36" s="103" t="s">
        <v>1597</v>
      </c>
      <c r="Y36" s="103" t="s">
        <v>1685</v>
      </c>
      <c r="AA36" s="103" t="s">
        <v>2164</v>
      </c>
      <c r="AB36" s="103" t="s">
        <v>68</v>
      </c>
      <c r="AC36" s="103" t="s">
        <v>2193</v>
      </c>
      <c r="AD36" s="103" t="s">
        <v>2203</v>
      </c>
      <c r="AE36" s="103" t="s">
        <v>766</v>
      </c>
      <c r="AF36" s="103" t="b">
        <v>1</v>
      </c>
    </row>
    <row r="37" spans="1:32" hidden="1" x14ac:dyDescent="0.2">
      <c r="A37" s="103" t="s">
        <v>308</v>
      </c>
      <c r="B37" s="103" t="s">
        <v>307</v>
      </c>
      <c r="C37" s="103" t="s">
        <v>2207</v>
      </c>
      <c r="E37" s="103" t="s">
        <v>2208</v>
      </c>
      <c r="F37" s="103" t="s">
        <v>2175</v>
      </c>
      <c r="G37" s="103">
        <v>160</v>
      </c>
      <c r="H37" s="103" t="s">
        <v>2152</v>
      </c>
      <c r="I37" s="103" t="s">
        <v>2153</v>
      </c>
      <c r="J37" s="103">
        <v>40</v>
      </c>
      <c r="K37" s="103">
        <v>40</v>
      </c>
      <c r="L37" s="103">
        <v>40</v>
      </c>
      <c r="M37" s="103">
        <v>40</v>
      </c>
      <c r="N37" s="103" t="s">
        <v>2163</v>
      </c>
      <c r="O37" s="103">
        <v>160</v>
      </c>
      <c r="P37" s="103" t="s">
        <v>1059</v>
      </c>
      <c r="Q37" s="103" t="s">
        <v>2155</v>
      </c>
      <c r="R37" s="103" t="s">
        <v>2156</v>
      </c>
      <c r="S37" s="103" t="s">
        <v>2209</v>
      </c>
      <c r="U37" s="103">
        <v>82.08</v>
      </c>
      <c r="V37" s="103" t="s">
        <v>2158</v>
      </c>
      <c r="W37" s="103" t="s">
        <v>114</v>
      </c>
      <c r="X37" s="103" t="s">
        <v>1597</v>
      </c>
      <c r="Y37" s="103" t="s">
        <v>1685</v>
      </c>
      <c r="AA37" s="103" t="s">
        <v>2156</v>
      </c>
      <c r="AB37" s="103" t="s">
        <v>68</v>
      </c>
      <c r="AC37" s="103" t="s">
        <v>2159</v>
      </c>
      <c r="AD37" s="103" t="s">
        <v>2160</v>
      </c>
      <c r="AE37" s="103" t="s">
        <v>766</v>
      </c>
      <c r="AF37" s="103" t="b">
        <v>1</v>
      </c>
    </row>
    <row r="38" spans="1:32" hidden="1" x14ac:dyDescent="0.2">
      <c r="A38" s="103" t="s">
        <v>310</v>
      </c>
      <c r="B38" s="103" t="s">
        <v>309</v>
      </c>
      <c r="E38" s="103" t="s">
        <v>2191</v>
      </c>
      <c r="F38" s="103" t="s">
        <v>2175</v>
      </c>
      <c r="G38" s="103">
        <v>20</v>
      </c>
      <c r="H38" s="103" t="s">
        <v>2168</v>
      </c>
      <c r="I38" s="103" t="s">
        <v>2153</v>
      </c>
      <c r="J38" s="103">
        <v>20</v>
      </c>
      <c r="N38" s="103" t="s">
        <v>2163</v>
      </c>
      <c r="O38" s="103">
        <v>20</v>
      </c>
      <c r="P38" s="103" t="s">
        <v>771</v>
      </c>
      <c r="Q38" s="103" t="s">
        <v>2155</v>
      </c>
      <c r="R38" s="103" t="s">
        <v>2164</v>
      </c>
      <c r="S38" s="103" t="s">
        <v>2192</v>
      </c>
      <c r="U38" s="103">
        <v>12</v>
      </c>
      <c r="V38" s="103" t="s">
        <v>2158</v>
      </c>
      <c r="W38" s="103" t="s">
        <v>132</v>
      </c>
      <c r="X38" s="103" t="s">
        <v>1597</v>
      </c>
      <c r="Y38" s="103" t="s">
        <v>1685</v>
      </c>
      <c r="AA38" s="103" t="s">
        <v>2164</v>
      </c>
      <c r="AB38" s="103" t="s">
        <v>68</v>
      </c>
      <c r="AC38" s="103" t="s">
        <v>2193</v>
      </c>
      <c r="AD38" s="103" t="s">
        <v>2203</v>
      </c>
      <c r="AE38" s="103" t="s">
        <v>766</v>
      </c>
      <c r="AF38" s="103" t="b">
        <v>1</v>
      </c>
    </row>
    <row r="39" spans="1:32" hidden="1" x14ac:dyDescent="0.2">
      <c r="A39" s="103" t="s">
        <v>310</v>
      </c>
      <c r="B39" s="103" t="s">
        <v>309</v>
      </c>
      <c r="C39" s="103" t="s">
        <v>2210</v>
      </c>
      <c r="E39" s="103" t="s">
        <v>2174</v>
      </c>
      <c r="F39" s="103" t="s">
        <v>2151</v>
      </c>
      <c r="G39" s="103">
        <v>600</v>
      </c>
      <c r="H39" s="103" t="s">
        <v>2152</v>
      </c>
      <c r="I39" s="103" t="s">
        <v>2153</v>
      </c>
      <c r="J39" s="103">
        <v>300</v>
      </c>
      <c r="K39" s="103">
        <v>300</v>
      </c>
      <c r="N39" s="103" t="s">
        <v>2163</v>
      </c>
      <c r="O39" s="103">
        <v>600</v>
      </c>
      <c r="P39" s="103" t="s">
        <v>1059</v>
      </c>
      <c r="Q39" s="103" t="s">
        <v>2155</v>
      </c>
      <c r="R39" s="103" t="s">
        <v>2156</v>
      </c>
      <c r="S39" s="103" t="s">
        <v>2192</v>
      </c>
      <c r="U39" s="103">
        <v>307.8</v>
      </c>
      <c r="V39" s="103" t="s">
        <v>2158</v>
      </c>
      <c r="W39" s="103" t="s">
        <v>114</v>
      </c>
      <c r="X39" s="103" t="s">
        <v>1597</v>
      </c>
      <c r="Y39" s="103" t="s">
        <v>1685</v>
      </c>
      <c r="AA39" s="103" t="s">
        <v>2156</v>
      </c>
      <c r="AB39" s="103" t="s">
        <v>68</v>
      </c>
      <c r="AC39" s="103" t="s">
        <v>2159</v>
      </c>
      <c r="AD39" s="103" t="s">
        <v>2160</v>
      </c>
      <c r="AE39" s="103" t="s">
        <v>766</v>
      </c>
      <c r="AF39" s="103" t="b">
        <v>1</v>
      </c>
    </row>
    <row r="40" spans="1:32" hidden="1" x14ac:dyDescent="0.2">
      <c r="A40" s="103" t="s">
        <v>310</v>
      </c>
      <c r="B40" s="103" t="s">
        <v>309</v>
      </c>
      <c r="C40" s="103" t="s">
        <v>2210</v>
      </c>
      <c r="E40" s="103" t="s">
        <v>2195</v>
      </c>
      <c r="F40" s="103" t="s">
        <v>2162</v>
      </c>
      <c r="G40" s="103">
        <v>180</v>
      </c>
      <c r="H40" s="103" t="s">
        <v>2152</v>
      </c>
      <c r="I40" s="103" t="s">
        <v>2153</v>
      </c>
      <c r="J40" s="103">
        <v>0</v>
      </c>
      <c r="K40" s="103">
        <v>180</v>
      </c>
      <c r="N40" s="103" t="s">
        <v>2163</v>
      </c>
      <c r="O40" s="103">
        <v>180</v>
      </c>
      <c r="P40" s="103" t="s">
        <v>1059</v>
      </c>
      <c r="Q40" s="103" t="s">
        <v>2155</v>
      </c>
      <c r="R40" s="103" t="s">
        <v>2156</v>
      </c>
      <c r="S40" s="103" t="s">
        <v>2192</v>
      </c>
      <c r="U40" s="103">
        <v>92.34</v>
      </c>
      <c r="V40" s="103" t="s">
        <v>2158</v>
      </c>
      <c r="W40" s="103" t="s">
        <v>114</v>
      </c>
      <c r="X40" s="103" t="s">
        <v>1597</v>
      </c>
      <c r="Y40" s="103" t="s">
        <v>1685</v>
      </c>
      <c r="AA40" s="103" t="s">
        <v>2156</v>
      </c>
      <c r="AB40" s="103" t="s">
        <v>68</v>
      </c>
      <c r="AC40" s="103" t="s">
        <v>2159</v>
      </c>
      <c r="AD40" s="103" t="s">
        <v>2160</v>
      </c>
      <c r="AE40" s="103" t="s">
        <v>766</v>
      </c>
      <c r="AF40" s="103" t="b">
        <v>1</v>
      </c>
    </row>
    <row r="41" spans="1:32" hidden="1" x14ac:dyDescent="0.2">
      <c r="A41" s="103" t="s">
        <v>310</v>
      </c>
      <c r="B41" s="103" t="s">
        <v>309</v>
      </c>
      <c r="C41" s="103" t="s">
        <v>2210</v>
      </c>
      <c r="E41" s="103" t="s">
        <v>2211</v>
      </c>
      <c r="F41" s="103" t="s">
        <v>2175</v>
      </c>
      <c r="G41" s="103">
        <v>140</v>
      </c>
      <c r="H41" s="103" t="s">
        <v>2152</v>
      </c>
      <c r="I41" s="103" t="s">
        <v>2153</v>
      </c>
      <c r="J41" s="103">
        <v>70</v>
      </c>
      <c r="K41" s="103">
        <v>70</v>
      </c>
      <c r="N41" s="103" t="s">
        <v>2163</v>
      </c>
      <c r="O41" s="103">
        <v>140</v>
      </c>
      <c r="P41" s="103" t="s">
        <v>1059</v>
      </c>
      <c r="Q41" s="103" t="s">
        <v>2155</v>
      </c>
      <c r="R41" s="103" t="s">
        <v>2156</v>
      </c>
      <c r="S41" s="103" t="s">
        <v>2192</v>
      </c>
      <c r="U41" s="103">
        <v>71.819999999999993</v>
      </c>
      <c r="V41" s="103" t="s">
        <v>2158</v>
      </c>
      <c r="W41" s="103" t="s">
        <v>114</v>
      </c>
      <c r="X41" s="103" t="s">
        <v>1597</v>
      </c>
      <c r="Y41" s="103" t="s">
        <v>1685</v>
      </c>
      <c r="AA41" s="103" t="s">
        <v>2156</v>
      </c>
      <c r="AB41" s="103" t="s">
        <v>68</v>
      </c>
      <c r="AC41" s="103" t="s">
        <v>2159</v>
      </c>
      <c r="AD41" s="103" t="s">
        <v>2160</v>
      </c>
      <c r="AE41" s="103" t="s">
        <v>766</v>
      </c>
      <c r="AF41" s="103" t="b">
        <v>1</v>
      </c>
    </row>
    <row r="42" spans="1:32" hidden="1" x14ac:dyDescent="0.2">
      <c r="A42" s="103" t="s">
        <v>312</v>
      </c>
      <c r="B42" s="103" t="s">
        <v>311</v>
      </c>
      <c r="C42" s="103" t="s">
        <v>2212</v>
      </c>
      <c r="E42" s="103" t="s">
        <v>2174</v>
      </c>
      <c r="F42" s="103" t="s">
        <v>2162</v>
      </c>
      <c r="G42" s="103">
        <v>300</v>
      </c>
      <c r="H42" s="103" t="s">
        <v>2152</v>
      </c>
      <c r="I42" s="103" t="s">
        <v>2153</v>
      </c>
      <c r="L42" s="103">
        <v>50</v>
      </c>
      <c r="M42" s="103">
        <v>250</v>
      </c>
      <c r="N42" s="103" t="s">
        <v>2163</v>
      </c>
      <c r="O42" s="103">
        <v>300</v>
      </c>
      <c r="P42" s="103" t="s">
        <v>1059</v>
      </c>
      <c r="Q42" s="103" t="s">
        <v>2155</v>
      </c>
      <c r="R42" s="103" t="s">
        <v>2156</v>
      </c>
      <c r="S42" s="103" t="s">
        <v>2209</v>
      </c>
      <c r="U42" s="103">
        <v>153.9</v>
      </c>
      <c r="V42" s="103" t="s">
        <v>2158</v>
      </c>
      <c r="W42" s="103" t="s">
        <v>114</v>
      </c>
      <c r="X42" s="103" t="s">
        <v>1597</v>
      </c>
      <c r="Y42" s="103" t="s">
        <v>1685</v>
      </c>
      <c r="AA42" s="103" t="s">
        <v>2156</v>
      </c>
      <c r="AB42" s="103" t="s">
        <v>68</v>
      </c>
      <c r="AC42" s="103" t="s">
        <v>2159</v>
      </c>
      <c r="AD42" s="103" t="s">
        <v>2160</v>
      </c>
      <c r="AE42" s="103" t="s">
        <v>766</v>
      </c>
      <c r="AF42" s="103" t="b">
        <v>1</v>
      </c>
    </row>
    <row r="43" spans="1:32" hidden="1" x14ac:dyDescent="0.2">
      <c r="A43" s="103" t="s">
        <v>312</v>
      </c>
      <c r="B43" s="103" t="s">
        <v>311</v>
      </c>
      <c r="C43" s="103" t="s">
        <v>2212</v>
      </c>
      <c r="E43" s="103" t="s">
        <v>2213</v>
      </c>
      <c r="F43" s="103" t="s">
        <v>2162</v>
      </c>
      <c r="G43" s="103">
        <v>200</v>
      </c>
      <c r="H43" s="103" t="s">
        <v>2152</v>
      </c>
      <c r="I43" s="103" t="s">
        <v>2153</v>
      </c>
      <c r="L43" s="103">
        <v>60</v>
      </c>
      <c r="M43" s="103">
        <v>140</v>
      </c>
      <c r="N43" s="103" t="s">
        <v>2163</v>
      </c>
      <c r="O43" s="103">
        <v>200</v>
      </c>
      <c r="P43" s="103" t="s">
        <v>1059</v>
      </c>
      <c r="Q43" s="103" t="s">
        <v>2155</v>
      </c>
      <c r="R43" s="103" t="s">
        <v>2156</v>
      </c>
      <c r="S43" s="103" t="s">
        <v>2209</v>
      </c>
      <c r="U43" s="103">
        <v>102.6</v>
      </c>
      <c r="V43" s="103" t="s">
        <v>2158</v>
      </c>
      <c r="W43" s="103" t="s">
        <v>114</v>
      </c>
      <c r="X43" s="103" t="s">
        <v>1597</v>
      </c>
      <c r="Y43" s="103" t="s">
        <v>1685</v>
      </c>
      <c r="AA43" s="103" t="s">
        <v>2156</v>
      </c>
      <c r="AB43" s="103" t="s">
        <v>68</v>
      </c>
      <c r="AC43" s="103" t="s">
        <v>2159</v>
      </c>
      <c r="AD43" s="103" t="s">
        <v>2160</v>
      </c>
      <c r="AE43" s="103" t="s">
        <v>766</v>
      </c>
      <c r="AF43" s="103" t="b">
        <v>1</v>
      </c>
    </row>
    <row r="44" spans="1:32" hidden="1" x14ac:dyDescent="0.2">
      <c r="A44" s="103" t="s">
        <v>312</v>
      </c>
      <c r="B44" s="103" t="s">
        <v>311</v>
      </c>
      <c r="C44" s="103" t="s">
        <v>2212</v>
      </c>
      <c r="E44" s="103" t="s">
        <v>133</v>
      </c>
      <c r="F44" s="103" t="s">
        <v>2151</v>
      </c>
      <c r="G44" s="103">
        <v>100</v>
      </c>
      <c r="H44" s="103" t="s">
        <v>2168</v>
      </c>
      <c r="I44" s="103" t="s">
        <v>2153</v>
      </c>
      <c r="L44" s="103">
        <v>50</v>
      </c>
      <c r="M44" s="103">
        <v>50</v>
      </c>
      <c r="N44" s="103" t="s">
        <v>2163</v>
      </c>
      <c r="O44" s="103">
        <v>100</v>
      </c>
      <c r="P44" s="103" t="s">
        <v>1059</v>
      </c>
      <c r="Q44" s="103" t="s">
        <v>2155</v>
      </c>
      <c r="R44" s="103" t="s">
        <v>2164</v>
      </c>
      <c r="S44" s="103" t="s">
        <v>2209</v>
      </c>
      <c r="U44" s="103">
        <v>65.5</v>
      </c>
      <c r="V44" s="103" t="s">
        <v>2158</v>
      </c>
      <c r="W44" s="103" t="s">
        <v>133</v>
      </c>
      <c r="X44" s="103" t="s">
        <v>1597</v>
      </c>
      <c r="Y44" s="103" t="s">
        <v>1685</v>
      </c>
      <c r="AA44" s="103" t="s">
        <v>2164</v>
      </c>
      <c r="AB44" s="103" t="s">
        <v>68</v>
      </c>
      <c r="AC44" s="103" t="s">
        <v>2198</v>
      </c>
      <c r="AD44" s="103" t="s">
        <v>2160</v>
      </c>
      <c r="AE44" s="103" t="s">
        <v>766</v>
      </c>
      <c r="AF44" s="103" t="b">
        <v>1</v>
      </c>
    </row>
    <row r="45" spans="1:32" hidden="1" x14ac:dyDescent="0.2">
      <c r="A45" s="103" t="s">
        <v>312</v>
      </c>
      <c r="B45" s="103" t="s">
        <v>311</v>
      </c>
      <c r="C45" s="103" t="s">
        <v>2212</v>
      </c>
      <c r="E45" s="103" t="s">
        <v>134</v>
      </c>
      <c r="F45" s="103" t="s">
        <v>2151</v>
      </c>
      <c r="G45" s="103">
        <v>100</v>
      </c>
      <c r="H45" s="103" t="s">
        <v>2168</v>
      </c>
      <c r="I45" s="103" t="s">
        <v>2153</v>
      </c>
      <c r="L45" s="103">
        <v>50</v>
      </c>
      <c r="M45" s="103">
        <v>50</v>
      </c>
      <c r="N45" s="103" t="s">
        <v>2163</v>
      </c>
      <c r="O45" s="103">
        <v>100</v>
      </c>
      <c r="P45" s="103" t="s">
        <v>1059</v>
      </c>
      <c r="Q45" s="103" t="s">
        <v>2155</v>
      </c>
      <c r="R45" s="103" t="s">
        <v>1638</v>
      </c>
      <c r="S45" s="103" t="s">
        <v>2209</v>
      </c>
      <c r="U45" s="103">
        <v>113.4</v>
      </c>
      <c r="V45" s="103" t="s">
        <v>2158</v>
      </c>
      <c r="W45" s="103" t="s">
        <v>134</v>
      </c>
      <c r="X45" s="103" t="s">
        <v>1597</v>
      </c>
      <c r="Y45" s="103" t="s">
        <v>1685</v>
      </c>
      <c r="AA45" s="103" t="s">
        <v>1638</v>
      </c>
      <c r="AB45" s="103" t="s">
        <v>68</v>
      </c>
      <c r="AD45" s="103" t="s">
        <v>2160</v>
      </c>
      <c r="AE45" s="103" t="s">
        <v>766</v>
      </c>
      <c r="AF45" s="103" t="b">
        <v>1</v>
      </c>
    </row>
    <row r="46" spans="1:32" hidden="1" x14ac:dyDescent="0.2">
      <c r="A46" s="103" t="s">
        <v>314</v>
      </c>
      <c r="B46" s="103" t="s">
        <v>313</v>
      </c>
      <c r="C46" s="103" t="s">
        <v>2214</v>
      </c>
      <c r="E46" s="103" t="s">
        <v>2167</v>
      </c>
      <c r="F46" s="103" t="s">
        <v>2175</v>
      </c>
      <c r="G46" s="103">
        <v>20</v>
      </c>
      <c r="H46" s="103" t="s">
        <v>2168</v>
      </c>
      <c r="I46" s="103" t="s">
        <v>2153</v>
      </c>
      <c r="L46" s="103">
        <v>20</v>
      </c>
      <c r="N46" s="103" t="s">
        <v>2163</v>
      </c>
      <c r="O46" s="103">
        <v>20</v>
      </c>
      <c r="P46" s="103" t="s">
        <v>1059</v>
      </c>
      <c r="Q46" s="103" t="s">
        <v>2155</v>
      </c>
      <c r="R46" s="103" t="s">
        <v>2156</v>
      </c>
      <c r="S46" s="103" t="s">
        <v>2192</v>
      </c>
      <c r="U46" s="103">
        <v>10.26</v>
      </c>
      <c r="V46" s="103" t="s">
        <v>2158</v>
      </c>
      <c r="W46" s="103" t="s">
        <v>114</v>
      </c>
      <c r="X46" s="103" t="s">
        <v>1597</v>
      </c>
      <c r="Y46" s="103" t="s">
        <v>1685</v>
      </c>
      <c r="AA46" s="103" t="s">
        <v>2156</v>
      </c>
      <c r="AB46" s="103" t="s">
        <v>68</v>
      </c>
      <c r="AC46" s="103" t="s">
        <v>2159</v>
      </c>
      <c r="AD46" s="103" t="s">
        <v>2160</v>
      </c>
      <c r="AE46" s="103" t="s">
        <v>766</v>
      </c>
      <c r="AF46" s="103" t="b">
        <v>1</v>
      </c>
    </row>
    <row r="47" spans="1:32" hidden="1" x14ac:dyDescent="0.2">
      <c r="A47" s="103" t="s">
        <v>314</v>
      </c>
      <c r="B47" s="103" t="s">
        <v>313</v>
      </c>
      <c r="C47" s="103" t="s">
        <v>2215</v>
      </c>
      <c r="E47" s="103" t="s">
        <v>2174</v>
      </c>
      <c r="F47" s="103" t="s">
        <v>2162</v>
      </c>
      <c r="G47" s="103">
        <v>300</v>
      </c>
      <c r="H47" s="103" t="s">
        <v>2152</v>
      </c>
      <c r="I47" s="103" t="s">
        <v>2153</v>
      </c>
      <c r="L47" s="103">
        <v>300</v>
      </c>
      <c r="N47" s="103" t="s">
        <v>2163</v>
      </c>
      <c r="O47" s="103">
        <v>300</v>
      </c>
      <c r="P47" s="103" t="s">
        <v>1059</v>
      </c>
      <c r="Q47" s="103" t="s">
        <v>2155</v>
      </c>
      <c r="R47" s="103" t="s">
        <v>2156</v>
      </c>
      <c r="S47" s="103" t="s">
        <v>2192</v>
      </c>
      <c r="U47" s="103">
        <v>153.9</v>
      </c>
      <c r="V47" s="103" t="s">
        <v>2158</v>
      </c>
      <c r="W47" s="103" t="s">
        <v>114</v>
      </c>
      <c r="X47" s="103" t="s">
        <v>1597</v>
      </c>
      <c r="Y47" s="103" t="s">
        <v>1685</v>
      </c>
      <c r="AA47" s="103" t="s">
        <v>2156</v>
      </c>
      <c r="AB47" s="103" t="s">
        <v>68</v>
      </c>
      <c r="AC47" s="103" t="s">
        <v>2159</v>
      </c>
      <c r="AD47" s="103" t="s">
        <v>2160</v>
      </c>
      <c r="AE47" s="103" t="s">
        <v>766</v>
      </c>
      <c r="AF47" s="103" t="b">
        <v>1</v>
      </c>
    </row>
    <row r="48" spans="1:32" hidden="1" x14ac:dyDescent="0.2">
      <c r="A48" s="103" t="s">
        <v>314</v>
      </c>
      <c r="B48" s="103" t="s">
        <v>313</v>
      </c>
      <c r="C48" s="103" t="s">
        <v>2215</v>
      </c>
      <c r="E48" s="103" t="s">
        <v>2174</v>
      </c>
      <c r="F48" s="103" t="s">
        <v>2162</v>
      </c>
      <c r="G48" s="103">
        <v>300</v>
      </c>
      <c r="H48" s="103" t="s">
        <v>2152</v>
      </c>
      <c r="I48" s="103" t="s">
        <v>2153</v>
      </c>
      <c r="L48" s="103">
        <v>300</v>
      </c>
      <c r="N48" s="103" t="s">
        <v>2163</v>
      </c>
      <c r="O48" s="103">
        <v>300</v>
      </c>
      <c r="P48" s="103" t="s">
        <v>1059</v>
      </c>
      <c r="Q48" s="103" t="s">
        <v>2155</v>
      </c>
      <c r="R48" s="103" t="s">
        <v>2156</v>
      </c>
      <c r="S48" s="103" t="s">
        <v>2192</v>
      </c>
      <c r="U48" s="103">
        <v>153.9</v>
      </c>
      <c r="V48" s="103" t="s">
        <v>2158</v>
      </c>
      <c r="W48" s="103" t="s">
        <v>114</v>
      </c>
      <c r="X48" s="103" t="s">
        <v>1597</v>
      </c>
      <c r="Y48" s="103" t="s">
        <v>1685</v>
      </c>
      <c r="AA48" s="103" t="s">
        <v>2156</v>
      </c>
      <c r="AB48" s="103" t="s">
        <v>68</v>
      </c>
      <c r="AC48" s="103" t="s">
        <v>2159</v>
      </c>
      <c r="AD48" s="103" t="s">
        <v>2160</v>
      </c>
      <c r="AE48" s="103" t="s">
        <v>766</v>
      </c>
      <c r="AF48" s="103" t="b">
        <v>1</v>
      </c>
    </row>
    <row r="49" spans="1:32" hidden="1" x14ac:dyDescent="0.2">
      <c r="A49" s="103" t="s">
        <v>314</v>
      </c>
      <c r="B49" s="103" t="s">
        <v>313</v>
      </c>
      <c r="C49" s="103" t="s">
        <v>2216</v>
      </c>
      <c r="E49" s="103" t="s">
        <v>2174</v>
      </c>
      <c r="F49" s="103" t="s">
        <v>2162</v>
      </c>
      <c r="G49" s="103">
        <v>300</v>
      </c>
      <c r="H49" s="103" t="s">
        <v>2152</v>
      </c>
      <c r="I49" s="103" t="s">
        <v>2153</v>
      </c>
      <c r="L49" s="103">
        <v>300</v>
      </c>
      <c r="N49" s="103" t="s">
        <v>2163</v>
      </c>
      <c r="O49" s="103">
        <v>300</v>
      </c>
      <c r="P49" s="103" t="s">
        <v>1059</v>
      </c>
      <c r="Q49" s="103" t="s">
        <v>2155</v>
      </c>
      <c r="R49" s="103" t="s">
        <v>2156</v>
      </c>
      <c r="S49" s="103" t="s">
        <v>2192</v>
      </c>
      <c r="U49" s="103">
        <v>153.9</v>
      </c>
      <c r="V49" s="103" t="s">
        <v>2158</v>
      </c>
      <c r="W49" s="103" t="s">
        <v>114</v>
      </c>
      <c r="X49" s="103" t="s">
        <v>1597</v>
      </c>
      <c r="Y49" s="103" t="s">
        <v>1685</v>
      </c>
      <c r="AA49" s="103" t="s">
        <v>2156</v>
      </c>
      <c r="AB49" s="103" t="s">
        <v>68</v>
      </c>
      <c r="AC49" s="103" t="s">
        <v>2159</v>
      </c>
      <c r="AD49" s="103" t="s">
        <v>2160</v>
      </c>
      <c r="AE49" s="103" t="s">
        <v>766</v>
      </c>
      <c r="AF49" s="103" t="b">
        <v>1</v>
      </c>
    </row>
    <row r="50" spans="1:32" hidden="1" x14ac:dyDescent="0.2">
      <c r="A50" s="103" t="s">
        <v>316</v>
      </c>
      <c r="B50" s="103" t="s">
        <v>315</v>
      </c>
      <c r="C50" s="103" t="s">
        <v>2217</v>
      </c>
      <c r="D50" s="103" t="s">
        <v>2218</v>
      </c>
      <c r="E50" s="103" t="s">
        <v>2219</v>
      </c>
      <c r="F50" s="103" t="s">
        <v>2162</v>
      </c>
      <c r="G50" s="103">
        <v>50</v>
      </c>
      <c r="H50" s="103" t="s">
        <v>2168</v>
      </c>
      <c r="I50" s="103" t="s">
        <v>2153</v>
      </c>
      <c r="L50" s="103">
        <v>25</v>
      </c>
      <c r="M50" s="103">
        <v>25</v>
      </c>
      <c r="N50" s="103" t="s">
        <v>2163</v>
      </c>
      <c r="O50" s="103">
        <v>50</v>
      </c>
      <c r="P50" s="103" t="s">
        <v>1609</v>
      </c>
      <c r="Q50" s="103" t="s">
        <v>2155</v>
      </c>
      <c r="R50" s="103" t="s">
        <v>2220</v>
      </c>
      <c r="S50" s="103" t="s">
        <v>2209</v>
      </c>
      <c r="U50" s="103">
        <v>25.65</v>
      </c>
      <c r="V50" s="103" t="s">
        <v>2158</v>
      </c>
      <c r="W50" s="103" t="s">
        <v>116</v>
      </c>
      <c r="X50" s="103" t="s">
        <v>1597</v>
      </c>
      <c r="Y50" s="103" t="s">
        <v>1685</v>
      </c>
      <c r="AA50" s="103" t="s">
        <v>2220</v>
      </c>
      <c r="AB50" s="103" t="s">
        <v>71</v>
      </c>
      <c r="AE50" s="103" t="s">
        <v>898</v>
      </c>
      <c r="AF50" s="103" t="b">
        <v>1</v>
      </c>
    </row>
    <row r="51" spans="1:32" hidden="1" x14ac:dyDescent="0.2">
      <c r="A51" s="103" t="s">
        <v>318</v>
      </c>
      <c r="B51" s="103" t="s">
        <v>317</v>
      </c>
      <c r="C51" s="103" t="s">
        <v>2221</v>
      </c>
      <c r="D51" s="103" t="s">
        <v>2222</v>
      </c>
      <c r="E51" s="103" t="s">
        <v>2167</v>
      </c>
      <c r="F51" s="103" t="s">
        <v>2162</v>
      </c>
      <c r="G51" s="103">
        <v>100</v>
      </c>
      <c r="H51" s="103" t="s">
        <v>2152</v>
      </c>
      <c r="I51" s="103" t="s">
        <v>2153</v>
      </c>
      <c r="M51" s="103">
        <v>100</v>
      </c>
      <c r="N51" s="103" t="s">
        <v>2163</v>
      </c>
      <c r="O51" s="103">
        <v>100</v>
      </c>
      <c r="P51" s="103" t="s">
        <v>1059</v>
      </c>
      <c r="Q51" s="103" t="s">
        <v>2155</v>
      </c>
      <c r="R51" s="103" t="s">
        <v>2156</v>
      </c>
      <c r="S51" s="103" t="s">
        <v>2157</v>
      </c>
      <c r="U51" s="103">
        <v>51.3</v>
      </c>
      <c r="V51" s="103" t="s">
        <v>2158</v>
      </c>
      <c r="W51" s="103" t="s">
        <v>114</v>
      </c>
      <c r="X51" s="103" t="s">
        <v>1597</v>
      </c>
      <c r="Y51" s="103" t="s">
        <v>1685</v>
      </c>
      <c r="AA51" s="103" t="s">
        <v>2156</v>
      </c>
      <c r="AB51" s="103" t="s">
        <v>68</v>
      </c>
      <c r="AC51" s="103" t="s">
        <v>2159</v>
      </c>
      <c r="AD51" s="103" t="s">
        <v>2160</v>
      </c>
      <c r="AE51" s="103" t="s">
        <v>766</v>
      </c>
      <c r="AF51" s="103" t="b">
        <v>1</v>
      </c>
    </row>
    <row r="52" spans="1:32" hidden="1" x14ac:dyDescent="0.2">
      <c r="A52" s="103" t="s">
        <v>318</v>
      </c>
      <c r="B52" s="103" t="s">
        <v>317</v>
      </c>
      <c r="C52" s="103" t="s">
        <v>2223</v>
      </c>
      <c r="E52" s="103" t="s">
        <v>2208</v>
      </c>
      <c r="F52" s="103" t="s">
        <v>2162</v>
      </c>
      <c r="G52" s="103">
        <v>225</v>
      </c>
      <c r="H52" s="103" t="s">
        <v>2152</v>
      </c>
      <c r="I52" s="103" t="s">
        <v>2153</v>
      </c>
      <c r="M52" s="103">
        <v>225</v>
      </c>
      <c r="N52" s="103" t="s">
        <v>2163</v>
      </c>
      <c r="O52" s="103">
        <v>225</v>
      </c>
      <c r="P52" s="103" t="s">
        <v>1059</v>
      </c>
      <c r="Q52" s="103" t="s">
        <v>2155</v>
      </c>
      <c r="R52" s="103" t="s">
        <v>2156</v>
      </c>
      <c r="S52" s="103" t="s">
        <v>2157</v>
      </c>
      <c r="U52" s="103">
        <v>115.425</v>
      </c>
      <c r="V52" s="103" t="s">
        <v>2158</v>
      </c>
      <c r="W52" s="103" t="s">
        <v>114</v>
      </c>
      <c r="X52" s="103" t="s">
        <v>1597</v>
      </c>
      <c r="Y52" s="103" t="s">
        <v>1685</v>
      </c>
      <c r="AA52" s="103" t="s">
        <v>2156</v>
      </c>
      <c r="AB52" s="103" t="s">
        <v>68</v>
      </c>
      <c r="AC52" s="103" t="s">
        <v>2159</v>
      </c>
      <c r="AD52" s="103" t="s">
        <v>2160</v>
      </c>
      <c r="AE52" s="103" t="s">
        <v>766</v>
      </c>
      <c r="AF52" s="103" t="b">
        <v>1</v>
      </c>
    </row>
    <row r="53" spans="1:32" hidden="1" x14ac:dyDescent="0.2">
      <c r="A53" s="103" t="s">
        <v>318</v>
      </c>
      <c r="B53" s="103" t="s">
        <v>317</v>
      </c>
      <c r="C53" s="103" t="s">
        <v>2223</v>
      </c>
      <c r="E53" s="103" t="s">
        <v>2196</v>
      </c>
      <c r="F53" s="103" t="s">
        <v>2162</v>
      </c>
      <c r="G53" s="103">
        <v>250</v>
      </c>
      <c r="H53" s="103" t="s">
        <v>2152</v>
      </c>
      <c r="I53" s="103" t="s">
        <v>2153</v>
      </c>
      <c r="M53" s="103">
        <v>250</v>
      </c>
      <c r="N53" s="103" t="s">
        <v>2163</v>
      </c>
      <c r="O53" s="103">
        <v>250</v>
      </c>
      <c r="P53" s="103" t="s">
        <v>1059</v>
      </c>
      <c r="Q53" s="103" t="s">
        <v>2155</v>
      </c>
      <c r="R53" s="103" t="s">
        <v>121</v>
      </c>
      <c r="S53" s="103" t="s">
        <v>2157</v>
      </c>
      <c r="U53" s="103">
        <v>128.25</v>
      </c>
      <c r="V53" s="103" t="s">
        <v>2158</v>
      </c>
      <c r="W53" s="103" t="s">
        <v>121</v>
      </c>
      <c r="X53" s="103" t="s">
        <v>1597</v>
      </c>
      <c r="Y53" s="103" t="s">
        <v>1685</v>
      </c>
      <c r="AA53" s="103" t="s">
        <v>121</v>
      </c>
      <c r="AB53" s="103" t="s">
        <v>68</v>
      </c>
      <c r="AC53" s="103" t="s">
        <v>2197</v>
      </c>
      <c r="AD53" s="103" t="s">
        <v>2160</v>
      </c>
      <c r="AE53" s="103" t="s">
        <v>766</v>
      </c>
      <c r="AF53" s="103" t="b">
        <v>1</v>
      </c>
    </row>
    <row r="54" spans="1:32" hidden="1" x14ac:dyDescent="0.2">
      <c r="A54" s="103" t="s">
        <v>320</v>
      </c>
      <c r="B54" s="103" t="s">
        <v>319</v>
      </c>
      <c r="C54" s="103" t="s">
        <v>2224</v>
      </c>
      <c r="E54" s="103" t="s">
        <v>105</v>
      </c>
      <c r="F54" s="103" t="s">
        <v>2202</v>
      </c>
      <c r="G54" s="103">
        <v>250</v>
      </c>
      <c r="H54" s="103" t="s">
        <v>2152</v>
      </c>
      <c r="I54" s="103" t="s">
        <v>2153</v>
      </c>
      <c r="J54" s="103">
        <v>250</v>
      </c>
      <c r="N54" s="103" t="s">
        <v>2163</v>
      </c>
      <c r="O54" s="103">
        <v>250</v>
      </c>
      <c r="P54" s="103" t="s">
        <v>985</v>
      </c>
      <c r="Q54" s="103" t="s">
        <v>2155</v>
      </c>
      <c r="R54" s="103" t="s">
        <v>2225</v>
      </c>
      <c r="S54" s="103" t="s">
        <v>2157</v>
      </c>
      <c r="U54" s="103">
        <v>128.25</v>
      </c>
      <c r="V54" s="103" t="s">
        <v>2158</v>
      </c>
      <c r="W54" s="103" t="s">
        <v>105</v>
      </c>
      <c r="X54" s="103" t="s">
        <v>1597</v>
      </c>
      <c r="Y54" s="103" t="s">
        <v>1685</v>
      </c>
      <c r="AA54" s="103" t="s">
        <v>2225</v>
      </c>
      <c r="AB54" s="103" t="s">
        <v>64</v>
      </c>
      <c r="AE54" s="103" t="s">
        <v>984</v>
      </c>
      <c r="AF54" s="103" t="b">
        <v>1</v>
      </c>
    </row>
    <row r="55" spans="1:32" hidden="1" x14ac:dyDescent="0.2">
      <c r="A55" s="103" t="s">
        <v>322</v>
      </c>
      <c r="B55" s="103" t="s">
        <v>321</v>
      </c>
      <c r="C55" s="103" t="s">
        <v>322</v>
      </c>
      <c r="E55" s="103" t="s">
        <v>105</v>
      </c>
      <c r="F55" s="103" t="s">
        <v>2226</v>
      </c>
      <c r="G55" s="103">
        <v>375</v>
      </c>
      <c r="H55" s="103" t="s">
        <v>2152</v>
      </c>
      <c r="I55" s="103" t="s">
        <v>2153</v>
      </c>
      <c r="L55" s="103">
        <v>175</v>
      </c>
      <c r="M55" s="103">
        <v>200</v>
      </c>
      <c r="N55" s="103" t="s">
        <v>2163</v>
      </c>
      <c r="O55" s="103">
        <v>375</v>
      </c>
      <c r="P55" s="103" t="s">
        <v>985</v>
      </c>
      <c r="Q55" s="103" t="s">
        <v>2155</v>
      </c>
      <c r="R55" s="103" t="s">
        <v>2225</v>
      </c>
      <c r="S55" s="103" t="s">
        <v>2157</v>
      </c>
      <c r="U55" s="103">
        <v>192.375</v>
      </c>
      <c r="V55" s="103" t="s">
        <v>2158</v>
      </c>
      <c r="W55" s="103" t="s">
        <v>105</v>
      </c>
      <c r="X55" s="103" t="s">
        <v>1597</v>
      </c>
      <c r="Y55" s="103" t="s">
        <v>1685</v>
      </c>
      <c r="AA55" s="103" t="s">
        <v>2225</v>
      </c>
      <c r="AB55" s="103" t="s">
        <v>64</v>
      </c>
      <c r="AE55" s="103" t="s">
        <v>984</v>
      </c>
      <c r="AF55" s="103" t="b">
        <v>1</v>
      </c>
    </row>
    <row r="56" spans="1:32" hidden="1" x14ac:dyDescent="0.2">
      <c r="A56" s="103" t="s">
        <v>324</v>
      </c>
      <c r="B56" s="103" t="s">
        <v>323</v>
      </c>
      <c r="C56" s="103" t="s">
        <v>2227</v>
      </c>
      <c r="E56" s="103" t="s">
        <v>105</v>
      </c>
      <c r="F56" s="103" t="s">
        <v>2228</v>
      </c>
      <c r="G56" s="103">
        <v>550</v>
      </c>
      <c r="H56" s="103" t="s">
        <v>2152</v>
      </c>
      <c r="I56" s="103" t="s">
        <v>2153</v>
      </c>
      <c r="J56" s="103">
        <v>100</v>
      </c>
      <c r="K56" s="103">
        <v>350</v>
      </c>
      <c r="L56" s="103">
        <v>100</v>
      </c>
      <c r="N56" s="103" t="s">
        <v>2163</v>
      </c>
      <c r="O56" s="103">
        <v>550</v>
      </c>
      <c r="P56" s="103" t="s">
        <v>985</v>
      </c>
      <c r="Q56" s="103" t="s">
        <v>2155</v>
      </c>
      <c r="R56" s="103" t="s">
        <v>2225</v>
      </c>
      <c r="S56" s="103" t="s">
        <v>2229</v>
      </c>
      <c r="U56" s="103">
        <v>282.14999999999998</v>
      </c>
      <c r="V56" s="103" t="s">
        <v>2158</v>
      </c>
      <c r="W56" s="103" t="s">
        <v>105</v>
      </c>
      <c r="X56" s="103" t="s">
        <v>1597</v>
      </c>
      <c r="Y56" s="103" t="s">
        <v>1685</v>
      </c>
      <c r="AA56" s="103" t="s">
        <v>2225</v>
      </c>
      <c r="AB56" s="103" t="s">
        <v>64</v>
      </c>
      <c r="AE56" s="103" t="s">
        <v>984</v>
      </c>
      <c r="AF56" s="103" t="b">
        <v>1</v>
      </c>
    </row>
    <row r="57" spans="1:32" hidden="1" x14ac:dyDescent="0.2">
      <c r="A57" s="103" t="s">
        <v>326</v>
      </c>
      <c r="B57" s="103" t="s">
        <v>325</v>
      </c>
      <c r="C57" s="103" t="s">
        <v>2230</v>
      </c>
      <c r="E57" s="103" t="s">
        <v>105</v>
      </c>
      <c r="F57" s="103" t="s">
        <v>2228</v>
      </c>
      <c r="G57" s="103">
        <v>680</v>
      </c>
      <c r="H57" s="103" t="s">
        <v>2152</v>
      </c>
      <c r="I57" s="103" t="s">
        <v>2153</v>
      </c>
      <c r="K57" s="103">
        <v>80</v>
      </c>
      <c r="L57" s="103">
        <v>300</v>
      </c>
      <c r="M57" s="103">
        <v>300</v>
      </c>
      <c r="N57" s="103" t="s">
        <v>2163</v>
      </c>
      <c r="O57" s="103">
        <v>680</v>
      </c>
      <c r="P57" s="103" t="s">
        <v>985</v>
      </c>
      <c r="Q57" s="103" t="s">
        <v>2155</v>
      </c>
      <c r="R57" s="103" t="s">
        <v>2225</v>
      </c>
      <c r="S57" s="103" t="s">
        <v>2229</v>
      </c>
      <c r="U57" s="103">
        <v>348.84</v>
      </c>
      <c r="V57" s="103" t="s">
        <v>2158</v>
      </c>
      <c r="W57" s="103" t="s">
        <v>105</v>
      </c>
      <c r="X57" s="103" t="s">
        <v>1597</v>
      </c>
      <c r="Y57" s="103" t="s">
        <v>1685</v>
      </c>
      <c r="AA57" s="103" t="s">
        <v>2225</v>
      </c>
      <c r="AB57" s="103" t="s">
        <v>64</v>
      </c>
      <c r="AE57" s="103" t="s">
        <v>984</v>
      </c>
      <c r="AF57" s="103" t="b">
        <v>1</v>
      </c>
    </row>
    <row r="58" spans="1:32" hidden="1" x14ac:dyDescent="0.2">
      <c r="A58" s="103" t="s">
        <v>328</v>
      </c>
      <c r="B58" s="103" t="s">
        <v>327</v>
      </c>
      <c r="C58" s="103" t="s">
        <v>2231</v>
      </c>
      <c r="E58" s="103" t="s">
        <v>105</v>
      </c>
      <c r="F58" s="103" t="s">
        <v>2232</v>
      </c>
      <c r="G58" s="103">
        <v>180</v>
      </c>
      <c r="H58" s="103" t="s">
        <v>2152</v>
      </c>
      <c r="I58" s="103" t="s">
        <v>2153</v>
      </c>
      <c r="J58" s="103">
        <v>90</v>
      </c>
      <c r="K58" s="103">
        <v>90</v>
      </c>
      <c r="N58" s="103" t="s">
        <v>2163</v>
      </c>
      <c r="O58" s="103">
        <v>180</v>
      </c>
      <c r="P58" s="103" t="s">
        <v>985</v>
      </c>
      <c r="Q58" s="103" t="s">
        <v>2155</v>
      </c>
      <c r="R58" s="103" t="s">
        <v>2225</v>
      </c>
      <c r="S58" s="103" t="s">
        <v>2229</v>
      </c>
      <c r="U58" s="103">
        <v>92.34</v>
      </c>
      <c r="V58" s="103" t="s">
        <v>2158</v>
      </c>
      <c r="W58" s="103" t="s">
        <v>105</v>
      </c>
      <c r="X58" s="103" t="s">
        <v>1597</v>
      </c>
      <c r="Y58" s="103" t="s">
        <v>1685</v>
      </c>
      <c r="AA58" s="103" t="s">
        <v>2225</v>
      </c>
      <c r="AB58" s="103" t="s">
        <v>64</v>
      </c>
      <c r="AE58" s="103" t="s">
        <v>984</v>
      </c>
      <c r="AF58" s="103" t="b">
        <v>1</v>
      </c>
    </row>
    <row r="59" spans="1:32" hidden="1" x14ac:dyDescent="0.2">
      <c r="A59" s="103" t="s">
        <v>332</v>
      </c>
      <c r="B59" s="103" t="s">
        <v>331</v>
      </c>
      <c r="C59" s="103" t="s">
        <v>2233</v>
      </c>
      <c r="E59" s="103" t="s">
        <v>105</v>
      </c>
      <c r="F59" s="103" t="s">
        <v>2151</v>
      </c>
      <c r="G59" s="103">
        <v>100</v>
      </c>
      <c r="H59" s="103" t="s">
        <v>2168</v>
      </c>
      <c r="I59" s="103" t="s">
        <v>2153</v>
      </c>
      <c r="J59" s="103">
        <v>100</v>
      </c>
      <c r="N59" s="103" t="s">
        <v>2163</v>
      </c>
      <c r="O59" s="103">
        <v>100</v>
      </c>
      <c r="P59" s="103" t="s">
        <v>985</v>
      </c>
      <c r="Q59" s="103" t="s">
        <v>2155</v>
      </c>
      <c r="R59" s="103" t="s">
        <v>2225</v>
      </c>
      <c r="S59" s="103" t="s">
        <v>2229</v>
      </c>
      <c r="U59" s="103">
        <v>51.3</v>
      </c>
      <c r="V59" s="103" t="s">
        <v>2158</v>
      </c>
      <c r="W59" s="103" t="s">
        <v>105</v>
      </c>
      <c r="X59" s="103" t="s">
        <v>1597</v>
      </c>
      <c r="Y59" s="103" t="s">
        <v>1685</v>
      </c>
      <c r="AA59" s="103" t="s">
        <v>2225</v>
      </c>
      <c r="AB59" s="103" t="s">
        <v>64</v>
      </c>
      <c r="AE59" s="103" t="s">
        <v>984</v>
      </c>
      <c r="AF59" s="103" t="b">
        <v>1</v>
      </c>
    </row>
    <row r="60" spans="1:32" hidden="1" x14ac:dyDescent="0.2">
      <c r="A60" s="103" t="s">
        <v>334</v>
      </c>
      <c r="B60" s="103" t="s">
        <v>333</v>
      </c>
      <c r="C60" s="103" t="s">
        <v>2234</v>
      </c>
      <c r="E60" s="103" t="s">
        <v>105</v>
      </c>
      <c r="F60" s="103" t="s">
        <v>2202</v>
      </c>
      <c r="G60" s="103">
        <v>640</v>
      </c>
      <c r="H60" s="103" t="s">
        <v>2152</v>
      </c>
      <c r="I60" s="103" t="s">
        <v>2153</v>
      </c>
      <c r="J60" s="103">
        <v>160</v>
      </c>
      <c r="K60" s="103">
        <v>160</v>
      </c>
      <c r="L60" s="103">
        <v>160</v>
      </c>
      <c r="M60" s="103">
        <v>160</v>
      </c>
      <c r="N60" s="103" t="s">
        <v>2163</v>
      </c>
      <c r="O60" s="103">
        <v>640</v>
      </c>
      <c r="P60" s="103" t="s">
        <v>985</v>
      </c>
      <c r="Q60" s="103" t="s">
        <v>2155</v>
      </c>
      <c r="R60" s="103" t="s">
        <v>2225</v>
      </c>
      <c r="S60" s="103" t="s">
        <v>2229</v>
      </c>
      <c r="U60" s="103">
        <v>328.32</v>
      </c>
      <c r="V60" s="103" t="s">
        <v>2158</v>
      </c>
      <c r="W60" s="103" t="s">
        <v>105</v>
      </c>
      <c r="X60" s="103" t="s">
        <v>1597</v>
      </c>
      <c r="Y60" s="103" t="s">
        <v>1685</v>
      </c>
      <c r="AA60" s="103" t="s">
        <v>2225</v>
      </c>
      <c r="AB60" s="103" t="s">
        <v>64</v>
      </c>
      <c r="AE60" s="103" t="s">
        <v>984</v>
      </c>
      <c r="AF60" s="103" t="b">
        <v>1</v>
      </c>
    </row>
    <row r="61" spans="1:32" hidden="1" x14ac:dyDescent="0.2">
      <c r="A61" s="103" t="s">
        <v>336</v>
      </c>
      <c r="B61" s="103" t="s">
        <v>335</v>
      </c>
      <c r="C61" s="103" t="s">
        <v>2235</v>
      </c>
      <c r="E61" s="103" t="s">
        <v>105</v>
      </c>
      <c r="F61" s="103" t="s">
        <v>2162</v>
      </c>
      <c r="G61" s="103">
        <v>50</v>
      </c>
      <c r="H61" s="103" t="s">
        <v>2168</v>
      </c>
      <c r="I61" s="103" t="s">
        <v>2153</v>
      </c>
      <c r="J61" s="103">
        <v>25</v>
      </c>
      <c r="K61" s="103">
        <v>25</v>
      </c>
      <c r="N61" s="103" t="s">
        <v>2163</v>
      </c>
      <c r="O61" s="103">
        <v>50</v>
      </c>
      <c r="P61" s="103" t="s">
        <v>985</v>
      </c>
      <c r="Q61" s="103" t="s">
        <v>2236</v>
      </c>
      <c r="R61" s="103" t="s">
        <v>2225</v>
      </c>
      <c r="S61" s="103" t="s">
        <v>2229</v>
      </c>
      <c r="U61" s="103">
        <v>25.65</v>
      </c>
      <c r="V61" s="103" t="s">
        <v>2158</v>
      </c>
      <c r="W61" s="103" t="s">
        <v>105</v>
      </c>
      <c r="X61" s="103" t="s">
        <v>1597</v>
      </c>
      <c r="Y61" s="103" t="s">
        <v>1685</v>
      </c>
      <c r="AA61" s="103" t="s">
        <v>2225</v>
      </c>
      <c r="AB61" s="103" t="s">
        <v>64</v>
      </c>
      <c r="AE61" s="103" t="s">
        <v>984</v>
      </c>
      <c r="AF61" s="103" t="b">
        <v>1</v>
      </c>
    </row>
    <row r="62" spans="1:32" hidden="1" x14ac:dyDescent="0.2">
      <c r="A62" s="103" t="s">
        <v>337</v>
      </c>
      <c r="B62" s="103" t="s">
        <v>1613</v>
      </c>
      <c r="C62" s="103" t="s">
        <v>1614</v>
      </c>
      <c r="D62" s="103" t="s">
        <v>2237</v>
      </c>
      <c r="E62" s="103" t="s">
        <v>1614</v>
      </c>
      <c r="F62" s="103" t="s">
        <v>2151</v>
      </c>
      <c r="G62" s="103">
        <v>120</v>
      </c>
      <c r="H62" s="103" t="s">
        <v>2152</v>
      </c>
      <c r="I62" s="103" t="s">
        <v>2153</v>
      </c>
      <c r="J62" s="103">
        <v>120</v>
      </c>
      <c r="K62" s="103">
        <v>0</v>
      </c>
      <c r="L62" s="103">
        <v>0</v>
      </c>
      <c r="M62" s="103">
        <v>0</v>
      </c>
      <c r="N62" s="103" t="s">
        <v>2163</v>
      </c>
      <c r="O62" s="103">
        <v>120</v>
      </c>
      <c r="P62" s="103" t="s">
        <v>1232</v>
      </c>
      <c r="Q62" s="103" t="s">
        <v>1614</v>
      </c>
      <c r="R62" s="103" t="s">
        <v>2225</v>
      </c>
      <c r="S62" s="103" t="s">
        <v>2238</v>
      </c>
      <c r="U62" s="103">
        <v>57.96</v>
      </c>
      <c r="V62" s="103" t="s">
        <v>2239</v>
      </c>
      <c r="W62" s="103" t="s">
        <v>106</v>
      </c>
      <c r="X62" s="103" t="s">
        <v>1614</v>
      </c>
      <c r="Y62" s="103" t="s">
        <v>2240</v>
      </c>
      <c r="AA62" s="103" t="s">
        <v>2225</v>
      </c>
      <c r="AB62" s="103" t="s">
        <v>64</v>
      </c>
      <c r="AE62" s="103" t="s">
        <v>1284</v>
      </c>
      <c r="AF62" s="103" t="b">
        <v>1</v>
      </c>
    </row>
    <row r="63" spans="1:32" hidden="1" x14ac:dyDescent="0.2">
      <c r="A63" s="103" t="s">
        <v>337</v>
      </c>
      <c r="B63" s="103" t="s">
        <v>1613</v>
      </c>
      <c r="C63" s="103" t="s">
        <v>1614</v>
      </c>
      <c r="D63" s="103" t="s">
        <v>2241</v>
      </c>
      <c r="E63" s="103" t="s">
        <v>2242</v>
      </c>
      <c r="F63" s="103" t="s">
        <v>2202</v>
      </c>
      <c r="G63" s="103">
        <v>150</v>
      </c>
      <c r="H63" s="103" t="s">
        <v>2152</v>
      </c>
      <c r="I63" s="103" t="s">
        <v>2153</v>
      </c>
      <c r="J63" s="103">
        <v>150</v>
      </c>
      <c r="N63" s="103" t="s">
        <v>2163</v>
      </c>
      <c r="O63" s="103">
        <v>150</v>
      </c>
      <c r="P63" s="103" t="s">
        <v>1232</v>
      </c>
      <c r="Q63" s="103" t="s">
        <v>1614</v>
      </c>
      <c r="R63" s="103" t="s">
        <v>2225</v>
      </c>
      <c r="S63" s="103" t="s">
        <v>2238</v>
      </c>
      <c r="U63" s="103">
        <v>72.45</v>
      </c>
      <c r="V63" s="103" t="s">
        <v>2239</v>
      </c>
      <c r="W63" s="103" t="s">
        <v>106</v>
      </c>
      <c r="X63" s="103" t="s">
        <v>1614</v>
      </c>
      <c r="Y63" s="103" t="s">
        <v>2240</v>
      </c>
      <c r="AA63" s="103" t="s">
        <v>2225</v>
      </c>
      <c r="AB63" s="103" t="s">
        <v>64</v>
      </c>
      <c r="AE63" s="103" t="s">
        <v>1284</v>
      </c>
      <c r="AF63" s="103" t="b">
        <v>1</v>
      </c>
    </row>
    <row r="64" spans="1:32" hidden="1" x14ac:dyDescent="0.2">
      <c r="A64" s="103" t="s">
        <v>337</v>
      </c>
      <c r="B64" s="103" t="s">
        <v>1613</v>
      </c>
      <c r="C64" s="103" t="s">
        <v>23</v>
      </c>
      <c r="D64" s="103" t="s">
        <v>2243</v>
      </c>
      <c r="E64" s="103" t="s">
        <v>2244</v>
      </c>
      <c r="F64" s="103" t="s">
        <v>2162</v>
      </c>
      <c r="G64" s="103">
        <v>40</v>
      </c>
      <c r="H64" s="103" t="s">
        <v>2152</v>
      </c>
      <c r="I64" s="103" t="s">
        <v>2153</v>
      </c>
      <c r="J64" s="103">
        <v>40</v>
      </c>
      <c r="N64" s="103" t="s">
        <v>2163</v>
      </c>
      <c r="O64" s="103">
        <v>40</v>
      </c>
      <c r="P64" s="103" t="s">
        <v>1232</v>
      </c>
      <c r="Q64" s="103" t="s">
        <v>1614</v>
      </c>
      <c r="R64" s="103" t="s">
        <v>2225</v>
      </c>
      <c r="S64" s="103" t="s">
        <v>2157</v>
      </c>
      <c r="U64" s="103">
        <v>19.32</v>
      </c>
      <c r="V64" s="103" t="s">
        <v>2239</v>
      </c>
      <c r="W64" s="103" t="s">
        <v>106</v>
      </c>
      <c r="X64" s="103" t="s">
        <v>1614</v>
      </c>
      <c r="Y64" s="103" t="s">
        <v>2240</v>
      </c>
      <c r="AA64" s="103" t="s">
        <v>2225</v>
      </c>
      <c r="AB64" s="103" t="s">
        <v>64</v>
      </c>
      <c r="AE64" s="103" t="s">
        <v>1284</v>
      </c>
      <c r="AF64" s="103" t="b">
        <v>1</v>
      </c>
    </row>
    <row r="65" spans="1:32" hidden="1" x14ac:dyDescent="0.2">
      <c r="A65" s="103" t="s">
        <v>338</v>
      </c>
      <c r="B65" s="103" t="s">
        <v>1616</v>
      </c>
      <c r="C65" s="103" t="s">
        <v>1614</v>
      </c>
      <c r="D65" s="103" t="s">
        <v>2245</v>
      </c>
      <c r="E65" s="103" t="s">
        <v>2246</v>
      </c>
      <c r="F65" s="103" t="s">
        <v>2226</v>
      </c>
      <c r="G65" s="103">
        <v>555</v>
      </c>
      <c r="H65" s="103" t="s">
        <v>2152</v>
      </c>
      <c r="I65" s="103" t="s">
        <v>2153</v>
      </c>
      <c r="J65" s="103">
        <v>425</v>
      </c>
      <c r="K65" s="103">
        <v>130</v>
      </c>
      <c r="N65" s="103" t="s">
        <v>2163</v>
      </c>
      <c r="O65" s="103">
        <v>555</v>
      </c>
      <c r="P65" s="103" t="s">
        <v>1617</v>
      </c>
      <c r="Q65" s="103" t="s">
        <v>1614</v>
      </c>
      <c r="R65" s="103" t="s">
        <v>2225</v>
      </c>
      <c r="S65" s="103" t="s">
        <v>2247</v>
      </c>
      <c r="U65" s="103">
        <v>555</v>
      </c>
      <c r="V65" s="103" t="s">
        <v>2239</v>
      </c>
      <c r="W65" s="103" t="s">
        <v>107</v>
      </c>
      <c r="X65" s="103" t="s">
        <v>1614</v>
      </c>
      <c r="Y65" s="103" t="s">
        <v>2240</v>
      </c>
      <c r="AA65" s="103" t="s">
        <v>2225</v>
      </c>
      <c r="AB65" s="103" t="s">
        <v>64</v>
      </c>
      <c r="AE65" s="103" t="s">
        <v>1284</v>
      </c>
      <c r="AF65" s="103" t="b">
        <v>1</v>
      </c>
    </row>
    <row r="66" spans="1:32" hidden="1" x14ac:dyDescent="0.2">
      <c r="A66" s="103" t="s">
        <v>340</v>
      </c>
      <c r="B66" s="103" t="s">
        <v>339</v>
      </c>
      <c r="C66" s="103" t="s">
        <v>2248</v>
      </c>
      <c r="D66" s="103" t="s">
        <v>2120</v>
      </c>
      <c r="E66" s="103" t="s">
        <v>2249</v>
      </c>
      <c r="F66" s="103" t="s">
        <v>2175</v>
      </c>
      <c r="G66" s="103">
        <v>20</v>
      </c>
      <c r="H66" s="103" t="s">
        <v>2168</v>
      </c>
      <c r="I66" s="103" t="s">
        <v>2153</v>
      </c>
      <c r="J66" s="103">
        <v>20</v>
      </c>
      <c r="N66" s="103" t="s">
        <v>2163</v>
      </c>
      <c r="O66" s="103">
        <v>20</v>
      </c>
      <c r="P66" s="103" t="s">
        <v>839</v>
      </c>
      <c r="Q66" s="103" t="s">
        <v>2155</v>
      </c>
      <c r="R66" s="103" t="s">
        <v>2164</v>
      </c>
      <c r="U66" s="103">
        <v>12</v>
      </c>
      <c r="V66" s="103" t="s">
        <v>2158</v>
      </c>
      <c r="W66" s="103" t="s">
        <v>132</v>
      </c>
      <c r="X66" s="103" t="s">
        <v>1597</v>
      </c>
      <c r="Y66" s="103" t="s">
        <v>1685</v>
      </c>
      <c r="AA66" s="103" t="s">
        <v>2164</v>
      </c>
      <c r="AB66" s="103" t="s">
        <v>71</v>
      </c>
      <c r="AE66" s="103" t="s">
        <v>1618</v>
      </c>
      <c r="AF66" s="103" t="b">
        <v>1</v>
      </c>
    </row>
    <row r="67" spans="1:32" hidden="1" x14ac:dyDescent="0.2">
      <c r="A67" s="103" t="s">
        <v>340</v>
      </c>
      <c r="B67" s="103" t="s">
        <v>339</v>
      </c>
      <c r="C67" s="103" t="s">
        <v>2248</v>
      </c>
      <c r="D67" s="103" t="s">
        <v>2120</v>
      </c>
      <c r="E67" s="103" t="s">
        <v>2250</v>
      </c>
      <c r="G67" s="103">
        <v>100</v>
      </c>
      <c r="H67" s="103" t="s">
        <v>2152</v>
      </c>
      <c r="I67" s="103" t="s">
        <v>2153</v>
      </c>
      <c r="J67" s="103">
        <v>100</v>
      </c>
      <c r="N67" s="103" t="s">
        <v>2163</v>
      </c>
      <c r="O67" s="103">
        <v>100</v>
      </c>
      <c r="P67" s="103" t="s">
        <v>839</v>
      </c>
      <c r="Q67" s="103" t="s">
        <v>2155</v>
      </c>
      <c r="R67" s="103" t="s">
        <v>125</v>
      </c>
      <c r="S67" s="103" t="s">
        <v>2251</v>
      </c>
      <c r="U67" s="103">
        <v>51.3</v>
      </c>
      <c r="V67" s="103" t="s">
        <v>2158</v>
      </c>
      <c r="W67" s="103" t="s">
        <v>119</v>
      </c>
      <c r="X67" s="103" t="s">
        <v>1597</v>
      </c>
      <c r="Y67" s="103" t="s">
        <v>1685</v>
      </c>
      <c r="AA67" s="103" t="s">
        <v>125</v>
      </c>
      <c r="AB67" s="103" t="s">
        <v>71</v>
      </c>
      <c r="AE67" s="103" t="s">
        <v>1618</v>
      </c>
      <c r="AF67" s="103" t="b">
        <v>1</v>
      </c>
    </row>
    <row r="68" spans="1:32" hidden="1" x14ac:dyDescent="0.2">
      <c r="A68" s="103" t="s">
        <v>341</v>
      </c>
      <c r="B68" s="103" t="s">
        <v>1619</v>
      </c>
      <c r="C68" s="103" t="s">
        <v>1614</v>
      </c>
      <c r="D68" s="103" t="s">
        <v>2252</v>
      </c>
      <c r="E68" s="103" t="s">
        <v>1614</v>
      </c>
      <c r="F68" s="103" t="s">
        <v>2151</v>
      </c>
      <c r="G68" s="103">
        <v>120</v>
      </c>
      <c r="H68" s="103" t="s">
        <v>2152</v>
      </c>
      <c r="I68" s="103" t="s">
        <v>2153</v>
      </c>
      <c r="K68" s="103">
        <v>120</v>
      </c>
      <c r="N68" s="103" t="s">
        <v>2163</v>
      </c>
      <c r="O68" s="103">
        <v>120</v>
      </c>
      <c r="P68" s="103" t="s">
        <v>985</v>
      </c>
      <c r="Q68" s="103" t="s">
        <v>1614</v>
      </c>
      <c r="R68" s="103" t="s">
        <v>2225</v>
      </c>
      <c r="S68" s="103" t="s">
        <v>2192</v>
      </c>
      <c r="U68" s="103">
        <v>57.96</v>
      </c>
      <c r="V68" s="103" t="s">
        <v>2239</v>
      </c>
      <c r="W68" s="103" t="s">
        <v>106</v>
      </c>
      <c r="X68" s="103" t="s">
        <v>1614</v>
      </c>
      <c r="Y68" s="103" t="s">
        <v>2240</v>
      </c>
      <c r="AA68" s="103" t="s">
        <v>2225</v>
      </c>
      <c r="AB68" s="103" t="s">
        <v>64</v>
      </c>
      <c r="AE68" s="103" t="s">
        <v>1284</v>
      </c>
      <c r="AF68" s="103" t="b">
        <v>1</v>
      </c>
    </row>
    <row r="69" spans="1:32" hidden="1" x14ac:dyDescent="0.2">
      <c r="A69" s="103" t="s">
        <v>343</v>
      </c>
      <c r="B69" s="103" t="s">
        <v>342</v>
      </c>
      <c r="C69" s="103" t="s">
        <v>2253</v>
      </c>
      <c r="E69" s="103" t="s">
        <v>2208</v>
      </c>
      <c r="F69" s="103" t="s">
        <v>2162</v>
      </c>
      <c r="G69" s="103">
        <v>300</v>
      </c>
      <c r="H69" s="103" t="s">
        <v>2152</v>
      </c>
      <c r="I69" s="103" t="s">
        <v>2153</v>
      </c>
      <c r="L69" s="103">
        <v>300</v>
      </c>
      <c r="N69" s="103" t="s">
        <v>2163</v>
      </c>
      <c r="O69" s="103">
        <v>300</v>
      </c>
      <c r="P69" s="103" t="s">
        <v>1059</v>
      </c>
      <c r="Q69" s="103" t="s">
        <v>2155</v>
      </c>
      <c r="R69" s="103" t="s">
        <v>2156</v>
      </c>
      <c r="S69" s="103" t="s">
        <v>2209</v>
      </c>
      <c r="U69" s="103">
        <v>153.9</v>
      </c>
      <c r="V69" s="103" t="s">
        <v>2158</v>
      </c>
      <c r="W69" s="103" t="s">
        <v>114</v>
      </c>
      <c r="X69" s="103" t="s">
        <v>1597</v>
      </c>
      <c r="Y69" s="103" t="s">
        <v>1685</v>
      </c>
      <c r="AA69" s="103" t="s">
        <v>2156</v>
      </c>
      <c r="AB69" s="103" t="s">
        <v>68</v>
      </c>
      <c r="AC69" s="103" t="s">
        <v>2159</v>
      </c>
      <c r="AD69" s="103" t="s">
        <v>2160</v>
      </c>
      <c r="AE69" s="103" t="s">
        <v>766</v>
      </c>
      <c r="AF69" s="103" t="b">
        <v>1</v>
      </c>
    </row>
    <row r="70" spans="1:32" hidden="1" x14ac:dyDescent="0.2">
      <c r="A70" s="103" t="s">
        <v>343</v>
      </c>
      <c r="B70" s="103" t="s">
        <v>342</v>
      </c>
      <c r="C70" s="103" t="s">
        <v>2253</v>
      </c>
      <c r="E70" s="103" t="s">
        <v>2195</v>
      </c>
      <c r="F70" s="103" t="s">
        <v>2162</v>
      </c>
      <c r="G70" s="103">
        <v>180</v>
      </c>
      <c r="H70" s="103" t="s">
        <v>2152</v>
      </c>
      <c r="I70" s="103" t="s">
        <v>2153</v>
      </c>
      <c r="L70" s="103">
        <v>180</v>
      </c>
      <c r="N70" s="103" t="s">
        <v>2163</v>
      </c>
      <c r="O70" s="103">
        <v>180</v>
      </c>
      <c r="P70" s="103" t="s">
        <v>1059</v>
      </c>
      <c r="Q70" s="103" t="s">
        <v>2155</v>
      </c>
      <c r="R70" s="103" t="s">
        <v>2156</v>
      </c>
      <c r="S70" s="103" t="s">
        <v>2209</v>
      </c>
      <c r="U70" s="103">
        <v>92.34</v>
      </c>
      <c r="V70" s="103" t="s">
        <v>2158</v>
      </c>
      <c r="W70" s="103" t="s">
        <v>114</v>
      </c>
      <c r="X70" s="103" t="s">
        <v>1597</v>
      </c>
      <c r="Y70" s="103" t="s">
        <v>1685</v>
      </c>
      <c r="AA70" s="103" t="s">
        <v>2156</v>
      </c>
      <c r="AB70" s="103" t="s">
        <v>68</v>
      </c>
      <c r="AC70" s="103" t="s">
        <v>2159</v>
      </c>
      <c r="AD70" s="103" t="s">
        <v>2160</v>
      </c>
      <c r="AE70" s="103" t="s">
        <v>766</v>
      </c>
      <c r="AF70" s="103" t="b">
        <v>1</v>
      </c>
    </row>
    <row r="71" spans="1:32" hidden="1" x14ac:dyDescent="0.2">
      <c r="A71" s="103" t="s">
        <v>347</v>
      </c>
      <c r="B71" s="103" t="s">
        <v>1621</v>
      </c>
      <c r="C71" s="103" t="s">
        <v>2254</v>
      </c>
      <c r="D71" s="103" t="s">
        <v>2255</v>
      </c>
      <c r="E71" s="103" t="s">
        <v>2256</v>
      </c>
      <c r="F71" s="103" t="s">
        <v>2162</v>
      </c>
      <c r="G71" s="103">
        <v>0</v>
      </c>
      <c r="H71" s="103" t="s">
        <v>2152</v>
      </c>
      <c r="I71" s="103" t="s">
        <v>2153</v>
      </c>
      <c r="N71" s="103" t="s">
        <v>2163</v>
      </c>
      <c r="O71" s="103">
        <v>0</v>
      </c>
      <c r="P71" s="103" t="s">
        <v>811</v>
      </c>
      <c r="Q71" s="103" t="s">
        <v>1393</v>
      </c>
      <c r="R71" s="103" t="s">
        <v>2220</v>
      </c>
      <c r="S71" s="103" t="s">
        <v>2238</v>
      </c>
      <c r="U71" s="103">
        <v>0</v>
      </c>
      <c r="V71" s="103" t="s">
        <v>2158</v>
      </c>
      <c r="W71" s="103" t="s">
        <v>108</v>
      </c>
      <c r="X71" s="103" t="s">
        <v>345</v>
      </c>
      <c r="Y71" s="103" t="s">
        <v>2240</v>
      </c>
      <c r="AA71" s="103" t="s">
        <v>2220</v>
      </c>
      <c r="AB71" s="103" t="s">
        <v>74</v>
      </c>
      <c r="AE71" s="103" t="s">
        <v>1241</v>
      </c>
      <c r="AF71" s="103" t="b">
        <v>1</v>
      </c>
    </row>
    <row r="72" spans="1:32" hidden="1" x14ac:dyDescent="0.2">
      <c r="A72" s="103" t="s">
        <v>2257</v>
      </c>
      <c r="B72" s="103" t="s">
        <v>924</v>
      </c>
      <c r="C72" s="103" t="s">
        <v>2258</v>
      </c>
      <c r="E72" s="103" t="s">
        <v>2259</v>
      </c>
      <c r="F72" s="103" t="s">
        <v>2151</v>
      </c>
      <c r="G72" s="103">
        <v>100</v>
      </c>
      <c r="H72" s="103" t="s">
        <v>2168</v>
      </c>
      <c r="I72" s="103" t="s">
        <v>2153</v>
      </c>
      <c r="M72" s="103">
        <v>100</v>
      </c>
      <c r="N72" s="103" t="s">
        <v>2260</v>
      </c>
      <c r="O72" s="103">
        <v>100</v>
      </c>
      <c r="P72" s="103" t="s">
        <v>811</v>
      </c>
      <c r="Q72" s="103" t="s">
        <v>2155</v>
      </c>
      <c r="R72" s="103" t="s">
        <v>2220</v>
      </c>
      <c r="S72" s="103" t="s">
        <v>2238</v>
      </c>
      <c r="T72" s="103" t="s">
        <v>2261</v>
      </c>
      <c r="U72" s="103">
        <v>51.3</v>
      </c>
      <c r="V72" s="103" t="s">
        <v>2262</v>
      </c>
      <c r="W72" s="103" t="s">
        <v>108</v>
      </c>
      <c r="X72" s="103" t="s">
        <v>1597</v>
      </c>
      <c r="Y72" s="103" t="s">
        <v>1685</v>
      </c>
      <c r="AA72" s="103" t="s">
        <v>2220</v>
      </c>
      <c r="AB72" s="103" t="s">
        <v>64</v>
      </c>
      <c r="AE72" s="103" t="s">
        <v>750</v>
      </c>
      <c r="AF72" s="103" t="b">
        <v>1</v>
      </c>
    </row>
    <row r="73" spans="1:32" hidden="1" x14ac:dyDescent="0.2">
      <c r="A73" s="103" t="s">
        <v>2257</v>
      </c>
      <c r="B73" s="103" t="s">
        <v>924</v>
      </c>
      <c r="C73" s="103" t="s">
        <v>2263</v>
      </c>
      <c r="E73" s="103" t="s">
        <v>2264</v>
      </c>
      <c r="F73" s="103" t="s">
        <v>2202</v>
      </c>
      <c r="G73" s="103">
        <v>200</v>
      </c>
      <c r="H73" s="103" t="s">
        <v>2168</v>
      </c>
      <c r="I73" s="103" t="s">
        <v>2153</v>
      </c>
      <c r="K73" s="103">
        <v>100</v>
      </c>
      <c r="L73" s="103">
        <v>100</v>
      </c>
      <c r="N73" s="103" t="s">
        <v>2163</v>
      </c>
      <c r="O73" s="103">
        <v>200</v>
      </c>
      <c r="P73" s="103" t="s">
        <v>811</v>
      </c>
      <c r="Q73" s="103" t="s">
        <v>2155</v>
      </c>
      <c r="R73" s="103" t="s">
        <v>2220</v>
      </c>
      <c r="S73" s="103" t="s">
        <v>2238</v>
      </c>
      <c r="U73" s="103">
        <v>102.6</v>
      </c>
      <c r="V73" s="103" t="s">
        <v>2158</v>
      </c>
      <c r="W73" s="103" t="s">
        <v>108</v>
      </c>
      <c r="X73" s="103" t="s">
        <v>1597</v>
      </c>
      <c r="Y73" s="103" t="s">
        <v>1685</v>
      </c>
      <c r="AA73" s="103" t="s">
        <v>2220</v>
      </c>
      <c r="AB73" s="103" t="s">
        <v>64</v>
      </c>
      <c r="AE73" s="103" t="s">
        <v>750</v>
      </c>
      <c r="AF73" s="103" t="b">
        <v>1</v>
      </c>
    </row>
    <row r="74" spans="1:32" hidden="1" x14ac:dyDescent="0.2">
      <c r="A74" s="103" t="s">
        <v>2257</v>
      </c>
      <c r="B74" s="103" t="s">
        <v>924</v>
      </c>
      <c r="C74" s="103" t="s">
        <v>2265</v>
      </c>
      <c r="E74" s="103" t="s">
        <v>2266</v>
      </c>
      <c r="F74" s="103" t="s">
        <v>2162</v>
      </c>
      <c r="G74" s="103">
        <v>50</v>
      </c>
      <c r="H74" s="103" t="s">
        <v>2168</v>
      </c>
      <c r="I74" s="103" t="s">
        <v>2153</v>
      </c>
      <c r="J74" s="103">
        <v>50</v>
      </c>
      <c r="N74" s="103" t="s">
        <v>2163</v>
      </c>
      <c r="O74" s="103">
        <v>50</v>
      </c>
      <c r="P74" s="103" t="s">
        <v>811</v>
      </c>
      <c r="Q74" s="103" t="s">
        <v>2155</v>
      </c>
      <c r="R74" s="103" t="s">
        <v>2220</v>
      </c>
      <c r="S74" s="103" t="s">
        <v>2238</v>
      </c>
      <c r="U74" s="103">
        <v>25.65</v>
      </c>
      <c r="V74" s="103" t="s">
        <v>2158</v>
      </c>
      <c r="W74" s="103" t="s">
        <v>108</v>
      </c>
      <c r="X74" s="103" t="s">
        <v>1597</v>
      </c>
      <c r="Y74" s="103" t="s">
        <v>1685</v>
      </c>
      <c r="AA74" s="103" t="s">
        <v>2220</v>
      </c>
      <c r="AB74" s="103" t="s">
        <v>64</v>
      </c>
      <c r="AE74" s="103" t="s">
        <v>750</v>
      </c>
      <c r="AF74" s="103" t="b">
        <v>1</v>
      </c>
    </row>
    <row r="75" spans="1:32" hidden="1" x14ac:dyDescent="0.2">
      <c r="A75" s="103" t="s">
        <v>3829</v>
      </c>
      <c r="B75" s="103" t="s">
        <v>1455</v>
      </c>
      <c r="C75" s="103" t="s">
        <v>2267</v>
      </c>
      <c r="E75" s="103" t="s">
        <v>2256</v>
      </c>
      <c r="F75" s="103" t="s">
        <v>2226</v>
      </c>
      <c r="G75" s="103">
        <v>400</v>
      </c>
      <c r="H75" s="103" t="s">
        <v>2168</v>
      </c>
      <c r="I75" s="103" t="s">
        <v>2153</v>
      </c>
      <c r="J75" s="103">
        <v>200</v>
      </c>
      <c r="K75" s="103">
        <v>200</v>
      </c>
      <c r="N75" s="103" t="s">
        <v>2163</v>
      </c>
      <c r="O75" s="103">
        <v>400</v>
      </c>
      <c r="P75" s="103" t="s">
        <v>880</v>
      </c>
      <c r="Q75" s="103" t="s">
        <v>1393</v>
      </c>
      <c r="R75" s="103" t="s">
        <v>2220</v>
      </c>
      <c r="S75" s="103" t="s">
        <v>2238</v>
      </c>
      <c r="T75" s="103" t="s">
        <v>2268</v>
      </c>
      <c r="U75" s="103">
        <v>205.2</v>
      </c>
      <c r="V75" s="103" t="s">
        <v>2158</v>
      </c>
      <c r="W75" s="103" t="s">
        <v>108</v>
      </c>
      <c r="X75" s="103" t="s">
        <v>345</v>
      </c>
      <c r="Y75" s="103" t="s">
        <v>2240</v>
      </c>
      <c r="AA75" s="103" t="s">
        <v>2220</v>
      </c>
      <c r="AB75" s="103" t="s">
        <v>71</v>
      </c>
      <c r="AE75" s="103" t="s">
        <v>810</v>
      </c>
      <c r="AF75" s="103" t="b">
        <v>1</v>
      </c>
    </row>
    <row r="76" spans="1:32" hidden="1" x14ac:dyDescent="0.2">
      <c r="A76" s="103" t="s">
        <v>3829</v>
      </c>
      <c r="B76" s="103" t="s">
        <v>1455</v>
      </c>
      <c r="C76" s="103" t="s">
        <v>2269</v>
      </c>
      <c r="D76" s="103" t="s">
        <v>2270</v>
      </c>
      <c r="E76" s="103" t="s">
        <v>2256</v>
      </c>
      <c r="F76" s="103" t="s">
        <v>2151</v>
      </c>
      <c r="G76" s="103">
        <v>100</v>
      </c>
      <c r="H76" s="103" t="s">
        <v>2168</v>
      </c>
      <c r="I76" s="103" t="s">
        <v>2153</v>
      </c>
      <c r="J76" s="103">
        <v>25</v>
      </c>
      <c r="K76" s="103">
        <v>25</v>
      </c>
      <c r="L76" s="103">
        <v>25</v>
      </c>
      <c r="M76" s="103">
        <v>25</v>
      </c>
      <c r="N76" s="103" t="s">
        <v>2163</v>
      </c>
      <c r="O76" s="103">
        <v>100</v>
      </c>
      <c r="P76" s="103" t="s">
        <v>880</v>
      </c>
      <c r="Q76" s="103" t="s">
        <v>1393</v>
      </c>
      <c r="R76" s="103" t="s">
        <v>2220</v>
      </c>
      <c r="S76" s="103" t="s">
        <v>2238</v>
      </c>
      <c r="U76" s="103">
        <v>51.3</v>
      </c>
      <c r="V76" s="103" t="s">
        <v>2158</v>
      </c>
      <c r="W76" s="103" t="s">
        <v>108</v>
      </c>
      <c r="X76" s="103" t="s">
        <v>345</v>
      </c>
      <c r="Y76" s="103" t="s">
        <v>2240</v>
      </c>
      <c r="AA76" s="103" t="s">
        <v>2220</v>
      </c>
      <c r="AB76" s="103" t="s">
        <v>71</v>
      </c>
      <c r="AE76" s="103" t="s">
        <v>810</v>
      </c>
      <c r="AF76" s="103" t="b">
        <v>1</v>
      </c>
    </row>
    <row r="77" spans="1:32" hidden="1" x14ac:dyDescent="0.2">
      <c r="A77" s="103" t="s">
        <v>357</v>
      </c>
      <c r="B77" s="103" t="s">
        <v>356</v>
      </c>
      <c r="C77" s="103" t="s">
        <v>2271</v>
      </c>
      <c r="E77" s="103" t="s">
        <v>2272</v>
      </c>
      <c r="F77" s="103" t="s">
        <v>2202</v>
      </c>
      <c r="G77" s="103">
        <v>200</v>
      </c>
      <c r="H77" s="103" t="s">
        <v>2168</v>
      </c>
      <c r="I77" s="103" t="s">
        <v>2153</v>
      </c>
      <c r="L77" s="103">
        <v>100</v>
      </c>
      <c r="M77" s="103">
        <v>100</v>
      </c>
      <c r="N77" s="103" t="s">
        <v>2273</v>
      </c>
      <c r="O77" s="103">
        <v>200</v>
      </c>
      <c r="P77" s="103" t="s">
        <v>811</v>
      </c>
      <c r="Q77" s="103" t="s">
        <v>2155</v>
      </c>
      <c r="R77" s="103" t="s">
        <v>2220</v>
      </c>
      <c r="S77" s="103" t="s">
        <v>2192</v>
      </c>
      <c r="U77" s="103">
        <v>102.6</v>
      </c>
      <c r="V77" s="103" t="s">
        <v>2262</v>
      </c>
      <c r="W77" s="103" t="s">
        <v>108</v>
      </c>
      <c r="X77" s="103" t="s">
        <v>1597</v>
      </c>
      <c r="Y77" s="103" t="s">
        <v>1685</v>
      </c>
      <c r="AA77" s="103" t="s">
        <v>2220</v>
      </c>
      <c r="AB77" s="103" t="s">
        <v>71</v>
      </c>
      <c r="AE77" s="103" t="s">
        <v>810</v>
      </c>
      <c r="AF77" s="103" t="b">
        <v>1</v>
      </c>
    </row>
    <row r="78" spans="1:32" hidden="1" x14ac:dyDescent="0.2">
      <c r="A78" s="103" t="s">
        <v>357</v>
      </c>
      <c r="B78" s="103" t="s">
        <v>356</v>
      </c>
      <c r="C78" s="103" t="s">
        <v>2274</v>
      </c>
      <c r="E78" s="103" t="s">
        <v>2272</v>
      </c>
      <c r="F78" s="103" t="s">
        <v>2202</v>
      </c>
      <c r="G78" s="103">
        <v>200</v>
      </c>
      <c r="H78" s="103" t="s">
        <v>2168</v>
      </c>
      <c r="I78" s="103" t="s">
        <v>2153</v>
      </c>
      <c r="K78" s="103">
        <v>100</v>
      </c>
      <c r="L78" s="103">
        <v>100</v>
      </c>
      <c r="N78" s="103" t="s">
        <v>2273</v>
      </c>
      <c r="O78" s="103">
        <v>200</v>
      </c>
      <c r="P78" s="103" t="s">
        <v>811</v>
      </c>
      <c r="Q78" s="103" t="s">
        <v>2155</v>
      </c>
      <c r="R78" s="103" t="s">
        <v>2220</v>
      </c>
      <c r="S78" s="103" t="s">
        <v>2192</v>
      </c>
      <c r="U78" s="103">
        <v>102.6</v>
      </c>
      <c r="V78" s="103" t="s">
        <v>2262</v>
      </c>
      <c r="W78" s="103" t="s">
        <v>108</v>
      </c>
      <c r="X78" s="103" t="s">
        <v>1597</v>
      </c>
      <c r="Y78" s="103" t="s">
        <v>1685</v>
      </c>
      <c r="AA78" s="103" t="s">
        <v>2220</v>
      </c>
      <c r="AB78" s="103" t="s">
        <v>71</v>
      </c>
      <c r="AE78" s="103" t="s">
        <v>810</v>
      </c>
      <c r="AF78" s="103" t="b">
        <v>1</v>
      </c>
    </row>
    <row r="79" spans="1:32" hidden="1" x14ac:dyDescent="0.2">
      <c r="A79" s="103" t="s">
        <v>357</v>
      </c>
      <c r="B79" s="103" t="s">
        <v>356</v>
      </c>
      <c r="C79" s="103" t="s">
        <v>2275</v>
      </c>
      <c r="D79" s="103" t="s">
        <v>2276</v>
      </c>
      <c r="E79" s="103" t="s">
        <v>2272</v>
      </c>
      <c r="F79" s="103" t="s">
        <v>2202</v>
      </c>
      <c r="G79" s="103">
        <v>200</v>
      </c>
      <c r="H79" s="103" t="s">
        <v>2168</v>
      </c>
      <c r="I79" s="103" t="s">
        <v>2153</v>
      </c>
      <c r="L79" s="103">
        <v>100</v>
      </c>
      <c r="M79" s="103">
        <v>100</v>
      </c>
      <c r="N79" s="103" t="s">
        <v>2273</v>
      </c>
      <c r="O79" s="103">
        <v>200</v>
      </c>
      <c r="P79" s="103" t="s">
        <v>1609</v>
      </c>
      <c r="Q79" s="103" t="s">
        <v>2155</v>
      </c>
      <c r="R79" s="103" t="s">
        <v>2220</v>
      </c>
      <c r="S79" s="103" t="s">
        <v>2192</v>
      </c>
      <c r="T79" s="103" t="s">
        <v>2277</v>
      </c>
      <c r="U79" s="103">
        <v>102.6</v>
      </c>
      <c r="V79" s="103" t="s">
        <v>2262</v>
      </c>
      <c r="W79" s="103" t="s">
        <v>108</v>
      </c>
      <c r="X79" s="103" t="s">
        <v>1597</v>
      </c>
      <c r="Y79" s="103" t="s">
        <v>1685</v>
      </c>
      <c r="AA79" s="103" t="s">
        <v>2220</v>
      </c>
      <c r="AB79" s="103" t="s">
        <v>71</v>
      </c>
      <c r="AE79" s="103" t="s">
        <v>810</v>
      </c>
      <c r="AF79" s="103" t="b">
        <v>1</v>
      </c>
    </row>
    <row r="80" spans="1:32" hidden="1" x14ac:dyDescent="0.2">
      <c r="A80" s="103" t="s">
        <v>537</v>
      </c>
      <c r="B80" s="103" t="s">
        <v>536</v>
      </c>
      <c r="C80" s="103" t="s">
        <v>2278</v>
      </c>
      <c r="E80" s="103" t="s">
        <v>2259</v>
      </c>
      <c r="F80" s="103" t="s">
        <v>2232</v>
      </c>
      <c r="G80" s="103">
        <v>300</v>
      </c>
      <c r="H80" s="103" t="s">
        <v>2168</v>
      </c>
      <c r="I80" s="103" t="s">
        <v>2153</v>
      </c>
      <c r="M80" s="103">
        <v>300</v>
      </c>
      <c r="N80" s="103" t="s">
        <v>2273</v>
      </c>
      <c r="O80" s="103">
        <v>300</v>
      </c>
      <c r="P80" s="103" t="s">
        <v>811</v>
      </c>
      <c r="Q80" s="103" t="s">
        <v>2155</v>
      </c>
      <c r="R80" s="103" t="s">
        <v>2220</v>
      </c>
      <c r="S80" s="103" t="s">
        <v>2192</v>
      </c>
      <c r="U80" s="103">
        <v>153.9</v>
      </c>
      <c r="V80" s="103" t="s">
        <v>2262</v>
      </c>
      <c r="W80" s="103" t="s">
        <v>108</v>
      </c>
      <c r="X80" s="103" t="s">
        <v>1597</v>
      </c>
      <c r="Y80" s="103" t="s">
        <v>1685</v>
      </c>
      <c r="AA80" s="103" t="s">
        <v>2220</v>
      </c>
      <c r="AB80" s="103" t="s">
        <v>71</v>
      </c>
      <c r="AE80" s="103" t="s">
        <v>810</v>
      </c>
      <c r="AF80" s="103" t="b">
        <v>1</v>
      </c>
    </row>
    <row r="81" spans="1:32" hidden="1" x14ac:dyDescent="0.2">
      <c r="A81" s="103" t="s">
        <v>537</v>
      </c>
      <c r="B81" s="103" t="s">
        <v>536</v>
      </c>
      <c r="C81" s="103" t="s">
        <v>2279</v>
      </c>
      <c r="E81" s="103" t="s">
        <v>2259</v>
      </c>
      <c r="F81" s="103" t="s">
        <v>2232</v>
      </c>
      <c r="G81" s="103">
        <v>300</v>
      </c>
      <c r="H81" s="103" t="s">
        <v>2168</v>
      </c>
      <c r="I81" s="103" t="s">
        <v>2153</v>
      </c>
      <c r="M81" s="103">
        <v>300</v>
      </c>
      <c r="N81" s="103" t="s">
        <v>2273</v>
      </c>
      <c r="O81" s="103">
        <v>300</v>
      </c>
      <c r="P81" s="103" t="s">
        <v>811</v>
      </c>
      <c r="Q81" s="103" t="s">
        <v>2155</v>
      </c>
      <c r="R81" s="103" t="s">
        <v>2220</v>
      </c>
      <c r="S81" s="103" t="s">
        <v>2192</v>
      </c>
      <c r="U81" s="103">
        <v>153.9</v>
      </c>
      <c r="V81" s="103" t="s">
        <v>2262</v>
      </c>
      <c r="W81" s="103" t="s">
        <v>108</v>
      </c>
      <c r="X81" s="103" t="s">
        <v>1597</v>
      </c>
      <c r="Y81" s="103" t="s">
        <v>1685</v>
      </c>
      <c r="AA81" s="103" t="s">
        <v>2220</v>
      </c>
      <c r="AB81" s="103" t="s">
        <v>71</v>
      </c>
      <c r="AE81" s="103" t="s">
        <v>810</v>
      </c>
      <c r="AF81" s="103" t="b">
        <v>1</v>
      </c>
    </row>
    <row r="82" spans="1:32" hidden="1" x14ac:dyDescent="0.2">
      <c r="A82" s="103" t="s">
        <v>537</v>
      </c>
      <c r="B82" s="103" t="s">
        <v>536</v>
      </c>
      <c r="C82" s="103" t="s">
        <v>2280</v>
      </c>
      <c r="E82" s="103" t="s">
        <v>2272</v>
      </c>
      <c r="F82" s="103" t="s">
        <v>2232</v>
      </c>
      <c r="G82" s="103">
        <v>300</v>
      </c>
      <c r="H82" s="103" t="s">
        <v>2168</v>
      </c>
      <c r="I82" s="103" t="s">
        <v>2153</v>
      </c>
      <c r="K82" s="103">
        <v>100</v>
      </c>
      <c r="L82" s="103">
        <v>100</v>
      </c>
      <c r="M82" s="103">
        <v>100</v>
      </c>
      <c r="N82" s="103" t="s">
        <v>2163</v>
      </c>
      <c r="O82" s="103">
        <v>300</v>
      </c>
      <c r="P82" s="103" t="s">
        <v>811</v>
      </c>
      <c r="Q82" s="103" t="s">
        <v>2155</v>
      </c>
      <c r="R82" s="103" t="s">
        <v>2220</v>
      </c>
      <c r="S82" s="103" t="s">
        <v>2192</v>
      </c>
      <c r="U82" s="103">
        <v>153.9</v>
      </c>
      <c r="V82" s="103" t="s">
        <v>2158</v>
      </c>
      <c r="W82" s="103" t="s">
        <v>108</v>
      </c>
      <c r="X82" s="103" t="s">
        <v>1597</v>
      </c>
      <c r="Y82" s="103" t="s">
        <v>1685</v>
      </c>
      <c r="AA82" s="103" t="s">
        <v>2220</v>
      </c>
      <c r="AB82" s="103" t="s">
        <v>71</v>
      </c>
      <c r="AE82" s="103" t="s">
        <v>810</v>
      </c>
      <c r="AF82" s="103" t="b">
        <v>1</v>
      </c>
    </row>
    <row r="83" spans="1:32" hidden="1" x14ac:dyDescent="0.2">
      <c r="A83" s="103" t="s">
        <v>537</v>
      </c>
      <c r="B83" s="103" t="s">
        <v>536</v>
      </c>
      <c r="C83" s="103" t="s">
        <v>2281</v>
      </c>
      <c r="D83" s="103" t="s">
        <v>2282</v>
      </c>
      <c r="E83" s="103" t="s">
        <v>2256</v>
      </c>
      <c r="F83" s="103" t="s">
        <v>2202</v>
      </c>
      <c r="G83" s="103">
        <v>200</v>
      </c>
      <c r="H83" s="103" t="s">
        <v>2168</v>
      </c>
      <c r="I83" s="103" t="s">
        <v>2153</v>
      </c>
      <c r="K83" s="103">
        <v>25</v>
      </c>
      <c r="L83" s="103">
        <v>150</v>
      </c>
      <c r="M83" s="103">
        <v>25</v>
      </c>
      <c r="N83" s="103" t="s">
        <v>2163</v>
      </c>
      <c r="O83" s="103">
        <v>200</v>
      </c>
      <c r="P83" s="103" t="s">
        <v>880</v>
      </c>
      <c r="Q83" s="103" t="s">
        <v>2155</v>
      </c>
      <c r="R83" s="103" t="s">
        <v>2220</v>
      </c>
      <c r="S83" s="103" t="s">
        <v>2192</v>
      </c>
      <c r="T83" s="103" t="s">
        <v>2283</v>
      </c>
      <c r="U83" s="103">
        <v>102.6</v>
      </c>
      <c r="V83" s="103" t="s">
        <v>2158</v>
      </c>
      <c r="W83" s="103" t="s">
        <v>108</v>
      </c>
      <c r="X83" s="103" t="s">
        <v>1597</v>
      </c>
      <c r="Y83" s="103" t="s">
        <v>1685</v>
      </c>
      <c r="AA83" s="103" t="s">
        <v>2220</v>
      </c>
      <c r="AB83" s="103" t="s">
        <v>71</v>
      </c>
      <c r="AE83" s="103" t="s">
        <v>810</v>
      </c>
      <c r="AF83" s="103" t="b">
        <v>1</v>
      </c>
    </row>
    <row r="84" spans="1:32" hidden="1" x14ac:dyDescent="0.2">
      <c r="A84" s="103" t="s">
        <v>537</v>
      </c>
      <c r="B84" s="103" t="s">
        <v>536</v>
      </c>
      <c r="C84" s="103" t="s">
        <v>2284</v>
      </c>
      <c r="E84" s="103" t="s">
        <v>2285</v>
      </c>
      <c r="F84" s="103" t="s">
        <v>2162</v>
      </c>
      <c r="G84" s="103">
        <v>50</v>
      </c>
      <c r="H84" s="103" t="s">
        <v>2168</v>
      </c>
      <c r="I84" s="103" t="s">
        <v>2153</v>
      </c>
      <c r="J84" s="103">
        <v>50</v>
      </c>
      <c r="N84" s="103" t="s">
        <v>2163</v>
      </c>
      <c r="O84" s="103">
        <v>50</v>
      </c>
      <c r="P84" s="103" t="s">
        <v>811</v>
      </c>
      <c r="Q84" s="103" t="s">
        <v>2155</v>
      </c>
      <c r="R84" s="103" t="s">
        <v>2220</v>
      </c>
      <c r="S84" s="103" t="s">
        <v>2192</v>
      </c>
      <c r="U84" s="103">
        <v>25.65</v>
      </c>
      <c r="V84" s="103" t="s">
        <v>2158</v>
      </c>
      <c r="W84" s="103" t="s">
        <v>108</v>
      </c>
      <c r="X84" s="103" t="s">
        <v>1597</v>
      </c>
      <c r="Y84" s="103" t="s">
        <v>1685</v>
      </c>
      <c r="AA84" s="103" t="s">
        <v>2220</v>
      </c>
      <c r="AB84" s="103" t="s">
        <v>71</v>
      </c>
      <c r="AE84" s="103" t="s">
        <v>810</v>
      </c>
      <c r="AF84" s="103" t="b">
        <v>1</v>
      </c>
    </row>
    <row r="85" spans="1:32" hidden="1" x14ac:dyDescent="0.2">
      <c r="A85" s="103" t="s">
        <v>350</v>
      </c>
      <c r="B85" s="103" t="s">
        <v>349</v>
      </c>
      <c r="C85" s="103" t="s">
        <v>2286</v>
      </c>
      <c r="D85" s="103" t="s">
        <v>2287</v>
      </c>
      <c r="E85" s="103" t="s">
        <v>2288</v>
      </c>
      <c r="F85" s="103" t="s">
        <v>2151</v>
      </c>
      <c r="G85" s="103">
        <v>160</v>
      </c>
      <c r="H85" s="103" t="s">
        <v>2152</v>
      </c>
      <c r="I85" s="103" t="s">
        <v>2153</v>
      </c>
      <c r="J85" s="103">
        <v>40</v>
      </c>
      <c r="K85" s="103">
        <v>40</v>
      </c>
      <c r="L85" s="103">
        <v>40</v>
      </c>
      <c r="M85" s="103">
        <v>40</v>
      </c>
      <c r="N85" s="103" t="s">
        <v>2163</v>
      </c>
      <c r="O85" s="103">
        <v>160</v>
      </c>
      <c r="P85" s="103" t="s">
        <v>791</v>
      </c>
      <c r="Q85" s="103" t="s">
        <v>2155</v>
      </c>
      <c r="R85" s="103" t="s">
        <v>2220</v>
      </c>
      <c r="S85" s="103" t="s">
        <v>2157</v>
      </c>
      <c r="U85" s="103">
        <v>82.08</v>
      </c>
      <c r="V85" s="103" t="s">
        <v>2158</v>
      </c>
      <c r="W85" s="103" t="s">
        <v>116</v>
      </c>
      <c r="X85" s="103" t="s">
        <v>1597</v>
      </c>
      <c r="Y85" s="103" t="s">
        <v>1685</v>
      </c>
      <c r="AA85" s="103" t="s">
        <v>2220</v>
      </c>
      <c r="AB85" s="103" t="s">
        <v>71</v>
      </c>
      <c r="AE85" s="103" t="s">
        <v>810</v>
      </c>
      <c r="AF85" s="103" t="b">
        <v>1</v>
      </c>
    </row>
    <row r="86" spans="1:32" hidden="1" x14ac:dyDescent="0.2">
      <c r="A86" s="103" t="s">
        <v>350</v>
      </c>
      <c r="B86" s="103" t="s">
        <v>349</v>
      </c>
      <c r="C86" s="103" t="s">
        <v>2289</v>
      </c>
      <c r="D86" s="103" t="s">
        <v>2290</v>
      </c>
      <c r="E86" s="103" t="s">
        <v>2288</v>
      </c>
      <c r="F86" s="103" t="s">
        <v>2202</v>
      </c>
      <c r="G86" s="103">
        <v>270</v>
      </c>
      <c r="H86" s="103" t="s">
        <v>2152</v>
      </c>
      <c r="I86" s="103" t="s">
        <v>2153</v>
      </c>
      <c r="J86" s="103">
        <v>60</v>
      </c>
      <c r="K86" s="103">
        <v>60</v>
      </c>
      <c r="L86" s="103">
        <v>60</v>
      </c>
      <c r="M86" s="103">
        <v>90</v>
      </c>
      <c r="N86" s="103" t="s">
        <v>2163</v>
      </c>
      <c r="O86" s="103">
        <v>270</v>
      </c>
      <c r="P86" s="103" t="s">
        <v>811</v>
      </c>
      <c r="Q86" s="103" t="s">
        <v>2155</v>
      </c>
      <c r="R86" s="103" t="s">
        <v>2220</v>
      </c>
      <c r="S86" s="103" t="s">
        <v>2157</v>
      </c>
      <c r="U86" s="103">
        <v>138.51</v>
      </c>
      <c r="V86" s="103" t="s">
        <v>2158</v>
      </c>
      <c r="W86" s="103" t="s">
        <v>116</v>
      </c>
      <c r="X86" s="103" t="s">
        <v>1597</v>
      </c>
      <c r="Y86" s="103" t="s">
        <v>1685</v>
      </c>
      <c r="AA86" s="103" t="s">
        <v>2220</v>
      </c>
      <c r="AB86" s="103" t="s">
        <v>71</v>
      </c>
      <c r="AE86" s="103" t="s">
        <v>810</v>
      </c>
      <c r="AF86" s="103" t="b">
        <v>1</v>
      </c>
    </row>
    <row r="87" spans="1:32" hidden="1" x14ac:dyDescent="0.2">
      <c r="A87" s="103" t="s">
        <v>854</v>
      </c>
      <c r="B87" s="103" t="s">
        <v>853</v>
      </c>
      <c r="C87" s="103" t="s">
        <v>2291</v>
      </c>
      <c r="E87" s="103" t="s">
        <v>2292</v>
      </c>
      <c r="F87" s="103" t="s">
        <v>2151</v>
      </c>
      <c r="G87" s="103">
        <v>100</v>
      </c>
      <c r="H87" s="103" t="s">
        <v>2168</v>
      </c>
      <c r="I87" s="103" t="s">
        <v>2153</v>
      </c>
      <c r="J87" s="103">
        <v>25</v>
      </c>
      <c r="K87" s="103">
        <v>25</v>
      </c>
      <c r="L87" s="103">
        <v>25</v>
      </c>
      <c r="M87" s="103">
        <v>25</v>
      </c>
      <c r="N87" s="103" t="s">
        <v>2260</v>
      </c>
      <c r="O87" s="103">
        <v>100</v>
      </c>
      <c r="P87" s="103" t="s">
        <v>2293</v>
      </c>
      <c r="Q87" s="103" t="s">
        <v>2155</v>
      </c>
      <c r="R87" s="103" t="s">
        <v>2220</v>
      </c>
      <c r="S87" s="103" t="s">
        <v>2192</v>
      </c>
      <c r="U87" s="103">
        <v>51.3</v>
      </c>
      <c r="V87" s="103" t="s">
        <v>2262</v>
      </c>
      <c r="W87" s="103" t="s">
        <v>108</v>
      </c>
      <c r="X87" s="103" t="s">
        <v>1597</v>
      </c>
      <c r="Y87" s="103" t="s">
        <v>1685</v>
      </c>
      <c r="AA87" s="103" t="s">
        <v>2220</v>
      </c>
      <c r="AB87" s="103" t="s">
        <v>71</v>
      </c>
      <c r="AE87" s="103" t="s">
        <v>810</v>
      </c>
      <c r="AF87" s="103" t="b">
        <v>1</v>
      </c>
    </row>
    <row r="88" spans="1:32" hidden="1" x14ac:dyDescent="0.2">
      <c r="A88" s="103" t="s">
        <v>854</v>
      </c>
      <c r="B88" s="103" t="s">
        <v>853</v>
      </c>
      <c r="C88" s="103" t="s">
        <v>2294</v>
      </c>
      <c r="E88" s="103" t="s">
        <v>2292</v>
      </c>
      <c r="F88" s="103" t="s">
        <v>2202</v>
      </c>
      <c r="G88" s="103">
        <v>200</v>
      </c>
      <c r="H88" s="103" t="s">
        <v>2168</v>
      </c>
      <c r="I88" s="103" t="s">
        <v>2153</v>
      </c>
      <c r="J88" s="103">
        <v>50</v>
      </c>
      <c r="K88" s="103">
        <v>50</v>
      </c>
      <c r="L88" s="103">
        <v>50</v>
      </c>
      <c r="M88" s="103">
        <v>50</v>
      </c>
      <c r="N88" s="103" t="s">
        <v>2154</v>
      </c>
      <c r="O88" s="103">
        <v>200</v>
      </c>
      <c r="P88" s="103" t="s">
        <v>2293</v>
      </c>
      <c r="Q88" s="103" t="s">
        <v>2155</v>
      </c>
      <c r="R88" s="103" t="s">
        <v>2220</v>
      </c>
      <c r="S88" s="103" t="s">
        <v>2192</v>
      </c>
      <c r="U88" s="103">
        <v>102.6</v>
      </c>
      <c r="V88" s="103" t="s">
        <v>2158</v>
      </c>
      <c r="W88" s="103" t="s">
        <v>108</v>
      </c>
      <c r="X88" s="103" t="s">
        <v>1597</v>
      </c>
      <c r="Y88" s="103" t="s">
        <v>1685</v>
      </c>
      <c r="AA88" s="103" t="s">
        <v>2220</v>
      </c>
      <c r="AB88" s="103" t="s">
        <v>71</v>
      </c>
      <c r="AE88" s="103" t="s">
        <v>810</v>
      </c>
      <c r="AF88" s="103" t="b">
        <v>1</v>
      </c>
    </row>
    <row r="89" spans="1:32" hidden="1" x14ac:dyDescent="0.2">
      <c r="A89" s="103" t="s">
        <v>354</v>
      </c>
      <c r="B89" s="103" t="s">
        <v>353</v>
      </c>
      <c r="C89" s="103" t="s">
        <v>2295</v>
      </c>
      <c r="E89" s="103" t="s">
        <v>2266</v>
      </c>
      <c r="F89" s="103" t="s">
        <v>2175</v>
      </c>
      <c r="G89" s="103">
        <v>20</v>
      </c>
      <c r="H89" s="103" t="s">
        <v>2168</v>
      </c>
      <c r="I89" s="103" t="s">
        <v>2153</v>
      </c>
      <c r="J89" s="103">
        <v>20</v>
      </c>
      <c r="N89" s="103" t="s">
        <v>2273</v>
      </c>
      <c r="O89" s="103">
        <v>20</v>
      </c>
      <c r="P89" s="103" t="s">
        <v>811</v>
      </c>
      <c r="Q89" s="103" t="s">
        <v>2296</v>
      </c>
      <c r="R89" s="103" t="s">
        <v>2220</v>
      </c>
      <c r="S89" s="103" t="s">
        <v>2209</v>
      </c>
      <c r="U89" s="103">
        <v>10.26</v>
      </c>
      <c r="V89" s="103" t="s">
        <v>2262</v>
      </c>
      <c r="W89" s="103" t="s">
        <v>108</v>
      </c>
      <c r="X89" s="103" t="s">
        <v>1597</v>
      </c>
      <c r="Y89" s="103" t="s">
        <v>1685</v>
      </c>
      <c r="AA89" s="103" t="s">
        <v>2220</v>
      </c>
      <c r="AB89" s="103" t="s">
        <v>71</v>
      </c>
      <c r="AE89" s="103" t="s">
        <v>810</v>
      </c>
      <c r="AF89" s="103" t="b">
        <v>1</v>
      </c>
    </row>
    <row r="90" spans="1:32" hidden="1" x14ac:dyDescent="0.2">
      <c r="A90" s="103" t="s">
        <v>785</v>
      </c>
      <c r="B90" s="103" t="s">
        <v>784</v>
      </c>
      <c r="C90" s="103" t="s">
        <v>2297</v>
      </c>
      <c r="D90" s="103" t="s">
        <v>2298</v>
      </c>
      <c r="E90" s="103" t="s">
        <v>2299</v>
      </c>
      <c r="F90" s="103" t="s">
        <v>2162</v>
      </c>
      <c r="G90" s="103">
        <v>50</v>
      </c>
      <c r="H90" s="103" t="s">
        <v>2168</v>
      </c>
      <c r="I90" s="103" t="s">
        <v>2153</v>
      </c>
      <c r="J90" s="103">
        <v>50</v>
      </c>
      <c r="N90" s="103" t="s">
        <v>2163</v>
      </c>
      <c r="O90" s="103">
        <v>50</v>
      </c>
      <c r="P90" s="103" t="s">
        <v>1609</v>
      </c>
      <c r="Q90" s="103" t="s">
        <v>2155</v>
      </c>
      <c r="R90" s="103" t="s">
        <v>2220</v>
      </c>
      <c r="S90" s="103" t="s">
        <v>2209</v>
      </c>
      <c r="U90" s="103">
        <v>25.65</v>
      </c>
      <c r="V90" s="103" t="s">
        <v>2158</v>
      </c>
      <c r="W90" s="103" t="s">
        <v>108</v>
      </c>
      <c r="X90" s="103" t="s">
        <v>1597</v>
      </c>
      <c r="Y90" s="103" t="s">
        <v>1685</v>
      </c>
      <c r="AA90" s="103" t="s">
        <v>2220</v>
      </c>
      <c r="AB90" s="103" t="s">
        <v>71</v>
      </c>
      <c r="AE90" s="103" t="s">
        <v>898</v>
      </c>
      <c r="AF90" s="103" t="b">
        <v>1</v>
      </c>
    </row>
    <row r="91" spans="1:32" hidden="1" x14ac:dyDescent="0.2">
      <c r="A91" s="103" t="s">
        <v>3846</v>
      </c>
      <c r="B91" s="103" t="s">
        <v>818</v>
      </c>
      <c r="C91" s="103" t="s">
        <v>2300</v>
      </c>
      <c r="D91" s="103" t="s">
        <v>2301</v>
      </c>
      <c r="E91" s="103" t="s">
        <v>2302</v>
      </c>
      <c r="F91" s="103" t="s">
        <v>2162</v>
      </c>
      <c r="G91" s="103">
        <v>50</v>
      </c>
      <c r="H91" s="103" t="s">
        <v>2168</v>
      </c>
      <c r="I91" s="103" t="s">
        <v>2153</v>
      </c>
      <c r="L91" s="103">
        <v>50</v>
      </c>
      <c r="N91" s="103" t="s">
        <v>2260</v>
      </c>
      <c r="O91" s="103">
        <v>50</v>
      </c>
      <c r="P91" s="103" t="s">
        <v>820</v>
      </c>
      <c r="Q91" s="103" t="s">
        <v>2155</v>
      </c>
      <c r="R91" s="103" t="s">
        <v>2220</v>
      </c>
      <c r="S91" s="103" t="s">
        <v>2209</v>
      </c>
      <c r="U91" s="103">
        <v>25.65</v>
      </c>
      <c r="V91" s="103" t="s">
        <v>2262</v>
      </c>
      <c r="W91" s="103" t="s">
        <v>108</v>
      </c>
      <c r="X91" s="103">
        <v>0</v>
      </c>
      <c r="Y91" s="103" t="s">
        <v>1685</v>
      </c>
      <c r="AA91" s="103" t="s">
        <v>2220</v>
      </c>
      <c r="AB91" s="103" t="s">
        <v>71</v>
      </c>
      <c r="AE91" s="103" t="s">
        <v>810</v>
      </c>
      <c r="AF91" s="103" t="b">
        <v>1</v>
      </c>
    </row>
    <row r="92" spans="1:32" hidden="1" x14ac:dyDescent="0.2">
      <c r="A92" s="103" t="s">
        <v>3846</v>
      </c>
      <c r="B92" s="103" t="s">
        <v>818</v>
      </c>
      <c r="C92" s="103" t="s">
        <v>2303</v>
      </c>
      <c r="D92" s="103" t="s">
        <v>2304</v>
      </c>
      <c r="E92" s="103" t="s">
        <v>2302</v>
      </c>
      <c r="F92" s="103" t="s">
        <v>2226</v>
      </c>
      <c r="G92" s="103">
        <v>400</v>
      </c>
      <c r="H92" s="103" t="s">
        <v>2168</v>
      </c>
      <c r="I92" s="103" t="s">
        <v>2153</v>
      </c>
      <c r="J92" s="103">
        <v>150</v>
      </c>
      <c r="K92" s="103">
        <v>150</v>
      </c>
      <c r="L92" s="103">
        <v>100</v>
      </c>
      <c r="N92" s="103" t="s">
        <v>2163</v>
      </c>
      <c r="O92" s="103">
        <v>400</v>
      </c>
      <c r="P92" s="103" t="s">
        <v>820</v>
      </c>
      <c r="Q92" s="103" t="s">
        <v>2155</v>
      </c>
      <c r="R92" s="103" t="s">
        <v>2220</v>
      </c>
      <c r="S92" s="103" t="s">
        <v>2209</v>
      </c>
      <c r="U92" s="103">
        <v>205.2</v>
      </c>
      <c r="V92" s="103" t="s">
        <v>2158</v>
      </c>
      <c r="W92" s="103" t="s">
        <v>108</v>
      </c>
      <c r="X92" s="103">
        <v>0</v>
      </c>
      <c r="Y92" s="103" t="s">
        <v>1685</v>
      </c>
      <c r="AA92" s="103" t="s">
        <v>2220</v>
      </c>
      <c r="AB92" s="103" t="s">
        <v>71</v>
      </c>
      <c r="AE92" s="103" t="s">
        <v>810</v>
      </c>
      <c r="AF92" s="103" t="b">
        <v>1</v>
      </c>
    </row>
    <row r="93" spans="1:32" hidden="1" x14ac:dyDescent="0.2">
      <c r="A93" s="103" t="s">
        <v>3846</v>
      </c>
      <c r="B93" s="103" t="s">
        <v>818</v>
      </c>
      <c r="C93" s="103" t="s">
        <v>2305</v>
      </c>
      <c r="D93" s="103" t="s">
        <v>2306</v>
      </c>
      <c r="E93" s="103" t="s">
        <v>2302</v>
      </c>
      <c r="F93" s="103" t="s">
        <v>2232</v>
      </c>
      <c r="G93" s="103">
        <v>300</v>
      </c>
      <c r="H93" s="103" t="s">
        <v>2168</v>
      </c>
      <c r="I93" s="103" t="s">
        <v>2153</v>
      </c>
      <c r="J93" s="103">
        <v>75</v>
      </c>
      <c r="K93" s="103">
        <v>75</v>
      </c>
      <c r="L93" s="103">
        <v>75</v>
      </c>
      <c r="M93" s="103">
        <v>75</v>
      </c>
      <c r="N93" s="103" t="s">
        <v>2163</v>
      </c>
      <c r="O93" s="103">
        <v>300</v>
      </c>
      <c r="P93" s="103" t="s">
        <v>820</v>
      </c>
      <c r="Q93" s="103" t="s">
        <v>2155</v>
      </c>
      <c r="R93" s="103" t="s">
        <v>2220</v>
      </c>
      <c r="S93" s="103" t="s">
        <v>2209</v>
      </c>
      <c r="U93" s="103">
        <v>153.9</v>
      </c>
      <c r="V93" s="103" t="s">
        <v>2158</v>
      </c>
      <c r="W93" s="103" t="s">
        <v>108</v>
      </c>
      <c r="X93" s="103">
        <v>0</v>
      </c>
      <c r="Y93" s="103" t="s">
        <v>1685</v>
      </c>
      <c r="AA93" s="103" t="s">
        <v>2220</v>
      </c>
      <c r="AB93" s="103" t="s">
        <v>71</v>
      </c>
      <c r="AE93" s="103" t="s">
        <v>810</v>
      </c>
      <c r="AF93" s="103" t="b">
        <v>1</v>
      </c>
    </row>
    <row r="94" spans="1:32" hidden="1" x14ac:dyDescent="0.2">
      <c r="A94" s="103" t="s">
        <v>3846</v>
      </c>
      <c r="B94" s="103" t="s">
        <v>818</v>
      </c>
      <c r="C94" s="103" t="s">
        <v>2307</v>
      </c>
      <c r="D94" s="103" t="s">
        <v>2308</v>
      </c>
      <c r="E94" s="103" t="s">
        <v>2302</v>
      </c>
      <c r="F94" s="103" t="s">
        <v>2202</v>
      </c>
      <c r="G94" s="103">
        <v>200</v>
      </c>
      <c r="H94" s="103" t="s">
        <v>2168</v>
      </c>
      <c r="I94" s="103" t="s">
        <v>2153</v>
      </c>
      <c r="L94" s="103">
        <v>100</v>
      </c>
      <c r="M94" s="103">
        <v>100</v>
      </c>
      <c r="N94" s="103" t="s">
        <v>2163</v>
      </c>
      <c r="O94" s="103">
        <v>200</v>
      </c>
      <c r="P94" s="103" t="s">
        <v>820</v>
      </c>
      <c r="Q94" s="103" t="s">
        <v>2155</v>
      </c>
      <c r="R94" s="103" t="s">
        <v>2220</v>
      </c>
      <c r="S94" s="103" t="s">
        <v>2209</v>
      </c>
      <c r="U94" s="103">
        <v>102.6</v>
      </c>
      <c r="V94" s="103" t="s">
        <v>2158</v>
      </c>
      <c r="W94" s="103" t="s">
        <v>108</v>
      </c>
      <c r="X94" s="103">
        <v>0</v>
      </c>
      <c r="Y94" s="103" t="s">
        <v>1685</v>
      </c>
      <c r="AA94" s="103" t="s">
        <v>2220</v>
      </c>
      <c r="AB94" s="103" t="s">
        <v>71</v>
      </c>
      <c r="AE94" s="103" t="s">
        <v>810</v>
      </c>
      <c r="AF94" s="103" t="b">
        <v>1</v>
      </c>
    </row>
    <row r="95" spans="1:32" hidden="1" x14ac:dyDescent="0.2">
      <c r="A95" s="103" t="s">
        <v>882</v>
      </c>
      <c r="B95" s="103" t="s">
        <v>881</v>
      </c>
      <c r="C95" s="103" t="s">
        <v>2309</v>
      </c>
      <c r="D95" s="103" t="s">
        <v>2310</v>
      </c>
      <c r="E95" s="103" t="s">
        <v>2311</v>
      </c>
      <c r="F95" s="103" t="s">
        <v>2175</v>
      </c>
      <c r="G95" s="103">
        <v>20</v>
      </c>
      <c r="H95" s="103" t="s">
        <v>2168</v>
      </c>
      <c r="I95" s="103" t="s">
        <v>2153</v>
      </c>
      <c r="J95" s="103">
        <v>20</v>
      </c>
      <c r="N95" s="103" t="s">
        <v>2163</v>
      </c>
      <c r="O95" s="103">
        <v>20</v>
      </c>
      <c r="P95" s="103" t="s">
        <v>820</v>
      </c>
      <c r="Q95" s="103" t="s">
        <v>2155</v>
      </c>
      <c r="R95" s="103" t="s">
        <v>2220</v>
      </c>
      <c r="S95" s="103" t="s">
        <v>2209</v>
      </c>
      <c r="U95" s="103">
        <v>10.26</v>
      </c>
      <c r="V95" s="103" t="s">
        <v>2158</v>
      </c>
      <c r="W95" s="103" t="s">
        <v>108</v>
      </c>
      <c r="X95" s="103">
        <v>0</v>
      </c>
      <c r="Y95" s="103" t="s">
        <v>1685</v>
      </c>
      <c r="AA95" s="103" t="s">
        <v>2220</v>
      </c>
      <c r="AB95" s="103" t="s">
        <v>71</v>
      </c>
      <c r="AE95" s="103" t="s">
        <v>810</v>
      </c>
      <c r="AF95" s="103" t="b">
        <v>1</v>
      </c>
    </row>
    <row r="96" spans="1:32" hidden="1" x14ac:dyDescent="0.2">
      <c r="A96" s="103" t="s">
        <v>882</v>
      </c>
      <c r="B96" s="103" t="s">
        <v>881</v>
      </c>
      <c r="C96" s="103" t="s">
        <v>2312</v>
      </c>
      <c r="E96" s="103" t="s">
        <v>2311</v>
      </c>
      <c r="F96" s="103" t="s">
        <v>2175</v>
      </c>
      <c r="G96" s="103">
        <v>20</v>
      </c>
      <c r="H96" s="103" t="s">
        <v>2168</v>
      </c>
      <c r="I96" s="103" t="s">
        <v>2153</v>
      </c>
      <c r="J96" s="103">
        <v>10</v>
      </c>
      <c r="K96" s="103">
        <v>10</v>
      </c>
      <c r="N96" s="103" t="s">
        <v>2163</v>
      </c>
      <c r="O96" s="103">
        <v>20</v>
      </c>
      <c r="P96" s="103" t="s">
        <v>820</v>
      </c>
      <c r="Q96" s="103" t="s">
        <v>2155</v>
      </c>
      <c r="R96" s="103" t="s">
        <v>2220</v>
      </c>
      <c r="S96" s="103" t="s">
        <v>2209</v>
      </c>
      <c r="U96" s="103">
        <v>10.26</v>
      </c>
      <c r="V96" s="103" t="s">
        <v>2158</v>
      </c>
      <c r="W96" s="103" t="s">
        <v>108</v>
      </c>
      <c r="X96" s="103">
        <v>0</v>
      </c>
      <c r="Y96" s="103" t="s">
        <v>1685</v>
      </c>
      <c r="AA96" s="103" t="s">
        <v>2220</v>
      </c>
      <c r="AB96" s="103" t="s">
        <v>71</v>
      </c>
      <c r="AE96" s="103" t="s">
        <v>810</v>
      </c>
      <c r="AF96" s="103" t="b">
        <v>1</v>
      </c>
    </row>
    <row r="97" spans="1:32" hidden="1" x14ac:dyDescent="0.2">
      <c r="A97" s="103" t="s">
        <v>884</v>
      </c>
      <c r="B97" s="103" t="s">
        <v>883</v>
      </c>
      <c r="C97" s="103" t="s">
        <v>2313</v>
      </c>
      <c r="D97" s="103" t="s">
        <v>2314</v>
      </c>
      <c r="E97" s="103" t="s">
        <v>2315</v>
      </c>
      <c r="F97" s="103" t="s">
        <v>2151</v>
      </c>
      <c r="G97" s="103">
        <v>100</v>
      </c>
      <c r="H97" s="103" t="s">
        <v>2168</v>
      </c>
      <c r="I97" s="103" t="s">
        <v>2153</v>
      </c>
      <c r="J97" s="103">
        <v>50</v>
      </c>
      <c r="K97" s="103">
        <v>50</v>
      </c>
      <c r="N97" s="103" t="s">
        <v>2163</v>
      </c>
      <c r="O97" s="103">
        <v>100</v>
      </c>
      <c r="P97" s="103" t="s">
        <v>820</v>
      </c>
      <c r="Q97" s="103" t="s">
        <v>2155</v>
      </c>
      <c r="R97" s="103" t="s">
        <v>2220</v>
      </c>
      <c r="S97" s="103" t="s">
        <v>2209</v>
      </c>
      <c r="U97" s="103">
        <v>51.3</v>
      </c>
      <c r="V97" s="103" t="s">
        <v>2158</v>
      </c>
      <c r="W97" s="103" t="s">
        <v>108</v>
      </c>
      <c r="X97" s="103">
        <v>0</v>
      </c>
      <c r="Y97" s="103" t="s">
        <v>1685</v>
      </c>
      <c r="AA97" s="103" t="s">
        <v>2220</v>
      </c>
      <c r="AB97" s="103" t="s">
        <v>71</v>
      </c>
      <c r="AE97" s="103" t="s">
        <v>810</v>
      </c>
      <c r="AF97" s="103" t="b">
        <v>1</v>
      </c>
    </row>
    <row r="98" spans="1:32" hidden="1" x14ac:dyDescent="0.2">
      <c r="A98" s="103" t="s">
        <v>884</v>
      </c>
      <c r="B98" s="103" t="s">
        <v>883</v>
      </c>
      <c r="C98" s="103" t="s">
        <v>2316</v>
      </c>
      <c r="D98" s="103" t="s">
        <v>2317</v>
      </c>
      <c r="E98" s="103" t="s">
        <v>2311</v>
      </c>
      <c r="F98" s="103" t="s">
        <v>2151</v>
      </c>
      <c r="G98" s="103">
        <v>100</v>
      </c>
      <c r="H98" s="103" t="s">
        <v>2168</v>
      </c>
      <c r="I98" s="103" t="s">
        <v>2153</v>
      </c>
      <c r="J98" s="103">
        <v>25</v>
      </c>
      <c r="K98" s="103">
        <v>25</v>
      </c>
      <c r="L98" s="103">
        <v>25</v>
      </c>
      <c r="M98" s="103">
        <v>25</v>
      </c>
      <c r="N98" s="103" t="s">
        <v>2163</v>
      </c>
      <c r="O98" s="103">
        <v>100</v>
      </c>
      <c r="P98" s="103" t="s">
        <v>820</v>
      </c>
      <c r="Q98" s="103" t="s">
        <v>2155</v>
      </c>
      <c r="R98" s="103" t="s">
        <v>2220</v>
      </c>
      <c r="S98" s="103" t="s">
        <v>2209</v>
      </c>
      <c r="U98" s="103">
        <v>51.3</v>
      </c>
      <c r="V98" s="103" t="s">
        <v>2158</v>
      </c>
      <c r="W98" s="103" t="s">
        <v>108</v>
      </c>
      <c r="X98" s="103">
        <v>0</v>
      </c>
      <c r="Y98" s="103" t="s">
        <v>1685</v>
      </c>
      <c r="AA98" s="103" t="s">
        <v>2220</v>
      </c>
      <c r="AB98" s="103" t="s">
        <v>71</v>
      </c>
      <c r="AE98" s="103" t="s">
        <v>810</v>
      </c>
      <c r="AF98" s="103" t="b">
        <v>1</v>
      </c>
    </row>
    <row r="99" spans="1:32" hidden="1" x14ac:dyDescent="0.2">
      <c r="A99" s="103" t="s">
        <v>884</v>
      </c>
      <c r="B99" s="103" t="s">
        <v>883</v>
      </c>
      <c r="C99" s="103" t="s">
        <v>2318</v>
      </c>
      <c r="D99" s="103" t="s">
        <v>2319</v>
      </c>
      <c r="E99" s="103" t="s">
        <v>2311</v>
      </c>
      <c r="F99" s="103" t="s">
        <v>2151</v>
      </c>
      <c r="G99" s="103">
        <v>100</v>
      </c>
      <c r="H99" s="103" t="s">
        <v>2168</v>
      </c>
      <c r="I99" s="103" t="s">
        <v>2153</v>
      </c>
      <c r="J99" s="103">
        <v>25</v>
      </c>
      <c r="K99" s="103">
        <v>25</v>
      </c>
      <c r="L99" s="103">
        <v>25</v>
      </c>
      <c r="M99" s="103">
        <v>25</v>
      </c>
      <c r="N99" s="103" t="s">
        <v>2163</v>
      </c>
      <c r="O99" s="103">
        <v>100</v>
      </c>
      <c r="P99" s="103" t="s">
        <v>820</v>
      </c>
      <c r="Q99" s="103" t="s">
        <v>2155</v>
      </c>
      <c r="R99" s="103" t="s">
        <v>2220</v>
      </c>
      <c r="S99" s="103" t="s">
        <v>2209</v>
      </c>
      <c r="T99" s="103" t="s">
        <v>2320</v>
      </c>
      <c r="U99" s="103">
        <v>51.3</v>
      </c>
      <c r="V99" s="103" t="s">
        <v>2158</v>
      </c>
      <c r="W99" s="103" t="s">
        <v>108</v>
      </c>
      <c r="X99" s="103">
        <v>0</v>
      </c>
      <c r="Y99" s="103" t="s">
        <v>1685</v>
      </c>
      <c r="AA99" s="103" t="s">
        <v>2220</v>
      </c>
      <c r="AB99" s="103" t="s">
        <v>71</v>
      </c>
      <c r="AE99" s="103" t="s">
        <v>810</v>
      </c>
      <c r="AF99" s="103" t="b">
        <v>1</v>
      </c>
    </row>
    <row r="100" spans="1:32" hidden="1" x14ac:dyDescent="0.2">
      <c r="A100" s="103" t="s">
        <v>884</v>
      </c>
      <c r="B100" s="103" t="s">
        <v>883</v>
      </c>
      <c r="C100" s="103" t="s">
        <v>2321</v>
      </c>
      <c r="D100" s="103" t="s">
        <v>2322</v>
      </c>
      <c r="E100" s="103" t="s">
        <v>2311</v>
      </c>
      <c r="F100" s="103" t="s">
        <v>2151</v>
      </c>
      <c r="G100" s="103">
        <v>100</v>
      </c>
      <c r="H100" s="103" t="s">
        <v>2168</v>
      </c>
      <c r="I100" s="103" t="s">
        <v>2153</v>
      </c>
      <c r="K100" s="103">
        <v>25</v>
      </c>
      <c r="L100" s="103">
        <v>50</v>
      </c>
      <c r="M100" s="103">
        <v>25</v>
      </c>
      <c r="N100" s="103" t="s">
        <v>2163</v>
      </c>
      <c r="O100" s="103">
        <v>100</v>
      </c>
      <c r="P100" s="103" t="s">
        <v>820</v>
      </c>
      <c r="Q100" s="103" t="s">
        <v>2155</v>
      </c>
      <c r="R100" s="103" t="s">
        <v>2220</v>
      </c>
      <c r="S100" s="103" t="s">
        <v>2209</v>
      </c>
      <c r="T100" s="103" t="s">
        <v>2323</v>
      </c>
      <c r="U100" s="103">
        <v>51.3</v>
      </c>
      <c r="V100" s="103" t="s">
        <v>2158</v>
      </c>
      <c r="W100" s="103" t="s">
        <v>108</v>
      </c>
      <c r="X100" s="103">
        <v>0</v>
      </c>
      <c r="Y100" s="103" t="s">
        <v>1685</v>
      </c>
      <c r="AA100" s="103" t="s">
        <v>2220</v>
      </c>
      <c r="AB100" s="103" t="s">
        <v>71</v>
      </c>
      <c r="AE100" s="103" t="s">
        <v>810</v>
      </c>
      <c r="AF100" s="103" t="b">
        <v>1</v>
      </c>
    </row>
    <row r="101" spans="1:32" hidden="1" x14ac:dyDescent="0.2">
      <c r="A101" s="103" t="s">
        <v>884</v>
      </c>
      <c r="B101" s="103" t="s">
        <v>883</v>
      </c>
      <c r="C101" s="103" t="s">
        <v>2324</v>
      </c>
      <c r="D101" s="103" t="s">
        <v>2325</v>
      </c>
      <c r="E101" s="103" t="s">
        <v>2311</v>
      </c>
      <c r="F101" s="103" t="s">
        <v>2162</v>
      </c>
      <c r="G101" s="103">
        <v>50</v>
      </c>
      <c r="H101" s="103" t="s">
        <v>2168</v>
      </c>
      <c r="I101" s="103" t="s">
        <v>2153</v>
      </c>
      <c r="K101" s="103">
        <v>25</v>
      </c>
      <c r="L101" s="103">
        <v>25</v>
      </c>
      <c r="N101" s="103" t="s">
        <v>2163</v>
      </c>
      <c r="O101" s="103">
        <v>50</v>
      </c>
      <c r="P101" s="103" t="s">
        <v>820</v>
      </c>
      <c r="Q101" s="103" t="s">
        <v>2155</v>
      </c>
      <c r="R101" s="103" t="s">
        <v>2220</v>
      </c>
      <c r="S101" s="103" t="s">
        <v>2209</v>
      </c>
      <c r="U101" s="103">
        <v>25.65</v>
      </c>
      <c r="V101" s="103" t="s">
        <v>2158</v>
      </c>
      <c r="W101" s="103" t="s">
        <v>108</v>
      </c>
      <c r="X101" s="103">
        <v>0</v>
      </c>
      <c r="Y101" s="103" t="s">
        <v>1685</v>
      </c>
      <c r="AA101" s="103" t="s">
        <v>2220</v>
      </c>
      <c r="AB101" s="103" t="s">
        <v>71</v>
      </c>
      <c r="AE101" s="103" t="s">
        <v>810</v>
      </c>
      <c r="AF101" s="103" t="b">
        <v>1</v>
      </c>
    </row>
    <row r="102" spans="1:32" hidden="1" x14ac:dyDescent="0.2">
      <c r="A102" s="103" t="s">
        <v>884</v>
      </c>
      <c r="B102" s="103" t="s">
        <v>883</v>
      </c>
      <c r="C102" s="103" t="s">
        <v>2326</v>
      </c>
      <c r="D102" s="103" t="s">
        <v>2314</v>
      </c>
      <c r="E102" s="103" t="s">
        <v>2311</v>
      </c>
      <c r="F102" s="103" t="s">
        <v>2162</v>
      </c>
      <c r="G102" s="103">
        <v>50</v>
      </c>
      <c r="H102" s="103" t="s">
        <v>2168</v>
      </c>
      <c r="I102" s="103" t="s">
        <v>2153</v>
      </c>
      <c r="J102" s="103">
        <v>25</v>
      </c>
      <c r="K102" s="103">
        <v>25</v>
      </c>
      <c r="N102" s="103" t="s">
        <v>2163</v>
      </c>
      <c r="O102" s="103">
        <v>50</v>
      </c>
      <c r="P102" s="103" t="s">
        <v>820</v>
      </c>
      <c r="Q102" s="103" t="s">
        <v>2155</v>
      </c>
      <c r="R102" s="103" t="s">
        <v>2220</v>
      </c>
      <c r="S102" s="103" t="s">
        <v>2209</v>
      </c>
      <c r="U102" s="103">
        <v>25.65</v>
      </c>
      <c r="V102" s="103" t="s">
        <v>2158</v>
      </c>
      <c r="W102" s="103" t="s">
        <v>108</v>
      </c>
      <c r="X102" s="103">
        <v>0</v>
      </c>
      <c r="Y102" s="103" t="s">
        <v>1685</v>
      </c>
      <c r="AA102" s="103" t="s">
        <v>2220</v>
      </c>
      <c r="AB102" s="103" t="s">
        <v>71</v>
      </c>
      <c r="AE102" s="103" t="s">
        <v>810</v>
      </c>
      <c r="AF102" s="103" t="b">
        <v>1</v>
      </c>
    </row>
    <row r="103" spans="1:32" hidden="1" x14ac:dyDescent="0.2">
      <c r="A103" s="103" t="s">
        <v>884</v>
      </c>
      <c r="B103" s="103" t="s">
        <v>883</v>
      </c>
      <c r="C103" s="103" t="s">
        <v>2327</v>
      </c>
      <c r="D103" s="103" t="s">
        <v>2328</v>
      </c>
      <c r="E103" s="103" t="s">
        <v>2311</v>
      </c>
      <c r="F103" s="103" t="s">
        <v>2162</v>
      </c>
      <c r="G103" s="103">
        <v>50</v>
      </c>
      <c r="H103" s="103" t="s">
        <v>2168</v>
      </c>
      <c r="I103" s="103" t="s">
        <v>2153</v>
      </c>
      <c r="J103" s="103">
        <v>25</v>
      </c>
      <c r="K103" s="103">
        <v>25</v>
      </c>
      <c r="N103" s="103" t="s">
        <v>2163</v>
      </c>
      <c r="O103" s="103">
        <v>50</v>
      </c>
      <c r="P103" s="103" t="s">
        <v>820</v>
      </c>
      <c r="Q103" s="103" t="s">
        <v>2155</v>
      </c>
      <c r="R103" s="103" t="s">
        <v>2220</v>
      </c>
      <c r="S103" s="103" t="s">
        <v>2209</v>
      </c>
      <c r="U103" s="103">
        <v>25.65</v>
      </c>
      <c r="V103" s="103" t="s">
        <v>2158</v>
      </c>
      <c r="W103" s="103" t="s">
        <v>108</v>
      </c>
      <c r="X103" s="103">
        <v>0</v>
      </c>
      <c r="Y103" s="103" t="s">
        <v>1685</v>
      </c>
      <c r="AA103" s="103" t="s">
        <v>2220</v>
      </c>
      <c r="AB103" s="103" t="s">
        <v>71</v>
      </c>
      <c r="AE103" s="103" t="s">
        <v>810</v>
      </c>
      <c r="AF103" s="103" t="b">
        <v>1</v>
      </c>
    </row>
    <row r="104" spans="1:32" hidden="1" x14ac:dyDescent="0.2">
      <c r="A104" s="103" t="s">
        <v>884</v>
      </c>
      <c r="B104" s="103" t="s">
        <v>883</v>
      </c>
      <c r="C104" s="103" t="s">
        <v>2329</v>
      </c>
      <c r="D104" s="103" t="s">
        <v>2330</v>
      </c>
      <c r="E104" s="103" t="s">
        <v>2299</v>
      </c>
      <c r="F104" s="103" t="s">
        <v>2162</v>
      </c>
      <c r="G104" s="103">
        <v>50</v>
      </c>
      <c r="H104" s="103" t="s">
        <v>2168</v>
      </c>
      <c r="I104" s="103" t="s">
        <v>2153</v>
      </c>
      <c r="K104" s="103">
        <v>25</v>
      </c>
      <c r="L104" s="103">
        <v>25</v>
      </c>
      <c r="N104" s="103" t="s">
        <v>2163</v>
      </c>
      <c r="O104" s="103">
        <v>50</v>
      </c>
      <c r="P104" s="103" t="s">
        <v>820</v>
      </c>
      <c r="Q104" s="103" t="s">
        <v>2155</v>
      </c>
      <c r="R104" s="103" t="s">
        <v>2220</v>
      </c>
      <c r="S104" s="103" t="s">
        <v>2209</v>
      </c>
      <c r="U104" s="103">
        <v>25.65</v>
      </c>
      <c r="V104" s="103" t="s">
        <v>2158</v>
      </c>
      <c r="W104" s="103" t="s">
        <v>108</v>
      </c>
      <c r="X104" s="103">
        <v>0</v>
      </c>
      <c r="Y104" s="103" t="s">
        <v>1685</v>
      </c>
      <c r="AA104" s="103" t="s">
        <v>2220</v>
      </c>
      <c r="AB104" s="103" t="s">
        <v>71</v>
      </c>
      <c r="AE104" s="103" t="s">
        <v>810</v>
      </c>
      <c r="AF104" s="103" t="b">
        <v>1</v>
      </c>
    </row>
    <row r="105" spans="1:32" hidden="1" x14ac:dyDescent="0.2">
      <c r="A105" s="103" t="s">
        <v>884</v>
      </c>
      <c r="B105" s="103" t="s">
        <v>883</v>
      </c>
      <c r="C105" s="103" t="s">
        <v>2329</v>
      </c>
      <c r="D105" s="103" t="s">
        <v>2331</v>
      </c>
      <c r="E105" s="103" t="s">
        <v>2311</v>
      </c>
      <c r="F105" s="103" t="s">
        <v>2162</v>
      </c>
      <c r="G105" s="103">
        <v>50</v>
      </c>
      <c r="H105" s="103" t="s">
        <v>2168</v>
      </c>
      <c r="I105" s="103" t="s">
        <v>2153</v>
      </c>
      <c r="K105" s="103">
        <v>25</v>
      </c>
      <c r="L105" s="103">
        <v>25</v>
      </c>
      <c r="N105" s="103" t="s">
        <v>2163</v>
      </c>
      <c r="O105" s="103">
        <v>50</v>
      </c>
      <c r="P105" s="103" t="s">
        <v>820</v>
      </c>
      <c r="Q105" s="103" t="s">
        <v>2155</v>
      </c>
      <c r="R105" s="103" t="s">
        <v>2220</v>
      </c>
      <c r="S105" s="103" t="s">
        <v>2209</v>
      </c>
      <c r="U105" s="103">
        <v>25.65</v>
      </c>
      <c r="V105" s="103" t="s">
        <v>2158</v>
      </c>
      <c r="W105" s="103" t="s">
        <v>108</v>
      </c>
      <c r="X105" s="103">
        <v>0</v>
      </c>
      <c r="Y105" s="103" t="s">
        <v>1685</v>
      </c>
      <c r="AA105" s="103" t="s">
        <v>2220</v>
      </c>
      <c r="AB105" s="103" t="s">
        <v>71</v>
      </c>
      <c r="AE105" s="103" t="s">
        <v>810</v>
      </c>
      <c r="AF105" s="103" t="b">
        <v>1</v>
      </c>
    </row>
    <row r="106" spans="1:32" hidden="1" x14ac:dyDescent="0.2">
      <c r="A106" s="103" t="s">
        <v>357</v>
      </c>
      <c r="B106" s="103" t="s">
        <v>356</v>
      </c>
      <c r="C106" s="103" t="s">
        <v>2332</v>
      </c>
      <c r="D106" s="103" t="s">
        <v>2333</v>
      </c>
      <c r="E106" s="103" t="s">
        <v>2334</v>
      </c>
      <c r="F106" s="103" t="s">
        <v>2175</v>
      </c>
      <c r="G106" s="103">
        <v>25</v>
      </c>
      <c r="H106" s="103" t="s">
        <v>2152</v>
      </c>
      <c r="I106" s="103" t="s">
        <v>2153</v>
      </c>
      <c r="K106" s="103">
        <v>10</v>
      </c>
      <c r="L106" s="103">
        <v>15</v>
      </c>
      <c r="N106" s="103" t="s">
        <v>2163</v>
      </c>
      <c r="O106" s="103">
        <v>25</v>
      </c>
      <c r="P106" s="103" t="s">
        <v>791</v>
      </c>
      <c r="Q106" s="103" t="s">
        <v>2155</v>
      </c>
      <c r="R106" s="103" t="s">
        <v>2220</v>
      </c>
      <c r="S106" s="103" t="s">
        <v>2251</v>
      </c>
      <c r="U106" s="103">
        <v>12.824999999999999</v>
      </c>
      <c r="V106" s="103" t="s">
        <v>2158</v>
      </c>
      <c r="W106" s="103" t="s">
        <v>116</v>
      </c>
      <c r="X106" s="103" t="s">
        <v>1597</v>
      </c>
      <c r="Y106" s="103" t="s">
        <v>1685</v>
      </c>
      <c r="AA106" s="103" t="s">
        <v>2220</v>
      </c>
      <c r="AB106" s="103" t="s">
        <v>71</v>
      </c>
      <c r="AE106" s="103" t="s">
        <v>810</v>
      </c>
      <c r="AF106" s="103" t="b">
        <v>1</v>
      </c>
    </row>
    <row r="107" spans="1:32" hidden="1" x14ac:dyDescent="0.2">
      <c r="A107" s="103" t="s">
        <v>884</v>
      </c>
      <c r="B107" s="103" t="s">
        <v>883</v>
      </c>
      <c r="C107" s="103" t="s">
        <v>2335</v>
      </c>
      <c r="E107" s="103" t="s">
        <v>2311</v>
      </c>
      <c r="F107" s="103" t="s">
        <v>2162</v>
      </c>
      <c r="G107" s="103">
        <v>50</v>
      </c>
      <c r="H107" s="103" t="s">
        <v>2168</v>
      </c>
      <c r="I107" s="103" t="s">
        <v>2153</v>
      </c>
      <c r="J107" s="103">
        <v>15</v>
      </c>
      <c r="K107" s="103">
        <v>15</v>
      </c>
      <c r="L107" s="103">
        <v>20</v>
      </c>
      <c r="N107" s="103" t="s">
        <v>2163</v>
      </c>
      <c r="O107" s="103">
        <v>50</v>
      </c>
      <c r="P107" s="103" t="s">
        <v>820</v>
      </c>
      <c r="Q107" s="103" t="s">
        <v>2155</v>
      </c>
      <c r="R107" s="103" t="s">
        <v>2220</v>
      </c>
      <c r="S107" s="103" t="s">
        <v>2209</v>
      </c>
      <c r="U107" s="103">
        <v>25.65</v>
      </c>
      <c r="V107" s="103" t="s">
        <v>2158</v>
      </c>
      <c r="W107" s="103" t="s">
        <v>108</v>
      </c>
      <c r="X107" s="103">
        <v>0</v>
      </c>
      <c r="Y107" s="103" t="s">
        <v>1685</v>
      </c>
      <c r="AA107" s="103" t="s">
        <v>2220</v>
      </c>
      <c r="AB107" s="103" t="s">
        <v>71</v>
      </c>
      <c r="AE107" s="103" t="s">
        <v>810</v>
      </c>
      <c r="AF107" s="103" t="b">
        <v>1</v>
      </c>
    </row>
    <row r="108" spans="1:32" hidden="1" x14ac:dyDescent="0.2">
      <c r="A108" s="103" t="s">
        <v>884</v>
      </c>
      <c r="B108" s="103" t="s">
        <v>883</v>
      </c>
      <c r="C108" s="103" t="s">
        <v>2336</v>
      </c>
      <c r="D108" s="103" t="s">
        <v>2337</v>
      </c>
      <c r="E108" s="103" t="s">
        <v>2266</v>
      </c>
      <c r="F108" s="103" t="s">
        <v>2175</v>
      </c>
      <c r="G108" s="103">
        <v>20</v>
      </c>
      <c r="H108" s="103" t="s">
        <v>2168</v>
      </c>
      <c r="I108" s="103" t="s">
        <v>2153</v>
      </c>
      <c r="J108" s="103">
        <v>20</v>
      </c>
      <c r="N108" s="103" t="s">
        <v>2163</v>
      </c>
      <c r="O108" s="103">
        <v>20</v>
      </c>
      <c r="P108" s="103" t="s">
        <v>820</v>
      </c>
      <c r="Q108" s="103" t="s">
        <v>2155</v>
      </c>
      <c r="R108" s="103" t="s">
        <v>2220</v>
      </c>
      <c r="S108" s="103" t="s">
        <v>2209</v>
      </c>
      <c r="U108" s="103">
        <v>10.26</v>
      </c>
      <c r="V108" s="103" t="s">
        <v>2158</v>
      </c>
      <c r="W108" s="103" t="s">
        <v>108</v>
      </c>
      <c r="X108" s="103">
        <v>0</v>
      </c>
      <c r="Y108" s="103" t="s">
        <v>1685</v>
      </c>
      <c r="AA108" s="103" t="s">
        <v>2220</v>
      </c>
      <c r="AB108" s="103" t="s">
        <v>71</v>
      </c>
      <c r="AE108" s="103" t="s">
        <v>810</v>
      </c>
      <c r="AF108" s="103" t="b">
        <v>1</v>
      </c>
    </row>
    <row r="109" spans="1:32" hidden="1" x14ac:dyDescent="0.2">
      <c r="A109" s="103" t="s">
        <v>884</v>
      </c>
      <c r="B109" s="103" t="s">
        <v>883</v>
      </c>
      <c r="C109" s="103" t="s">
        <v>2336</v>
      </c>
      <c r="D109" s="103" t="s">
        <v>2337</v>
      </c>
      <c r="E109" s="103" t="s">
        <v>2338</v>
      </c>
      <c r="F109" s="103" t="s">
        <v>2175</v>
      </c>
      <c r="G109" s="103">
        <v>20</v>
      </c>
      <c r="H109" s="103" t="s">
        <v>2168</v>
      </c>
      <c r="I109" s="103" t="s">
        <v>2153</v>
      </c>
      <c r="J109" s="103">
        <v>20</v>
      </c>
      <c r="N109" s="103" t="s">
        <v>2163</v>
      </c>
      <c r="O109" s="103">
        <v>20</v>
      </c>
      <c r="P109" s="103" t="s">
        <v>820</v>
      </c>
      <c r="Q109" s="103" t="s">
        <v>2155</v>
      </c>
      <c r="R109" s="103" t="s">
        <v>2220</v>
      </c>
      <c r="S109" s="103" t="s">
        <v>2209</v>
      </c>
      <c r="U109" s="103">
        <v>10.26</v>
      </c>
      <c r="V109" s="103" t="s">
        <v>2158</v>
      </c>
      <c r="W109" s="103" t="s">
        <v>108</v>
      </c>
      <c r="X109" s="103">
        <v>0</v>
      </c>
      <c r="Y109" s="103" t="s">
        <v>1685</v>
      </c>
      <c r="AA109" s="103" t="s">
        <v>2220</v>
      </c>
      <c r="AB109" s="103" t="s">
        <v>71</v>
      </c>
      <c r="AE109" s="103" t="s">
        <v>810</v>
      </c>
      <c r="AF109" s="103" t="b">
        <v>1</v>
      </c>
    </row>
    <row r="110" spans="1:32" hidden="1" x14ac:dyDescent="0.2">
      <c r="A110" s="103" t="s">
        <v>884</v>
      </c>
      <c r="B110" s="103" t="s">
        <v>883</v>
      </c>
      <c r="C110" s="103" t="s">
        <v>2336</v>
      </c>
      <c r="D110" s="103" t="s">
        <v>2337</v>
      </c>
      <c r="E110" s="103" t="s">
        <v>2311</v>
      </c>
      <c r="F110" s="103" t="s">
        <v>2175</v>
      </c>
      <c r="G110" s="103">
        <v>20</v>
      </c>
      <c r="H110" s="103" t="s">
        <v>2168</v>
      </c>
      <c r="I110" s="103" t="s">
        <v>2153</v>
      </c>
      <c r="J110" s="103">
        <v>20</v>
      </c>
      <c r="N110" s="103" t="s">
        <v>2163</v>
      </c>
      <c r="O110" s="103">
        <v>20</v>
      </c>
      <c r="P110" s="103" t="s">
        <v>820</v>
      </c>
      <c r="Q110" s="103" t="s">
        <v>2155</v>
      </c>
      <c r="R110" s="103" t="s">
        <v>2220</v>
      </c>
      <c r="S110" s="103" t="s">
        <v>2209</v>
      </c>
      <c r="U110" s="103">
        <v>10.26</v>
      </c>
      <c r="V110" s="103" t="s">
        <v>2158</v>
      </c>
      <c r="W110" s="103" t="s">
        <v>108</v>
      </c>
      <c r="X110" s="103">
        <v>0</v>
      </c>
      <c r="Y110" s="103" t="s">
        <v>1685</v>
      </c>
      <c r="AA110" s="103" t="s">
        <v>2220</v>
      </c>
      <c r="AB110" s="103" t="s">
        <v>71</v>
      </c>
      <c r="AE110" s="103" t="s">
        <v>810</v>
      </c>
      <c r="AF110" s="103" t="b">
        <v>1</v>
      </c>
    </row>
    <row r="111" spans="1:32" hidden="1" x14ac:dyDescent="0.2">
      <c r="A111" s="103" t="s">
        <v>884</v>
      </c>
      <c r="B111" s="103" t="s">
        <v>883</v>
      </c>
      <c r="C111" s="103" t="s">
        <v>2339</v>
      </c>
      <c r="D111" s="103" t="s">
        <v>2340</v>
      </c>
      <c r="E111" s="103" t="s">
        <v>2311</v>
      </c>
      <c r="F111" s="103" t="s">
        <v>2175</v>
      </c>
      <c r="G111" s="103">
        <v>20</v>
      </c>
      <c r="H111" s="103" t="s">
        <v>2168</v>
      </c>
      <c r="I111" s="103" t="s">
        <v>2153</v>
      </c>
      <c r="J111" s="103">
        <v>20</v>
      </c>
      <c r="N111" s="103" t="s">
        <v>2163</v>
      </c>
      <c r="O111" s="103">
        <v>20</v>
      </c>
      <c r="P111" s="103" t="s">
        <v>820</v>
      </c>
      <c r="Q111" s="103" t="s">
        <v>2155</v>
      </c>
      <c r="R111" s="103" t="s">
        <v>2220</v>
      </c>
      <c r="S111" s="103" t="s">
        <v>2209</v>
      </c>
      <c r="U111" s="103">
        <v>10.26</v>
      </c>
      <c r="V111" s="103" t="s">
        <v>2158</v>
      </c>
      <c r="W111" s="103" t="s">
        <v>108</v>
      </c>
      <c r="X111" s="103">
        <v>0</v>
      </c>
      <c r="Y111" s="103" t="s">
        <v>1685</v>
      </c>
      <c r="AA111" s="103" t="s">
        <v>2220</v>
      </c>
      <c r="AB111" s="103" t="s">
        <v>71</v>
      </c>
      <c r="AE111" s="103" t="s">
        <v>810</v>
      </c>
      <c r="AF111" s="103" t="b">
        <v>1</v>
      </c>
    </row>
    <row r="112" spans="1:32" hidden="1" x14ac:dyDescent="0.2">
      <c r="A112" s="103" t="s">
        <v>884</v>
      </c>
      <c r="B112" s="103" t="s">
        <v>883</v>
      </c>
      <c r="C112" s="103" t="s">
        <v>2341</v>
      </c>
      <c r="D112" s="103" t="s">
        <v>2342</v>
      </c>
      <c r="E112" s="103" t="s">
        <v>2311</v>
      </c>
      <c r="F112" s="103" t="s">
        <v>2175</v>
      </c>
      <c r="G112" s="103">
        <v>20</v>
      </c>
      <c r="H112" s="103" t="s">
        <v>2168</v>
      </c>
      <c r="I112" s="103" t="s">
        <v>2153</v>
      </c>
      <c r="J112" s="103">
        <v>20</v>
      </c>
      <c r="N112" s="103" t="s">
        <v>2163</v>
      </c>
      <c r="O112" s="103">
        <v>20</v>
      </c>
      <c r="P112" s="103" t="s">
        <v>820</v>
      </c>
      <c r="Q112" s="103" t="s">
        <v>2155</v>
      </c>
      <c r="R112" s="103" t="s">
        <v>2220</v>
      </c>
      <c r="S112" s="103" t="s">
        <v>2209</v>
      </c>
      <c r="U112" s="103">
        <v>10.26</v>
      </c>
      <c r="V112" s="103" t="s">
        <v>2158</v>
      </c>
      <c r="W112" s="103" t="s">
        <v>108</v>
      </c>
      <c r="X112" s="103">
        <v>0</v>
      </c>
      <c r="Y112" s="103" t="s">
        <v>1685</v>
      </c>
      <c r="AA112" s="103" t="s">
        <v>2220</v>
      </c>
      <c r="AB112" s="103" t="s">
        <v>71</v>
      </c>
      <c r="AE112" s="103" t="s">
        <v>810</v>
      </c>
      <c r="AF112" s="103" t="b">
        <v>1</v>
      </c>
    </row>
    <row r="113" spans="1:32" hidden="1" x14ac:dyDescent="0.2">
      <c r="A113" s="103" t="s">
        <v>884</v>
      </c>
      <c r="B113" s="103" t="s">
        <v>883</v>
      </c>
      <c r="C113" s="103" t="s">
        <v>2321</v>
      </c>
      <c r="D113" s="103" t="s">
        <v>2343</v>
      </c>
      <c r="E113" s="103" t="s">
        <v>2259</v>
      </c>
      <c r="F113" s="103" t="s">
        <v>2175</v>
      </c>
      <c r="G113" s="103">
        <v>20</v>
      </c>
      <c r="H113" s="103" t="s">
        <v>2168</v>
      </c>
      <c r="I113" s="103" t="s">
        <v>2153</v>
      </c>
      <c r="L113" s="103">
        <v>20</v>
      </c>
      <c r="N113" s="103" t="s">
        <v>2163</v>
      </c>
      <c r="O113" s="103">
        <v>20</v>
      </c>
      <c r="P113" s="103" t="s">
        <v>820</v>
      </c>
      <c r="Q113" s="103" t="s">
        <v>2155</v>
      </c>
      <c r="R113" s="103" t="s">
        <v>2220</v>
      </c>
      <c r="S113" s="103" t="s">
        <v>2209</v>
      </c>
      <c r="T113" s="103" t="s">
        <v>2323</v>
      </c>
      <c r="U113" s="103">
        <v>10.26</v>
      </c>
      <c r="V113" s="103" t="s">
        <v>2158</v>
      </c>
      <c r="W113" s="103" t="s">
        <v>108</v>
      </c>
      <c r="X113" s="103">
        <v>0</v>
      </c>
      <c r="Y113" s="103" t="s">
        <v>1685</v>
      </c>
      <c r="AA113" s="103" t="s">
        <v>2220</v>
      </c>
      <c r="AB113" s="103" t="s">
        <v>71</v>
      </c>
      <c r="AE113" s="103" t="s">
        <v>810</v>
      </c>
      <c r="AF113" s="103" t="b">
        <v>1</v>
      </c>
    </row>
    <row r="114" spans="1:32" hidden="1" x14ac:dyDescent="0.2">
      <c r="A114" s="103" t="s">
        <v>357</v>
      </c>
      <c r="B114" s="103" t="s">
        <v>356</v>
      </c>
      <c r="C114" s="103" t="s">
        <v>2344</v>
      </c>
      <c r="D114" s="103" t="s">
        <v>2345</v>
      </c>
      <c r="E114" s="103" t="s">
        <v>2957</v>
      </c>
      <c r="F114" s="103" t="s">
        <v>2232</v>
      </c>
      <c r="G114" s="103">
        <v>300</v>
      </c>
      <c r="H114" s="103" t="s">
        <v>2168</v>
      </c>
      <c r="I114" s="103" t="s">
        <v>2153</v>
      </c>
      <c r="J114" s="103">
        <v>125</v>
      </c>
      <c r="K114" s="103">
        <v>125</v>
      </c>
      <c r="L114" s="103">
        <v>50</v>
      </c>
      <c r="N114" s="103" t="s">
        <v>2163</v>
      </c>
      <c r="O114" s="103">
        <v>300</v>
      </c>
      <c r="P114" s="103" t="s">
        <v>791</v>
      </c>
      <c r="Q114" s="103" t="s">
        <v>2155</v>
      </c>
      <c r="R114" s="103" t="s">
        <v>2220</v>
      </c>
      <c r="S114" s="103" t="s">
        <v>2251</v>
      </c>
      <c r="T114" s="103" t="s">
        <v>2347</v>
      </c>
      <c r="U114" s="103">
        <v>153.9</v>
      </c>
      <c r="V114" s="103" t="s">
        <v>2158</v>
      </c>
      <c r="W114" s="103" t="s">
        <v>116</v>
      </c>
      <c r="X114" s="103" t="s">
        <v>1597</v>
      </c>
      <c r="Y114" s="103" t="s">
        <v>1685</v>
      </c>
      <c r="AA114" s="103" t="s">
        <v>2220</v>
      </c>
      <c r="AB114" s="103" t="s">
        <v>71</v>
      </c>
      <c r="AE114" s="103" t="s">
        <v>810</v>
      </c>
      <c r="AF114" s="103" t="b">
        <v>1</v>
      </c>
    </row>
    <row r="115" spans="1:32" hidden="1" x14ac:dyDescent="0.2">
      <c r="A115" s="103" t="s">
        <v>1419</v>
      </c>
      <c r="B115" s="103" t="s">
        <v>1418</v>
      </c>
      <c r="C115" s="103" t="s">
        <v>2348</v>
      </c>
      <c r="D115" s="103" t="s">
        <v>2349</v>
      </c>
      <c r="E115" s="103" t="s">
        <v>2350</v>
      </c>
      <c r="F115" s="103" t="s">
        <v>2162</v>
      </c>
      <c r="G115" s="103">
        <v>50</v>
      </c>
      <c r="H115" s="103" t="s">
        <v>2168</v>
      </c>
      <c r="I115" s="103" t="s">
        <v>2153</v>
      </c>
      <c r="J115" s="103">
        <v>50</v>
      </c>
      <c r="N115" s="103" t="s">
        <v>2163</v>
      </c>
      <c r="O115" s="103">
        <v>50</v>
      </c>
      <c r="P115" s="103" t="s">
        <v>820</v>
      </c>
      <c r="Q115" s="103" t="s">
        <v>1393</v>
      </c>
      <c r="R115" s="103" t="s">
        <v>2220</v>
      </c>
      <c r="S115" s="103" t="s">
        <v>2209</v>
      </c>
      <c r="U115" s="103">
        <v>25.65</v>
      </c>
      <c r="V115" s="103" t="s">
        <v>2158</v>
      </c>
      <c r="W115" s="103" t="s">
        <v>108</v>
      </c>
      <c r="X115" s="103" t="s">
        <v>345</v>
      </c>
      <c r="Y115" s="103" t="s">
        <v>2240</v>
      </c>
      <c r="AA115" s="103" t="s">
        <v>2220</v>
      </c>
      <c r="AB115" s="103" t="s">
        <v>74</v>
      </c>
      <c r="AE115" s="103" t="s">
        <v>1671</v>
      </c>
      <c r="AF115" s="103" t="b">
        <v>1</v>
      </c>
    </row>
    <row r="116" spans="1:32" hidden="1" x14ac:dyDescent="0.2">
      <c r="A116" s="103" t="s">
        <v>350</v>
      </c>
      <c r="B116" s="103" t="s">
        <v>349</v>
      </c>
      <c r="C116" s="103" t="s">
        <v>2351</v>
      </c>
      <c r="E116" s="103" t="s">
        <v>2259</v>
      </c>
      <c r="F116" s="103" t="s">
        <v>2151</v>
      </c>
      <c r="G116" s="103">
        <v>100</v>
      </c>
      <c r="H116" s="103" t="s">
        <v>2168</v>
      </c>
      <c r="I116" s="103" t="s">
        <v>2153</v>
      </c>
      <c r="J116" s="103">
        <v>50</v>
      </c>
      <c r="K116" s="103">
        <v>50</v>
      </c>
      <c r="N116" s="103" t="s">
        <v>2163</v>
      </c>
      <c r="O116" s="103">
        <v>100</v>
      </c>
      <c r="P116" s="103" t="s">
        <v>811</v>
      </c>
      <c r="Q116" s="103" t="s">
        <v>2155</v>
      </c>
      <c r="R116" s="103" t="s">
        <v>2220</v>
      </c>
      <c r="S116" s="103" t="s">
        <v>2157</v>
      </c>
      <c r="U116" s="103">
        <v>51.3</v>
      </c>
      <c r="V116" s="103" t="s">
        <v>2158</v>
      </c>
      <c r="W116" s="103" t="s">
        <v>108</v>
      </c>
      <c r="X116" s="103" t="s">
        <v>1597</v>
      </c>
      <c r="Y116" s="103" t="s">
        <v>1685</v>
      </c>
      <c r="AA116" s="103" t="s">
        <v>2220</v>
      </c>
      <c r="AB116" s="103" t="s">
        <v>71</v>
      </c>
      <c r="AE116" s="103" t="s">
        <v>810</v>
      </c>
      <c r="AF116" s="103" t="b">
        <v>1</v>
      </c>
    </row>
    <row r="117" spans="1:32" hidden="1" x14ac:dyDescent="0.2">
      <c r="A117" s="103" t="s">
        <v>350</v>
      </c>
      <c r="B117" s="103" t="s">
        <v>349</v>
      </c>
      <c r="C117" s="103" t="s">
        <v>2352</v>
      </c>
      <c r="E117" s="103" t="s">
        <v>2259</v>
      </c>
      <c r="F117" s="103" t="s">
        <v>2162</v>
      </c>
      <c r="G117" s="103">
        <v>50</v>
      </c>
      <c r="H117" s="103" t="s">
        <v>2168</v>
      </c>
      <c r="I117" s="103" t="s">
        <v>2153</v>
      </c>
      <c r="J117" s="103">
        <v>50</v>
      </c>
      <c r="N117" s="103" t="s">
        <v>2163</v>
      </c>
      <c r="O117" s="103">
        <v>50</v>
      </c>
      <c r="P117" s="103" t="s">
        <v>811</v>
      </c>
      <c r="Q117" s="103" t="s">
        <v>2155</v>
      </c>
      <c r="R117" s="103" t="s">
        <v>2220</v>
      </c>
      <c r="S117" s="103" t="s">
        <v>2157</v>
      </c>
      <c r="U117" s="103">
        <v>25.65</v>
      </c>
      <c r="V117" s="103" t="s">
        <v>2158</v>
      </c>
      <c r="W117" s="103" t="s">
        <v>108</v>
      </c>
      <c r="X117" s="103" t="s">
        <v>1597</v>
      </c>
      <c r="Y117" s="103" t="s">
        <v>1685</v>
      </c>
      <c r="AA117" s="103" t="s">
        <v>2220</v>
      </c>
      <c r="AB117" s="103" t="s">
        <v>71</v>
      </c>
      <c r="AE117" s="103" t="s">
        <v>810</v>
      </c>
      <c r="AF117" s="103" t="b">
        <v>1</v>
      </c>
    </row>
    <row r="118" spans="1:32" hidden="1" x14ac:dyDescent="0.2">
      <c r="A118" s="103" t="s">
        <v>350</v>
      </c>
      <c r="B118" s="103" t="s">
        <v>349</v>
      </c>
      <c r="C118" s="103" t="s">
        <v>2353</v>
      </c>
      <c r="D118" s="103" t="s">
        <v>2259</v>
      </c>
      <c r="E118" s="103" t="s">
        <v>2259</v>
      </c>
      <c r="F118" s="103" t="s">
        <v>2175</v>
      </c>
      <c r="G118" s="103">
        <v>20</v>
      </c>
      <c r="H118" s="103" t="s">
        <v>2168</v>
      </c>
      <c r="I118" s="103" t="s">
        <v>2153</v>
      </c>
      <c r="J118" s="103">
        <v>20</v>
      </c>
      <c r="N118" s="103" t="s">
        <v>2163</v>
      </c>
      <c r="O118" s="103">
        <v>20</v>
      </c>
      <c r="P118" s="103" t="s">
        <v>811</v>
      </c>
      <c r="Q118" s="103" t="s">
        <v>2155</v>
      </c>
      <c r="R118" s="103" t="s">
        <v>2220</v>
      </c>
      <c r="S118" s="103" t="s">
        <v>2157</v>
      </c>
      <c r="U118" s="103">
        <v>10.26</v>
      </c>
      <c r="V118" s="103" t="s">
        <v>2158</v>
      </c>
      <c r="W118" s="103" t="s">
        <v>108</v>
      </c>
      <c r="X118" s="103" t="s">
        <v>1597</v>
      </c>
      <c r="Y118" s="103" t="s">
        <v>1685</v>
      </c>
      <c r="AA118" s="103" t="s">
        <v>2220</v>
      </c>
      <c r="AB118" s="103" t="s">
        <v>71</v>
      </c>
      <c r="AE118" s="103" t="s">
        <v>810</v>
      </c>
      <c r="AF118" s="103" t="b">
        <v>1</v>
      </c>
    </row>
    <row r="119" spans="1:32" hidden="1" x14ac:dyDescent="0.2">
      <c r="A119" s="103" t="s">
        <v>350</v>
      </c>
      <c r="B119" s="103" t="s">
        <v>349</v>
      </c>
      <c r="C119" s="103" t="s">
        <v>2354</v>
      </c>
      <c r="E119" s="103" t="s">
        <v>2285</v>
      </c>
      <c r="F119" s="103" t="s">
        <v>2151</v>
      </c>
      <c r="G119" s="103">
        <v>100</v>
      </c>
      <c r="H119" s="103" t="s">
        <v>2168</v>
      </c>
      <c r="I119" s="103" t="s">
        <v>2153</v>
      </c>
      <c r="J119" s="103">
        <v>50</v>
      </c>
      <c r="K119" s="103">
        <v>50</v>
      </c>
      <c r="N119" s="103" t="s">
        <v>2163</v>
      </c>
      <c r="O119" s="103">
        <v>100</v>
      </c>
      <c r="P119" s="103" t="s">
        <v>811</v>
      </c>
      <c r="Q119" s="103" t="s">
        <v>2155</v>
      </c>
      <c r="R119" s="103" t="s">
        <v>2220</v>
      </c>
      <c r="S119" s="103" t="s">
        <v>2157</v>
      </c>
      <c r="U119" s="103">
        <v>51.3</v>
      </c>
      <c r="V119" s="103" t="s">
        <v>2158</v>
      </c>
      <c r="W119" s="103" t="s">
        <v>108</v>
      </c>
      <c r="X119" s="103" t="s">
        <v>1597</v>
      </c>
      <c r="Y119" s="103" t="s">
        <v>1685</v>
      </c>
      <c r="AA119" s="103" t="s">
        <v>2220</v>
      </c>
      <c r="AB119" s="103" t="s">
        <v>71</v>
      </c>
      <c r="AE119" s="103" t="s">
        <v>810</v>
      </c>
      <c r="AF119" s="103" t="b">
        <v>1</v>
      </c>
    </row>
    <row r="120" spans="1:32" hidden="1" x14ac:dyDescent="0.2">
      <c r="A120" s="103" t="s">
        <v>350</v>
      </c>
      <c r="B120" s="103" t="s">
        <v>349</v>
      </c>
      <c r="C120" s="103" t="s">
        <v>2289</v>
      </c>
      <c r="D120" s="103" t="s">
        <v>2355</v>
      </c>
      <c r="E120" s="103" t="s">
        <v>2299</v>
      </c>
      <c r="F120" s="103" t="s">
        <v>2162</v>
      </c>
      <c r="G120" s="103">
        <v>50</v>
      </c>
      <c r="H120" s="103" t="s">
        <v>2168</v>
      </c>
      <c r="I120" s="103" t="s">
        <v>2153</v>
      </c>
      <c r="J120" s="103">
        <v>14</v>
      </c>
      <c r="K120" s="103">
        <v>12</v>
      </c>
      <c r="L120" s="103">
        <v>12</v>
      </c>
      <c r="M120" s="103">
        <v>12</v>
      </c>
      <c r="N120" s="103" t="s">
        <v>2163</v>
      </c>
      <c r="O120" s="103">
        <v>50</v>
      </c>
      <c r="P120" s="103" t="s">
        <v>811</v>
      </c>
      <c r="Q120" s="103" t="s">
        <v>2155</v>
      </c>
      <c r="R120" s="103" t="s">
        <v>2220</v>
      </c>
      <c r="S120" s="103" t="s">
        <v>2157</v>
      </c>
      <c r="U120" s="103">
        <v>25.65</v>
      </c>
      <c r="V120" s="103" t="s">
        <v>2158</v>
      </c>
      <c r="W120" s="103" t="s">
        <v>108</v>
      </c>
      <c r="X120" s="103" t="s">
        <v>1597</v>
      </c>
      <c r="Y120" s="103" t="s">
        <v>1685</v>
      </c>
      <c r="AA120" s="103" t="s">
        <v>2220</v>
      </c>
      <c r="AB120" s="103" t="s">
        <v>71</v>
      </c>
      <c r="AE120" s="103" t="s">
        <v>810</v>
      </c>
      <c r="AF120" s="103" t="b">
        <v>1</v>
      </c>
    </row>
    <row r="121" spans="1:32" hidden="1" x14ac:dyDescent="0.2">
      <c r="A121" s="103" t="s">
        <v>350</v>
      </c>
      <c r="B121" s="103" t="s">
        <v>349</v>
      </c>
      <c r="C121" s="103" t="s">
        <v>2356</v>
      </c>
      <c r="E121" s="103" t="s">
        <v>2285</v>
      </c>
      <c r="F121" s="103" t="s">
        <v>2162</v>
      </c>
      <c r="G121" s="103">
        <v>50</v>
      </c>
      <c r="H121" s="103" t="s">
        <v>2168</v>
      </c>
      <c r="I121" s="103" t="s">
        <v>2153</v>
      </c>
      <c r="K121" s="103">
        <v>50</v>
      </c>
      <c r="N121" s="103" t="s">
        <v>2163</v>
      </c>
      <c r="O121" s="103">
        <v>50</v>
      </c>
      <c r="P121" s="103" t="s">
        <v>811</v>
      </c>
      <c r="Q121" s="103" t="s">
        <v>2155</v>
      </c>
      <c r="R121" s="103" t="s">
        <v>2220</v>
      </c>
      <c r="S121" s="103" t="s">
        <v>2157</v>
      </c>
      <c r="U121" s="103">
        <v>25.65</v>
      </c>
      <c r="V121" s="103" t="s">
        <v>2158</v>
      </c>
      <c r="W121" s="103" t="s">
        <v>108</v>
      </c>
      <c r="X121" s="103" t="s">
        <v>1597</v>
      </c>
      <c r="Y121" s="103" t="s">
        <v>1685</v>
      </c>
      <c r="AA121" s="103" t="s">
        <v>2220</v>
      </c>
      <c r="AB121" s="103" t="s">
        <v>71</v>
      </c>
      <c r="AE121" s="103" t="s">
        <v>810</v>
      </c>
      <c r="AF121" s="103" t="b">
        <v>1</v>
      </c>
    </row>
    <row r="122" spans="1:32" hidden="1" x14ac:dyDescent="0.2">
      <c r="A122" s="103" t="s">
        <v>350</v>
      </c>
      <c r="B122" s="103" t="s">
        <v>349</v>
      </c>
      <c r="C122" s="103" t="s">
        <v>2357</v>
      </c>
      <c r="E122" s="103" t="s">
        <v>2299</v>
      </c>
      <c r="F122" s="103" t="s">
        <v>2162</v>
      </c>
      <c r="G122" s="103">
        <v>50</v>
      </c>
      <c r="H122" s="103" t="s">
        <v>2168</v>
      </c>
      <c r="I122" s="103" t="s">
        <v>2153</v>
      </c>
      <c r="J122" s="103">
        <v>50</v>
      </c>
      <c r="N122" s="103" t="s">
        <v>2163</v>
      </c>
      <c r="O122" s="103">
        <v>50</v>
      </c>
      <c r="P122" s="103" t="s">
        <v>811</v>
      </c>
      <c r="Q122" s="103" t="s">
        <v>2155</v>
      </c>
      <c r="R122" s="103" t="s">
        <v>2220</v>
      </c>
      <c r="S122" s="103" t="s">
        <v>2157</v>
      </c>
      <c r="U122" s="103">
        <v>25.65</v>
      </c>
      <c r="V122" s="103" t="s">
        <v>2158</v>
      </c>
      <c r="W122" s="103" t="s">
        <v>108</v>
      </c>
      <c r="X122" s="103" t="s">
        <v>1597</v>
      </c>
      <c r="Y122" s="103" t="s">
        <v>1685</v>
      </c>
      <c r="AA122" s="103" t="s">
        <v>2220</v>
      </c>
      <c r="AB122" s="103" t="s">
        <v>71</v>
      </c>
      <c r="AE122" s="103" t="s">
        <v>810</v>
      </c>
      <c r="AF122" s="103" t="b">
        <v>1</v>
      </c>
    </row>
    <row r="123" spans="1:32" hidden="1" x14ac:dyDescent="0.2">
      <c r="A123" s="103" t="s">
        <v>350</v>
      </c>
      <c r="B123" s="103" t="s">
        <v>349</v>
      </c>
      <c r="C123" s="103" t="s">
        <v>2358</v>
      </c>
      <c r="E123" s="103" t="s">
        <v>2285</v>
      </c>
      <c r="F123" s="103" t="s">
        <v>2162</v>
      </c>
      <c r="G123" s="103">
        <v>50</v>
      </c>
      <c r="H123" s="103" t="s">
        <v>2168</v>
      </c>
      <c r="I123" s="103" t="s">
        <v>2153</v>
      </c>
      <c r="J123" s="103">
        <v>50</v>
      </c>
      <c r="N123" s="103" t="s">
        <v>2163</v>
      </c>
      <c r="O123" s="103">
        <v>50</v>
      </c>
      <c r="P123" s="103" t="s">
        <v>811</v>
      </c>
      <c r="Q123" s="103" t="s">
        <v>2155</v>
      </c>
      <c r="R123" s="103" t="s">
        <v>2220</v>
      </c>
      <c r="S123" s="103" t="s">
        <v>2157</v>
      </c>
      <c r="U123" s="103">
        <v>25.65</v>
      </c>
      <c r="V123" s="103" t="s">
        <v>2158</v>
      </c>
      <c r="W123" s="103" t="s">
        <v>108</v>
      </c>
      <c r="X123" s="103" t="s">
        <v>1597</v>
      </c>
      <c r="Y123" s="103" t="s">
        <v>1685</v>
      </c>
      <c r="AA123" s="103" t="s">
        <v>2220</v>
      </c>
      <c r="AB123" s="103" t="s">
        <v>71</v>
      </c>
      <c r="AE123" s="103" t="s">
        <v>810</v>
      </c>
      <c r="AF123" s="103" t="b">
        <v>1</v>
      </c>
    </row>
    <row r="124" spans="1:32" hidden="1" x14ac:dyDescent="0.2">
      <c r="A124" s="103" t="s">
        <v>350</v>
      </c>
      <c r="B124" s="103" t="s">
        <v>349</v>
      </c>
      <c r="C124" s="103" t="s">
        <v>2359</v>
      </c>
      <c r="E124" s="103" t="s">
        <v>2299</v>
      </c>
      <c r="F124" s="103" t="s">
        <v>2162</v>
      </c>
      <c r="G124" s="103">
        <v>50</v>
      </c>
      <c r="H124" s="103" t="s">
        <v>2168</v>
      </c>
      <c r="I124" s="103" t="s">
        <v>2153</v>
      </c>
      <c r="M124" s="103">
        <v>50</v>
      </c>
      <c r="N124" s="103" t="s">
        <v>2154</v>
      </c>
      <c r="O124" s="103">
        <v>50</v>
      </c>
      <c r="P124" s="103" t="s">
        <v>811</v>
      </c>
      <c r="Q124" s="103" t="s">
        <v>2155</v>
      </c>
      <c r="R124" s="103" t="s">
        <v>2220</v>
      </c>
      <c r="S124" s="103" t="s">
        <v>2157</v>
      </c>
      <c r="U124" s="103">
        <v>25.65</v>
      </c>
      <c r="V124" s="103" t="s">
        <v>2158</v>
      </c>
      <c r="W124" s="103" t="s">
        <v>108</v>
      </c>
      <c r="X124" s="103" t="s">
        <v>1597</v>
      </c>
      <c r="Y124" s="103" t="s">
        <v>1685</v>
      </c>
      <c r="AA124" s="103" t="s">
        <v>2220</v>
      </c>
      <c r="AB124" s="103" t="s">
        <v>71</v>
      </c>
      <c r="AE124" s="103" t="s">
        <v>810</v>
      </c>
      <c r="AF124" s="103" t="b">
        <v>1</v>
      </c>
    </row>
    <row r="125" spans="1:32" hidden="1" x14ac:dyDescent="0.2">
      <c r="A125" s="103" t="s">
        <v>357</v>
      </c>
      <c r="B125" s="103" t="s">
        <v>356</v>
      </c>
      <c r="C125" s="103" t="s">
        <v>2360</v>
      </c>
      <c r="D125" s="103" t="s">
        <v>2361</v>
      </c>
      <c r="E125" s="103" t="s">
        <v>2219</v>
      </c>
      <c r="F125" s="103" t="s">
        <v>2151</v>
      </c>
      <c r="G125" s="103">
        <v>75</v>
      </c>
      <c r="H125" s="103" t="s">
        <v>2152</v>
      </c>
      <c r="I125" s="103" t="s">
        <v>2153</v>
      </c>
      <c r="K125" s="103">
        <v>25</v>
      </c>
      <c r="L125" s="103">
        <v>25</v>
      </c>
      <c r="M125" s="103">
        <v>25</v>
      </c>
      <c r="N125" s="103" t="s">
        <v>2260</v>
      </c>
      <c r="O125" s="103">
        <v>75</v>
      </c>
      <c r="P125" s="103" t="s">
        <v>1609</v>
      </c>
      <c r="Q125" s="103" t="s">
        <v>2155</v>
      </c>
      <c r="R125" s="103" t="s">
        <v>2220</v>
      </c>
      <c r="S125" s="103" t="s">
        <v>2209</v>
      </c>
      <c r="T125" s="103" t="s">
        <v>2362</v>
      </c>
      <c r="U125" s="103">
        <v>38.475000000000001</v>
      </c>
      <c r="V125" s="103" t="s">
        <v>2262</v>
      </c>
      <c r="W125" s="103" t="s">
        <v>116</v>
      </c>
      <c r="X125" s="103" t="s">
        <v>1597</v>
      </c>
      <c r="Y125" s="103" t="s">
        <v>1685</v>
      </c>
      <c r="AA125" s="103" t="s">
        <v>2220</v>
      </c>
      <c r="AB125" s="103" t="s">
        <v>71</v>
      </c>
      <c r="AE125" s="103" t="s">
        <v>810</v>
      </c>
      <c r="AF125" s="103" t="b">
        <v>1</v>
      </c>
    </row>
    <row r="126" spans="1:32" hidden="1" x14ac:dyDescent="0.2">
      <c r="A126" s="103" t="s">
        <v>350</v>
      </c>
      <c r="B126" s="103" t="s">
        <v>349</v>
      </c>
      <c r="C126" s="103" t="s">
        <v>2363</v>
      </c>
      <c r="E126" s="103" t="s">
        <v>2299</v>
      </c>
      <c r="F126" s="103" t="s">
        <v>2162</v>
      </c>
      <c r="G126" s="103">
        <v>50</v>
      </c>
      <c r="H126" s="103" t="s">
        <v>2168</v>
      </c>
      <c r="I126" s="103" t="s">
        <v>2153</v>
      </c>
      <c r="K126" s="103">
        <v>50</v>
      </c>
      <c r="N126" s="103" t="s">
        <v>2163</v>
      </c>
      <c r="O126" s="103">
        <v>50</v>
      </c>
      <c r="P126" s="103" t="s">
        <v>811</v>
      </c>
      <c r="Q126" s="103" t="s">
        <v>2155</v>
      </c>
      <c r="R126" s="103" t="s">
        <v>2220</v>
      </c>
      <c r="S126" s="103" t="s">
        <v>2157</v>
      </c>
      <c r="U126" s="103">
        <v>25.65</v>
      </c>
      <c r="V126" s="103" t="s">
        <v>2158</v>
      </c>
      <c r="W126" s="103" t="s">
        <v>108</v>
      </c>
      <c r="X126" s="103" t="s">
        <v>1597</v>
      </c>
      <c r="Y126" s="103" t="s">
        <v>1685</v>
      </c>
      <c r="AA126" s="103" t="s">
        <v>2220</v>
      </c>
      <c r="AB126" s="103" t="s">
        <v>71</v>
      </c>
      <c r="AE126" s="103" t="s">
        <v>810</v>
      </c>
      <c r="AF126" s="103" t="b">
        <v>1</v>
      </c>
    </row>
    <row r="127" spans="1:32" hidden="1" x14ac:dyDescent="0.2">
      <c r="A127" s="103" t="s">
        <v>350</v>
      </c>
      <c r="B127" s="103" t="s">
        <v>349</v>
      </c>
      <c r="C127" s="103" t="s">
        <v>2353</v>
      </c>
      <c r="D127" s="103" t="s">
        <v>2299</v>
      </c>
      <c r="E127" s="103" t="s">
        <v>2299</v>
      </c>
      <c r="F127" s="103" t="s">
        <v>2175</v>
      </c>
      <c r="G127" s="103">
        <v>20</v>
      </c>
      <c r="H127" s="103" t="s">
        <v>2168</v>
      </c>
      <c r="I127" s="103" t="s">
        <v>2153</v>
      </c>
      <c r="J127" s="103">
        <v>20</v>
      </c>
      <c r="N127" s="103" t="s">
        <v>2163</v>
      </c>
      <c r="O127" s="103">
        <v>20</v>
      </c>
      <c r="P127" s="103" t="s">
        <v>811</v>
      </c>
      <c r="Q127" s="103" t="s">
        <v>2155</v>
      </c>
      <c r="R127" s="103" t="s">
        <v>2220</v>
      </c>
      <c r="S127" s="103" t="s">
        <v>2157</v>
      </c>
      <c r="U127" s="103">
        <v>10.26</v>
      </c>
      <c r="V127" s="103" t="s">
        <v>2158</v>
      </c>
      <c r="W127" s="103" t="s">
        <v>108</v>
      </c>
      <c r="X127" s="103" t="s">
        <v>1597</v>
      </c>
      <c r="Y127" s="103" t="s">
        <v>1685</v>
      </c>
      <c r="AA127" s="103" t="s">
        <v>2220</v>
      </c>
      <c r="AB127" s="103" t="s">
        <v>71</v>
      </c>
      <c r="AE127" s="103" t="s">
        <v>810</v>
      </c>
      <c r="AF127" s="103" t="b">
        <v>1</v>
      </c>
    </row>
    <row r="128" spans="1:32" hidden="1" x14ac:dyDescent="0.2">
      <c r="A128" s="103" t="s">
        <v>350</v>
      </c>
      <c r="B128" s="103" t="s">
        <v>349</v>
      </c>
      <c r="C128" s="103" t="s">
        <v>2353</v>
      </c>
      <c r="D128" s="103" t="s">
        <v>2264</v>
      </c>
      <c r="E128" s="103" t="s">
        <v>2264</v>
      </c>
      <c r="F128" s="103" t="s">
        <v>2175</v>
      </c>
      <c r="G128" s="103">
        <v>20</v>
      </c>
      <c r="H128" s="103" t="s">
        <v>2168</v>
      </c>
      <c r="I128" s="103" t="s">
        <v>2153</v>
      </c>
      <c r="J128" s="103">
        <v>20</v>
      </c>
      <c r="N128" s="103" t="s">
        <v>2163</v>
      </c>
      <c r="O128" s="103">
        <v>20</v>
      </c>
      <c r="P128" s="103" t="s">
        <v>811</v>
      </c>
      <c r="Q128" s="103" t="s">
        <v>2155</v>
      </c>
      <c r="R128" s="103" t="s">
        <v>2220</v>
      </c>
      <c r="S128" s="103" t="s">
        <v>2157</v>
      </c>
      <c r="U128" s="103">
        <v>10.26</v>
      </c>
      <c r="V128" s="103" t="s">
        <v>2158</v>
      </c>
      <c r="W128" s="103" t="s">
        <v>108</v>
      </c>
      <c r="X128" s="103" t="s">
        <v>1597</v>
      </c>
      <c r="Y128" s="103" t="s">
        <v>1685</v>
      </c>
      <c r="AA128" s="103" t="s">
        <v>2220</v>
      </c>
      <c r="AB128" s="103" t="s">
        <v>71</v>
      </c>
      <c r="AE128" s="103" t="s">
        <v>810</v>
      </c>
      <c r="AF128" s="103" t="b">
        <v>1</v>
      </c>
    </row>
    <row r="129" spans="1:32" hidden="1" x14ac:dyDescent="0.2">
      <c r="A129" s="103" t="s">
        <v>350</v>
      </c>
      <c r="B129" s="103" t="s">
        <v>349</v>
      </c>
      <c r="C129" s="103" t="s">
        <v>2364</v>
      </c>
      <c r="E129" s="103" t="s">
        <v>2264</v>
      </c>
      <c r="F129" s="103" t="s">
        <v>2151</v>
      </c>
      <c r="G129" s="103">
        <v>100</v>
      </c>
      <c r="H129" s="103" t="s">
        <v>2168</v>
      </c>
      <c r="I129" s="103" t="s">
        <v>2153</v>
      </c>
      <c r="K129" s="103">
        <v>50</v>
      </c>
      <c r="L129" s="103">
        <v>50</v>
      </c>
      <c r="N129" s="103" t="s">
        <v>2260</v>
      </c>
      <c r="O129" s="103">
        <v>100</v>
      </c>
      <c r="P129" s="103" t="s">
        <v>811</v>
      </c>
      <c r="Q129" s="103" t="s">
        <v>2155</v>
      </c>
      <c r="R129" s="103" t="s">
        <v>2220</v>
      </c>
      <c r="S129" s="103" t="s">
        <v>2157</v>
      </c>
      <c r="U129" s="103">
        <v>51.3</v>
      </c>
      <c r="V129" s="103" t="s">
        <v>2262</v>
      </c>
      <c r="W129" s="103" t="s">
        <v>108</v>
      </c>
      <c r="X129" s="103" t="s">
        <v>1597</v>
      </c>
      <c r="Y129" s="103" t="s">
        <v>1685</v>
      </c>
      <c r="AA129" s="103" t="s">
        <v>2220</v>
      </c>
      <c r="AB129" s="103" t="s">
        <v>71</v>
      </c>
      <c r="AE129" s="103" t="s">
        <v>810</v>
      </c>
      <c r="AF129" s="103" t="b">
        <v>1</v>
      </c>
    </row>
    <row r="130" spans="1:32" hidden="1" x14ac:dyDescent="0.2">
      <c r="A130" s="103" t="s">
        <v>350</v>
      </c>
      <c r="B130" s="103" t="s">
        <v>349</v>
      </c>
      <c r="C130" s="103" t="s">
        <v>2365</v>
      </c>
      <c r="E130" s="103" t="s">
        <v>2366</v>
      </c>
      <c r="F130" s="103" t="s">
        <v>2151</v>
      </c>
      <c r="G130" s="103">
        <v>100</v>
      </c>
      <c r="H130" s="103" t="s">
        <v>2168</v>
      </c>
      <c r="I130" s="103" t="s">
        <v>2153</v>
      </c>
      <c r="K130" s="103">
        <v>50</v>
      </c>
      <c r="L130" s="103">
        <v>50</v>
      </c>
      <c r="N130" s="103" t="s">
        <v>2260</v>
      </c>
      <c r="O130" s="103">
        <v>100</v>
      </c>
      <c r="P130" s="103" t="s">
        <v>811</v>
      </c>
      <c r="Q130" s="103" t="s">
        <v>2155</v>
      </c>
      <c r="R130" s="103" t="s">
        <v>2220</v>
      </c>
      <c r="S130" s="103" t="s">
        <v>2157</v>
      </c>
      <c r="U130" s="103">
        <v>51.3</v>
      </c>
      <c r="V130" s="103" t="s">
        <v>2262</v>
      </c>
      <c r="W130" s="103" t="s">
        <v>108</v>
      </c>
      <c r="X130" s="103" t="s">
        <v>1597</v>
      </c>
      <c r="Y130" s="103" t="s">
        <v>1685</v>
      </c>
      <c r="AA130" s="103" t="s">
        <v>2220</v>
      </c>
      <c r="AB130" s="103" t="s">
        <v>71</v>
      </c>
      <c r="AE130" s="103" t="s">
        <v>810</v>
      </c>
      <c r="AF130" s="103" t="b">
        <v>1</v>
      </c>
    </row>
    <row r="131" spans="1:32" hidden="1" x14ac:dyDescent="0.2">
      <c r="A131" s="103" t="s">
        <v>350</v>
      </c>
      <c r="B131" s="103" t="s">
        <v>349</v>
      </c>
      <c r="C131" s="103" t="s">
        <v>2367</v>
      </c>
      <c r="E131" s="103" t="s">
        <v>2299</v>
      </c>
      <c r="F131" s="103" t="s">
        <v>2162</v>
      </c>
      <c r="G131" s="103">
        <v>50</v>
      </c>
      <c r="H131" s="103" t="s">
        <v>2168</v>
      </c>
      <c r="I131" s="103" t="s">
        <v>2153</v>
      </c>
      <c r="M131" s="103">
        <v>50</v>
      </c>
      <c r="N131" s="103" t="s">
        <v>2273</v>
      </c>
      <c r="O131" s="103">
        <v>50</v>
      </c>
      <c r="P131" s="103" t="s">
        <v>811</v>
      </c>
      <c r="Q131" s="103" t="s">
        <v>2296</v>
      </c>
      <c r="R131" s="103" t="s">
        <v>2220</v>
      </c>
      <c r="S131" s="103" t="s">
        <v>2157</v>
      </c>
      <c r="U131" s="103">
        <v>25.65</v>
      </c>
      <c r="V131" s="103" t="s">
        <v>2262</v>
      </c>
      <c r="W131" s="103" t="s">
        <v>108</v>
      </c>
      <c r="X131" s="103" t="s">
        <v>1597</v>
      </c>
      <c r="Y131" s="103" t="s">
        <v>1685</v>
      </c>
      <c r="AA131" s="103" t="s">
        <v>2220</v>
      </c>
      <c r="AB131" s="103" t="s">
        <v>71</v>
      </c>
      <c r="AE131" s="103" t="s">
        <v>810</v>
      </c>
      <c r="AF131" s="103" t="b">
        <v>1</v>
      </c>
    </row>
    <row r="132" spans="1:32" hidden="1" x14ac:dyDescent="0.2">
      <c r="A132" s="103" t="s">
        <v>357</v>
      </c>
      <c r="B132" s="103" t="s">
        <v>356</v>
      </c>
      <c r="C132" s="103" t="s">
        <v>2275</v>
      </c>
      <c r="D132" s="103" t="s">
        <v>2368</v>
      </c>
      <c r="E132" s="103" t="s">
        <v>2346</v>
      </c>
      <c r="F132" s="103" t="s">
        <v>2151</v>
      </c>
      <c r="G132" s="103">
        <v>100</v>
      </c>
      <c r="H132" s="103" t="s">
        <v>2168</v>
      </c>
      <c r="I132" s="103" t="s">
        <v>2153</v>
      </c>
      <c r="L132" s="103">
        <v>50</v>
      </c>
      <c r="M132" s="103">
        <v>50</v>
      </c>
      <c r="N132" s="103" t="s">
        <v>2260</v>
      </c>
      <c r="O132" s="103">
        <v>100</v>
      </c>
      <c r="P132" s="103" t="s">
        <v>791</v>
      </c>
      <c r="Q132" s="103" t="s">
        <v>2155</v>
      </c>
      <c r="R132" s="103" t="s">
        <v>2220</v>
      </c>
      <c r="S132" s="103" t="s">
        <v>2251</v>
      </c>
      <c r="T132" s="103" t="s">
        <v>2369</v>
      </c>
      <c r="U132" s="103">
        <v>51.3</v>
      </c>
      <c r="V132" s="103" t="s">
        <v>2262</v>
      </c>
      <c r="W132" s="103" t="s">
        <v>116</v>
      </c>
      <c r="X132" s="103" t="s">
        <v>1597</v>
      </c>
      <c r="Y132" s="103" t="s">
        <v>1685</v>
      </c>
      <c r="AA132" s="103" t="s">
        <v>2220</v>
      </c>
      <c r="AB132" s="103" t="s">
        <v>71</v>
      </c>
      <c r="AE132" s="103" t="s">
        <v>810</v>
      </c>
      <c r="AF132" s="103" t="b">
        <v>1</v>
      </c>
    </row>
    <row r="133" spans="1:32" hidden="1" x14ac:dyDescent="0.2">
      <c r="A133" s="103" t="s">
        <v>357</v>
      </c>
      <c r="B133" s="103" t="s">
        <v>356</v>
      </c>
      <c r="C133" s="103" t="s">
        <v>2370</v>
      </c>
      <c r="D133" s="103" t="s">
        <v>2371</v>
      </c>
      <c r="E133" s="103" t="s">
        <v>2346</v>
      </c>
      <c r="F133" s="103" t="s">
        <v>2202</v>
      </c>
      <c r="G133" s="103">
        <v>200</v>
      </c>
      <c r="H133" s="103" t="s">
        <v>2168</v>
      </c>
      <c r="I133" s="103" t="s">
        <v>2153</v>
      </c>
      <c r="L133" s="103">
        <v>100</v>
      </c>
      <c r="M133" s="103">
        <v>100</v>
      </c>
      <c r="N133" s="103" t="s">
        <v>2260</v>
      </c>
      <c r="O133" s="103">
        <v>200</v>
      </c>
      <c r="P133" s="103" t="s">
        <v>791</v>
      </c>
      <c r="Q133" s="103" t="s">
        <v>2155</v>
      </c>
      <c r="R133" s="103" t="s">
        <v>2220</v>
      </c>
      <c r="S133" s="103" t="s">
        <v>2251</v>
      </c>
      <c r="U133" s="103">
        <v>102.6</v>
      </c>
      <c r="V133" s="103" t="s">
        <v>2262</v>
      </c>
      <c r="W133" s="103" t="s">
        <v>116</v>
      </c>
      <c r="X133" s="103" t="s">
        <v>1597</v>
      </c>
      <c r="Y133" s="103" t="s">
        <v>1685</v>
      </c>
      <c r="AA133" s="103" t="s">
        <v>2220</v>
      </c>
      <c r="AB133" s="103" t="s">
        <v>71</v>
      </c>
      <c r="AE133" s="103" t="s">
        <v>810</v>
      </c>
      <c r="AF133" s="103" t="b">
        <v>1</v>
      </c>
    </row>
    <row r="134" spans="1:32" hidden="1" x14ac:dyDescent="0.2">
      <c r="A134" s="103" t="s">
        <v>357</v>
      </c>
      <c r="B134" s="103" t="s">
        <v>356</v>
      </c>
      <c r="C134" s="103" t="s">
        <v>2372</v>
      </c>
      <c r="D134" s="103" t="s">
        <v>2373</v>
      </c>
      <c r="E134" s="103" t="s">
        <v>2346</v>
      </c>
      <c r="F134" s="103" t="s">
        <v>2151</v>
      </c>
      <c r="G134" s="103">
        <v>100</v>
      </c>
      <c r="H134" s="103" t="s">
        <v>2168</v>
      </c>
      <c r="I134" s="103" t="s">
        <v>2153</v>
      </c>
      <c r="L134" s="103">
        <v>50</v>
      </c>
      <c r="M134" s="103">
        <v>50</v>
      </c>
      <c r="N134" s="103" t="s">
        <v>2260</v>
      </c>
      <c r="O134" s="103">
        <v>100</v>
      </c>
      <c r="P134" s="103" t="s">
        <v>791</v>
      </c>
      <c r="Q134" s="103" t="s">
        <v>2155</v>
      </c>
      <c r="R134" s="103" t="s">
        <v>2220</v>
      </c>
      <c r="S134" s="103" t="s">
        <v>2251</v>
      </c>
      <c r="T134" s="103" t="s">
        <v>2374</v>
      </c>
      <c r="U134" s="103">
        <v>51.3</v>
      </c>
      <c r="V134" s="103" t="s">
        <v>2262</v>
      </c>
      <c r="W134" s="103" t="s">
        <v>116</v>
      </c>
      <c r="X134" s="103" t="s">
        <v>1597</v>
      </c>
      <c r="Y134" s="103" t="s">
        <v>1685</v>
      </c>
      <c r="AA134" s="103" t="s">
        <v>2220</v>
      </c>
      <c r="AB134" s="103" t="s">
        <v>71</v>
      </c>
      <c r="AE134" s="103" t="s">
        <v>810</v>
      </c>
      <c r="AF134" s="103" t="b">
        <v>1</v>
      </c>
    </row>
    <row r="135" spans="1:32" hidden="1" x14ac:dyDescent="0.2">
      <c r="A135" s="103" t="s">
        <v>350</v>
      </c>
      <c r="B135" s="103" t="s">
        <v>349</v>
      </c>
      <c r="C135" s="103" t="s">
        <v>2375</v>
      </c>
      <c r="E135" s="103" t="s">
        <v>2366</v>
      </c>
      <c r="F135" s="103" t="s">
        <v>2162</v>
      </c>
      <c r="G135" s="103">
        <v>50</v>
      </c>
      <c r="H135" s="103" t="s">
        <v>2168</v>
      </c>
      <c r="I135" s="103" t="s">
        <v>2153</v>
      </c>
      <c r="J135" s="103">
        <v>50</v>
      </c>
      <c r="N135" s="103" t="s">
        <v>2260</v>
      </c>
      <c r="O135" s="103">
        <v>50</v>
      </c>
      <c r="P135" s="103" t="s">
        <v>811</v>
      </c>
      <c r="Q135" s="103" t="s">
        <v>2296</v>
      </c>
      <c r="R135" s="103" t="s">
        <v>2220</v>
      </c>
      <c r="S135" s="103" t="s">
        <v>2157</v>
      </c>
      <c r="U135" s="103">
        <v>25.65</v>
      </c>
      <c r="V135" s="103" t="s">
        <v>2262</v>
      </c>
      <c r="W135" s="103" t="s">
        <v>108</v>
      </c>
      <c r="X135" s="103" t="s">
        <v>1597</v>
      </c>
      <c r="Y135" s="103" t="s">
        <v>1685</v>
      </c>
      <c r="AA135" s="103" t="s">
        <v>2220</v>
      </c>
      <c r="AB135" s="103" t="s">
        <v>71</v>
      </c>
      <c r="AE135" s="103" t="s">
        <v>810</v>
      </c>
      <c r="AF135" s="103" t="b">
        <v>1</v>
      </c>
    </row>
    <row r="136" spans="1:32" hidden="1" x14ac:dyDescent="0.2">
      <c r="A136" s="103" t="s">
        <v>352</v>
      </c>
      <c r="B136" s="103" t="s">
        <v>351</v>
      </c>
      <c r="C136" s="103" t="s">
        <v>2376</v>
      </c>
      <c r="D136" s="103" t="s">
        <v>2377</v>
      </c>
      <c r="E136" s="103" t="s">
        <v>2378</v>
      </c>
      <c r="F136" s="103" t="s">
        <v>2228</v>
      </c>
      <c r="G136" s="103">
        <v>1400</v>
      </c>
      <c r="H136" s="103" t="s">
        <v>2152</v>
      </c>
      <c r="I136" s="103" t="s">
        <v>2153</v>
      </c>
      <c r="J136" s="103">
        <v>400</v>
      </c>
      <c r="K136" s="103">
        <v>400</v>
      </c>
      <c r="L136" s="103">
        <v>300</v>
      </c>
      <c r="M136" s="103">
        <v>300</v>
      </c>
      <c r="N136" s="103" t="s">
        <v>2163</v>
      </c>
      <c r="O136" s="103">
        <v>1400</v>
      </c>
      <c r="P136" s="103" t="s">
        <v>811</v>
      </c>
      <c r="Q136" s="103" t="s">
        <v>2155</v>
      </c>
      <c r="R136" s="103" t="s">
        <v>2220</v>
      </c>
      <c r="S136" s="103" t="s">
        <v>2157</v>
      </c>
      <c r="U136" s="103">
        <v>718.2</v>
      </c>
      <c r="V136" s="103" t="s">
        <v>2158</v>
      </c>
      <c r="W136" s="103" t="s">
        <v>108</v>
      </c>
      <c r="X136" s="103" t="s">
        <v>1597</v>
      </c>
      <c r="Y136" s="103" t="s">
        <v>1685</v>
      </c>
      <c r="AA136" s="103" t="s">
        <v>2220</v>
      </c>
      <c r="AB136" s="103" t="s">
        <v>71</v>
      </c>
      <c r="AE136" s="103" t="s">
        <v>810</v>
      </c>
      <c r="AF136" s="103" t="b">
        <v>1</v>
      </c>
    </row>
    <row r="137" spans="1:32" hidden="1" x14ac:dyDescent="0.2">
      <c r="A137" s="103" t="s">
        <v>352</v>
      </c>
      <c r="B137" s="103" t="s">
        <v>351</v>
      </c>
      <c r="C137" s="103" t="s">
        <v>2379</v>
      </c>
      <c r="D137" s="103" t="s">
        <v>2380</v>
      </c>
      <c r="E137" s="103" t="s">
        <v>2338</v>
      </c>
      <c r="F137" s="103" t="s">
        <v>2162</v>
      </c>
      <c r="G137" s="103">
        <v>50</v>
      </c>
      <c r="H137" s="103" t="s">
        <v>2168</v>
      </c>
      <c r="I137" s="103" t="s">
        <v>2153</v>
      </c>
      <c r="J137" s="103">
        <v>25</v>
      </c>
      <c r="K137" s="103">
        <v>25</v>
      </c>
      <c r="N137" s="103" t="s">
        <v>2163</v>
      </c>
      <c r="O137" s="103">
        <v>50</v>
      </c>
      <c r="P137" s="103" t="s">
        <v>811</v>
      </c>
      <c r="Q137" s="103" t="s">
        <v>2155</v>
      </c>
      <c r="R137" s="103" t="s">
        <v>2220</v>
      </c>
      <c r="S137" s="103" t="s">
        <v>2157</v>
      </c>
      <c r="U137" s="103">
        <v>25.65</v>
      </c>
      <c r="V137" s="103" t="s">
        <v>2158</v>
      </c>
      <c r="W137" s="103" t="s">
        <v>108</v>
      </c>
      <c r="X137" s="103" t="s">
        <v>1597</v>
      </c>
      <c r="Y137" s="103" t="s">
        <v>1685</v>
      </c>
      <c r="AA137" s="103" t="s">
        <v>2220</v>
      </c>
      <c r="AB137" s="103" t="s">
        <v>71</v>
      </c>
      <c r="AE137" s="103" t="s">
        <v>810</v>
      </c>
      <c r="AF137" s="103" t="b">
        <v>1</v>
      </c>
    </row>
    <row r="138" spans="1:32" hidden="1" x14ac:dyDescent="0.2">
      <c r="A138" s="103" t="s">
        <v>354</v>
      </c>
      <c r="B138" s="103" t="s">
        <v>353</v>
      </c>
      <c r="C138" s="103" t="s">
        <v>2381</v>
      </c>
      <c r="E138" s="103" t="s">
        <v>2266</v>
      </c>
      <c r="F138" s="103" t="s">
        <v>2162</v>
      </c>
      <c r="G138" s="103">
        <v>50</v>
      </c>
      <c r="H138" s="103" t="s">
        <v>2168</v>
      </c>
      <c r="I138" s="103" t="s">
        <v>2153</v>
      </c>
      <c r="J138" s="103">
        <v>50</v>
      </c>
      <c r="N138" s="103" t="s">
        <v>2163</v>
      </c>
      <c r="O138" s="103">
        <v>50</v>
      </c>
      <c r="P138" s="103" t="s">
        <v>811</v>
      </c>
      <c r="Q138" s="103" t="s">
        <v>2155</v>
      </c>
      <c r="R138" s="103" t="s">
        <v>2220</v>
      </c>
      <c r="S138" s="103" t="s">
        <v>2157</v>
      </c>
      <c r="U138" s="103">
        <v>25.65</v>
      </c>
      <c r="V138" s="103" t="s">
        <v>2158</v>
      </c>
      <c r="W138" s="103" t="s">
        <v>108</v>
      </c>
      <c r="X138" s="103" t="s">
        <v>1597</v>
      </c>
      <c r="Y138" s="103" t="s">
        <v>1685</v>
      </c>
      <c r="AA138" s="103" t="s">
        <v>2220</v>
      </c>
      <c r="AB138" s="103" t="s">
        <v>71</v>
      </c>
      <c r="AE138" s="103" t="s">
        <v>810</v>
      </c>
      <c r="AF138" s="103" t="b">
        <v>1</v>
      </c>
    </row>
    <row r="139" spans="1:32" hidden="1" x14ac:dyDescent="0.2">
      <c r="A139" s="103" t="s">
        <v>354</v>
      </c>
      <c r="B139" s="103" t="s">
        <v>353</v>
      </c>
      <c r="C139" s="103" t="s">
        <v>2382</v>
      </c>
      <c r="E139" s="103" t="s">
        <v>2266</v>
      </c>
      <c r="F139" s="103" t="s">
        <v>2175</v>
      </c>
      <c r="G139" s="103">
        <v>20</v>
      </c>
      <c r="H139" s="103" t="s">
        <v>2168</v>
      </c>
      <c r="I139" s="103" t="s">
        <v>2153</v>
      </c>
      <c r="J139" s="103">
        <v>20</v>
      </c>
      <c r="N139" s="103" t="s">
        <v>2154</v>
      </c>
      <c r="O139" s="103">
        <v>20</v>
      </c>
      <c r="P139" s="103" t="s">
        <v>811</v>
      </c>
      <c r="Q139" s="103" t="s">
        <v>2155</v>
      </c>
      <c r="R139" s="103" t="s">
        <v>2220</v>
      </c>
      <c r="S139" s="103" t="s">
        <v>2157</v>
      </c>
      <c r="U139" s="103">
        <v>10.26</v>
      </c>
      <c r="V139" s="103" t="s">
        <v>2158</v>
      </c>
      <c r="W139" s="103" t="s">
        <v>108</v>
      </c>
      <c r="X139" s="103" t="s">
        <v>1597</v>
      </c>
      <c r="Y139" s="103" t="s">
        <v>1685</v>
      </c>
      <c r="AA139" s="103" t="s">
        <v>2220</v>
      </c>
      <c r="AB139" s="103" t="s">
        <v>71</v>
      </c>
      <c r="AE139" s="103" t="s">
        <v>810</v>
      </c>
      <c r="AF139" s="103" t="b">
        <v>1</v>
      </c>
    </row>
    <row r="140" spans="1:32" hidden="1" x14ac:dyDescent="0.2">
      <c r="A140" s="103" t="s">
        <v>354</v>
      </c>
      <c r="B140" s="103" t="s">
        <v>353</v>
      </c>
      <c r="C140" s="103" t="s">
        <v>2383</v>
      </c>
      <c r="E140" s="103" t="s">
        <v>2266</v>
      </c>
      <c r="F140" s="103" t="s">
        <v>2175</v>
      </c>
      <c r="G140" s="103">
        <v>20</v>
      </c>
      <c r="H140" s="103" t="s">
        <v>2168</v>
      </c>
      <c r="I140" s="103" t="s">
        <v>2153</v>
      </c>
      <c r="J140" s="103">
        <v>20</v>
      </c>
      <c r="N140" s="103" t="s">
        <v>2154</v>
      </c>
      <c r="O140" s="103">
        <v>20</v>
      </c>
      <c r="P140" s="103" t="s">
        <v>811</v>
      </c>
      <c r="Q140" s="103" t="s">
        <v>2155</v>
      </c>
      <c r="R140" s="103" t="s">
        <v>2220</v>
      </c>
      <c r="S140" s="103" t="s">
        <v>2157</v>
      </c>
      <c r="U140" s="103">
        <v>10.26</v>
      </c>
      <c r="V140" s="103" t="s">
        <v>2158</v>
      </c>
      <c r="W140" s="103" t="s">
        <v>108</v>
      </c>
      <c r="X140" s="103" t="s">
        <v>1597</v>
      </c>
      <c r="Y140" s="103" t="s">
        <v>1685</v>
      </c>
      <c r="AA140" s="103" t="s">
        <v>2220</v>
      </c>
      <c r="AB140" s="103" t="s">
        <v>71</v>
      </c>
      <c r="AE140" s="103" t="s">
        <v>810</v>
      </c>
      <c r="AF140" s="103" t="b">
        <v>1</v>
      </c>
    </row>
    <row r="141" spans="1:32" hidden="1" x14ac:dyDescent="0.2">
      <c r="A141" s="103" t="s">
        <v>354</v>
      </c>
      <c r="B141" s="103" t="s">
        <v>353</v>
      </c>
      <c r="C141" s="103" t="s">
        <v>2384</v>
      </c>
      <c r="E141" s="103" t="s">
        <v>2266</v>
      </c>
      <c r="F141" s="103" t="s">
        <v>2202</v>
      </c>
      <c r="G141" s="103">
        <v>200</v>
      </c>
      <c r="H141" s="103" t="s">
        <v>2168</v>
      </c>
      <c r="I141" s="103" t="s">
        <v>2153</v>
      </c>
      <c r="J141" s="103">
        <v>50</v>
      </c>
      <c r="K141" s="103">
        <v>50</v>
      </c>
      <c r="L141" s="103">
        <v>50</v>
      </c>
      <c r="M141" s="103">
        <v>50</v>
      </c>
      <c r="N141" s="103" t="s">
        <v>2273</v>
      </c>
      <c r="O141" s="103">
        <v>200</v>
      </c>
      <c r="P141" s="103" t="s">
        <v>1624</v>
      </c>
      <c r="Q141" s="103" t="s">
        <v>2296</v>
      </c>
      <c r="R141" s="103" t="s">
        <v>2220</v>
      </c>
      <c r="S141" s="103" t="s">
        <v>2157</v>
      </c>
      <c r="U141" s="103">
        <v>102.6</v>
      </c>
      <c r="V141" s="103" t="s">
        <v>2262</v>
      </c>
      <c r="W141" s="103" t="s">
        <v>108</v>
      </c>
      <c r="X141" s="103" t="s">
        <v>1597</v>
      </c>
      <c r="Y141" s="103" t="s">
        <v>1685</v>
      </c>
      <c r="AA141" s="103" t="s">
        <v>2220</v>
      </c>
      <c r="AB141" s="103" t="s">
        <v>71</v>
      </c>
      <c r="AE141" s="103" t="s">
        <v>810</v>
      </c>
      <c r="AF141" s="103" t="b">
        <v>1</v>
      </c>
    </row>
    <row r="142" spans="1:32" hidden="1" x14ac:dyDescent="0.2">
      <c r="A142" s="103" t="s">
        <v>368</v>
      </c>
      <c r="B142" s="103" t="s">
        <v>367</v>
      </c>
      <c r="C142" s="103" t="s">
        <v>2385</v>
      </c>
      <c r="E142" s="103" t="s">
        <v>2386</v>
      </c>
      <c r="G142" s="103">
        <v>573</v>
      </c>
      <c r="H142" s="103" t="s">
        <v>2152</v>
      </c>
      <c r="I142" s="103" t="s">
        <v>2153</v>
      </c>
      <c r="J142" s="103">
        <v>143.25</v>
      </c>
      <c r="K142" s="103">
        <v>143.25</v>
      </c>
      <c r="L142" s="103">
        <v>143.25</v>
      </c>
      <c r="M142" s="103">
        <v>143.25</v>
      </c>
      <c r="N142" s="103" t="s">
        <v>2163</v>
      </c>
      <c r="O142" s="103">
        <v>573</v>
      </c>
      <c r="P142" s="103" t="s">
        <v>1567</v>
      </c>
      <c r="Q142" s="103" t="s">
        <v>2387</v>
      </c>
      <c r="R142" s="103" t="s">
        <v>2156</v>
      </c>
      <c r="U142" s="103">
        <v>293.94900000000001</v>
      </c>
      <c r="V142" s="103" t="s">
        <v>2158</v>
      </c>
      <c r="W142" s="103" t="s">
        <v>114</v>
      </c>
      <c r="X142" s="103" t="s">
        <v>1597</v>
      </c>
      <c r="Y142" s="103" t="s">
        <v>1685</v>
      </c>
      <c r="AA142" s="103" t="s">
        <v>2156</v>
      </c>
      <c r="AB142" s="103" t="s">
        <v>68</v>
      </c>
      <c r="AC142" s="103" t="s">
        <v>2159</v>
      </c>
      <c r="AD142" s="103" t="s">
        <v>2388</v>
      </c>
      <c r="AE142" s="103" t="s">
        <v>766</v>
      </c>
      <c r="AF142" s="103" t="b">
        <v>1</v>
      </c>
    </row>
    <row r="143" spans="1:32" hidden="1" x14ac:dyDescent="0.2">
      <c r="A143" s="103" t="s">
        <v>368</v>
      </c>
      <c r="B143" s="103" t="s">
        <v>367</v>
      </c>
      <c r="C143" s="103" t="s">
        <v>2385</v>
      </c>
      <c r="E143" s="103" t="s">
        <v>2389</v>
      </c>
      <c r="G143" s="103">
        <v>287</v>
      </c>
      <c r="H143" s="103" t="s">
        <v>2152</v>
      </c>
      <c r="I143" s="103" t="s">
        <v>2153</v>
      </c>
      <c r="J143" s="103">
        <v>71.75</v>
      </c>
      <c r="K143" s="103">
        <v>71.75</v>
      </c>
      <c r="L143" s="103">
        <v>71.75</v>
      </c>
      <c r="M143" s="103">
        <v>71.75</v>
      </c>
      <c r="N143" s="103" t="s">
        <v>2163</v>
      </c>
      <c r="O143" s="103">
        <v>287</v>
      </c>
      <c r="P143" s="103" t="s">
        <v>1567</v>
      </c>
      <c r="Q143" s="103" t="s">
        <v>2387</v>
      </c>
      <c r="R143" s="103" t="s">
        <v>2156</v>
      </c>
      <c r="U143" s="103">
        <v>147.23099999999999</v>
      </c>
      <c r="V143" s="103" t="s">
        <v>2158</v>
      </c>
      <c r="W143" s="103" t="s">
        <v>114</v>
      </c>
      <c r="X143" s="103" t="s">
        <v>1597</v>
      </c>
      <c r="Y143" s="103" t="s">
        <v>1685</v>
      </c>
      <c r="AA143" s="103" t="s">
        <v>2156</v>
      </c>
      <c r="AB143" s="103" t="s">
        <v>68</v>
      </c>
      <c r="AC143" s="103" t="s">
        <v>2159</v>
      </c>
      <c r="AD143" s="103" t="s">
        <v>2388</v>
      </c>
      <c r="AE143" s="103" t="s">
        <v>766</v>
      </c>
      <c r="AF143" s="103" t="b">
        <v>1</v>
      </c>
    </row>
    <row r="144" spans="1:32" hidden="1" x14ac:dyDescent="0.2">
      <c r="A144" s="103" t="s">
        <v>370</v>
      </c>
      <c r="B144" s="103" t="s">
        <v>369</v>
      </c>
      <c r="C144" s="103" t="s">
        <v>2385</v>
      </c>
      <c r="E144" s="103" t="s">
        <v>2167</v>
      </c>
      <c r="G144" s="103">
        <v>401</v>
      </c>
      <c r="H144" s="103" t="s">
        <v>2152</v>
      </c>
      <c r="I144" s="103" t="s">
        <v>2153</v>
      </c>
      <c r="J144" s="103">
        <v>100.25</v>
      </c>
      <c r="K144" s="103">
        <v>100.25</v>
      </c>
      <c r="L144" s="103">
        <v>100.25</v>
      </c>
      <c r="M144" s="103">
        <v>100.25</v>
      </c>
      <c r="N144" s="103" t="s">
        <v>2163</v>
      </c>
      <c r="O144" s="103">
        <v>401</v>
      </c>
      <c r="P144" s="103" t="s">
        <v>1567</v>
      </c>
      <c r="Q144" s="103" t="s">
        <v>2236</v>
      </c>
      <c r="R144" s="103" t="s">
        <v>2156</v>
      </c>
      <c r="U144" s="103">
        <v>205.71299999999999</v>
      </c>
      <c r="V144" s="103" t="s">
        <v>2158</v>
      </c>
      <c r="W144" s="103" t="s">
        <v>114</v>
      </c>
      <c r="X144" s="103" t="s">
        <v>1597</v>
      </c>
      <c r="Y144" s="103" t="s">
        <v>1685</v>
      </c>
      <c r="AA144" s="103" t="s">
        <v>2156</v>
      </c>
      <c r="AB144" s="103" t="s">
        <v>68</v>
      </c>
      <c r="AC144" s="103" t="s">
        <v>2159</v>
      </c>
      <c r="AD144" s="103" t="s">
        <v>2388</v>
      </c>
      <c r="AE144" s="103" t="s">
        <v>766</v>
      </c>
      <c r="AF144" s="103" t="b">
        <v>1</v>
      </c>
    </row>
    <row r="145" spans="1:32" hidden="1" x14ac:dyDescent="0.2">
      <c r="A145" s="103" t="s">
        <v>370</v>
      </c>
      <c r="B145" s="103" t="s">
        <v>369</v>
      </c>
      <c r="C145" s="103" t="s">
        <v>2385</v>
      </c>
      <c r="E145" s="103" t="s">
        <v>2171</v>
      </c>
      <c r="G145" s="103">
        <v>344</v>
      </c>
      <c r="H145" s="103" t="s">
        <v>2152</v>
      </c>
      <c r="I145" s="103" t="s">
        <v>2153</v>
      </c>
      <c r="J145" s="103">
        <v>86</v>
      </c>
      <c r="K145" s="103">
        <v>86</v>
      </c>
      <c r="L145" s="103">
        <v>86</v>
      </c>
      <c r="M145" s="103">
        <v>86</v>
      </c>
      <c r="N145" s="103" t="s">
        <v>2163</v>
      </c>
      <c r="O145" s="103">
        <v>344</v>
      </c>
      <c r="P145" s="103" t="s">
        <v>1567</v>
      </c>
      <c r="Q145" s="103" t="s">
        <v>2236</v>
      </c>
      <c r="R145" s="103" t="s">
        <v>2156</v>
      </c>
      <c r="U145" s="103">
        <v>176.47200000000001</v>
      </c>
      <c r="V145" s="103" t="s">
        <v>2158</v>
      </c>
      <c r="W145" s="103" t="s">
        <v>114</v>
      </c>
      <c r="X145" s="103" t="s">
        <v>1597</v>
      </c>
      <c r="Y145" s="103" t="s">
        <v>1685</v>
      </c>
      <c r="AA145" s="103" t="s">
        <v>2156</v>
      </c>
      <c r="AB145" s="103" t="s">
        <v>68</v>
      </c>
      <c r="AC145" s="103" t="s">
        <v>2159</v>
      </c>
      <c r="AD145" s="103" t="s">
        <v>2388</v>
      </c>
      <c r="AE145" s="103" t="s">
        <v>766</v>
      </c>
      <c r="AF145" s="103" t="b">
        <v>1</v>
      </c>
    </row>
    <row r="146" spans="1:32" hidden="1" x14ac:dyDescent="0.2">
      <c r="A146" s="103" t="s">
        <v>370</v>
      </c>
      <c r="B146" s="103" t="s">
        <v>369</v>
      </c>
      <c r="C146" s="103" t="s">
        <v>2385</v>
      </c>
      <c r="E146" s="103" t="s">
        <v>2211</v>
      </c>
      <c r="G146" s="103">
        <v>287</v>
      </c>
      <c r="H146" s="103" t="s">
        <v>2152</v>
      </c>
      <c r="I146" s="103" t="s">
        <v>2153</v>
      </c>
      <c r="J146" s="103">
        <v>71.75</v>
      </c>
      <c r="K146" s="103">
        <v>71.75</v>
      </c>
      <c r="L146" s="103">
        <v>71.75</v>
      </c>
      <c r="M146" s="103">
        <v>71.75</v>
      </c>
      <c r="N146" s="103" t="s">
        <v>2163</v>
      </c>
      <c r="O146" s="103">
        <v>287</v>
      </c>
      <c r="P146" s="103" t="s">
        <v>1567</v>
      </c>
      <c r="Q146" s="103" t="s">
        <v>2236</v>
      </c>
      <c r="R146" s="103" t="s">
        <v>2156</v>
      </c>
      <c r="U146" s="103">
        <v>147.23099999999999</v>
      </c>
      <c r="V146" s="103" t="s">
        <v>2158</v>
      </c>
      <c r="W146" s="103" t="s">
        <v>114</v>
      </c>
      <c r="X146" s="103" t="s">
        <v>1597</v>
      </c>
      <c r="Y146" s="103" t="s">
        <v>1685</v>
      </c>
      <c r="AA146" s="103" t="s">
        <v>2156</v>
      </c>
      <c r="AB146" s="103" t="s">
        <v>68</v>
      </c>
      <c r="AC146" s="103" t="s">
        <v>2159</v>
      </c>
      <c r="AD146" s="103" t="s">
        <v>2388</v>
      </c>
      <c r="AE146" s="103" t="s">
        <v>766</v>
      </c>
      <c r="AF146" s="103" t="b">
        <v>1</v>
      </c>
    </row>
    <row r="147" spans="1:32" hidden="1" x14ac:dyDescent="0.2">
      <c r="A147" s="103" t="s">
        <v>374</v>
      </c>
      <c r="B147" s="103" t="s">
        <v>373</v>
      </c>
      <c r="C147" s="103" t="s">
        <v>374</v>
      </c>
      <c r="E147" s="103" t="s">
        <v>105</v>
      </c>
      <c r="F147" s="103" t="s">
        <v>2162</v>
      </c>
      <c r="G147" s="103">
        <v>40</v>
      </c>
      <c r="H147" s="103" t="s">
        <v>2152</v>
      </c>
      <c r="I147" s="103" t="s">
        <v>2153</v>
      </c>
      <c r="M147" s="103">
        <v>40</v>
      </c>
      <c r="N147" s="103" t="s">
        <v>2163</v>
      </c>
      <c r="O147" s="103">
        <v>40</v>
      </c>
      <c r="P147" s="103" t="s">
        <v>985</v>
      </c>
      <c r="Q147" s="103" t="s">
        <v>2155</v>
      </c>
      <c r="R147" s="103" t="s">
        <v>2225</v>
      </c>
      <c r="S147" s="103" t="s">
        <v>2157</v>
      </c>
      <c r="U147" s="103">
        <v>20.52</v>
      </c>
      <c r="V147" s="103" t="s">
        <v>2158</v>
      </c>
      <c r="W147" s="103" t="s">
        <v>105</v>
      </c>
      <c r="X147" s="103" t="s">
        <v>1597</v>
      </c>
      <c r="Y147" s="103" t="s">
        <v>1685</v>
      </c>
      <c r="AA147" s="103" t="s">
        <v>2225</v>
      </c>
      <c r="AB147" s="103" t="s">
        <v>64</v>
      </c>
      <c r="AE147" s="103" t="s">
        <v>984</v>
      </c>
      <c r="AF147" s="103" t="b">
        <v>1</v>
      </c>
    </row>
    <row r="148" spans="1:32" hidden="1" x14ac:dyDescent="0.2">
      <c r="A148" s="103" t="s">
        <v>376</v>
      </c>
      <c r="B148" s="103" t="s">
        <v>375</v>
      </c>
      <c r="C148" s="103" t="s">
        <v>2390</v>
      </c>
      <c r="E148" s="103" t="s">
        <v>1130</v>
      </c>
      <c r="F148" s="103" t="s">
        <v>2228</v>
      </c>
      <c r="G148" s="103">
        <v>800</v>
      </c>
      <c r="H148" s="103" t="s">
        <v>2168</v>
      </c>
      <c r="I148" s="103" t="s">
        <v>2153</v>
      </c>
      <c r="J148" s="103">
        <v>200</v>
      </c>
      <c r="K148" s="103">
        <v>200</v>
      </c>
      <c r="L148" s="103">
        <v>200</v>
      </c>
      <c r="M148" s="103">
        <v>200</v>
      </c>
      <c r="N148" s="103" t="s">
        <v>2163</v>
      </c>
      <c r="O148" s="103">
        <v>800</v>
      </c>
      <c r="P148" s="103" t="s">
        <v>1559</v>
      </c>
      <c r="Q148" s="103" t="s">
        <v>2155</v>
      </c>
      <c r="R148" s="103" t="s">
        <v>2156</v>
      </c>
      <c r="U148" s="103">
        <v>410.4</v>
      </c>
      <c r="V148" s="103" t="s">
        <v>2158</v>
      </c>
      <c r="W148" s="103" t="s">
        <v>120</v>
      </c>
      <c r="X148" s="103" t="s">
        <v>1597</v>
      </c>
      <c r="Y148" s="103" t="s">
        <v>1685</v>
      </c>
      <c r="AA148" s="103" t="s">
        <v>305</v>
      </c>
      <c r="AB148" s="103" t="s">
        <v>68</v>
      </c>
      <c r="AC148" s="103" t="s">
        <v>1130</v>
      </c>
      <c r="AD148" s="103" t="s">
        <v>2391</v>
      </c>
      <c r="AE148" s="103" t="s">
        <v>1241</v>
      </c>
      <c r="AF148" s="103" t="b">
        <v>0</v>
      </c>
    </row>
    <row r="149" spans="1:32" hidden="1" x14ac:dyDescent="0.2">
      <c r="A149" s="103" t="s">
        <v>376</v>
      </c>
      <c r="B149" s="103" t="s">
        <v>375</v>
      </c>
      <c r="C149" s="103" t="s">
        <v>2392</v>
      </c>
      <c r="E149" s="103" t="s">
        <v>1130</v>
      </c>
      <c r="F149" s="103" t="s">
        <v>2228</v>
      </c>
      <c r="G149" s="103">
        <v>800</v>
      </c>
      <c r="H149" s="103" t="s">
        <v>2168</v>
      </c>
      <c r="I149" s="103" t="s">
        <v>2153</v>
      </c>
      <c r="J149" s="103">
        <v>200</v>
      </c>
      <c r="K149" s="103">
        <v>200</v>
      </c>
      <c r="L149" s="103">
        <v>200</v>
      </c>
      <c r="M149" s="103">
        <v>200</v>
      </c>
      <c r="N149" s="103" t="s">
        <v>2163</v>
      </c>
      <c r="O149" s="103">
        <v>800</v>
      </c>
      <c r="P149" s="103" t="s">
        <v>1559</v>
      </c>
      <c r="Q149" s="103" t="s">
        <v>2155</v>
      </c>
      <c r="R149" s="103" t="s">
        <v>2156</v>
      </c>
      <c r="U149" s="103">
        <v>410.4</v>
      </c>
      <c r="V149" s="103" t="s">
        <v>2158</v>
      </c>
      <c r="W149" s="103" t="s">
        <v>120</v>
      </c>
      <c r="X149" s="103" t="s">
        <v>1597</v>
      </c>
      <c r="Y149" s="103" t="s">
        <v>1685</v>
      </c>
      <c r="AA149" s="103" t="s">
        <v>305</v>
      </c>
      <c r="AB149" s="103" t="s">
        <v>68</v>
      </c>
      <c r="AC149" s="103" t="s">
        <v>1130</v>
      </c>
      <c r="AD149" s="103" t="s">
        <v>2391</v>
      </c>
      <c r="AE149" s="103" t="s">
        <v>1241</v>
      </c>
      <c r="AF149" s="103" t="b">
        <v>0</v>
      </c>
    </row>
    <row r="150" spans="1:32" hidden="1" x14ac:dyDescent="0.2">
      <c r="A150" s="103" t="s">
        <v>376</v>
      </c>
      <c r="B150" s="103" t="s">
        <v>375</v>
      </c>
      <c r="C150" s="103" t="s">
        <v>2393</v>
      </c>
      <c r="E150" s="103" t="s">
        <v>120</v>
      </c>
      <c r="F150" s="103" t="s">
        <v>2228</v>
      </c>
      <c r="G150" s="103">
        <v>800</v>
      </c>
      <c r="H150" s="103" t="s">
        <v>2168</v>
      </c>
      <c r="I150" s="103" t="s">
        <v>2153</v>
      </c>
      <c r="J150" s="103">
        <v>200</v>
      </c>
      <c r="K150" s="103">
        <v>200</v>
      </c>
      <c r="L150" s="103">
        <v>200</v>
      </c>
      <c r="M150" s="103">
        <v>200</v>
      </c>
      <c r="N150" s="103" t="s">
        <v>2163</v>
      </c>
      <c r="O150" s="103">
        <v>800</v>
      </c>
      <c r="P150" s="103" t="s">
        <v>1559</v>
      </c>
      <c r="Q150" s="103" t="s">
        <v>2155</v>
      </c>
      <c r="R150" s="103" t="s">
        <v>2156</v>
      </c>
      <c r="U150" s="103">
        <v>410.4</v>
      </c>
      <c r="V150" s="103" t="s">
        <v>2158</v>
      </c>
      <c r="W150" s="103" t="s">
        <v>120</v>
      </c>
      <c r="X150" s="103" t="s">
        <v>1597</v>
      </c>
      <c r="Y150" s="103" t="s">
        <v>1685</v>
      </c>
      <c r="AA150" s="103" t="s">
        <v>305</v>
      </c>
      <c r="AB150" s="103" t="s">
        <v>68</v>
      </c>
      <c r="AC150" s="103" t="s">
        <v>1130</v>
      </c>
      <c r="AD150" s="103" t="s">
        <v>2391</v>
      </c>
      <c r="AE150" s="103" t="s">
        <v>1241</v>
      </c>
      <c r="AF150" s="103" t="b">
        <v>0</v>
      </c>
    </row>
    <row r="151" spans="1:32" hidden="1" x14ac:dyDescent="0.2">
      <c r="A151" s="103" t="s">
        <v>376</v>
      </c>
      <c r="B151" s="103" t="s">
        <v>375</v>
      </c>
      <c r="C151" s="103" t="s">
        <v>2394</v>
      </c>
      <c r="E151" s="103" t="s">
        <v>1130</v>
      </c>
      <c r="F151" s="103" t="s">
        <v>2226</v>
      </c>
      <c r="G151" s="103">
        <v>400</v>
      </c>
      <c r="H151" s="103" t="s">
        <v>2168</v>
      </c>
      <c r="I151" s="103" t="s">
        <v>2153</v>
      </c>
      <c r="J151" s="103">
        <v>100</v>
      </c>
      <c r="K151" s="103">
        <v>100</v>
      </c>
      <c r="L151" s="103">
        <v>100</v>
      </c>
      <c r="M151" s="103">
        <v>100</v>
      </c>
      <c r="N151" s="103" t="s">
        <v>2163</v>
      </c>
      <c r="O151" s="103">
        <v>400</v>
      </c>
      <c r="P151" s="103" t="s">
        <v>1559</v>
      </c>
      <c r="Q151" s="103" t="s">
        <v>2155</v>
      </c>
      <c r="R151" s="103" t="s">
        <v>2156</v>
      </c>
      <c r="U151" s="103">
        <v>205.2</v>
      </c>
      <c r="V151" s="103" t="s">
        <v>2158</v>
      </c>
      <c r="W151" s="103" t="s">
        <v>120</v>
      </c>
      <c r="X151" s="103" t="s">
        <v>1597</v>
      </c>
      <c r="Y151" s="103" t="s">
        <v>1685</v>
      </c>
      <c r="AA151" s="103" t="s">
        <v>305</v>
      </c>
      <c r="AB151" s="103" t="s">
        <v>68</v>
      </c>
      <c r="AC151" s="103" t="s">
        <v>1130</v>
      </c>
      <c r="AD151" s="103" t="s">
        <v>2391</v>
      </c>
      <c r="AE151" s="103" t="s">
        <v>1241</v>
      </c>
      <c r="AF151" s="103" t="b">
        <v>0</v>
      </c>
    </row>
    <row r="152" spans="1:32" hidden="1" x14ac:dyDescent="0.2">
      <c r="A152" s="103" t="s">
        <v>3861</v>
      </c>
      <c r="B152" s="103" t="s">
        <v>1636</v>
      </c>
      <c r="C152" s="103" t="s">
        <v>2395</v>
      </c>
      <c r="E152" s="103" t="s">
        <v>2208</v>
      </c>
      <c r="F152" s="103" t="s">
        <v>2162</v>
      </c>
      <c r="G152" s="103">
        <v>200</v>
      </c>
      <c r="H152" s="103" t="s">
        <v>2152</v>
      </c>
      <c r="I152" s="103" t="s">
        <v>2153</v>
      </c>
      <c r="K152" s="103">
        <v>50</v>
      </c>
      <c r="L152" s="103">
        <v>100</v>
      </c>
      <c r="M152" s="103">
        <v>50</v>
      </c>
      <c r="N152" s="103" t="s">
        <v>2163</v>
      </c>
      <c r="O152" s="103">
        <v>200</v>
      </c>
      <c r="P152" s="103" t="s">
        <v>1059</v>
      </c>
      <c r="Q152" s="103" t="s">
        <v>2155</v>
      </c>
      <c r="R152" s="103" t="s">
        <v>2156</v>
      </c>
      <c r="S152" s="103" t="s">
        <v>2396</v>
      </c>
      <c r="U152" s="103">
        <v>102.6</v>
      </c>
      <c r="V152" s="103" t="s">
        <v>2158</v>
      </c>
      <c r="W152" s="103" t="s">
        <v>114</v>
      </c>
      <c r="X152" s="103" t="s">
        <v>1597</v>
      </c>
      <c r="Y152" s="103" t="s">
        <v>1685</v>
      </c>
      <c r="AA152" s="103" t="s">
        <v>2156</v>
      </c>
      <c r="AB152" s="103" t="s">
        <v>68</v>
      </c>
      <c r="AC152" s="103" t="s">
        <v>2159</v>
      </c>
      <c r="AD152" s="103" t="s">
        <v>2397</v>
      </c>
      <c r="AE152" s="103" t="s">
        <v>766</v>
      </c>
      <c r="AF152" s="103" t="b">
        <v>1</v>
      </c>
    </row>
    <row r="153" spans="1:32" hidden="1" x14ac:dyDescent="0.2">
      <c r="A153" s="103" t="s">
        <v>3861</v>
      </c>
      <c r="B153" s="103" t="s">
        <v>1636</v>
      </c>
      <c r="C153" s="103" t="s">
        <v>2395</v>
      </c>
      <c r="E153" s="103" t="s">
        <v>2195</v>
      </c>
      <c r="F153" s="103" t="s">
        <v>2162</v>
      </c>
      <c r="G153" s="103">
        <v>180</v>
      </c>
      <c r="H153" s="103" t="s">
        <v>2152</v>
      </c>
      <c r="I153" s="103" t="s">
        <v>2153</v>
      </c>
      <c r="K153" s="103">
        <v>40</v>
      </c>
      <c r="L153" s="103">
        <v>50</v>
      </c>
      <c r="M153" s="103">
        <v>90</v>
      </c>
      <c r="N153" s="103" t="s">
        <v>2163</v>
      </c>
      <c r="O153" s="103">
        <v>180</v>
      </c>
      <c r="P153" s="103" t="s">
        <v>1059</v>
      </c>
      <c r="Q153" s="103" t="s">
        <v>2155</v>
      </c>
      <c r="R153" s="103" t="s">
        <v>2156</v>
      </c>
      <c r="S153" s="103" t="s">
        <v>2396</v>
      </c>
      <c r="U153" s="103">
        <v>92.34</v>
      </c>
      <c r="V153" s="103" t="s">
        <v>2158</v>
      </c>
      <c r="W153" s="103" t="s">
        <v>114</v>
      </c>
      <c r="X153" s="103" t="s">
        <v>1597</v>
      </c>
      <c r="Y153" s="103" t="s">
        <v>1685</v>
      </c>
      <c r="AA153" s="103" t="s">
        <v>2156</v>
      </c>
      <c r="AB153" s="103" t="s">
        <v>68</v>
      </c>
      <c r="AC153" s="103" t="s">
        <v>2159</v>
      </c>
      <c r="AD153" s="103" t="s">
        <v>2397</v>
      </c>
      <c r="AE153" s="103" t="s">
        <v>766</v>
      </c>
      <c r="AF153" s="103" t="b">
        <v>1</v>
      </c>
    </row>
    <row r="154" spans="1:32" hidden="1" x14ac:dyDescent="0.2">
      <c r="A154" s="103" t="s">
        <v>355</v>
      </c>
      <c r="B154" s="103" t="s">
        <v>1625</v>
      </c>
      <c r="C154" s="103" t="s">
        <v>2398</v>
      </c>
      <c r="E154" s="103" t="s">
        <v>2264</v>
      </c>
      <c r="F154" s="103" t="s">
        <v>2226</v>
      </c>
      <c r="G154" s="103">
        <v>500</v>
      </c>
      <c r="H154" s="103" t="s">
        <v>2152</v>
      </c>
      <c r="I154" s="103" t="s">
        <v>2153</v>
      </c>
      <c r="K154" s="103">
        <v>100</v>
      </c>
      <c r="L154" s="103">
        <v>200</v>
      </c>
      <c r="M154" s="103">
        <v>200</v>
      </c>
      <c r="N154" s="103" t="s">
        <v>2260</v>
      </c>
      <c r="O154" s="103">
        <v>500</v>
      </c>
      <c r="P154" s="103" t="s">
        <v>811</v>
      </c>
      <c r="Q154" s="103" t="s">
        <v>2296</v>
      </c>
      <c r="R154" s="103" t="s">
        <v>2220</v>
      </c>
      <c r="S154" s="103" t="s">
        <v>2157</v>
      </c>
      <c r="U154" s="103">
        <v>256.5</v>
      </c>
      <c r="V154" s="103" t="s">
        <v>2262</v>
      </c>
      <c r="W154" s="103" t="s">
        <v>108</v>
      </c>
      <c r="X154" s="103" t="s">
        <v>1597</v>
      </c>
      <c r="Y154" s="103" t="s">
        <v>1685</v>
      </c>
      <c r="AA154" s="103" t="s">
        <v>2220</v>
      </c>
      <c r="AB154" s="103" t="s">
        <v>71</v>
      </c>
      <c r="AE154" s="103" t="s">
        <v>810</v>
      </c>
      <c r="AF154" s="103" t="b">
        <v>1</v>
      </c>
    </row>
    <row r="155" spans="1:32" hidden="1" x14ac:dyDescent="0.2">
      <c r="A155" s="103" t="s">
        <v>355</v>
      </c>
      <c r="B155" s="103" t="s">
        <v>1625</v>
      </c>
      <c r="C155" s="103" t="s">
        <v>2399</v>
      </c>
      <c r="E155" s="103" t="s">
        <v>2256</v>
      </c>
      <c r="F155" s="103" t="s">
        <v>2162</v>
      </c>
      <c r="G155" s="103">
        <v>50</v>
      </c>
      <c r="H155" s="103" t="s">
        <v>2168</v>
      </c>
      <c r="I155" s="103" t="s">
        <v>2153</v>
      </c>
      <c r="K155" s="103">
        <v>50</v>
      </c>
      <c r="N155" s="103" t="s">
        <v>2273</v>
      </c>
      <c r="O155" s="103">
        <v>50</v>
      </c>
      <c r="P155" s="103" t="s">
        <v>811</v>
      </c>
      <c r="Q155" s="103" t="s">
        <v>2296</v>
      </c>
      <c r="R155" s="103" t="s">
        <v>2220</v>
      </c>
      <c r="S155" s="103" t="s">
        <v>2157</v>
      </c>
      <c r="U155" s="103">
        <v>25.65</v>
      </c>
      <c r="V155" s="103" t="s">
        <v>2262</v>
      </c>
      <c r="W155" s="103" t="s">
        <v>108</v>
      </c>
      <c r="X155" s="103" t="s">
        <v>1597</v>
      </c>
      <c r="Y155" s="103" t="s">
        <v>1685</v>
      </c>
      <c r="AA155" s="103" t="s">
        <v>2220</v>
      </c>
      <c r="AB155" s="103" t="s">
        <v>71</v>
      </c>
      <c r="AE155" s="103" t="s">
        <v>810</v>
      </c>
      <c r="AF155" s="103" t="b">
        <v>1</v>
      </c>
    </row>
    <row r="156" spans="1:32" hidden="1" x14ac:dyDescent="0.2">
      <c r="A156" s="103" t="s">
        <v>383</v>
      </c>
      <c r="B156" s="103" t="s">
        <v>382</v>
      </c>
      <c r="C156" s="103" t="s">
        <v>2400</v>
      </c>
      <c r="D156" s="103" t="s">
        <v>2401</v>
      </c>
      <c r="E156" s="103" t="s">
        <v>2195</v>
      </c>
      <c r="G156" s="103">
        <v>0</v>
      </c>
      <c r="H156" s="103" t="s">
        <v>2168</v>
      </c>
      <c r="I156" s="103" t="s">
        <v>2153</v>
      </c>
      <c r="K156" s="103">
        <v>0</v>
      </c>
      <c r="L156" s="103">
        <v>0</v>
      </c>
      <c r="N156" s="103" t="s">
        <v>2402</v>
      </c>
      <c r="O156" s="103">
        <v>0</v>
      </c>
      <c r="P156" s="103" t="s">
        <v>1059</v>
      </c>
      <c r="Q156" s="103" t="s">
        <v>2155</v>
      </c>
      <c r="R156" s="103" t="s">
        <v>2156</v>
      </c>
      <c r="S156" s="103" t="s">
        <v>2192</v>
      </c>
      <c r="U156" s="103">
        <v>0</v>
      </c>
      <c r="V156" s="103" t="s">
        <v>2262</v>
      </c>
      <c r="W156" s="103" t="s">
        <v>114</v>
      </c>
      <c r="X156" s="103" t="s">
        <v>1597</v>
      </c>
      <c r="Y156" s="103" t="s">
        <v>1685</v>
      </c>
      <c r="AA156" s="103" t="s">
        <v>2156</v>
      </c>
      <c r="AB156" s="103" t="s">
        <v>68</v>
      </c>
      <c r="AC156" s="103" t="s">
        <v>2159</v>
      </c>
      <c r="AD156" s="103" t="s">
        <v>2397</v>
      </c>
      <c r="AE156" s="103" t="s">
        <v>766</v>
      </c>
      <c r="AF156" s="103" t="b">
        <v>1</v>
      </c>
    </row>
    <row r="157" spans="1:32" hidden="1" x14ac:dyDescent="0.2">
      <c r="A157" s="103" t="s">
        <v>383</v>
      </c>
      <c r="B157" s="103" t="s">
        <v>382</v>
      </c>
      <c r="C157" s="103" t="s">
        <v>2403</v>
      </c>
      <c r="D157" s="103" t="s">
        <v>2404</v>
      </c>
      <c r="E157" s="103" t="s">
        <v>2195</v>
      </c>
      <c r="G157" s="103">
        <v>0</v>
      </c>
      <c r="H157" s="103" t="s">
        <v>2168</v>
      </c>
      <c r="I157" s="103" t="s">
        <v>2153</v>
      </c>
      <c r="L157" s="103">
        <v>0</v>
      </c>
      <c r="M157" s="103">
        <v>0</v>
      </c>
      <c r="N157" s="103" t="s">
        <v>2402</v>
      </c>
      <c r="O157" s="103">
        <v>0</v>
      </c>
      <c r="P157" s="103" t="s">
        <v>1059</v>
      </c>
      <c r="Q157" s="103" t="s">
        <v>2155</v>
      </c>
      <c r="R157" s="103" t="s">
        <v>2156</v>
      </c>
      <c r="S157" s="103" t="s">
        <v>2192</v>
      </c>
      <c r="U157" s="103">
        <v>0</v>
      </c>
      <c r="V157" s="103" t="s">
        <v>2262</v>
      </c>
      <c r="W157" s="103" t="s">
        <v>114</v>
      </c>
      <c r="X157" s="103" t="s">
        <v>1597</v>
      </c>
      <c r="Y157" s="103" t="s">
        <v>1685</v>
      </c>
      <c r="AA157" s="103" t="s">
        <v>2156</v>
      </c>
      <c r="AB157" s="103" t="s">
        <v>68</v>
      </c>
      <c r="AC157" s="103" t="s">
        <v>2159</v>
      </c>
      <c r="AD157" s="103" t="s">
        <v>2397</v>
      </c>
      <c r="AE157" s="103" t="s">
        <v>766</v>
      </c>
      <c r="AF157" s="103" t="b">
        <v>1</v>
      </c>
    </row>
    <row r="158" spans="1:32" hidden="1" x14ac:dyDescent="0.2">
      <c r="A158" s="103" t="s">
        <v>383</v>
      </c>
      <c r="B158" s="103" t="s">
        <v>382</v>
      </c>
      <c r="C158" s="103" t="s">
        <v>2400</v>
      </c>
      <c r="D158" s="103" t="s">
        <v>2405</v>
      </c>
      <c r="E158" s="103" t="s">
        <v>2406</v>
      </c>
      <c r="F158" s="103" t="s">
        <v>2175</v>
      </c>
      <c r="G158" s="103">
        <v>70</v>
      </c>
      <c r="H158" s="103" t="s">
        <v>2152</v>
      </c>
      <c r="I158" s="103" t="s">
        <v>2153</v>
      </c>
      <c r="K158" s="103">
        <v>10</v>
      </c>
      <c r="L158" s="103">
        <v>60</v>
      </c>
      <c r="N158" s="103" t="s">
        <v>2402</v>
      </c>
      <c r="O158" s="103">
        <v>70</v>
      </c>
      <c r="P158" s="103" t="s">
        <v>1059</v>
      </c>
      <c r="Q158" s="103" t="s">
        <v>2155</v>
      </c>
      <c r="R158" s="103" t="s">
        <v>2156</v>
      </c>
      <c r="S158" s="103" t="s">
        <v>2192</v>
      </c>
      <c r="U158" s="103">
        <v>35.909999999999997</v>
      </c>
      <c r="V158" s="103" t="s">
        <v>2262</v>
      </c>
      <c r="W158" s="103" t="s">
        <v>114</v>
      </c>
      <c r="X158" s="103" t="s">
        <v>1597</v>
      </c>
      <c r="Y158" s="103" t="s">
        <v>1685</v>
      </c>
      <c r="AA158" s="103" t="s">
        <v>2156</v>
      </c>
      <c r="AB158" s="103" t="s">
        <v>68</v>
      </c>
      <c r="AC158" s="103" t="s">
        <v>2159</v>
      </c>
      <c r="AD158" s="103" t="s">
        <v>2397</v>
      </c>
      <c r="AE158" s="103" t="s">
        <v>766</v>
      </c>
      <c r="AF158" s="103" t="b">
        <v>1</v>
      </c>
    </row>
    <row r="159" spans="1:32" hidden="1" x14ac:dyDescent="0.2">
      <c r="A159" s="103" t="s">
        <v>383</v>
      </c>
      <c r="B159" s="103" t="s">
        <v>382</v>
      </c>
      <c r="C159" s="103" t="s">
        <v>2403</v>
      </c>
      <c r="D159" s="103" t="s">
        <v>2405</v>
      </c>
      <c r="E159" s="103" t="s">
        <v>2406</v>
      </c>
      <c r="F159" s="103" t="s">
        <v>2175</v>
      </c>
      <c r="G159" s="103">
        <v>70</v>
      </c>
      <c r="H159" s="103" t="s">
        <v>2152</v>
      </c>
      <c r="I159" s="103" t="s">
        <v>2153</v>
      </c>
      <c r="L159" s="103">
        <v>20</v>
      </c>
      <c r="M159" s="103">
        <v>50</v>
      </c>
      <c r="N159" s="103" t="s">
        <v>2402</v>
      </c>
      <c r="O159" s="103">
        <v>70</v>
      </c>
      <c r="P159" s="103" t="s">
        <v>1059</v>
      </c>
      <c r="Q159" s="103" t="s">
        <v>2155</v>
      </c>
      <c r="R159" s="103" t="s">
        <v>2156</v>
      </c>
      <c r="S159" s="103" t="s">
        <v>2192</v>
      </c>
      <c r="U159" s="103">
        <v>35.909999999999997</v>
      </c>
      <c r="V159" s="103" t="s">
        <v>2262</v>
      </c>
      <c r="W159" s="103" t="s">
        <v>114</v>
      </c>
      <c r="X159" s="103" t="s">
        <v>1597</v>
      </c>
      <c r="Y159" s="103" t="s">
        <v>1685</v>
      </c>
      <c r="AA159" s="103" t="s">
        <v>2156</v>
      </c>
      <c r="AB159" s="103" t="s">
        <v>68</v>
      </c>
      <c r="AC159" s="103" t="s">
        <v>2159</v>
      </c>
      <c r="AD159" s="103" t="s">
        <v>2397</v>
      </c>
      <c r="AE159" s="103" t="s">
        <v>766</v>
      </c>
      <c r="AF159" s="103" t="b">
        <v>1</v>
      </c>
    </row>
    <row r="160" spans="1:32" hidden="1" x14ac:dyDescent="0.2">
      <c r="A160" s="103" t="s">
        <v>383</v>
      </c>
      <c r="B160" s="103" t="s">
        <v>382</v>
      </c>
      <c r="C160" s="103" t="s">
        <v>2403</v>
      </c>
      <c r="E160" s="103" t="s">
        <v>2174</v>
      </c>
      <c r="G160" s="103">
        <v>500</v>
      </c>
      <c r="H160" s="103" t="s">
        <v>2152</v>
      </c>
      <c r="I160" s="103" t="s">
        <v>2153</v>
      </c>
      <c r="L160" s="103">
        <v>300</v>
      </c>
      <c r="M160" s="103">
        <v>200</v>
      </c>
      <c r="N160" s="103" t="s">
        <v>2402</v>
      </c>
      <c r="O160" s="103">
        <v>500</v>
      </c>
      <c r="P160" s="103" t="s">
        <v>1059</v>
      </c>
      <c r="Q160" s="103" t="s">
        <v>2155</v>
      </c>
      <c r="R160" s="103" t="s">
        <v>2156</v>
      </c>
      <c r="S160" s="103" t="s">
        <v>2192</v>
      </c>
      <c r="U160" s="103">
        <v>256.5</v>
      </c>
      <c r="V160" s="103" t="s">
        <v>2262</v>
      </c>
      <c r="W160" s="103" t="s">
        <v>114</v>
      </c>
      <c r="X160" s="103" t="s">
        <v>1597</v>
      </c>
      <c r="Y160" s="103" t="s">
        <v>1685</v>
      </c>
      <c r="AA160" s="103" t="s">
        <v>2156</v>
      </c>
      <c r="AB160" s="103" t="s">
        <v>68</v>
      </c>
      <c r="AC160" s="103" t="s">
        <v>2159</v>
      </c>
      <c r="AD160" s="103" t="s">
        <v>2397</v>
      </c>
      <c r="AE160" s="103" t="s">
        <v>766</v>
      </c>
      <c r="AF160" s="103" t="b">
        <v>1</v>
      </c>
    </row>
    <row r="161" spans="1:32" hidden="1" x14ac:dyDescent="0.2">
      <c r="A161" s="103" t="s">
        <v>383</v>
      </c>
      <c r="B161" s="103" t="s">
        <v>382</v>
      </c>
      <c r="C161" s="103" t="s">
        <v>2400</v>
      </c>
      <c r="E161" s="103" t="s">
        <v>2174</v>
      </c>
      <c r="G161" s="103">
        <v>500</v>
      </c>
      <c r="H161" s="103" t="s">
        <v>2152</v>
      </c>
      <c r="I161" s="103" t="s">
        <v>2153</v>
      </c>
      <c r="K161" s="103">
        <v>50</v>
      </c>
      <c r="L161" s="103">
        <v>450</v>
      </c>
      <c r="N161" s="103" t="s">
        <v>2402</v>
      </c>
      <c r="O161" s="103">
        <v>500</v>
      </c>
      <c r="P161" s="103" t="s">
        <v>1059</v>
      </c>
      <c r="Q161" s="103" t="s">
        <v>2155</v>
      </c>
      <c r="R161" s="103" t="s">
        <v>2156</v>
      </c>
      <c r="S161" s="103" t="s">
        <v>2192</v>
      </c>
      <c r="U161" s="103">
        <v>256.5</v>
      </c>
      <c r="V161" s="103" t="s">
        <v>2262</v>
      </c>
      <c r="W161" s="103" t="s">
        <v>114</v>
      </c>
      <c r="X161" s="103" t="s">
        <v>1597</v>
      </c>
      <c r="Y161" s="103" t="s">
        <v>1685</v>
      </c>
      <c r="AA161" s="103" t="s">
        <v>2156</v>
      </c>
      <c r="AB161" s="103" t="s">
        <v>68</v>
      </c>
      <c r="AC161" s="103" t="s">
        <v>2159</v>
      </c>
      <c r="AD161" s="103" t="s">
        <v>2397</v>
      </c>
      <c r="AE161" s="103" t="s">
        <v>766</v>
      </c>
      <c r="AF161" s="103" t="b">
        <v>1</v>
      </c>
    </row>
    <row r="162" spans="1:32" hidden="1" x14ac:dyDescent="0.2">
      <c r="A162" s="103" t="s">
        <v>383</v>
      </c>
      <c r="B162" s="103" t="s">
        <v>382</v>
      </c>
      <c r="C162" s="103" t="s">
        <v>2400</v>
      </c>
      <c r="E162" s="103" t="s">
        <v>2195</v>
      </c>
      <c r="G162" s="103">
        <v>300</v>
      </c>
      <c r="H162" s="103" t="s">
        <v>2152</v>
      </c>
      <c r="I162" s="103" t="s">
        <v>2153</v>
      </c>
      <c r="K162" s="103">
        <v>50</v>
      </c>
      <c r="L162" s="103">
        <v>250</v>
      </c>
      <c r="N162" s="103" t="s">
        <v>2402</v>
      </c>
      <c r="O162" s="103">
        <v>300</v>
      </c>
      <c r="P162" s="103" t="s">
        <v>1059</v>
      </c>
      <c r="Q162" s="103" t="s">
        <v>2155</v>
      </c>
      <c r="R162" s="103" t="s">
        <v>2156</v>
      </c>
      <c r="S162" s="103" t="s">
        <v>2192</v>
      </c>
      <c r="U162" s="103">
        <v>153.9</v>
      </c>
      <c r="V162" s="103" t="s">
        <v>2262</v>
      </c>
      <c r="W162" s="103" t="s">
        <v>114</v>
      </c>
      <c r="X162" s="103" t="s">
        <v>1597</v>
      </c>
      <c r="Y162" s="103" t="s">
        <v>1685</v>
      </c>
      <c r="AA162" s="103" t="s">
        <v>2156</v>
      </c>
      <c r="AB162" s="103" t="s">
        <v>68</v>
      </c>
      <c r="AC162" s="103" t="s">
        <v>2197</v>
      </c>
      <c r="AD162" s="103" t="s">
        <v>2397</v>
      </c>
      <c r="AE162" s="103" t="s">
        <v>766</v>
      </c>
      <c r="AF162" s="103" t="b">
        <v>1</v>
      </c>
    </row>
    <row r="163" spans="1:32" hidden="1" x14ac:dyDescent="0.2">
      <c r="A163" s="103" t="s">
        <v>383</v>
      </c>
      <c r="B163" s="103" t="s">
        <v>382</v>
      </c>
      <c r="C163" s="103" t="s">
        <v>2400</v>
      </c>
      <c r="E163" s="103" t="s">
        <v>2196</v>
      </c>
      <c r="G163" s="103">
        <v>250</v>
      </c>
      <c r="H163" s="103" t="s">
        <v>2152</v>
      </c>
      <c r="I163" s="103" t="s">
        <v>2153</v>
      </c>
      <c r="K163" s="103">
        <v>50</v>
      </c>
      <c r="L163" s="103">
        <v>200</v>
      </c>
      <c r="N163" s="103" t="s">
        <v>2402</v>
      </c>
      <c r="O163" s="103">
        <v>250</v>
      </c>
      <c r="P163" s="103" t="s">
        <v>1059</v>
      </c>
      <c r="Q163" s="103" t="s">
        <v>2155</v>
      </c>
      <c r="R163" s="103" t="s">
        <v>121</v>
      </c>
      <c r="S163" s="103" t="s">
        <v>2192</v>
      </c>
      <c r="U163" s="103">
        <v>128.25</v>
      </c>
      <c r="V163" s="103" t="s">
        <v>2262</v>
      </c>
      <c r="W163" s="103" t="s">
        <v>121</v>
      </c>
      <c r="X163" s="103" t="s">
        <v>1597</v>
      </c>
      <c r="Y163" s="103" t="s">
        <v>1685</v>
      </c>
      <c r="AA163" s="103" t="s">
        <v>121</v>
      </c>
      <c r="AB163" s="103" t="s">
        <v>68</v>
      </c>
      <c r="AC163" s="103" t="s">
        <v>2197</v>
      </c>
      <c r="AD163" s="103" t="s">
        <v>2397</v>
      </c>
      <c r="AE163" s="103" t="s">
        <v>766</v>
      </c>
      <c r="AF163" s="103" t="b">
        <v>1</v>
      </c>
    </row>
    <row r="164" spans="1:32" hidden="1" x14ac:dyDescent="0.2">
      <c r="A164" s="103" t="s">
        <v>383</v>
      </c>
      <c r="B164" s="103" t="s">
        <v>382</v>
      </c>
      <c r="C164" s="103" t="s">
        <v>2403</v>
      </c>
      <c r="E164" s="103" t="s">
        <v>2195</v>
      </c>
      <c r="G164" s="103">
        <v>300</v>
      </c>
      <c r="H164" s="103" t="s">
        <v>2152</v>
      </c>
      <c r="I164" s="103" t="s">
        <v>2153</v>
      </c>
      <c r="L164" s="103">
        <v>50</v>
      </c>
      <c r="M164" s="103">
        <v>250</v>
      </c>
      <c r="N164" s="103" t="s">
        <v>2402</v>
      </c>
      <c r="O164" s="103">
        <v>300</v>
      </c>
      <c r="P164" s="103" t="s">
        <v>1059</v>
      </c>
      <c r="Q164" s="103" t="s">
        <v>2155</v>
      </c>
      <c r="R164" s="103" t="s">
        <v>2156</v>
      </c>
      <c r="S164" s="103" t="s">
        <v>2192</v>
      </c>
      <c r="U164" s="103">
        <v>153.9</v>
      </c>
      <c r="V164" s="103" t="s">
        <v>2262</v>
      </c>
      <c r="W164" s="103" t="s">
        <v>114</v>
      </c>
      <c r="X164" s="103" t="s">
        <v>1597</v>
      </c>
      <c r="Y164" s="103" t="s">
        <v>1685</v>
      </c>
      <c r="AA164" s="103" t="s">
        <v>2156</v>
      </c>
      <c r="AB164" s="103" t="s">
        <v>68</v>
      </c>
      <c r="AC164" s="103" t="s">
        <v>2159</v>
      </c>
      <c r="AD164" s="103" t="s">
        <v>2397</v>
      </c>
      <c r="AE164" s="103" t="s">
        <v>766</v>
      </c>
      <c r="AF164" s="103" t="b">
        <v>1</v>
      </c>
    </row>
    <row r="165" spans="1:32" hidden="1" x14ac:dyDescent="0.2">
      <c r="A165" s="103" t="s">
        <v>383</v>
      </c>
      <c r="B165" s="103" t="s">
        <v>382</v>
      </c>
      <c r="C165" s="103" t="s">
        <v>2403</v>
      </c>
      <c r="E165" s="103" t="s">
        <v>2196</v>
      </c>
      <c r="G165" s="103">
        <v>250</v>
      </c>
      <c r="H165" s="103" t="s">
        <v>2152</v>
      </c>
      <c r="I165" s="103" t="s">
        <v>2153</v>
      </c>
      <c r="L165" s="103">
        <v>50</v>
      </c>
      <c r="M165" s="103">
        <v>200</v>
      </c>
      <c r="N165" s="103" t="s">
        <v>2402</v>
      </c>
      <c r="O165" s="103">
        <v>250</v>
      </c>
      <c r="P165" s="103" t="s">
        <v>1059</v>
      </c>
      <c r="Q165" s="103" t="s">
        <v>2155</v>
      </c>
      <c r="R165" s="103" t="s">
        <v>121</v>
      </c>
      <c r="S165" s="103" t="s">
        <v>2192</v>
      </c>
      <c r="U165" s="103">
        <v>128.25</v>
      </c>
      <c r="V165" s="103" t="s">
        <v>2262</v>
      </c>
      <c r="W165" s="103" t="s">
        <v>121</v>
      </c>
      <c r="X165" s="103" t="s">
        <v>1597</v>
      </c>
      <c r="Y165" s="103" t="s">
        <v>1685</v>
      </c>
      <c r="AA165" s="103" t="s">
        <v>121</v>
      </c>
      <c r="AB165" s="103" t="s">
        <v>68</v>
      </c>
      <c r="AC165" s="103" t="s">
        <v>2197</v>
      </c>
      <c r="AD165" s="103" t="s">
        <v>2397</v>
      </c>
      <c r="AE165" s="103" t="s">
        <v>766</v>
      </c>
      <c r="AF165" s="103" t="b">
        <v>1</v>
      </c>
    </row>
    <row r="166" spans="1:32" hidden="1" x14ac:dyDescent="0.2">
      <c r="A166" s="103" t="s">
        <v>383</v>
      </c>
      <c r="B166" s="103" t="s">
        <v>382</v>
      </c>
      <c r="C166" s="103" t="s">
        <v>2400</v>
      </c>
      <c r="E166" s="103" t="s">
        <v>2191</v>
      </c>
      <c r="F166" s="103" t="s">
        <v>2151</v>
      </c>
      <c r="G166" s="103">
        <v>100</v>
      </c>
      <c r="H166" s="103" t="s">
        <v>2168</v>
      </c>
      <c r="I166" s="103" t="s">
        <v>2153</v>
      </c>
      <c r="K166" s="103">
        <v>50</v>
      </c>
      <c r="L166" s="103">
        <v>50</v>
      </c>
      <c r="N166" s="103" t="s">
        <v>2402</v>
      </c>
      <c r="O166" s="103">
        <v>100</v>
      </c>
      <c r="P166" s="103" t="s">
        <v>771</v>
      </c>
      <c r="Q166" s="103" t="s">
        <v>2155</v>
      </c>
      <c r="R166" s="103" t="s">
        <v>2164</v>
      </c>
      <c r="S166" s="103" t="s">
        <v>2192</v>
      </c>
      <c r="U166" s="103">
        <v>60</v>
      </c>
      <c r="V166" s="103" t="s">
        <v>2262</v>
      </c>
      <c r="W166" s="103" t="s">
        <v>132</v>
      </c>
      <c r="X166" s="103" t="s">
        <v>1597</v>
      </c>
      <c r="Y166" s="103" t="s">
        <v>1685</v>
      </c>
      <c r="AA166" s="103" t="s">
        <v>2164</v>
      </c>
      <c r="AB166" s="103" t="s">
        <v>68</v>
      </c>
      <c r="AC166" s="103" t="s">
        <v>2193</v>
      </c>
      <c r="AD166" s="103" t="s">
        <v>2203</v>
      </c>
      <c r="AE166" s="103" t="s">
        <v>766</v>
      </c>
      <c r="AF166" s="103" t="b">
        <v>1</v>
      </c>
    </row>
    <row r="167" spans="1:32" hidden="1" x14ac:dyDescent="0.2">
      <c r="A167" s="103" t="s">
        <v>383</v>
      </c>
      <c r="B167" s="103" t="s">
        <v>382</v>
      </c>
      <c r="C167" s="103" t="s">
        <v>2403</v>
      </c>
      <c r="E167" s="103" t="s">
        <v>2191</v>
      </c>
      <c r="F167" s="103" t="s">
        <v>2151</v>
      </c>
      <c r="G167" s="103">
        <v>100</v>
      </c>
      <c r="H167" s="103" t="s">
        <v>2168</v>
      </c>
      <c r="I167" s="103" t="s">
        <v>2153</v>
      </c>
      <c r="K167" s="103">
        <v>50</v>
      </c>
      <c r="L167" s="103">
        <v>50</v>
      </c>
      <c r="N167" s="103" t="s">
        <v>2402</v>
      </c>
      <c r="O167" s="103">
        <v>100</v>
      </c>
      <c r="P167" s="103" t="s">
        <v>771</v>
      </c>
      <c r="Q167" s="103" t="s">
        <v>2155</v>
      </c>
      <c r="R167" s="103" t="s">
        <v>2164</v>
      </c>
      <c r="S167" s="103" t="s">
        <v>2192</v>
      </c>
      <c r="U167" s="103">
        <v>60</v>
      </c>
      <c r="V167" s="103" t="s">
        <v>2262</v>
      </c>
      <c r="W167" s="103" t="s">
        <v>132</v>
      </c>
      <c r="X167" s="103" t="s">
        <v>1597</v>
      </c>
      <c r="Y167" s="103" t="s">
        <v>1685</v>
      </c>
      <c r="AA167" s="103" t="s">
        <v>2164</v>
      </c>
      <c r="AB167" s="103" t="s">
        <v>68</v>
      </c>
      <c r="AC167" s="103" t="s">
        <v>2193</v>
      </c>
      <c r="AD167" s="103" t="s">
        <v>2203</v>
      </c>
      <c r="AE167" s="103" t="s">
        <v>766</v>
      </c>
      <c r="AF167" s="103" t="b">
        <v>1</v>
      </c>
    </row>
    <row r="168" spans="1:32" hidden="1" x14ac:dyDescent="0.2">
      <c r="A168" s="103" t="s">
        <v>383</v>
      </c>
      <c r="B168" s="103" t="s">
        <v>382</v>
      </c>
      <c r="C168" s="103" t="s">
        <v>2400</v>
      </c>
      <c r="E168" s="103" t="s">
        <v>2204</v>
      </c>
      <c r="F168" s="103" t="s">
        <v>2202</v>
      </c>
      <c r="G168" s="103">
        <v>200</v>
      </c>
      <c r="H168" s="103" t="s">
        <v>2168</v>
      </c>
      <c r="I168" s="103" t="s">
        <v>2153</v>
      </c>
      <c r="J168" s="103">
        <v>50</v>
      </c>
      <c r="K168" s="103">
        <v>50</v>
      </c>
      <c r="L168" s="103">
        <v>50</v>
      </c>
      <c r="M168" s="103">
        <v>50</v>
      </c>
      <c r="N168" s="103" t="s">
        <v>2402</v>
      </c>
      <c r="O168" s="103">
        <v>200</v>
      </c>
      <c r="P168" s="103" t="s">
        <v>771</v>
      </c>
      <c r="Q168" s="103" t="s">
        <v>2155</v>
      </c>
      <c r="R168" s="103" t="s">
        <v>2164</v>
      </c>
      <c r="S168" s="103" t="s">
        <v>2192</v>
      </c>
      <c r="U168" s="103">
        <v>120</v>
      </c>
      <c r="V168" s="103" t="s">
        <v>2262</v>
      </c>
      <c r="W168" s="103" t="s">
        <v>132</v>
      </c>
      <c r="X168" s="103" t="s">
        <v>1597</v>
      </c>
      <c r="Y168" s="103" t="s">
        <v>1685</v>
      </c>
      <c r="AA168" s="103" t="s">
        <v>2164</v>
      </c>
      <c r="AB168" s="103" t="s">
        <v>68</v>
      </c>
      <c r="AC168" s="103" t="s">
        <v>2193</v>
      </c>
      <c r="AD168" s="103" t="s">
        <v>2203</v>
      </c>
      <c r="AE168" s="103" t="s">
        <v>766</v>
      </c>
      <c r="AF168" s="103" t="b">
        <v>1</v>
      </c>
    </row>
    <row r="169" spans="1:32" hidden="1" x14ac:dyDescent="0.2">
      <c r="A169" s="103" t="s">
        <v>383</v>
      </c>
      <c r="B169" s="103" t="s">
        <v>382</v>
      </c>
      <c r="C169" s="103" t="s">
        <v>2403</v>
      </c>
      <c r="E169" s="103" t="s">
        <v>2204</v>
      </c>
      <c r="F169" s="103" t="s">
        <v>2202</v>
      </c>
      <c r="G169" s="103">
        <v>200</v>
      </c>
      <c r="H169" s="103" t="s">
        <v>2168</v>
      </c>
      <c r="I169" s="103" t="s">
        <v>2153</v>
      </c>
      <c r="J169" s="103">
        <v>50</v>
      </c>
      <c r="K169" s="103">
        <v>50</v>
      </c>
      <c r="L169" s="103">
        <v>50</v>
      </c>
      <c r="M169" s="103">
        <v>50</v>
      </c>
      <c r="N169" s="103" t="s">
        <v>2402</v>
      </c>
      <c r="O169" s="103">
        <v>200</v>
      </c>
      <c r="P169" s="103" t="s">
        <v>771</v>
      </c>
      <c r="Q169" s="103" t="s">
        <v>2155</v>
      </c>
      <c r="R169" s="103" t="s">
        <v>2164</v>
      </c>
      <c r="S169" s="103" t="s">
        <v>2192</v>
      </c>
      <c r="U169" s="103">
        <v>120</v>
      </c>
      <c r="V169" s="103" t="s">
        <v>2262</v>
      </c>
      <c r="W169" s="103" t="s">
        <v>132</v>
      </c>
      <c r="X169" s="103" t="s">
        <v>1597</v>
      </c>
      <c r="Y169" s="103" t="s">
        <v>1685</v>
      </c>
      <c r="AA169" s="103" t="s">
        <v>2164</v>
      </c>
      <c r="AB169" s="103" t="s">
        <v>68</v>
      </c>
      <c r="AC169" s="103" t="s">
        <v>2193</v>
      </c>
      <c r="AD169" s="103" t="s">
        <v>2203</v>
      </c>
      <c r="AE169" s="103" t="s">
        <v>766</v>
      </c>
      <c r="AF169" s="103" t="b">
        <v>1</v>
      </c>
    </row>
    <row r="170" spans="1:32" hidden="1" x14ac:dyDescent="0.2">
      <c r="A170" s="103" t="s">
        <v>386</v>
      </c>
      <c r="B170" s="103" t="s">
        <v>385</v>
      </c>
      <c r="D170" s="103" t="s">
        <v>2407</v>
      </c>
      <c r="E170" s="103" t="s">
        <v>957</v>
      </c>
      <c r="G170" s="103">
        <v>452</v>
      </c>
      <c r="H170" s="103" t="s">
        <v>2152</v>
      </c>
      <c r="I170" s="103" t="s">
        <v>2153</v>
      </c>
      <c r="J170" s="103">
        <v>113</v>
      </c>
      <c r="K170" s="103">
        <v>113</v>
      </c>
      <c r="L170" s="103">
        <v>113</v>
      </c>
      <c r="M170" s="103">
        <v>113</v>
      </c>
      <c r="N170" s="103" t="s">
        <v>2163</v>
      </c>
      <c r="O170" s="103">
        <v>452</v>
      </c>
      <c r="P170" s="103" t="s">
        <v>1639</v>
      </c>
      <c r="Q170" s="103" t="s">
        <v>2155</v>
      </c>
      <c r="R170" s="103" t="s">
        <v>2225</v>
      </c>
      <c r="S170" s="103" t="s">
        <v>2238</v>
      </c>
      <c r="U170" s="103">
        <v>231.876</v>
      </c>
      <c r="V170" s="103" t="s">
        <v>2158</v>
      </c>
      <c r="W170" s="103" t="s">
        <v>113</v>
      </c>
      <c r="X170" s="103" t="s">
        <v>1597</v>
      </c>
      <c r="Y170" s="103" t="s">
        <v>1685</v>
      </c>
      <c r="AA170" s="103" t="s">
        <v>2225</v>
      </c>
      <c r="AB170" s="103" t="s">
        <v>64</v>
      </c>
      <c r="AE170" s="103" t="s">
        <v>933</v>
      </c>
      <c r="AF170" s="103" t="b">
        <v>1</v>
      </c>
    </row>
    <row r="171" spans="1:32" hidden="1" x14ac:dyDescent="0.2">
      <c r="A171" s="103" t="s">
        <v>388</v>
      </c>
      <c r="B171" s="103" t="s">
        <v>387</v>
      </c>
      <c r="D171" s="103" t="s">
        <v>2408</v>
      </c>
      <c r="E171" s="103" t="s">
        <v>957</v>
      </c>
      <c r="G171" s="103">
        <v>591</v>
      </c>
      <c r="H171" s="103" t="s">
        <v>2152</v>
      </c>
      <c r="I171" s="103" t="s">
        <v>2153</v>
      </c>
      <c r="J171" s="103">
        <v>113</v>
      </c>
      <c r="K171" s="103">
        <v>159.33000000000001</v>
      </c>
      <c r="L171" s="103">
        <v>159.33000000000001</v>
      </c>
      <c r="M171" s="103">
        <v>159.34</v>
      </c>
      <c r="N171" s="103" t="s">
        <v>2163</v>
      </c>
      <c r="O171" s="103">
        <v>591.00000000000011</v>
      </c>
      <c r="P171" s="103" t="s">
        <v>1639</v>
      </c>
      <c r="Q171" s="103" t="s">
        <v>2155</v>
      </c>
      <c r="R171" s="103" t="s">
        <v>2225</v>
      </c>
      <c r="S171" s="103" t="s">
        <v>2192</v>
      </c>
      <c r="U171" s="103">
        <v>303.18299999999999</v>
      </c>
      <c r="V171" s="103" t="s">
        <v>2158</v>
      </c>
      <c r="W171" s="103" t="s">
        <v>113</v>
      </c>
      <c r="X171" s="103" t="s">
        <v>1597</v>
      </c>
      <c r="Y171" s="103" t="s">
        <v>1685</v>
      </c>
      <c r="AA171" s="103" t="s">
        <v>2225</v>
      </c>
      <c r="AB171" s="103" t="s">
        <v>64</v>
      </c>
      <c r="AE171" s="103" t="s">
        <v>933</v>
      </c>
      <c r="AF171" s="103" t="b">
        <v>1</v>
      </c>
    </row>
    <row r="172" spans="1:32" hidden="1" x14ac:dyDescent="0.2">
      <c r="A172" s="103" t="s">
        <v>388</v>
      </c>
      <c r="B172" s="103" t="s">
        <v>387</v>
      </c>
      <c r="D172" s="103" t="s">
        <v>2409</v>
      </c>
      <c r="E172" s="103" t="s">
        <v>957</v>
      </c>
      <c r="G172" s="103">
        <v>113</v>
      </c>
      <c r="H172" s="103" t="s">
        <v>2152</v>
      </c>
      <c r="I172" s="103" t="s">
        <v>2153</v>
      </c>
      <c r="J172" s="103">
        <v>113</v>
      </c>
      <c r="N172" s="103" t="s">
        <v>2163</v>
      </c>
      <c r="O172" s="103">
        <v>113</v>
      </c>
      <c r="P172" s="103" t="s">
        <v>1639</v>
      </c>
      <c r="Q172" s="103" t="s">
        <v>2155</v>
      </c>
      <c r="R172" s="103" t="s">
        <v>2225</v>
      </c>
      <c r="S172" s="103" t="s">
        <v>2192</v>
      </c>
      <c r="U172" s="103">
        <v>57.969000000000001</v>
      </c>
      <c r="V172" s="103" t="s">
        <v>2158</v>
      </c>
      <c r="W172" s="103" t="s">
        <v>113</v>
      </c>
      <c r="X172" s="103" t="s">
        <v>1597</v>
      </c>
      <c r="Y172" s="103" t="s">
        <v>1685</v>
      </c>
      <c r="AA172" s="103" t="s">
        <v>2225</v>
      </c>
      <c r="AB172" s="103" t="s">
        <v>64</v>
      </c>
      <c r="AE172" s="103" t="s">
        <v>933</v>
      </c>
      <c r="AF172" s="103" t="b">
        <v>1</v>
      </c>
    </row>
    <row r="173" spans="1:32" hidden="1" x14ac:dyDescent="0.2">
      <c r="A173" s="103" t="s">
        <v>390</v>
      </c>
      <c r="B173" s="103" t="s">
        <v>389</v>
      </c>
      <c r="D173" s="103" t="s">
        <v>2410</v>
      </c>
      <c r="E173" s="103" t="s">
        <v>935</v>
      </c>
      <c r="G173" s="103">
        <v>539</v>
      </c>
      <c r="H173" s="103" t="s">
        <v>2152</v>
      </c>
      <c r="I173" s="103" t="s">
        <v>2153</v>
      </c>
      <c r="J173" s="103">
        <v>134.75</v>
      </c>
      <c r="K173" s="103">
        <v>134.75</v>
      </c>
      <c r="L173" s="103">
        <v>134.75</v>
      </c>
      <c r="M173" s="103">
        <v>134.75</v>
      </c>
      <c r="N173" s="103" t="s">
        <v>2163</v>
      </c>
      <c r="O173" s="103">
        <v>539</v>
      </c>
      <c r="P173" s="103" t="s">
        <v>1639</v>
      </c>
      <c r="Q173" s="103" t="s">
        <v>2155</v>
      </c>
      <c r="R173" s="103" t="s">
        <v>2225</v>
      </c>
      <c r="S173" s="103" t="s">
        <v>2192</v>
      </c>
      <c r="U173" s="103">
        <v>276.50700000000001</v>
      </c>
      <c r="V173" s="103" t="s">
        <v>2158</v>
      </c>
      <c r="W173" s="103" t="s">
        <v>113</v>
      </c>
      <c r="X173" s="103" t="s">
        <v>1597</v>
      </c>
      <c r="Y173" s="103" t="s">
        <v>1685</v>
      </c>
      <c r="AA173" s="103" t="s">
        <v>2225</v>
      </c>
      <c r="AB173" s="103" t="s">
        <v>64</v>
      </c>
      <c r="AE173" s="103" t="s">
        <v>933</v>
      </c>
      <c r="AF173" s="103" t="b">
        <v>1</v>
      </c>
    </row>
    <row r="174" spans="1:32" hidden="1" x14ac:dyDescent="0.2">
      <c r="A174" s="103" t="s">
        <v>390</v>
      </c>
      <c r="B174" s="103" t="s">
        <v>389</v>
      </c>
      <c r="D174" s="103" t="s">
        <v>2409</v>
      </c>
      <c r="E174" s="103" t="s">
        <v>935</v>
      </c>
      <c r="G174" s="103">
        <v>113</v>
      </c>
      <c r="H174" s="103" t="s">
        <v>2152</v>
      </c>
      <c r="I174" s="103" t="s">
        <v>2153</v>
      </c>
      <c r="J174" s="103">
        <v>113</v>
      </c>
      <c r="N174" s="103" t="s">
        <v>2163</v>
      </c>
      <c r="O174" s="103">
        <v>113</v>
      </c>
      <c r="P174" s="103" t="s">
        <v>1639</v>
      </c>
      <c r="Q174" s="103" t="s">
        <v>2155</v>
      </c>
      <c r="R174" s="103" t="s">
        <v>2225</v>
      </c>
      <c r="S174" s="103" t="s">
        <v>2192</v>
      </c>
      <c r="U174" s="103">
        <v>57.969000000000001</v>
      </c>
      <c r="V174" s="103" t="s">
        <v>2158</v>
      </c>
      <c r="W174" s="103" t="s">
        <v>113</v>
      </c>
      <c r="X174" s="103" t="s">
        <v>1597</v>
      </c>
      <c r="Y174" s="103" t="s">
        <v>1685</v>
      </c>
      <c r="AA174" s="103" t="s">
        <v>2225</v>
      </c>
      <c r="AB174" s="103" t="s">
        <v>64</v>
      </c>
      <c r="AE174" s="103" t="s">
        <v>933</v>
      </c>
      <c r="AF174" s="103" t="b">
        <v>1</v>
      </c>
    </row>
    <row r="175" spans="1:32" hidden="1" x14ac:dyDescent="0.2">
      <c r="A175" s="103" t="s">
        <v>392</v>
      </c>
      <c r="B175" s="103" t="s">
        <v>391</v>
      </c>
      <c r="D175" s="103" t="s">
        <v>2411</v>
      </c>
      <c r="E175" s="103" t="s">
        <v>935</v>
      </c>
      <c r="G175" s="103">
        <v>282.5</v>
      </c>
      <c r="H175" s="103" t="s">
        <v>2152</v>
      </c>
      <c r="I175" s="103" t="s">
        <v>2153</v>
      </c>
      <c r="J175" s="103">
        <v>70.599999999999994</v>
      </c>
      <c r="K175" s="103">
        <v>70.599999999999994</v>
      </c>
      <c r="L175" s="103">
        <v>70.599999999999994</v>
      </c>
      <c r="M175" s="103">
        <v>70.7</v>
      </c>
      <c r="N175" s="103" t="s">
        <v>2163</v>
      </c>
      <c r="O175" s="103">
        <v>282.5</v>
      </c>
      <c r="P175" s="103" t="s">
        <v>1639</v>
      </c>
      <c r="Q175" s="103" t="s">
        <v>2155</v>
      </c>
      <c r="R175" s="103" t="s">
        <v>2225</v>
      </c>
      <c r="S175" s="103" t="s">
        <v>2238</v>
      </c>
      <c r="U175" s="103">
        <v>144.92250000000001</v>
      </c>
      <c r="V175" s="103" t="s">
        <v>2158</v>
      </c>
      <c r="W175" s="103" t="s">
        <v>113</v>
      </c>
      <c r="X175" s="103" t="s">
        <v>1597</v>
      </c>
      <c r="Y175" s="103" t="s">
        <v>1685</v>
      </c>
      <c r="AA175" s="103" t="s">
        <v>2225</v>
      </c>
      <c r="AB175" s="103" t="s">
        <v>64</v>
      </c>
      <c r="AE175" s="103" t="s">
        <v>933</v>
      </c>
      <c r="AF175" s="103" t="b">
        <v>1</v>
      </c>
    </row>
    <row r="176" spans="1:32" hidden="1" x14ac:dyDescent="0.2">
      <c r="A176" s="103" t="s">
        <v>3817</v>
      </c>
      <c r="B176" s="103" t="s">
        <v>3816</v>
      </c>
      <c r="C176" s="103" t="s">
        <v>2412</v>
      </c>
      <c r="D176" s="103" t="s">
        <v>2413</v>
      </c>
      <c r="E176" s="103" t="s">
        <v>2196</v>
      </c>
      <c r="G176" s="103">
        <v>400</v>
      </c>
      <c r="H176" s="103" t="s">
        <v>2152</v>
      </c>
      <c r="I176" s="103" t="s">
        <v>2153</v>
      </c>
      <c r="J176" s="103">
        <v>100</v>
      </c>
      <c r="K176" s="103">
        <v>100</v>
      </c>
      <c r="L176" s="103">
        <v>100</v>
      </c>
      <c r="M176" s="103">
        <v>100</v>
      </c>
      <c r="N176" s="103" t="s">
        <v>2154</v>
      </c>
      <c r="O176" s="103">
        <v>400</v>
      </c>
      <c r="P176" s="103" t="s">
        <v>1059</v>
      </c>
      <c r="Q176" s="103" t="s">
        <v>2155</v>
      </c>
      <c r="R176" s="103" t="s">
        <v>121</v>
      </c>
      <c r="S176" s="103" t="s">
        <v>2251</v>
      </c>
      <c r="U176" s="103">
        <v>205.2</v>
      </c>
      <c r="V176" s="103" t="s">
        <v>2158</v>
      </c>
      <c r="W176" s="103" t="s">
        <v>121</v>
      </c>
      <c r="X176" s="103" t="s">
        <v>345</v>
      </c>
      <c r="Y176" s="103" t="s">
        <v>2240</v>
      </c>
      <c r="AA176" s="103" t="s">
        <v>121</v>
      </c>
      <c r="AB176" s="103" t="s">
        <v>68</v>
      </c>
      <c r="AC176" s="103" t="s">
        <v>2197</v>
      </c>
      <c r="AD176" s="103" t="s">
        <v>2397</v>
      </c>
      <c r="AE176" s="103" t="s">
        <v>1641</v>
      </c>
      <c r="AF176" s="103" t="b">
        <v>1</v>
      </c>
    </row>
    <row r="177" spans="1:32" hidden="1" x14ac:dyDescent="0.2">
      <c r="A177" s="103" t="s">
        <v>3817</v>
      </c>
      <c r="B177" s="103" t="s">
        <v>3816</v>
      </c>
      <c r="C177" s="103" t="s">
        <v>2412</v>
      </c>
      <c r="E177" s="103" t="s">
        <v>2414</v>
      </c>
      <c r="G177" s="103">
        <v>320</v>
      </c>
      <c r="H177" s="103" t="s">
        <v>2152</v>
      </c>
      <c r="I177" s="103" t="s">
        <v>2153</v>
      </c>
      <c r="J177" s="103">
        <v>80</v>
      </c>
      <c r="K177" s="103">
        <v>80</v>
      </c>
      <c r="L177" s="103">
        <v>80</v>
      </c>
      <c r="M177" s="103">
        <v>80</v>
      </c>
      <c r="N177" s="103" t="s">
        <v>2154</v>
      </c>
      <c r="O177" s="103">
        <v>320</v>
      </c>
      <c r="P177" s="103" t="s">
        <v>1059</v>
      </c>
      <c r="Q177" s="103" t="s">
        <v>2155</v>
      </c>
      <c r="R177" s="103" t="s">
        <v>2156</v>
      </c>
      <c r="S177" s="103" t="s">
        <v>2251</v>
      </c>
      <c r="U177" s="103">
        <v>164.16</v>
      </c>
      <c r="V177" s="103" t="s">
        <v>2158</v>
      </c>
      <c r="W177" s="103" t="s">
        <v>122</v>
      </c>
      <c r="X177" s="103" t="s">
        <v>345</v>
      </c>
      <c r="Y177" s="103" t="s">
        <v>2240</v>
      </c>
      <c r="AA177" s="103" t="s">
        <v>2156</v>
      </c>
      <c r="AB177" s="103" t="s">
        <v>68</v>
      </c>
      <c r="AC177" s="103" t="s">
        <v>122</v>
      </c>
      <c r="AD177" s="103" t="s">
        <v>2203</v>
      </c>
      <c r="AE177" s="103" t="s">
        <v>1641</v>
      </c>
      <c r="AF177" s="103" t="b">
        <v>1</v>
      </c>
    </row>
    <row r="178" spans="1:32" hidden="1" x14ac:dyDescent="0.2">
      <c r="A178" s="103" t="s">
        <v>394</v>
      </c>
      <c r="B178" s="103" t="s">
        <v>1642</v>
      </c>
      <c r="C178" s="103" t="s">
        <v>2415</v>
      </c>
      <c r="F178" s="103" t="s">
        <v>2162</v>
      </c>
      <c r="G178" s="103">
        <v>75</v>
      </c>
      <c r="H178" s="103" t="s">
        <v>2152</v>
      </c>
      <c r="I178" s="103" t="s">
        <v>2153</v>
      </c>
      <c r="J178" s="103">
        <v>25</v>
      </c>
      <c r="K178" s="103">
        <v>25</v>
      </c>
      <c r="L178" s="103">
        <v>25</v>
      </c>
      <c r="O178" s="103">
        <v>75</v>
      </c>
      <c r="R178" s="103">
        <v>0</v>
      </c>
      <c r="U178" s="103">
        <v>0</v>
      </c>
      <c r="V178" s="103" t="s">
        <v>2416</v>
      </c>
      <c r="W178" s="103">
        <v>0</v>
      </c>
      <c r="X178" s="103" t="s">
        <v>345</v>
      </c>
      <c r="Y178" s="103" t="s">
        <v>2240</v>
      </c>
      <c r="AA178" s="103">
        <v>0</v>
      </c>
      <c r="AB178" s="103" t="s">
        <v>64</v>
      </c>
      <c r="AE178" s="103" t="s">
        <v>750</v>
      </c>
      <c r="AF178" s="103" t="b">
        <v>1</v>
      </c>
    </row>
    <row r="179" spans="1:32" hidden="1" x14ac:dyDescent="0.2">
      <c r="A179" s="103" t="s">
        <v>396</v>
      </c>
      <c r="B179" s="103" t="s">
        <v>395</v>
      </c>
      <c r="E179" s="103" t="s">
        <v>2414</v>
      </c>
      <c r="F179" s="103" t="s">
        <v>2232</v>
      </c>
      <c r="G179" s="103">
        <v>600</v>
      </c>
      <c r="H179" s="103" t="s">
        <v>2152</v>
      </c>
      <c r="I179" s="103" t="s">
        <v>2153</v>
      </c>
      <c r="J179" s="103">
        <v>150</v>
      </c>
      <c r="K179" s="103">
        <v>150</v>
      </c>
      <c r="L179" s="103">
        <v>150</v>
      </c>
      <c r="M179" s="103">
        <v>150</v>
      </c>
      <c r="N179" s="103" t="s">
        <v>2163</v>
      </c>
      <c r="O179" s="103">
        <v>600</v>
      </c>
      <c r="P179" s="103" t="s">
        <v>1059</v>
      </c>
      <c r="Q179" s="103" t="s">
        <v>2155</v>
      </c>
      <c r="R179" s="103" t="s">
        <v>2156</v>
      </c>
      <c r="S179" s="103" t="s">
        <v>2157</v>
      </c>
      <c r="U179" s="103">
        <v>307.8</v>
      </c>
      <c r="V179" s="103" t="s">
        <v>2158</v>
      </c>
      <c r="W179" s="103" t="s">
        <v>122</v>
      </c>
      <c r="X179" s="103" t="s">
        <v>1597</v>
      </c>
      <c r="Y179" s="103" t="s">
        <v>1685</v>
      </c>
      <c r="AA179" s="103" t="s">
        <v>2156</v>
      </c>
      <c r="AB179" s="103" t="s">
        <v>68</v>
      </c>
      <c r="AC179" s="103" t="s">
        <v>122</v>
      </c>
      <c r="AD179" s="103" t="s">
        <v>2203</v>
      </c>
      <c r="AE179" s="103" t="s">
        <v>1641</v>
      </c>
      <c r="AF179" s="103" t="b">
        <v>1</v>
      </c>
    </row>
    <row r="180" spans="1:32" hidden="1" x14ac:dyDescent="0.2">
      <c r="A180" s="103" t="s">
        <v>398</v>
      </c>
      <c r="B180" s="103" t="s">
        <v>397</v>
      </c>
      <c r="C180" s="103" t="s">
        <v>2417</v>
      </c>
      <c r="D180" s="103" t="s">
        <v>2418</v>
      </c>
      <c r="E180" s="103" t="s">
        <v>2150</v>
      </c>
      <c r="F180" s="103" t="s">
        <v>2151</v>
      </c>
      <c r="G180" s="103">
        <v>180</v>
      </c>
      <c r="H180" s="103" t="s">
        <v>2152</v>
      </c>
      <c r="I180" s="103" t="s">
        <v>2153</v>
      </c>
      <c r="J180" s="103">
        <v>180</v>
      </c>
      <c r="N180" s="103" t="s">
        <v>2163</v>
      </c>
      <c r="O180" s="103">
        <v>180</v>
      </c>
      <c r="P180" s="103" t="s">
        <v>1643</v>
      </c>
      <c r="Q180" s="103" t="s">
        <v>2155</v>
      </c>
      <c r="R180" s="103" t="s">
        <v>2156</v>
      </c>
      <c r="S180" s="103" t="s">
        <v>2157</v>
      </c>
      <c r="U180" s="103">
        <v>92.34</v>
      </c>
      <c r="V180" s="103" t="s">
        <v>2158</v>
      </c>
      <c r="W180" s="103" t="s">
        <v>114</v>
      </c>
      <c r="X180" s="103" t="s">
        <v>1597</v>
      </c>
      <c r="Y180" s="103" t="s">
        <v>1685</v>
      </c>
      <c r="AA180" s="103" t="s">
        <v>2156</v>
      </c>
      <c r="AB180" s="103" t="s">
        <v>68</v>
      </c>
      <c r="AC180" s="103" t="s">
        <v>2159</v>
      </c>
      <c r="AD180" s="103" t="s">
        <v>2203</v>
      </c>
      <c r="AE180" s="103" t="s">
        <v>766</v>
      </c>
      <c r="AF180" s="103" t="b">
        <v>1</v>
      </c>
    </row>
    <row r="181" spans="1:32" hidden="1" x14ac:dyDescent="0.2">
      <c r="A181" s="103" t="s">
        <v>3813</v>
      </c>
      <c r="B181" s="103" t="s">
        <v>3812</v>
      </c>
      <c r="C181" s="103" t="s">
        <v>2419</v>
      </c>
      <c r="D181" s="103" t="s">
        <v>2420</v>
      </c>
      <c r="E181" s="103" t="s">
        <v>2421</v>
      </c>
      <c r="F181" s="103" t="s">
        <v>2232</v>
      </c>
      <c r="G181" s="103">
        <v>300</v>
      </c>
      <c r="H181" s="103" t="s">
        <v>2168</v>
      </c>
      <c r="I181" s="103" t="s">
        <v>2153</v>
      </c>
      <c r="L181" s="103">
        <v>150</v>
      </c>
      <c r="M181" s="103">
        <v>150</v>
      </c>
      <c r="N181" s="103" t="s">
        <v>2163</v>
      </c>
      <c r="O181" s="103">
        <v>300</v>
      </c>
      <c r="P181" s="103" t="s">
        <v>1609</v>
      </c>
      <c r="Q181" s="103" t="s">
        <v>1393</v>
      </c>
      <c r="R181" s="103" t="s">
        <v>2225</v>
      </c>
      <c r="S181" s="103" t="s">
        <v>2422</v>
      </c>
      <c r="T181" s="103" t="s">
        <v>2423</v>
      </c>
      <c r="U181" s="103">
        <v>144.9</v>
      </c>
      <c r="V181" s="103" t="s">
        <v>2158</v>
      </c>
      <c r="W181" s="103" t="s">
        <v>106</v>
      </c>
      <c r="X181" s="103" t="s">
        <v>345</v>
      </c>
      <c r="Y181" s="103" t="s">
        <v>2240</v>
      </c>
      <c r="AA181" s="103" t="s">
        <v>2225</v>
      </c>
      <c r="AB181" s="103" t="s">
        <v>64</v>
      </c>
      <c r="AE181" s="103" t="s">
        <v>1230</v>
      </c>
      <c r="AF181" s="103" t="b">
        <v>1</v>
      </c>
    </row>
    <row r="182" spans="1:32" hidden="1" x14ac:dyDescent="0.2">
      <c r="A182" s="103" t="s">
        <v>3813</v>
      </c>
      <c r="B182" s="103" t="s">
        <v>3812</v>
      </c>
      <c r="C182" s="103" t="s">
        <v>109</v>
      </c>
      <c r="D182" s="103" t="s">
        <v>2424</v>
      </c>
      <c r="E182" s="103" t="s">
        <v>109</v>
      </c>
      <c r="G182" s="103">
        <v>1000</v>
      </c>
      <c r="H182" s="103" t="s">
        <v>2152</v>
      </c>
      <c r="I182" s="103" t="s">
        <v>2153</v>
      </c>
      <c r="J182" s="103">
        <v>250</v>
      </c>
      <c r="K182" s="103">
        <v>250</v>
      </c>
      <c r="L182" s="103">
        <v>250</v>
      </c>
      <c r="M182" s="103">
        <v>250</v>
      </c>
      <c r="N182" s="103" t="s">
        <v>2163</v>
      </c>
      <c r="O182" s="103">
        <v>1000</v>
      </c>
      <c r="P182" s="103" t="s">
        <v>1232</v>
      </c>
      <c r="Q182" s="103" t="s">
        <v>1393</v>
      </c>
      <c r="R182" s="103" t="s">
        <v>2225</v>
      </c>
      <c r="S182" s="103" t="s">
        <v>2422</v>
      </c>
      <c r="U182" s="103">
        <v>487</v>
      </c>
      <c r="V182" s="103" t="s">
        <v>2158</v>
      </c>
      <c r="W182" s="103" t="s">
        <v>109</v>
      </c>
      <c r="X182" s="103" t="s">
        <v>345</v>
      </c>
      <c r="Y182" s="103" t="s">
        <v>2240</v>
      </c>
      <c r="AA182" s="103" t="s">
        <v>2225</v>
      </c>
      <c r="AB182" s="103" t="s">
        <v>64</v>
      </c>
      <c r="AE182" s="103" t="s">
        <v>1230</v>
      </c>
      <c r="AF182" s="103" t="b">
        <v>1</v>
      </c>
    </row>
    <row r="183" spans="1:32" hidden="1" x14ac:dyDescent="0.2">
      <c r="A183" s="103" t="s">
        <v>3813</v>
      </c>
      <c r="B183" s="103" t="s">
        <v>3812</v>
      </c>
      <c r="C183" s="103" t="s">
        <v>2425</v>
      </c>
      <c r="D183" s="103" t="s">
        <v>2426</v>
      </c>
      <c r="E183" s="103" t="s">
        <v>2196</v>
      </c>
      <c r="F183" s="103" t="s">
        <v>2228</v>
      </c>
      <c r="G183" s="103">
        <v>600</v>
      </c>
      <c r="H183" s="103" t="s">
        <v>2152</v>
      </c>
      <c r="I183" s="103" t="s">
        <v>2153</v>
      </c>
      <c r="J183" s="103">
        <v>150</v>
      </c>
      <c r="K183" s="103">
        <v>150</v>
      </c>
      <c r="L183" s="103">
        <v>150</v>
      </c>
      <c r="M183" s="103">
        <v>150</v>
      </c>
      <c r="N183" s="103" t="s">
        <v>2163</v>
      </c>
      <c r="O183" s="103">
        <v>600</v>
      </c>
      <c r="P183" s="103" t="s">
        <v>1232</v>
      </c>
      <c r="Q183" s="103" t="s">
        <v>1393</v>
      </c>
      <c r="R183" s="103" t="s">
        <v>121</v>
      </c>
      <c r="S183" s="103" t="s">
        <v>2427</v>
      </c>
      <c r="U183" s="103">
        <v>307.8</v>
      </c>
      <c r="V183" s="103" t="s">
        <v>2158</v>
      </c>
      <c r="W183" s="103" t="s">
        <v>121</v>
      </c>
      <c r="X183" s="103" t="s">
        <v>345</v>
      </c>
      <c r="Y183" s="103" t="s">
        <v>2240</v>
      </c>
      <c r="AA183" s="103" t="s">
        <v>121</v>
      </c>
      <c r="AB183" s="103" t="s">
        <v>64</v>
      </c>
      <c r="AE183" s="103" t="s">
        <v>1230</v>
      </c>
      <c r="AF183" s="103" t="b">
        <v>1</v>
      </c>
    </row>
    <row r="184" spans="1:32" hidden="1" x14ac:dyDescent="0.2">
      <c r="A184" s="103" t="s">
        <v>3813</v>
      </c>
      <c r="B184" s="103" t="s">
        <v>3812</v>
      </c>
      <c r="C184" s="103" t="s">
        <v>109</v>
      </c>
      <c r="D184" s="103" t="s">
        <v>2428</v>
      </c>
      <c r="E184" s="103" t="s">
        <v>2249</v>
      </c>
      <c r="F184" s="103" t="s">
        <v>2162</v>
      </c>
      <c r="G184" s="103">
        <v>50</v>
      </c>
      <c r="H184" s="103" t="s">
        <v>2168</v>
      </c>
      <c r="I184" s="103" t="s">
        <v>2153</v>
      </c>
      <c r="J184" s="103">
        <v>25</v>
      </c>
      <c r="K184" s="103">
        <v>25</v>
      </c>
      <c r="N184" s="103" t="s">
        <v>2163</v>
      </c>
      <c r="O184" s="103">
        <v>50</v>
      </c>
      <c r="P184" s="103" t="s">
        <v>1232</v>
      </c>
      <c r="Q184" s="103" t="s">
        <v>1393</v>
      </c>
      <c r="R184" s="103" t="s">
        <v>2164</v>
      </c>
      <c r="U184" s="103">
        <v>30</v>
      </c>
      <c r="V184" s="103" t="s">
        <v>2158</v>
      </c>
      <c r="W184" s="103" t="s">
        <v>132</v>
      </c>
      <c r="X184" s="103" t="s">
        <v>345</v>
      </c>
      <c r="Y184" s="103" t="s">
        <v>2240</v>
      </c>
      <c r="AA184" s="103" t="s">
        <v>2164</v>
      </c>
      <c r="AB184" s="103" t="s">
        <v>64</v>
      </c>
      <c r="AE184" s="103" t="s">
        <v>1230</v>
      </c>
      <c r="AF184" s="103" t="b">
        <v>1</v>
      </c>
    </row>
    <row r="185" spans="1:32" hidden="1" x14ac:dyDescent="0.2">
      <c r="A185" s="103" t="s">
        <v>3813</v>
      </c>
      <c r="B185" s="103" t="s">
        <v>3812</v>
      </c>
      <c r="C185" s="103" t="s">
        <v>2425</v>
      </c>
      <c r="D185" s="103" t="s">
        <v>2429</v>
      </c>
      <c r="E185" s="103" t="s">
        <v>2242</v>
      </c>
      <c r="F185" s="103" t="s">
        <v>2151</v>
      </c>
      <c r="G185" s="103">
        <v>100</v>
      </c>
      <c r="H185" s="103" t="s">
        <v>2168</v>
      </c>
      <c r="I185" s="103" t="s">
        <v>2153</v>
      </c>
      <c r="J185" s="103">
        <v>0</v>
      </c>
      <c r="K185" s="103">
        <v>0</v>
      </c>
      <c r="M185" s="103">
        <v>100</v>
      </c>
      <c r="N185" s="103" t="s">
        <v>2163</v>
      </c>
      <c r="O185" s="103">
        <v>100</v>
      </c>
      <c r="P185" s="103" t="s">
        <v>1232</v>
      </c>
      <c r="Q185" s="103" t="s">
        <v>1393</v>
      </c>
      <c r="R185" s="103" t="s">
        <v>2225</v>
      </c>
      <c r="S185" s="103" t="s">
        <v>2192</v>
      </c>
      <c r="U185" s="103">
        <v>48.3</v>
      </c>
      <c r="V185" s="103" t="s">
        <v>2158</v>
      </c>
      <c r="W185" s="103" t="s">
        <v>106</v>
      </c>
      <c r="X185" s="103" t="s">
        <v>345</v>
      </c>
      <c r="Y185" s="103" t="s">
        <v>2240</v>
      </c>
      <c r="AA185" s="103" t="s">
        <v>2225</v>
      </c>
      <c r="AB185" s="103" t="s">
        <v>64</v>
      </c>
      <c r="AE185" s="103" t="s">
        <v>1230</v>
      </c>
      <c r="AF185" s="103" t="b">
        <v>1</v>
      </c>
    </row>
    <row r="186" spans="1:32" hidden="1" x14ac:dyDescent="0.2">
      <c r="A186" s="103" t="s">
        <v>3813</v>
      </c>
      <c r="B186" s="103" t="s">
        <v>3812</v>
      </c>
      <c r="C186" s="103" t="s">
        <v>2430</v>
      </c>
      <c r="D186" s="103" t="s">
        <v>2431</v>
      </c>
      <c r="E186" s="103" t="s">
        <v>2432</v>
      </c>
      <c r="F186" s="103" t="s">
        <v>2228</v>
      </c>
      <c r="G186" s="103">
        <v>2618</v>
      </c>
      <c r="H186" s="103" t="s">
        <v>2152</v>
      </c>
      <c r="I186" s="103" t="s">
        <v>2153</v>
      </c>
      <c r="K186" s="103">
        <v>308</v>
      </c>
      <c r="L186" s="103">
        <v>1155</v>
      </c>
      <c r="M186" s="103">
        <v>1155</v>
      </c>
      <c r="N186" s="103" t="s">
        <v>2402</v>
      </c>
      <c r="O186" s="103">
        <v>2618</v>
      </c>
      <c r="P186" s="103" t="s">
        <v>758</v>
      </c>
      <c r="Q186" s="103" t="s">
        <v>1393</v>
      </c>
      <c r="R186" s="103" t="s">
        <v>2225</v>
      </c>
      <c r="S186" s="103" t="s">
        <v>2192</v>
      </c>
      <c r="U186" s="103">
        <v>1264.4939999999999</v>
      </c>
      <c r="V186" s="103" t="s">
        <v>2262</v>
      </c>
      <c r="W186" s="103" t="s">
        <v>106</v>
      </c>
      <c r="X186" s="103" t="s">
        <v>345</v>
      </c>
      <c r="Y186" s="103" t="s">
        <v>2240</v>
      </c>
      <c r="AA186" s="103" t="s">
        <v>2225</v>
      </c>
      <c r="AB186" s="103" t="s">
        <v>64</v>
      </c>
      <c r="AE186" s="103" t="s">
        <v>1230</v>
      </c>
      <c r="AF186" s="103" t="b">
        <v>1</v>
      </c>
    </row>
    <row r="187" spans="1:32" hidden="1" x14ac:dyDescent="0.2">
      <c r="A187" s="103" t="s">
        <v>402</v>
      </c>
      <c r="B187" s="103" t="s">
        <v>401</v>
      </c>
      <c r="C187" s="103" t="s">
        <v>2385</v>
      </c>
      <c r="E187" s="103" t="s">
        <v>2433</v>
      </c>
      <c r="G187" s="103">
        <v>172</v>
      </c>
      <c r="H187" s="103" t="s">
        <v>2152</v>
      </c>
      <c r="I187" s="103" t="s">
        <v>2153</v>
      </c>
      <c r="J187" s="103">
        <v>43</v>
      </c>
      <c r="K187" s="103">
        <v>43</v>
      </c>
      <c r="L187" s="103">
        <v>43</v>
      </c>
      <c r="M187" s="103">
        <v>43</v>
      </c>
      <c r="N187" s="103" t="s">
        <v>2163</v>
      </c>
      <c r="O187" s="103">
        <v>172</v>
      </c>
      <c r="P187" s="103" t="s">
        <v>1567</v>
      </c>
      <c r="Q187" s="103" t="s">
        <v>2236</v>
      </c>
      <c r="R187" s="103" t="s">
        <v>2156</v>
      </c>
      <c r="U187" s="103">
        <v>88.236000000000004</v>
      </c>
      <c r="V187" s="103" t="s">
        <v>2158</v>
      </c>
      <c r="W187" s="103" t="s">
        <v>114</v>
      </c>
      <c r="X187" s="103" t="s">
        <v>1597</v>
      </c>
      <c r="Y187" s="103" t="s">
        <v>1685</v>
      </c>
      <c r="AA187" s="103" t="s">
        <v>2156</v>
      </c>
      <c r="AB187" s="103" t="s">
        <v>68</v>
      </c>
      <c r="AC187" s="103" t="s">
        <v>2159</v>
      </c>
      <c r="AD187" s="103" t="s">
        <v>2388</v>
      </c>
      <c r="AE187" s="103" t="s">
        <v>766</v>
      </c>
      <c r="AF187" s="103" t="b">
        <v>1</v>
      </c>
    </row>
    <row r="188" spans="1:32" hidden="1" x14ac:dyDescent="0.2">
      <c r="A188" s="103" t="s">
        <v>402</v>
      </c>
      <c r="B188" s="103" t="s">
        <v>401</v>
      </c>
      <c r="C188" s="103" t="s">
        <v>2385</v>
      </c>
      <c r="E188" s="103" t="s">
        <v>2434</v>
      </c>
      <c r="G188" s="103">
        <v>287</v>
      </c>
      <c r="H188" s="103" t="s">
        <v>2152</v>
      </c>
      <c r="I188" s="103" t="s">
        <v>2153</v>
      </c>
      <c r="J188" s="103">
        <v>71.75</v>
      </c>
      <c r="K188" s="103">
        <v>71.75</v>
      </c>
      <c r="L188" s="103">
        <v>71.75</v>
      </c>
      <c r="M188" s="103">
        <v>71.75</v>
      </c>
      <c r="N188" s="103" t="s">
        <v>2163</v>
      </c>
      <c r="O188" s="103">
        <v>287</v>
      </c>
      <c r="P188" s="103" t="s">
        <v>1567</v>
      </c>
      <c r="Q188" s="103" t="s">
        <v>2236</v>
      </c>
      <c r="R188" s="103" t="s">
        <v>2156</v>
      </c>
      <c r="U188" s="103">
        <v>147.23099999999999</v>
      </c>
      <c r="V188" s="103" t="s">
        <v>2158</v>
      </c>
      <c r="W188" s="103" t="s">
        <v>114</v>
      </c>
      <c r="X188" s="103" t="s">
        <v>1597</v>
      </c>
      <c r="Y188" s="103" t="s">
        <v>1685</v>
      </c>
      <c r="AA188" s="103" t="s">
        <v>2156</v>
      </c>
      <c r="AB188" s="103" t="s">
        <v>68</v>
      </c>
      <c r="AC188" s="103" t="s">
        <v>2159</v>
      </c>
      <c r="AD188" s="103" t="s">
        <v>2388</v>
      </c>
      <c r="AE188" s="103" t="s">
        <v>766</v>
      </c>
      <c r="AF188" s="103" t="b">
        <v>1</v>
      </c>
    </row>
    <row r="189" spans="1:32" hidden="1" x14ac:dyDescent="0.2">
      <c r="A189" s="103" t="s">
        <v>404</v>
      </c>
      <c r="B189" s="103" t="s">
        <v>403</v>
      </c>
      <c r="C189" s="103" t="s">
        <v>109</v>
      </c>
      <c r="D189" s="103" t="s">
        <v>2435</v>
      </c>
      <c r="E189" s="103" t="s">
        <v>109</v>
      </c>
      <c r="G189" s="103">
        <v>1900</v>
      </c>
      <c r="H189" s="103" t="s">
        <v>2152</v>
      </c>
      <c r="I189" s="103" t="s">
        <v>2153</v>
      </c>
      <c r="J189" s="103">
        <v>475</v>
      </c>
      <c r="K189" s="103">
        <v>475</v>
      </c>
      <c r="L189" s="103">
        <v>475</v>
      </c>
      <c r="M189" s="103">
        <v>475</v>
      </c>
      <c r="N189" s="103" t="s">
        <v>2163</v>
      </c>
      <c r="O189" s="103">
        <v>1900</v>
      </c>
      <c r="P189" s="103" t="s">
        <v>1232</v>
      </c>
      <c r="Q189" s="103" t="s">
        <v>2155</v>
      </c>
      <c r="R189" s="103" t="s">
        <v>2225</v>
      </c>
      <c r="S189" s="103" t="s">
        <v>2229</v>
      </c>
      <c r="U189" s="103">
        <v>925.3</v>
      </c>
      <c r="V189" s="103" t="s">
        <v>2158</v>
      </c>
      <c r="W189" s="103" t="s">
        <v>109</v>
      </c>
      <c r="X189" s="103" t="s">
        <v>1597</v>
      </c>
      <c r="Y189" s="103" t="s">
        <v>1685</v>
      </c>
      <c r="AA189" s="103" t="s">
        <v>2225</v>
      </c>
      <c r="AB189" s="103" t="s">
        <v>64</v>
      </c>
      <c r="AE189" s="103" t="s">
        <v>1230</v>
      </c>
      <c r="AF189" s="103" t="b">
        <v>1</v>
      </c>
    </row>
    <row r="190" spans="1:32" hidden="1" x14ac:dyDescent="0.2">
      <c r="A190" s="103" t="s">
        <v>406</v>
      </c>
      <c r="B190" s="103" t="s">
        <v>405</v>
      </c>
      <c r="C190" s="103" t="s">
        <v>2148</v>
      </c>
      <c r="D190" s="103" t="s">
        <v>2436</v>
      </c>
      <c r="E190" s="103" t="s">
        <v>2150</v>
      </c>
      <c r="F190" s="103" t="s">
        <v>2162</v>
      </c>
      <c r="G190" s="103">
        <v>120</v>
      </c>
      <c r="H190" s="103" t="s">
        <v>2152</v>
      </c>
      <c r="I190" s="103" t="s">
        <v>2153</v>
      </c>
      <c r="K190" s="103">
        <v>120</v>
      </c>
      <c r="N190" s="103" t="s">
        <v>2163</v>
      </c>
      <c r="O190" s="103">
        <v>120</v>
      </c>
      <c r="P190" s="103" t="s">
        <v>1643</v>
      </c>
      <c r="Q190" s="103" t="s">
        <v>2155</v>
      </c>
      <c r="R190" s="103" t="s">
        <v>2156</v>
      </c>
      <c r="S190" s="103" t="s">
        <v>2157</v>
      </c>
      <c r="U190" s="103">
        <v>61.56</v>
      </c>
      <c r="V190" s="103" t="s">
        <v>2158</v>
      </c>
      <c r="W190" s="103" t="s">
        <v>114</v>
      </c>
      <c r="X190" s="103" t="s">
        <v>1597</v>
      </c>
      <c r="Y190" s="103" t="s">
        <v>1685</v>
      </c>
      <c r="AA190" s="103" t="s">
        <v>2156</v>
      </c>
      <c r="AB190" s="103" t="s">
        <v>68</v>
      </c>
      <c r="AC190" s="103" t="s">
        <v>2159</v>
      </c>
      <c r="AD190" s="103" t="s">
        <v>2203</v>
      </c>
      <c r="AE190" s="103" t="s">
        <v>766</v>
      </c>
      <c r="AF190" s="103" t="b">
        <v>1</v>
      </c>
    </row>
    <row r="191" spans="1:32" hidden="1" x14ac:dyDescent="0.2">
      <c r="A191" s="103" t="s">
        <v>408</v>
      </c>
      <c r="B191" s="103" t="s">
        <v>407</v>
      </c>
      <c r="C191" s="103" t="s">
        <v>2148</v>
      </c>
      <c r="D191" s="103" t="s">
        <v>2437</v>
      </c>
      <c r="E191" s="103" t="s">
        <v>2150</v>
      </c>
      <c r="F191" s="103" t="s">
        <v>2151</v>
      </c>
      <c r="G191" s="103">
        <v>120</v>
      </c>
      <c r="H191" s="103" t="s">
        <v>2152</v>
      </c>
      <c r="I191" s="103" t="s">
        <v>2153</v>
      </c>
      <c r="J191" s="103">
        <v>120</v>
      </c>
      <c r="N191" s="103" t="s">
        <v>2163</v>
      </c>
      <c r="O191" s="103">
        <v>120</v>
      </c>
      <c r="P191" s="103" t="s">
        <v>1643</v>
      </c>
      <c r="Q191" s="103" t="s">
        <v>2155</v>
      </c>
      <c r="R191" s="103" t="s">
        <v>2156</v>
      </c>
      <c r="S191" s="103" t="s">
        <v>2157</v>
      </c>
      <c r="U191" s="103">
        <v>61.56</v>
      </c>
      <c r="V191" s="103" t="s">
        <v>2158</v>
      </c>
      <c r="W191" s="103" t="s">
        <v>114</v>
      </c>
      <c r="X191" s="103" t="s">
        <v>1597</v>
      </c>
      <c r="Y191" s="103" t="s">
        <v>1685</v>
      </c>
      <c r="AA191" s="103" t="s">
        <v>2156</v>
      </c>
      <c r="AB191" s="103" t="s">
        <v>68</v>
      </c>
      <c r="AC191" s="103" t="s">
        <v>2159</v>
      </c>
      <c r="AD191" s="103" t="s">
        <v>2203</v>
      </c>
      <c r="AE191" s="103" t="s">
        <v>766</v>
      </c>
      <c r="AF191" s="103" t="b">
        <v>1</v>
      </c>
    </row>
    <row r="192" spans="1:32" hidden="1" x14ac:dyDescent="0.2">
      <c r="A192" s="103" t="s">
        <v>411</v>
      </c>
      <c r="B192" s="103" t="s">
        <v>410</v>
      </c>
      <c r="C192" s="103" t="s">
        <v>2148</v>
      </c>
      <c r="D192" s="103" t="s">
        <v>2438</v>
      </c>
      <c r="E192" s="103" t="s">
        <v>2150</v>
      </c>
      <c r="F192" s="103" t="s">
        <v>2232</v>
      </c>
      <c r="G192" s="103">
        <v>300</v>
      </c>
      <c r="H192" s="103" t="s">
        <v>2168</v>
      </c>
      <c r="I192" s="103" t="s">
        <v>2153</v>
      </c>
      <c r="J192" s="103">
        <v>100</v>
      </c>
      <c r="K192" s="103">
        <v>100</v>
      </c>
      <c r="L192" s="103">
        <v>100</v>
      </c>
      <c r="N192" s="103" t="s">
        <v>2154</v>
      </c>
      <c r="O192" s="103">
        <v>300</v>
      </c>
      <c r="P192" s="103" t="s">
        <v>1643</v>
      </c>
      <c r="Q192" s="103" t="s">
        <v>2155</v>
      </c>
      <c r="R192" s="103" t="s">
        <v>2156</v>
      </c>
      <c r="S192" s="103" t="s">
        <v>2209</v>
      </c>
      <c r="U192" s="103">
        <v>153.9</v>
      </c>
      <c r="V192" s="103" t="s">
        <v>2158</v>
      </c>
      <c r="W192" s="103" t="s">
        <v>114</v>
      </c>
      <c r="X192" s="103" t="s">
        <v>1597</v>
      </c>
      <c r="Y192" s="103" t="s">
        <v>1685</v>
      </c>
      <c r="AA192" s="103" t="s">
        <v>2156</v>
      </c>
      <c r="AB192" s="103" t="s">
        <v>68</v>
      </c>
      <c r="AC192" s="103" t="s">
        <v>2159</v>
      </c>
      <c r="AD192" s="103" t="s">
        <v>2203</v>
      </c>
      <c r="AE192" s="103" t="s">
        <v>766</v>
      </c>
      <c r="AF192" s="103" t="b">
        <v>1</v>
      </c>
    </row>
    <row r="193" spans="1:32" hidden="1" x14ac:dyDescent="0.2">
      <c r="A193" s="103" t="s">
        <v>411</v>
      </c>
      <c r="B193" s="103" t="s">
        <v>410</v>
      </c>
      <c r="C193" s="103" t="s">
        <v>2439</v>
      </c>
      <c r="E193" s="103" t="s">
        <v>2211</v>
      </c>
      <c r="F193" s="103" t="s">
        <v>2232</v>
      </c>
      <c r="G193" s="103">
        <v>180</v>
      </c>
      <c r="H193" s="103" t="s">
        <v>2152</v>
      </c>
      <c r="I193" s="103" t="s">
        <v>2153</v>
      </c>
      <c r="L193" s="103">
        <v>100</v>
      </c>
      <c r="M193" s="103">
        <v>80</v>
      </c>
      <c r="N193" s="103" t="s">
        <v>2163</v>
      </c>
      <c r="O193" s="103">
        <v>180</v>
      </c>
      <c r="P193" s="103" t="s">
        <v>1643</v>
      </c>
      <c r="Q193" s="103" t="s">
        <v>2155</v>
      </c>
      <c r="R193" s="103" t="s">
        <v>2156</v>
      </c>
      <c r="S193" s="103" t="s">
        <v>2209</v>
      </c>
      <c r="T193" s="103" t="s">
        <v>2440</v>
      </c>
      <c r="U193" s="103">
        <v>92.34</v>
      </c>
      <c r="V193" s="103" t="s">
        <v>2158</v>
      </c>
      <c r="W193" s="103" t="s">
        <v>114</v>
      </c>
      <c r="X193" s="103" t="s">
        <v>1597</v>
      </c>
      <c r="Y193" s="103" t="s">
        <v>1685</v>
      </c>
      <c r="AA193" s="103" t="s">
        <v>2156</v>
      </c>
      <c r="AB193" s="103" t="s">
        <v>68</v>
      </c>
      <c r="AC193" s="103" t="s">
        <v>2159</v>
      </c>
      <c r="AD193" s="103" t="s">
        <v>2203</v>
      </c>
      <c r="AE193" s="103" t="s">
        <v>766</v>
      </c>
      <c r="AF193" s="103" t="b">
        <v>1</v>
      </c>
    </row>
    <row r="194" spans="1:32" hidden="1" x14ac:dyDescent="0.2">
      <c r="A194" s="103" t="s">
        <v>415</v>
      </c>
      <c r="B194" s="103" t="s">
        <v>414</v>
      </c>
      <c r="C194" s="103" t="s">
        <v>2441</v>
      </c>
      <c r="E194" s="103" t="s">
        <v>2167</v>
      </c>
      <c r="F194" s="103" t="s">
        <v>2151</v>
      </c>
      <c r="G194" s="103">
        <v>150</v>
      </c>
      <c r="H194" s="103" t="s">
        <v>2152</v>
      </c>
      <c r="I194" s="103" t="s">
        <v>2153</v>
      </c>
      <c r="J194" s="103">
        <v>45</v>
      </c>
      <c r="K194" s="103">
        <v>35</v>
      </c>
      <c r="L194" s="103">
        <v>35</v>
      </c>
      <c r="M194" s="103">
        <v>35</v>
      </c>
      <c r="N194" s="103" t="s">
        <v>2154</v>
      </c>
      <c r="O194" s="103">
        <v>150</v>
      </c>
      <c r="P194" s="103" t="s">
        <v>774</v>
      </c>
      <c r="Q194" s="103" t="s">
        <v>2155</v>
      </c>
      <c r="R194" s="103" t="s">
        <v>2156</v>
      </c>
      <c r="S194" s="103" t="s">
        <v>2251</v>
      </c>
      <c r="U194" s="103">
        <v>76.95</v>
      </c>
      <c r="V194" s="103" t="s">
        <v>2158</v>
      </c>
      <c r="W194" s="103" t="s">
        <v>114</v>
      </c>
      <c r="X194" s="103" t="s">
        <v>1597</v>
      </c>
      <c r="Y194" s="103" t="s">
        <v>1685</v>
      </c>
      <c r="AA194" s="103" t="s">
        <v>2156</v>
      </c>
      <c r="AB194" s="103" t="s">
        <v>68</v>
      </c>
      <c r="AC194" s="103" t="s">
        <v>2159</v>
      </c>
      <c r="AD194" s="103" t="s">
        <v>2203</v>
      </c>
      <c r="AE194" s="103" t="s">
        <v>766</v>
      </c>
      <c r="AF194" s="103" t="b">
        <v>1</v>
      </c>
    </row>
    <row r="195" spans="1:32" hidden="1" x14ac:dyDescent="0.2">
      <c r="A195" s="103" t="s">
        <v>417</v>
      </c>
      <c r="B195" s="103" t="s">
        <v>416</v>
      </c>
      <c r="C195" s="103" t="s">
        <v>2385</v>
      </c>
      <c r="E195" s="103" t="s">
        <v>2433</v>
      </c>
      <c r="G195" s="103">
        <v>287</v>
      </c>
      <c r="H195" s="103" t="s">
        <v>2152</v>
      </c>
      <c r="I195" s="103" t="s">
        <v>2153</v>
      </c>
      <c r="J195" s="103">
        <v>71.75</v>
      </c>
      <c r="K195" s="103">
        <v>71.75</v>
      </c>
      <c r="L195" s="103">
        <v>71.75</v>
      </c>
      <c r="M195" s="103">
        <v>71.75</v>
      </c>
      <c r="N195" s="103" t="s">
        <v>2163</v>
      </c>
      <c r="O195" s="103">
        <v>287</v>
      </c>
      <c r="P195" s="103" t="s">
        <v>1567</v>
      </c>
      <c r="Q195" s="103" t="s">
        <v>2236</v>
      </c>
      <c r="R195" s="103" t="s">
        <v>2156</v>
      </c>
      <c r="U195" s="103">
        <v>147.23099999999999</v>
      </c>
      <c r="V195" s="103" t="s">
        <v>2158</v>
      </c>
      <c r="W195" s="103" t="s">
        <v>114</v>
      </c>
      <c r="X195" s="103" t="s">
        <v>1597</v>
      </c>
      <c r="Y195" s="103" t="s">
        <v>1685</v>
      </c>
      <c r="AA195" s="103" t="s">
        <v>2156</v>
      </c>
      <c r="AB195" s="103" t="s">
        <v>68</v>
      </c>
      <c r="AC195" s="103" t="s">
        <v>2159</v>
      </c>
      <c r="AD195" s="103" t="s">
        <v>2388</v>
      </c>
      <c r="AE195" s="103" t="s">
        <v>766</v>
      </c>
      <c r="AF195" s="103" t="b">
        <v>1</v>
      </c>
    </row>
    <row r="196" spans="1:32" hidden="1" x14ac:dyDescent="0.2">
      <c r="A196" s="103" t="s">
        <v>419</v>
      </c>
      <c r="B196" s="103" t="s">
        <v>418</v>
      </c>
      <c r="E196" s="103" t="s">
        <v>2191</v>
      </c>
      <c r="F196" s="103" t="s">
        <v>2175</v>
      </c>
      <c r="G196" s="103">
        <v>20</v>
      </c>
      <c r="H196" s="103" t="s">
        <v>2168</v>
      </c>
      <c r="I196" s="103" t="s">
        <v>2153</v>
      </c>
      <c r="J196" s="103">
        <v>10</v>
      </c>
      <c r="K196" s="103">
        <v>10</v>
      </c>
      <c r="N196" s="103" t="s">
        <v>2163</v>
      </c>
      <c r="O196" s="103">
        <v>20</v>
      </c>
      <c r="P196" s="103" t="s">
        <v>771</v>
      </c>
      <c r="Q196" s="103" t="s">
        <v>2155</v>
      </c>
      <c r="R196" s="103" t="s">
        <v>2164</v>
      </c>
      <c r="S196" s="103" t="s">
        <v>2192</v>
      </c>
      <c r="U196" s="103">
        <v>12</v>
      </c>
      <c r="V196" s="103" t="s">
        <v>2158</v>
      </c>
      <c r="W196" s="103" t="s">
        <v>132</v>
      </c>
      <c r="X196" s="103" t="s">
        <v>1597</v>
      </c>
      <c r="Y196" s="103" t="s">
        <v>1685</v>
      </c>
      <c r="AA196" s="103" t="s">
        <v>2164</v>
      </c>
      <c r="AB196" s="103" t="s">
        <v>68</v>
      </c>
      <c r="AC196" s="103" t="s">
        <v>2193</v>
      </c>
      <c r="AD196" s="103" t="s">
        <v>2203</v>
      </c>
      <c r="AE196" s="103" t="s">
        <v>766</v>
      </c>
      <c r="AF196" s="103" t="b">
        <v>1</v>
      </c>
    </row>
    <row r="197" spans="1:32" hidden="1" x14ac:dyDescent="0.2">
      <c r="A197" s="103" t="s">
        <v>419</v>
      </c>
      <c r="B197" s="103" t="s">
        <v>418</v>
      </c>
      <c r="C197" s="103" t="s">
        <v>2442</v>
      </c>
      <c r="D197" s="103" t="s">
        <v>2442</v>
      </c>
      <c r="E197" s="103" t="s">
        <v>134</v>
      </c>
      <c r="F197" s="103" t="s">
        <v>2162</v>
      </c>
      <c r="G197" s="103">
        <v>75</v>
      </c>
      <c r="H197" s="103" t="s">
        <v>2152</v>
      </c>
      <c r="I197" s="103" t="s">
        <v>2153</v>
      </c>
      <c r="K197" s="103">
        <v>75</v>
      </c>
      <c r="N197" s="103" t="s">
        <v>2163</v>
      </c>
      <c r="O197" s="103">
        <v>75</v>
      </c>
      <c r="P197" s="103" t="s">
        <v>1059</v>
      </c>
      <c r="Q197" s="103" t="s">
        <v>2155</v>
      </c>
      <c r="R197" s="103" t="s">
        <v>1638</v>
      </c>
      <c r="S197" s="103" t="s">
        <v>2192</v>
      </c>
      <c r="U197" s="103">
        <v>85.05</v>
      </c>
      <c r="V197" s="103" t="s">
        <v>2158</v>
      </c>
      <c r="W197" s="103" t="s">
        <v>134</v>
      </c>
      <c r="X197" s="103" t="s">
        <v>1597</v>
      </c>
      <c r="Y197" s="103" t="s">
        <v>1685</v>
      </c>
      <c r="AA197" s="103" t="s">
        <v>1638</v>
      </c>
      <c r="AB197" s="103" t="s">
        <v>68</v>
      </c>
      <c r="AC197" s="103" t="s">
        <v>2159</v>
      </c>
      <c r="AD197" s="103" t="s">
        <v>2203</v>
      </c>
      <c r="AE197" s="103" t="s">
        <v>766</v>
      </c>
      <c r="AF197" s="103" t="b">
        <v>1</v>
      </c>
    </row>
    <row r="198" spans="1:32" hidden="1" x14ac:dyDescent="0.2">
      <c r="A198" s="103" t="s">
        <v>419</v>
      </c>
      <c r="B198" s="103" t="s">
        <v>418</v>
      </c>
      <c r="C198" s="103" t="s">
        <v>2443</v>
      </c>
      <c r="E198" s="103" t="s">
        <v>2208</v>
      </c>
      <c r="F198" s="103" t="s">
        <v>2202</v>
      </c>
      <c r="G198" s="103">
        <v>600</v>
      </c>
      <c r="H198" s="103" t="s">
        <v>2152</v>
      </c>
      <c r="I198" s="103" t="s">
        <v>2153</v>
      </c>
      <c r="J198" s="103">
        <v>200</v>
      </c>
      <c r="K198" s="103">
        <v>200</v>
      </c>
      <c r="L198" s="103">
        <v>200</v>
      </c>
      <c r="N198" s="103" t="s">
        <v>2163</v>
      </c>
      <c r="O198" s="103">
        <v>600</v>
      </c>
      <c r="P198" s="103" t="s">
        <v>1059</v>
      </c>
      <c r="Q198" s="103" t="s">
        <v>2155</v>
      </c>
      <c r="R198" s="103" t="s">
        <v>2156</v>
      </c>
      <c r="S198" s="103" t="s">
        <v>2192</v>
      </c>
      <c r="U198" s="103">
        <v>307.8</v>
      </c>
      <c r="V198" s="103" t="s">
        <v>2158</v>
      </c>
      <c r="W198" s="103" t="s">
        <v>114</v>
      </c>
      <c r="X198" s="103" t="s">
        <v>1597</v>
      </c>
      <c r="Y198" s="103" t="s">
        <v>1685</v>
      </c>
      <c r="AA198" s="103" t="s">
        <v>2156</v>
      </c>
      <c r="AB198" s="103" t="s">
        <v>68</v>
      </c>
      <c r="AC198" s="103" t="s">
        <v>2159</v>
      </c>
      <c r="AD198" s="103" t="s">
        <v>2203</v>
      </c>
      <c r="AE198" s="103" t="s">
        <v>766</v>
      </c>
      <c r="AF198" s="103" t="b">
        <v>1</v>
      </c>
    </row>
    <row r="199" spans="1:32" hidden="1" x14ac:dyDescent="0.2">
      <c r="A199" s="103" t="s">
        <v>419</v>
      </c>
      <c r="B199" s="103" t="s">
        <v>418</v>
      </c>
      <c r="C199" s="103" t="s">
        <v>2443</v>
      </c>
      <c r="E199" s="103" t="s">
        <v>2195</v>
      </c>
      <c r="F199" s="103" t="s">
        <v>2162</v>
      </c>
      <c r="G199" s="103">
        <v>120</v>
      </c>
      <c r="H199" s="103" t="s">
        <v>2152</v>
      </c>
      <c r="I199" s="103" t="s">
        <v>2153</v>
      </c>
      <c r="J199" s="103">
        <v>20</v>
      </c>
      <c r="K199" s="103">
        <v>40</v>
      </c>
      <c r="L199" s="103">
        <v>60</v>
      </c>
      <c r="N199" s="103" t="s">
        <v>2163</v>
      </c>
      <c r="O199" s="103">
        <v>120</v>
      </c>
      <c r="P199" s="103" t="s">
        <v>1059</v>
      </c>
      <c r="Q199" s="103" t="s">
        <v>2155</v>
      </c>
      <c r="R199" s="103" t="s">
        <v>2156</v>
      </c>
      <c r="S199" s="103" t="s">
        <v>2192</v>
      </c>
      <c r="U199" s="103">
        <v>61.56</v>
      </c>
      <c r="V199" s="103" t="s">
        <v>2158</v>
      </c>
      <c r="W199" s="103" t="s">
        <v>114</v>
      </c>
      <c r="X199" s="103" t="s">
        <v>1597</v>
      </c>
      <c r="Y199" s="103" t="s">
        <v>1685</v>
      </c>
      <c r="AA199" s="103" t="s">
        <v>2156</v>
      </c>
      <c r="AB199" s="103" t="s">
        <v>68</v>
      </c>
      <c r="AC199" s="103" t="s">
        <v>2159</v>
      </c>
      <c r="AD199" s="103" t="s">
        <v>2203</v>
      </c>
      <c r="AE199" s="103" t="s">
        <v>766</v>
      </c>
      <c r="AF199" s="103" t="b">
        <v>1</v>
      </c>
    </row>
    <row r="200" spans="1:32" hidden="1" x14ac:dyDescent="0.2">
      <c r="A200" s="103" t="s">
        <v>419</v>
      </c>
      <c r="B200" s="103" t="s">
        <v>418</v>
      </c>
      <c r="C200" s="103" t="s">
        <v>2444</v>
      </c>
      <c r="E200" s="103" t="s">
        <v>2167</v>
      </c>
      <c r="F200" s="103" t="s">
        <v>2162</v>
      </c>
      <c r="G200" s="103">
        <v>140</v>
      </c>
      <c r="H200" s="103" t="s">
        <v>2152</v>
      </c>
      <c r="I200" s="103" t="s">
        <v>2153</v>
      </c>
      <c r="J200" s="103">
        <v>10</v>
      </c>
      <c r="K200" s="103">
        <v>60</v>
      </c>
      <c r="L200" s="103">
        <v>70</v>
      </c>
      <c r="N200" s="103" t="s">
        <v>2163</v>
      </c>
      <c r="O200" s="103">
        <v>140</v>
      </c>
      <c r="P200" s="103" t="s">
        <v>1059</v>
      </c>
      <c r="Q200" s="103" t="s">
        <v>2155</v>
      </c>
      <c r="R200" s="103" t="s">
        <v>2156</v>
      </c>
      <c r="S200" s="103" t="s">
        <v>2192</v>
      </c>
      <c r="U200" s="103">
        <v>71.819999999999993</v>
      </c>
      <c r="V200" s="103" t="s">
        <v>2158</v>
      </c>
      <c r="W200" s="103" t="s">
        <v>114</v>
      </c>
      <c r="X200" s="103" t="s">
        <v>1597</v>
      </c>
      <c r="Y200" s="103" t="s">
        <v>1685</v>
      </c>
      <c r="AA200" s="103" t="s">
        <v>2156</v>
      </c>
      <c r="AB200" s="103" t="s">
        <v>68</v>
      </c>
      <c r="AC200" s="103" t="s">
        <v>2159</v>
      </c>
      <c r="AD200" s="103" t="s">
        <v>2203</v>
      </c>
      <c r="AE200" s="103" t="s">
        <v>766</v>
      </c>
      <c r="AF200" s="103" t="b">
        <v>1</v>
      </c>
    </row>
    <row r="201" spans="1:32" hidden="1" x14ac:dyDescent="0.2">
      <c r="A201" s="103" t="s">
        <v>419</v>
      </c>
      <c r="B201" s="103" t="s">
        <v>418</v>
      </c>
      <c r="E201" s="103" t="s">
        <v>2204</v>
      </c>
      <c r="F201" s="103" t="s">
        <v>2151</v>
      </c>
      <c r="G201" s="103">
        <v>100</v>
      </c>
      <c r="H201" s="103" t="s">
        <v>2168</v>
      </c>
      <c r="I201" s="103" t="s">
        <v>2153</v>
      </c>
      <c r="J201" s="103">
        <v>30</v>
      </c>
      <c r="K201" s="103">
        <v>30</v>
      </c>
      <c r="L201" s="103">
        <v>20</v>
      </c>
      <c r="M201" s="103">
        <v>20</v>
      </c>
      <c r="N201" s="103" t="s">
        <v>2163</v>
      </c>
      <c r="O201" s="103">
        <v>100</v>
      </c>
      <c r="P201" s="103" t="s">
        <v>771</v>
      </c>
      <c r="Q201" s="103" t="s">
        <v>2155</v>
      </c>
      <c r="R201" s="103" t="s">
        <v>2164</v>
      </c>
      <c r="S201" s="103" t="s">
        <v>2192</v>
      </c>
      <c r="U201" s="103">
        <v>60</v>
      </c>
      <c r="V201" s="103" t="s">
        <v>2158</v>
      </c>
      <c r="W201" s="103" t="s">
        <v>132</v>
      </c>
      <c r="X201" s="103" t="s">
        <v>1597</v>
      </c>
      <c r="Y201" s="103" t="s">
        <v>1685</v>
      </c>
      <c r="AA201" s="103" t="s">
        <v>2164</v>
      </c>
      <c r="AB201" s="103" t="s">
        <v>68</v>
      </c>
      <c r="AC201" s="103" t="s">
        <v>2193</v>
      </c>
      <c r="AD201" s="103" t="s">
        <v>2203</v>
      </c>
      <c r="AE201" s="103" t="s">
        <v>766</v>
      </c>
      <c r="AF201" s="103" t="b">
        <v>1</v>
      </c>
    </row>
    <row r="202" spans="1:32" hidden="1" x14ac:dyDescent="0.2">
      <c r="A202" s="103" t="s">
        <v>421</v>
      </c>
      <c r="B202" s="103" t="s">
        <v>420</v>
      </c>
      <c r="C202" s="103" t="s">
        <v>421</v>
      </c>
      <c r="D202" s="103" t="s">
        <v>421</v>
      </c>
      <c r="E202" s="103" t="s">
        <v>2414</v>
      </c>
      <c r="F202" s="103" t="s">
        <v>2228</v>
      </c>
      <c r="G202" s="103">
        <v>1600</v>
      </c>
      <c r="H202" s="103" t="s">
        <v>2152</v>
      </c>
      <c r="I202" s="103" t="s">
        <v>2153</v>
      </c>
      <c r="J202" s="103">
        <v>400</v>
      </c>
      <c r="K202" s="103">
        <v>400</v>
      </c>
      <c r="L202" s="103">
        <v>400</v>
      </c>
      <c r="M202" s="103">
        <v>400</v>
      </c>
      <c r="N202" s="103" t="s">
        <v>2163</v>
      </c>
      <c r="O202" s="103">
        <v>1600</v>
      </c>
      <c r="P202" s="103" t="s">
        <v>1571</v>
      </c>
      <c r="Q202" s="103" t="s">
        <v>2236</v>
      </c>
      <c r="R202" s="103" t="s">
        <v>2156</v>
      </c>
      <c r="U202" s="103">
        <v>820.8</v>
      </c>
      <c r="V202" s="103" t="s">
        <v>2158</v>
      </c>
      <c r="W202" s="103" t="s">
        <v>122</v>
      </c>
      <c r="X202" s="103" t="s">
        <v>1597</v>
      </c>
      <c r="Y202" s="103" t="s">
        <v>1685</v>
      </c>
      <c r="AA202" s="103" t="s">
        <v>2156</v>
      </c>
      <c r="AB202" s="103" t="s">
        <v>74</v>
      </c>
      <c r="AC202" s="103" t="s">
        <v>122</v>
      </c>
      <c r="AD202" s="103" t="s">
        <v>2388</v>
      </c>
      <c r="AE202" s="103" t="s">
        <v>1241</v>
      </c>
      <c r="AF202" s="103" t="b">
        <v>1</v>
      </c>
    </row>
    <row r="203" spans="1:32" hidden="1" x14ac:dyDescent="0.2">
      <c r="A203" s="103" t="s">
        <v>421</v>
      </c>
      <c r="B203" s="103" t="s">
        <v>420</v>
      </c>
      <c r="C203" s="103" t="s">
        <v>2445</v>
      </c>
      <c r="D203" s="103" t="s">
        <v>2446</v>
      </c>
      <c r="E203" s="103" t="s">
        <v>2447</v>
      </c>
      <c r="F203" s="103" t="s">
        <v>2175</v>
      </c>
      <c r="G203" s="103">
        <v>20</v>
      </c>
      <c r="H203" s="103" t="s">
        <v>2168</v>
      </c>
      <c r="I203" s="103" t="s">
        <v>2153</v>
      </c>
      <c r="M203" s="103">
        <v>20</v>
      </c>
      <c r="N203" s="103" t="s">
        <v>2154</v>
      </c>
      <c r="O203" s="103">
        <v>20</v>
      </c>
      <c r="P203" s="103" t="s">
        <v>1649</v>
      </c>
      <c r="Q203" s="103" t="s">
        <v>2236</v>
      </c>
      <c r="R203" s="103" t="s">
        <v>121</v>
      </c>
      <c r="S203" s="103" t="s">
        <v>2448</v>
      </c>
      <c r="U203" s="103">
        <v>10.26</v>
      </c>
      <c r="V203" s="103" t="s">
        <v>2158</v>
      </c>
      <c r="W203" s="103" t="s">
        <v>121</v>
      </c>
      <c r="X203" s="103" t="s">
        <v>1597</v>
      </c>
      <c r="Y203" s="103" t="s">
        <v>1685</v>
      </c>
      <c r="AA203" s="103" t="s">
        <v>121</v>
      </c>
      <c r="AB203" s="103" t="s">
        <v>74</v>
      </c>
      <c r="AE203" s="103" t="s">
        <v>1241</v>
      </c>
      <c r="AF203" s="103" t="b">
        <v>1</v>
      </c>
    </row>
    <row r="204" spans="1:32" hidden="1" x14ac:dyDescent="0.2">
      <c r="A204" s="103" t="s">
        <v>421</v>
      </c>
      <c r="B204" s="103" t="s">
        <v>420</v>
      </c>
      <c r="C204" s="103" t="s">
        <v>2445</v>
      </c>
      <c r="D204" s="103" t="s">
        <v>2449</v>
      </c>
      <c r="E204" s="103" t="s">
        <v>2447</v>
      </c>
      <c r="F204" s="103" t="s">
        <v>2151</v>
      </c>
      <c r="G204" s="103">
        <v>100</v>
      </c>
      <c r="H204" s="103" t="s">
        <v>2168</v>
      </c>
      <c r="I204" s="103" t="s">
        <v>2153</v>
      </c>
      <c r="L204" s="103">
        <v>50</v>
      </c>
      <c r="M204" s="103">
        <v>50</v>
      </c>
      <c r="N204" s="103" t="s">
        <v>2154</v>
      </c>
      <c r="O204" s="103">
        <v>100</v>
      </c>
      <c r="P204" s="103" t="s">
        <v>1649</v>
      </c>
      <c r="Q204" s="103" t="s">
        <v>2236</v>
      </c>
      <c r="R204" s="103" t="s">
        <v>121</v>
      </c>
      <c r="S204" s="103" t="s">
        <v>2448</v>
      </c>
      <c r="U204" s="103">
        <v>51.3</v>
      </c>
      <c r="V204" s="103" t="s">
        <v>2158</v>
      </c>
      <c r="W204" s="103" t="s">
        <v>121</v>
      </c>
      <c r="X204" s="103" t="s">
        <v>1597</v>
      </c>
      <c r="Y204" s="103" t="s">
        <v>1685</v>
      </c>
      <c r="AA204" s="103" t="s">
        <v>121</v>
      </c>
      <c r="AB204" s="103" t="s">
        <v>74</v>
      </c>
      <c r="AE204" s="103" t="s">
        <v>1241</v>
      </c>
      <c r="AF204" s="103" t="b">
        <v>1</v>
      </c>
    </row>
    <row r="205" spans="1:32" hidden="1" x14ac:dyDescent="0.2">
      <c r="A205" s="103" t="s">
        <v>421</v>
      </c>
      <c r="B205" s="103" t="s">
        <v>420</v>
      </c>
      <c r="C205" s="103" t="s">
        <v>2445</v>
      </c>
      <c r="D205" s="103" t="s">
        <v>2450</v>
      </c>
      <c r="E205" s="103" t="s">
        <v>2447</v>
      </c>
      <c r="F205" s="103" t="s">
        <v>2151</v>
      </c>
      <c r="G205" s="103">
        <v>100</v>
      </c>
      <c r="H205" s="103" t="s">
        <v>2168</v>
      </c>
      <c r="I205" s="103" t="s">
        <v>2153</v>
      </c>
      <c r="J205" s="103">
        <v>50</v>
      </c>
      <c r="K205" s="103">
        <v>50</v>
      </c>
      <c r="N205" s="103" t="s">
        <v>2154</v>
      </c>
      <c r="O205" s="103">
        <v>100</v>
      </c>
      <c r="P205" s="103" t="s">
        <v>1649</v>
      </c>
      <c r="Q205" s="103" t="s">
        <v>2236</v>
      </c>
      <c r="R205" s="103" t="s">
        <v>121</v>
      </c>
      <c r="S205" s="103" t="s">
        <v>2448</v>
      </c>
      <c r="U205" s="103">
        <v>51.3</v>
      </c>
      <c r="V205" s="103" t="s">
        <v>2158</v>
      </c>
      <c r="W205" s="103" t="s">
        <v>121</v>
      </c>
      <c r="X205" s="103" t="s">
        <v>1597</v>
      </c>
      <c r="Y205" s="103" t="s">
        <v>1685</v>
      </c>
      <c r="AA205" s="103" t="s">
        <v>121</v>
      </c>
      <c r="AB205" s="103" t="s">
        <v>74</v>
      </c>
      <c r="AE205" s="103" t="s">
        <v>1241</v>
      </c>
      <c r="AF205" s="103" t="b">
        <v>1</v>
      </c>
    </row>
    <row r="206" spans="1:32" hidden="1" x14ac:dyDescent="0.2">
      <c r="A206" s="103" t="s">
        <v>421</v>
      </c>
      <c r="B206" s="103" t="s">
        <v>420</v>
      </c>
      <c r="C206" s="103" t="s">
        <v>2445</v>
      </c>
      <c r="D206" s="103" t="s">
        <v>2451</v>
      </c>
      <c r="E206" s="103" t="s">
        <v>2447</v>
      </c>
      <c r="F206" s="103" t="s">
        <v>2202</v>
      </c>
      <c r="G206" s="103">
        <v>200</v>
      </c>
      <c r="H206" s="103" t="s">
        <v>2168</v>
      </c>
      <c r="I206" s="103" t="s">
        <v>2153</v>
      </c>
      <c r="K206" s="103">
        <v>50</v>
      </c>
      <c r="L206" s="103">
        <v>50</v>
      </c>
      <c r="M206" s="103">
        <v>100</v>
      </c>
      <c r="N206" s="103" t="s">
        <v>2163</v>
      </c>
      <c r="O206" s="103">
        <v>200</v>
      </c>
      <c r="P206" s="103" t="s">
        <v>1649</v>
      </c>
      <c r="Q206" s="103" t="s">
        <v>2236</v>
      </c>
      <c r="R206" s="103" t="s">
        <v>121</v>
      </c>
      <c r="S206" s="103" t="s">
        <v>2448</v>
      </c>
      <c r="U206" s="103">
        <v>102.6</v>
      </c>
      <c r="V206" s="103" t="s">
        <v>2158</v>
      </c>
      <c r="W206" s="103" t="s">
        <v>121</v>
      </c>
      <c r="X206" s="103" t="s">
        <v>1597</v>
      </c>
      <c r="Y206" s="103" t="s">
        <v>1685</v>
      </c>
      <c r="AA206" s="103" t="s">
        <v>121</v>
      </c>
      <c r="AB206" s="103" t="s">
        <v>74</v>
      </c>
      <c r="AE206" s="103" t="s">
        <v>1241</v>
      </c>
      <c r="AF206" s="103" t="b">
        <v>1</v>
      </c>
    </row>
    <row r="207" spans="1:32" hidden="1" x14ac:dyDescent="0.2">
      <c r="A207" s="103" t="s">
        <v>421</v>
      </c>
      <c r="B207" s="103" t="s">
        <v>420</v>
      </c>
      <c r="C207" s="103" t="s">
        <v>2445</v>
      </c>
      <c r="D207" s="103" t="s">
        <v>2452</v>
      </c>
      <c r="E207" s="103" t="s">
        <v>2447</v>
      </c>
      <c r="F207" s="103" t="s">
        <v>2151</v>
      </c>
      <c r="G207" s="103">
        <v>100</v>
      </c>
      <c r="H207" s="103" t="s">
        <v>2168</v>
      </c>
      <c r="I207" s="103" t="s">
        <v>2153</v>
      </c>
      <c r="J207" s="103">
        <v>50</v>
      </c>
      <c r="K207" s="103">
        <v>50</v>
      </c>
      <c r="N207" s="103" t="s">
        <v>2163</v>
      </c>
      <c r="O207" s="103">
        <v>100</v>
      </c>
      <c r="P207" s="103" t="s">
        <v>1649</v>
      </c>
      <c r="Q207" s="103" t="s">
        <v>2236</v>
      </c>
      <c r="R207" s="103" t="s">
        <v>121</v>
      </c>
      <c r="S207" s="103" t="s">
        <v>2448</v>
      </c>
      <c r="U207" s="103">
        <v>51.3</v>
      </c>
      <c r="V207" s="103" t="s">
        <v>2158</v>
      </c>
      <c r="W207" s="103" t="s">
        <v>121</v>
      </c>
      <c r="X207" s="103" t="s">
        <v>1597</v>
      </c>
      <c r="Y207" s="103" t="s">
        <v>1685</v>
      </c>
      <c r="AA207" s="103" t="s">
        <v>121</v>
      </c>
      <c r="AB207" s="103" t="s">
        <v>74</v>
      </c>
      <c r="AE207" s="103" t="s">
        <v>1241</v>
      </c>
      <c r="AF207" s="103" t="b">
        <v>1</v>
      </c>
    </row>
    <row r="208" spans="1:32" hidden="1" x14ac:dyDescent="0.2">
      <c r="A208" s="103" t="s">
        <v>421</v>
      </c>
      <c r="B208" s="103" t="s">
        <v>420</v>
      </c>
      <c r="C208" s="103" t="s">
        <v>2445</v>
      </c>
      <c r="D208" s="103" t="s">
        <v>2453</v>
      </c>
      <c r="E208" s="103" t="s">
        <v>2447</v>
      </c>
      <c r="F208" s="103" t="s">
        <v>2151</v>
      </c>
      <c r="G208" s="103">
        <v>100</v>
      </c>
      <c r="H208" s="103" t="s">
        <v>2168</v>
      </c>
      <c r="I208" s="103" t="s">
        <v>2153</v>
      </c>
      <c r="K208" s="103">
        <v>50</v>
      </c>
      <c r="L208" s="103">
        <v>50</v>
      </c>
      <c r="N208" s="103" t="s">
        <v>2154</v>
      </c>
      <c r="O208" s="103">
        <v>100</v>
      </c>
      <c r="P208" s="103" t="s">
        <v>1649</v>
      </c>
      <c r="Q208" s="103" t="s">
        <v>2236</v>
      </c>
      <c r="R208" s="103" t="s">
        <v>121</v>
      </c>
      <c r="S208" s="103" t="s">
        <v>2448</v>
      </c>
      <c r="U208" s="103">
        <v>51.3</v>
      </c>
      <c r="V208" s="103" t="s">
        <v>2158</v>
      </c>
      <c r="W208" s="103" t="s">
        <v>121</v>
      </c>
      <c r="X208" s="103" t="s">
        <v>1597</v>
      </c>
      <c r="Y208" s="103" t="s">
        <v>1685</v>
      </c>
      <c r="AA208" s="103" t="s">
        <v>121</v>
      </c>
      <c r="AB208" s="103" t="s">
        <v>74</v>
      </c>
      <c r="AE208" s="103" t="s">
        <v>1241</v>
      </c>
      <c r="AF208" s="103" t="b">
        <v>1</v>
      </c>
    </row>
    <row r="209" spans="1:32" hidden="1" x14ac:dyDescent="0.2">
      <c r="A209" s="103" t="s">
        <v>421</v>
      </c>
      <c r="B209" s="103" t="s">
        <v>420</v>
      </c>
      <c r="C209" s="103" t="s">
        <v>2445</v>
      </c>
      <c r="D209" s="103" t="s">
        <v>2454</v>
      </c>
      <c r="E209" s="103" t="s">
        <v>2447</v>
      </c>
      <c r="F209" s="103" t="s">
        <v>2202</v>
      </c>
      <c r="G209" s="103">
        <v>200</v>
      </c>
      <c r="H209" s="103" t="s">
        <v>2168</v>
      </c>
      <c r="I209" s="103" t="s">
        <v>2153</v>
      </c>
      <c r="J209" s="103">
        <v>50</v>
      </c>
      <c r="K209" s="103">
        <v>50</v>
      </c>
      <c r="L209" s="103">
        <v>50</v>
      </c>
      <c r="M209" s="103">
        <v>50</v>
      </c>
      <c r="N209" s="103" t="s">
        <v>2154</v>
      </c>
      <c r="O209" s="103">
        <v>200</v>
      </c>
      <c r="P209" s="103" t="s">
        <v>1649</v>
      </c>
      <c r="Q209" s="103" t="s">
        <v>2236</v>
      </c>
      <c r="R209" s="103" t="s">
        <v>121</v>
      </c>
      <c r="S209" s="103" t="s">
        <v>2448</v>
      </c>
      <c r="U209" s="103">
        <v>102.6</v>
      </c>
      <c r="V209" s="103" t="s">
        <v>2158</v>
      </c>
      <c r="W209" s="103" t="s">
        <v>121</v>
      </c>
      <c r="X209" s="103" t="s">
        <v>1597</v>
      </c>
      <c r="Y209" s="103" t="s">
        <v>1685</v>
      </c>
      <c r="AA209" s="103" t="s">
        <v>121</v>
      </c>
      <c r="AB209" s="103" t="s">
        <v>74</v>
      </c>
      <c r="AE209" s="103" t="s">
        <v>1241</v>
      </c>
      <c r="AF209" s="103" t="b">
        <v>1</v>
      </c>
    </row>
    <row r="210" spans="1:32" hidden="1" x14ac:dyDescent="0.2">
      <c r="A210" s="103" t="s">
        <v>421</v>
      </c>
      <c r="B210" s="103" t="s">
        <v>420</v>
      </c>
      <c r="C210" s="103" t="s">
        <v>2445</v>
      </c>
      <c r="D210" s="103" t="s">
        <v>2455</v>
      </c>
      <c r="E210" s="103" t="s">
        <v>2447</v>
      </c>
      <c r="F210" s="103" t="s">
        <v>2162</v>
      </c>
      <c r="G210" s="103">
        <v>50</v>
      </c>
      <c r="H210" s="103" t="s">
        <v>2168</v>
      </c>
      <c r="I210" s="103" t="s">
        <v>2153</v>
      </c>
      <c r="J210" s="103">
        <v>50</v>
      </c>
      <c r="N210" s="103" t="s">
        <v>2163</v>
      </c>
      <c r="O210" s="103">
        <v>50</v>
      </c>
      <c r="P210" s="103" t="s">
        <v>1649</v>
      </c>
      <c r="Q210" s="103" t="s">
        <v>2236</v>
      </c>
      <c r="R210" s="103" t="s">
        <v>121</v>
      </c>
      <c r="S210" s="103" t="s">
        <v>2448</v>
      </c>
      <c r="U210" s="103">
        <v>25.65</v>
      </c>
      <c r="V210" s="103" t="s">
        <v>2158</v>
      </c>
      <c r="W210" s="103" t="s">
        <v>121</v>
      </c>
      <c r="X210" s="103" t="s">
        <v>1597</v>
      </c>
      <c r="Y210" s="103" t="s">
        <v>1685</v>
      </c>
      <c r="AA210" s="103" t="s">
        <v>121</v>
      </c>
      <c r="AB210" s="103" t="s">
        <v>74</v>
      </c>
      <c r="AE210" s="103" t="s">
        <v>1241</v>
      </c>
      <c r="AF210" s="103" t="b">
        <v>1</v>
      </c>
    </row>
    <row r="211" spans="1:32" hidden="1" x14ac:dyDescent="0.2">
      <c r="A211" s="103" t="s">
        <v>421</v>
      </c>
      <c r="B211" s="103" t="s">
        <v>420</v>
      </c>
      <c r="C211" s="103" t="s">
        <v>2445</v>
      </c>
      <c r="D211" s="103" t="s">
        <v>2456</v>
      </c>
      <c r="E211" s="103" t="s">
        <v>2447</v>
      </c>
      <c r="F211" s="103" t="s">
        <v>2232</v>
      </c>
      <c r="G211" s="103">
        <v>300</v>
      </c>
      <c r="H211" s="103" t="s">
        <v>2168</v>
      </c>
      <c r="I211" s="103" t="s">
        <v>2153</v>
      </c>
      <c r="J211" s="103">
        <v>100</v>
      </c>
      <c r="K211" s="103">
        <v>100</v>
      </c>
      <c r="L211" s="103">
        <v>100</v>
      </c>
      <c r="N211" s="103" t="s">
        <v>2163</v>
      </c>
      <c r="O211" s="103">
        <v>300</v>
      </c>
      <c r="P211" s="103" t="s">
        <v>1649</v>
      </c>
      <c r="Q211" s="103" t="s">
        <v>2236</v>
      </c>
      <c r="R211" s="103" t="s">
        <v>121</v>
      </c>
      <c r="S211" s="103" t="s">
        <v>2157</v>
      </c>
      <c r="U211" s="103">
        <v>153.9</v>
      </c>
      <c r="V211" s="103" t="s">
        <v>2158</v>
      </c>
      <c r="W211" s="103" t="s">
        <v>121</v>
      </c>
      <c r="X211" s="103" t="s">
        <v>1597</v>
      </c>
      <c r="Y211" s="103" t="s">
        <v>1685</v>
      </c>
      <c r="AA211" s="103" t="s">
        <v>121</v>
      </c>
      <c r="AB211" s="103" t="s">
        <v>74</v>
      </c>
      <c r="AE211" s="103" t="s">
        <v>1241</v>
      </c>
      <c r="AF211" s="103" t="b">
        <v>1</v>
      </c>
    </row>
    <row r="212" spans="1:32" hidden="1" x14ac:dyDescent="0.2">
      <c r="A212" s="103" t="s">
        <v>421</v>
      </c>
      <c r="B212" s="103" t="s">
        <v>420</v>
      </c>
      <c r="C212" s="103" t="s">
        <v>2445</v>
      </c>
      <c r="D212" s="103" t="s">
        <v>2457</v>
      </c>
      <c r="E212" s="103" t="s">
        <v>2447</v>
      </c>
      <c r="F212" s="103" t="s">
        <v>2162</v>
      </c>
      <c r="G212" s="103">
        <v>50</v>
      </c>
      <c r="H212" s="103" t="s">
        <v>2168</v>
      </c>
      <c r="I212" s="103" t="s">
        <v>2153</v>
      </c>
      <c r="L212" s="103">
        <v>50</v>
      </c>
      <c r="N212" s="103" t="s">
        <v>2154</v>
      </c>
      <c r="O212" s="103">
        <v>50</v>
      </c>
      <c r="P212" s="103" t="s">
        <v>1649</v>
      </c>
      <c r="Q212" s="103" t="s">
        <v>2236</v>
      </c>
      <c r="R212" s="103" t="s">
        <v>121</v>
      </c>
      <c r="S212" s="103" t="s">
        <v>2448</v>
      </c>
      <c r="U212" s="103">
        <v>25.65</v>
      </c>
      <c r="V212" s="103" t="s">
        <v>2158</v>
      </c>
      <c r="W212" s="103" t="s">
        <v>121</v>
      </c>
      <c r="X212" s="103" t="s">
        <v>1597</v>
      </c>
      <c r="Y212" s="103" t="s">
        <v>1685</v>
      </c>
      <c r="AA212" s="103" t="s">
        <v>121</v>
      </c>
      <c r="AB212" s="103" t="s">
        <v>74</v>
      </c>
      <c r="AE212" s="103" t="s">
        <v>1241</v>
      </c>
      <c r="AF212" s="103" t="b">
        <v>1</v>
      </c>
    </row>
    <row r="213" spans="1:32" hidden="1" x14ac:dyDescent="0.2">
      <c r="A213" s="103" t="s">
        <v>421</v>
      </c>
      <c r="B213" s="103" t="s">
        <v>420</v>
      </c>
      <c r="C213" s="103" t="s">
        <v>2445</v>
      </c>
      <c r="D213" s="103" t="s">
        <v>2458</v>
      </c>
      <c r="E213" s="103" t="s">
        <v>2447</v>
      </c>
      <c r="F213" s="103" t="s">
        <v>2162</v>
      </c>
      <c r="G213" s="103">
        <v>50</v>
      </c>
      <c r="H213" s="103" t="s">
        <v>2168</v>
      </c>
      <c r="I213" s="103" t="s">
        <v>2153</v>
      </c>
      <c r="L213" s="103">
        <v>50</v>
      </c>
      <c r="N213" s="103" t="s">
        <v>2163</v>
      </c>
      <c r="O213" s="103">
        <v>50</v>
      </c>
      <c r="P213" s="103" t="s">
        <v>1649</v>
      </c>
      <c r="Q213" s="103" t="s">
        <v>2236</v>
      </c>
      <c r="R213" s="103" t="s">
        <v>121</v>
      </c>
      <c r="S213" s="103" t="s">
        <v>2448</v>
      </c>
      <c r="U213" s="103">
        <v>25.65</v>
      </c>
      <c r="V213" s="103" t="s">
        <v>2158</v>
      </c>
      <c r="W213" s="103" t="s">
        <v>121</v>
      </c>
      <c r="X213" s="103" t="s">
        <v>1597</v>
      </c>
      <c r="Y213" s="103" t="s">
        <v>1685</v>
      </c>
      <c r="AA213" s="103" t="s">
        <v>121</v>
      </c>
      <c r="AB213" s="103" t="s">
        <v>74</v>
      </c>
      <c r="AE213" s="103" t="s">
        <v>1241</v>
      </c>
      <c r="AF213" s="103" t="b">
        <v>1</v>
      </c>
    </row>
    <row r="214" spans="1:32" hidden="1" x14ac:dyDescent="0.2">
      <c r="A214" s="103" t="s">
        <v>421</v>
      </c>
      <c r="B214" s="103" t="s">
        <v>420</v>
      </c>
      <c r="C214" s="103" t="s">
        <v>2445</v>
      </c>
      <c r="D214" s="103" t="s">
        <v>2459</v>
      </c>
      <c r="E214" s="103" t="s">
        <v>2460</v>
      </c>
      <c r="F214" s="103" t="s">
        <v>2151</v>
      </c>
      <c r="G214" s="103">
        <v>120</v>
      </c>
      <c r="H214" s="103" t="s">
        <v>2152</v>
      </c>
      <c r="I214" s="103" t="s">
        <v>2153</v>
      </c>
      <c r="L214" s="103">
        <v>60</v>
      </c>
      <c r="M214" s="103">
        <v>60</v>
      </c>
      <c r="N214" s="103" t="s">
        <v>2154</v>
      </c>
      <c r="O214" s="103">
        <v>120</v>
      </c>
      <c r="P214" s="103" t="s">
        <v>1649</v>
      </c>
      <c r="Q214" s="103" t="s">
        <v>2236</v>
      </c>
      <c r="R214" s="103" t="s">
        <v>2156</v>
      </c>
      <c r="S214" s="103" t="s">
        <v>2448</v>
      </c>
      <c r="U214" s="103">
        <v>61.56</v>
      </c>
      <c r="V214" s="103" t="s">
        <v>2158</v>
      </c>
      <c r="W214" s="103" t="s">
        <v>122</v>
      </c>
      <c r="X214" s="103" t="s">
        <v>1597</v>
      </c>
      <c r="Y214" s="103" t="s">
        <v>1685</v>
      </c>
      <c r="AA214" s="103" t="s">
        <v>2156</v>
      </c>
      <c r="AB214" s="103" t="s">
        <v>74</v>
      </c>
      <c r="AE214" s="103" t="s">
        <v>1241</v>
      </c>
      <c r="AF214" s="103" t="b">
        <v>1</v>
      </c>
    </row>
    <row r="215" spans="1:32" hidden="1" x14ac:dyDescent="0.2">
      <c r="A215" s="103" t="s">
        <v>421</v>
      </c>
      <c r="B215" s="103" t="s">
        <v>420</v>
      </c>
      <c r="C215" s="103" t="s">
        <v>2445</v>
      </c>
      <c r="D215" s="103" t="s">
        <v>2461</v>
      </c>
      <c r="E215" s="103" t="s">
        <v>2414</v>
      </c>
      <c r="F215" s="103" t="s">
        <v>2162</v>
      </c>
      <c r="G215" s="103">
        <v>40</v>
      </c>
      <c r="H215" s="103" t="s">
        <v>2152</v>
      </c>
      <c r="I215" s="103" t="s">
        <v>2153</v>
      </c>
      <c r="L215" s="103">
        <v>20</v>
      </c>
      <c r="M215" s="103">
        <v>20</v>
      </c>
      <c r="N215" s="103" t="s">
        <v>2154</v>
      </c>
      <c r="O215" s="103">
        <v>40</v>
      </c>
      <c r="P215" s="103" t="s">
        <v>1649</v>
      </c>
      <c r="Q215" s="103" t="s">
        <v>2236</v>
      </c>
      <c r="R215" s="103" t="s">
        <v>2156</v>
      </c>
      <c r="S215" s="103" t="s">
        <v>2448</v>
      </c>
      <c r="U215" s="103">
        <v>20.52</v>
      </c>
      <c r="V215" s="103" t="s">
        <v>2158</v>
      </c>
      <c r="W215" s="103" t="s">
        <v>122</v>
      </c>
      <c r="X215" s="103" t="s">
        <v>1597</v>
      </c>
      <c r="Y215" s="103" t="s">
        <v>1685</v>
      </c>
      <c r="AA215" s="103" t="s">
        <v>2156</v>
      </c>
      <c r="AB215" s="103" t="s">
        <v>74</v>
      </c>
      <c r="AE215" s="103" t="s">
        <v>1241</v>
      </c>
      <c r="AF215" s="103" t="b">
        <v>1</v>
      </c>
    </row>
    <row r="216" spans="1:32" hidden="1" x14ac:dyDescent="0.2">
      <c r="A216" s="103" t="s">
        <v>421</v>
      </c>
      <c r="B216" s="103" t="s">
        <v>420</v>
      </c>
      <c r="C216" s="103" t="s">
        <v>2445</v>
      </c>
      <c r="D216" s="103" t="s">
        <v>2462</v>
      </c>
      <c r="E216" s="103" t="s">
        <v>2447</v>
      </c>
      <c r="F216" s="103" t="s">
        <v>2162</v>
      </c>
      <c r="G216" s="103">
        <v>50</v>
      </c>
      <c r="H216" s="103" t="s">
        <v>2168</v>
      </c>
      <c r="I216" s="103" t="s">
        <v>2153</v>
      </c>
      <c r="J216" s="103">
        <v>50</v>
      </c>
      <c r="N216" s="103" t="s">
        <v>2260</v>
      </c>
      <c r="O216" s="103">
        <v>50</v>
      </c>
      <c r="P216" s="103" t="s">
        <v>1649</v>
      </c>
      <c r="Q216" s="103" t="s">
        <v>2236</v>
      </c>
      <c r="R216" s="103" t="s">
        <v>121</v>
      </c>
      <c r="S216" s="103" t="s">
        <v>2448</v>
      </c>
      <c r="U216" s="103">
        <v>25.65</v>
      </c>
      <c r="V216" s="103" t="s">
        <v>2262</v>
      </c>
      <c r="W216" s="103" t="s">
        <v>121</v>
      </c>
      <c r="X216" s="103" t="s">
        <v>1597</v>
      </c>
      <c r="Y216" s="103" t="s">
        <v>1685</v>
      </c>
      <c r="AA216" s="103" t="s">
        <v>121</v>
      </c>
      <c r="AB216" s="103" t="s">
        <v>74</v>
      </c>
      <c r="AE216" s="103" t="s">
        <v>1241</v>
      </c>
      <c r="AF216" s="103" t="b">
        <v>1</v>
      </c>
    </row>
    <row r="217" spans="1:32" hidden="1" x14ac:dyDescent="0.2">
      <c r="A217" s="103" t="s">
        <v>421</v>
      </c>
      <c r="B217" s="103" t="s">
        <v>420</v>
      </c>
      <c r="C217" s="103" t="s">
        <v>2445</v>
      </c>
      <c r="D217" s="103" t="s">
        <v>2463</v>
      </c>
      <c r="E217" s="103" t="s">
        <v>2447</v>
      </c>
      <c r="F217" s="103" t="s">
        <v>2151</v>
      </c>
      <c r="G217" s="103">
        <v>100</v>
      </c>
      <c r="H217" s="103" t="s">
        <v>2168</v>
      </c>
      <c r="I217" s="103" t="s">
        <v>2153</v>
      </c>
      <c r="J217" s="103">
        <v>50</v>
      </c>
      <c r="K217" s="103">
        <v>50</v>
      </c>
      <c r="N217" s="103" t="s">
        <v>2260</v>
      </c>
      <c r="O217" s="103">
        <v>100</v>
      </c>
      <c r="P217" s="103" t="s">
        <v>1649</v>
      </c>
      <c r="Q217" s="103" t="s">
        <v>2236</v>
      </c>
      <c r="R217" s="103" t="s">
        <v>121</v>
      </c>
      <c r="S217" s="103" t="s">
        <v>2448</v>
      </c>
      <c r="U217" s="103">
        <v>51.3</v>
      </c>
      <c r="V217" s="103" t="s">
        <v>2262</v>
      </c>
      <c r="W217" s="103" t="s">
        <v>121</v>
      </c>
      <c r="X217" s="103" t="s">
        <v>1597</v>
      </c>
      <c r="Y217" s="103" t="s">
        <v>1685</v>
      </c>
      <c r="AA217" s="103" t="s">
        <v>121</v>
      </c>
      <c r="AB217" s="103" t="s">
        <v>74</v>
      </c>
      <c r="AE217" s="103" t="s">
        <v>1241</v>
      </c>
      <c r="AF217" s="103" t="b">
        <v>1</v>
      </c>
    </row>
    <row r="218" spans="1:32" hidden="1" x14ac:dyDescent="0.2">
      <c r="A218" s="103" t="s">
        <v>421</v>
      </c>
      <c r="B218" s="103" t="s">
        <v>420</v>
      </c>
      <c r="C218" s="103" t="s">
        <v>2445</v>
      </c>
      <c r="D218" s="103" t="s">
        <v>2464</v>
      </c>
      <c r="E218" s="103" t="s">
        <v>2447</v>
      </c>
      <c r="F218" s="103" t="s">
        <v>2151</v>
      </c>
      <c r="G218" s="103">
        <v>100</v>
      </c>
      <c r="H218" s="103" t="s">
        <v>2168</v>
      </c>
      <c r="I218" s="103" t="s">
        <v>2153</v>
      </c>
      <c r="L218" s="103">
        <v>50</v>
      </c>
      <c r="M218" s="103">
        <v>50</v>
      </c>
      <c r="N218" s="103" t="s">
        <v>2260</v>
      </c>
      <c r="O218" s="103">
        <v>100</v>
      </c>
      <c r="P218" s="103" t="s">
        <v>1649</v>
      </c>
      <c r="Q218" s="103" t="s">
        <v>2236</v>
      </c>
      <c r="R218" s="103" t="s">
        <v>121</v>
      </c>
      <c r="S218" s="103" t="s">
        <v>2448</v>
      </c>
      <c r="U218" s="103">
        <v>51.3</v>
      </c>
      <c r="V218" s="103" t="s">
        <v>2262</v>
      </c>
      <c r="W218" s="103" t="s">
        <v>121</v>
      </c>
      <c r="X218" s="103" t="s">
        <v>1597</v>
      </c>
      <c r="Y218" s="103" t="s">
        <v>1685</v>
      </c>
      <c r="AA218" s="103" t="s">
        <v>121</v>
      </c>
      <c r="AB218" s="103" t="s">
        <v>74</v>
      </c>
      <c r="AE218" s="103" t="s">
        <v>1241</v>
      </c>
      <c r="AF218" s="103" t="b">
        <v>1</v>
      </c>
    </row>
    <row r="219" spans="1:32" hidden="1" x14ac:dyDescent="0.2">
      <c r="A219" s="103" t="s">
        <v>423</v>
      </c>
      <c r="B219" s="103" t="s">
        <v>422</v>
      </c>
      <c r="C219" s="103" t="s">
        <v>423</v>
      </c>
      <c r="E219" s="103" t="s">
        <v>2434</v>
      </c>
      <c r="F219" s="103" t="s">
        <v>2232</v>
      </c>
      <c r="G219" s="103">
        <v>420</v>
      </c>
      <c r="H219" s="103" t="s">
        <v>2152</v>
      </c>
      <c r="I219" s="103" t="s">
        <v>2153</v>
      </c>
      <c r="K219" s="103">
        <v>60</v>
      </c>
      <c r="L219" s="103">
        <v>160</v>
      </c>
      <c r="M219" s="103">
        <v>200</v>
      </c>
      <c r="N219" s="103" t="s">
        <v>2163</v>
      </c>
      <c r="O219" s="103">
        <v>420</v>
      </c>
      <c r="P219" s="103" t="s">
        <v>774</v>
      </c>
      <c r="Q219" s="103" t="s">
        <v>2155</v>
      </c>
      <c r="R219" s="103" t="s">
        <v>2156</v>
      </c>
      <c r="S219" s="103" t="s">
        <v>2251</v>
      </c>
      <c r="U219" s="103">
        <v>215.46</v>
      </c>
      <c r="V219" s="103" t="s">
        <v>2158</v>
      </c>
      <c r="W219" s="103" t="s">
        <v>114</v>
      </c>
      <c r="X219" s="103" t="s">
        <v>1597</v>
      </c>
      <c r="Y219" s="103" t="s">
        <v>1685</v>
      </c>
      <c r="AA219" s="103" t="s">
        <v>2156</v>
      </c>
      <c r="AB219" s="103" t="s">
        <v>68</v>
      </c>
      <c r="AC219" s="103" t="s">
        <v>2159</v>
      </c>
      <c r="AD219" s="103" t="s">
        <v>2465</v>
      </c>
      <c r="AE219" s="103" t="s">
        <v>766</v>
      </c>
      <c r="AF219" s="103" t="b">
        <v>1</v>
      </c>
    </row>
    <row r="220" spans="1:32" hidden="1" x14ac:dyDescent="0.2">
      <c r="A220" s="103" t="s">
        <v>425</v>
      </c>
      <c r="B220" s="103" t="s">
        <v>424</v>
      </c>
      <c r="C220" s="103" t="s">
        <v>2466</v>
      </c>
      <c r="D220" s="103" t="s">
        <v>2467</v>
      </c>
      <c r="E220" s="103" t="s">
        <v>2171</v>
      </c>
      <c r="F220" s="103" t="s">
        <v>2226</v>
      </c>
      <c r="G220" s="103">
        <v>430</v>
      </c>
      <c r="H220" s="103" t="s">
        <v>2152</v>
      </c>
      <c r="I220" s="103" t="s">
        <v>2153</v>
      </c>
      <c r="J220" s="103">
        <v>100</v>
      </c>
      <c r="K220" s="103">
        <v>170</v>
      </c>
      <c r="L220" s="103">
        <v>100</v>
      </c>
      <c r="M220" s="103">
        <v>60</v>
      </c>
      <c r="N220" s="103" t="s">
        <v>2163</v>
      </c>
      <c r="O220" s="103">
        <v>430</v>
      </c>
      <c r="P220" s="103" t="s">
        <v>774</v>
      </c>
      <c r="Q220" s="103" t="s">
        <v>2155</v>
      </c>
      <c r="R220" s="103" t="s">
        <v>2156</v>
      </c>
      <c r="S220" s="103" t="s">
        <v>2251</v>
      </c>
      <c r="U220" s="103">
        <v>220.59</v>
      </c>
      <c r="V220" s="103" t="s">
        <v>2158</v>
      </c>
      <c r="W220" s="103" t="s">
        <v>114</v>
      </c>
      <c r="X220" s="103" t="s">
        <v>1597</v>
      </c>
      <c r="Y220" s="103" t="s">
        <v>1685</v>
      </c>
      <c r="AA220" s="103" t="s">
        <v>2156</v>
      </c>
      <c r="AB220" s="103" t="s">
        <v>68</v>
      </c>
      <c r="AC220" s="103" t="s">
        <v>2159</v>
      </c>
      <c r="AD220" s="103" t="s">
        <v>2465</v>
      </c>
      <c r="AE220" s="103" t="s">
        <v>766</v>
      </c>
      <c r="AF220" s="103" t="b">
        <v>1</v>
      </c>
    </row>
    <row r="221" spans="1:32" hidden="1" x14ac:dyDescent="0.2">
      <c r="A221" s="103" t="s">
        <v>427</v>
      </c>
      <c r="B221" s="103" t="s">
        <v>426</v>
      </c>
      <c r="D221" s="103" t="s">
        <v>2468</v>
      </c>
      <c r="E221" s="103" t="s">
        <v>957</v>
      </c>
      <c r="G221" s="103">
        <v>452</v>
      </c>
      <c r="H221" s="103" t="s">
        <v>2152</v>
      </c>
      <c r="I221" s="103" t="s">
        <v>2153</v>
      </c>
      <c r="J221" s="103">
        <v>113</v>
      </c>
      <c r="K221" s="103">
        <v>113</v>
      </c>
      <c r="L221" s="103">
        <v>113</v>
      </c>
      <c r="M221" s="103">
        <v>113</v>
      </c>
      <c r="N221" s="103" t="s">
        <v>2163</v>
      </c>
      <c r="O221" s="103">
        <v>452</v>
      </c>
      <c r="P221" s="103" t="s">
        <v>1639</v>
      </c>
      <c r="Q221" s="103" t="s">
        <v>2155</v>
      </c>
      <c r="R221" s="103" t="s">
        <v>2225</v>
      </c>
      <c r="S221" s="103" t="s">
        <v>2251</v>
      </c>
      <c r="U221" s="103">
        <v>231.876</v>
      </c>
      <c r="V221" s="103" t="s">
        <v>2158</v>
      </c>
      <c r="W221" s="103" t="s">
        <v>113</v>
      </c>
      <c r="X221" s="103" t="s">
        <v>1597</v>
      </c>
      <c r="Y221" s="103" t="s">
        <v>1685</v>
      </c>
      <c r="AA221" s="103" t="s">
        <v>2225</v>
      </c>
      <c r="AB221" s="103" t="s">
        <v>64</v>
      </c>
      <c r="AE221" s="103" t="s">
        <v>933</v>
      </c>
      <c r="AF221" s="103" t="b">
        <v>1</v>
      </c>
    </row>
    <row r="222" spans="1:32" hidden="1" x14ac:dyDescent="0.2">
      <c r="A222" s="103" t="s">
        <v>429</v>
      </c>
      <c r="B222" s="103" t="s">
        <v>428</v>
      </c>
      <c r="D222" s="103" t="s">
        <v>2469</v>
      </c>
      <c r="E222" s="103" t="s">
        <v>957</v>
      </c>
      <c r="G222" s="103">
        <v>113</v>
      </c>
      <c r="H222" s="103" t="s">
        <v>2152</v>
      </c>
      <c r="I222" s="103" t="s">
        <v>2153</v>
      </c>
      <c r="J222" s="103">
        <v>28.25</v>
      </c>
      <c r="K222" s="103">
        <v>28.25</v>
      </c>
      <c r="L222" s="103">
        <v>28.25</v>
      </c>
      <c r="M222" s="103">
        <v>28.25</v>
      </c>
      <c r="N222" s="103" t="s">
        <v>2163</v>
      </c>
      <c r="O222" s="103">
        <v>113</v>
      </c>
      <c r="P222" s="103" t="s">
        <v>1639</v>
      </c>
      <c r="Q222" s="103" t="s">
        <v>2155</v>
      </c>
      <c r="R222" s="103" t="s">
        <v>2225</v>
      </c>
      <c r="S222" s="103" t="s">
        <v>2238</v>
      </c>
      <c r="U222" s="103">
        <v>57.969000000000001</v>
      </c>
      <c r="V222" s="103" t="s">
        <v>2158</v>
      </c>
      <c r="W222" s="103" t="s">
        <v>113</v>
      </c>
      <c r="X222" s="103" t="s">
        <v>1597</v>
      </c>
      <c r="Y222" s="103" t="s">
        <v>1685</v>
      </c>
      <c r="AA222" s="103" t="s">
        <v>2225</v>
      </c>
      <c r="AB222" s="103" t="s">
        <v>64</v>
      </c>
      <c r="AE222" s="103" t="s">
        <v>933</v>
      </c>
      <c r="AF222" s="103" t="b">
        <v>1</v>
      </c>
    </row>
    <row r="223" spans="1:32" hidden="1" x14ac:dyDescent="0.2">
      <c r="A223" s="103" t="s">
        <v>431</v>
      </c>
      <c r="B223" s="103" t="s">
        <v>430</v>
      </c>
      <c r="D223" s="103" t="s">
        <v>2470</v>
      </c>
      <c r="E223" s="103" t="s">
        <v>957</v>
      </c>
      <c r="G223" s="103">
        <v>851</v>
      </c>
      <c r="H223" s="103" t="s">
        <v>2152</v>
      </c>
      <c r="I223" s="103" t="s">
        <v>2153</v>
      </c>
      <c r="J223" s="103">
        <v>197.75</v>
      </c>
      <c r="K223" s="103">
        <v>257.75</v>
      </c>
      <c r="L223" s="103">
        <v>197.75</v>
      </c>
      <c r="M223" s="103">
        <v>197.75</v>
      </c>
      <c r="N223" s="103" t="s">
        <v>2163</v>
      </c>
      <c r="O223" s="103">
        <v>851</v>
      </c>
      <c r="P223" s="103" t="s">
        <v>1639</v>
      </c>
      <c r="Q223" s="103" t="s">
        <v>2155</v>
      </c>
      <c r="R223" s="103" t="s">
        <v>2225</v>
      </c>
      <c r="S223" s="103" t="s">
        <v>2238</v>
      </c>
      <c r="U223" s="103">
        <v>436.56299999999999</v>
      </c>
      <c r="V223" s="103" t="s">
        <v>2158</v>
      </c>
      <c r="W223" s="103" t="s">
        <v>113</v>
      </c>
      <c r="X223" s="103" t="s">
        <v>1597</v>
      </c>
      <c r="Y223" s="103" t="s">
        <v>1685</v>
      </c>
      <c r="AA223" s="103" t="s">
        <v>2225</v>
      </c>
      <c r="AB223" s="103" t="s">
        <v>64</v>
      </c>
      <c r="AE223" s="103" t="s">
        <v>933</v>
      </c>
      <c r="AF223" s="103" t="b">
        <v>1</v>
      </c>
    </row>
    <row r="224" spans="1:32" hidden="1" x14ac:dyDescent="0.2">
      <c r="A224" s="103" t="s">
        <v>434</v>
      </c>
      <c r="B224" s="103" t="s">
        <v>433</v>
      </c>
      <c r="D224" s="103" t="s">
        <v>2471</v>
      </c>
      <c r="E224" s="103" t="s">
        <v>957</v>
      </c>
      <c r="G224" s="103">
        <v>339</v>
      </c>
      <c r="H224" s="103" t="s">
        <v>2152</v>
      </c>
      <c r="I224" s="103" t="s">
        <v>2153</v>
      </c>
      <c r="L224" s="103">
        <v>169.5</v>
      </c>
      <c r="M224" s="103">
        <v>169.5</v>
      </c>
      <c r="N224" s="103" t="s">
        <v>2154</v>
      </c>
      <c r="O224" s="103">
        <v>339</v>
      </c>
      <c r="P224" s="103" t="s">
        <v>1639</v>
      </c>
      <c r="Q224" s="103" t="s">
        <v>2155</v>
      </c>
      <c r="R224" s="103" t="s">
        <v>2225</v>
      </c>
      <c r="S224" s="103" t="s">
        <v>2192</v>
      </c>
      <c r="U224" s="103">
        <v>173.90700000000001</v>
      </c>
      <c r="V224" s="103" t="s">
        <v>2158</v>
      </c>
      <c r="W224" s="103" t="s">
        <v>113</v>
      </c>
      <c r="X224" s="103" t="s">
        <v>1597</v>
      </c>
      <c r="Y224" s="103" t="s">
        <v>1685</v>
      </c>
      <c r="AA224" s="103" t="s">
        <v>2225</v>
      </c>
      <c r="AB224" s="103" t="s">
        <v>64</v>
      </c>
      <c r="AE224" s="103" t="s">
        <v>933</v>
      </c>
      <c r="AF224" s="103" t="b">
        <v>1</v>
      </c>
    </row>
    <row r="225" spans="1:32" hidden="1" x14ac:dyDescent="0.2">
      <c r="A225" s="103" t="s">
        <v>436</v>
      </c>
      <c r="B225" s="103" t="s">
        <v>435</v>
      </c>
      <c r="E225" s="103" t="s">
        <v>2472</v>
      </c>
      <c r="F225" s="103" t="s">
        <v>2151</v>
      </c>
      <c r="G225" s="103">
        <v>100</v>
      </c>
      <c r="H225" s="103" t="s">
        <v>2168</v>
      </c>
      <c r="I225" s="103" t="s">
        <v>2153</v>
      </c>
      <c r="J225" s="103">
        <v>25</v>
      </c>
      <c r="K225" s="103">
        <v>25</v>
      </c>
      <c r="L225" s="103">
        <v>25</v>
      </c>
      <c r="M225" s="103">
        <v>25</v>
      </c>
      <c r="N225" s="103" t="s">
        <v>2154</v>
      </c>
      <c r="O225" s="103">
        <v>100</v>
      </c>
      <c r="P225" s="103" t="s">
        <v>1651</v>
      </c>
      <c r="R225" s="103" t="s">
        <v>121</v>
      </c>
      <c r="S225" s="103" t="s">
        <v>2473</v>
      </c>
      <c r="U225" s="103">
        <v>51.3</v>
      </c>
      <c r="V225" s="103" t="s">
        <v>2158</v>
      </c>
      <c r="W225" s="103" t="s">
        <v>121</v>
      </c>
      <c r="X225" s="103" t="s">
        <v>1597</v>
      </c>
      <c r="Y225" s="103" t="s">
        <v>1685</v>
      </c>
      <c r="AA225" s="103" t="s">
        <v>121</v>
      </c>
      <c r="AB225" s="103" t="s">
        <v>74</v>
      </c>
      <c r="AE225" s="103" t="s">
        <v>1241</v>
      </c>
      <c r="AF225" s="103" t="b">
        <v>1</v>
      </c>
    </row>
    <row r="226" spans="1:32" hidden="1" x14ac:dyDescent="0.2">
      <c r="A226" s="103" t="s">
        <v>436</v>
      </c>
      <c r="B226" s="103" t="s">
        <v>435</v>
      </c>
      <c r="E226" s="103" t="s">
        <v>2474</v>
      </c>
      <c r="F226" s="103" t="s">
        <v>2151</v>
      </c>
      <c r="G226" s="103">
        <v>100</v>
      </c>
      <c r="H226" s="103" t="s">
        <v>2168</v>
      </c>
      <c r="I226" s="103" t="s">
        <v>2153</v>
      </c>
      <c r="J226" s="103">
        <v>25</v>
      </c>
      <c r="K226" s="103">
        <v>25</v>
      </c>
      <c r="L226" s="103">
        <v>25</v>
      </c>
      <c r="M226" s="103">
        <v>25</v>
      </c>
      <c r="N226" s="103" t="s">
        <v>2154</v>
      </c>
      <c r="O226" s="103">
        <v>100</v>
      </c>
      <c r="P226" s="103" t="s">
        <v>1651</v>
      </c>
      <c r="R226" s="103" t="s">
        <v>121</v>
      </c>
      <c r="S226" s="103" t="s">
        <v>2473</v>
      </c>
      <c r="U226" s="103">
        <v>51.3</v>
      </c>
      <c r="V226" s="103" t="s">
        <v>2158</v>
      </c>
      <c r="W226" s="103" t="s">
        <v>121</v>
      </c>
      <c r="X226" s="103" t="s">
        <v>1597</v>
      </c>
      <c r="Y226" s="103" t="s">
        <v>1685</v>
      </c>
      <c r="AA226" s="103" t="s">
        <v>121</v>
      </c>
      <c r="AB226" s="103" t="s">
        <v>74</v>
      </c>
      <c r="AE226" s="103" t="s">
        <v>1241</v>
      </c>
      <c r="AF226" s="103" t="b">
        <v>1</v>
      </c>
    </row>
    <row r="227" spans="1:32" hidden="1" x14ac:dyDescent="0.2">
      <c r="A227" s="103" t="s">
        <v>3847</v>
      </c>
      <c r="B227" s="103" t="s">
        <v>437</v>
      </c>
      <c r="C227" s="103" t="s">
        <v>2475</v>
      </c>
      <c r="E227" s="103" t="s">
        <v>2447</v>
      </c>
      <c r="F227" s="103" t="s">
        <v>2228</v>
      </c>
      <c r="G227" s="103">
        <v>800</v>
      </c>
      <c r="H227" s="103" t="s">
        <v>2168</v>
      </c>
      <c r="I227" s="103" t="s">
        <v>2153</v>
      </c>
      <c r="J227" s="103">
        <v>300</v>
      </c>
      <c r="K227" s="103">
        <v>300</v>
      </c>
      <c r="L227" s="103">
        <v>100</v>
      </c>
      <c r="M227" s="103">
        <v>100</v>
      </c>
      <c r="N227" s="103" t="s">
        <v>2163</v>
      </c>
      <c r="O227" s="103">
        <v>800</v>
      </c>
      <c r="P227" s="103" t="s">
        <v>1652</v>
      </c>
      <c r="Q227" s="103" t="s">
        <v>2155</v>
      </c>
      <c r="R227" s="103" t="s">
        <v>121</v>
      </c>
      <c r="S227" s="103" t="s">
        <v>2476</v>
      </c>
      <c r="U227" s="103">
        <v>410.4</v>
      </c>
      <c r="V227" s="103" t="s">
        <v>2158</v>
      </c>
      <c r="W227" s="103" t="s">
        <v>121</v>
      </c>
      <c r="X227" s="103" t="s">
        <v>1597</v>
      </c>
      <c r="Y227" s="103" t="s">
        <v>1685</v>
      </c>
      <c r="AA227" s="103" t="s">
        <v>121</v>
      </c>
      <c r="AB227" s="103" t="s">
        <v>74</v>
      </c>
      <c r="AE227" s="103" t="s">
        <v>1241</v>
      </c>
      <c r="AF227" s="103" t="b">
        <v>1</v>
      </c>
    </row>
    <row r="228" spans="1:32" hidden="1" x14ac:dyDescent="0.2">
      <c r="A228" s="103" t="s">
        <v>3847</v>
      </c>
      <c r="B228" s="103" t="s">
        <v>437</v>
      </c>
      <c r="C228" s="103" t="s">
        <v>2475</v>
      </c>
      <c r="E228" s="103" t="s">
        <v>2477</v>
      </c>
      <c r="G228" s="103">
        <v>80</v>
      </c>
      <c r="H228" s="103" t="s">
        <v>2152</v>
      </c>
      <c r="I228" s="103" t="s">
        <v>2153</v>
      </c>
      <c r="J228" s="103">
        <v>40</v>
      </c>
      <c r="K228" s="103">
        <v>30</v>
      </c>
      <c r="L228" s="103">
        <v>5</v>
      </c>
      <c r="M228" s="103">
        <v>5</v>
      </c>
      <c r="N228" s="103" t="s">
        <v>2163</v>
      </c>
      <c r="O228" s="103">
        <v>80</v>
      </c>
      <c r="P228" s="103" t="s">
        <v>1694</v>
      </c>
      <c r="R228" s="103" t="s">
        <v>121</v>
      </c>
      <c r="S228" s="103" t="s">
        <v>2476</v>
      </c>
      <c r="U228" s="103">
        <v>41.04</v>
      </c>
      <c r="V228" s="103" t="s">
        <v>2158</v>
      </c>
      <c r="W228" s="103" t="s">
        <v>121</v>
      </c>
      <c r="X228" s="103" t="s">
        <v>1597</v>
      </c>
      <c r="Y228" s="103" t="s">
        <v>1685</v>
      </c>
      <c r="AA228" s="103" t="s">
        <v>121</v>
      </c>
      <c r="AB228" s="103" t="s">
        <v>74</v>
      </c>
      <c r="AE228" s="103" t="s">
        <v>1241</v>
      </c>
      <c r="AF228" s="103" t="b">
        <v>1</v>
      </c>
    </row>
    <row r="229" spans="1:32" hidden="1" x14ac:dyDescent="0.2">
      <c r="A229" s="103" t="s">
        <v>441</v>
      </c>
      <c r="B229" s="103" t="s">
        <v>440</v>
      </c>
      <c r="C229" s="103" t="s">
        <v>2478</v>
      </c>
      <c r="D229" s="103" t="s">
        <v>2478</v>
      </c>
      <c r="E229" s="103" t="s">
        <v>2174</v>
      </c>
      <c r="F229" s="103" t="s">
        <v>2226</v>
      </c>
      <c r="G229" s="103">
        <v>506.15</v>
      </c>
      <c r="H229" s="103" t="s">
        <v>2152</v>
      </c>
      <c r="I229" s="103" t="s">
        <v>2153</v>
      </c>
      <c r="J229" s="103">
        <v>126.53750000000001</v>
      </c>
      <c r="K229" s="103">
        <v>126.53750000000001</v>
      </c>
      <c r="L229" s="103">
        <v>126.53750000000001</v>
      </c>
      <c r="M229" s="103">
        <v>126.53750000000001</v>
      </c>
      <c r="N229" s="103" t="s">
        <v>2163</v>
      </c>
      <c r="O229" s="103">
        <v>506.15000000000003</v>
      </c>
      <c r="P229" s="103" t="s">
        <v>1571</v>
      </c>
      <c r="Q229" s="103" t="s">
        <v>2236</v>
      </c>
      <c r="R229" s="103" t="s">
        <v>2156</v>
      </c>
      <c r="U229" s="103">
        <v>259.65494999999999</v>
      </c>
      <c r="V229" s="103" t="s">
        <v>2158</v>
      </c>
      <c r="W229" s="103" t="s">
        <v>114</v>
      </c>
      <c r="X229" s="103" t="s">
        <v>1597</v>
      </c>
      <c r="Y229" s="103" t="s">
        <v>1685</v>
      </c>
      <c r="AA229" s="103" t="s">
        <v>2156</v>
      </c>
      <c r="AB229" s="103" t="s">
        <v>68</v>
      </c>
      <c r="AC229" s="103" t="s">
        <v>2159</v>
      </c>
      <c r="AD229" s="103" t="s">
        <v>2388</v>
      </c>
      <c r="AE229" s="103" t="s">
        <v>766</v>
      </c>
      <c r="AF229" s="103" t="b">
        <v>1</v>
      </c>
    </row>
    <row r="230" spans="1:32" hidden="1" x14ac:dyDescent="0.2">
      <c r="A230" s="103" t="s">
        <v>441</v>
      </c>
      <c r="B230" s="103" t="s">
        <v>440</v>
      </c>
      <c r="C230" s="103" t="s">
        <v>2479</v>
      </c>
      <c r="D230" s="103" t="s">
        <v>2479</v>
      </c>
      <c r="E230" s="103" t="s">
        <v>2174</v>
      </c>
      <c r="F230" s="103" t="s">
        <v>2226</v>
      </c>
      <c r="G230" s="103">
        <v>506.15</v>
      </c>
      <c r="H230" s="103" t="s">
        <v>2152</v>
      </c>
      <c r="I230" s="103" t="s">
        <v>2153</v>
      </c>
      <c r="J230" s="103">
        <v>126.53750000000001</v>
      </c>
      <c r="K230" s="103">
        <v>126.53750000000001</v>
      </c>
      <c r="L230" s="103">
        <v>126.53750000000001</v>
      </c>
      <c r="M230" s="103">
        <v>126.53750000000001</v>
      </c>
      <c r="N230" s="103" t="s">
        <v>2163</v>
      </c>
      <c r="O230" s="103">
        <v>506.15000000000003</v>
      </c>
      <c r="P230" s="103" t="s">
        <v>1571</v>
      </c>
      <c r="Q230" s="103" t="s">
        <v>2236</v>
      </c>
      <c r="R230" s="103" t="s">
        <v>2156</v>
      </c>
      <c r="U230" s="103">
        <v>259.65494999999999</v>
      </c>
      <c r="V230" s="103" t="s">
        <v>2158</v>
      </c>
      <c r="W230" s="103" t="s">
        <v>114</v>
      </c>
      <c r="X230" s="103" t="s">
        <v>1597</v>
      </c>
      <c r="Y230" s="103" t="s">
        <v>1685</v>
      </c>
      <c r="AA230" s="103" t="s">
        <v>2156</v>
      </c>
      <c r="AB230" s="103" t="s">
        <v>68</v>
      </c>
      <c r="AC230" s="103" t="s">
        <v>2159</v>
      </c>
      <c r="AD230" s="103" t="s">
        <v>2388</v>
      </c>
      <c r="AE230" s="103" t="s">
        <v>766</v>
      </c>
      <c r="AF230" s="103" t="b">
        <v>1</v>
      </c>
    </row>
    <row r="231" spans="1:32" hidden="1" x14ac:dyDescent="0.2">
      <c r="A231" s="103" t="s">
        <v>441</v>
      </c>
      <c r="B231" s="103" t="s">
        <v>440</v>
      </c>
      <c r="C231" s="103" t="s">
        <v>2480</v>
      </c>
      <c r="D231" s="103" t="s">
        <v>2480</v>
      </c>
      <c r="E231" s="103" t="s">
        <v>2174</v>
      </c>
      <c r="F231" s="103" t="s">
        <v>2228</v>
      </c>
      <c r="G231" s="103">
        <v>1012.3</v>
      </c>
      <c r="H231" s="103" t="s">
        <v>2152</v>
      </c>
      <c r="I231" s="103" t="s">
        <v>2153</v>
      </c>
      <c r="J231" s="103">
        <v>253.07500000000002</v>
      </c>
      <c r="K231" s="103">
        <v>253.07500000000002</v>
      </c>
      <c r="L231" s="103">
        <v>253.07500000000002</v>
      </c>
      <c r="M231" s="103">
        <v>253.07500000000002</v>
      </c>
      <c r="N231" s="103" t="s">
        <v>2163</v>
      </c>
      <c r="O231" s="103">
        <v>1012.3000000000001</v>
      </c>
      <c r="P231" s="103" t="s">
        <v>1571</v>
      </c>
      <c r="Q231" s="103" t="s">
        <v>2236</v>
      </c>
      <c r="R231" s="103" t="s">
        <v>2156</v>
      </c>
      <c r="U231" s="103">
        <v>519.30989999999997</v>
      </c>
      <c r="V231" s="103" t="s">
        <v>2158</v>
      </c>
      <c r="W231" s="103" t="s">
        <v>114</v>
      </c>
      <c r="X231" s="103" t="s">
        <v>1597</v>
      </c>
      <c r="Y231" s="103" t="s">
        <v>1685</v>
      </c>
      <c r="AA231" s="103" t="s">
        <v>2156</v>
      </c>
      <c r="AB231" s="103" t="s">
        <v>68</v>
      </c>
      <c r="AC231" s="103" t="s">
        <v>2159</v>
      </c>
      <c r="AD231" s="103" t="s">
        <v>2388</v>
      </c>
      <c r="AE231" s="103" t="s">
        <v>766</v>
      </c>
      <c r="AF231" s="103" t="b">
        <v>1</v>
      </c>
    </row>
    <row r="232" spans="1:32" hidden="1" x14ac:dyDescent="0.2">
      <c r="A232" s="103" t="s">
        <v>441</v>
      </c>
      <c r="B232" s="103" t="s">
        <v>440</v>
      </c>
      <c r="C232" s="103" t="s">
        <v>2481</v>
      </c>
      <c r="D232" s="103" t="s">
        <v>2481</v>
      </c>
      <c r="E232" s="103" t="s">
        <v>2174</v>
      </c>
      <c r="F232" s="103" t="s">
        <v>2228</v>
      </c>
      <c r="G232" s="103">
        <v>1012.3</v>
      </c>
      <c r="H232" s="103" t="s">
        <v>2152</v>
      </c>
      <c r="I232" s="103" t="s">
        <v>2153</v>
      </c>
      <c r="J232" s="103">
        <v>253.07500000000002</v>
      </c>
      <c r="K232" s="103">
        <v>253.07500000000002</v>
      </c>
      <c r="L232" s="103">
        <v>253.07500000000002</v>
      </c>
      <c r="M232" s="103">
        <v>253.07500000000002</v>
      </c>
      <c r="N232" s="103" t="s">
        <v>2163</v>
      </c>
      <c r="O232" s="103">
        <v>1012.3000000000001</v>
      </c>
      <c r="P232" s="103" t="s">
        <v>1571</v>
      </c>
      <c r="Q232" s="103" t="s">
        <v>2236</v>
      </c>
      <c r="R232" s="103" t="s">
        <v>2156</v>
      </c>
      <c r="U232" s="103">
        <v>519.30989999999997</v>
      </c>
      <c r="V232" s="103" t="s">
        <v>2158</v>
      </c>
      <c r="W232" s="103" t="s">
        <v>114</v>
      </c>
      <c r="X232" s="103" t="s">
        <v>1597</v>
      </c>
      <c r="Y232" s="103" t="s">
        <v>1685</v>
      </c>
      <c r="AA232" s="103" t="s">
        <v>2156</v>
      </c>
      <c r="AB232" s="103" t="s">
        <v>68</v>
      </c>
      <c r="AC232" s="103" t="s">
        <v>2159</v>
      </c>
      <c r="AD232" s="103" t="s">
        <v>2388</v>
      </c>
      <c r="AE232" s="103" t="s">
        <v>766</v>
      </c>
      <c r="AF232" s="103" t="b">
        <v>1</v>
      </c>
    </row>
    <row r="233" spans="1:32" hidden="1" x14ac:dyDescent="0.2">
      <c r="A233" s="103" t="s">
        <v>443</v>
      </c>
      <c r="B233" s="103" t="s">
        <v>442</v>
      </c>
      <c r="C233" s="103" t="s">
        <v>2482</v>
      </c>
      <c r="D233" s="103" t="s">
        <v>2482</v>
      </c>
      <c r="E233" s="103" t="s">
        <v>2208</v>
      </c>
      <c r="F233" s="103" t="s">
        <v>2202</v>
      </c>
      <c r="G233" s="103">
        <v>144</v>
      </c>
      <c r="H233" s="103" t="s">
        <v>2152</v>
      </c>
      <c r="I233" s="103" t="s">
        <v>2153</v>
      </c>
      <c r="J233" s="103">
        <v>36</v>
      </c>
      <c r="K233" s="103">
        <v>36</v>
      </c>
      <c r="L233" s="103">
        <v>36</v>
      </c>
      <c r="M233" s="103">
        <v>36</v>
      </c>
      <c r="N233" s="103" t="s">
        <v>2163</v>
      </c>
      <c r="O233" s="103">
        <v>144</v>
      </c>
      <c r="P233" s="103" t="s">
        <v>1571</v>
      </c>
      <c r="Q233" s="103" t="s">
        <v>2236</v>
      </c>
      <c r="R233" s="103" t="s">
        <v>2156</v>
      </c>
      <c r="U233" s="103">
        <v>73.872</v>
      </c>
      <c r="V233" s="103" t="s">
        <v>2158</v>
      </c>
      <c r="W233" s="103" t="s">
        <v>114</v>
      </c>
      <c r="X233" s="103" t="s">
        <v>1597</v>
      </c>
      <c r="Y233" s="103" t="s">
        <v>1685</v>
      </c>
      <c r="AA233" s="103" t="s">
        <v>2156</v>
      </c>
      <c r="AB233" s="103" t="s">
        <v>68</v>
      </c>
      <c r="AC233" s="103" t="s">
        <v>2159</v>
      </c>
      <c r="AD233" s="103" t="s">
        <v>2388</v>
      </c>
      <c r="AE233" s="103" t="s">
        <v>766</v>
      </c>
      <c r="AF233" s="103" t="b">
        <v>1</v>
      </c>
    </row>
    <row r="234" spans="1:32" hidden="1" x14ac:dyDescent="0.2">
      <c r="A234" s="103" t="s">
        <v>443</v>
      </c>
      <c r="B234" s="103" t="s">
        <v>442</v>
      </c>
      <c r="C234" s="103" t="s">
        <v>2483</v>
      </c>
      <c r="D234" s="103" t="s">
        <v>2483</v>
      </c>
      <c r="E234" s="103" t="s">
        <v>2208</v>
      </c>
      <c r="F234" s="103" t="s">
        <v>2232</v>
      </c>
      <c r="G234" s="103">
        <v>288</v>
      </c>
      <c r="H234" s="103" t="s">
        <v>2152</v>
      </c>
      <c r="I234" s="103" t="s">
        <v>2153</v>
      </c>
      <c r="J234" s="103">
        <v>72</v>
      </c>
      <c r="K234" s="103">
        <v>72</v>
      </c>
      <c r="L234" s="103">
        <v>72</v>
      </c>
      <c r="M234" s="103">
        <v>72</v>
      </c>
      <c r="N234" s="103" t="s">
        <v>2163</v>
      </c>
      <c r="O234" s="103">
        <v>288</v>
      </c>
      <c r="P234" s="103" t="s">
        <v>1571</v>
      </c>
      <c r="Q234" s="103" t="s">
        <v>2236</v>
      </c>
      <c r="R234" s="103" t="s">
        <v>2156</v>
      </c>
      <c r="U234" s="103">
        <v>147.744</v>
      </c>
      <c r="V234" s="103" t="s">
        <v>2158</v>
      </c>
      <c r="W234" s="103" t="s">
        <v>114</v>
      </c>
      <c r="X234" s="103" t="s">
        <v>1597</v>
      </c>
      <c r="Y234" s="103" t="s">
        <v>1685</v>
      </c>
      <c r="AA234" s="103" t="s">
        <v>2156</v>
      </c>
      <c r="AB234" s="103" t="s">
        <v>68</v>
      </c>
      <c r="AC234" s="103" t="s">
        <v>2159</v>
      </c>
      <c r="AD234" s="103" t="s">
        <v>2388</v>
      </c>
      <c r="AE234" s="103" t="s">
        <v>766</v>
      </c>
      <c r="AF234" s="103" t="b">
        <v>1</v>
      </c>
    </row>
    <row r="235" spans="1:32" hidden="1" x14ac:dyDescent="0.2">
      <c r="A235" s="103" t="s">
        <v>443</v>
      </c>
      <c r="B235" s="103" t="s">
        <v>442</v>
      </c>
      <c r="C235" s="103" t="s">
        <v>2484</v>
      </c>
      <c r="D235" s="103" t="s">
        <v>2484</v>
      </c>
      <c r="E235" s="103" t="s">
        <v>2208</v>
      </c>
      <c r="F235" s="103" t="s">
        <v>2202</v>
      </c>
      <c r="G235" s="103">
        <v>144</v>
      </c>
      <c r="H235" s="103" t="s">
        <v>2152</v>
      </c>
      <c r="I235" s="103" t="s">
        <v>2153</v>
      </c>
      <c r="J235" s="103">
        <v>36</v>
      </c>
      <c r="K235" s="103">
        <v>36</v>
      </c>
      <c r="L235" s="103">
        <v>36</v>
      </c>
      <c r="M235" s="103">
        <v>36</v>
      </c>
      <c r="N235" s="103" t="s">
        <v>2163</v>
      </c>
      <c r="O235" s="103">
        <v>144</v>
      </c>
      <c r="P235" s="103" t="s">
        <v>1571</v>
      </c>
      <c r="Q235" s="103" t="s">
        <v>2236</v>
      </c>
      <c r="R235" s="103" t="s">
        <v>2156</v>
      </c>
      <c r="U235" s="103">
        <v>73.872</v>
      </c>
      <c r="V235" s="103" t="s">
        <v>2158</v>
      </c>
      <c r="W235" s="103" t="s">
        <v>114</v>
      </c>
      <c r="X235" s="103" t="s">
        <v>1597</v>
      </c>
      <c r="Y235" s="103" t="s">
        <v>1685</v>
      </c>
      <c r="AA235" s="103" t="s">
        <v>2156</v>
      </c>
      <c r="AB235" s="103" t="s">
        <v>68</v>
      </c>
      <c r="AC235" s="103" t="s">
        <v>2159</v>
      </c>
      <c r="AD235" s="103" t="s">
        <v>2388</v>
      </c>
      <c r="AE235" s="103" t="s">
        <v>766</v>
      </c>
      <c r="AF235" s="103" t="b">
        <v>1</v>
      </c>
    </row>
    <row r="236" spans="1:32" hidden="1" x14ac:dyDescent="0.2">
      <c r="A236" s="103" t="s">
        <v>443</v>
      </c>
      <c r="B236" s="103" t="s">
        <v>442</v>
      </c>
      <c r="C236" s="103" t="s">
        <v>2485</v>
      </c>
      <c r="D236" s="103" t="s">
        <v>2485</v>
      </c>
      <c r="E236" s="103" t="s">
        <v>2208</v>
      </c>
      <c r="F236" s="103" t="s">
        <v>2232</v>
      </c>
      <c r="G236" s="103">
        <v>286.5</v>
      </c>
      <c r="H236" s="103" t="s">
        <v>2168</v>
      </c>
      <c r="I236" s="103" t="s">
        <v>2153</v>
      </c>
      <c r="J236" s="103">
        <v>71.625</v>
      </c>
      <c r="K236" s="103">
        <v>71.625</v>
      </c>
      <c r="L236" s="103">
        <v>71.625</v>
      </c>
      <c r="M236" s="103">
        <v>71.625</v>
      </c>
      <c r="N236" s="103" t="s">
        <v>2163</v>
      </c>
      <c r="O236" s="103">
        <v>286.5</v>
      </c>
      <c r="P236" s="103" t="s">
        <v>1571</v>
      </c>
      <c r="Q236" s="103" t="s">
        <v>2236</v>
      </c>
      <c r="R236" s="103" t="s">
        <v>2156</v>
      </c>
      <c r="U236" s="103">
        <v>146.97450000000001</v>
      </c>
      <c r="V236" s="103" t="s">
        <v>2158</v>
      </c>
      <c r="W236" s="103" t="s">
        <v>114</v>
      </c>
      <c r="X236" s="103" t="s">
        <v>1597</v>
      </c>
      <c r="Y236" s="103" t="s">
        <v>1685</v>
      </c>
      <c r="AA236" s="103" t="s">
        <v>2156</v>
      </c>
      <c r="AB236" s="103" t="s">
        <v>68</v>
      </c>
      <c r="AC236" s="103" t="s">
        <v>2159</v>
      </c>
      <c r="AD236" s="103" t="s">
        <v>2388</v>
      </c>
      <c r="AE236" s="103" t="s">
        <v>766</v>
      </c>
      <c r="AF236" s="103" t="b">
        <v>1</v>
      </c>
    </row>
    <row r="237" spans="1:32" hidden="1" x14ac:dyDescent="0.2">
      <c r="A237" s="103" t="s">
        <v>444</v>
      </c>
      <c r="B237" s="103" t="s">
        <v>1654</v>
      </c>
      <c r="C237" s="103" t="s">
        <v>2486</v>
      </c>
      <c r="D237" s="103" t="s">
        <v>2486</v>
      </c>
      <c r="E237" s="103" t="s">
        <v>2150</v>
      </c>
      <c r="F237" s="103" t="s">
        <v>2202</v>
      </c>
      <c r="G237" s="103">
        <v>0</v>
      </c>
      <c r="H237" s="103" t="s">
        <v>2152</v>
      </c>
      <c r="I237" s="103" t="s">
        <v>2153</v>
      </c>
      <c r="J237" s="103">
        <v>0</v>
      </c>
      <c r="K237" s="103">
        <v>0</v>
      </c>
      <c r="L237" s="103">
        <v>0</v>
      </c>
      <c r="M237" s="103">
        <v>0</v>
      </c>
      <c r="N237" s="103" t="s">
        <v>2163</v>
      </c>
      <c r="O237" s="103">
        <v>0</v>
      </c>
      <c r="P237" s="103" t="s">
        <v>1571</v>
      </c>
      <c r="Q237" s="103" t="s">
        <v>2236</v>
      </c>
      <c r="R237" s="103" t="s">
        <v>2156</v>
      </c>
      <c r="U237" s="103">
        <v>0</v>
      </c>
      <c r="V237" s="103" t="s">
        <v>2158</v>
      </c>
      <c r="W237" s="103" t="s">
        <v>114</v>
      </c>
      <c r="X237" s="103" t="s">
        <v>1597</v>
      </c>
      <c r="Y237" s="103" t="s">
        <v>1685</v>
      </c>
      <c r="AA237" s="103" t="s">
        <v>2156</v>
      </c>
      <c r="AB237" s="103" t="s">
        <v>68</v>
      </c>
      <c r="AC237" s="103" t="s">
        <v>2159</v>
      </c>
      <c r="AD237" s="103" t="s">
        <v>2388</v>
      </c>
      <c r="AE237" s="103" t="s">
        <v>766</v>
      </c>
      <c r="AF237" s="103" t="b">
        <v>1</v>
      </c>
    </row>
    <row r="238" spans="1:32" hidden="1" x14ac:dyDescent="0.2">
      <c r="A238" s="103" t="s">
        <v>444</v>
      </c>
      <c r="B238" s="103" t="s">
        <v>1654</v>
      </c>
      <c r="C238" s="103" t="s">
        <v>2487</v>
      </c>
      <c r="D238" s="103" t="s">
        <v>2487</v>
      </c>
      <c r="E238" s="103" t="s">
        <v>2150</v>
      </c>
      <c r="F238" s="103" t="s">
        <v>2232</v>
      </c>
      <c r="G238" s="103">
        <v>0</v>
      </c>
      <c r="H238" s="103" t="s">
        <v>2152</v>
      </c>
      <c r="I238" s="103" t="s">
        <v>2153</v>
      </c>
      <c r="J238" s="103">
        <v>0</v>
      </c>
      <c r="K238" s="103">
        <v>0</v>
      </c>
      <c r="L238" s="103">
        <v>0</v>
      </c>
      <c r="M238" s="103">
        <v>0</v>
      </c>
      <c r="N238" s="103" t="s">
        <v>2163</v>
      </c>
      <c r="O238" s="103">
        <v>0</v>
      </c>
      <c r="P238" s="103" t="s">
        <v>1571</v>
      </c>
      <c r="Q238" s="103" t="s">
        <v>2236</v>
      </c>
      <c r="R238" s="103" t="s">
        <v>2156</v>
      </c>
      <c r="U238" s="103">
        <v>0</v>
      </c>
      <c r="V238" s="103" t="s">
        <v>2158</v>
      </c>
      <c r="W238" s="103" t="s">
        <v>114</v>
      </c>
      <c r="X238" s="103" t="s">
        <v>1597</v>
      </c>
      <c r="Y238" s="103" t="s">
        <v>1685</v>
      </c>
      <c r="AA238" s="103" t="s">
        <v>2156</v>
      </c>
      <c r="AB238" s="103" t="s">
        <v>68</v>
      </c>
      <c r="AC238" s="103" t="s">
        <v>2159</v>
      </c>
      <c r="AD238" s="103" t="s">
        <v>2388</v>
      </c>
      <c r="AE238" s="103" t="s">
        <v>766</v>
      </c>
      <c r="AF238" s="103" t="b">
        <v>1</v>
      </c>
    </row>
    <row r="239" spans="1:32" hidden="1" x14ac:dyDescent="0.2">
      <c r="A239" s="103" t="s">
        <v>444</v>
      </c>
      <c r="B239" s="103" t="s">
        <v>1654</v>
      </c>
      <c r="C239" s="103" t="s">
        <v>2488</v>
      </c>
      <c r="D239" s="103" t="s">
        <v>2488</v>
      </c>
      <c r="E239" s="103" t="s">
        <v>2150</v>
      </c>
      <c r="F239" s="103" t="s">
        <v>2202</v>
      </c>
      <c r="G239" s="103">
        <v>0</v>
      </c>
      <c r="H239" s="103" t="s">
        <v>2152</v>
      </c>
      <c r="I239" s="103" t="s">
        <v>2153</v>
      </c>
      <c r="J239" s="103">
        <v>0</v>
      </c>
      <c r="K239" s="103">
        <v>0</v>
      </c>
      <c r="L239" s="103">
        <v>0</v>
      </c>
      <c r="M239" s="103">
        <v>0</v>
      </c>
      <c r="N239" s="103" t="s">
        <v>2163</v>
      </c>
      <c r="O239" s="103">
        <v>0</v>
      </c>
      <c r="P239" s="103" t="s">
        <v>1571</v>
      </c>
      <c r="Q239" s="103" t="s">
        <v>2236</v>
      </c>
      <c r="R239" s="103" t="s">
        <v>2156</v>
      </c>
      <c r="U239" s="103">
        <v>0</v>
      </c>
      <c r="V239" s="103" t="s">
        <v>2158</v>
      </c>
      <c r="W239" s="103" t="s">
        <v>114</v>
      </c>
      <c r="X239" s="103" t="s">
        <v>1597</v>
      </c>
      <c r="Y239" s="103" t="s">
        <v>1685</v>
      </c>
      <c r="AA239" s="103" t="s">
        <v>2156</v>
      </c>
      <c r="AB239" s="103" t="s">
        <v>68</v>
      </c>
      <c r="AC239" s="103" t="s">
        <v>2159</v>
      </c>
      <c r="AD239" s="103" t="s">
        <v>2388</v>
      </c>
      <c r="AE239" s="103" t="s">
        <v>766</v>
      </c>
      <c r="AF239" s="103" t="b">
        <v>1</v>
      </c>
    </row>
    <row r="240" spans="1:32" hidden="1" x14ac:dyDescent="0.2">
      <c r="A240" s="103" t="s">
        <v>444</v>
      </c>
      <c r="B240" s="103" t="s">
        <v>1654</v>
      </c>
      <c r="C240" s="103" t="s">
        <v>2489</v>
      </c>
      <c r="D240" s="103" t="s">
        <v>2489</v>
      </c>
      <c r="E240" s="103" t="s">
        <v>2150</v>
      </c>
      <c r="F240" s="103" t="s">
        <v>2232</v>
      </c>
      <c r="G240" s="103">
        <v>0</v>
      </c>
      <c r="H240" s="103" t="s">
        <v>2152</v>
      </c>
      <c r="I240" s="103" t="s">
        <v>2153</v>
      </c>
      <c r="J240" s="103">
        <v>0</v>
      </c>
      <c r="K240" s="103">
        <v>0</v>
      </c>
      <c r="L240" s="103">
        <v>0</v>
      </c>
      <c r="M240" s="103">
        <v>0</v>
      </c>
      <c r="N240" s="103" t="s">
        <v>2163</v>
      </c>
      <c r="O240" s="103">
        <v>0</v>
      </c>
      <c r="P240" s="103" t="s">
        <v>1571</v>
      </c>
      <c r="Q240" s="103" t="s">
        <v>2236</v>
      </c>
      <c r="R240" s="103" t="s">
        <v>2156</v>
      </c>
      <c r="U240" s="103">
        <v>0</v>
      </c>
      <c r="V240" s="103" t="s">
        <v>2158</v>
      </c>
      <c r="W240" s="103" t="s">
        <v>114</v>
      </c>
      <c r="X240" s="103" t="s">
        <v>1597</v>
      </c>
      <c r="Y240" s="103" t="s">
        <v>1685</v>
      </c>
      <c r="AA240" s="103" t="s">
        <v>2156</v>
      </c>
      <c r="AB240" s="103" t="s">
        <v>68</v>
      </c>
      <c r="AC240" s="103" t="s">
        <v>2159</v>
      </c>
      <c r="AD240" s="103" t="s">
        <v>2388</v>
      </c>
      <c r="AE240" s="103" t="s">
        <v>766</v>
      </c>
      <c r="AF240" s="103" t="b">
        <v>1</v>
      </c>
    </row>
    <row r="241" spans="1:32" hidden="1" x14ac:dyDescent="0.2">
      <c r="A241" s="103" t="s">
        <v>1581</v>
      </c>
      <c r="B241" s="103" t="s">
        <v>1784</v>
      </c>
      <c r="C241" s="103" t="s">
        <v>2490</v>
      </c>
      <c r="D241" s="103" t="s">
        <v>2490</v>
      </c>
      <c r="E241" s="103" t="s">
        <v>2174</v>
      </c>
      <c r="F241" s="103" t="s">
        <v>2228</v>
      </c>
      <c r="G241" s="103">
        <v>2024</v>
      </c>
      <c r="H241" s="103" t="s">
        <v>2152</v>
      </c>
      <c r="I241" s="103" t="s">
        <v>2153</v>
      </c>
      <c r="J241" s="103">
        <v>506</v>
      </c>
      <c r="K241" s="103">
        <v>506</v>
      </c>
      <c r="L241" s="103">
        <v>506</v>
      </c>
      <c r="M241" s="103">
        <v>506</v>
      </c>
      <c r="N241" s="103" t="s">
        <v>2163</v>
      </c>
      <c r="O241" s="103">
        <v>2024</v>
      </c>
      <c r="P241" s="103" t="s">
        <v>1571</v>
      </c>
      <c r="Q241" s="103" t="s">
        <v>2387</v>
      </c>
      <c r="R241" s="103" t="s">
        <v>2156</v>
      </c>
      <c r="U241" s="103">
        <v>1038.3119999999999</v>
      </c>
      <c r="V241" s="103" t="s">
        <v>2158</v>
      </c>
      <c r="W241" s="103" t="s">
        <v>114</v>
      </c>
      <c r="X241" s="103" t="s">
        <v>1736</v>
      </c>
      <c r="Y241" s="103" t="s">
        <v>3848</v>
      </c>
      <c r="AA241" s="103" t="s">
        <v>2156</v>
      </c>
      <c r="AB241" s="103" t="s">
        <v>68</v>
      </c>
      <c r="AC241" s="103" t="s">
        <v>2159</v>
      </c>
      <c r="AD241" s="103" t="s">
        <v>2388</v>
      </c>
      <c r="AE241" s="103" t="s">
        <v>766</v>
      </c>
      <c r="AF241" s="103" t="b">
        <v>1</v>
      </c>
    </row>
    <row r="242" spans="1:32" hidden="1" x14ac:dyDescent="0.2">
      <c r="A242" s="103" t="s">
        <v>1582</v>
      </c>
      <c r="B242" s="103" t="s">
        <v>1785</v>
      </c>
      <c r="C242" s="103" t="s">
        <v>2491</v>
      </c>
      <c r="D242" s="103" t="s">
        <v>2491</v>
      </c>
      <c r="E242" s="103" t="s">
        <v>2208</v>
      </c>
      <c r="F242" s="103" t="s">
        <v>2228</v>
      </c>
      <c r="G242" s="103">
        <v>572</v>
      </c>
      <c r="H242" s="103" t="s">
        <v>2152</v>
      </c>
      <c r="I242" s="103" t="s">
        <v>2153</v>
      </c>
      <c r="J242" s="103">
        <v>143</v>
      </c>
      <c r="K242" s="103">
        <v>143</v>
      </c>
      <c r="L242" s="103">
        <v>143</v>
      </c>
      <c r="M242" s="103">
        <v>143</v>
      </c>
      <c r="N242" s="103" t="s">
        <v>2163</v>
      </c>
      <c r="O242" s="103">
        <v>572</v>
      </c>
      <c r="P242" s="103" t="s">
        <v>1571</v>
      </c>
      <c r="Q242" s="103" t="s">
        <v>2387</v>
      </c>
      <c r="R242" s="103" t="s">
        <v>2156</v>
      </c>
      <c r="U242" s="103">
        <v>293.43599999999998</v>
      </c>
      <c r="V242" s="103" t="s">
        <v>2158</v>
      </c>
      <c r="W242" s="103" t="s">
        <v>114</v>
      </c>
      <c r="X242" s="103" t="s">
        <v>1736</v>
      </c>
      <c r="Y242" s="103" t="s">
        <v>3848</v>
      </c>
      <c r="AA242" s="103" t="s">
        <v>2156</v>
      </c>
      <c r="AB242" s="103" t="s">
        <v>68</v>
      </c>
      <c r="AC242" s="103" t="s">
        <v>2159</v>
      </c>
      <c r="AD242" s="103" t="s">
        <v>2388</v>
      </c>
      <c r="AE242" s="103" t="s">
        <v>766</v>
      </c>
      <c r="AF242" s="103" t="b">
        <v>1</v>
      </c>
    </row>
    <row r="243" spans="1:32" hidden="1" x14ac:dyDescent="0.2">
      <c r="A243" s="103" t="s">
        <v>1583</v>
      </c>
      <c r="B243" s="103" t="s">
        <v>1786</v>
      </c>
      <c r="C243" s="103" t="s">
        <v>2492</v>
      </c>
      <c r="D243" s="103" t="s">
        <v>2492</v>
      </c>
      <c r="E243" s="103" t="s">
        <v>2174</v>
      </c>
      <c r="F243" s="103" t="s">
        <v>2226</v>
      </c>
      <c r="G243" s="103">
        <v>612</v>
      </c>
      <c r="H243" s="103" t="s">
        <v>2152</v>
      </c>
      <c r="I243" s="103" t="s">
        <v>2153</v>
      </c>
      <c r="J243" s="103">
        <v>153</v>
      </c>
      <c r="K243" s="103">
        <v>153</v>
      </c>
      <c r="L243" s="103">
        <v>153</v>
      </c>
      <c r="M243" s="103">
        <v>153</v>
      </c>
      <c r="N243" s="103" t="s">
        <v>2163</v>
      </c>
      <c r="O243" s="103">
        <v>612</v>
      </c>
      <c r="P243" s="103" t="s">
        <v>1571</v>
      </c>
      <c r="Q243" s="103" t="s">
        <v>2387</v>
      </c>
      <c r="R243" s="103" t="s">
        <v>2156</v>
      </c>
      <c r="U243" s="103">
        <v>313.95600000000002</v>
      </c>
      <c r="V243" s="103" t="s">
        <v>2158</v>
      </c>
      <c r="W243" s="103" t="s">
        <v>114</v>
      </c>
      <c r="X243" s="103" t="s">
        <v>1736</v>
      </c>
      <c r="Y243" s="103" t="s">
        <v>3848</v>
      </c>
      <c r="AA243" s="103" t="s">
        <v>2156</v>
      </c>
      <c r="AB243" s="103" t="s">
        <v>68</v>
      </c>
      <c r="AC243" s="103" t="s">
        <v>2159</v>
      </c>
      <c r="AD243" s="103" t="s">
        <v>2388</v>
      </c>
      <c r="AE243" s="103" t="s">
        <v>766</v>
      </c>
      <c r="AF243" s="103" t="b">
        <v>1</v>
      </c>
    </row>
    <row r="244" spans="1:32" hidden="1" x14ac:dyDescent="0.2">
      <c r="A244" s="103" t="s">
        <v>448</v>
      </c>
      <c r="B244" s="103" t="s">
        <v>447</v>
      </c>
      <c r="C244" s="103" t="s">
        <v>1472</v>
      </c>
      <c r="D244" s="103" t="s">
        <v>2493</v>
      </c>
      <c r="E244" s="103" t="s">
        <v>2171</v>
      </c>
      <c r="F244" s="103" t="s">
        <v>2162</v>
      </c>
      <c r="G244" s="103">
        <v>80</v>
      </c>
      <c r="H244" s="103" t="s">
        <v>2152</v>
      </c>
      <c r="I244" s="103" t="s">
        <v>2153</v>
      </c>
      <c r="J244" s="103">
        <v>80</v>
      </c>
      <c r="N244" s="103" t="s">
        <v>2163</v>
      </c>
      <c r="O244" s="103">
        <v>80</v>
      </c>
      <c r="P244" s="103" t="s">
        <v>774</v>
      </c>
      <c r="Q244" s="103" t="s">
        <v>2155</v>
      </c>
      <c r="R244" s="103" t="s">
        <v>2156</v>
      </c>
      <c r="S244" s="103" t="s">
        <v>2157</v>
      </c>
      <c r="U244" s="103">
        <v>41.04</v>
      </c>
      <c r="V244" s="103" t="s">
        <v>2158</v>
      </c>
      <c r="W244" s="103" t="s">
        <v>114</v>
      </c>
      <c r="X244" s="103" t="s">
        <v>1597</v>
      </c>
      <c r="Y244" s="103" t="s">
        <v>1685</v>
      </c>
      <c r="AA244" s="103" t="s">
        <v>2156</v>
      </c>
      <c r="AB244" s="103" t="s">
        <v>71</v>
      </c>
      <c r="AC244" s="103" t="s">
        <v>2159</v>
      </c>
      <c r="AD244" s="103" t="s">
        <v>2465</v>
      </c>
      <c r="AE244" s="103" t="s">
        <v>810</v>
      </c>
      <c r="AF244" s="103" t="b">
        <v>1</v>
      </c>
    </row>
    <row r="245" spans="1:32" hidden="1" x14ac:dyDescent="0.2">
      <c r="A245" s="103" t="s">
        <v>450</v>
      </c>
      <c r="B245" s="103" t="s">
        <v>449</v>
      </c>
      <c r="C245" s="103" t="s">
        <v>2248</v>
      </c>
      <c r="D245" s="103" t="s">
        <v>2494</v>
      </c>
      <c r="E245" s="103" t="s">
        <v>2249</v>
      </c>
      <c r="F245" s="103" t="s">
        <v>2202</v>
      </c>
      <c r="G245" s="103">
        <v>200</v>
      </c>
      <c r="H245" s="103" t="s">
        <v>2168</v>
      </c>
      <c r="I245" s="103" t="s">
        <v>2153</v>
      </c>
      <c r="J245" s="103">
        <v>25</v>
      </c>
      <c r="K245" s="103">
        <v>50</v>
      </c>
      <c r="L245" s="103">
        <v>50</v>
      </c>
      <c r="M245" s="103">
        <v>75</v>
      </c>
      <c r="N245" s="103" t="s">
        <v>2163</v>
      </c>
      <c r="O245" s="103">
        <v>200</v>
      </c>
      <c r="P245" s="103" t="s">
        <v>839</v>
      </c>
      <c r="Q245" s="103" t="s">
        <v>2155</v>
      </c>
      <c r="R245" s="103" t="s">
        <v>2164</v>
      </c>
      <c r="U245" s="103">
        <v>120</v>
      </c>
      <c r="V245" s="103" t="s">
        <v>2158</v>
      </c>
      <c r="W245" s="103" t="s">
        <v>132</v>
      </c>
      <c r="X245" s="103" t="s">
        <v>1597</v>
      </c>
      <c r="Y245" s="103" t="s">
        <v>1685</v>
      </c>
      <c r="AA245" s="103" t="s">
        <v>2164</v>
      </c>
      <c r="AB245" s="103" t="s">
        <v>71</v>
      </c>
      <c r="AE245" s="103" t="s">
        <v>1618</v>
      </c>
      <c r="AF245" s="103" t="b">
        <v>1</v>
      </c>
    </row>
    <row r="246" spans="1:32" hidden="1" x14ac:dyDescent="0.2">
      <c r="A246" s="103" t="s">
        <v>450</v>
      </c>
      <c r="B246" s="103" t="s">
        <v>449</v>
      </c>
      <c r="C246" s="103" t="s">
        <v>2248</v>
      </c>
      <c r="D246" s="103" t="s">
        <v>2494</v>
      </c>
      <c r="E246" s="103" t="s">
        <v>2250</v>
      </c>
      <c r="G246" s="103">
        <v>0</v>
      </c>
      <c r="H246" s="103" t="s">
        <v>2168</v>
      </c>
      <c r="I246" s="103" t="s">
        <v>2153</v>
      </c>
      <c r="N246" s="103" t="s">
        <v>2163</v>
      </c>
      <c r="O246" s="103">
        <v>0</v>
      </c>
      <c r="P246" s="103" t="s">
        <v>839</v>
      </c>
      <c r="Q246" s="103" t="s">
        <v>2155</v>
      </c>
      <c r="R246" s="103" t="s">
        <v>125</v>
      </c>
      <c r="U246" s="103">
        <v>0</v>
      </c>
      <c r="V246" s="103" t="s">
        <v>2158</v>
      </c>
      <c r="W246" s="103" t="s">
        <v>119</v>
      </c>
      <c r="X246" s="103" t="s">
        <v>1597</v>
      </c>
      <c r="Y246" s="103" t="s">
        <v>1685</v>
      </c>
      <c r="AA246" s="103" t="s">
        <v>125</v>
      </c>
      <c r="AB246" s="103" t="s">
        <v>71</v>
      </c>
      <c r="AE246" s="103" t="s">
        <v>1618</v>
      </c>
      <c r="AF246" s="103" t="b">
        <v>1</v>
      </c>
    </row>
    <row r="247" spans="1:32" hidden="1" x14ac:dyDescent="0.2">
      <c r="A247" s="103" t="s">
        <v>450</v>
      </c>
      <c r="B247" s="103" t="s">
        <v>449</v>
      </c>
      <c r="C247" s="103" t="s">
        <v>2248</v>
      </c>
      <c r="D247" s="103" t="s">
        <v>2494</v>
      </c>
      <c r="E247" s="103" t="s">
        <v>2498</v>
      </c>
      <c r="G247" s="103">
        <v>0</v>
      </c>
      <c r="H247" s="103" t="s">
        <v>2168</v>
      </c>
      <c r="I247" s="103" t="s">
        <v>2153</v>
      </c>
      <c r="N247" s="103" t="s">
        <v>2163</v>
      </c>
      <c r="O247" s="103">
        <v>0</v>
      </c>
      <c r="P247" s="103" t="s">
        <v>839</v>
      </c>
      <c r="Q247" s="103" t="s">
        <v>2155</v>
      </c>
      <c r="R247" s="103" t="s">
        <v>2225</v>
      </c>
      <c r="U247" s="103">
        <v>0</v>
      </c>
      <c r="V247" s="103" t="s">
        <v>2158</v>
      </c>
      <c r="W247" s="103" t="s">
        <v>119</v>
      </c>
      <c r="X247" s="103" t="s">
        <v>1597</v>
      </c>
      <c r="Y247" s="103" t="s">
        <v>1685</v>
      </c>
      <c r="AA247" s="103" t="s">
        <v>2225</v>
      </c>
      <c r="AB247" s="103" t="s">
        <v>71</v>
      </c>
      <c r="AE247" s="103" t="s">
        <v>1618</v>
      </c>
      <c r="AF247" s="103" t="b">
        <v>1</v>
      </c>
    </row>
    <row r="248" spans="1:32" hidden="1" x14ac:dyDescent="0.2">
      <c r="A248" s="103" t="s">
        <v>450</v>
      </c>
      <c r="B248" s="103" t="s">
        <v>449</v>
      </c>
      <c r="C248" s="103" t="s">
        <v>2248</v>
      </c>
      <c r="D248" s="103" t="s">
        <v>2494</v>
      </c>
      <c r="E248" s="103" t="s">
        <v>2495</v>
      </c>
      <c r="G248" s="103">
        <v>720</v>
      </c>
      <c r="H248" s="103" t="s">
        <v>2152</v>
      </c>
      <c r="I248" s="103" t="s">
        <v>2153</v>
      </c>
      <c r="J248" s="103">
        <v>120</v>
      </c>
      <c r="K248" s="103">
        <v>340</v>
      </c>
      <c r="L248" s="103">
        <v>70</v>
      </c>
      <c r="M248" s="103">
        <v>190</v>
      </c>
      <c r="N248" s="103" t="s">
        <v>2163</v>
      </c>
      <c r="O248" s="103">
        <v>720</v>
      </c>
      <c r="P248" s="103" t="s">
        <v>839</v>
      </c>
      <c r="Q248" s="103" t="s">
        <v>2155</v>
      </c>
      <c r="R248" s="103" t="s">
        <v>2225</v>
      </c>
      <c r="U248" s="103">
        <v>369.36</v>
      </c>
      <c r="V248" s="103" t="s">
        <v>2158</v>
      </c>
      <c r="W248" s="103" t="s">
        <v>117</v>
      </c>
      <c r="X248" s="103" t="s">
        <v>1597</v>
      </c>
      <c r="Y248" s="103" t="s">
        <v>1685</v>
      </c>
      <c r="AA248" s="103" t="s">
        <v>2225</v>
      </c>
      <c r="AB248" s="103" t="s">
        <v>71</v>
      </c>
      <c r="AE248" s="103" t="s">
        <v>1618</v>
      </c>
      <c r="AF248" s="103" t="b">
        <v>1</v>
      </c>
    </row>
    <row r="249" spans="1:32" hidden="1" x14ac:dyDescent="0.2">
      <c r="A249" s="103" t="s">
        <v>3809</v>
      </c>
      <c r="B249" s="103" t="s">
        <v>3808</v>
      </c>
      <c r="C249" s="103" t="s">
        <v>2496</v>
      </c>
      <c r="D249" s="103" t="s">
        <v>2497</v>
      </c>
      <c r="E249" s="103" t="s">
        <v>2249</v>
      </c>
      <c r="F249" s="103" t="s">
        <v>2151</v>
      </c>
      <c r="G249" s="103">
        <v>100</v>
      </c>
      <c r="H249" s="103" t="s">
        <v>2168</v>
      </c>
      <c r="I249" s="103" t="s">
        <v>2153</v>
      </c>
      <c r="J249" s="103">
        <v>50</v>
      </c>
      <c r="K249" s="103">
        <v>50</v>
      </c>
      <c r="N249" s="103" t="s">
        <v>2163</v>
      </c>
      <c r="O249" s="103">
        <v>100</v>
      </c>
      <c r="P249" s="103" t="s">
        <v>839</v>
      </c>
      <c r="Q249" s="103" t="s">
        <v>1393</v>
      </c>
      <c r="R249" s="103" t="s">
        <v>2164</v>
      </c>
      <c r="U249" s="103">
        <v>60</v>
      </c>
      <c r="V249" s="103" t="s">
        <v>2158</v>
      </c>
      <c r="W249" s="103" t="s">
        <v>132</v>
      </c>
      <c r="X249" s="103" t="s">
        <v>345</v>
      </c>
      <c r="Y249" s="103" t="s">
        <v>2240</v>
      </c>
      <c r="AA249" s="103" t="s">
        <v>2164</v>
      </c>
      <c r="AB249" s="103" t="s">
        <v>64</v>
      </c>
      <c r="AE249" s="103" t="s">
        <v>1473</v>
      </c>
      <c r="AF249" s="103" t="b">
        <v>1</v>
      </c>
    </row>
    <row r="250" spans="1:32" hidden="1" x14ac:dyDescent="0.2">
      <c r="A250" s="103" t="s">
        <v>3809</v>
      </c>
      <c r="B250" s="103" t="s">
        <v>3808</v>
      </c>
      <c r="C250" s="103" t="s">
        <v>2496</v>
      </c>
      <c r="D250" s="103" t="s">
        <v>2497</v>
      </c>
      <c r="E250" s="103" t="s">
        <v>2495</v>
      </c>
      <c r="G250" s="103">
        <v>240</v>
      </c>
      <c r="H250" s="103" t="s">
        <v>2152</v>
      </c>
      <c r="I250" s="103" t="s">
        <v>2153</v>
      </c>
      <c r="J250" s="103">
        <v>80</v>
      </c>
      <c r="K250" s="103">
        <v>80</v>
      </c>
      <c r="L250" s="103">
        <v>80</v>
      </c>
      <c r="N250" s="103" t="s">
        <v>2163</v>
      </c>
      <c r="O250" s="103">
        <v>240</v>
      </c>
      <c r="P250" s="103" t="s">
        <v>839</v>
      </c>
      <c r="Q250" s="103" t="s">
        <v>1393</v>
      </c>
      <c r="R250" s="103" t="s">
        <v>2225</v>
      </c>
      <c r="S250" s="103" t="s">
        <v>2422</v>
      </c>
      <c r="U250" s="103">
        <v>123.12</v>
      </c>
      <c r="V250" s="103" t="s">
        <v>2158</v>
      </c>
      <c r="W250" s="103" t="s">
        <v>117</v>
      </c>
      <c r="X250" s="103" t="s">
        <v>345</v>
      </c>
      <c r="Y250" s="103" t="s">
        <v>2240</v>
      </c>
      <c r="AA250" s="103" t="s">
        <v>2225</v>
      </c>
      <c r="AB250" s="103" t="s">
        <v>64</v>
      </c>
      <c r="AE250" s="103" t="s">
        <v>1473</v>
      </c>
      <c r="AF250" s="103" t="b">
        <v>1</v>
      </c>
    </row>
    <row r="251" spans="1:32" hidden="1" x14ac:dyDescent="0.2">
      <c r="A251" s="103" t="s">
        <v>3809</v>
      </c>
      <c r="B251" s="103" t="s">
        <v>3808</v>
      </c>
      <c r="C251" s="103" t="s">
        <v>2496</v>
      </c>
      <c r="D251" s="103" t="s">
        <v>2497</v>
      </c>
      <c r="E251" s="103" t="s">
        <v>2498</v>
      </c>
      <c r="G251" s="103">
        <v>50</v>
      </c>
      <c r="H251" s="103" t="s">
        <v>2152</v>
      </c>
      <c r="I251" s="103" t="s">
        <v>2153</v>
      </c>
      <c r="J251" s="103">
        <v>50</v>
      </c>
      <c r="N251" s="103" t="s">
        <v>2163</v>
      </c>
      <c r="O251" s="103">
        <v>50</v>
      </c>
      <c r="P251" s="103" t="s">
        <v>839</v>
      </c>
      <c r="Q251" s="103" t="s">
        <v>1393</v>
      </c>
      <c r="R251" s="103" t="s">
        <v>2225</v>
      </c>
      <c r="S251" s="103" t="s">
        <v>2422</v>
      </c>
      <c r="U251" s="103">
        <v>25.65</v>
      </c>
      <c r="V251" s="103" t="s">
        <v>2158</v>
      </c>
      <c r="W251" s="103" t="s">
        <v>119</v>
      </c>
      <c r="X251" s="103" t="s">
        <v>345</v>
      </c>
      <c r="Y251" s="103" t="s">
        <v>2240</v>
      </c>
      <c r="AA251" s="103" t="s">
        <v>2225</v>
      </c>
      <c r="AB251" s="103" t="s">
        <v>64</v>
      </c>
      <c r="AE251" s="103" t="s">
        <v>1473</v>
      </c>
      <c r="AF251" s="103" t="b">
        <v>1</v>
      </c>
    </row>
    <row r="252" spans="1:32" hidden="1" x14ac:dyDescent="0.2">
      <c r="A252" s="103" t="s">
        <v>3809</v>
      </c>
      <c r="B252" s="103" t="s">
        <v>3808</v>
      </c>
      <c r="C252" s="103" t="s">
        <v>2496</v>
      </c>
      <c r="D252" s="103" t="s">
        <v>2497</v>
      </c>
      <c r="E252" s="103" t="s">
        <v>2250</v>
      </c>
      <c r="G252" s="103">
        <v>600</v>
      </c>
      <c r="H252" s="103" t="s">
        <v>2152</v>
      </c>
      <c r="I252" s="103" t="s">
        <v>2153</v>
      </c>
      <c r="J252" s="103">
        <v>200</v>
      </c>
      <c r="K252" s="103">
        <v>200</v>
      </c>
      <c r="L252" s="103">
        <v>200</v>
      </c>
      <c r="N252" s="103" t="s">
        <v>2163</v>
      </c>
      <c r="O252" s="103">
        <v>600</v>
      </c>
      <c r="P252" s="103" t="s">
        <v>839</v>
      </c>
      <c r="Q252" s="103" t="s">
        <v>1393</v>
      </c>
      <c r="R252" s="103" t="s">
        <v>125</v>
      </c>
      <c r="S252" s="103" t="s">
        <v>2422</v>
      </c>
      <c r="U252" s="103">
        <v>307.8</v>
      </c>
      <c r="V252" s="103" t="s">
        <v>2158</v>
      </c>
      <c r="W252" s="103" t="s">
        <v>119</v>
      </c>
      <c r="X252" s="103" t="s">
        <v>345</v>
      </c>
      <c r="Y252" s="103" t="s">
        <v>2240</v>
      </c>
      <c r="AA252" s="103" t="s">
        <v>125</v>
      </c>
      <c r="AB252" s="103" t="s">
        <v>64</v>
      </c>
      <c r="AE252" s="103" t="s">
        <v>1473</v>
      </c>
      <c r="AF252" s="103" t="b">
        <v>1</v>
      </c>
    </row>
    <row r="253" spans="1:32" hidden="1" x14ac:dyDescent="0.2">
      <c r="A253" s="103" t="s">
        <v>453</v>
      </c>
      <c r="B253" s="103" t="s">
        <v>452</v>
      </c>
      <c r="C253" s="103" t="s">
        <v>2248</v>
      </c>
      <c r="D253" s="103" t="s">
        <v>2499</v>
      </c>
      <c r="E253" s="103" t="s">
        <v>2249</v>
      </c>
      <c r="F253" s="103" t="s">
        <v>2151</v>
      </c>
      <c r="G253" s="103">
        <v>100</v>
      </c>
      <c r="H253" s="103" t="s">
        <v>2168</v>
      </c>
      <c r="I253" s="103" t="s">
        <v>2153</v>
      </c>
      <c r="J253" s="103">
        <v>100</v>
      </c>
      <c r="N253" s="103" t="s">
        <v>2163</v>
      </c>
      <c r="O253" s="103">
        <v>100</v>
      </c>
      <c r="P253" s="103" t="s">
        <v>839</v>
      </c>
      <c r="R253" s="103" t="s">
        <v>2164</v>
      </c>
      <c r="U253" s="103">
        <v>60</v>
      </c>
      <c r="V253" s="103" t="s">
        <v>2158</v>
      </c>
      <c r="W253" s="103" t="s">
        <v>132</v>
      </c>
      <c r="X253" s="103" t="s">
        <v>1597</v>
      </c>
      <c r="Y253" s="103" t="s">
        <v>1685</v>
      </c>
      <c r="AA253" s="103" t="s">
        <v>2164</v>
      </c>
      <c r="AB253" s="103" t="s">
        <v>64</v>
      </c>
      <c r="AE253" s="103" t="s">
        <v>1618</v>
      </c>
      <c r="AF253" s="103" t="b">
        <v>1</v>
      </c>
    </row>
    <row r="254" spans="1:32" hidden="1" x14ac:dyDescent="0.2">
      <c r="A254" s="103" t="s">
        <v>453</v>
      </c>
      <c r="B254" s="103" t="s">
        <v>452</v>
      </c>
      <c r="C254" s="103" t="s">
        <v>2248</v>
      </c>
      <c r="D254" s="103" t="s">
        <v>2499</v>
      </c>
      <c r="E254" s="103" t="s">
        <v>2495</v>
      </c>
      <c r="G254" s="103">
        <v>150</v>
      </c>
      <c r="H254" s="103" t="s">
        <v>2152</v>
      </c>
      <c r="I254" s="103" t="s">
        <v>2153</v>
      </c>
      <c r="J254" s="103">
        <v>150</v>
      </c>
      <c r="N254" s="103" t="s">
        <v>2163</v>
      </c>
      <c r="O254" s="103">
        <v>150</v>
      </c>
      <c r="P254" s="103" t="s">
        <v>839</v>
      </c>
      <c r="Q254" s="103" t="s">
        <v>2155</v>
      </c>
      <c r="R254" s="103" t="s">
        <v>2225</v>
      </c>
      <c r="S254" s="103" t="s">
        <v>2247</v>
      </c>
      <c r="U254" s="103">
        <v>76.95</v>
      </c>
      <c r="V254" s="103" t="s">
        <v>2158</v>
      </c>
      <c r="W254" s="103" t="s">
        <v>117</v>
      </c>
      <c r="X254" s="103" t="s">
        <v>1597</v>
      </c>
      <c r="Y254" s="103" t="s">
        <v>1685</v>
      </c>
      <c r="AA254" s="103" t="s">
        <v>2225</v>
      </c>
      <c r="AB254" s="103" t="s">
        <v>64</v>
      </c>
      <c r="AE254" s="103" t="s">
        <v>1618</v>
      </c>
      <c r="AF254" s="103" t="b">
        <v>1</v>
      </c>
    </row>
    <row r="255" spans="1:32" hidden="1" x14ac:dyDescent="0.2">
      <c r="A255" s="103" t="s">
        <v>455</v>
      </c>
      <c r="B255" s="103" t="s">
        <v>454</v>
      </c>
      <c r="C255" s="103" t="s">
        <v>2248</v>
      </c>
      <c r="D255" s="103" t="s">
        <v>2500</v>
      </c>
      <c r="E255" s="103" t="s">
        <v>2498</v>
      </c>
      <c r="G255" s="103">
        <v>25</v>
      </c>
      <c r="H255" s="103" t="s">
        <v>2152</v>
      </c>
      <c r="I255" s="103" t="s">
        <v>2153</v>
      </c>
      <c r="M255" s="103">
        <v>25</v>
      </c>
      <c r="N255" s="103" t="s">
        <v>2163</v>
      </c>
      <c r="O255" s="103">
        <v>25</v>
      </c>
      <c r="P255" s="103" t="s">
        <v>839</v>
      </c>
      <c r="Q255" s="103" t="s">
        <v>2155</v>
      </c>
      <c r="R255" s="103" t="s">
        <v>2225</v>
      </c>
      <c r="S255" s="103" t="s">
        <v>2192</v>
      </c>
      <c r="U255" s="103">
        <v>12.824999999999999</v>
      </c>
      <c r="V255" s="103" t="s">
        <v>2158</v>
      </c>
      <c r="W255" s="103" t="s">
        <v>119</v>
      </c>
      <c r="X255" s="103" t="s">
        <v>1597</v>
      </c>
      <c r="Y255" s="103" t="s">
        <v>1685</v>
      </c>
      <c r="AA255" s="103" t="s">
        <v>2225</v>
      </c>
      <c r="AB255" s="103" t="s">
        <v>71</v>
      </c>
      <c r="AE255" s="103" t="s">
        <v>1618</v>
      </c>
      <c r="AF255" s="103" t="b">
        <v>1</v>
      </c>
    </row>
    <row r="256" spans="1:32" hidden="1" x14ac:dyDescent="0.2">
      <c r="A256" s="103" t="s">
        <v>455</v>
      </c>
      <c r="B256" s="103" t="s">
        <v>454</v>
      </c>
      <c r="C256" s="103" t="s">
        <v>2248</v>
      </c>
      <c r="D256" s="103" t="s">
        <v>2500</v>
      </c>
      <c r="E256" s="103" t="s">
        <v>2250</v>
      </c>
      <c r="G256" s="103">
        <v>25</v>
      </c>
      <c r="H256" s="103" t="s">
        <v>2152</v>
      </c>
      <c r="I256" s="103" t="s">
        <v>2153</v>
      </c>
      <c r="M256" s="103">
        <v>25</v>
      </c>
      <c r="N256" s="103" t="s">
        <v>2163</v>
      </c>
      <c r="O256" s="103">
        <v>25</v>
      </c>
      <c r="P256" s="103" t="s">
        <v>839</v>
      </c>
      <c r="Q256" s="103" t="s">
        <v>2155</v>
      </c>
      <c r="R256" s="103" t="s">
        <v>125</v>
      </c>
      <c r="S256" s="103" t="s">
        <v>2192</v>
      </c>
      <c r="U256" s="103">
        <v>12.824999999999999</v>
      </c>
      <c r="V256" s="103" t="s">
        <v>2158</v>
      </c>
      <c r="W256" s="103" t="s">
        <v>119</v>
      </c>
      <c r="X256" s="103" t="s">
        <v>1597</v>
      </c>
      <c r="Y256" s="103" t="s">
        <v>1685</v>
      </c>
      <c r="AA256" s="103" t="s">
        <v>125</v>
      </c>
      <c r="AB256" s="103" t="s">
        <v>71</v>
      </c>
      <c r="AE256" s="103" t="s">
        <v>1618</v>
      </c>
      <c r="AF256" s="103" t="b">
        <v>1</v>
      </c>
    </row>
    <row r="257" spans="1:32" hidden="1" x14ac:dyDescent="0.2">
      <c r="A257" s="103" t="s">
        <v>456</v>
      </c>
      <c r="B257" s="103" t="s">
        <v>3814</v>
      </c>
      <c r="C257" s="103" t="s">
        <v>2501</v>
      </c>
      <c r="D257" s="103" t="s">
        <v>2502</v>
      </c>
      <c r="E257" s="103" t="s">
        <v>2495</v>
      </c>
      <c r="G257" s="103">
        <v>160</v>
      </c>
      <c r="H257" s="103" t="s">
        <v>2152</v>
      </c>
      <c r="I257" s="103" t="s">
        <v>2153</v>
      </c>
      <c r="J257" s="103">
        <v>100</v>
      </c>
      <c r="K257" s="103">
        <v>60</v>
      </c>
      <c r="N257" s="103" t="s">
        <v>2163</v>
      </c>
      <c r="O257" s="103">
        <v>160</v>
      </c>
      <c r="P257" s="103" t="s">
        <v>839</v>
      </c>
      <c r="Q257" s="103" t="s">
        <v>1393</v>
      </c>
      <c r="R257" s="103" t="s">
        <v>2225</v>
      </c>
      <c r="S257" s="103" t="s">
        <v>2422</v>
      </c>
      <c r="U257" s="103">
        <v>82.08</v>
      </c>
      <c r="V257" s="103" t="s">
        <v>2239</v>
      </c>
      <c r="W257" s="103" t="s">
        <v>117</v>
      </c>
      <c r="X257" s="103" t="s">
        <v>1945</v>
      </c>
      <c r="Y257" s="103" t="s">
        <v>1685</v>
      </c>
      <c r="AA257" s="103" t="s">
        <v>2225</v>
      </c>
      <c r="AB257" s="103" t="s">
        <v>64</v>
      </c>
      <c r="AE257" s="103" t="s">
        <v>1618</v>
      </c>
      <c r="AF257" s="103" t="b">
        <v>1</v>
      </c>
    </row>
    <row r="258" spans="1:32" hidden="1" x14ac:dyDescent="0.2">
      <c r="A258" s="103" t="s">
        <v>458</v>
      </c>
      <c r="B258" s="103" t="s">
        <v>457</v>
      </c>
      <c r="C258" s="103" t="s">
        <v>2503</v>
      </c>
      <c r="E258" s="103" t="s">
        <v>2195</v>
      </c>
      <c r="F258" s="103" t="s">
        <v>2151</v>
      </c>
      <c r="G258" s="103">
        <v>360</v>
      </c>
      <c r="H258" s="103" t="s">
        <v>2152</v>
      </c>
      <c r="I258" s="103" t="s">
        <v>2153</v>
      </c>
      <c r="J258" s="103">
        <v>290</v>
      </c>
      <c r="K258" s="103">
        <v>40</v>
      </c>
      <c r="L258" s="103">
        <v>30</v>
      </c>
      <c r="N258" s="103" t="s">
        <v>2163</v>
      </c>
      <c r="O258" s="103">
        <v>360</v>
      </c>
      <c r="P258" s="103" t="s">
        <v>771</v>
      </c>
      <c r="Q258" s="103" t="s">
        <v>2155</v>
      </c>
      <c r="R258" s="103" t="s">
        <v>2156</v>
      </c>
      <c r="S258" s="103" t="s">
        <v>2157</v>
      </c>
      <c r="U258" s="103">
        <v>184.68</v>
      </c>
      <c r="V258" s="103" t="s">
        <v>2158</v>
      </c>
      <c r="W258" s="103" t="s">
        <v>114</v>
      </c>
      <c r="X258" s="103" t="s">
        <v>1597</v>
      </c>
      <c r="Y258" s="103" t="s">
        <v>1685</v>
      </c>
      <c r="AA258" s="103" t="s">
        <v>2156</v>
      </c>
      <c r="AB258" s="103" t="s">
        <v>68</v>
      </c>
      <c r="AC258" s="103" t="s">
        <v>2159</v>
      </c>
      <c r="AD258" s="103" t="s">
        <v>2203</v>
      </c>
      <c r="AE258" s="103" t="s">
        <v>766</v>
      </c>
      <c r="AF258" s="103" t="b">
        <v>1</v>
      </c>
    </row>
    <row r="259" spans="1:32" hidden="1" x14ac:dyDescent="0.2">
      <c r="A259" s="103" t="s">
        <v>3819</v>
      </c>
      <c r="B259" s="103" t="s">
        <v>3818</v>
      </c>
      <c r="C259" s="103" t="s">
        <v>2504</v>
      </c>
      <c r="D259" s="103" t="s">
        <v>459</v>
      </c>
      <c r="E259" s="103" t="s">
        <v>104</v>
      </c>
      <c r="F259" s="103" t="s">
        <v>2232</v>
      </c>
      <c r="G259" s="103">
        <v>569</v>
      </c>
      <c r="H259" s="103" t="s">
        <v>2152</v>
      </c>
      <c r="I259" s="103" t="s">
        <v>2153</v>
      </c>
      <c r="J259" s="103">
        <v>123</v>
      </c>
      <c r="K259" s="103">
        <v>136</v>
      </c>
      <c r="L259" s="103">
        <v>155</v>
      </c>
      <c r="M259" s="103">
        <v>155</v>
      </c>
      <c r="N259" s="103" t="s">
        <v>2163</v>
      </c>
      <c r="O259" s="103">
        <v>569</v>
      </c>
      <c r="P259" s="103" t="s">
        <v>1571</v>
      </c>
      <c r="Q259" s="103" t="s">
        <v>1393</v>
      </c>
      <c r="R259" s="103" t="s">
        <v>2156</v>
      </c>
      <c r="S259" s="103" t="s">
        <v>2192</v>
      </c>
      <c r="U259" s="103">
        <v>291.89699999999999</v>
      </c>
      <c r="V259" s="103" t="s">
        <v>2158</v>
      </c>
      <c r="W259" s="103" t="s">
        <v>104</v>
      </c>
      <c r="X259" s="103" t="s">
        <v>345</v>
      </c>
      <c r="Y259" s="103" t="s">
        <v>2240</v>
      </c>
      <c r="AA259" s="103" t="s">
        <v>2156</v>
      </c>
      <c r="AB259" s="103" t="s">
        <v>68</v>
      </c>
      <c r="AC259" s="103" t="s">
        <v>2505</v>
      </c>
      <c r="AD259" s="103" t="s">
        <v>2397</v>
      </c>
      <c r="AE259" s="103" t="s">
        <v>1116</v>
      </c>
      <c r="AF259" s="103" t="b">
        <v>1</v>
      </c>
    </row>
    <row r="260" spans="1:32" hidden="1" x14ac:dyDescent="0.2">
      <c r="A260" s="103" t="s">
        <v>462</v>
      </c>
      <c r="B260" s="103" t="s">
        <v>461</v>
      </c>
      <c r="E260" s="103" t="s">
        <v>2506</v>
      </c>
      <c r="F260" s="103" t="s">
        <v>2202</v>
      </c>
      <c r="G260" s="103">
        <v>300</v>
      </c>
      <c r="H260" s="103" t="s">
        <v>2152</v>
      </c>
      <c r="I260" s="103" t="s">
        <v>2153</v>
      </c>
      <c r="J260" s="103">
        <v>150</v>
      </c>
      <c r="K260" s="103">
        <v>150</v>
      </c>
      <c r="L260" s="103">
        <v>0</v>
      </c>
      <c r="M260" s="103">
        <v>0</v>
      </c>
      <c r="N260" s="103" t="s">
        <v>2154</v>
      </c>
      <c r="O260" s="103">
        <v>300</v>
      </c>
      <c r="P260" s="103" t="s">
        <v>1659</v>
      </c>
      <c r="Q260" s="103" t="s">
        <v>2155</v>
      </c>
      <c r="R260" s="103" t="s">
        <v>2156</v>
      </c>
      <c r="U260" s="103">
        <v>153.9</v>
      </c>
      <c r="V260" s="103" t="s">
        <v>2158</v>
      </c>
      <c r="W260" s="103" t="s">
        <v>112</v>
      </c>
      <c r="X260" s="103">
        <v>0</v>
      </c>
      <c r="Y260" s="103" t="s">
        <v>1685</v>
      </c>
      <c r="AA260" s="103" t="s">
        <v>305</v>
      </c>
      <c r="AB260" s="103" t="s">
        <v>68</v>
      </c>
      <c r="AC260" s="103" t="s">
        <v>2507</v>
      </c>
      <c r="AD260" s="103" t="s">
        <v>2397</v>
      </c>
      <c r="AE260" s="103" t="s">
        <v>1109</v>
      </c>
      <c r="AF260" s="103" t="b">
        <v>0</v>
      </c>
    </row>
    <row r="261" spans="1:32" hidden="1" x14ac:dyDescent="0.2">
      <c r="A261" s="103" t="s">
        <v>464</v>
      </c>
      <c r="B261" s="103" t="s">
        <v>463</v>
      </c>
      <c r="E261" s="103" t="s">
        <v>2506</v>
      </c>
      <c r="F261" s="103" t="s">
        <v>2226</v>
      </c>
      <c r="G261" s="103">
        <v>400</v>
      </c>
      <c r="H261" s="103" t="s">
        <v>2168</v>
      </c>
      <c r="I261" s="103" t="s">
        <v>2153</v>
      </c>
      <c r="J261" s="103">
        <v>100</v>
      </c>
      <c r="K261" s="103">
        <v>100</v>
      </c>
      <c r="L261" s="103">
        <v>100</v>
      </c>
      <c r="M261" s="103">
        <v>100</v>
      </c>
      <c r="N261" s="103" t="s">
        <v>2163</v>
      </c>
      <c r="O261" s="103">
        <v>400</v>
      </c>
      <c r="P261" s="103" t="s">
        <v>1659</v>
      </c>
      <c r="Q261" s="103" t="s">
        <v>2155</v>
      </c>
      <c r="R261" s="103" t="s">
        <v>2156</v>
      </c>
      <c r="U261" s="103">
        <v>205.2</v>
      </c>
      <c r="V261" s="103" t="s">
        <v>2158</v>
      </c>
      <c r="W261" s="103" t="s">
        <v>112</v>
      </c>
      <c r="X261" s="103">
        <v>0</v>
      </c>
      <c r="Y261" s="103" t="s">
        <v>1685</v>
      </c>
      <c r="AA261" s="103" t="s">
        <v>305</v>
      </c>
      <c r="AB261" s="103" t="s">
        <v>68</v>
      </c>
      <c r="AC261" s="103" t="s">
        <v>2507</v>
      </c>
      <c r="AD261" s="103" t="s">
        <v>2397</v>
      </c>
      <c r="AE261" s="103" t="s">
        <v>1109</v>
      </c>
      <c r="AF261" s="103" t="b">
        <v>0</v>
      </c>
    </row>
    <row r="262" spans="1:32" hidden="1" x14ac:dyDescent="0.2">
      <c r="A262" s="103" t="s">
        <v>466</v>
      </c>
      <c r="B262" s="103" t="s">
        <v>465</v>
      </c>
      <c r="E262" s="103" t="s">
        <v>2506</v>
      </c>
      <c r="F262" s="103" t="s">
        <v>2226</v>
      </c>
      <c r="G262" s="103">
        <v>400</v>
      </c>
      <c r="H262" s="103" t="s">
        <v>2168</v>
      </c>
      <c r="I262" s="103" t="s">
        <v>2153</v>
      </c>
      <c r="J262" s="103">
        <v>200</v>
      </c>
      <c r="K262" s="103">
        <v>200</v>
      </c>
      <c r="L262" s="103">
        <v>0</v>
      </c>
      <c r="M262" s="103">
        <v>0</v>
      </c>
      <c r="N262" s="103" t="s">
        <v>2163</v>
      </c>
      <c r="O262" s="103">
        <v>400</v>
      </c>
      <c r="P262" s="103" t="s">
        <v>1659</v>
      </c>
      <c r="Q262" s="103" t="s">
        <v>1393</v>
      </c>
      <c r="R262" s="103" t="s">
        <v>2156</v>
      </c>
      <c r="U262" s="103">
        <v>205.2</v>
      </c>
      <c r="V262" s="103" t="s">
        <v>2158</v>
      </c>
      <c r="W262" s="103" t="s">
        <v>112</v>
      </c>
      <c r="X262" s="103">
        <v>0</v>
      </c>
      <c r="Y262" s="103" t="s">
        <v>1685</v>
      </c>
      <c r="AA262" s="103" t="s">
        <v>305</v>
      </c>
      <c r="AB262" s="103" t="s">
        <v>68</v>
      </c>
      <c r="AC262" s="103" t="s">
        <v>2507</v>
      </c>
      <c r="AD262" s="103" t="s">
        <v>2397</v>
      </c>
      <c r="AE262" s="103" t="s">
        <v>1109</v>
      </c>
      <c r="AF262" s="103" t="b">
        <v>0</v>
      </c>
    </row>
    <row r="263" spans="1:32" hidden="1" x14ac:dyDescent="0.2">
      <c r="A263" s="103" t="s">
        <v>468</v>
      </c>
      <c r="B263" s="103" t="s">
        <v>467</v>
      </c>
      <c r="E263" s="103" t="s">
        <v>2506</v>
      </c>
      <c r="F263" s="103" t="s">
        <v>2226</v>
      </c>
      <c r="G263" s="103">
        <v>400</v>
      </c>
      <c r="H263" s="103" t="s">
        <v>2168</v>
      </c>
      <c r="I263" s="103" t="s">
        <v>2153</v>
      </c>
      <c r="J263" s="103">
        <v>100</v>
      </c>
      <c r="K263" s="103">
        <v>100</v>
      </c>
      <c r="L263" s="103">
        <v>100</v>
      </c>
      <c r="M263" s="103">
        <v>100</v>
      </c>
      <c r="N263" s="103" t="s">
        <v>2163</v>
      </c>
      <c r="O263" s="103">
        <v>400</v>
      </c>
      <c r="P263" s="103" t="s">
        <v>1659</v>
      </c>
      <c r="Q263" s="103" t="s">
        <v>2155</v>
      </c>
      <c r="R263" s="103" t="s">
        <v>2156</v>
      </c>
      <c r="U263" s="103">
        <v>205.2</v>
      </c>
      <c r="V263" s="103" t="s">
        <v>2158</v>
      </c>
      <c r="W263" s="103" t="s">
        <v>112</v>
      </c>
      <c r="X263" s="103">
        <v>0</v>
      </c>
      <c r="Y263" s="103" t="s">
        <v>1685</v>
      </c>
      <c r="AA263" s="103" t="s">
        <v>305</v>
      </c>
      <c r="AB263" s="103" t="s">
        <v>68</v>
      </c>
      <c r="AC263" s="103" t="s">
        <v>2507</v>
      </c>
      <c r="AD263" s="103" t="s">
        <v>2397</v>
      </c>
      <c r="AE263" s="103" t="s">
        <v>1109</v>
      </c>
      <c r="AF263" s="103" t="b">
        <v>0</v>
      </c>
    </row>
    <row r="264" spans="1:32" hidden="1" x14ac:dyDescent="0.2">
      <c r="A264" s="103" t="s">
        <v>470</v>
      </c>
      <c r="B264" s="103" t="s">
        <v>469</v>
      </c>
      <c r="E264" s="103" t="s">
        <v>2506</v>
      </c>
      <c r="F264" s="103" t="s">
        <v>2226</v>
      </c>
      <c r="G264" s="103">
        <v>400</v>
      </c>
      <c r="H264" s="103" t="s">
        <v>2168</v>
      </c>
      <c r="I264" s="103" t="s">
        <v>2153</v>
      </c>
      <c r="J264" s="103">
        <v>100</v>
      </c>
      <c r="K264" s="103">
        <v>100</v>
      </c>
      <c r="L264" s="103">
        <v>100</v>
      </c>
      <c r="M264" s="103">
        <v>100</v>
      </c>
      <c r="N264" s="103" t="s">
        <v>2163</v>
      </c>
      <c r="O264" s="103">
        <v>400</v>
      </c>
      <c r="P264" s="103" t="s">
        <v>1659</v>
      </c>
      <c r="Q264" s="103" t="s">
        <v>2155</v>
      </c>
      <c r="R264" s="103" t="s">
        <v>2156</v>
      </c>
      <c r="U264" s="103">
        <v>205.2</v>
      </c>
      <c r="V264" s="103" t="s">
        <v>2158</v>
      </c>
      <c r="W264" s="103" t="s">
        <v>112</v>
      </c>
      <c r="X264" s="103">
        <v>0</v>
      </c>
      <c r="Y264" s="103" t="s">
        <v>1685</v>
      </c>
      <c r="AA264" s="103" t="s">
        <v>305</v>
      </c>
      <c r="AB264" s="103" t="s">
        <v>68</v>
      </c>
      <c r="AC264" s="103" t="s">
        <v>2507</v>
      </c>
      <c r="AD264" s="103" t="s">
        <v>2397</v>
      </c>
      <c r="AE264" s="103" t="s">
        <v>1109</v>
      </c>
      <c r="AF264" s="103" t="b">
        <v>0</v>
      </c>
    </row>
    <row r="265" spans="1:32" hidden="1" x14ac:dyDescent="0.2">
      <c r="A265" s="103" t="s">
        <v>472</v>
      </c>
      <c r="B265" s="103" t="s">
        <v>471</v>
      </c>
      <c r="E265" s="103" t="s">
        <v>2506</v>
      </c>
      <c r="F265" s="103" t="s">
        <v>2226</v>
      </c>
      <c r="G265" s="103">
        <v>400</v>
      </c>
      <c r="H265" s="103" t="s">
        <v>2168</v>
      </c>
      <c r="I265" s="103" t="s">
        <v>2153</v>
      </c>
      <c r="J265" s="103">
        <v>100</v>
      </c>
      <c r="K265" s="103">
        <v>100</v>
      </c>
      <c r="L265" s="103">
        <v>100</v>
      </c>
      <c r="M265" s="103">
        <v>100</v>
      </c>
      <c r="N265" s="103" t="s">
        <v>2163</v>
      </c>
      <c r="O265" s="103">
        <v>400</v>
      </c>
      <c r="P265" s="103" t="s">
        <v>1659</v>
      </c>
      <c r="Q265" s="103" t="s">
        <v>2155</v>
      </c>
      <c r="R265" s="103" t="s">
        <v>2156</v>
      </c>
      <c r="U265" s="103">
        <v>205.2</v>
      </c>
      <c r="V265" s="103" t="s">
        <v>2158</v>
      </c>
      <c r="W265" s="103" t="s">
        <v>112</v>
      </c>
      <c r="X265" s="103">
        <v>0</v>
      </c>
      <c r="Y265" s="103" t="s">
        <v>1685</v>
      </c>
      <c r="AA265" s="103" t="s">
        <v>305</v>
      </c>
      <c r="AB265" s="103" t="s">
        <v>68</v>
      </c>
      <c r="AC265" s="103" t="s">
        <v>2507</v>
      </c>
      <c r="AD265" s="103" t="s">
        <v>2397</v>
      </c>
      <c r="AE265" s="103" t="s">
        <v>1109</v>
      </c>
      <c r="AF265" s="103" t="b">
        <v>0</v>
      </c>
    </row>
    <row r="266" spans="1:32" hidden="1" x14ac:dyDescent="0.2">
      <c r="A266" s="103" t="s">
        <v>474</v>
      </c>
      <c r="B266" s="103" t="s">
        <v>473</v>
      </c>
      <c r="E266" s="103" t="s">
        <v>2506</v>
      </c>
      <c r="F266" s="103" t="s">
        <v>2202</v>
      </c>
      <c r="G266" s="103">
        <v>220</v>
      </c>
      <c r="H266" s="103" t="s">
        <v>2152</v>
      </c>
      <c r="I266" s="103" t="s">
        <v>2153</v>
      </c>
      <c r="J266" s="103">
        <v>50</v>
      </c>
      <c r="K266" s="103">
        <v>70</v>
      </c>
      <c r="L266" s="103">
        <v>50</v>
      </c>
      <c r="M266" s="103">
        <v>50</v>
      </c>
      <c r="N266" s="103" t="s">
        <v>2163</v>
      </c>
      <c r="O266" s="103">
        <v>220</v>
      </c>
      <c r="P266" s="103" t="s">
        <v>1659</v>
      </c>
      <c r="Q266" s="103" t="s">
        <v>2155</v>
      </c>
      <c r="R266" s="103" t="s">
        <v>2156</v>
      </c>
      <c r="U266" s="103">
        <v>112.86</v>
      </c>
      <c r="V266" s="103" t="s">
        <v>2158</v>
      </c>
      <c r="W266" s="103" t="s">
        <v>112</v>
      </c>
      <c r="X266" s="103">
        <v>0</v>
      </c>
      <c r="Y266" s="103" t="s">
        <v>1685</v>
      </c>
      <c r="AA266" s="103" t="s">
        <v>305</v>
      </c>
      <c r="AB266" s="103" t="s">
        <v>68</v>
      </c>
      <c r="AC266" s="103" t="s">
        <v>2507</v>
      </c>
      <c r="AD266" s="103" t="s">
        <v>2397</v>
      </c>
      <c r="AE266" s="103" t="s">
        <v>1109</v>
      </c>
      <c r="AF266" s="103" t="b">
        <v>0</v>
      </c>
    </row>
    <row r="267" spans="1:32" hidden="1" x14ac:dyDescent="0.2">
      <c r="A267" s="103" t="s">
        <v>476</v>
      </c>
      <c r="B267" s="103" t="s">
        <v>475</v>
      </c>
      <c r="E267" s="103" t="s">
        <v>2506</v>
      </c>
      <c r="F267" s="103" t="s">
        <v>2226</v>
      </c>
      <c r="G267" s="103">
        <v>400</v>
      </c>
      <c r="H267" s="103" t="s">
        <v>2168</v>
      </c>
      <c r="I267" s="103" t="s">
        <v>2153</v>
      </c>
      <c r="J267" s="103">
        <v>100</v>
      </c>
      <c r="K267" s="103">
        <v>100</v>
      </c>
      <c r="L267" s="103">
        <v>100</v>
      </c>
      <c r="M267" s="103">
        <v>100</v>
      </c>
      <c r="N267" s="103" t="s">
        <v>2154</v>
      </c>
      <c r="O267" s="103">
        <v>400</v>
      </c>
      <c r="P267" s="103" t="s">
        <v>1659</v>
      </c>
      <c r="Q267" s="103" t="s">
        <v>2155</v>
      </c>
      <c r="R267" s="103" t="s">
        <v>2156</v>
      </c>
      <c r="U267" s="103">
        <v>205.2</v>
      </c>
      <c r="V267" s="103" t="s">
        <v>2158</v>
      </c>
      <c r="W267" s="103" t="s">
        <v>112</v>
      </c>
      <c r="X267" s="103">
        <v>0</v>
      </c>
      <c r="Y267" s="103" t="s">
        <v>1685</v>
      </c>
      <c r="AA267" s="103" t="s">
        <v>305</v>
      </c>
      <c r="AB267" s="103" t="s">
        <v>68</v>
      </c>
      <c r="AC267" s="103" t="s">
        <v>2507</v>
      </c>
      <c r="AD267" s="103" t="s">
        <v>2397</v>
      </c>
      <c r="AE267" s="103" t="s">
        <v>1109</v>
      </c>
      <c r="AF267" s="103" t="b">
        <v>0</v>
      </c>
    </row>
    <row r="268" spans="1:32" hidden="1" x14ac:dyDescent="0.2">
      <c r="A268" s="103" t="s">
        <v>478</v>
      </c>
      <c r="B268" s="103" t="s">
        <v>477</v>
      </c>
      <c r="E268" s="103" t="s">
        <v>2506</v>
      </c>
      <c r="F268" s="103" t="s">
        <v>2226</v>
      </c>
      <c r="G268" s="103">
        <v>400</v>
      </c>
      <c r="H268" s="103" t="s">
        <v>2168</v>
      </c>
      <c r="I268" s="103" t="s">
        <v>2153</v>
      </c>
      <c r="J268" s="103">
        <v>130</v>
      </c>
      <c r="K268" s="103">
        <v>130</v>
      </c>
      <c r="L268" s="103">
        <v>140</v>
      </c>
      <c r="M268" s="103">
        <v>0</v>
      </c>
      <c r="N268" s="103" t="s">
        <v>2163</v>
      </c>
      <c r="O268" s="103">
        <v>400</v>
      </c>
      <c r="P268" s="103" t="s">
        <v>1659</v>
      </c>
      <c r="Q268" s="103" t="s">
        <v>1393</v>
      </c>
      <c r="R268" s="103" t="s">
        <v>2156</v>
      </c>
      <c r="U268" s="103">
        <v>205.2</v>
      </c>
      <c r="V268" s="103" t="s">
        <v>2158</v>
      </c>
      <c r="W268" s="103" t="s">
        <v>112</v>
      </c>
      <c r="X268" s="103">
        <v>0</v>
      </c>
      <c r="Y268" s="103" t="s">
        <v>1685</v>
      </c>
      <c r="AA268" s="103" t="s">
        <v>305</v>
      </c>
      <c r="AB268" s="103" t="s">
        <v>68</v>
      </c>
      <c r="AC268" s="103" t="s">
        <v>2507</v>
      </c>
      <c r="AD268" s="103" t="s">
        <v>2397</v>
      </c>
      <c r="AE268" s="103" t="s">
        <v>1109</v>
      </c>
      <c r="AF268" s="103" t="b">
        <v>0</v>
      </c>
    </row>
    <row r="269" spans="1:32" hidden="1" x14ac:dyDescent="0.2">
      <c r="A269" s="103" t="s">
        <v>480</v>
      </c>
      <c r="B269" s="103" t="s">
        <v>479</v>
      </c>
      <c r="E269" s="103" t="s">
        <v>2506</v>
      </c>
      <c r="F269" s="103" t="s">
        <v>2226</v>
      </c>
      <c r="G269" s="103">
        <v>400</v>
      </c>
      <c r="H269" s="103" t="s">
        <v>2168</v>
      </c>
      <c r="I269" s="103" t="s">
        <v>2153</v>
      </c>
      <c r="J269" s="103">
        <v>200</v>
      </c>
      <c r="K269" s="103">
        <v>200</v>
      </c>
      <c r="L269" s="103">
        <v>0</v>
      </c>
      <c r="M269" s="103">
        <v>0</v>
      </c>
      <c r="N269" s="103" t="s">
        <v>2163</v>
      </c>
      <c r="O269" s="103">
        <v>400</v>
      </c>
      <c r="P269" s="103" t="s">
        <v>1659</v>
      </c>
      <c r="Q269" s="103" t="s">
        <v>1393</v>
      </c>
      <c r="R269" s="103" t="s">
        <v>2156</v>
      </c>
      <c r="U269" s="103">
        <v>205.2</v>
      </c>
      <c r="V269" s="103" t="s">
        <v>2158</v>
      </c>
      <c r="W269" s="103" t="s">
        <v>112</v>
      </c>
      <c r="X269" s="103">
        <v>0</v>
      </c>
      <c r="Y269" s="103" t="s">
        <v>1685</v>
      </c>
      <c r="AA269" s="103" t="s">
        <v>305</v>
      </c>
      <c r="AB269" s="103" t="s">
        <v>68</v>
      </c>
      <c r="AC269" s="103" t="s">
        <v>2507</v>
      </c>
      <c r="AD269" s="103" t="s">
        <v>2397</v>
      </c>
      <c r="AE269" s="103" t="s">
        <v>1109</v>
      </c>
      <c r="AF269" s="103" t="b">
        <v>0</v>
      </c>
    </row>
    <row r="270" spans="1:32" hidden="1" x14ac:dyDescent="0.2">
      <c r="A270" s="103" t="s">
        <v>482</v>
      </c>
      <c r="B270" s="103" t="s">
        <v>481</v>
      </c>
      <c r="E270" s="103" t="s">
        <v>2506</v>
      </c>
      <c r="F270" s="103" t="s">
        <v>2228</v>
      </c>
      <c r="G270" s="103">
        <v>3192</v>
      </c>
      <c r="H270" s="103" t="s">
        <v>2152</v>
      </c>
      <c r="I270" s="103" t="s">
        <v>2153</v>
      </c>
      <c r="J270" s="103">
        <v>800</v>
      </c>
      <c r="K270" s="103">
        <v>800</v>
      </c>
      <c r="L270" s="103">
        <v>800</v>
      </c>
      <c r="M270" s="103">
        <v>792</v>
      </c>
      <c r="N270" s="103" t="s">
        <v>2163</v>
      </c>
      <c r="O270" s="103">
        <v>3192</v>
      </c>
      <c r="P270" s="103" t="s">
        <v>1659</v>
      </c>
      <c r="Q270" s="103" t="s">
        <v>2236</v>
      </c>
      <c r="R270" s="103" t="s">
        <v>2156</v>
      </c>
      <c r="U270" s="103">
        <v>1637.4960000000001</v>
      </c>
      <c r="V270" s="103" t="s">
        <v>2158</v>
      </c>
      <c r="W270" s="103" t="s">
        <v>112</v>
      </c>
      <c r="X270" s="103">
        <v>0</v>
      </c>
      <c r="Y270" s="103" t="s">
        <v>1685</v>
      </c>
      <c r="AA270" s="103" t="s">
        <v>305</v>
      </c>
      <c r="AB270" s="103" t="s">
        <v>68</v>
      </c>
      <c r="AC270" s="103" t="s">
        <v>2507</v>
      </c>
      <c r="AD270" s="103" t="s">
        <v>2397</v>
      </c>
      <c r="AE270" s="103" t="s">
        <v>1109</v>
      </c>
      <c r="AF270" s="103" t="b">
        <v>0</v>
      </c>
    </row>
    <row r="271" spans="1:32" hidden="1" x14ac:dyDescent="0.2">
      <c r="A271" s="103" t="s">
        <v>483</v>
      </c>
      <c r="B271" s="103" t="s">
        <v>1660</v>
      </c>
      <c r="C271" s="103" t="s">
        <v>2508</v>
      </c>
      <c r="D271" s="103" t="s">
        <v>2509</v>
      </c>
      <c r="E271" s="103" t="s">
        <v>2510</v>
      </c>
      <c r="F271" s="103" t="s">
        <v>2232</v>
      </c>
      <c r="G271" s="103">
        <v>300</v>
      </c>
      <c r="H271" s="103" t="s">
        <v>2168</v>
      </c>
      <c r="I271" s="103" t="s">
        <v>2153</v>
      </c>
      <c r="J271" s="103">
        <v>75</v>
      </c>
      <c r="K271" s="103">
        <v>75</v>
      </c>
      <c r="L271" s="103">
        <v>75</v>
      </c>
      <c r="M271" s="103">
        <v>75</v>
      </c>
      <c r="N271" s="103" t="s">
        <v>2402</v>
      </c>
      <c r="O271" s="103">
        <v>300</v>
      </c>
      <c r="P271" s="103" t="s">
        <v>873</v>
      </c>
      <c r="Q271" s="103" t="s">
        <v>2155</v>
      </c>
      <c r="R271" s="103" t="s">
        <v>2156</v>
      </c>
      <c r="S271" s="103" t="s">
        <v>2209</v>
      </c>
      <c r="U271" s="103">
        <v>153.9</v>
      </c>
      <c r="V271" s="103" t="s">
        <v>2262</v>
      </c>
      <c r="W271" s="103" t="s">
        <v>114</v>
      </c>
      <c r="X271" s="103" t="s">
        <v>1597</v>
      </c>
      <c r="Y271" s="103" t="s">
        <v>1685</v>
      </c>
      <c r="AA271" s="103" t="s">
        <v>2156</v>
      </c>
      <c r="AB271" s="103" t="s">
        <v>68</v>
      </c>
      <c r="AC271" s="103" t="s">
        <v>2511</v>
      </c>
      <c r="AD271" s="103" t="s">
        <v>2512</v>
      </c>
      <c r="AE271" s="103" t="s">
        <v>766</v>
      </c>
      <c r="AF271" s="103" t="b">
        <v>1</v>
      </c>
    </row>
    <row r="272" spans="1:32" hidden="1" x14ac:dyDescent="0.2">
      <c r="A272" s="103" t="s">
        <v>483</v>
      </c>
      <c r="B272" s="103" t="s">
        <v>1660</v>
      </c>
      <c r="C272" s="103" t="s">
        <v>2513</v>
      </c>
      <c r="E272" s="103" t="s">
        <v>2510</v>
      </c>
      <c r="F272" s="103" t="s">
        <v>2202</v>
      </c>
      <c r="G272" s="103">
        <v>200</v>
      </c>
      <c r="H272" s="103" t="s">
        <v>2168</v>
      </c>
      <c r="I272" s="103" t="s">
        <v>2153</v>
      </c>
      <c r="J272" s="103">
        <v>50</v>
      </c>
      <c r="K272" s="103">
        <v>50</v>
      </c>
      <c r="L272" s="103">
        <v>50</v>
      </c>
      <c r="M272" s="103">
        <v>50</v>
      </c>
      <c r="N272" s="103" t="s">
        <v>2402</v>
      </c>
      <c r="O272" s="103">
        <v>200</v>
      </c>
      <c r="P272" s="103" t="s">
        <v>873</v>
      </c>
      <c r="Q272" s="103" t="s">
        <v>2155</v>
      </c>
      <c r="R272" s="103" t="s">
        <v>2156</v>
      </c>
      <c r="S272" s="103" t="s">
        <v>2209</v>
      </c>
      <c r="U272" s="103">
        <v>102.6</v>
      </c>
      <c r="V272" s="103" t="s">
        <v>2262</v>
      </c>
      <c r="W272" s="103" t="s">
        <v>114</v>
      </c>
      <c r="X272" s="103" t="s">
        <v>1597</v>
      </c>
      <c r="Y272" s="103" t="s">
        <v>1685</v>
      </c>
      <c r="AA272" s="103" t="s">
        <v>2156</v>
      </c>
      <c r="AB272" s="103" t="s">
        <v>68</v>
      </c>
      <c r="AC272" s="103" t="s">
        <v>2511</v>
      </c>
      <c r="AD272" s="103" t="s">
        <v>2391</v>
      </c>
      <c r="AE272" s="103" t="s">
        <v>766</v>
      </c>
      <c r="AF272" s="103" t="b">
        <v>1</v>
      </c>
    </row>
    <row r="273" spans="1:32" hidden="1" x14ac:dyDescent="0.2">
      <c r="A273" s="103" t="s">
        <v>485</v>
      </c>
      <c r="B273" s="103" t="s">
        <v>484</v>
      </c>
      <c r="E273" s="103" t="s">
        <v>2506</v>
      </c>
      <c r="F273" s="103" t="s">
        <v>2226</v>
      </c>
      <c r="G273" s="103">
        <v>400</v>
      </c>
      <c r="H273" s="103" t="s">
        <v>2168</v>
      </c>
      <c r="I273" s="103" t="s">
        <v>2153</v>
      </c>
      <c r="J273" s="103">
        <v>100</v>
      </c>
      <c r="K273" s="103">
        <v>100</v>
      </c>
      <c r="L273" s="103">
        <v>100</v>
      </c>
      <c r="M273" s="103">
        <v>100</v>
      </c>
      <c r="N273" s="103" t="s">
        <v>2154</v>
      </c>
      <c r="O273" s="103">
        <v>400</v>
      </c>
      <c r="P273" s="103" t="s">
        <v>1659</v>
      </c>
      <c r="Q273" s="103" t="s">
        <v>2387</v>
      </c>
      <c r="R273" s="103" t="s">
        <v>2156</v>
      </c>
      <c r="U273" s="103">
        <v>205.2</v>
      </c>
      <c r="V273" s="103" t="s">
        <v>2158</v>
      </c>
      <c r="W273" s="103" t="s">
        <v>112</v>
      </c>
      <c r="X273" s="103">
        <v>0</v>
      </c>
      <c r="Y273" s="103" t="s">
        <v>1685</v>
      </c>
      <c r="AA273" s="103" t="s">
        <v>305</v>
      </c>
      <c r="AB273" s="103" t="s">
        <v>68</v>
      </c>
      <c r="AC273" s="103" t="s">
        <v>2507</v>
      </c>
      <c r="AD273" s="103" t="s">
        <v>2388</v>
      </c>
      <c r="AE273" s="103" t="s">
        <v>1109</v>
      </c>
      <c r="AF273" s="103" t="b">
        <v>0</v>
      </c>
    </row>
    <row r="274" spans="1:32" hidden="1" x14ac:dyDescent="0.2">
      <c r="A274" s="103" t="s">
        <v>487</v>
      </c>
      <c r="B274" s="103" t="s">
        <v>486</v>
      </c>
      <c r="E274" s="103" t="s">
        <v>2506</v>
      </c>
      <c r="F274" s="103" t="s">
        <v>2202</v>
      </c>
      <c r="G274" s="103">
        <v>200</v>
      </c>
      <c r="H274" s="103" t="s">
        <v>2168</v>
      </c>
      <c r="I274" s="103" t="s">
        <v>2153</v>
      </c>
      <c r="J274" s="103">
        <v>50</v>
      </c>
      <c r="K274" s="103">
        <v>50</v>
      </c>
      <c r="L274" s="103">
        <v>50</v>
      </c>
      <c r="M274" s="103">
        <v>50</v>
      </c>
      <c r="N274" s="103" t="s">
        <v>2154</v>
      </c>
      <c r="O274" s="103">
        <v>200</v>
      </c>
      <c r="P274" s="103" t="s">
        <v>1659</v>
      </c>
      <c r="Q274" s="103" t="s">
        <v>2387</v>
      </c>
      <c r="R274" s="103" t="s">
        <v>2156</v>
      </c>
      <c r="U274" s="103">
        <v>102.6</v>
      </c>
      <c r="V274" s="103" t="s">
        <v>2158</v>
      </c>
      <c r="W274" s="103" t="s">
        <v>112</v>
      </c>
      <c r="X274" s="103">
        <v>0</v>
      </c>
      <c r="Y274" s="103" t="s">
        <v>1685</v>
      </c>
      <c r="AA274" s="103" t="s">
        <v>305</v>
      </c>
      <c r="AB274" s="103" t="s">
        <v>68</v>
      </c>
      <c r="AC274" s="103" t="s">
        <v>2507</v>
      </c>
      <c r="AD274" s="103" t="s">
        <v>2388</v>
      </c>
      <c r="AE274" s="103" t="s">
        <v>1109</v>
      </c>
      <c r="AF274" s="103" t="b">
        <v>0</v>
      </c>
    </row>
    <row r="275" spans="1:32" hidden="1" x14ac:dyDescent="0.2">
      <c r="A275" s="103" t="s">
        <v>489</v>
      </c>
      <c r="B275" s="103" t="s">
        <v>488</v>
      </c>
      <c r="E275" s="103" t="s">
        <v>2506</v>
      </c>
      <c r="F275" s="103" t="s">
        <v>2226</v>
      </c>
      <c r="G275" s="103">
        <v>400</v>
      </c>
      <c r="H275" s="103" t="s">
        <v>2168</v>
      </c>
      <c r="I275" s="103" t="s">
        <v>2153</v>
      </c>
      <c r="J275" s="103">
        <v>100</v>
      </c>
      <c r="K275" s="103">
        <v>100</v>
      </c>
      <c r="L275" s="103">
        <v>100</v>
      </c>
      <c r="M275" s="103">
        <v>100</v>
      </c>
      <c r="N275" s="103" t="s">
        <v>2163</v>
      </c>
      <c r="O275" s="103">
        <v>400</v>
      </c>
      <c r="P275" s="103" t="s">
        <v>1659</v>
      </c>
      <c r="Q275" s="103" t="s">
        <v>2155</v>
      </c>
      <c r="R275" s="103" t="s">
        <v>2156</v>
      </c>
      <c r="U275" s="103">
        <v>205.2</v>
      </c>
      <c r="V275" s="103" t="s">
        <v>2158</v>
      </c>
      <c r="W275" s="103" t="s">
        <v>112</v>
      </c>
      <c r="X275" s="103">
        <v>0</v>
      </c>
      <c r="Y275" s="103" t="s">
        <v>1685</v>
      </c>
      <c r="AA275" s="103" t="s">
        <v>305</v>
      </c>
      <c r="AB275" s="103" t="s">
        <v>68</v>
      </c>
      <c r="AC275" s="103" t="s">
        <v>2507</v>
      </c>
      <c r="AD275" s="103" t="s">
        <v>2397</v>
      </c>
      <c r="AE275" s="103" t="s">
        <v>1109</v>
      </c>
      <c r="AF275" s="103" t="b">
        <v>0</v>
      </c>
    </row>
    <row r="276" spans="1:32" hidden="1" x14ac:dyDescent="0.2">
      <c r="A276" s="103" t="s">
        <v>491</v>
      </c>
      <c r="B276" s="103" t="s">
        <v>490</v>
      </c>
      <c r="E276" s="103" t="s">
        <v>2506</v>
      </c>
      <c r="F276" s="103" t="s">
        <v>2226</v>
      </c>
      <c r="G276" s="103">
        <v>400</v>
      </c>
      <c r="H276" s="103" t="s">
        <v>2168</v>
      </c>
      <c r="I276" s="103" t="s">
        <v>2153</v>
      </c>
      <c r="J276" s="103">
        <v>200</v>
      </c>
      <c r="K276" s="103">
        <v>200</v>
      </c>
      <c r="L276" s="103">
        <v>0</v>
      </c>
      <c r="M276" s="103">
        <v>0</v>
      </c>
      <c r="N276" s="103" t="s">
        <v>2163</v>
      </c>
      <c r="O276" s="103">
        <v>400</v>
      </c>
      <c r="P276" s="103" t="s">
        <v>1659</v>
      </c>
      <c r="Q276" s="103" t="s">
        <v>2155</v>
      </c>
      <c r="R276" s="103" t="s">
        <v>2156</v>
      </c>
      <c r="U276" s="103">
        <v>205.2</v>
      </c>
      <c r="V276" s="103" t="s">
        <v>2158</v>
      </c>
      <c r="W276" s="103" t="s">
        <v>112</v>
      </c>
      <c r="X276" s="103">
        <v>0</v>
      </c>
      <c r="Y276" s="103" t="s">
        <v>1685</v>
      </c>
      <c r="AA276" s="103" t="s">
        <v>305</v>
      </c>
      <c r="AB276" s="103" t="s">
        <v>68</v>
      </c>
      <c r="AC276" s="103" t="s">
        <v>2507</v>
      </c>
      <c r="AD276" s="103" t="s">
        <v>2397</v>
      </c>
      <c r="AE276" s="103" t="s">
        <v>1109</v>
      </c>
      <c r="AF276" s="103" t="b">
        <v>0</v>
      </c>
    </row>
    <row r="277" spans="1:32" hidden="1" x14ac:dyDescent="0.2">
      <c r="A277" s="103" t="s">
        <v>493</v>
      </c>
      <c r="B277" s="103" t="s">
        <v>492</v>
      </c>
      <c r="E277" s="103" t="s">
        <v>2506</v>
      </c>
      <c r="F277" s="103" t="s">
        <v>2226</v>
      </c>
      <c r="G277" s="103">
        <v>400</v>
      </c>
      <c r="H277" s="103" t="s">
        <v>2168</v>
      </c>
      <c r="I277" s="103" t="s">
        <v>2153</v>
      </c>
      <c r="J277" s="103">
        <v>100</v>
      </c>
      <c r="K277" s="103">
        <v>100</v>
      </c>
      <c r="L277" s="103">
        <v>100</v>
      </c>
      <c r="M277" s="103">
        <v>100</v>
      </c>
      <c r="N277" s="103" t="s">
        <v>2163</v>
      </c>
      <c r="O277" s="103">
        <v>400</v>
      </c>
      <c r="P277" s="103" t="s">
        <v>1659</v>
      </c>
      <c r="Q277" s="103" t="s">
        <v>2155</v>
      </c>
      <c r="R277" s="103" t="s">
        <v>2156</v>
      </c>
      <c r="U277" s="103">
        <v>205.2</v>
      </c>
      <c r="V277" s="103" t="s">
        <v>2158</v>
      </c>
      <c r="W277" s="103" t="s">
        <v>112</v>
      </c>
      <c r="X277" s="103">
        <v>0</v>
      </c>
      <c r="Y277" s="103" t="s">
        <v>1685</v>
      </c>
      <c r="AA277" s="103" t="s">
        <v>305</v>
      </c>
      <c r="AB277" s="103" t="s">
        <v>68</v>
      </c>
      <c r="AC277" s="103" t="s">
        <v>2507</v>
      </c>
      <c r="AD277" s="103" t="s">
        <v>2397</v>
      </c>
      <c r="AE277" s="103" t="s">
        <v>1109</v>
      </c>
      <c r="AF277" s="103" t="b">
        <v>0</v>
      </c>
    </row>
    <row r="278" spans="1:32" hidden="1" x14ac:dyDescent="0.2">
      <c r="A278" s="103" t="s">
        <v>495</v>
      </c>
      <c r="B278" s="103" t="s">
        <v>494</v>
      </c>
      <c r="E278" s="103" t="s">
        <v>2506</v>
      </c>
      <c r="F278" s="103" t="s">
        <v>2226</v>
      </c>
      <c r="G278" s="103">
        <v>400</v>
      </c>
      <c r="H278" s="103" t="s">
        <v>2168</v>
      </c>
      <c r="I278" s="103" t="s">
        <v>2153</v>
      </c>
      <c r="J278" s="103">
        <v>100</v>
      </c>
      <c r="K278" s="103">
        <v>100</v>
      </c>
      <c r="L278" s="103">
        <v>100</v>
      </c>
      <c r="M278" s="103">
        <v>100</v>
      </c>
      <c r="N278" s="103" t="s">
        <v>2154</v>
      </c>
      <c r="O278" s="103">
        <v>400</v>
      </c>
      <c r="P278" s="103" t="s">
        <v>1659</v>
      </c>
      <c r="Q278" s="103" t="s">
        <v>2155</v>
      </c>
      <c r="R278" s="103" t="s">
        <v>2156</v>
      </c>
      <c r="U278" s="103">
        <v>205.2</v>
      </c>
      <c r="V278" s="103" t="s">
        <v>2158</v>
      </c>
      <c r="W278" s="103" t="s">
        <v>112</v>
      </c>
      <c r="X278" s="103">
        <v>0</v>
      </c>
      <c r="Y278" s="103" t="s">
        <v>1685</v>
      </c>
      <c r="AA278" s="103" t="s">
        <v>305</v>
      </c>
      <c r="AB278" s="103" t="s">
        <v>68</v>
      </c>
      <c r="AC278" s="103" t="s">
        <v>2507</v>
      </c>
      <c r="AD278" s="103" t="s">
        <v>2397</v>
      </c>
      <c r="AE278" s="103" t="s">
        <v>1109</v>
      </c>
      <c r="AF278" s="103" t="b">
        <v>0</v>
      </c>
    </row>
    <row r="279" spans="1:32" hidden="1" x14ac:dyDescent="0.2">
      <c r="A279" s="103" t="s">
        <v>496</v>
      </c>
      <c r="B279" s="103" t="s">
        <v>1661</v>
      </c>
      <c r="C279" s="103" t="s">
        <v>1614</v>
      </c>
      <c r="D279" s="103" t="s">
        <v>2514</v>
      </c>
      <c r="E279" s="103" t="s">
        <v>1614</v>
      </c>
      <c r="F279" s="103" t="s">
        <v>2232</v>
      </c>
      <c r="G279" s="103">
        <v>200</v>
      </c>
      <c r="H279" s="103" t="s">
        <v>2152</v>
      </c>
      <c r="I279" s="103" t="s">
        <v>2153</v>
      </c>
      <c r="J279" s="103">
        <v>100</v>
      </c>
      <c r="K279" s="103">
        <v>100</v>
      </c>
      <c r="N279" s="103" t="s">
        <v>2163</v>
      </c>
      <c r="O279" s="103">
        <v>200</v>
      </c>
      <c r="P279" s="103" t="s">
        <v>985</v>
      </c>
      <c r="Q279" s="103" t="s">
        <v>1614</v>
      </c>
      <c r="R279" s="103" t="s">
        <v>2225</v>
      </c>
      <c r="S279" s="103" t="s">
        <v>2247</v>
      </c>
      <c r="U279" s="103">
        <v>96.6</v>
      </c>
      <c r="V279" s="103" t="s">
        <v>2239</v>
      </c>
      <c r="W279" s="103" t="s">
        <v>106</v>
      </c>
      <c r="X279" s="103" t="s">
        <v>1614</v>
      </c>
      <c r="Y279" s="103" t="s">
        <v>2240</v>
      </c>
      <c r="AA279" s="103" t="s">
        <v>2225</v>
      </c>
      <c r="AB279" s="103" t="s">
        <v>64</v>
      </c>
      <c r="AE279" s="103" t="s">
        <v>1284</v>
      </c>
      <c r="AF279" s="103" t="b">
        <v>1</v>
      </c>
    </row>
    <row r="280" spans="1:32" hidden="1" x14ac:dyDescent="0.2">
      <c r="A280" s="103" t="s">
        <v>497</v>
      </c>
      <c r="B280" s="103" t="s">
        <v>1662</v>
      </c>
      <c r="C280" s="103" t="s">
        <v>1614</v>
      </c>
      <c r="D280" s="103" t="s">
        <v>2515</v>
      </c>
      <c r="E280" s="103" t="s">
        <v>1614</v>
      </c>
      <c r="F280" s="103" t="s">
        <v>2226</v>
      </c>
      <c r="G280" s="103">
        <v>400</v>
      </c>
      <c r="H280" s="103" t="s">
        <v>2168</v>
      </c>
      <c r="I280" s="103" t="s">
        <v>2153</v>
      </c>
      <c r="L280" s="103">
        <v>200</v>
      </c>
      <c r="M280" s="103">
        <v>200</v>
      </c>
      <c r="N280" s="103" t="s">
        <v>2163</v>
      </c>
      <c r="O280" s="103">
        <v>400</v>
      </c>
      <c r="P280" s="103" t="s">
        <v>985</v>
      </c>
      <c r="Q280" s="103" t="s">
        <v>1614</v>
      </c>
      <c r="R280" s="103" t="s">
        <v>2225</v>
      </c>
      <c r="S280" s="103" t="s">
        <v>2247</v>
      </c>
      <c r="U280" s="103">
        <v>193.2</v>
      </c>
      <c r="V280" s="103" t="s">
        <v>2239</v>
      </c>
      <c r="W280" s="103" t="s">
        <v>106</v>
      </c>
      <c r="X280" s="103" t="s">
        <v>1614</v>
      </c>
      <c r="Y280" s="103" t="s">
        <v>2240</v>
      </c>
      <c r="AA280" s="103" t="s">
        <v>2225</v>
      </c>
      <c r="AB280" s="103" t="s">
        <v>64</v>
      </c>
      <c r="AE280" s="103" t="s">
        <v>1284</v>
      </c>
      <c r="AF280" s="103" t="b">
        <v>1</v>
      </c>
    </row>
    <row r="281" spans="1:32" hidden="1" x14ac:dyDescent="0.2">
      <c r="A281" s="103" t="s">
        <v>498</v>
      </c>
      <c r="B281" s="103" t="s">
        <v>1663</v>
      </c>
      <c r="C281" s="103" t="s">
        <v>1614</v>
      </c>
      <c r="D281" s="103" t="s">
        <v>2516</v>
      </c>
      <c r="E281" s="103" t="s">
        <v>1614</v>
      </c>
      <c r="F281" s="103" t="s">
        <v>2162</v>
      </c>
      <c r="G281" s="103">
        <v>20</v>
      </c>
      <c r="H281" s="103" t="s">
        <v>2152</v>
      </c>
      <c r="I281" s="103" t="s">
        <v>2153</v>
      </c>
      <c r="L281" s="103">
        <v>20</v>
      </c>
      <c r="N281" s="103" t="s">
        <v>2163</v>
      </c>
      <c r="O281" s="103">
        <v>20</v>
      </c>
      <c r="P281" s="103" t="s">
        <v>985</v>
      </c>
      <c r="Q281" s="103" t="s">
        <v>1614</v>
      </c>
      <c r="R281" s="103" t="s">
        <v>2225</v>
      </c>
      <c r="S281" s="103" t="s">
        <v>2192</v>
      </c>
      <c r="U281" s="103">
        <v>9.66</v>
      </c>
      <c r="V281" s="103" t="s">
        <v>2239</v>
      </c>
      <c r="W281" s="103" t="s">
        <v>106</v>
      </c>
      <c r="X281" s="103" t="s">
        <v>1614</v>
      </c>
      <c r="Y281" s="103" t="s">
        <v>2240</v>
      </c>
      <c r="AA281" s="103" t="s">
        <v>2225</v>
      </c>
      <c r="AB281" s="103" t="s">
        <v>64</v>
      </c>
      <c r="AE281" s="103" t="s">
        <v>1284</v>
      </c>
      <c r="AF281" s="103" t="b">
        <v>1</v>
      </c>
    </row>
    <row r="282" spans="1:32" hidden="1" x14ac:dyDescent="0.2">
      <c r="A282" s="103" t="s">
        <v>500</v>
      </c>
      <c r="B282" s="103" t="s">
        <v>499</v>
      </c>
      <c r="D282" s="103" t="s">
        <v>2517</v>
      </c>
      <c r="E282" s="103" t="s">
        <v>957</v>
      </c>
      <c r="G282" s="103">
        <v>200</v>
      </c>
      <c r="H282" s="103" t="s">
        <v>2152</v>
      </c>
      <c r="I282" s="103" t="s">
        <v>2153</v>
      </c>
      <c r="K282" s="103">
        <v>66.67</v>
      </c>
      <c r="L282" s="103">
        <v>66.67</v>
      </c>
      <c r="M282" s="103">
        <v>66.66</v>
      </c>
      <c r="N282" s="103" t="s">
        <v>2163</v>
      </c>
      <c r="O282" s="103">
        <v>200</v>
      </c>
      <c r="P282" s="103" t="s">
        <v>1639</v>
      </c>
      <c r="Q282" s="103" t="s">
        <v>2155</v>
      </c>
      <c r="R282" s="103" t="s">
        <v>2225</v>
      </c>
      <c r="S282" s="103" t="s">
        <v>2192</v>
      </c>
      <c r="U282" s="103">
        <v>102.6</v>
      </c>
      <c r="V282" s="103" t="s">
        <v>2158</v>
      </c>
      <c r="W282" s="103" t="s">
        <v>113</v>
      </c>
      <c r="X282" s="103" t="s">
        <v>1597</v>
      </c>
      <c r="Y282" s="103" t="s">
        <v>1685</v>
      </c>
      <c r="AA282" s="103" t="s">
        <v>2225</v>
      </c>
      <c r="AB282" s="103" t="s">
        <v>64</v>
      </c>
      <c r="AE282" s="103" t="s">
        <v>933</v>
      </c>
      <c r="AF282" s="103" t="b">
        <v>1</v>
      </c>
    </row>
    <row r="283" spans="1:32" hidden="1" x14ac:dyDescent="0.2">
      <c r="A283" s="103" t="s">
        <v>502</v>
      </c>
      <c r="B283" s="103" t="s">
        <v>501</v>
      </c>
      <c r="D283" s="103" t="s">
        <v>2518</v>
      </c>
      <c r="E283" s="103" t="s">
        <v>957</v>
      </c>
      <c r="G283" s="103">
        <v>400</v>
      </c>
      <c r="H283" s="103" t="s">
        <v>2152</v>
      </c>
      <c r="I283" s="103" t="s">
        <v>2153</v>
      </c>
      <c r="J283" s="103">
        <v>100</v>
      </c>
      <c r="K283" s="103">
        <v>100</v>
      </c>
      <c r="L283" s="103">
        <v>100</v>
      </c>
      <c r="M283" s="103">
        <v>100</v>
      </c>
      <c r="N283" s="103" t="s">
        <v>2163</v>
      </c>
      <c r="O283" s="103">
        <v>400</v>
      </c>
      <c r="P283" s="103" t="s">
        <v>1639</v>
      </c>
      <c r="Q283" s="103" t="s">
        <v>2155</v>
      </c>
      <c r="R283" s="103" t="s">
        <v>2225</v>
      </c>
      <c r="S283" s="103" t="s">
        <v>2251</v>
      </c>
      <c r="U283" s="103">
        <v>205.2</v>
      </c>
      <c r="V283" s="103" t="s">
        <v>2158</v>
      </c>
      <c r="W283" s="103" t="s">
        <v>113</v>
      </c>
      <c r="X283" s="103" t="s">
        <v>1597</v>
      </c>
      <c r="Y283" s="103" t="s">
        <v>1685</v>
      </c>
      <c r="AA283" s="103" t="s">
        <v>2225</v>
      </c>
      <c r="AB283" s="103" t="s">
        <v>64</v>
      </c>
      <c r="AE283" s="103" t="s">
        <v>933</v>
      </c>
      <c r="AF283" s="103" t="b">
        <v>1</v>
      </c>
    </row>
    <row r="284" spans="1:32" hidden="1" x14ac:dyDescent="0.2">
      <c r="A284" s="103" t="s">
        <v>504</v>
      </c>
      <c r="B284" s="103" t="s">
        <v>503</v>
      </c>
      <c r="D284" s="103" t="s">
        <v>2519</v>
      </c>
      <c r="E284" s="103" t="s">
        <v>957</v>
      </c>
      <c r="G284" s="103">
        <v>504</v>
      </c>
      <c r="H284" s="103" t="s">
        <v>2152</v>
      </c>
      <c r="I284" s="103" t="s">
        <v>2153</v>
      </c>
      <c r="J284" s="103">
        <v>126</v>
      </c>
      <c r="K284" s="103">
        <v>126</v>
      </c>
      <c r="L284" s="103">
        <v>126</v>
      </c>
      <c r="M284" s="103">
        <v>126</v>
      </c>
      <c r="N284" s="103" t="s">
        <v>2163</v>
      </c>
      <c r="O284" s="103">
        <v>504</v>
      </c>
      <c r="P284" s="103" t="s">
        <v>1639</v>
      </c>
      <c r="Q284" s="103" t="s">
        <v>2155</v>
      </c>
      <c r="R284" s="103" t="s">
        <v>2225</v>
      </c>
      <c r="S284" s="103" t="s">
        <v>2251</v>
      </c>
      <c r="U284" s="103">
        <v>258.55200000000002</v>
      </c>
      <c r="V284" s="103" t="s">
        <v>2158</v>
      </c>
      <c r="W284" s="103" t="s">
        <v>113</v>
      </c>
      <c r="X284" s="103" t="s">
        <v>1597</v>
      </c>
      <c r="Y284" s="103" t="s">
        <v>1685</v>
      </c>
      <c r="AA284" s="103" t="s">
        <v>2225</v>
      </c>
      <c r="AB284" s="103" t="s">
        <v>64</v>
      </c>
      <c r="AE284" s="103" t="s">
        <v>933</v>
      </c>
      <c r="AF284" s="103" t="b">
        <v>1</v>
      </c>
    </row>
    <row r="285" spans="1:32" hidden="1" x14ac:dyDescent="0.2">
      <c r="A285" s="103" t="s">
        <v>506</v>
      </c>
      <c r="B285" s="103" t="s">
        <v>505</v>
      </c>
      <c r="D285" s="103" t="s">
        <v>2520</v>
      </c>
      <c r="E285" s="103" t="s">
        <v>935</v>
      </c>
      <c r="G285" s="103">
        <v>384</v>
      </c>
      <c r="H285" s="103" t="s">
        <v>2152</v>
      </c>
      <c r="I285" s="103" t="s">
        <v>2153</v>
      </c>
      <c r="J285" s="103">
        <v>188</v>
      </c>
      <c r="K285" s="103">
        <v>66</v>
      </c>
      <c r="L285" s="103">
        <v>65</v>
      </c>
      <c r="M285" s="103">
        <v>65</v>
      </c>
      <c r="N285" s="103" t="s">
        <v>2163</v>
      </c>
      <c r="O285" s="103">
        <v>384</v>
      </c>
      <c r="P285" s="103" t="s">
        <v>1639</v>
      </c>
      <c r="Q285" s="103" t="s">
        <v>2155</v>
      </c>
      <c r="R285" s="103" t="s">
        <v>2225</v>
      </c>
      <c r="S285" s="103" t="s">
        <v>2238</v>
      </c>
      <c r="U285" s="103">
        <v>196.99199999999999</v>
      </c>
      <c r="V285" s="103" t="s">
        <v>2158</v>
      </c>
      <c r="W285" s="103" t="s">
        <v>113</v>
      </c>
      <c r="X285" s="103" t="s">
        <v>1597</v>
      </c>
      <c r="Y285" s="103" t="s">
        <v>1685</v>
      </c>
      <c r="AA285" s="103" t="s">
        <v>2225</v>
      </c>
      <c r="AB285" s="103" t="s">
        <v>64</v>
      </c>
      <c r="AE285" s="103" t="s">
        <v>933</v>
      </c>
      <c r="AF285" s="103" t="b">
        <v>1</v>
      </c>
    </row>
    <row r="286" spans="1:32" hidden="1" x14ac:dyDescent="0.2">
      <c r="A286" s="103" t="s">
        <v>456</v>
      </c>
      <c r="B286" s="103" t="s">
        <v>3814</v>
      </c>
      <c r="C286" s="103" t="s">
        <v>2501</v>
      </c>
      <c r="D286" s="103" t="s">
        <v>2502</v>
      </c>
      <c r="E286" s="103" t="s">
        <v>2249</v>
      </c>
      <c r="F286" s="103" t="s">
        <v>2151</v>
      </c>
      <c r="G286" s="103">
        <v>100</v>
      </c>
      <c r="H286" s="103" t="s">
        <v>2168</v>
      </c>
      <c r="I286" s="103" t="s">
        <v>2153</v>
      </c>
      <c r="L286" s="103">
        <v>50</v>
      </c>
      <c r="M286" s="103">
        <v>50</v>
      </c>
      <c r="N286" s="103" t="s">
        <v>2163</v>
      </c>
      <c r="O286" s="103">
        <v>100</v>
      </c>
      <c r="P286" s="103" t="s">
        <v>839</v>
      </c>
      <c r="R286" s="103" t="s">
        <v>2164</v>
      </c>
      <c r="U286" s="103">
        <v>60</v>
      </c>
      <c r="V286" s="103" t="s">
        <v>2239</v>
      </c>
      <c r="W286" s="103" t="s">
        <v>132</v>
      </c>
      <c r="X286" s="103" t="s">
        <v>1945</v>
      </c>
      <c r="Y286" s="103" t="s">
        <v>1685</v>
      </c>
      <c r="AA286" s="103" t="s">
        <v>2164</v>
      </c>
      <c r="AB286" s="103" t="s">
        <v>64</v>
      </c>
      <c r="AE286" s="103" t="s">
        <v>1618</v>
      </c>
      <c r="AF286" s="103" t="b">
        <v>1</v>
      </c>
    </row>
    <row r="287" spans="1:32" hidden="1" x14ac:dyDescent="0.2">
      <c r="A287" s="103" t="s">
        <v>509</v>
      </c>
      <c r="B287" s="103" t="s">
        <v>508</v>
      </c>
      <c r="C287" s="103" t="s">
        <v>2521</v>
      </c>
      <c r="D287" s="103" t="s">
        <v>2522</v>
      </c>
      <c r="E287" s="103" t="s">
        <v>2250</v>
      </c>
      <c r="G287" s="103">
        <v>50</v>
      </c>
      <c r="H287" s="103" t="s">
        <v>2152</v>
      </c>
      <c r="I287" s="103" t="s">
        <v>2153</v>
      </c>
      <c r="J287" s="103">
        <v>50</v>
      </c>
      <c r="N287" s="103" t="s">
        <v>2163</v>
      </c>
      <c r="O287" s="103">
        <v>50</v>
      </c>
      <c r="P287" s="103" t="s">
        <v>839</v>
      </c>
      <c r="Q287" s="103" t="s">
        <v>2155</v>
      </c>
      <c r="R287" s="103" t="s">
        <v>125</v>
      </c>
      <c r="S287" s="103" t="s">
        <v>2251</v>
      </c>
      <c r="U287" s="103">
        <v>25.65</v>
      </c>
      <c r="V287" s="103" t="s">
        <v>2158</v>
      </c>
      <c r="W287" s="103" t="s">
        <v>119</v>
      </c>
      <c r="X287" s="103" t="s">
        <v>1597</v>
      </c>
      <c r="Y287" s="103" t="s">
        <v>1685</v>
      </c>
      <c r="AA287" s="103" t="s">
        <v>125</v>
      </c>
      <c r="AB287" s="103" t="s">
        <v>64</v>
      </c>
      <c r="AE287" s="103" t="s">
        <v>1618</v>
      </c>
      <c r="AF287" s="103" t="b">
        <v>1</v>
      </c>
    </row>
    <row r="288" spans="1:32" hidden="1" x14ac:dyDescent="0.2">
      <c r="A288" s="103" t="s">
        <v>511</v>
      </c>
      <c r="B288" s="103" t="s">
        <v>510</v>
      </c>
      <c r="C288" s="103" t="s">
        <v>2248</v>
      </c>
      <c r="D288" s="103" t="s">
        <v>2523</v>
      </c>
      <c r="E288" s="103" t="s">
        <v>2249</v>
      </c>
      <c r="F288" s="103" t="s">
        <v>2202</v>
      </c>
      <c r="G288" s="103">
        <v>200</v>
      </c>
      <c r="H288" s="103" t="s">
        <v>2168</v>
      </c>
      <c r="I288" s="103" t="s">
        <v>2153</v>
      </c>
      <c r="J288" s="103">
        <v>50</v>
      </c>
      <c r="K288" s="103">
        <v>75</v>
      </c>
      <c r="L288" s="103">
        <v>75</v>
      </c>
      <c r="N288" s="103" t="s">
        <v>2163</v>
      </c>
      <c r="O288" s="103">
        <v>200</v>
      </c>
      <c r="P288" s="103" t="s">
        <v>839</v>
      </c>
      <c r="Q288" s="103" t="s">
        <v>2155</v>
      </c>
      <c r="R288" s="103" t="s">
        <v>2164</v>
      </c>
      <c r="U288" s="103">
        <v>120</v>
      </c>
      <c r="V288" s="103" t="s">
        <v>2158</v>
      </c>
      <c r="W288" s="103" t="s">
        <v>132</v>
      </c>
      <c r="X288" s="103" t="s">
        <v>1597</v>
      </c>
      <c r="Y288" s="103" t="s">
        <v>1685</v>
      </c>
      <c r="AA288" s="103" t="s">
        <v>2164</v>
      </c>
      <c r="AB288" s="103" t="s">
        <v>64</v>
      </c>
      <c r="AE288" s="103" t="s">
        <v>1618</v>
      </c>
      <c r="AF288" s="103" t="b">
        <v>1</v>
      </c>
    </row>
    <row r="289" spans="1:32" hidden="1" x14ac:dyDescent="0.2">
      <c r="A289" s="103" t="s">
        <v>511</v>
      </c>
      <c r="B289" s="103" t="s">
        <v>510</v>
      </c>
      <c r="C289" s="103" t="s">
        <v>2248</v>
      </c>
      <c r="D289" s="103" t="s">
        <v>2523</v>
      </c>
      <c r="E289" s="103" t="s">
        <v>2498</v>
      </c>
      <c r="G289" s="103">
        <v>150</v>
      </c>
      <c r="H289" s="103" t="s">
        <v>2152</v>
      </c>
      <c r="I289" s="103" t="s">
        <v>2153</v>
      </c>
      <c r="J289" s="103">
        <v>75</v>
      </c>
      <c r="K289" s="103">
        <v>75</v>
      </c>
      <c r="N289" s="103" t="s">
        <v>2163</v>
      </c>
      <c r="O289" s="103">
        <v>150</v>
      </c>
      <c r="P289" s="103" t="s">
        <v>839</v>
      </c>
      <c r="Q289" s="103" t="s">
        <v>2155</v>
      </c>
      <c r="R289" s="103" t="s">
        <v>2225</v>
      </c>
      <c r="S289" s="103" t="s">
        <v>2251</v>
      </c>
      <c r="U289" s="103">
        <v>76.95</v>
      </c>
      <c r="V289" s="103" t="s">
        <v>2158</v>
      </c>
      <c r="W289" s="103" t="s">
        <v>119</v>
      </c>
      <c r="X289" s="103" t="s">
        <v>1597</v>
      </c>
      <c r="Y289" s="103" t="s">
        <v>1685</v>
      </c>
      <c r="AA289" s="103" t="s">
        <v>2225</v>
      </c>
      <c r="AB289" s="103" t="s">
        <v>64</v>
      </c>
      <c r="AE289" s="103" t="s">
        <v>1618</v>
      </c>
      <c r="AF289" s="103" t="b">
        <v>1</v>
      </c>
    </row>
    <row r="290" spans="1:32" hidden="1" x14ac:dyDescent="0.2">
      <c r="A290" s="103" t="s">
        <v>513</v>
      </c>
      <c r="B290" s="103" t="s">
        <v>512</v>
      </c>
      <c r="C290" s="103" t="s">
        <v>2521</v>
      </c>
      <c r="E290" s="103" t="s">
        <v>2250</v>
      </c>
      <c r="G290" s="103">
        <v>100</v>
      </c>
      <c r="H290" s="103" t="s">
        <v>2152</v>
      </c>
      <c r="I290" s="103" t="s">
        <v>2153</v>
      </c>
      <c r="K290" s="103">
        <v>100</v>
      </c>
      <c r="L290" s="103">
        <v>0</v>
      </c>
      <c r="N290" s="103" t="s">
        <v>2163</v>
      </c>
      <c r="O290" s="103">
        <v>100</v>
      </c>
      <c r="P290" s="103" t="s">
        <v>839</v>
      </c>
      <c r="Q290" s="103" t="s">
        <v>2155</v>
      </c>
      <c r="R290" s="103" t="s">
        <v>125</v>
      </c>
      <c r="S290" s="103" t="s">
        <v>2251</v>
      </c>
      <c r="U290" s="103">
        <v>51.3</v>
      </c>
      <c r="V290" s="103" t="s">
        <v>2158</v>
      </c>
      <c r="W290" s="103" t="s">
        <v>119</v>
      </c>
      <c r="X290" s="103" t="s">
        <v>1597</v>
      </c>
      <c r="Y290" s="103" t="s">
        <v>1685</v>
      </c>
      <c r="AA290" s="103" t="s">
        <v>125</v>
      </c>
      <c r="AB290" s="103" t="s">
        <v>64</v>
      </c>
      <c r="AE290" s="103" t="s">
        <v>1618</v>
      </c>
      <c r="AF290" s="103" t="b">
        <v>1</v>
      </c>
    </row>
    <row r="291" spans="1:32" hidden="1" x14ac:dyDescent="0.2">
      <c r="A291" s="103" t="s">
        <v>515</v>
      </c>
      <c r="B291" s="103" t="s">
        <v>514</v>
      </c>
      <c r="C291" s="103" t="s">
        <v>2248</v>
      </c>
      <c r="E291" s="103" t="s">
        <v>2249</v>
      </c>
      <c r="F291" s="103" t="s">
        <v>2162</v>
      </c>
      <c r="G291" s="103">
        <v>50</v>
      </c>
      <c r="H291" s="103" t="s">
        <v>2168</v>
      </c>
      <c r="I291" s="103" t="s">
        <v>2153</v>
      </c>
      <c r="M291" s="103">
        <v>50</v>
      </c>
      <c r="N291" s="103" t="s">
        <v>2163</v>
      </c>
      <c r="O291" s="103">
        <v>50</v>
      </c>
      <c r="P291" s="103" t="s">
        <v>839</v>
      </c>
      <c r="R291" s="103" t="s">
        <v>2164</v>
      </c>
      <c r="U291" s="103">
        <v>30</v>
      </c>
      <c r="V291" s="103" t="s">
        <v>2158</v>
      </c>
      <c r="W291" s="103" t="s">
        <v>132</v>
      </c>
      <c r="X291" s="103" t="s">
        <v>1597</v>
      </c>
      <c r="Y291" s="103" t="s">
        <v>1685</v>
      </c>
      <c r="AA291" s="103" t="s">
        <v>2164</v>
      </c>
      <c r="AB291" s="103" t="s">
        <v>64</v>
      </c>
      <c r="AE291" s="103" t="s">
        <v>1618</v>
      </c>
      <c r="AF291" s="103" t="b">
        <v>1</v>
      </c>
    </row>
    <row r="292" spans="1:32" hidden="1" x14ac:dyDescent="0.2">
      <c r="A292" s="103" t="s">
        <v>515</v>
      </c>
      <c r="B292" s="103" t="s">
        <v>514</v>
      </c>
      <c r="C292" s="103" t="s">
        <v>2248</v>
      </c>
      <c r="E292" s="103" t="s">
        <v>2250</v>
      </c>
      <c r="G292" s="103">
        <v>125</v>
      </c>
      <c r="H292" s="103" t="s">
        <v>2152</v>
      </c>
      <c r="I292" s="103" t="s">
        <v>2153</v>
      </c>
      <c r="M292" s="103">
        <v>125</v>
      </c>
      <c r="N292" s="103" t="s">
        <v>2163</v>
      </c>
      <c r="O292" s="103">
        <v>125</v>
      </c>
      <c r="P292" s="103" t="s">
        <v>839</v>
      </c>
      <c r="Q292" s="103" t="s">
        <v>2155</v>
      </c>
      <c r="R292" s="103" t="s">
        <v>125</v>
      </c>
      <c r="S292" s="103" t="s">
        <v>2251</v>
      </c>
      <c r="U292" s="103">
        <v>64.125</v>
      </c>
      <c r="V292" s="103" t="s">
        <v>2158</v>
      </c>
      <c r="W292" s="103" t="s">
        <v>119</v>
      </c>
      <c r="X292" s="103" t="s">
        <v>1597</v>
      </c>
      <c r="Y292" s="103" t="s">
        <v>1685</v>
      </c>
      <c r="AA292" s="103" t="s">
        <v>125</v>
      </c>
      <c r="AB292" s="103" t="s">
        <v>64</v>
      </c>
      <c r="AE292" s="103" t="s">
        <v>1618</v>
      </c>
      <c r="AF292" s="103" t="b">
        <v>1</v>
      </c>
    </row>
    <row r="293" spans="1:32" hidden="1" x14ac:dyDescent="0.2">
      <c r="A293" s="103" t="s">
        <v>517</v>
      </c>
      <c r="B293" s="103" t="s">
        <v>516</v>
      </c>
      <c r="C293" s="103" t="s">
        <v>2248</v>
      </c>
      <c r="D293" s="103" t="s">
        <v>2524</v>
      </c>
      <c r="E293" s="103" t="s">
        <v>2249</v>
      </c>
      <c r="F293" s="103" t="s">
        <v>2162</v>
      </c>
      <c r="G293" s="103">
        <v>50</v>
      </c>
      <c r="H293" s="103" t="s">
        <v>2168</v>
      </c>
      <c r="I293" s="103" t="s">
        <v>2153</v>
      </c>
      <c r="K293" s="103">
        <v>25</v>
      </c>
      <c r="L293" s="103">
        <v>25</v>
      </c>
      <c r="N293" s="103" t="s">
        <v>2163</v>
      </c>
      <c r="O293" s="103">
        <v>50</v>
      </c>
      <c r="P293" s="103" t="s">
        <v>839</v>
      </c>
      <c r="R293" s="103" t="s">
        <v>2164</v>
      </c>
      <c r="U293" s="103">
        <v>30</v>
      </c>
      <c r="V293" s="103" t="s">
        <v>2158</v>
      </c>
      <c r="W293" s="103" t="s">
        <v>132</v>
      </c>
      <c r="X293" s="103" t="s">
        <v>1597</v>
      </c>
      <c r="Y293" s="103" t="s">
        <v>1685</v>
      </c>
      <c r="AA293" s="103" t="s">
        <v>2164</v>
      </c>
      <c r="AB293" s="103" t="s">
        <v>64</v>
      </c>
      <c r="AE293" s="103" t="s">
        <v>1618</v>
      </c>
      <c r="AF293" s="103" t="b">
        <v>1</v>
      </c>
    </row>
    <row r="294" spans="1:32" hidden="1" x14ac:dyDescent="0.2">
      <c r="A294" s="103" t="s">
        <v>517</v>
      </c>
      <c r="B294" s="103" t="s">
        <v>516</v>
      </c>
      <c r="C294" s="103" t="s">
        <v>2248</v>
      </c>
      <c r="D294" s="103" t="s">
        <v>2524</v>
      </c>
      <c r="E294" s="103" t="s">
        <v>2250</v>
      </c>
      <c r="G294" s="103">
        <v>125</v>
      </c>
      <c r="H294" s="103" t="s">
        <v>2152</v>
      </c>
      <c r="I294" s="103" t="s">
        <v>2153</v>
      </c>
      <c r="L294" s="103">
        <v>125</v>
      </c>
      <c r="N294" s="103" t="s">
        <v>2163</v>
      </c>
      <c r="O294" s="103">
        <v>125</v>
      </c>
      <c r="P294" s="103" t="s">
        <v>839</v>
      </c>
      <c r="Q294" s="103" t="s">
        <v>2155</v>
      </c>
      <c r="R294" s="103" t="s">
        <v>125</v>
      </c>
      <c r="S294" s="103" t="s">
        <v>2251</v>
      </c>
      <c r="U294" s="103">
        <v>64.125</v>
      </c>
      <c r="V294" s="103" t="s">
        <v>2158</v>
      </c>
      <c r="W294" s="103" t="s">
        <v>119</v>
      </c>
      <c r="X294" s="103" t="s">
        <v>1597</v>
      </c>
      <c r="Y294" s="103" t="s">
        <v>1685</v>
      </c>
      <c r="AA294" s="103" t="s">
        <v>125</v>
      </c>
      <c r="AB294" s="103" t="s">
        <v>64</v>
      </c>
      <c r="AE294" s="103" t="s">
        <v>1618</v>
      </c>
      <c r="AF294" s="103" t="b">
        <v>1</v>
      </c>
    </row>
    <row r="295" spans="1:32" hidden="1" x14ac:dyDescent="0.2">
      <c r="A295" s="103" t="s">
        <v>519</v>
      </c>
      <c r="B295" s="103" t="s">
        <v>518</v>
      </c>
      <c r="C295" s="103" t="s">
        <v>2521</v>
      </c>
      <c r="D295" s="103" t="s">
        <v>2525</v>
      </c>
      <c r="E295" s="103" t="s">
        <v>2250</v>
      </c>
      <c r="G295" s="103">
        <v>50</v>
      </c>
      <c r="H295" s="103" t="s">
        <v>2152</v>
      </c>
      <c r="I295" s="103" t="s">
        <v>2153</v>
      </c>
      <c r="K295" s="103">
        <v>50</v>
      </c>
      <c r="N295" s="103" t="s">
        <v>2163</v>
      </c>
      <c r="O295" s="103">
        <v>50</v>
      </c>
      <c r="P295" s="103" t="s">
        <v>839</v>
      </c>
      <c r="Q295" s="103" t="s">
        <v>2155</v>
      </c>
      <c r="R295" s="103" t="s">
        <v>125</v>
      </c>
      <c r="S295" s="103" t="s">
        <v>2251</v>
      </c>
      <c r="U295" s="103">
        <v>25.65</v>
      </c>
      <c r="V295" s="103" t="s">
        <v>2158</v>
      </c>
      <c r="W295" s="103" t="s">
        <v>119</v>
      </c>
      <c r="X295" s="103" t="s">
        <v>1597</v>
      </c>
      <c r="Y295" s="103" t="s">
        <v>1685</v>
      </c>
      <c r="AA295" s="103" t="s">
        <v>125</v>
      </c>
      <c r="AB295" s="103" t="s">
        <v>64</v>
      </c>
      <c r="AE295" s="103" t="s">
        <v>1618</v>
      </c>
      <c r="AF295" s="103" t="b">
        <v>1</v>
      </c>
    </row>
    <row r="296" spans="1:32" hidden="1" x14ac:dyDescent="0.2">
      <c r="A296" s="103" t="s">
        <v>521</v>
      </c>
      <c r="B296" s="103" t="s">
        <v>520</v>
      </c>
      <c r="C296" s="103" t="s">
        <v>2248</v>
      </c>
      <c r="E296" s="103" t="s">
        <v>2495</v>
      </c>
      <c r="G296" s="103">
        <v>100</v>
      </c>
      <c r="H296" s="103" t="s">
        <v>2152</v>
      </c>
      <c r="I296" s="103" t="s">
        <v>2153</v>
      </c>
      <c r="K296" s="103">
        <v>50</v>
      </c>
      <c r="M296" s="103">
        <v>50</v>
      </c>
      <c r="N296" s="103" t="s">
        <v>2163</v>
      </c>
      <c r="O296" s="103">
        <v>100</v>
      </c>
      <c r="P296" s="103" t="s">
        <v>839</v>
      </c>
      <c r="Q296" s="103" t="s">
        <v>2155</v>
      </c>
      <c r="R296" s="103" t="s">
        <v>2225</v>
      </c>
      <c r="S296" s="103" t="s">
        <v>2251</v>
      </c>
      <c r="U296" s="103">
        <v>51.3</v>
      </c>
      <c r="V296" s="103" t="s">
        <v>2158</v>
      </c>
      <c r="W296" s="103" t="s">
        <v>117</v>
      </c>
      <c r="X296" s="103" t="s">
        <v>1597</v>
      </c>
      <c r="Y296" s="103" t="s">
        <v>1685</v>
      </c>
      <c r="AA296" s="103" t="s">
        <v>2225</v>
      </c>
      <c r="AB296" s="103" t="s">
        <v>71</v>
      </c>
      <c r="AE296" s="103" t="s">
        <v>1618</v>
      </c>
      <c r="AF296" s="103" t="b">
        <v>1</v>
      </c>
    </row>
    <row r="297" spans="1:32" hidden="1" x14ac:dyDescent="0.2">
      <c r="A297" s="103" t="s">
        <v>521</v>
      </c>
      <c r="B297" s="103" t="s">
        <v>520</v>
      </c>
      <c r="C297" s="103" t="s">
        <v>2248</v>
      </c>
      <c r="E297" s="103" t="s">
        <v>2250</v>
      </c>
      <c r="G297" s="103">
        <v>50</v>
      </c>
      <c r="H297" s="103" t="s">
        <v>2152</v>
      </c>
      <c r="I297" s="103" t="s">
        <v>2153</v>
      </c>
      <c r="M297" s="103">
        <v>50</v>
      </c>
      <c r="N297" s="103" t="s">
        <v>2163</v>
      </c>
      <c r="O297" s="103">
        <v>50</v>
      </c>
      <c r="P297" s="103" t="s">
        <v>839</v>
      </c>
      <c r="Q297" s="103" t="s">
        <v>2155</v>
      </c>
      <c r="R297" s="103" t="s">
        <v>125</v>
      </c>
      <c r="S297" s="103" t="s">
        <v>2251</v>
      </c>
      <c r="U297" s="103">
        <v>25.65</v>
      </c>
      <c r="V297" s="103" t="s">
        <v>2158</v>
      </c>
      <c r="W297" s="103" t="s">
        <v>119</v>
      </c>
      <c r="X297" s="103" t="s">
        <v>1597</v>
      </c>
      <c r="Y297" s="103" t="s">
        <v>1685</v>
      </c>
      <c r="AA297" s="103" t="s">
        <v>125</v>
      </c>
      <c r="AB297" s="103" t="s">
        <v>71</v>
      </c>
      <c r="AE297" s="103" t="s">
        <v>1618</v>
      </c>
      <c r="AF297" s="103" t="b">
        <v>1</v>
      </c>
    </row>
    <row r="298" spans="1:32" hidden="1" x14ac:dyDescent="0.2">
      <c r="A298" s="103" t="s">
        <v>523</v>
      </c>
      <c r="B298" s="103" t="s">
        <v>522</v>
      </c>
      <c r="C298" s="103" t="s">
        <v>2248</v>
      </c>
      <c r="E298" s="103" t="s">
        <v>2249</v>
      </c>
      <c r="F298" s="103" t="s">
        <v>2162</v>
      </c>
      <c r="G298" s="103">
        <v>50</v>
      </c>
      <c r="H298" s="103" t="s">
        <v>2168</v>
      </c>
      <c r="I298" s="103" t="s">
        <v>2153</v>
      </c>
      <c r="J298" s="103">
        <v>20</v>
      </c>
      <c r="K298" s="103">
        <v>30</v>
      </c>
      <c r="N298" s="103" t="s">
        <v>2163</v>
      </c>
      <c r="O298" s="103">
        <v>50</v>
      </c>
      <c r="P298" s="103" t="s">
        <v>839</v>
      </c>
      <c r="R298" s="103" t="s">
        <v>2164</v>
      </c>
      <c r="U298" s="103">
        <v>30</v>
      </c>
      <c r="V298" s="103" t="s">
        <v>2158</v>
      </c>
      <c r="W298" s="103" t="s">
        <v>132</v>
      </c>
      <c r="X298" s="103" t="s">
        <v>1597</v>
      </c>
      <c r="Y298" s="103" t="s">
        <v>1685</v>
      </c>
      <c r="AA298" s="103" t="s">
        <v>2164</v>
      </c>
      <c r="AB298" s="103" t="s">
        <v>64</v>
      </c>
      <c r="AE298" s="103" t="s">
        <v>1618</v>
      </c>
      <c r="AF298" s="103" t="b">
        <v>1</v>
      </c>
    </row>
    <row r="299" spans="1:32" hidden="1" x14ac:dyDescent="0.2">
      <c r="A299" s="103" t="s">
        <v>523</v>
      </c>
      <c r="B299" s="103" t="s">
        <v>522</v>
      </c>
      <c r="C299" s="103" t="s">
        <v>2248</v>
      </c>
      <c r="D299" s="103" t="s">
        <v>2526</v>
      </c>
      <c r="E299" s="103" t="s">
        <v>2498</v>
      </c>
      <c r="G299" s="103">
        <v>350</v>
      </c>
      <c r="H299" s="103" t="s">
        <v>2152</v>
      </c>
      <c r="I299" s="103" t="s">
        <v>2153</v>
      </c>
      <c r="J299" s="103">
        <v>200</v>
      </c>
      <c r="K299" s="103">
        <v>150</v>
      </c>
      <c r="N299" s="103" t="s">
        <v>2163</v>
      </c>
      <c r="O299" s="103">
        <v>350</v>
      </c>
      <c r="P299" s="103" t="s">
        <v>839</v>
      </c>
      <c r="Q299" s="103" t="s">
        <v>2155</v>
      </c>
      <c r="R299" s="103" t="s">
        <v>2225</v>
      </c>
      <c r="S299" s="103" t="s">
        <v>2251</v>
      </c>
      <c r="U299" s="103">
        <v>179.55</v>
      </c>
      <c r="V299" s="103" t="s">
        <v>2158</v>
      </c>
      <c r="W299" s="103" t="s">
        <v>119</v>
      </c>
      <c r="X299" s="103" t="s">
        <v>1597</v>
      </c>
      <c r="Y299" s="103" t="s">
        <v>1685</v>
      </c>
      <c r="AA299" s="103" t="s">
        <v>2225</v>
      </c>
      <c r="AB299" s="103" t="s">
        <v>64</v>
      </c>
      <c r="AE299" s="103" t="s">
        <v>1618</v>
      </c>
      <c r="AF299" s="103" t="b">
        <v>1</v>
      </c>
    </row>
    <row r="300" spans="1:32" hidden="1" x14ac:dyDescent="0.2">
      <c r="A300" s="103" t="s">
        <v>525</v>
      </c>
      <c r="B300" s="103" t="s">
        <v>524</v>
      </c>
      <c r="C300" s="103" t="s">
        <v>2527</v>
      </c>
      <c r="D300" s="103" t="s">
        <v>2528</v>
      </c>
      <c r="E300" s="103" t="s">
        <v>2249</v>
      </c>
      <c r="F300" s="103" t="s">
        <v>2162</v>
      </c>
      <c r="G300" s="103">
        <v>50</v>
      </c>
      <c r="H300" s="103" t="s">
        <v>2168</v>
      </c>
      <c r="I300" s="103" t="s">
        <v>2153</v>
      </c>
      <c r="J300" s="103">
        <v>10</v>
      </c>
      <c r="K300" s="103">
        <v>20</v>
      </c>
      <c r="L300" s="103">
        <v>20</v>
      </c>
      <c r="N300" s="103" t="s">
        <v>2163</v>
      </c>
      <c r="O300" s="103">
        <v>50</v>
      </c>
      <c r="P300" s="103" t="s">
        <v>839</v>
      </c>
      <c r="R300" s="103" t="s">
        <v>2164</v>
      </c>
      <c r="U300" s="103">
        <v>30</v>
      </c>
      <c r="V300" s="103" t="s">
        <v>2158</v>
      </c>
      <c r="W300" s="103" t="s">
        <v>132</v>
      </c>
      <c r="X300" s="103" t="s">
        <v>1597</v>
      </c>
      <c r="Y300" s="103" t="s">
        <v>1685</v>
      </c>
      <c r="AA300" s="103" t="s">
        <v>2164</v>
      </c>
      <c r="AB300" s="103" t="s">
        <v>64</v>
      </c>
      <c r="AE300" s="103" t="s">
        <v>1618</v>
      </c>
      <c r="AF300" s="103" t="b">
        <v>1</v>
      </c>
    </row>
    <row r="301" spans="1:32" hidden="1" x14ac:dyDescent="0.2">
      <c r="A301" s="103" t="s">
        <v>525</v>
      </c>
      <c r="B301" s="103" t="s">
        <v>524</v>
      </c>
      <c r="C301" s="103" t="s">
        <v>2527</v>
      </c>
      <c r="D301" s="103" t="s">
        <v>2528</v>
      </c>
      <c r="E301" s="103" t="s">
        <v>2529</v>
      </c>
      <c r="G301" s="103">
        <v>120</v>
      </c>
      <c r="H301" s="103" t="s">
        <v>2152</v>
      </c>
      <c r="I301" s="103" t="s">
        <v>2153</v>
      </c>
      <c r="L301" s="103">
        <v>60</v>
      </c>
      <c r="M301" s="103">
        <v>60</v>
      </c>
      <c r="N301" s="103" t="s">
        <v>2163</v>
      </c>
      <c r="O301" s="103">
        <v>120</v>
      </c>
      <c r="P301" s="103" t="s">
        <v>839</v>
      </c>
      <c r="Q301" s="103" t="s">
        <v>2155</v>
      </c>
      <c r="R301" s="103" t="s">
        <v>2225</v>
      </c>
      <c r="S301" s="103" t="s">
        <v>2229</v>
      </c>
      <c r="U301" s="103">
        <v>61.56</v>
      </c>
      <c r="V301" s="103" t="s">
        <v>2158</v>
      </c>
      <c r="W301" s="103" t="s">
        <v>118</v>
      </c>
      <c r="X301" s="103" t="s">
        <v>1597</v>
      </c>
      <c r="Y301" s="103" t="s">
        <v>1685</v>
      </c>
      <c r="AA301" s="103" t="s">
        <v>2225</v>
      </c>
      <c r="AB301" s="103" t="s">
        <v>64</v>
      </c>
      <c r="AE301" s="103" t="s">
        <v>1618</v>
      </c>
      <c r="AF301" s="103" t="b">
        <v>1</v>
      </c>
    </row>
    <row r="302" spans="1:32" hidden="1" x14ac:dyDescent="0.2">
      <c r="A302" s="103" t="s">
        <v>525</v>
      </c>
      <c r="B302" s="103" t="s">
        <v>524</v>
      </c>
      <c r="C302" s="103" t="s">
        <v>2527</v>
      </c>
      <c r="D302" s="103" t="s">
        <v>2528</v>
      </c>
      <c r="E302" s="103" t="s">
        <v>2498</v>
      </c>
      <c r="G302" s="103">
        <v>20</v>
      </c>
      <c r="H302" s="103" t="s">
        <v>2152</v>
      </c>
      <c r="I302" s="103" t="s">
        <v>2153</v>
      </c>
      <c r="M302" s="103">
        <v>20</v>
      </c>
      <c r="N302" s="103" t="s">
        <v>2163</v>
      </c>
      <c r="O302" s="103">
        <v>20</v>
      </c>
      <c r="P302" s="103" t="s">
        <v>839</v>
      </c>
      <c r="Q302" s="103" t="s">
        <v>2155</v>
      </c>
      <c r="R302" s="103" t="s">
        <v>2225</v>
      </c>
      <c r="S302" s="103" t="s">
        <v>2247</v>
      </c>
      <c r="U302" s="103">
        <v>10.26</v>
      </c>
      <c r="V302" s="103" t="s">
        <v>2158</v>
      </c>
      <c r="W302" s="103" t="s">
        <v>119</v>
      </c>
      <c r="X302" s="103" t="s">
        <v>1597</v>
      </c>
      <c r="Y302" s="103" t="s">
        <v>1685</v>
      </c>
      <c r="AA302" s="103" t="s">
        <v>2225</v>
      </c>
      <c r="AB302" s="103" t="s">
        <v>64</v>
      </c>
      <c r="AE302" s="103" t="s">
        <v>1618</v>
      </c>
      <c r="AF302" s="103" t="b">
        <v>1</v>
      </c>
    </row>
    <row r="303" spans="1:32" hidden="1" x14ac:dyDescent="0.2">
      <c r="A303" s="103" t="s">
        <v>525</v>
      </c>
      <c r="B303" s="103" t="s">
        <v>524</v>
      </c>
      <c r="C303" s="103" t="s">
        <v>2527</v>
      </c>
      <c r="D303" s="103" t="s">
        <v>2528</v>
      </c>
      <c r="E303" s="103" t="s">
        <v>2250</v>
      </c>
      <c r="G303" s="103">
        <v>50</v>
      </c>
      <c r="H303" s="103" t="s">
        <v>2152</v>
      </c>
      <c r="I303" s="103" t="s">
        <v>2153</v>
      </c>
      <c r="M303" s="103">
        <v>50</v>
      </c>
      <c r="N303" s="103" t="s">
        <v>2163</v>
      </c>
      <c r="O303" s="103">
        <v>50</v>
      </c>
      <c r="P303" s="103" t="s">
        <v>839</v>
      </c>
      <c r="Q303" s="103" t="s">
        <v>2155</v>
      </c>
      <c r="R303" s="103" t="s">
        <v>125</v>
      </c>
      <c r="S303" s="103" t="s">
        <v>2247</v>
      </c>
      <c r="U303" s="103">
        <v>25.65</v>
      </c>
      <c r="V303" s="103" t="s">
        <v>2158</v>
      </c>
      <c r="W303" s="103" t="s">
        <v>119</v>
      </c>
      <c r="X303" s="103" t="s">
        <v>1597</v>
      </c>
      <c r="Y303" s="103" t="s">
        <v>1685</v>
      </c>
      <c r="AA303" s="103" t="s">
        <v>125</v>
      </c>
      <c r="AB303" s="103" t="s">
        <v>64</v>
      </c>
      <c r="AE303" s="103" t="s">
        <v>1618</v>
      </c>
      <c r="AF303" s="103" t="b">
        <v>1</v>
      </c>
    </row>
    <row r="304" spans="1:32" hidden="1" x14ac:dyDescent="0.2">
      <c r="A304" s="103" t="s">
        <v>527</v>
      </c>
      <c r="B304" s="103" t="s">
        <v>526</v>
      </c>
      <c r="C304" s="103" t="s">
        <v>2248</v>
      </c>
      <c r="D304" s="103" t="s">
        <v>2530</v>
      </c>
      <c r="E304" s="103" t="s">
        <v>2249</v>
      </c>
      <c r="F304" s="103" t="s">
        <v>2162</v>
      </c>
      <c r="G304" s="103">
        <v>50</v>
      </c>
      <c r="H304" s="103" t="s">
        <v>2168</v>
      </c>
      <c r="I304" s="103" t="s">
        <v>2153</v>
      </c>
      <c r="M304" s="103">
        <v>50</v>
      </c>
      <c r="N304" s="103" t="s">
        <v>2163</v>
      </c>
      <c r="O304" s="103">
        <v>50</v>
      </c>
      <c r="P304" s="103" t="s">
        <v>839</v>
      </c>
      <c r="R304" s="103" t="s">
        <v>2164</v>
      </c>
      <c r="U304" s="103">
        <v>30</v>
      </c>
      <c r="V304" s="103" t="s">
        <v>2158</v>
      </c>
      <c r="W304" s="103" t="s">
        <v>132</v>
      </c>
      <c r="X304" s="103" t="s">
        <v>1597</v>
      </c>
      <c r="Y304" s="103" t="s">
        <v>1685</v>
      </c>
      <c r="AA304" s="103" t="s">
        <v>2164</v>
      </c>
      <c r="AB304" s="103" t="s">
        <v>71</v>
      </c>
      <c r="AE304" s="103" t="s">
        <v>1618</v>
      </c>
      <c r="AF304" s="103" t="b">
        <v>1</v>
      </c>
    </row>
    <row r="305" spans="1:32" hidden="1" x14ac:dyDescent="0.2">
      <c r="A305" s="103" t="s">
        <v>527</v>
      </c>
      <c r="B305" s="103" t="s">
        <v>526</v>
      </c>
      <c r="C305" s="103" t="s">
        <v>2248</v>
      </c>
      <c r="D305" s="103" t="s">
        <v>2530</v>
      </c>
      <c r="E305" s="103" t="s">
        <v>2495</v>
      </c>
      <c r="G305" s="103">
        <v>295</v>
      </c>
      <c r="H305" s="103" t="s">
        <v>2152</v>
      </c>
      <c r="I305" s="103" t="s">
        <v>2153</v>
      </c>
      <c r="L305" s="103">
        <v>100</v>
      </c>
      <c r="M305" s="103">
        <v>195</v>
      </c>
      <c r="N305" s="103" t="s">
        <v>2163</v>
      </c>
      <c r="O305" s="103">
        <v>295</v>
      </c>
      <c r="P305" s="103" t="s">
        <v>839</v>
      </c>
      <c r="Q305" s="103" t="s">
        <v>2155</v>
      </c>
      <c r="R305" s="103" t="s">
        <v>2225</v>
      </c>
      <c r="S305" s="103" t="s">
        <v>2251</v>
      </c>
      <c r="U305" s="103">
        <v>151.33500000000001</v>
      </c>
      <c r="V305" s="103" t="s">
        <v>2158</v>
      </c>
      <c r="W305" s="103" t="s">
        <v>117</v>
      </c>
      <c r="X305" s="103" t="s">
        <v>1597</v>
      </c>
      <c r="Y305" s="103" t="s">
        <v>1685</v>
      </c>
      <c r="AA305" s="103" t="s">
        <v>2225</v>
      </c>
      <c r="AB305" s="103" t="s">
        <v>71</v>
      </c>
      <c r="AE305" s="103" t="s">
        <v>1618</v>
      </c>
      <c r="AF305" s="103" t="b">
        <v>1</v>
      </c>
    </row>
    <row r="306" spans="1:32" hidden="1" x14ac:dyDescent="0.2">
      <c r="A306" s="103" t="s">
        <v>528</v>
      </c>
      <c r="B306" s="103" t="s">
        <v>3852</v>
      </c>
      <c r="C306" s="103" t="s">
        <v>2501</v>
      </c>
      <c r="D306" s="103" t="s">
        <v>2531</v>
      </c>
      <c r="E306" s="103" t="s">
        <v>2250</v>
      </c>
      <c r="G306" s="103">
        <v>25</v>
      </c>
      <c r="H306" s="103" t="s">
        <v>2152</v>
      </c>
      <c r="I306" s="103" t="s">
        <v>2153</v>
      </c>
      <c r="L306" s="103">
        <v>25</v>
      </c>
      <c r="N306" s="103" t="s">
        <v>2163</v>
      </c>
      <c r="O306" s="103">
        <v>25</v>
      </c>
      <c r="P306" s="103" t="s">
        <v>839</v>
      </c>
      <c r="Q306" s="103" t="s">
        <v>1393</v>
      </c>
      <c r="R306" s="103" t="s">
        <v>125</v>
      </c>
      <c r="S306" s="103" t="s">
        <v>2251</v>
      </c>
      <c r="U306" s="103">
        <v>12.824999999999999</v>
      </c>
      <c r="V306" s="103" t="s">
        <v>2239</v>
      </c>
      <c r="W306" s="103" t="s">
        <v>119</v>
      </c>
      <c r="X306" s="103" t="s">
        <v>1945</v>
      </c>
      <c r="Y306" s="103" t="s">
        <v>1685</v>
      </c>
      <c r="AA306" s="103" t="s">
        <v>125</v>
      </c>
      <c r="AB306" s="103" t="s">
        <v>64</v>
      </c>
      <c r="AE306" s="103" t="s">
        <v>1618</v>
      </c>
      <c r="AF306" s="103" t="b">
        <v>1</v>
      </c>
    </row>
    <row r="307" spans="1:32" hidden="1" x14ac:dyDescent="0.2">
      <c r="A307" s="103" t="s">
        <v>530</v>
      </c>
      <c r="B307" s="103" t="s">
        <v>529</v>
      </c>
      <c r="C307" s="103" t="s">
        <v>2532</v>
      </c>
      <c r="D307" s="103" t="s">
        <v>2533</v>
      </c>
      <c r="E307" s="103" t="s">
        <v>2249</v>
      </c>
      <c r="F307" s="103" t="s">
        <v>2162</v>
      </c>
      <c r="G307" s="103">
        <v>50</v>
      </c>
      <c r="H307" s="103" t="s">
        <v>2168</v>
      </c>
      <c r="I307" s="103" t="s">
        <v>2153</v>
      </c>
      <c r="M307" s="103">
        <v>50</v>
      </c>
      <c r="N307" s="103" t="s">
        <v>2163</v>
      </c>
      <c r="O307" s="103">
        <v>50</v>
      </c>
      <c r="P307" s="103" t="s">
        <v>839</v>
      </c>
      <c r="Q307" s="103" t="s">
        <v>2155</v>
      </c>
      <c r="R307" s="103" t="s">
        <v>2164</v>
      </c>
      <c r="U307" s="103">
        <v>30</v>
      </c>
      <c r="V307" s="103" t="s">
        <v>2158</v>
      </c>
      <c r="W307" s="103" t="s">
        <v>132</v>
      </c>
      <c r="X307" s="103" t="s">
        <v>1597</v>
      </c>
      <c r="Y307" s="103" t="s">
        <v>1685</v>
      </c>
      <c r="AA307" s="103" t="s">
        <v>2164</v>
      </c>
      <c r="AB307" s="103" t="s">
        <v>71</v>
      </c>
      <c r="AE307" s="103" t="s">
        <v>1618</v>
      </c>
      <c r="AF307" s="103" t="b">
        <v>1</v>
      </c>
    </row>
    <row r="308" spans="1:32" hidden="1" x14ac:dyDescent="0.2">
      <c r="A308" s="103" t="s">
        <v>530</v>
      </c>
      <c r="B308" s="103" t="s">
        <v>529</v>
      </c>
      <c r="C308" s="103" t="s">
        <v>2532</v>
      </c>
      <c r="D308" s="103" t="s">
        <v>2533</v>
      </c>
      <c r="E308" s="103" t="s">
        <v>2495</v>
      </c>
      <c r="G308" s="103">
        <v>95</v>
      </c>
      <c r="H308" s="103" t="s">
        <v>2152</v>
      </c>
      <c r="I308" s="103" t="s">
        <v>2153</v>
      </c>
      <c r="M308" s="103">
        <v>95</v>
      </c>
      <c r="N308" s="103" t="s">
        <v>2163</v>
      </c>
      <c r="O308" s="103">
        <v>95</v>
      </c>
      <c r="P308" s="103" t="s">
        <v>839</v>
      </c>
      <c r="Q308" s="103" t="s">
        <v>2155</v>
      </c>
      <c r="R308" s="103" t="s">
        <v>2225</v>
      </c>
      <c r="S308" s="103" t="s">
        <v>2157</v>
      </c>
      <c r="U308" s="103">
        <v>48.734999999999999</v>
      </c>
      <c r="V308" s="103" t="s">
        <v>2158</v>
      </c>
      <c r="W308" s="103" t="s">
        <v>117</v>
      </c>
      <c r="X308" s="103" t="s">
        <v>1597</v>
      </c>
      <c r="Y308" s="103" t="s">
        <v>1685</v>
      </c>
      <c r="AA308" s="103" t="s">
        <v>2225</v>
      </c>
      <c r="AB308" s="103" t="s">
        <v>71</v>
      </c>
      <c r="AE308" s="103" t="s">
        <v>1618</v>
      </c>
      <c r="AF308" s="103" t="b">
        <v>1</v>
      </c>
    </row>
    <row r="309" spans="1:32" hidden="1" x14ac:dyDescent="0.2">
      <c r="A309" s="103" t="s">
        <v>532</v>
      </c>
      <c r="B309" s="103" t="s">
        <v>531</v>
      </c>
      <c r="C309" s="103" t="s">
        <v>2532</v>
      </c>
      <c r="D309" s="103" t="s">
        <v>2534</v>
      </c>
      <c r="E309" s="103" t="s">
        <v>2249</v>
      </c>
      <c r="F309" s="103" t="s">
        <v>2162</v>
      </c>
      <c r="G309" s="103">
        <v>50</v>
      </c>
      <c r="H309" s="103" t="s">
        <v>2168</v>
      </c>
      <c r="I309" s="103" t="s">
        <v>2153</v>
      </c>
      <c r="J309" s="103">
        <v>50</v>
      </c>
      <c r="N309" s="103" t="s">
        <v>2163</v>
      </c>
      <c r="O309" s="103">
        <v>50</v>
      </c>
      <c r="P309" s="103" t="s">
        <v>839</v>
      </c>
      <c r="Q309" s="103" t="s">
        <v>2155</v>
      </c>
      <c r="R309" s="103" t="s">
        <v>2164</v>
      </c>
      <c r="U309" s="103">
        <v>30</v>
      </c>
      <c r="V309" s="103" t="s">
        <v>2158</v>
      </c>
      <c r="W309" s="103" t="s">
        <v>132</v>
      </c>
      <c r="X309" s="103" t="s">
        <v>1597</v>
      </c>
      <c r="Y309" s="103" t="s">
        <v>1685</v>
      </c>
      <c r="AA309" s="103" t="s">
        <v>2164</v>
      </c>
      <c r="AB309" s="103" t="s">
        <v>71</v>
      </c>
      <c r="AE309" s="103" t="s">
        <v>1618</v>
      </c>
      <c r="AF309" s="103" t="b">
        <v>1</v>
      </c>
    </row>
    <row r="310" spans="1:32" hidden="1" x14ac:dyDescent="0.2">
      <c r="A310" s="103" t="s">
        <v>532</v>
      </c>
      <c r="B310" s="103" t="s">
        <v>531</v>
      </c>
      <c r="C310" s="103" t="s">
        <v>2532</v>
      </c>
      <c r="D310" s="103" t="s">
        <v>2534</v>
      </c>
      <c r="E310" s="103" t="s">
        <v>2495</v>
      </c>
      <c r="G310" s="103">
        <v>120</v>
      </c>
      <c r="H310" s="103" t="s">
        <v>2152</v>
      </c>
      <c r="I310" s="103" t="s">
        <v>2153</v>
      </c>
      <c r="J310" s="103">
        <v>120</v>
      </c>
      <c r="N310" s="103" t="s">
        <v>2163</v>
      </c>
      <c r="O310" s="103">
        <v>120</v>
      </c>
      <c r="P310" s="103" t="s">
        <v>839</v>
      </c>
      <c r="Q310" s="103" t="s">
        <v>2155</v>
      </c>
      <c r="R310" s="103" t="s">
        <v>2225</v>
      </c>
      <c r="S310" s="103" t="s">
        <v>2157</v>
      </c>
      <c r="U310" s="103">
        <v>61.56</v>
      </c>
      <c r="V310" s="103" t="s">
        <v>2158</v>
      </c>
      <c r="W310" s="103" t="s">
        <v>117</v>
      </c>
      <c r="X310" s="103" t="s">
        <v>1597</v>
      </c>
      <c r="Y310" s="103" t="s">
        <v>1685</v>
      </c>
      <c r="AA310" s="103" t="s">
        <v>2225</v>
      </c>
      <c r="AB310" s="103" t="s">
        <v>71</v>
      </c>
      <c r="AE310" s="103" t="s">
        <v>1618</v>
      </c>
      <c r="AF310" s="103" t="b">
        <v>1</v>
      </c>
    </row>
    <row r="311" spans="1:32" hidden="1" x14ac:dyDescent="0.2">
      <c r="A311" s="103" t="s">
        <v>534</v>
      </c>
      <c r="B311" s="103" t="s">
        <v>533</v>
      </c>
      <c r="C311" s="103" t="s">
        <v>2535</v>
      </c>
      <c r="D311" s="103" t="s">
        <v>2536</v>
      </c>
      <c r="E311" s="103" t="s">
        <v>2211</v>
      </c>
      <c r="F311" s="103" t="s">
        <v>2232</v>
      </c>
      <c r="G311" s="103">
        <v>200</v>
      </c>
      <c r="H311" s="103" t="s">
        <v>2152</v>
      </c>
      <c r="I311" s="103" t="s">
        <v>2153</v>
      </c>
      <c r="K311" s="103">
        <v>40</v>
      </c>
      <c r="L311" s="103">
        <v>80</v>
      </c>
      <c r="M311" s="103">
        <v>80</v>
      </c>
      <c r="N311" s="103" t="s">
        <v>2163</v>
      </c>
      <c r="O311" s="103">
        <v>200</v>
      </c>
      <c r="P311" s="103" t="s">
        <v>774</v>
      </c>
      <c r="Q311" s="103" t="s">
        <v>2155</v>
      </c>
      <c r="R311" s="103" t="s">
        <v>2156</v>
      </c>
      <c r="S311" s="103" t="s">
        <v>2251</v>
      </c>
      <c r="U311" s="103">
        <v>102.6</v>
      </c>
      <c r="V311" s="103" t="s">
        <v>2158</v>
      </c>
      <c r="W311" s="103" t="s">
        <v>114</v>
      </c>
      <c r="X311" s="103" t="s">
        <v>1597</v>
      </c>
      <c r="Y311" s="103" t="s">
        <v>1685</v>
      </c>
      <c r="AA311" s="103" t="s">
        <v>2156</v>
      </c>
      <c r="AB311" s="103" t="s">
        <v>68</v>
      </c>
      <c r="AC311" s="103" t="s">
        <v>2159</v>
      </c>
      <c r="AD311" s="103" t="s">
        <v>2397</v>
      </c>
      <c r="AE311" s="103" t="s">
        <v>766</v>
      </c>
      <c r="AF311" s="103" t="b">
        <v>1</v>
      </c>
    </row>
    <row r="312" spans="1:32" hidden="1" x14ac:dyDescent="0.2">
      <c r="A312" s="103" t="s">
        <v>854</v>
      </c>
      <c r="B312" s="103" t="s">
        <v>853</v>
      </c>
      <c r="C312" s="103" t="s">
        <v>2537</v>
      </c>
      <c r="E312" s="103" t="s">
        <v>2292</v>
      </c>
      <c r="F312" s="103" t="s">
        <v>2202</v>
      </c>
      <c r="G312" s="103">
        <v>150</v>
      </c>
      <c r="H312" s="103" t="s">
        <v>2152</v>
      </c>
      <c r="I312" s="103" t="s">
        <v>2153</v>
      </c>
      <c r="J312" s="103">
        <v>50</v>
      </c>
      <c r="K312" s="103">
        <v>50</v>
      </c>
      <c r="L312" s="103">
        <v>50</v>
      </c>
      <c r="N312" s="103" t="s">
        <v>2163</v>
      </c>
      <c r="O312" s="103">
        <v>150</v>
      </c>
      <c r="P312" s="103" t="s">
        <v>2293</v>
      </c>
      <c r="Q312" s="103" t="s">
        <v>2155</v>
      </c>
      <c r="R312" s="103" t="s">
        <v>2220</v>
      </c>
      <c r="S312" s="103" t="s">
        <v>2157</v>
      </c>
      <c r="U312" s="103">
        <v>76.95</v>
      </c>
      <c r="V312" s="103" t="s">
        <v>2158</v>
      </c>
      <c r="W312" s="103" t="s">
        <v>108</v>
      </c>
      <c r="X312" s="103" t="s">
        <v>1597</v>
      </c>
      <c r="Y312" s="103" t="s">
        <v>1685</v>
      </c>
      <c r="AA312" s="103" t="s">
        <v>2220</v>
      </c>
      <c r="AB312" s="103" t="s">
        <v>71</v>
      </c>
      <c r="AE312" s="103" t="s">
        <v>810</v>
      </c>
      <c r="AF312" s="103" t="b">
        <v>1</v>
      </c>
    </row>
    <row r="313" spans="1:32" hidden="1" x14ac:dyDescent="0.2">
      <c r="A313" s="103" t="s">
        <v>854</v>
      </c>
      <c r="B313" s="103" t="s">
        <v>853</v>
      </c>
      <c r="C313" s="103" t="s">
        <v>2538</v>
      </c>
      <c r="E313" s="103" t="s">
        <v>2292</v>
      </c>
      <c r="F313" s="103" t="s">
        <v>2151</v>
      </c>
      <c r="G313" s="103">
        <v>150</v>
      </c>
      <c r="H313" s="103" t="s">
        <v>2152</v>
      </c>
      <c r="I313" s="103" t="s">
        <v>2153</v>
      </c>
      <c r="J313" s="103">
        <v>40</v>
      </c>
      <c r="K313" s="103">
        <v>40</v>
      </c>
      <c r="L313" s="103">
        <v>40</v>
      </c>
      <c r="M313" s="103">
        <v>30</v>
      </c>
      <c r="N313" s="103" t="s">
        <v>2154</v>
      </c>
      <c r="O313" s="103">
        <v>150</v>
      </c>
      <c r="P313" s="103" t="s">
        <v>2293</v>
      </c>
      <c r="Q313" s="103" t="s">
        <v>2155</v>
      </c>
      <c r="R313" s="103" t="s">
        <v>2220</v>
      </c>
      <c r="S313" s="103" t="s">
        <v>2157</v>
      </c>
      <c r="U313" s="103">
        <v>76.95</v>
      </c>
      <c r="V313" s="103" t="s">
        <v>2158</v>
      </c>
      <c r="W313" s="103" t="s">
        <v>108</v>
      </c>
      <c r="X313" s="103" t="s">
        <v>1597</v>
      </c>
      <c r="Y313" s="103" t="s">
        <v>1685</v>
      </c>
      <c r="AA313" s="103" t="s">
        <v>2220</v>
      </c>
      <c r="AB313" s="103" t="s">
        <v>71</v>
      </c>
      <c r="AE313" s="103" t="s">
        <v>810</v>
      </c>
      <c r="AF313" s="103" t="b">
        <v>1</v>
      </c>
    </row>
    <row r="314" spans="1:32" hidden="1" x14ac:dyDescent="0.2">
      <c r="A314" s="103" t="s">
        <v>884</v>
      </c>
      <c r="B314" s="103" t="s">
        <v>883</v>
      </c>
      <c r="C314" s="103" t="s">
        <v>2539</v>
      </c>
      <c r="D314" s="103" t="s">
        <v>2540</v>
      </c>
      <c r="E314" s="103" t="s">
        <v>2378</v>
      </c>
      <c r="F314" s="103" t="s">
        <v>2232</v>
      </c>
      <c r="G314" s="103">
        <v>300</v>
      </c>
      <c r="H314" s="103" t="s">
        <v>2168</v>
      </c>
      <c r="I314" s="103" t="s">
        <v>2153</v>
      </c>
      <c r="M314" s="103">
        <v>300</v>
      </c>
      <c r="N314" s="103" t="s">
        <v>2260</v>
      </c>
      <c r="O314" s="103">
        <v>300</v>
      </c>
      <c r="P314" s="103" t="s">
        <v>820</v>
      </c>
      <c r="Q314" s="103" t="s">
        <v>2296</v>
      </c>
      <c r="R314" s="103" t="s">
        <v>2220</v>
      </c>
      <c r="S314" s="103" t="s">
        <v>2157</v>
      </c>
      <c r="T314" s="103" t="s">
        <v>2541</v>
      </c>
      <c r="U314" s="103">
        <v>153.9</v>
      </c>
      <c r="V314" s="103" t="s">
        <v>2262</v>
      </c>
      <c r="W314" s="103" t="s">
        <v>108</v>
      </c>
      <c r="X314" s="103">
        <v>0</v>
      </c>
      <c r="Y314" s="103" t="s">
        <v>1685</v>
      </c>
      <c r="AA314" s="103" t="s">
        <v>2220</v>
      </c>
      <c r="AB314" s="103" t="s">
        <v>71</v>
      </c>
      <c r="AE314" s="103" t="s">
        <v>810</v>
      </c>
      <c r="AF314" s="103" t="b">
        <v>1</v>
      </c>
    </row>
    <row r="315" spans="1:32" hidden="1" x14ac:dyDescent="0.2">
      <c r="A315" s="103" t="s">
        <v>906</v>
      </c>
      <c r="B315" s="103" t="s">
        <v>905</v>
      </c>
      <c r="C315" s="103" t="s">
        <v>2542</v>
      </c>
      <c r="E315" s="103" t="s">
        <v>2285</v>
      </c>
      <c r="F315" s="103" t="s">
        <v>2151</v>
      </c>
      <c r="G315" s="103">
        <v>100</v>
      </c>
      <c r="H315" s="103" t="s">
        <v>2168</v>
      </c>
      <c r="I315" s="103" t="s">
        <v>2153</v>
      </c>
      <c r="J315" s="103">
        <v>50</v>
      </c>
      <c r="K315" s="103">
        <v>50</v>
      </c>
      <c r="N315" s="103" t="s">
        <v>2163</v>
      </c>
      <c r="O315" s="103">
        <v>100</v>
      </c>
      <c r="P315" s="103" t="s">
        <v>811</v>
      </c>
      <c r="Q315" s="103" t="s">
        <v>2155</v>
      </c>
      <c r="R315" s="103" t="s">
        <v>2220</v>
      </c>
      <c r="S315" s="103" t="s">
        <v>2157</v>
      </c>
      <c r="U315" s="103">
        <v>51.3</v>
      </c>
      <c r="V315" s="103" t="s">
        <v>2158</v>
      </c>
      <c r="W315" s="103" t="s">
        <v>108</v>
      </c>
      <c r="X315" s="103" t="s">
        <v>1597</v>
      </c>
      <c r="Y315" s="103" t="s">
        <v>1685</v>
      </c>
      <c r="AA315" s="103" t="s">
        <v>2220</v>
      </c>
      <c r="AB315" s="103" t="s">
        <v>71</v>
      </c>
      <c r="AE315" s="103" t="s">
        <v>810</v>
      </c>
      <c r="AF315" s="103" t="b">
        <v>1</v>
      </c>
    </row>
    <row r="316" spans="1:32" hidden="1" x14ac:dyDescent="0.2">
      <c r="A316" s="103" t="s">
        <v>906</v>
      </c>
      <c r="B316" s="103" t="s">
        <v>905</v>
      </c>
      <c r="C316" s="103" t="s">
        <v>2543</v>
      </c>
      <c r="D316" s="103" t="s">
        <v>2544</v>
      </c>
      <c r="E316" s="103" t="s">
        <v>2350</v>
      </c>
      <c r="F316" s="103" t="s">
        <v>2162</v>
      </c>
      <c r="G316" s="103">
        <v>50</v>
      </c>
      <c r="H316" s="103" t="s">
        <v>2168</v>
      </c>
      <c r="I316" s="103" t="s">
        <v>2153</v>
      </c>
      <c r="J316" s="103">
        <v>25</v>
      </c>
      <c r="K316" s="103">
        <v>25</v>
      </c>
      <c r="N316" s="103" t="s">
        <v>2163</v>
      </c>
      <c r="O316" s="103">
        <v>50</v>
      </c>
      <c r="P316" s="103" t="s">
        <v>811</v>
      </c>
      <c r="Q316" s="103" t="s">
        <v>2155</v>
      </c>
      <c r="R316" s="103" t="s">
        <v>2220</v>
      </c>
      <c r="S316" s="103" t="s">
        <v>2157</v>
      </c>
      <c r="U316" s="103">
        <v>25.65</v>
      </c>
      <c r="V316" s="103" t="s">
        <v>2158</v>
      </c>
      <c r="W316" s="103" t="s">
        <v>108</v>
      </c>
      <c r="X316" s="103" t="s">
        <v>1597</v>
      </c>
      <c r="Y316" s="103" t="s">
        <v>1685</v>
      </c>
      <c r="AA316" s="103" t="s">
        <v>2220</v>
      </c>
      <c r="AB316" s="103" t="s">
        <v>71</v>
      </c>
      <c r="AE316" s="103" t="s">
        <v>810</v>
      </c>
      <c r="AF316" s="103" t="b">
        <v>1</v>
      </c>
    </row>
    <row r="317" spans="1:32" hidden="1" x14ac:dyDescent="0.2">
      <c r="A317" s="103" t="s">
        <v>906</v>
      </c>
      <c r="B317" s="103" t="s">
        <v>905</v>
      </c>
      <c r="C317" s="103" t="s">
        <v>2545</v>
      </c>
      <c r="E317" s="103" t="s">
        <v>2266</v>
      </c>
      <c r="F317" s="103" t="s">
        <v>2162</v>
      </c>
      <c r="G317" s="103">
        <v>50</v>
      </c>
      <c r="H317" s="103" t="s">
        <v>2168</v>
      </c>
      <c r="I317" s="103" t="s">
        <v>2153</v>
      </c>
      <c r="J317" s="103">
        <v>50</v>
      </c>
      <c r="N317" s="103" t="s">
        <v>2163</v>
      </c>
      <c r="O317" s="103">
        <v>50</v>
      </c>
      <c r="P317" s="103" t="s">
        <v>811</v>
      </c>
      <c r="Q317" s="103" t="s">
        <v>2155</v>
      </c>
      <c r="R317" s="103" t="s">
        <v>2220</v>
      </c>
      <c r="S317" s="103" t="s">
        <v>2157</v>
      </c>
      <c r="U317" s="103">
        <v>25.65</v>
      </c>
      <c r="V317" s="103" t="s">
        <v>2158</v>
      </c>
      <c r="W317" s="103" t="s">
        <v>108</v>
      </c>
      <c r="X317" s="103" t="s">
        <v>1597</v>
      </c>
      <c r="Y317" s="103" t="s">
        <v>1685</v>
      </c>
      <c r="AA317" s="103" t="s">
        <v>2220</v>
      </c>
      <c r="AB317" s="103" t="s">
        <v>71</v>
      </c>
      <c r="AE317" s="103" t="s">
        <v>810</v>
      </c>
      <c r="AF317" s="103" t="b">
        <v>1</v>
      </c>
    </row>
    <row r="318" spans="1:32" hidden="1" x14ac:dyDescent="0.2">
      <c r="A318" s="103" t="s">
        <v>906</v>
      </c>
      <c r="B318" s="103" t="s">
        <v>905</v>
      </c>
      <c r="C318" s="103" t="s">
        <v>2546</v>
      </c>
      <c r="E318" s="103" t="s">
        <v>2285</v>
      </c>
      <c r="F318" s="103" t="s">
        <v>2162</v>
      </c>
      <c r="G318" s="103">
        <v>50</v>
      </c>
      <c r="H318" s="103" t="s">
        <v>2168</v>
      </c>
      <c r="I318" s="103" t="s">
        <v>2153</v>
      </c>
      <c r="J318" s="103">
        <v>30</v>
      </c>
      <c r="K318" s="103">
        <v>20</v>
      </c>
      <c r="N318" s="103" t="s">
        <v>2163</v>
      </c>
      <c r="O318" s="103">
        <v>50</v>
      </c>
      <c r="P318" s="103" t="s">
        <v>811</v>
      </c>
      <c r="Q318" s="103" t="s">
        <v>2155</v>
      </c>
      <c r="R318" s="103" t="s">
        <v>2220</v>
      </c>
      <c r="S318" s="103" t="s">
        <v>2157</v>
      </c>
      <c r="U318" s="103">
        <v>25.65</v>
      </c>
      <c r="V318" s="103" t="s">
        <v>2158</v>
      </c>
      <c r="W318" s="103" t="s">
        <v>108</v>
      </c>
      <c r="X318" s="103" t="s">
        <v>1597</v>
      </c>
      <c r="Y318" s="103" t="s">
        <v>1685</v>
      </c>
      <c r="AA318" s="103" t="s">
        <v>2220</v>
      </c>
      <c r="AB318" s="103" t="s">
        <v>71</v>
      </c>
      <c r="AE318" s="103" t="s">
        <v>810</v>
      </c>
      <c r="AF318" s="103" t="b">
        <v>1</v>
      </c>
    </row>
    <row r="319" spans="1:32" hidden="1" x14ac:dyDescent="0.2">
      <c r="A319" s="103" t="s">
        <v>906</v>
      </c>
      <c r="B319" s="103" t="s">
        <v>905</v>
      </c>
      <c r="C319" s="103" t="s">
        <v>2547</v>
      </c>
      <c r="D319" s="103" t="s">
        <v>2548</v>
      </c>
      <c r="E319" s="103" t="s">
        <v>2366</v>
      </c>
      <c r="F319" s="103" t="s">
        <v>2175</v>
      </c>
      <c r="G319" s="103">
        <v>20</v>
      </c>
      <c r="H319" s="103" t="s">
        <v>2168</v>
      </c>
      <c r="I319" s="103" t="s">
        <v>2153</v>
      </c>
      <c r="J319" s="103">
        <v>6</v>
      </c>
      <c r="K319" s="103">
        <v>6</v>
      </c>
      <c r="L319" s="103">
        <v>6</v>
      </c>
      <c r="M319" s="103">
        <v>2</v>
      </c>
      <c r="N319" s="103" t="s">
        <v>2163</v>
      </c>
      <c r="O319" s="103">
        <v>20</v>
      </c>
      <c r="P319" s="103" t="s">
        <v>2549</v>
      </c>
      <c r="Q319" s="103" t="s">
        <v>2155</v>
      </c>
      <c r="R319" s="103" t="s">
        <v>2220</v>
      </c>
      <c r="S319" s="103" t="s">
        <v>2157</v>
      </c>
      <c r="U319" s="103">
        <v>10.26</v>
      </c>
      <c r="V319" s="103" t="s">
        <v>2158</v>
      </c>
      <c r="W319" s="103" t="s">
        <v>108</v>
      </c>
      <c r="X319" s="103" t="s">
        <v>1597</v>
      </c>
      <c r="Y319" s="103" t="s">
        <v>1685</v>
      </c>
      <c r="AA319" s="103" t="s">
        <v>2220</v>
      </c>
      <c r="AB319" s="103" t="s">
        <v>71</v>
      </c>
      <c r="AE319" s="103" t="s">
        <v>810</v>
      </c>
      <c r="AF319" s="103" t="b">
        <v>1</v>
      </c>
    </row>
    <row r="320" spans="1:32" hidden="1" x14ac:dyDescent="0.2">
      <c r="A320" s="103" t="s">
        <v>906</v>
      </c>
      <c r="B320" s="103" t="s">
        <v>905</v>
      </c>
      <c r="C320" s="103" t="s">
        <v>2547</v>
      </c>
      <c r="D320" s="103" t="s">
        <v>2548</v>
      </c>
      <c r="E320" s="103" t="s">
        <v>2292</v>
      </c>
      <c r="F320" s="103" t="s">
        <v>2175</v>
      </c>
      <c r="G320" s="103">
        <v>20</v>
      </c>
      <c r="H320" s="103" t="s">
        <v>2168</v>
      </c>
      <c r="I320" s="103" t="s">
        <v>2153</v>
      </c>
      <c r="J320" s="103">
        <v>6</v>
      </c>
      <c r="K320" s="103">
        <v>6</v>
      </c>
      <c r="L320" s="103">
        <v>6</v>
      </c>
      <c r="M320" s="103">
        <v>2</v>
      </c>
      <c r="N320" s="103" t="s">
        <v>2163</v>
      </c>
      <c r="O320" s="103">
        <v>20</v>
      </c>
      <c r="P320" s="103" t="s">
        <v>2549</v>
      </c>
      <c r="Q320" s="103" t="s">
        <v>2155</v>
      </c>
      <c r="R320" s="103" t="s">
        <v>2220</v>
      </c>
      <c r="S320" s="103" t="s">
        <v>2157</v>
      </c>
      <c r="U320" s="103">
        <v>10.26</v>
      </c>
      <c r="V320" s="103" t="s">
        <v>2158</v>
      </c>
      <c r="W320" s="103" t="s">
        <v>108</v>
      </c>
      <c r="X320" s="103" t="s">
        <v>1597</v>
      </c>
      <c r="Y320" s="103" t="s">
        <v>1685</v>
      </c>
      <c r="AA320" s="103" t="s">
        <v>2220</v>
      </c>
      <c r="AB320" s="103" t="s">
        <v>71</v>
      </c>
      <c r="AE320" s="103" t="s">
        <v>810</v>
      </c>
      <c r="AF320" s="103" t="b">
        <v>1</v>
      </c>
    </row>
    <row r="321" spans="1:32" hidden="1" x14ac:dyDescent="0.2">
      <c r="A321" s="103" t="s">
        <v>3821</v>
      </c>
      <c r="B321" s="103" t="s">
        <v>3820</v>
      </c>
      <c r="C321" s="103" t="s">
        <v>2550</v>
      </c>
      <c r="D321" s="103" t="s">
        <v>2551</v>
      </c>
      <c r="E321" s="103" t="s">
        <v>2196</v>
      </c>
      <c r="F321" s="103" t="s">
        <v>2228</v>
      </c>
      <c r="G321" s="103">
        <v>1200</v>
      </c>
      <c r="H321" s="103" t="s">
        <v>2152</v>
      </c>
      <c r="I321" s="103" t="s">
        <v>2153</v>
      </c>
      <c r="J321" s="103">
        <v>300</v>
      </c>
      <c r="K321" s="103">
        <v>300</v>
      </c>
      <c r="L321" s="103">
        <v>300</v>
      </c>
      <c r="M321" s="103">
        <v>300</v>
      </c>
      <c r="N321" s="103" t="s">
        <v>2163</v>
      </c>
      <c r="O321" s="103">
        <v>1200</v>
      </c>
      <c r="P321" s="103" t="s">
        <v>1672</v>
      </c>
      <c r="Q321" s="103" t="s">
        <v>1393</v>
      </c>
      <c r="R321" s="103" t="s">
        <v>121</v>
      </c>
      <c r="S321" s="103" t="s">
        <v>2192</v>
      </c>
      <c r="U321" s="103">
        <v>615.6</v>
      </c>
      <c r="V321" s="103" t="s">
        <v>2158</v>
      </c>
      <c r="W321" s="103" t="s">
        <v>121</v>
      </c>
      <c r="X321" s="103" t="s">
        <v>345</v>
      </c>
      <c r="Y321" s="103" t="s">
        <v>2240</v>
      </c>
      <c r="AA321" s="103" t="s">
        <v>121</v>
      </c>
      <c r="AB321" s="103" t="s">
        <v>68</v>
      </c>
      <c r="AC321" s="103" t="s">
        <v>2197</v>
      </c>
      <c r="AD321" s="103" t="s">
        <v>2397</v>
      </c>
      <c r="AE321" s="103" t="s">
        <v>1671</v>
      </c>
      <c r="AF321" s="103" t="b">
        <v>1</v>
      </c>
    </row>
    <row r="322" spans="1:32" hidden="1" x14ac:dyDescent="0.2">
      <c r="A322" s="103" t="s">
        <v>546</v>
      </c>
      <c r="B322" s="103" t="s">
        <v>1673</v>
      </c>
      <c r="D322" s="103" t="s">
        <v>2552</v>
      </c>
      <c r="E322" s="103" t="s">
        <v>2195</v>
      </c>
      <c r="F322" s="103" t="s">
        <v>2228</v>
      </c>
      <c r="G322" s="103">
        <v>1680</v>
      </c>
      <c r="H322" s="103" t="s">
        <v>2152</v>
      </c>
      <c r="I322" s="103" t="s">
        <v>2153</v>
      </c>
      <c r="J322" s="103">
        <v>420</v>
      </c>
      <c r="K322" s="103">
        <v>420</v>
      </c>
      <c r="L322" s="103">
        <v>420</v>
      </c>
      <c r="M322" s="103">
        <v>420</v>
      </c>
      <c r="N322" s="103" t="s">
        <v>2402</v>
      </c>
      <c r="O322" s="103">
        <v>1680</v>
      </c>
      <c r="P322" s="103" t="s">
        <v>1672</v>
      </c>
      <c r="Q322" s="103" t="s">
        <v>1393</v>
      </c>
      <c r="R322" s="103" t="s">
        <v>2156</v>
      </c>
      <c r="S322" s="103" t="s">
        <v>2251</v>
      </c>
      <c r="U322" s="103">
        <v>861.84</v>
      </c>
      <c r="V322" s="103" t="s">
        <v>2262</v>
      </c>
      <c r="W322" s="103" t="s">
        <v>114</v>
      </c>
      <c r="X322" s="103" t="s">
        <v>345</v>
      </c>
      <c r="Y322" s="103" t="s">
        <v>2240</v>
      </c>
      <c r="AA322" s="103" t="s">
        <v>2156</v>
      </c>
      <c r="AB322" s="103" t="s">
        <v>68</v>
      </c>
      <c r="AC322" s="103" t="s">
        <v>2159</v>
      </c>
      <c r="AD322" s="103" t="s">
        <v>2203</v>
      </c>
      <c r="AE322" s="103" t="s">
        <v>766</v>
      </c>
      <c r="AF322" s="103" t="b">
        <v>1</v>
      </c>
    </row>
    <row r="323" spans="1:32" hidden="1" x14ac:dyDescent="0.2">
      <c r="A323" s="103" t="s">
        <v>3823</v>
      </c>
      <c r="B323" s="103" t="s">
        <v>3830</v>
      </c>
      <c r="E323" s="103" t="s">
        <v>104</v>
      </c>
      <c r="F323" s="103" t="s">
        <v>2232</v>
      </c>
      <c r="G323" s="103">
        <v>340</v>
      </c>
      <c r="H323" s="103" t="s">
        <v>2152</v>
      </c>
      <c r="I323" s="103" t="s">
        <v>2153</v>
      </c>
      <c r="L323" s="103">
        <v>170</v>
      </c>
      <c r="M323" s="103">
        <v>170</v>
      </c>
      <c r="N323" s="103" t="s">
        <v>2163</v>
      </c>
      <c r="O323" s="103">
        <v>340</v>
      </c>
      <c r="P323" s="103" t="s">
        <v>1672</v>
      </c>
      <c r="Q323" s="103" t="s">
        <v>1393</v>
      </c>
      <c r="R323" s="103" t="s">
        <v>2156</v>
      </c>
      <c r="S323" s="103" t="s">
        <v>2192</v>
      </c>
      <c r="U323" s="103">
        <v>174.42</v>
      </c>
      <c r="V323" s="103" t="s">
        <v>2158</v>
      </c>
      <c r="W323" s="103" t="s">
        <v>104</v>
      </c>
      <c r="X323" s="103" t="s">
        <v>345</v>
      </c>
      <c r="Y323" s="103" t="s">
        <v>2240</v>
      </c>
      <c r="AA323" s="103" t="s">
        <v>2156</v>
      </c>
      <c r="AB323" s="103" t="s">
        <v>68</v>
      </c>
      <c r="AC323" s="103" t="s">
        <v>2505</v>
      </c>
      <c r="AD323" s="103" t="s">
        <v>2397</v>
      </c>
      <c r="AE323" s="103" t="s">
        <v>1641</v>
      </c>
      <c r="AF323" s="103" t="b">
        <v>1</v>
      </c>
    </row>
    <row r="324" spans="1:32" hidden="1" x14ac:dyDescent="0.2">
      <c r="A324" s="103" t="s">
        <v>548</v>
      </c>
      <c r="B324" s="103" t="s">
        <v>1675</v>
      </c>
      <c r="C324" s="103" t="s">
        <v>2553</v>
      </c>
      <c r="E324" s="103" t="s">
        <v>2346</v>
      </c>
      <c r="F324" s="103" t="s">
        <v>2151</v>
      </c>
      <c r="G324" s="103">
        <v>100</v>
      </c>
      <c r="H324" s="103" t="s">
        <v>2168</v>
      </c>
      <c r="I324" s="103" t="s">
        <v>2153</v>
      </c>
      <c r="L324" s="103">
        <v>50</v>
      </c>
      <c r="M324" s="103">
        <v>50</v>
      </c>
      <c r="N324" s="103" t="s">
        <v>2273</v>
      </c>
      <c r="O324" s="103">
        <v>100</v>
      </c>
      <c r="P324" s="103" t="s">
        <v>791</v>
      </c>
      <c r="Q324" s="103" t="s">
        <v>2155</v>
      </c>
      <c r="R324" s="103" t="s">
        <v>2220</v>
      </c>
      <c r="S324" s="103" t="s">
        <v>2238</v>
      </c>
      <c r="U324" s="103">
        <v>51.3</v>
      </c>
      <c r="V324" s="103" t="s">
        <v>2262</v>
      </c>
      <c r="W324" s="103" t="s">
        <v>116</v>
      </c>
      <c r="X324" s="103" t="s">
        <v>1597</v>
      </c>
      <c r="Y324" s="103" t="s">
        <v>1685</v>
      </c>
      <c r="AA324" s="103" t="s">
        <v>2220</v>
      </c>
      <c r="AB324" s="103" t="s">
        <v>71</v>
      </c>
      <c r="AE324" s="103" t="s">
        <v>898</v>
      </c>
      <c r="AF324" s="103" t="b">
        <v>1</v>
      </c>
    </row>
    <row r="325" spans="1:32" hidden="1" x14ac:dyDescent="0.2">
      <c r="A325" s="103" t="s">
        <v>550</v>
      </c>
      <c r="B325" s="103" t="s">
        <v>549</v>
      </c>
      <c r="D325" s="103" t="s">
        <v>2554</v>
      </c>
      <c r="E325" s="103" t="s">
        <v>935</v>
      </c>
      <c r="G325" s="103">
        <v>110</v>
      </c>
      <c r="H325" s="103" t="s">
        <v>2152</v>
      </c>
      <c r="I325" s="103" t="s">
        <v>2153</v>
      </c>
      <c r="K325" s="103">
        <v>36.700000000000003</v>
      </c>
      <c r="L325" s="103">
        <v>36.700000000000003</v>
      </c>
      <c r="M325" s="103">
        <v>36.6</v>
      </c>
      <c r="N325" s="103" t="s">
        <v>2163</v>
      </c>
      <c r="O325" s="103">
        <v>110</v>
      </c>
      <c r="P325" s="103" t="s">
        <v>1639</v>
      </c>
      <c r="Q325" s="103" t="s">
        <v>2155</v>
      </c>
      <c r="R325" s="103" t="s">
        <v>2225</v>
      </c>
      <c r="S325" s="103" t="s">
        <v>2192</v>
      </c>
      <c r="U325" s="103">
        <v>56.43</v>
      </c>
      <c r="V325" s="103" t="s">
        <v>2158</v>
      </c>
      <c r="W325" s="103" t="s">
        <v>113</v>
      </c>
      <c r="X325" s="103" t="s">
        <v>1597</v>
      </c>
      <c r="Y325" s="103" t="s">
        <v>1685</v>
      </c>
      <c r="AA325" s="103" t="s">
        <v>2225</v>
      </c>
      <c r="AB325" s="103" t="s">
        <v>64</v>
      </c>
      <c r="AE325" s="103" t="s">
        <v>933</v>
      </c>
      <c r="AF325" s="103" t="b">
        <v>1</v>
      </c>
    </row>
    <row r="326" spans="1:32" hidden="1" x14ac:dyDescent="0.2">
      <c r="A326" s="103" t="s">
        <v>552</v>
      </c>
      <c r="B326" s="103" t="s">
        <v>551</v>
      </c>
      <c r="C326" s="103" t="s">
        <v>2555</v>
      </c>
      <c r="D326" s="103" t="s">
        <v>2556</v>
      </c>
      <c r="E326" s="103" t="s">
        <v>2495</v>
      </c>
      <c r="G326" s="103">
        <v>50</v>
      </c>
      <c r="H326" s="103" t="s">
        <v>2152</v>
      </c>
      <c r="I326" s="103" t="s">
        <v>2153</v>
      </c>
      <c r="J326" s="103">
        <v>50</v>
      </c>
      <c r="N326" s="103" t="s">
        <v>2163</v>
      </c>
      <c r="O326" s="103">
        <v>50</v>
      </c>
      <c r="P326" s="103" t="s">
        <v>839</v>
      </c>
      <c r="Q326" s="103" t="s">
        <v>2155</v>
      </c>
      <c r="R326" s="103" t="s">
        <v>2225</v>
      </c>
      <c r="S326" s="103" t="s">
        <v>2422</v>
      </c>
      <c r="U326" s="103">
        <v>25.65</v>
      </c>
      <c r="V326" s="103" t="s">
        <v>2158</v>
      </c>
      <c r="W326" s="103" t="s">
        <v>117</v>
      </c>
      <c r="X326" s="103" t="s">
        <v>1597</v>
      </c>
      <c r="Y326" s="103" t="s">
        <v>1685</v>
      </c>
      <c r="AA326" s="103" t="s">
        <v>2225</v>
      </c>
      <c r="AB326" s="103" t="s">
        <v>95</v>
      </c>
      <c r="AE326" s="103" t="s">
        <v>1473</v>
      </c>
      <c r="AF326" s="103" t="b">
        <v>1</v>
      </c>
    </row>
    <row r="327" spans="1:32" hidden="1" x14ac:dyDescent="0.2">
      <c r="A327" s="103" t="s">
        <v>552</v>
      </c>
      <c r="B327" s="103" t="s">
        <v>551</v>
      </c>
      <c r="C327" s="103" t="s">
        <v>2555</v>
      </c>
      <c r="D327" s="103" t="s">
        <v>2556</v>
      </c>
      <c r="E327" s="103" t="s">
        <v>2498</v>
      </c>
      <c r="G327" s="103">
        <v>50</v>
      </c>
      <c r="H327" s="103" t="s">
        <v>2152</v>
      </c>
      <c r="I327" s="103" t="s">
        <v>2153</v>
      </c>
      <c r="J327" s="103">
        <v>50</v>
      </c>
      <c r="N327" s="103" t="s">
        <v>2163</v>
      </c>
      <c r="O327" s="103">
        <v>50</v>
      </c>
      <c r="P327" s="103" t="s">
        <v>839</v>
      </c>
      <c r="Q327" s="103" t="s">
        <v>2155</v>
      </c>
      <c r="R327" s="103" t="s">
        <v>2225</v>
      </c>
      <c r="S327" s="103" t="s">
        <v>2422</v>
      </c>
      <c r="U327" s="103">
        <v>25.65</v>
      </c>
      <c r="V327" s="103" t="s">
        <v>2158</v>
      </c>
      <c r="W327" s="103" t="s">
        <v>119</v>
      </c>
      <c r="X327" s="103" t="s">
        <v>1597</v>
      </c>
      <c r="Y327" s="103" t="s">
        <v>1685</v>
      </c>
      <c r="AA327" s="103" t="s">
        <v>2225</v>
      </c>
      <c r="AB327" s="103" t="s">
        <v>95</v>
      </c>
      <c r="AE327" s="103" t="s">
        <v>1473</v>
      </c>
      <c r="AF327" s="103" t="b">
        <v>1</v>
      </c>
    </row>
    <row r="328" spans="1:32" hidden="1" x14ac:dyDescent="0.2">
      <c r="A328" s="103" t="s">
        <v>552</v>
      </c>
      <c r="B328" s="103" t="s">
        <v>551</v>
      </c>
      <c r="C328" s="103" t="s">
        <v>2555</v>
      </c>
      <c r="D328" s="103" t="s">
        <v>2556</v>
      </c>
      <c r="E328" s="103" t="s">
        <v>2250</v>
      </c>
      <c r="G328" s="103">
        <v>50</v>
      </c>
      <c r="H328" s="103" t="s">
        <v>2152</v>
      </c>
      <c r="I328" s="103" t="s">
        <v>2153</v>
      </c>
      <c r="J328" s="103">
        <v>50</v>
      </c>
      <c r="N328" s="103" t="s">
        <v>2163</v>
      </c>
      <c r="O328" s="103">
        <v>50</v>
      </c>
      <c r="P328" s="103" t="s">
        <v>839</v>
      </c>
      <c r="Q328" s="103" t="s">
        <v>2155</v>
      </c>
      <c r="R328" s="103" t="s">
        <v>125</v>
      </c>
      <c r="S328" s="103" t="s">
        <v>2422</v>
      </c>
      <c r="U328" s="103">
        <v>25.65</v>
      </c>
      <c r="V328" s="103" t="s">
        <v>2158</v>
      </c>
      <c r="W328" s="103" t="s">
        <v>119</v>
      </c>
      <c r="X328" s="103" t="s">
        <v>1597</v>
      </c>
      <c r="Y328" s="103" t="s">
        <v>1685</v>
      </c>
      <c r="AA328" s="103" t="s">
        <v>125</v>
      </c>
      <c r="AB328" s="103" t="s">
        <v>95</v>
      </c>
      <c r="AE328" s="103" t="s">
        <v>1473</v>
      </c>
      <c r="AF328" s="103" t="b">
        <v>1</v>
      </c>
    </row>
    <row r="329" spans="1:32" hidden="1" x14ac:dyDescent="0.2">
      <c r="A329" s="103" t="s">
        <v>555</v>
      </c>
      <c r="B329" s="103" t="s">
        <v>554</v>
      </c>
      <c r="C329" s="103" t="s">
        <v>2532</v>
      </c>
      <c r="D329" s="103" t="s">
        <v>2557</v>
      </c>
      <c r="G329" s="103">
        <v>0</v>
      </c>
      <c r="H329" s="103" t="s">
        <v>2168</v>
      </c>
      <c r="I329" s="103" t="s">
        <v>2153</v>
      </c>
      <c r="N329" s="103" t="s">
        <v>2163</v>
      </c>
      <c r="O329" s="103">
        <v>0</v>
      </c>
      <c r="R329" s="103">
        <v>0</v>
      </c>
      <c r="U329" s="103">
        <v>0</v>
      </c>
      <c r="V329" s="103" t="s">
        <v>2416</v>
      </c>
      <c r="W329" s="103">
        <v>0</v>
      </c>
      <c r="X329" s="103" t="s">
        <v>1597</v>
      </c>
      <c r="Y329" s="103" t="s">
        <v>1685</v>
      </c>
      <c r="AA329" s="103">
        <v>0</v>
      </c>
      <c r="AB329" s="103" t="s">
        <v>71</v>
      </c>
      <c r="AE329" s="103" t="s">
        <v>1618</v>
      </c>
      <c r="AF329" s="103" t="b">
        <v>1</v>
      </c>
    </row>
    <row r="330" spans="1:32" hidden="1" x14ac:dyDescent="0.2">
      <c r="A330" s="103" t="s">
        <v>555</v>
      </c>
      <c r="B330" s="103" t="s">
        <v>554</v>
      </c>
      <c r="C330" s="103" t="s">
        <v>2532</v>
      </c>
      <c r="D330" s="103" t="s">
        <v>2558</v>
      </c>
      <c r="E330" s="103" t="s">
        <v>2249</v>
      </c>
      <c r="F330" s="103" t="s">
        <v>2162</v>
      </c>
      <c r="G330" s="103">
        <v>50</v>
      </c>
      <c r="H330" s="103" t="s">
        <v>2168</v>
      </c>
      <c r="I330" s="103" t="s">
        <v>2153</v>
      </c>
      <c r="K330" s="103">
        <v>50</v>
      </c>
      <c r="N330" s="103" t="s">
        <v>2163</v>
      </c>
      <c r="O330" s="103">
        <v>50</v>
      </c>
      <c r="P330" s="103" t="s">
        <v>839</v>
      </c>
      <c r="R330" s="103" t="s">
        <v>2164</v>
      </c>
      <c r="U330" s="103">
        <v>30</v>
      </c>
      <c r="V330" s="103" t="s">
        <v>2158</v>
      </c>
      <c r="W330" s="103" t="s">
        <v>132</v>
      </c>
      <c r="X330" s="103" t="s">
        <v>1597</v>
      </c>
      <c r="Y330" s="103" t="s">
        <v>1685</v>
      </c>
      <c r="AA330" s="103" t="s">
        <v>2164</v>
      </c>
      <c r="AB330" s="103" t="s">
        <v>71</v>
      </c>
      <c r="AE330" s="103" t="s">
        <v>1618</v>
      </c>
      <c r="AF330" s="103" t="b">
        <v>1</v>
      </c>
    </row>
    <row r="331" spans="1:32" hidden="1" x14ac:dyDescent="0.2">
      <c r="A331" s="103" t="s">
        <v>555</v>
      </c>
      <c r="B331" s="103" t="s">
        <v>554</v>
      </c>
      <c r="C331" s="103" t="s">
        <v>2532</v>
      </c>
      <c r="D331" s="103" t="s">
        <v>2558</v>
      </c>
      <c r="E331" s="103" t="s">
        <v>2495</v>
      </c>
      <c r="G331" s="103">
        <v>150</v>
      </c>
      <c r="H331" s="103" t="s">
        <v>2152</v>
      </c>
      <c r="I331" s="103" t="s">
        <v>2153</v>
      </c>
      <c r="J331" s="103">
        <v>65</v>
      </c>
      <c r="K331" s="103">
        <v>35</v>
      </c>
      <c r="L331" s="103">
        <v>25</v>
      </c>
      <c r="M331" s="103">
        <v>25</v>
      </c>
      <c r="N331" s="103" t="s">
        <v>2163</v>
      </c>
      <c r="O331" s="103">
        <v>150</v>
      </c>
      <c r="P331" s="103" t="s">
        <v>839</v>
      </c>
      <c r="Q331" s="103" t="s">
        <v>2155</v>
      </c>
      <c r="R331" s="103" t="s">
        <v>2225</v>
      </c>
      <c r="S331" s="103" t="s">
        <v>2157</v>
      </c>
      <c r="U331" s="103">
        <v>76.95</v>
      </c>
      <c r="V331" s="103" t="s">
        <v>2158</v>
      </c>
      <c r="W331" s="103" t="s">
        <v>117</v>
      </c>
      <c r="X331" s="103" t="s">
        <v>1597</v>
      </c>
      <c r="Y331" s="103" t="s">
        <v>1685</v>
      </c>
      <c r="AA331" s="103" t="s">
        <v>2225</v>
      </c>
      <c r="AB331" s="103" t="s">
        <v>71</v>
      </c>
      <c r="AE331" s="103" t="s">
        <v>1618</v>
      </c>
      <c r="AF331" s="103" t="b">
        <v>1</v>
      </c>
    </row>
    <row r="332" spans="1:32" hidden="1" x14ac:dyDescent="0.2">
      <c r="A332" s="103" t="s">
        <v>3831</v>
      </c>
      <c r="B332" s="103" t="s">
        <v>3815</v>
      </c>
      <c r="C332" s="103" t="s">
        <v>2116</v>
      </c>
      <c r="D332" s="103" t="s">
        <v>2559</v>
      </c>
      <c r="E332" s="103" t="s">
        <v>2477</v>
      </c>
      <c r="G332" s="103">
        <v>157</v>
      </c>
      <c r="H332" s="103" t="s">
        <v>2152</v>
      </c>
      <c r="I332" s="103" t="s">
        <v>2153</v>
      </c>
      <c r="J332" s="103">
        <v>40</v>
      </c>
      <c r="K332" s="103">
        <v>40</v>
      </c>
      <c r="L332" s="103">
        <v>40</v>
      </c>
      <c r="M332" s="103">
        <v>37</v>
      </c>
      <c r="N332" s="103" t="s">
        <v>2163</v>
      </c>
      <c r="O332" s="103">
        <v>157</v>
      </c>
      <c r="P332" s="103" t="s">
        <v>1694</v>
      </c>
      <c r="Q332" s="103" t="s">
        <v>1393</v>
      </c>
      <c r="R332" s="103" t="s">
        <v>121</v>
      </c>
      <c r="S332" s="103" t="s">
        <v>2192</v>
      </c>
      <c r="U332" s="103">
        <v>80.540999999999997</v>
      </c>
      <c r="V332" s="103" t="s">
        <v>2158</v>
      </c>
      <c r="W332" s="103" t="s">
        <v>121</v>
      </c>
      <c r="X332" s="103" t="s">
        <v>345</v>
      </c>
      <c r="Y332" s="103" t="s">
        <v>2240</v>
      </c>
      <c r="AA332" s="103" t="s">
        <v>121</v>
      </c>
      <c r="AB332" s="103" t="s">
        <v>64</v>
      </c>
      <c r="AE332" s="103" t="s">
        <v>750</v>
      </c>
      <c r="AF332" s="103" t="b">
        <v>1</v>
      </c>
    </row>
    <row r="333" spans="1:32" hidden="1" x14ac:dyDescent="0.2">
      <c r="A333" s="103" t="s">
        <v>3831</v>
      </c>
      <c r="B333" s="103" t="s">
        <v>3815</v>
      </c>
      <c r="C333" s="103" t="s">
        <v>2560</v>
      </c>
      <c r="D333" s="103" t="s">
        <v>2561</v>
      </c>
      <c r="E333" s="103" t="s">
        <v>2562</v>
      </c>
      <c r="F333" s="103" t="s">
        <v>2151</v>
      </c>
      <c r="G333" s="103">
        <v>100</v>
      </c>
      <c r="H333" s="103" t="s">
        <v>2168</v>
      </c>
      <c r="I333" s="103" t="s">
        <v>2153</v>
      </c>
      <c r="J333" s="103">
        <v>0</v>
      </c>
      <c r="K333" s="103">
        <v>100</v>
      </c>
      <c r="L333" s="103">
        <v>0</v>
      </c>
      <c r="M333" s="103">
        <v>0</v>
      </c>
      <c r="N333" s="103" t="s">
        <v>2163</v>
      </c>
      <c r="O333" s="103">
        <v>100</v>
      </c>
      <c r="P333" s="103" t="s">
        <v>1617</v>
      </c>
      <c r="Q333" s="103" t="s">
        <v>1393</v>
      </c>
      <c r="R333" s="103" t="s">
        <v>2225</v>
      </c>
      <c r="S333" s="103" t="s">
        <v>2238</v>
      </c>
      <c r="U333" s="103">
        <v>48.3</v>
      </c>
      <c r="V333" s="103" t="s">
        <v>2158</v>
      </c>
      <c r="W333" s="103" t="s">
        <v>106</v>
      </c>
      <c r="X333" s="103" t="s">
        <v>345</v>
      </c>
      <c r="Y333" s="103" t="s">
        <v>2240</v>
      </c>
      <c r="AA333" s="103" t="s">
        <v>2225</v>
      </c>
      <c r="AB333" s="103" t="s">
        <v>64</v>
      </c>
      <c r="AE333" s="103" t="s">
        <v>750</v>
      </c>
      <c r="AF333" s="103" t="b">
        <v>1</v>
      </c>
    </row>
    <row r="334" spans="1:32" hidden="1" x14ac:dyDescent="0.2">
      <c r="A334" s="103" t="s">
        <v>3831</v>
      </c>
      <c r="B334" s="103" t="s">
        <v>3815</v>
      </c>
      <c r="C334" s="103" t="s">
        <v>2560</v>
      </c>
      <c r="D334" s="103" t="s">
        <v>2563</v>
      </c>
      <c r="E334" s="103" t="s">
        <v>125</v>
      </c>
      <c r="F334" s="103" t="s">
        <v>2151</v>
      </c>
      <c r="G334" s="103">
        <v>150</v>
      </c>
      <c r="H334" s="103" t="s">
        <v>2152</v>
      </c>
      <c r="I334" s="103" t="s">
        <v>2153</v>
      </c>
      <c r="J334" s="103">
        <v>75</v>
      </c>
      <c r="K334" s="103">
        <v>75</v>
      </c>
      <c r="N334" s="103" t="s">
        <v>2163</v>
      </c>
      <c r="O334" s="103">
        <v>150</v>
      </c>
      <c r="P334" s="103" t="s">
        <v>1617</v>
      </c>
      <c r="Q334" s="103" t="s">
        <v>1393</v>
      </c>
      <c r="R334" s="103" t="s">
        <v>2164</v>
      </c>
      <c r="U334" s="103">
        <v>90</v>
      </c>
      <c r="V334" s="103" t="s">
        <v>2158</v>
      </c>
      <c r="W334" s="103" t="s">
        <v>125</v>
      </c>
      <c r="X334" s="103" t="s">
        <v>345</v>
      </c>
      <c r="Y334" s="103" t="s">
        <v>2240</v>
      </c>
      <c r="AA334" s="103" t="s">
        <v>2164</v>
      </c>
      <c r="AB334" s="103" t="s">
        <v>64</v>
      </c>
      <c r="AE334" s="103" t="s">
        <v>750</v>
      </c>
      <c r="AF334" s="103" t="b">
        <v>1</v>
      </c>
    </row>
    <row r="335" spans="1:32" hidden="1" x14ac:dyDescent="0.2">
      <c r="A335" s="103" t="s">
        <v>3831</v>
      </c>
      <c r="B335" s="103" t="s">
        <v>3815</v>
      </c>
      <c r="C335" s="103" t="s">
        <v>2560</v>
      </c>
      <c r="D335" s="103" t="s">
        <v>2564</v>
      </c>
      <c r="E335" s="103" t="s">
        <v>2562</v>
      </c>
      <c r="F335" s="103" t="s">
        <v>2202</v>
      </c>
      <c r="G335" s="103">
        <v>250</v>
      </c>
      <c r="H335" s="103" t="s">
        <v>2152</v>
      </c>
      <c r="I335" s="103" t="s">
        <v>2153</v>
      </c>
      <c r="J335" s="103">
        <v>0</v>
      </c>
      <c r="K335" s="103">
        <v>0</v>
      </c>
      <c r="L335" s="103">
        <v>125</v>
      </c>
      <c r="M335" s="103">
        <v>125</v>
      </c>
      <c r="N335" s="103" t="s">
        <v>2154</v>
      </c>
      <c r="O335" s="103">
        <v>250</v>
      </c>
      <c r="P335" s="103" t="s">
        <v>1617</v>
      </c>
      <c r="Q335" s="103" t="s">
        <v>1393</v>
      </c>
      <c r="R335" s="103" t="s">
        <v>2225</v>
      </c>
      <c r="S335" s="103" t="s">
        <v>2238</v>
      </c>
      <c r="U335" s="103">
        <v>120.75</v>
      </c>
      <c r="V335" s="103" t="s">
        <v>2158</v>
      </c>
      <c r="W335" s="103" t="s">
        <v>106</v>
      </c>
      <c r="X335" s="103" t="s">
        <v>345</v>
      </c>
      <c r="Y335" s="103" t="s">
        <v>2240</v>
      </c>
      <c r="AA335" s="103" t="s">
        <v>2225</v>
      </c>
      <c r="AB335" s="103" t="s">
        <v>64</v>
      </c>
      <c r="AE335" s="103" t="s">
        <v>750</v>
      </c>
      <c r="AF335" s="103" t="b">
        <v>1</v>
      </c>
    </row>
    <row r="336" spans="1:32" hidden="1" x14ac:dyDescent="0.2">
      <c r="A336" s="103" t="s">
        <v>3831</v>
      </c>
      <c r="B336" s="103" t="s">
        <v>3815</v>
      </c>
      <c r="C336" s="103" t="s">
        <v>2560</v>
      </c>
      <c r="D336" s="103" t="s">
        <v>2565</v>
      </c>
      <c r="E336" s="103" t="s">
        <v>2562</v>
      </c>
      <c r="F336" s="103" t="s">
        <v>2202</v>
      </c>
      <c r="G336" s="103">
        <v>200</v>
      </c>
      <c r="H336" s="103" t="s">
        <v>2168</v>
      </c>
      <c r="I336" s="103" t="s">
        <v>2153</v>
      </c>
      <c r="J336" s="103">
        <v>0</v>
      </c>
      <c r="K336" s="103">
        <v>0</v>
      </c>
      <c r="L336" s="103">
        <v>0</v>
      </c>
      <c r="M336" s="103">
        <v>200</v>
      </c>
      <c r="N336" s="103" t="s">
        <v>2154</v>
      </c>
      <c r="O336" s="103">
        <v>200</v>
      </c>
      <c r="P336" s="103" t="s">
        <v>1617</v>
      </c>
      <c r="Q336" s="103" t="s">
        <v>1393</v>
      </c>
      <c r="R336" s="103" t="s">
        <v>2225</v>
      </c>
      <c r="S336" s="103" t="s">
        <v>2238</v>
      </c>
      <c r="U336" s="103">
        <v>96.6</v>
      </c>
      <c r="V336" s="103" t="s">
        <v>2158</v>
      </c>
      <c r="W336" s="103" t="s">
        <v>106</v>
      </c>
      <c r="X336" s="103" t="s">
        <v>345</v>
      </c>
      <c r="Y336" s="103" t="s">
        <v>2240</v>
      </c>
      <c r="AA336" s="103" t="s">
        <v>2225</v>
      </c>
      <c r="AB336" s="103" t="s">
        <v>64</v>
      </c>
      <c r="AE336" s="103" t="s">
        <v>750</v>
      </c>
      <c r="AF336" s="103" t="b">
        <v>1</v>
      </c>
    </row>
    <row r="337" spans="1:32" hidden="1" x14ac:dyDescent="0.2">
      <c r="A337" s="103" t="s">
        <v>3831</v>
      </c>
      <c r="B337" s="103" t="s">
        <v>3815</v>
      </c>
      <c r="C337" s="103" t="s">
        <v>2560</v>
      </c>
      <c r="D337" s="103" t="s">
        <v>2566</v>
      </c>
      <c r="E337" s="103" t="s">
        <v>2562</v>
      </c>
      <c r="F337" s="103" t="s">
        <v>2162</v>
      </c>
      <c r="G337" s="103">
        <v>100</v>
      </c>
      <c r="H337" s="103" t="s">
        <v>2152</v>
      </c>
      <c r="I337" s="103" t="s">
        <v>2153</v>
      </c>
      <c r="J337" s="103">
        <v>0</v>
      </c>
      <c r="K337" s="103">
        <v>0</v>
      </c>
      <c r="L337" s="103">
        <v>100</v>
      </c>
      <c r="M337" s="103">
        <v>0</v>
      </c>
      <c r="N337" s="103" t="s">
        <v>2163</v>
      </c>
      <c r="O337" s="103">
        <v>100</v>
      </c>
      <c r="P337" s="103" t="s">
        <v>1617</v>
      </c>
      <c r="Q337" s="103" t="s">
        <v>1393</v>
      </c>
      <c r="R337" s="103" t="s">
        <v>2225</v>
      </c>
      <c r="S337" s="103" t="s">
        <v>2238</v>
      </c>
      <c r="U337" s="103">
        <v>48.3</v>
      </c>
      <c r="V337" s="103" t="s">
        <v>2158</v>
      </c>
      <c r="W337" s="103" t="s">
        <v>106</v>
      </c>
      <c r="X337" s="103" t="s">
        <v>345</v>
      </c>
      <c r="Y337" s="103" t="s">
        <v>2240</v>
      </c>
      <c r="AA337" s="103" t="s">
        <v>2225</v>
      </c>
      <c r="AB337" s="103" t="s">
        <v>64</v>
      </c>
      <c r="AE337" s="103" t="s">
        <v>750</v>
      </c>
      <c r="AF337" s="103" t="b">
        <v>1</v>
      </c>
    </row>
    <row r="338" spans="1:32" hidden="1" x14ac:dyDescent="0.2">
      <c r="A338" s="103" t="s">
        <v>3831</v>
      </c>
      <c r="B338" s="103" t="s">
        <v>3815</v>
      </c>
      <c r="C338" s="103" t="s">
        <v>2560</v>
      </c>
      <c r="D338" s="103" t="s">
        <v>2567</v>
      </c>
      <c r="E338" s="103" t="s">
        <v>2562</v>
      </c>
      <c r="F338" s="103" t="s">
        <v>2175</v>
      </c>
      <c r="G338" s="103">
        <v>20</v>
      </c>
      <c r="H338" s="103" t="s">
        <v>2168</v>
      </c>
      <c r="I338" s="103" t="s">
        <v>2153</v>
      </c>
      <c r="J338" s="103">
        <v>20</v>
      </c>
      <c r="K338" s="103">
        <v>0</v>
      </c>
      <c r="L338" s="103">
        <v>0</v>
      </c>
      <c r="M338" s="103">
        <v>0</v>
      </c>
      <c r="N338" s="103" t="s">
        <v>2163</v>
      </c>
      <c r="O338" s="103">
        <v>20</v>
      </c>
      <c r="P338" s="103" t="s">
        <v>1617</v>
      </c>
      <c r="Q338" s="103" t="s">
        <v>1393</v>
      </c>
      <c r="R338" s="103" t="s">
        <v>2225</v>
      </c>
      <c r="S338" s="103" t="s">
        <v>2238</v>
      </c>
      <c r="U338" s="103">
        <v>9.66</v>
      </c>
      <c r="V338" s="103" t="s">
        <v>2158</v>
      </c>
      <c r="W338" s="103" t="s">
        <v>106</v>
      </c>
      <c r="X338" s="103" t="s">
        <v>345</v>
      </c>
      <c r="Y338" s="103" t="s">
        <v>2240</v>
      </c>
      <c r="AA338" s="103" t="s">
        <v>2225</v>
      </c>
      <c r="AB338" s="103" t="s">
        <v>64</v>
      </c>
      <c r="AE338" s="103" t="s">
        <v>750</v>
      </c>
      <c r="AF338" s="103" t="b">
        <v>1</v>
      </c>
    </row>
    <row r="339" spans="1:32" hidden="1" x14ac:dyDescent="0.2">
      <c r="A339" s="103" t="s">
        <v>3831</v>
      </c>
      <c r="B339" s="103" t="s">
        <v>3815</v>
      </c>
      <c r="C339" s="103" t="s">
        <v>2560</v>
      </c>
      <c r="D339" s="103" t="s">
        <v>2568</v>
      </c>
      <c r="E339" s="103" t="s">
        <v>2562</v>
      </c>
      <c r="F339" s="103" t="s">
        <v>2202</v>
      </c>
      <c r="G339" s="103">
        <v>250</v>
      </c>
      <c r="H339" s="103" t="s">
        <v>2152</v>
      </c>
      <c r="I339" s="103" t="s">
        <v>2153</v>
      </c>
      <c r="J339" s="103">
        <v>0</v>
      </c>
      <c r="L339" s="103">
        <v>50</v>
      </c>
      <c r="M339" s="103">
        <v>200</v>
      </c>
      <c r="N339" s="103" t="s">
        <v>2163</v>
      </c>
      <c r="O339" s="103">
        <v>250</v>
      </c>
      <c r="P339" s="103" t="s">
        <v>1617</v>
      </c>
      <c r="Q339" s="103" t="s">
        <v>1393</v>
      </c>
      <c r="R339" s="103" t="s">
        <v>2225</v>
      </c>
      <c r="S339" s="103" t="s">
        <v>2238</v>
      </c>
      <c r="U339" s="103">
        <v>120.75</v>
      </c>
      <c r="V339" s="103" t="s">
        <v>2158</v>
      </c>
      <c r="W339" s="103" t="s">
        <v>106</v>
      </c>
      <c r="X339" s="103" t="s">
        <v>345</v>
      </c>
      <c r="Y339" s="103" t="s">
        <v>2240</v>
      </c>
      <c r="AA339" s="103" t="s">
        <v>2225</v>
      </c>
      <c r="AB339" s="103" t="s">
        <v>64</v>
      </c>
      <c r="AE339" s="103" t="s">
        <v>750</v>
      </c>
      <c r="AF339" s="103" t="b">
        <v>1</v>
      </c>
    </row>
    <row r="340" spans="1:32" hidden="1" x14ac:dyDescent="0.2">
      <c r="A340" s="103" t="s">
        <v>3831</v>
      </c>
      <c r="B340" s="103" t="s">
        <v>3815</v>
      </c>
      <c r="C340" s="103" t="s">
        <v>2560</v>
      </c>
      <c r="D340" s="103" t="s">
        <v>2569</v>
      </c>
      <c r="E340" s="103" t="s">
        <v>2570</v>
      </c>
      <c r="F340" s="103" t="s">
        <v>2202</v>
      </c>
      <c r="G340" s="103">
        <v>250</v>
      </c>
      <c r="H340" s="103" t="s">
        <v>2152</v>
      </c>
      <c r="I340" s="103" t="s">
        <v>2153</v>
      </c>
      <c r="J340" s="103">
        <v>125</v>
      </c>
      <c r="K340" s="103">
        <v>125</v>
      </c>
      <c r="N340" s="103" t="s">
        <v>2163</v>
      </c>
      <c r="O340" s="103">
        <v>250</v>
      </c>
      <c r="P340" s="103" t="s">
        <v>1617</v>
      </c>
      <c r="R340" s="103" t="s">
        <v>2164</v>
      </c>
      <c r="U340" s="103">
        <v>150</v>
      </c>
      <c r="V340" s="103" t="s">
        <v>2158</v>
      </c>
      <c r="W340" s="103" t="s">
        <v>124</v>
      </c>
      <c r="X340" s="103" t="s">
        <v>345</v>
      </c>
      <c r="Y340" s="103" t="s">
        <v>2240</v>
      </c>
      <c r="AA340" s="103" t="s">
        <v>2164</v>
      </c>
      <c r="AB340" s="103" t="s">
        <v>64</v>
      </c>
      <c r="AE340" s="103" t="s">
        <v>750</v>
      </c>
      <c r="AF340" s="103" t="b">
        <v>1</v>
      </c>
    </row>
    <row r="341" spans="1:32" hidden="1" x14ac:dyDescent="0.2">
      <c r="A341" s="103" t="s">
        <v>3831</v>
      </c>
      <c r="B341" s="103" t="s">
        <v>3815</v>
      </c>
      <c r="C341" s="103" t="s">
        <v>2560</v>
      </c>
      <c r="D341" s="103" t="s">
        <v>2571</v>
      </c>
      <c r="E341" s="103" t="s">
        <v>2562</v>
      </c>
      <c r="F341" s="103" t="s">
        <v>2162</v>
      </c>
      <c r="G341" s="103">
        <v>50</v>
      </c>
      <c r="H341" s="103" t="s">
        <v>2168</v>
      </c>
      <c r="I341" s="103" t="s">
        <v>2153</v>
      </c>
      <c r="K341" s="103">
        <v>50</v>
      </c>
      <c r="N341" s="103" t="s">
        <v>2163</v>
      </c>
      <c r="O341" s="103">
        <v>50</v>
      </c>
      <c r="P341" s="103" t="s">
        <v>1617</v>
      </c>
      <c r="Q341" s="103" t="s">
        <v>1393</v>
      </c>
      <c r="R341" s="103" t="s">
        <v>2225</v>
      </c>
      <c r="S341" s="103" t="s">
        <v>2238</v>
      </c>
      <c r="U341" s="103">
        <v>24.15</v>
      </c>
      <c r="V341" s="103" t="s">
        <v>2158</v>
      </c>
      <c r="W341" s="103" t="s">
        <v>106</v>
      </c>
      <c r="X341" s="103" t="s">
        <v>345</v>
      </c>
      <c r="Y341" s="103" t="s">
        <v>2240</v>
      </c>
      <c r="AA341" s="103" t="s">
        <v>2225</v>
      </c>
      <c r="AB341" s="103" t="s">
        <v>64</v>
      </c>
      <c r="AE341" s="103" t="s">
        <v>750</v>
      </c>
      <c r="AF341" s="103" t="b">
        <v>1</v>
      </c>
    </row>
    <row r="342" spans="1:32" hidden="1" x14ac:dyDescent="0.2">
      <c r="A342" s="103" t="s">
        <v>3831</v>
      </c>
      <c r="B342" s="103" t="s">
        <v>3815</v>
      </c>
      <c r="C342" s="103" t="s">
        <v>2560</v>
      </c>
      <c r="D342" s="103" t="s">
        <v>2572</v>
      </c>
      <c r="E342" s="103" t="s">
        <v>2570</v>
      </c>
      <c r="F342" s="103" t="s">
        <v>2162</v>
      </c>
      <c r="G342" s="103">
        <v>70</v>
      </c>
      <c r="H342" s="103" t="s">
        <v>2152</v>
      </c>
      <c r="I342" s="103" t="s">
        <v>2153</v>
      </c>
      <c r="J342" s="103">
        <v>70</v>
      </c>
      <c r="N342" s="103" t="s">
        <v>2163</v>
      </c>
      <c r="O342" s="103">
        <v>70</v>
      </c>
      <c r="P342" s="103" t="s">
        <v>1694</v>
      </c>
      <c r="R342" s="103" t="s">
        <v>2164</v>
      </c>
      <c r="S342" s="103" t="s">
        <v>2192</v>
      </c>
      <c r="U342" s="103">
        <v>42</v>
      </c>
      <c r="V342" s="103" t="s">
        <v>2158</v>
      </c>
      <c r="W342" s="103" t="s">
        <v>124</v>
      </c>
      <c r="X342" s="103" t="s">
        <v>345</v>
      </c>
      <c r="Y342" s="103" t="s">
        <v>2240</v>
      </c>
      <c r="AA342" s="103" t="s">
        <v>2164</v>
      </c>
      <c r="AB342" s="103" t="s">
        <v>64</v>
      </c>
      <c r="AE342" s="103" t="s">
        <v>750</v>
      </c>
      <c r="AF342" s="103" t="b">
        <v>1</v>
      </c>
    </row>
    <row r="343" spans="1:32" hidden="1" x14ac:dyDescent="0.2">
      <c r="A343" s="103" t="s">
        <v>3831</v>
      </c>
      <c r="B343" s="103" t="s">
        <v>3815</v>
      </c>
      <c r="C343" s="103" t="s">
        <v>2560</v>
      </c>
      <c r="D343" s="103" t="s">
        <v>2428</v>
      </c>
      <c r="E343" s="103" t="s">
        <v>2249</v>
      </c>
      <c r="F343" s="103" t="s">
        <v>2162</v>
      </c>
      <c r="G343" s="103">
        <v>50</v>
      </c>
      <c r="H343" s="103" t="s">
        <v>2168</v>
      </c>
      <c r="I343" s="103" t="s">
        <v>2153</v>
      </c>
      <c r="J343" s="103">
        <v>12</v>
      </c>
      <c r="K343" s="103">
        <v>13</v>
      </c>
      <c r="L343" s="103">
        <v>12</v>
      </c>
      <c r="M343" s="103">
        <v>13</v>
      </c>
      <c r="N343" s="103" t="s">
        <v>2163</v>
      </c>
      <c r="O343" s="103">
        <v>50</v>
      </c>
      <c r="P343" s="103" t="s">
        <v>1617</v>
      </c>
      <c r="Q343" s="103" t="s">
        <v>1393</v>
      </c>
      <c r="R343" s="103" t="s">
        <v>2164</v>
      </c>
      <c r="U343" s="103">
        <v>30</v>
      </c>
      <c r="V343" s="103" t="s">
        <v>2158</v>
      </c>
      <c r="W343" s="103" t="s">
        <v>132</v>
      </c>
      <c r="X343" s="103" t="s">
        <v>345</v>
      </c>
      <c r="Y343" s="103" t="s">
        <v>2240</v>
      </c>
      <c r="AA343" s="103" t="s">
        <v>2164</v>
      </c>
      <c r="AB343" s="103" t="s">
        <v>64</v>
      </c>
      <c r="AE343" s="103" t="s">
        <v>750</v>
      </c>
      <c r="AF343" s="103" t="b">
        <v>1</v>
      </c>
    </row>
    <row r="344" spans="1:32" hidden="1" x14ac:dyDescent="0.2">
      <c r="A344" s="103" t="s">
        <v>3831</v>
      </c>
      <c r="B344" s="103" t="s">
        <v>3815</v>
      </c>
      <c r="C344" s="103" t="s">
        <v>2560</v>
      </c>
      <c r="D344" s="103" t="s">
        <v>2573</v>
      </c>
      <c r="E344" s="103" t="s">
        <v>2562</v>
      </c>
      <c r="F344" s="103" t="s">
        <v>2202</v>
      </c>
      <c r="G344" s="103">
        <v>250</v>
      </c>
      <c r="H344" s="103" t="s">
        <v>2152</v>
      </c>
      <c r="I344" s="103" t="s">
        <v>2153</v>
      </c>
      <c r="K344" s="103">
        <v>75</v>
      </c>
      <c r="L344" s="103">
        <v>75</v>
      </c>
      <c r="M344" s="103">
        <v>100</v>
      </c>
      <c r="N344" s="103" t="s">
        <v>2163</v>
      </c>
      <c r="O344" s="103">
        <v>250</v>
      </c>
      <c r="P344" s="103" t="s">
        <v>1617</v>
      </c>
      <c r="Q344" s="103" t="s">
        <v>1393</v>
      </c>
      <c r="R344" s="103" t="s">
        <v>2225</v>
      </c>
      <c r="S344" s="103" t="s">
        <v>2238</v>
      </c>
      <c r="U344" s="103">
        <v>120.75</v>
      </c>
      <c r="V344" s="103" t="s">
        <v>2158</v>
      </c>
      <c r="W344" s="103" t="s">
        <v>106</v>
      </c>
      <c r="X344" s="103" t="s">
        <v>345</v>
      </c>
      <c r="Y344" s="103" t="s">
        <v>2240</v>
      </c>
      <c r="AA344" s="103" t="s">
        <v>2225</v>
      </c>
      <c r="AB344" s="103" t="s">
        <v>64</v>
      </c>
      <c r="AE344" s="103" t="s">
        <v>750</v>
      </c>
      <c r="AF344" s="103" t="b">
        <v>1</v>
      </c>
    </row>
    <row r="345" spans="1:32" hidden="1" x14ac:dyDescent="0.2">
      <c r="A345" s="103" t="s">
        <v>3831</v>
      </c>
      <c r="B345" s="103" t="s">
        <v>3815</v>
      </c>
      <c r="C345" s="103" t="s">
        <v>2116</v>
      </c>
      <c r="D345" s="103" t="s">
        <v>2574</v>
      </c>
      <c r="E345" s="103" t="s">
        <v>2575</v>
      </c>
      <c r="G345" s="103">
        <v>235</v>
      </c>
      <c r="H345" s="103" t="s">
        <v>2152</v>
      </c>
      <c r="I345" s="103" t="s">
        <v>2153</v>
      </c>
      <c r="J345" s="103">
        <v>60</v>
      </c>
      <c r="K345" s="103">
        <v>60</v>
      </c>
      <c r="L345" s="103">
        <v>60</v>
      </c>
      <c r="M345" s="103">
        <v>55</v>
      </c>
      <c r="N345" s="103" t="s">
        <v>2163</v>
      </c>
      <c r="O345" s="103">
        <v>235</v>
      </c>
      <c r="P345" s="103" t="s">
        <v>1694</v>
      </c>
      <c r="R345" s="103" t="s">
        <v>121</v>
      </c>
      <c r="S345" s="103" t="s">
        <v>2192</v>
      </c>
      <c r="U345" s="103">
        <v>120.55500000000001</v>
      </c>
      <c r="V345" s="103" t="s">
        <v>2158</v>
      </c>
      <c r="W345" s="103" t="s">
        <v>121</v>
      </c>
      <c r="X345" s="103" t="s">
        <v>345</v>
      </c>
      <c r="Y345" s="103" t="s">
        <v>2240</v>
      </c>
      <c r="AA345" s="103" t="s">
        <v>121</v>
      </c>
      <c r="AB345" s="103" t="s">
        <v>64</v>
      </c>
      <c r="AE345" s="103" t="s">
        <v>750</v>
      </c>
      <c r="AF345" s="103" t="b">
        <v>1</v>
      </c>
    </row>
    <row r="346" spans="1:32" hidden="1" x14ac:dyDescent="0.2">
      <c r="A346" s="103" t="s">
        <v>3831</v>
      </c>
      <c r="B346" s="103" t="s">
        <v>3815</v>
      </c>
      <c r="C346" s="103" t="s">
        <v>2560</v>
      </c>
      <c r="D346" s="103" t="s">
        <v>2576</v>
      </c>
      <c r="E346" s="103" t="s">
        <v>2562</v>
      </c>
      <c r="F346" s="103" t="s">
        <v>2151</v>
      </c>
      <c r="G346" s="103">
        <v>100</v>
      </c>
      <c r="H346" s="103" t="s">
        <v>2168</v>
      </c>
      <c r="I346" s="103" t="s">
        <v>2153</v>
      </c>
      <c r="J346" s="103">
        <v>0</v>
      </c>
      <c r="K346" s="103">
        <v>0</v>
      </c>
      <c r="L346" s="103">
        <v>100</v>
      </c>
      <c r="M346" s="103">
        <v>0</v>
      </c>
      <c r="N346" s="103" t="s">
        <v>2273</v>
      </c>
      <c r="O346" s="103">
        <v>100</v>
      </c>
      <c r="P346" s="103" t="s">
        <v>1617</v>
      </c>
      <c r="Q346" s="103" t="s">
        <v>1393</v>
      </c>
      <c r="R346" s="103" t="s">
        <v>2225</v>
      </c>
      <c r="S346" s="103" t="s">
        <v>2238</v>
      </c>
      <c r="U346" s="103">
        <v>48.3</v>
      </c>
      <c r="V346" s="103" t="s">
        <v>2262</v>
      </c>
      <c r="W346" s="103" t="s">
        <v>106</v>
      </c>
      <c r="X346" s="103" t="s">
        <v>345</v>
      </c>
      <c r="Y346" s="103" t="s">
        <v>2240</v>
      </c>
      <c r="AA346" s="103" t="s">
        <v>2225</v>
      </c>
      <c r="AB346" s="103" t="s">
        <v>64</v>
      </c>
      <c r="AE346" s="103" t="s">
        <v>750</v>
      </c>
      <c r="AF346" s="103" t="b">
        <v>1</v>
      </c>
    </row>
    <row r="347" spans="1:32" hidden="1" x14ac:dyDescent="0.2">
      <c r="A347" s="103" t="s">
        <v>3831</v>
      </c>
      <c r="B347" s="103" t="s">
        <v>3815</v>
      </c>
      <c r="C347" s="103" t="s">
        <v>2560</v>
      </c>
      <c r="D347" s="103" t="s">
        <v>2577</v>
      </c>
      <c r="E347" s="103" t="s">
        <v>2562</v>
      </c>
      <c r="F347" s="103" t="s">
        <v>2151</v>
      </c>
      <c r="G347" s="103">
        <v>150</v>
      </c>
      <c r="H347" s="103" t="s">
        <v>2152</v>
      </c>
      <c r="I347" s="103" t="s">
        <v>2153</v>
      </c>
      <c r="J347" s="103">
        <v>0</v>
      </c>
      <c r="K347" s="103">
        <v>0</v>
      </c>
      <c r="L347" s="103">
        <v>0</v>
      </c>
      <c r="M347" s="103">
        <v>150</v>
      </c>
      <c r="N347" s="103" t="s">
        <v>2273</v>
      </c>
      <c r="O347" s="103">
        <v>150</v>
      </c>
      <c r="P347" s="103" t="s">
        <v>1617</v>
      </c>
      <c r="Q347" s="103" t="s">
        <v>1393</v>
      </c>
      <c r="R347" s="103" t="s">
        <v>2225</v>
      </c>
      <c r="S347" s="103" t="s">
        <v>2238</v>
      </c>
      <c r="U347" s="103">
        <v>72.45</v>
      </c>
      <c r="V347" s="103" t="s">
        <v>2262</v>
      </c>
      <c r="W347" s="103" t="s">
        <v>106</v>
      </c>
      <c r="X347" s="103" t="s">
        <v>345</v>
      </c>
      <c r="Y347" s="103" t="s">
        <v>2240</v>
      </c>
      <c r="AA347" s="103" t="s">
        <v>2225</v>
      </c>
      <c r="AB347" s="103" t="s">
        <v>64</v>
      </c>
      <c r="AE347" s="103" t="s">
        <v>750</v>
      </c>
      <c r="AF347" s="103" t="b">
        <v>1</v>
      </c>
    </row>
    <row r="348" spans="1:32" hidden="1" x14ac:dyDescent="0.2">
      <c r="A348" s="103" t="s">
        <v>3831</v>
      </c>
      <c r="B348" s="103" t="s">
        <v>3815</v>
      </c>
      <c r="C348" s="103" t="s">
        <v>2560</v>
      </c>
      <c r="D348" s="103" t="s">
        <v>2578</v>
      </c>
      <c r="E348" s="103" t="s">
        <v>2562</v>
      </c>
      <c r="F348" s="103" t="s">
        <v>2232</v>
      </c>
      <c r="G348" s="103">
        <v>400</v>
      </c>
      <c r="H348" s="103" t="s">
        <v>2152</v>
      </c>
      <c r="I348" s="103" t="s">
        <v>2153</v>
      </c>
      <c r="J348" s="103">
        <v>0</v>
      </c>
      <c r="K348" s="103">
        <v>0</v>
      </c>
      <c r="L348" s="103">
        <v>200</v>
      </c>
      <c r="M348" s="103">
        <v>200</v>
      </c>
      <c r="N348" s="103" t="s">
        <v>2402</v>
      </c>
      <c r="O348" s="103">
        <v>400</v>
      </c>
      <c r="P348" s="103" t="s">
        <v>1617</v>
      </c>
      <c r="Q348" s="103" t="s">
        <v>1393</v>
      </c>
      <c r="R348" s="103" t="s">
        <v>2225</v>
      </c>
      <c r="S348" s="103" t="s">
        <v>2238</v>
      </c>
      <c r="U348" s="103">
        <v>193.2</v>
      </c>
      <c r="V348" s="103" t="s">
        <v>2262</v>
      </c>
      <c r="W348" s="103" t="s">
        <v>106</v>
      </c>
      <c r="X348" s="103" t="s">
        <v>345</v>
      </c>
      <c r="Y348" s="103" t="s">
        <v>2240</v>
      </c>
      <c r="AA348" s="103" t="s">
        <v>2225</v>
      </c>
      <c r="AB348" s="103" t="s">
        <v>64</v>
      </c>
      <c r="AE348" s="103" t="s">
        <v>750</v>
      </c>
      <c r="AF348" s="103" t="b">
        <v>1</v>
      </c>
    </row>
    <row r="349" spans="1:32" hidden="1" x14ac:dyDescent="0.2">
      <c r="A349" s="103" t="s">
        <v>3831</v>
      </c>
      <c r="B349" s="103" t="s">
        <v>3815</v>
      </c>
      <c r="C349" s="103" t="s">
        <v>2560</v>
      </c>
      <c r="D349" s="103" t="s">
        <v>2579</v>
      </c>
      <c r="E349" s="103" t="s">
        <v>2562</v>
      </c>
      <c r="F349" s="103" t="s">
        <v>2151</v>
      </c>
      <c r="G349" s="103">
        <v>200</v>
      </c>
      <c r="H349" s="103" t="s">
        <v>2152</v>
      </c>
      <c r="I349" s="103" t="s">
        <v>2153</v>
      </c>
      <c r="J349" s="103">
        <v>0</v>
      </c>
      <c r="K349" s="103">
        <v>0</v>
      </c>
      <c r="L349" s="103">
        <v>50</v>
      </c>
      <c r="M349" s="103">
        <v>150</v>
      </c>
      <c r="N349" s="103" t="s">
        <v>2273</v>
      </c>
      <c r="O349" s="103">
        <v>200</v>
      </c>
      <c r="P349" s="103" t="s">
        <v>1617</v>
      </c>
      <c r="Q349" s="103" t="s">
        <v>1393</v>
      </c>
      <c r="R349" s="103" t="s">
        <v>2225</v>
      </c>
      <c r="S349" s="103" t="s">
        <v>2238</v>
      </c>
      <c r="U349" s="103">
        <v>96.6</v>
      </c>
      <c r="V349" s="103" t="s">
        <v>2262</v>
      </c>
      <c r="W349" s="103" t="s">
        <v>106</v>
      </c>
      <c r="X349" s="103" t="s">
        <v>345</v>
      </c>
      <c r="Y349" s="103" t="s">
        <v>2240</v>
      </c>
      <c r="AA349" s="103" t="s">
        <v>2225</v>
      </c>
      <c r="AB349" s="103" t="s">
        <v>64</v>
      </c>
      <c r="AE349" s="103" t="s">
        <v>750</v>
      </c>
      <c r="AF349" s="103" t="b">
        <v>1</v>
      </c>
    </row>
    <row r="350" spans="1:32" hidden="1" x14ac:dyDescent="0.2">
      <c r="A350" s="103" t="s">
        <v>3831</v>
      </c>
      <c r="B350" s="103" t="s">
        <v>3815</v>
      </c>
      <c r="C350" s="103" t="s">
        <v>2560</v>
      </c>
      <c r="D350" s="103" t="s">
        <v>2580</v>
      </c>
      <c r="E350" s="103" t="s">
        <v>2562</v>
      </c>
      <c r="F350" s="103" t="s">
        <v>2232</v>
      </c>
      <c r="G350" s="103">
        <v>400</v>
      </c>
      <c r="H350" s="103" t="s">
        <v>2152</v>
      </c>
      <c r="I350" s="103" t="s">
        <v>2153</v>
      </c>
      <c r="J350" s="103">
        <v>0</v>
      </c>
      <c r="K350" s="103">
        <v>150</v>
      </c>
      <c r="L350" s="103">
        <v>150</v>
      </c>
      <c r="M350" s="103">
        <v>100</v>
      </c>
      <c r="N350" s="103" t="s">
        <v>2273</v>
      </c>
      <c r="O350" s="103">
        <v>400</v>
      </c>
      <c r="P350" s="103" t="s">
        <v>1617</v>
      </c>
      <c r="Q350" s="103" t="s">
        <v>1393</v>
      </c>
      <c r="R350" s="103" t="s">
        <v>2225</v>
      </c>
      <c r="S350" s="103" t="s">
        <v>2238</v>
      </c>
      <c r="U350" s="103">
        <v>193.2</v>
      </c>
      <c r="V350" s="103" t="s">
        <v>2262</v>
      </c>
      <c r="W350" s="103" t="s">
        <v>106</v>
      </c>
      <c r="X350" s="103" t="s">
        <v>345</v>
      </c>
      <c r="Y350" s="103" t="s">
        <v>2240</v>
      </c>
      <c r="AA350" s="103" t="s">
        <v>2225</v>
      </c>
      <c r="AB350" s="103" t="s">
        <v>64</v>
      </c>
      <c r="AE350" s="103" t="s">
        <v>750</v>
      </c>
      <c r="AF350" s="103" t="b">
        <v>1</v>
      </c>
    </row>
    <row r="351" spans="1:32" hidden="1" x14ac:dyDescent="0.2">
      <c r="A351" s="103" t="s">
        <v>557</v>
      </c>
      <c r="B351" s="103" t="s">
        <v>1678</v>
      </c>
      <c r="C351" s="103" t="s">
        <v>1614</v>
      </c>
      <c r="D351" s="103" t="s">
        <v>2581</v>
      </c>
      <c r="E351" s="103" t="s">
        <v>2562</v>
      </c>
      <c r="F351" s="103" t="s">
        <v>2151</v>
      </c>
      <c r="G351" s="103">
        <v>100</v>
      </c>
      <c r="H351" s="103" t="s">
        <v>2168</v>
      </c>
      <c r="I351" s="103" t="s">
        <v>2153</v>
      </c>
      <c r="J351" s="103">
        <v>100</v>
      </c>
      <c r="K351" s="103">
        <v>0</v>
      </c>
      <c r="L351" s="103">
        <v>0</v>
      </c>
      <c r="M351" s="103">
        <v>0</v>
      </c>
      <c r="N351" s="103" t="s">
        <v>2163</v>
      </c>
      <c r="O351" s="103">
        <v>100</v>
      </c>
      <c r="P351" s="103" t="s">
        <v>1617</v>
      </c>
      <c r="Q351" s="103" t="s">
        <v>1614</v>
      </c>
      <c r="R351" s="103" t="s">
        <v>2225</v>
      </c>
      <c r="S351" s="103" t="s">
        <v>2238</v>
      </c>
      <c r="U351" s="103">
        <v>48.3</v>
      </c>
      <c r="V351" s="103" t="s">
        <v>2239</v>
      </c>
      <c r="W351" s="103" t="s">
        <v>106</v>
      </c>
      <c r="X351" s="103" t="s">
        <v>1614</v>
      </c>
      <c r="Y351" s="103" t="s">
        <v>2240</v>
      </c>
      <c r="AA351" s="103" t="s">
        <v>2225</v>
      </c>
      <c r="AB351" s="103" t="s">
        <v>64</v>
      </c>
      <c r="AE351" s="103" t="s">
        <v>1284</v>
      </c>
      <c r="AF351" s="103" t="b">
        <v>1</v>
      </c>
    </row>
    <row r="352" spans="1:32" hidden="1" x14ac:dyDescent="0.2">
      <c r="A352" s="103" t="s">
        <v>559</v>
      </c>
      <c r="B352" s="103" t="s">
        <v>558</v>
      </c>
      <c r="C352" s="103" t="s">
        <v>23</v>
      </c>
      <c r="D352" s="103" t="s">
        <v>2582</v>
      </c>
      <c r="E352" s="103" t="s">
        <v>2562</v>
      </c>
      <c r="F352" s="103" t="s">
        <v>2175</v>
      </c>
      <c r="G352" s="103">
        <v>5</v>
      </c>
      <c r="H352" s="103" t="s">
        <v>2152</v>
      </c>
      <c r="I352" s="103" t="s">
        <v>2153</v>
      </c>
      <c r="J352" s="103">
        <v>5</v>
      </c>
      <c r="N352" s="103" t="s">
        <v>2163</v>
      </c>
      <c r="O352" s="103">
        <v>5</v>
      </c>
      <c r="P352" s="103" t="s">
        <v>1617</v>
      </c>
      <c r="Q352" s="103" t="s">
        <v>2155</v>
      </c>
      <c r="R352" s="103" t="s">
        <v>2225</v>
      </c>
      <c r="S352" s="103" t="s">
        <v>2157</v>
      </c>
      <c r="U352" s="103">
        <v>2.415</v>
      </c>
      <c r="V352" s="103" t="s">
        <v>2158</v>
      </c>
      <c r="W352" s="103" t="s">
        <v>106</v>
      </c>
      <c r="X352" s="103" t="s">
        <v>1597</v>
      </c>
      <c r="Y352" s="103" t="s">
        <v>1685</v>
      </c>
      <c r="AA352" s="103" t="s">
        <v>2225</v>
      </c>
      <c r="AB352" s="103" t="s">
        <v>64</v>
      </c>
      <c r="AE352" s="103" t="s">
        <v>750</v>
      </c>
      <c r="AF352" s="103" t="b">
        <v>1</v>
      </c>
    </row>
    <row r="353" spans="1:32" hidden="1" x14ac:dyDescent="0.2">
      <c r="A353" s="103" t="s">
        <v>559</v>
      </c>
      <c r="B353" s="103" t="s">
        <v>558</v>
      </c>
      <c r="C353" s="103" t="s">
        <v>23</v>
      </c>
      <c r="D353" s="103" t="s">
        <v>2583</v>
      </c>
      <c r="E353" s="103" t="s">
        <v>2562</v>
      </c>
      <c r="F353" s="103" t="s">
        <v>2162</v>
      </c>
      <c r="G353" s="103">
        <v>50</v>
      </c>
      <c r="H353" s="103" t="s">
        <v>2168</v>
      </c>
      <c r="I353" s="103" t="s">
        <v>2153</v>
      </c>
      <c r="J353" s="103">
        <v>50</v>
      </c>
      <c r="K353" s="103">
        <v>0</v>
      </c>
      <c r="L353" s="103">
        <v>0</v>
      </c>
      <c r="M353" s="103">
        <v>0</v>
      </c>
      <c r="N353" s="103" t="s">
        <v>2163</v>
      </c>
      <c r="O353" s="103">
        <v>50</v>
      </c>
      <c r="P353" s="103" t="s">
        <v>1617</v>
      </c>
      <c r="Q353" s="103" t="s">
        <v>2155</v>
      </c>
      <c r="R353" s="103" t="s">
        <v>2225</v>
      </c>
      <c r="S353" s="103" t="s">
        <v>2157</v>
      </c>
      <c r="U353" s="103">
        <v>24.15</v>
      </c>
      <c r="V353" s="103" t="s">
        <v>2158</v>
      </c>
      <c r="W353" s="103" t="s">
        <v>106</v>
      </c>
      <c r="X353" s="103" t="s">
        <v>1597</v>
      </c>
      <c r="Y353" s="103" t="s">
        <v>1685</v>
      </c>
      <c r="AA353" s="103" t="s">
        <v>2225</v>
      </c>
      <c r="AB353" s="103" t="s">
        <v>64</v>
      </c>
      <c r="AE353" s="103" t="s">
        <v>750</v>
      </c>
      <c r="AF353" s="103" t="b">
        <v>1</v>
      </c>
    </row>
    <row r="354" spans="1:32" hidden="1" x14ac:dyDescent="0.2">
      <c r="A354" s="103" t="s">
        <v>559</v>
      </c>
      <c r="B354" s="103" t="s">
        <v>558</v>
      </c>
      <c r="C354" s="103" t="s">
        <v>23</v>
      </c>
      <c r="D354" s="103" t="s">
        <v>2584</v>
      </c>
      <c r="E354" s="103" t="s">
        <v>2562</v>
      </c>
      <c r="F354" s="103" t="s">
        <v>2162</v>
      </c>
      <c r="G354" s="103">
        <v>75</v>
      </c>
      <c r="H354" s="103" t="s">
        <v>2152</v>
      </c>
      <c r="I354" s="103" t="s">
        <v>2153</v>
      </c>
      <c r="J354" s="103">
        <v>0</v>
      </c>
      <c r="K354" s="103">
        <v>25</v>
      </c>
      <c r="L354" s="103">
        <v>25</v>
      </c>
      <c r="M354" s="103">
        <v>25</v>
      </c>
      <c r="N354" s="103" t="s">
        <v>2163</v>
      </c>
      <c r="O354" s="103">
        <v>75</v>
      </c>
      <c r="P354" s="103" t="s">
        <v>1617</v>
      </c>
      <c r="Q354" s="103" t="s">
        <v>2155</v>
      </c>
      <c r="R354" s="103" t="s">
        <v>2225</v>
      </c>
      <c r="S354" s="103" t="s">
        <v>2157</v>
      </c>
      <c r="U354" s="103">
        <v>36.225000000000001</v>
      </c>
      <c r="V354" s="103" t="s">
        <v>2158</v>
      </c>
      <c r="W354" s="103" t="s">
        <v>106</v>
      </c>
      <c r="X354" s="103" t="s">
        <v>1597</v>
      </c>
      <c r="Y354" s="103" t="s">
        <v>1685</v>
      </c>
      <c r="AA354" s="103" t="s">
        <v>2225</v>
      </c>
      <c r="AB354" s="103" t="s">
        <v>64</v>
      </c>
      <c r="AE354" s="103" t="s">
        <v>750</v>
      </c>
      <c r="AF354" s="103" t="b">
        <v>1</v>
      </c>
    </row>
    <row r="355" spans="1:32" hidden="1" x14ac:dyDescent="0.2">
      <c r="A355" s="103" t="s">
        <v>561</v>
      </c>
      <c r="B355" s="103" t="s">
        <v>560</v>
      </c>
      <c r="C355" s="103" t="s">
        <v>107</v>
      </c>
      <c r="D355" s="103" t="s">
        <v>1472</v>
      </c>
      <c r="E355" s="103" t="s">
        <v>2246</v>
      </c>
      <c r="F355" s="103" t="s">
        <v>2151</v>
      </c>
      <c r="G355" s="103">
        <v>100</v>
      </c>
      <c r="H355" s="103" t="s">
        <v>2168</v>
      </c>
      <c r="I355" s="103" t="s">
        <v>2153</v>
      </c>
      <c r="J355" s="103">
        <v>25</v>
      </c>
      <c r="K355" s="103">
        <v>75</v>
      </c>
      <c r="N355" s="103" t="s">
        <v>2163</v>
      </c>
      <c r="O355" s="103">
        <v>100</v>
      </c>
      <c r="P355" s="103" t="s">
        <v>1617</v>
      </c>
      <c r="Q355" s="103" t="s">
        <v>2155</v>
      </c>
      <c r="R355" s="103" t="s">
        <v>2225</v>
      </c>
      <c r="S355" s="103" t="s">
        <v>2229</v>
      </c>
      <c r="U355" s="103">
        <v>100</v>
      </c>
      <c r="V355" s="103" t="s">
        <v>2158</v>
      </c>
      <c r="W355" s="103" t="s">
        <v>107</v>
      </c>
      <c r="X355" s="103" t="s">
        <v>1597</v>
      </c>
      <c r="Y355" s="103" t="s">
        <v>1685</v>
      </c>
      <c r="AA355" s="103" t="s">
        <v>2225</v>
      </c>
      <c r="AB355" s="103" t="s">
        <v>64</v>
      </c>
      <c r="AE355" s="103" t="s">
        <v>1262</v>
      </c>
      <c r="AF355" s="103" t="b">
        <v>1</v>
      </c>
    </row>
    <row r="356" spans="1:32" hidden="1" x14ac:dyDescent="0.2">
      <c r="A356" s="103" t="s">
        <v>563</v>
      </c>
      <c r="B356" s="103" t="s">
        <v>562</v>
      </c>
      <c r="C356" s="103" t="s">
        <v>107</v>
      </c>
      <c r="D356" s="103" t="s">
        <v>2585</v>
      </c>
      <c r="E356" s="103" t="s">
        <v>2246</v>
      </c>
      <c r="G356" s="103">
        <v>880</v>
      </c>
      <c r="H356" s="103" t="s">
        <v>2152</v>
      </c>
      <c r="I356" s="103" t="s">
        <v>2153</v>
      </c>
      <c r="J356" s="103">
        <v>220</v>
      </c>
      <c r="K356" s="103">
        <v>220</v>
      </c>
      <c r="L356" s="103">
        <v>220</v>
      </c>
      <c r="M356" s="103">
        <v>220</v>
      </c>
      <c r="N356" s="103" t="s">
        <v>2163</v>
      </c>
      <c r="O356" s="103">
        <v>880</v>
      </c>
      <c r="P356" s="103" t="s">
        <v>1617</v>
      </c>
      <c r="Q356" s="103" t="s">
        <v>2155</v>
      </c>
      <c r="R356" s="103" t="s">
        <v>2225</v>
      </c>
      <c r="S356" s="103" t="s">
        <v>2229</v>
      </c>
      <c r="U356" s="103">
        <v>880</v>
      </c>
      <c r="V356" s="103" t="s">
        <v>2158</v>
      </c>
      <c r="W356" s="103" t="s">
        <v>107</v>
      </c>
      <c r="X356" s="103" t="s">
        <v>1597</v>
      </c>
      <c r="Y356" s="103" t="s">
        <v>1685</v>
      </c>
      <c r="AA356" s="103" t="s">
        <v>2225</v>
      </c>
      <c r="AB356" s="103" t="s">
        <v>64</v>
      </c>
      <c r="AE356" s="103" t="s">
        <v>1262</v>
      </c>
      <c r="AF356" s="103" t="b">
        <v>1</v>
      </c>
    </row>
    <row r="357" spans="1:32" hidden="1" x14ac:dyDescent="0.2">
      <c r="A357" s="103" t="s">
        <v>563</v>
      </c>
      <c r="B357" s="103" t="s">
        <v>562</v>
      </c>
      <c r="C357" s="103" t="s">
        <v>107</v>
      </c>
      <c r="D357" s="103" t="s">
        <v>2428</v>
      </c>
      <c r="E357" s="103" t="s">
        <v>2586</v>
      </c>
      <c r="G357" s="103">
        <v>66</v>
      </c>
      <c r="H357" s="103" t="s">
        <v>2152</v>
      </c>
      <c r="I357" s="103" t="s">
        <v>2153</v>
      </c>
      <c r="J357" s="103">
        <v>16</v>
      </c>
      <c r="K357" s="103">
        <v>17</v>
      </c>
      <c r="L357" s="103">
        <v>16</v>
      </c>
      <c r="M357" s="103">
        <v>17</v>
      </c>
      <c r="N357" s="103" t="s">
        <v>2163</v>
      </c>
      <c r="O357" s="103">
        <v>66</v>
      </c>
      <c r="P357" s="103" t="s">
        <v>1617</v>
      </c>
      <c r="Q357" s="103" t="s">
        <v>2155</v>
      </c>
      <c r="R357" s="103" t="s">
        <v>2164</v>
      </c>
      <c r="U357" s="103">
        <v>39.6</v>
      </c>
      <c r="V357" s="103" t="s">
        <v>2158</v>
      </c>
      <c r="W357" s="103" t="s">
        <v>132</v>
      </c>
      <c r="X357" s="103" t="s">
        <v>1597</v>
      </c>
      <c r="Y357" s="103" t="s">
        <v>1685</v>
      </c>
      <c r="AA357" s="103" t="s">
        <v>2164</v>
      </c>
      <c r="AB357" s="103" t="s">
        <v>64</v>
      </c>
      <c r="AE357" s="103" t="s">
        <v>1262</v>
      </c>
      <c r="AF357" s="103" t="b">
        <v>1</v>
      </c>
    </row>
    <row r="358" spans="1:32" hidden="1" x14ac:dyDescent="0.2">
      <c r="A358" s="103" t="s">
        <v>565</v>
      </c>
      <c r="B358" s="103" t="s">
        <v>564</v>
      </c>
      <c r="C358" s="103" t="s">
        <v>107</v>
      </c>
      <c r="D358" s="103" t="s">
        <v>2587</v>
      </c>
      <c r="E358" s="103" t="s">
        <v>2246</v>
      </c>
      <c r="F358" s="103" t="s">
        <v>2151</v>
      </c>
      <c r="G358" s="103">
        <v>150</v>
      </c>
      <c r="H358" s="103" t="s">
        <v>2152</v>
      </c>
      <c r="I358" s="103" t="s">
        <v>2153</v>
      </c>
      <c r="M358" s="103">
        <v>150</v>
      </c>
      <c r="N358" s="103" t="s">
        <v>2163</v>
      </c>
      <c r="O358" s="103">
        <v>150</v>
      </c>
      <c r="P358" s="103" t="s">
        <v>1617</v>
      </c>
      <c r="Q358" s="103" t="s">
        <v>2155</v>
      </c>
      <c r="R358" s="103" t="s">
        <v>2225</v>
      </c>
      <c r="S358" s="103" t="s">
        <v>2229</v>
      </c>
      <c r="T358" s="103" t="s">
        <v>2588</v>
      </c>
      <c r="U358" s="103">
        <v>150</v>
      </c>
      <c r="V358" s="103" t="s">
        <v>2158</v>
      </c>
      <c r="W358" s="103" t="s">
        <v>107</v>
      </c>
      <c r="X358" s="103" t="s">
        <v>1597</v>
      </c>
      <c r="Y358" s="103" t="s">
        <v>1685</v>
      </c>
      <c r="AA358" s="103" t="s">
        <v>2225</v>
      </c>
      <c r="AB358" s="103" t="s">
        <v>64</v>
      </c>
      <c r="AE358" s="103" t="s">
        <v>1262</v>
      </c>
      <c r="AF358" s="103" t="b">
        <v>1</v>
      </c>
    </row>
    <row r="359" spans="1:32" hidden="1" x14ac:dyDescent="0.2">
      <c r="A359" s="103" t="s">
        <v>565</v>
      </c>
      <c r="B359" s="103" t="s">
        <v>564</v>
      </c>
      <c r="C359" s="103" t="s">
        <v>107</v>
      </c>
      <c r="D359" s="103" t="s">
        <v>2428</v>
      </c>
      <c r="E359" s="103" t="s">
        <v>2586</v>
      </c>
      <c r="G359" s="103">
        <v>11.25</v>
      </c>
      <c r="H359" s="103" t="s">
        <v>2152</v>
      </c>
      <c r="I359" s="103" t="s">
        <v>2153</v>
      </c>
      <c r="M359" s="103">
        <v>11.25</v>
      </c>
      <c r="N359" s="103" t="s">
        <v>2163</v>
      </c>
      <c r="O359" s="103">
        <v>11.25</v>
      </c>
      <c r="P359" s="103" t="s">
        <v>1617</v>
      </c>
      <c r="Q359" s="103" t="s">
        <v>2155</v>
      </c>
      <c r="R359" s="103" t="s">
        <v>2164</v>
      </c>
      <c r="U359" s="103">
        <v>6.75</v>
      </c>
      <c r="V359" s="103" t="s">
        <v>2158</v>
      </c>
      <c r="W359" s="103" t="s">
        <v>132</v>
      </c>
      <c r="X359" s="103" t="s">
        <v>1597</v>
      </c>
      <c r="Y359" s="103" t="s">
        <v>1685</v>
      </c>
      <c r="AA359" s="103" t="s">
        <v>2164</v>
      </c>
      <c r="AB359" s="103" t="s">
        <v>64</v>
      </c>
      <c r="AE359" s="103" t="s">
        <v>1262</v>
      </c>
      <c r="AF359" s="103" t="b">
        <v>1</v>
      </c>
    </row>
    <row r="360" spans="1:32" hidden="1" x14ac:dyDescent="0.2">
      <c r="A360" s="103" t="s">
        <v>567</v>
      </c>
      <c r="B360" s="103" t="s">
        <v>566</v>
      </c>
      <c r="C360" s="103" t="s">
        <v>107</v>
      </c>
      <c r="D360" s="103" t="s">
        <v>2589</v>
      </c>
      <c r="E360" s="103" t="s">
        <v>2246</v>
      </c>
      <c r="F360" s="103" t="s">
        <v>2151</v>
      </c>
      <c r="G360" s="103">
        <v>100</v>
      </c>
      <c r="H360" s="103" t="s">
        <v>2168</v>
      </c>
      <c r="I360" s="103" t="s">
        <v>2153</v>
      </c>
      <c r="L360" s="103">
        <v>100</v>
      </c>
      <c r="N360" s="103" t="s">
        <v>2163</v>
      </c>
      <c r="O360" s="103">
        <v>100</v>
      </c>
      <c r="P360" s="103" t="s">
        <v>1617</v>
      </c>
      <c r="Q360" s="103" t="s">
        <v>2155</v>
      </c>
      <c r="R360" s="103" t="s">
        <v>2225</v>
      </c>
      <c r="S360" s="103" t="s">
        <v>2229</v>
      </c>
      <c r="U360" s="103">
        <v>100</v>
      </c>
      <c r="V360" s="103" t="s">
        <v>2158</v>
      </c>
      <c r="W360" s="103" t="s">
        <v>107</v>
      </c>
      <c r="X360" s="103" t="s">
        <v>1597</v>
      </c>
      <c r="Y360" s="103" t="s">
        <v>1685</v>
      </c>
      <c r="AA360" s="103" t="s">
        <v>2225</v>
      </c>
      <c r="AB360" s="103" t="s">
        <v>64</v>
      </c>
      <c r="AE360" s="103" t="s">
        <v>1262</v>
      </c>
      <c r="AF360" s="103" t="b">
        <v>1</v>
      </c>
    </row>
    <row r="361" spans="1:32" hidden="1" x14ac:dyDescent="0.2">
      <c r="A361" s="103" t="s">
        <v>567</v>
      </c>
      <c r="B361" s="103" t="s">
        <v>566</v>
      </c>
      <c r="C361" s="103" t="s">
        <v>107</v>
      </c>
      <c r="D361" s="103" t="s">
        <v>2428</v>
      </c>
      <c r="E361" s="103" t="s">
        <v>2586</v>
      </c>
      <c r="G361" s="103">
        <v>7.5</v>
      </c>
      <c r="H361" s="103" t="s">
        <v>2152</v>
      </c>
      <c r="I361" s="103" t="s">
        <v>2153</v>
      </c>
      <c r="L361" s="103">
        <v>7.5</v>
      </c>
      <c r="N361" s="103" t="s">
        <v>2163</v>
      </c>
      <c r="O361" s="103">
        <v>7.5</v>
      </c>
      <c r="P361" s="103" t="s">
        <v>1617</v>
      </c>
      <c r="Q361" s="103" t="s">
        <v>2155</v>
      </c>
      <c r="R361" s="103" t="s">
        <v>2164</v>
      </c>
      <c r="U361" s="103">
        <v>4.5</v>
      </c>
      <c r="V361" s="103" t="s">
        <v>2158</v>
      </c>
      <c r="W361" s="103" t="s">
        <v>132</v>
      </c>
      <c r="X361" s="103" t="s">
        <v>1597</v>
      </c>
      <c r="Y361" s="103" t="s">
        <v>1685</v>
      </c>
      <c r="AA361" s="103" t="s">
        <v>2164</v>
      </c>
      <c r="AB361" s="103" t="s">
        <v>64</v>
      </c>
      <c r="AE361" s="103" t="s">
        <v>1262</v>
      </c>
      <c r="AF361" s="103" t="b">
        <v>1</v>
      </c>
    </row>
    <row r="362" spans="1:32" hidden="1" x14ac:dyDescent="0.2">
      <c r="A362" s="103" t="s">
        <v>569</v>
      </c>
      <c r="B362" s="103" t="s">
        <v>568</v>
      </c>
      <c r="C362" s="103" t="s">
        <v>107</v>
      </c>
      <c r="D362" s="103" t="s">
        <v>2590</v>
      </c>
      <c r="E362" s="103" t="s">
        <v>2246</v>
      </c>
      <c r="F362" s="103" t="s">
        <v>2151</v>
      </c>
      <c r="G362" s="103">
        <v>150</v>
      </c>
      <c r="H362" s="103" t="s">
        <v>2152</v>
      </c>
      <c r="I362" s="103" t="s">
        <v>2153</v>
      </c>
      <c r="M362" s="103">
        <v>150</v>
      </c>
      <c r="N362" s="103" t="s">
        <v>2163</v>
      </c>
      <c r="O362" s="103">
        <v>150</v>
      </c>
      <c r="P362" s="103" t="s">
        <v>1617</v>
      </c>
      <c r="Q362" s="103" t="s">
        <v>2155</v>
      </c>
      <c r="R362" s="103" t="s">
        <v>2225</v>
      </c>
      <c r="S362" s="103" t="s">
        <v>2229</v>
      </c>
      <c r="U362" s="103">
        <v>150</v>
      </c>
      <c r="V362" s="103" t="s">
        <v>2158</v>
      </c>
      <c r="W362" s="103" t="s">
        <v>107</v>
      </c>
      <c r="X362" s="103" t="s">
        <v>1597</v>
      </c>
      <c r="Y362" s="103" t="s">
        <v>1685</v>
      </c>
      <c r="AA362" s="103" t="s">
        <v>2225</v>
      </c>
      <c r="AB362" s="103" t="s">
        <v>64</v>
      </c>
      <c r="AE362" s="103" t="s">
        <v>1262</v>
      </c>
      <c r="AF362" s="103" t="b">
        <v>1</v>
      </c>
    </row>
    <row r="363" spans="1:32" hidden="1" x14ac:dyDescent="0.2">
      <c r="A363" s="103" t="s">
        <v>569</v>
      </c>
      <c r="B363" s="103" t="s">
        <v>568</v>
      </c>
      <c r="C363" s="103" t="s">
        <v>107</v>
      </c>
      <c r="D363" s="103" t="s">
        <v>2428</v>
      </c>
      <c r="E363" s="103" t="s">
        <v>2586</v>
      </c>
      <c r="G363" s="103">
        <v>11.25</v>
      </c>
      <c r="H363" s="103" t="s">
        <v>2152</v>
      </c>
      <c r="I363" s="103" t="s">
        <v>2153</v>
      </c>
      <c r="M363" s="103">
        <v>11.25</v>
      </c>
      <c r="N363" s="103" t="s">
        <v>2163</v>
      </c>
      <c r="O363" s="103">
        <v>11.25</v>
      </c>
      <c r="P363" s="103" t="s">
        <v>1617</v>
      </c>
      <c r="Q363" s="103" t="s">
        <v>2155</v>
      </c>
      <c r="R363" s="103" t="s">
        <v>2164</v>
      </c>
      <c r="U363" s="103">
        <v>6.75</v>
      </c>
      <c r="V363" s="103" t="s">
        <v>2158</v>
      </c>
      <c r="W363" s="103" t="s">
        <v>132</v>
      </c>
      <c r="X363" s="103" t="s">
        <v>1597</v>
      </c>
      <c r="Y363" s="103" t="s">
        <v>1685</v>
      </c>
      <c r="AA363" s="103" t="s">
        <v>2164</v>
      </c>
      <c r="AB363" s="103" t="s">
        <v>64</v>
      </c>
      <c r="AE363" s="103" t="s">
        <v>1262</v>
      </c>
      <c r="AF363" s="103" t="b">
        <v>1</v>
      </c>
    </row>
    <row r="364" spans="1:32" hidden="1" x14ac:dyDescent="0.2">
      <c r="A364" s="103" t="s">
        <v>571</v>
      </c>
      <c r="B364" s="103" t="s">
        <v>570</v>
      </c>
      <c r="C364" s="103" t="s">
        <v>107</v>
      </c>
      <c r="D364" s="103" t="s">
        <v>2591</v>
      </c>
      <c r="E364" s="103" t="s">
        <v>2246</v>
      </c>
      <c r="F364" s="103" t="s">
        <v>2202</v>
      </c>
      <c r="G364" s="103">
        <v>200</v>
      </c>
      <c r="H364" s="103" t="s">
        <v>2168</v>
      </c>
      <c r="I364" s="103" t="s">
        <v>2153</v>
      </c>
      <c r="M364" s="103">
        <v>200</v>
      </c>
      <c r="N364" s="103" t="s">
        <v>2154</v>
      </c>
      <c r="O364" s="103">
        <v>200</v>
      </c>
      <c r="P364" s="103" t="s">
        <v>1617</v>
      </c>
      <c r="Q364" s="103" t="s">
        <v>2155</v>
      </c>
      <c r="R364" s="103" t="s">
        <v>2225</v>
      </c>
      <c r="S364" s="103" t="s">
        <v>2229</v>
      </c>
      <c r="U364" s="103">
        <v>200</v>
      </c>
      <c r="V364" s="103" t="s">
        <v>2158</v>
      </c>
      <c r="W364" s="103" t="s">
        <v>107</v>
      </c>
      <c r="X364" s="103" t="s">
        <v>1597</v>
      </c>
      <c r="Y364" s="103" t="s">
        <v>1685</v>
      </c>
      <c r="AA364" s="103" t="s">
        <v>2225</v>
      </c>
      <c r="AB364" s="103" t="s">
        <v>64</v>
      </c>
      <c r="AE364" s="103" t="s">
        <v>1262</v>
      </c>
      <c r="AF364" s="103" t="b">
        <v>1</v>
      </c>
    </row>
    <row r="365" spans="1:32" hidden="1" x14ac:dyDescent="0.2">
      <c r="A365" s="103" t="s">
        <v>571</v>
      </c>
      <c r="B365" s="103" t="s">
        <v>570</v>
      </c>
      <c r="C365" s="103" t="s">
        <v>107</v>
      </c>
      <c r="D365" s="103" t="s">
        <v>2428</v>
      </c>
      <c r="E365" s="103" t="s">
        <v>2586</v>
      </c>
      <c r="G365" s="103">
        <v>15</v>
      </c>
      <c r="H365" s="103" t="s">
        <v>2152</v>
      </c>
      <c r="I365" s="103" t="s">
        <v>2153</v>
      </c>
      <c r="M365" s="103">
        <v>15</v>
      </c>
      <c r="N365" s="103" t="s">
        <v>2163</v>
      </c>
      <c r="O365" s="103">
        <v>15</v>
      </c>
      <c r="P365" s="103" t="s">
        <v>1617</v>
      </c>
      <c r="Q365" s="103" t="s">
        <v>2155</v>
      </c>
      <c r="R365" s="103" t="s">
        <v>2164</v>
      </c>
      <c r="U365" s="103">
        <v>9</v>
      </c>
      <c r="V365" s="103" t="s">
        <v>2158</v>
      </c>
      <c r="W365" s="103" t="s">
        <v>132</v>
      </c>
      <c r="X365" s="103" t="s">
        <v>1597</v>
      </c>
      <c r="Y365" s="103" t="s">
        <v>1685</v>
      </c>
      <c r="AA365" s="103" t="s">
        <v>2164</v>
      </c>
      <c r="AB365" s="103" t="s">
        <v>64</v>
      </c>
      <c r="AE365" s="103" t="s">
        <v>1262</v>
      </c>
      <c r="AF365" s="103" t="b">
        <v>1</v>
      </c>
    </row>
    <row r="366" spans="1:32" hidden="1" x14ac:dyDescent="0.2">
      <c r="A366" s="103" t="s">
        <v>573</v>
      </c>
      <c r="B366" s="103" t="s">
        <v>572</v>
      </c>
      <c r="C366" s="103" t="s">
        <v>107</v>
      </c>
      <c r="D366" s="103" t="s">
        <v>2592</v>
      </c>
      <c r="E366" s="103" t="s">
        <v>2246</v>
      </c>
      <c r="F366" s="103" t="s">
        <v>2151</v>
      </c>
      <c r="G366" s="103">
        <v>100</v>
      </c>
      <c r="H366" s="103" t="s">
        <v>2168</v>
      </c>
      <c r="I366" s="103" t="s">
        <v>2153</v>
      </c>
      <c r="K366" s="103">
        <v>100</v>
      </c>
      <c r="N366" s="103" t="s">
        <v>2163</v>
      </c>
      <c r="O366" s="103">
        <v>100</v>
      </c>
      <c r="P366" s="103" t="s">
        <v>1617</v>
      </c>
      <c r="Q366" s="103" t="s">
        <v>2155</v>
      </c>
      <c r="R366" s="103" t="s">
        <v>2225</v>
      </c>
      <c r="S366" s="103" t="s">
        <v>2229</v>
      </c>
      <c r="U366" s="103">
        <v>100</v>
      </c>
      <c r="V366" s="103" t="s">
        <v>2158</v>
      </c>
      <c r="W366" s="103" t="s">
        <v>107</v>
      </c>
      <c r="X366" s="103" t="s">
        <v>1597</v>
      </c>
      <c r="Y366" s="103" t="s">
        <v>1685</v>
      </c>
      <c r="AA366" s="103" t="s">
        <v>2225</v>
      </c>
      <c r="AB366" s="103" t="s">
        <v>64</v>
      </c>
      <c r="AE366" s="103" t="s">
        <v>1262</v>
      </c>
      <c r="AF366" s="103" t="b">
        <v>1</v>
      </c>
    </row>
    <row r="367" spans="1:32" hidden="1" x14ac:dyDescent="0.2">
      <c r="A367" s="103" t="s">
        <v>573</v>
      </c>
      <c r="B367" s="103" t="s">
        <v>572</v>
      </c>
      <c r="C367" s="103" t="s">
        <v>107</v>
      </c>
      <c r="D367" s="103" t="s">
        <v>2428</v>
      </c>
      <c r="E367" s="103" t="s">
        <v>2586</v>
      </c>
      <c r="G367" s="103">
        <v>10</v>
      </c>
      <c r="H367" s="103" t="s">
        <v>2152</v>
      </c>
      <c r="I367" s="103" t="s">
        <v>2153</v>
      </c>
      <c r="K367" s="103">
        <v>10</v>
      </c>
      <c r="N367" s="103" t="s">
        <v>2163</v>
      </c>
      <c r="O367" s="103">
        <v>10</v>
      </c>
      <c r="P367" s="103" t="s">
        <v>1617</v>
      </c>
      <c r="Q367" s="103" t="s">
        <v>2155</v>
      </c>
      <c r="R367" s="103" t="s">
        <v>2164</v>
      </c>
      <c r="U367" s="103">
        <v>6</v>
      </c>
      <c r="V367" s="103" t="s">
        <v>2158</v>
      </c>
      <c r="W367" s="103" t="s">
        <v>132</v>
      </c>
      <c r="X367" s="103" t="s">
        <v>1597</v>
      </c>
      <c r="Y367" s="103" t="s">
        <v>1685</v>
      </c>
      <c r="AA367" s="103" t="s">
        <v>2164</v>
      </c>
      <c r="AB367" s="103" t="s">
        <v>64</v>
      </c>
      <c r="AE367" s="103" t="s">
        <v>1262</v>
      </c>
      <c r="AF367" s="103" t="b">
        <v>1</v>
      </c>
    </row>
    <row r="368" spans="1:32" hidden="1" x14ac:dyDescent="0.2">
      <c r="A368" s="103" t="s">
        <v>575</v>
      </c>
      <c r="B368" s="103" t="s">
        <v>574</v>
      </c>
      <c r="C368" s="103" t="s">
        <v>107</v>
      </c>
      <c r="D368" s="103" t="s">
        <v>2593</v>
      </c>
      <c r="E368" s="103" t="s">
        <v>2246</v>
      </c>
      <c r="F368" s="103" t="s">
        <v>2151</v>
      </c>
      <c r="G368" s="103">
        <v>150</v>
      </c>
      <c r="H368" s="103" t="s">
        <v>2152</v>
      </c>
      <c r="I368" s="103" t="s">
        <v>2153</v>
      </c>
      <c r="M368" s="103">
        <v>150</v>
      </c>
      <c r="N368" s="103" t="s">
        <v>2154</v>
      </c>
      <c r="O368" s="103">
        <v>150</v>
      </c>
      <c r="P368" s="103" t="s">
        <v>1617</v>
      </c>
      <c r="Q368" s="103" t="s">
        <v>2155</v>
      </c>
      <c r="R368" s="103" t="s">
        <v>2225</v>
      </c>
      <c r="S368" s="103" t="s">
        <v>2229</v>
      </c>
      <c r="U368" s="103">
        <v>150</v>
      </c>
      <c r="V368" s="103" t="s">
        <v>2158</v>
      </c>
      <c r="W368" s="103" t="s">
        <v>107</v>
      </c>
      <c r="X368" s="103" t="s">
        <v>1597</v>
      </c>
      <c r="Y368" s="103" t="s">
        <v>1685</v>
      </c>
      <c r="AA368" s="103" t="s">
        <v>2225</v>
      </c>
      <c r="AB368" s="103" t="s">
        <v>64</v>
      </c>
      <c r="AE368" s="103" t="s">
        <v>1262</v>
      </c>
      <c r="AF368" s="103" t="b">
        <v>1</v>
      </c>
    </row>
    <row r="369" spans="1:32" hidden="1" x14ac:dyDescent="0.2">
      <c r="A369" s="103" t="s">
        <v>575</v>
      </c>
      <c r="B369" s="103" t="s">
        <v>574</v>
      </c>
      <c r="C369" s="103" t="s">
        <v>107</v>
      </c>
      <c r="D369" s="103" t="s">
        <v>2428</v>
      </c>
      <c r="E369" s="103" t="s">
        <v>2586</v>
      </c>
      <c r="G369" s="103">
        <v>11.25</v>
      </c>
      <c r="H369" s="103" t="s">
        <v>2152</v>
      </c>
      <c r="I369" s="103" t="s">
        <v>2153</v>
      </c>
      <c r="M369" s="103">
        <v>11.25</v>
      </c>
      <c r="N369" s="103" t="s">
        <v>2163</v>
      </c>
      <c r="O369" s="103">
        <v>11.25</v>
      </c>
      <c r="P369" s="103" t="s">
        <v>1617</v>
      </c>
      <c r="Q369" s="103" t="s">
        <v>2155</v>
      </c>
      <c r="R369" s="103" t="s">
        <v>2164</v>
      </c>
      <c r="U369" s="103">
        <v>6.75</v>
      </c>
      <c r="V369" s="103" t="s">
        <v>2158</v>
      </c>
      <c r="W369" s="103" t="s">
        <v>132</v>
      </c>
      <c r="X369" s="103" t="s">
        <v>1597</v>
      </c>
      <c r="Y369" s="103" t="s">
        <v>1685</v>
      </c>
      <c r="AA369" s="103" t="s">
        <v>2164</v>
      </c>
      <c r="AB369" s="103" t="s">
        <v>64</v>
      </c>
      <c r="AE369" s="103" t="s">
        <v>1262</v>
      </c>
      <c r="AF369" s="103" t="b">
        <v>1</v>
      </c>
    </row>
    <row r="370" spans="1:32" hidden="1" x14ac:dyDescent="0.2">
      <c r="A370" s="103" t="s">
        <v>577</v>
      </c>
      <c r="B370" s="103" t="s">
        <v>576</v>
      </c>
      <c r="C370" s="103" t="s">
        <v>107</v>
      </c>
      <c r="D370" s="103" t="s">
        <v>2594</v>
      </c>
      <c r="E370" s="103" t="s">
        <v>2246</v>
      </c>
      <c r="F370" s="103" t="s">
        <v>2162</v>
      </c>
      <c r="G370" s="103">
        <v>50</v>
      </c>
      <c r="H370" s="103" t="s">
        <v>2168</v>
      </c>
      <c r="I370" s="103" t="s">
        <v>2153</v>
      </c>
      <c r="L370" s="103">
        <v>50</v>
      </c>
      <c r="N370" s="103" t="s">
        <v>2163</v>
      </c>
      <c r="O370" s="103">
        <v>50</v>
      </c>
      <c r="P370" s="103" t="s">
        <v>1617</v>
      </c>
      <c r="Q370" s="103" t="s">
        <v>2155</v>
      </c>
      <c r="R370" s="103" t="s">
        <v>2225</v>
      </c>
      <c r="S370" s="103" t="s">
        <v>2229</v>
      </c>
      <c r="U370" s="103">
        <v>50</v>
      </c>
      <c r="V370" s="103" t="s">
        <v>2158</v>
      </c>
      <c r="W370" s="103" t="s">
        <v>107</v>
      </c>
      <c r="X370" s="103" t="s">
        <v>1597</v>
      </c>
      <c r="Y370" s="103" t="s">
        <v>1685</v>
      </c>
      <c r="AA370" s="103" t="s">
        <v>2225</v>
      </c>
      <c r="AB370" s="103" t="s">
        <v>64</v>
      </c>
      <c r="AE370" s="103" t="s">
        <v>1262</v>
      </c>
      <c r="AF370" s="103" t="b">
        <v>1</v>
      </c>
    </row>
    <row r="371" spans="1:32" hidden="1" x14ac:dyDescent="0.2">
      <c r="A371" s="103" t="s">
        <v>577</v>
      </c>
      <c r="B371" s="103" t="s">
        <v>576</v>
      </c>
      <c r="C371" s="103" t="s">
        <v>107</v>
      </c>
      <c r="D371" s="103" t="s">
        <v>2428</v>
      </c>
      <c r="E371" s="103" t="s">
        <v>2586</v>
      </c>
      <c r="G371" s="103">
        <v>5</v>
      </c>
      <c r="H371" s="103" t="s">
        <v>2152</v>
      </c>
      <c r="I371" s="103" t="s">
        <v>2153</v>
      </c>
      <c r="L371" s="103">
        <v>5</v>
      </c>
      <c r="N371" s="103" t="s">
        <v>2163</v>
      </c>
      <c r="O371" s="103">
        <v>5</v>
      </c>
      <c r="P371" s="103" t="s">
        <v>1617</v>
      </c>
      <c r="Q371" s="103" t="s">
        <v>2155</v>
      </c>
      <c r="R371" s="103" t="s">
        <v>2164</v>
      </c>
      <c r="U371" s="103">
        <v>3</v>
      </c>
      <c r="V371" s="103" t="s">
        <v>2158</v>
      </c>
      <c r="W371" s="103" t="s">
        <v>132</v>
      </c>
      <c r="X371" s="103" t="s">
        <v>1597</v>
      </c>
      <c r="Y371" s="103" t="s">
        <v>1685</v>
      </c>
      <c r="AA371" s="103" t="s">
        <v>2164</v>
      </c>
      <c r="AB371" s="103" t="s">
        <v>64</v>
      </c>
      <c r="AE371" s="103" t="s">
        <v>1262</v>
      </c>
      <c r="AF371" s="103" t="b">
        <v>1</v>
      </c>
    </row>
    <row r="372" spans="1:32" hidden="1" x14ac:dyDescent="0.2">
      <c r="A372" s="103" t="s">
        <v>579</v>
      </c>
      <c r="B372" s="103" t="s">
        <v>578</v>
      </c>
      <c r="C372" s="103" t="s">
        <v>107</v>
      </c>
      <c r="D372" s="103" t="s">
        <v>2595</v>
      </c>
      <c r="E372" s="103" t="s">
        <v>2246</v>
      </c>
      <c r="F372" s="103" t="s">
        <v>2162</v>
      </c>
      <c r="G372" s="103">
        <v>50</v>
      </c>
      <c r="H372" s="103" t="s">
        <v>2168</v>
      </c>
      <c r="I372" s="103" t="s">
        <v>2153</v>
      </c>
      <c r="K372" s="103">
        <v>50</v>
      </c>
      <c r="N372" s="103" t="s">
        <v>2163</v>
      </c>
      <c r="O372" s="103">
        <v>50</v>
      </c>
      <c r="P372" s="103" t="s">
        <v>1617</v>
      </c>
      <c r="Q372" s="103" t="s">
        <v>2155</v>
      </c>
      <c r="R372" s="103" t="s">
        <v>2225</v>
      </c>
      <c r="S372" s="103" t="s">
        <v>2229</v>
      </c>
      <c r="U372" s="103">
        <v>50</v>
      </c>
      <c r="V372" s="103" t="s">
        <v>2158</v>
      </c>
      <c r="W372" s="103" t="s">
        <v>107</v>
      </c>
      <c r="X372" s="103" t="s">
        <v>1597</v>
      </c>
      <c r="Y372" s="103" t="s">
        <v>1685</v>
      </c>
      <c r="AA372" s="103" t="s">
        <v>2225</v>
      </c>
      <c r="AB372" s="103" t="s">
        <v>64</v>
      </c>
      <c r="AE372" s="103" t="s">
        <v>1262</v>
      </c>
      <c r="AF372" s="103" t="b">
        <v>1</v>
      </c>
    </row>
    <row r="373" spans="1:32" hidden="1" x14ac:dyDescent="0.2">
      <c r="A373" s="103" t="s">
        <v>579</v>
      </c>
      <c r="B373" s="103" t="s">
        <v>578</v>
      </c>
      <c r="C373" s="103" t="s">
        <v>107</v>
      </c>
      <c r="D373" s="103" t="s">
        <v>2428</v>
      </c>
      <c r="E373" s="103" t="s">
        <v>2586</v>
      </c>
      <c r="G373" s="103">
        <v>5</v>
      </c>
      <c r="H373" s="103" t="s">
        <v>2152</v>
      </c>
      <c r="I373" s="103" t="s">
        <v>2153</v>
      </c>
      <c r="K373" s="103">
        <v>5</v>
      </c>
      <c r="N373" s="103" t="s">
        <v>2163</v>
      </c>
      <c r="O373" s="103">
        <v>5</v>
      </c>
      <c r="P373" s="103" t="s">
        <v>1617</v>
      </c>
      <c r="Q373" s="103" t="s">
        <v>2155</v>
      </c>
      <c r="R373" s="103" t="s">
        <v>2164</v>
      </c>
      <c r="U373" s="103">
        <v>3</v>
      </c>
      <c r="V373" s="103" t="s">
        <v>2158</v>
      </c>
      <c r="W373" s="103" t="s">
        <v>132</v>
      </c>
      <c r="X373" s="103" t="s">
        <v>1597</v>
      </c>
      <c r="Y373" s="103" t="s">
        <v>1685</v>
      </c>
      <c r="AA373" s="103" t="s">
        <v>2164</v>
      </c>
      <c r="AB373" s="103" t="s">
        <v>64</v>
      </c>
      <c r="AE373" s="103" t="s">
        <v>1262</v>
      </c>
      <c r="AF373" s="103" t="b">
        <v>1</v>
      </c>
    </row>
    <row r="374" spans="1:32" hidden="1" x14ac:dyDescent="0.2">
      <c r="A374" s="103" t="s">
        <v>581</v>
      </c>
      <c r="B374" s="103" t="s">
        <v>580</v>
      </c>
      <c r="C374" s="103" t="s">
        <v>107</v>
      </c>
      <c r="D374" s="103" t="s">
        <v>2596</v>
      </c>
      <c r="E374" s="103" t="s">
        <v>2246</v>
      </c>
      <c r="F374" s="103" t="s">
        <v>2151</v>
      </c>
      <c r="G374" s="103">
        <v>100</v>
      </c>
      <c r="H374" s="103" t="s">
        <v>2168</v>
      </c>
      <c r="I374" s="103" t="s">
        <v>2153</v>
      </c>
      <c r="L374" s="103">
        <v>100</v>
      </c>
      <c r="N374" s="103" t="s">
        <v>2163</v>
      </c>
      <c r="O374" s="103">
        <v>100</v>
      </c>
      <c r="P374" s="103" t="s">
        <v>1617</v>
      </c>
      <c r="Q374" s="103" t="s">
        <v>2155</v>
      </c>
      <c r="R374" s="103" t="s">
        <v>2225</v>
      </c>
      <c r="S374" s="103" t="s">
        <v>2229</v>
      </c>
      <c r="U374" s="103">
        <v>100</v>
      </c>
      <c r="V374" s="103" t="s">
        <v>2158</v>
      </c>
      <c r="W374" s="103" t="s">
        <v>107</v>
      </c>
      <c r="X374" s="103" t="s">
        <v>1597</v>
      </c>
      <c r="Y374" s="103" t="s">
        <v>1685</v>
      </c>
      <c r="AA374" s="103" t="s">
        <v>2225</v>
      </c>
      <c r="AB374" s="103" t="s">
        <v>64</v>
      </c>
      <c r="AE374" s="103" t="s">
        <v>1262</v>
      </c>
      <c r="AF374" s="103" t="b">
        <v>1</v>
      </c>
    </row>
    <row r="375" spans="1:32" hidden="1" x14ac:dyDescent="0.2">
      <c r="A375" s="103" t="s">
        <v>581</v>
      </c>
      <c r="B375" s="103" t="s">
        <v>580</v>
      </c>
      <c r="C375" s="103" t="s">
        <v>107</v>
      </c>
      <c r="D375" s="103" t="s">
        <v>2428</v>
      </c>
      <c r="E375" s="103" t="s">
        <v>2586</v>
      </c>
      <c r="G375" s="103">
        <v>10</v>
      </c>
      <c r="H375" s="103" t="s">
        <v>2152</v>
      </c>
      <c r="I375" s="103" t="s">
        <v>2153</v>
      </c>
      <c r="L375" s="103">
        <v>10</v>
      </c>
      <c r="N375" s="103" t="s">
        <v>2163</v>
      </c>
      <c r="O375" s="103">
        <v>10</v>
      </c>
      <c r="P375" s="103" t="s">
        <v>1617</v>
      </c>
      <c r="Q375" s="103" t="s">
        <v>2155</v>
      </c>
      <c r="R375" s="103" t="s">
        <v>2164</v>
      </c>
      <c r="U375" s="103">
        <v>6</v>
      </c>
      <c r="V375" s="103" t="s">
        <v>2158</v>
      </c>
      <c r="W375" s="103" t="s">
        <v>132</v>
      </c>
      <c r="X375" s="103" t="s">
        <v>1597</v>
      </c>
      <c r="Y375" s="103" t="s">
        <v>1685</v>
      </c>
      <c r="AA375" s="103" t="s">
        <v>2164</v>
      </c>
      <c r="AB375" s="103" t="s">
        <v>64</v>
      </c>
      <c r="AE375" s="103" t="s">
        <v>1262</v>
      </c>
      <c r="AF375" s="103" t="b">
        <v>1</v>
      </c>
    </row>
    <row r="376" spans="1:32" hidden="1" x14ac:dyDescent="0.2">
      <c r="A376" s="103" t="s">
        <v>584</v>
      </c>
      <c r="B376" s="103" t="s">
        <v>583</v>
      </c>
      <c r="C376" s="103" t="s">
        <v>2597</v>
      </c>
      <c r="D376" s="103" t="s">
        <v>2598</v>
      </c>
      <c r="E376" s="103" t="s">
        <v>2244</v>
      </c>
      <c r="F376" s="103" t="s">
        <v>2151</v>
      </c>
      <c r="G376" s="103">
        <v>100</v>
      </c>
      <c r="H376" s="103" t="s">
        <v>2168</v>
      </c>
      <c r="I376" s="103" t="s">
        <v>2153</v>
      </c>
      <c r="K376" s="103">
        <v>100</v>
      </c>
      <c r="N376" s="103" t="s">
        <v>2163</v>
      </c>
      <c r="O376" s="103">
        <v>100</v>
      </c>
      <c r="P376" s="103" t="s">
        <v>1617</v>
      </c>
      <c r="Q376" s="103" t="s">
        <v>2155</v>
      </c>
      <c r="R376" s="103" t="s">
        <v>2225</v>
      </c>
      <c r="S376" s="103" t="s">
        <v>2192</v>
      </c>
      <c r="U376" s="103">
        <v>48.3</v>
      </c>
      <c r="V376" s="103" t="s">
        <v>2158</v>
      </c>
      <c r="W376" s="103" t="s">
        <v>106</v>
      </c>
      <c r="X376" s="103" t="s">
        <v>1597</v>
      </c>
      <c r="Y376" s="103" t="s">
        <v>1685</v>
      </c>
      <c r="AA376" s="103" t="s">
        <v>2225</v>
      </c>
      <c r="AB376" s="103" t="s">
        <v>64</v>
      </c>
      <c r="AE376" s="103" t="s">
        <v>750</v>
      </c>
      <c r="AF376" s="103" t="b">
        <v>1</v>
      </c>
    </row>
    <row r="377" spans="1:32" hidden="1" x14ac:dyDescent="0.2">
      <c r="A377" s="103" t="s">
        <v>584</v>
      </c>
      <c r="B377" s="103" t="s">
        <v>583</v>
      </c>
      <c r="C377" s="103" t="s">
        <v>2597</v>
      </c>
      <c r="D377" s="103" t="s">
        <v>2599</v>
      </c>
      <c r="E377" s="103" t="s">
        <v>2242</v>
      </c>
      <c r="F377" s="103" t="s">
        <v>2175</v>
      </c>
      <c r="G377" s="103">
        <v>10</v>
      </c>
      <c r="H377" s="103" t="s">
        <v>2152</v>
      </c>
      <c r="I377" s="103" t="s">
        <v>2153</v>
      </c>
      <c r="K377" s="103">
        <v>10</v>
      </c>
      <c r="N377" s="103" t="s">
        <v>2163</v>
      </c>
      <c r="O377" s="103">
        <v>10</v>
      </c>
      <c r="P377" s="103" t="s">
        <v>1617</v>
      </c>
      <c r="Q377" s="103" t="s">
        <v>2155</v>
      </c>
      <c r="R377" s="103" t="s">
        <v>2225</v>
      </c>
      <c r="S377" s="103" t="s">
        <v>2192</v>
      </c>
      <c r="U377" s="103">
        <v>4.83</v>
      </c>
      <c r="V377" s="103" t="s">
        <v>2158</v>
      </c>
      <c r="W377" s="103" t="s">
        <v>106</v>
      </c>
      <c r="X377" s="103" t="s">
        <v>1597</v>
      </c>
      <c r="Y377" s="103" t="s">
        <v>1685</v>
      </c>
      <c r="AA377" s="103" t="s">
        <v>2225</v>
      </c>
      <c r="AB377" s="103" t="s">
        <v>64</v>
      </c>
      <c r="AE377" s="103" t="s">
        <v>750</v>
      </c>
      <c r="AF377" s="103" t="b">
        <v>1</v>
      </c>
    </row>
    <row r="378" spans="1:32" hidden="1" x14ac:dyDescent="0.2">
      <c r="A378" s="103" t="s">
        <v>584</v>
      </c>
      <c r="B378" s="103" t="s">
        <v>583</v>
      </c>
      <c r="C378" s="103" t="s">
        <v>2597</v>
      </c>
      <c r="D378" s="103" t="s">
        <v>2428</v>
      </c>
      <c r="E378" s="103" t="s">
        <v>2586</v>
      </c>
      <c r="G378" s="103">
        <v>8.25</v>
      </c>
      <c r="H378" s="103" t="s">
        <v>2152</v>
      </c>
      <c r="I378" s="103" t="s">
        <v>2153</v>
      </c>
      <c r="K378" s="103">
        <v>8.25</v>
      </c>
      <c r="N378" s="103" t="s">
        <v>2163</v>
      </c>
      <c r="O378" s="103">
        <v>8.25</v>
      </c>
      <c r="P378" s="103" t="s">
        <v>1617</v>
      </c>
      <c r="Q378" s="103" t="s">
        <v>2155</v>
      </c>
      <c r="R378" s="103" t="s">
        <v>2164</v>
      </c>
      <c r="U378" s="103">
        <v>4.95</v>
      </c>
      <c r="V378" s="103" t="s">
        <v>2158</v>
      </c>
      <c r="W378" s="103" t="s">
        <v>132</v>
      </c>
      <c r="X378" s="103" t="s">
        <v>1597</v>
      </c>
      <c r="Y378" s="103" t="s">
        <v>1685</v>
      </c>
      <c r="AA378" s="103" t="s">
        <v>2164</v>
      </c>
      <c r="AB378" s="103" t="s">
        <v>64</v>
      </c>
      <c r="AE378" s="103" t="s">
        <v>750</v>
      </c>
      <c r="AF378" s="103" t="b">
        <v>1</v>
      </c>
    </row>
    <row r="379" spans="1:32" hidden="1" x14ac:dyDescent="0.2">
      <c r="A379" s="103" t="s">
        <v>586</v>
      </c>
      <c r="B379" s="103" t="s">
        <v>585</v>
      </c>
      <c r="C379" s="103" t="s">
        <v>2597</v>
      </c>
      <c r="D379" s="103" t="s">
        <v>2600</v>
      </c>
      <c r="E379" s="103" t="s">
        <v>2601</v>
      </c>
      <c r="F379" s="103" t="s">
        <v>2162</v>
      </c>
      <c r="G379" s="103">
        <v>50</v>
      </c>
      <c r="H379" s="103" t="s">
        <v>2168</v>
      </c>
      <c r="I379" s="103" t="s">
        <v>2153</v>
      </c>
      <c r="L379" s="103">
        <v>50</v>
      </c>
      <c r="N379" s="103" t="s">
        <v>2163</v>
      </c>
      <c r="O379" s="103">
        <v>50</v>
      </c>
      <c r="P379" s="103" t="s">
        <v>1617</v>
      </c>
      <c r="Q379" s="103" t="s">
        <v>2155</v>
      </c>
      <c r="R379" s="103" t="s">
        <v>2225</v>
      </c>
      <c r="S379" s="103" t="s">
        <v>2192</v>
      </c>
      <c r="U379" s="103">
        <v>24.15</v>
      </c>
      <c r="V379" s="103" t="s">
        <v>2158</v>
      </c>
      <c r="W379" s="103" t="s">
        <v>106</v>
      </c>
      <c r="X379" s="103" t="s">
        <v>1597</v>
      </c>
      <c r="Y379" s="103" t="s">
        <v>1685</v>
      </c>
      <c r="AA379" s="103" t="s">
        <v>2225</v>
      </c>
      <c r="AB379" s="103" t="s">
        <v>64</v>
      </c>
      <c r="AE379" s="103" t="s">
        <v>750</v>
      </c>
      <c r="AF379" s="103" t="b">
        <v>1</v>
      </c>
    </row>
    <row r="380" spans="1:32" hidden="1" x14ac:dyDescent="0.2">
      <c r="A380" s="103" t="s">
        <v>586</v>
      </c>
      <c r="B380" s="103" t="s">
        <v>585</v>
      </c>
      <c r="C380" s="103" t="s">
        <v>2597</v>
      </c>
      <c r="D380" s="103" t="s">
        <v>2602</v>
      </c>
      <c r="E380" s="103" t="s">
        <v>2603</v>
      </c>
      <c r="F380" s="103" t="s">
        <v>2202</v>
      </c>
      <c r="G380" s="103">
        <v>150</v>
      </c>
      <c r="H380" s="103" t="s">
        <v>2152</v>
      </c>
      <c r="I380" s="103" t="s">
        <v>2153</v>
      </c>
      <c r="J380" s="103">
        <v>0</v>
      </c>
      <c r="K380" s="103">
        <v>0</v>
      </c>
      <c r="L380" s="103">
        <v>150</v>
      </c>
      <c r="N380" s="103" t="s">
        <v>2163</v>
      </c>
      <c r="O380" s="103">
        <v>150</v>
      </c>
      <c r="P380" s="103" t="s">
        <v>1617</v>
      </c>
      <c r="Q380" s="103" t="s">
        <v>2155</v>
      </c>
      <c r="R380" s="103" t="s">
        <v>121</v>
      </c>
      <c r="S380" s="103" t="s">
        <v>2427</v>
      </c>
      <c r="U380" s="103">
        <v>76.95</v>
      </c>
      <c r="V380" s="103" t="s">
        <v>2158</v>
      </c>
      <c r="W380" s="103" t="s">
        <v>121</v>
      </c>
      <c r="X380" s="103" t="s">
        <v>1597</v>
      </c>
      <c r="Y380" s="103" t="s">
        <v>1685</v>
      </c>
      <c r="AA380" s="103" t="s">
        <v>121</v>
      </c>
      <c r="AB380" s="103" t="s">
        <v>64</v>
      </c>
      <c r="AE380" s="103" t="s">
        <v>750</v>
      </c>
      <c r="AF380" s="103" t="b">
        <v>1</v>
      </c>
    </row>
    <row r="381" spans="1:32" hidden="1" x14ac:dyDescent="0.2">
      <c r="A381" s="103" t="s">
        <v>586</v>
      </c>
      <c r="B381" s="103" t="s">
        <v>585</v>
      </c>
      <c r="C381" s="103" t="s">
        <v>2597</v>
      </c>
      <c r="D381" s="103" t="s">
        <v>2428</v>
      </c>
      <c r="E381" s="103" t="s">
        <v>2586</v>
      </c>
      <c r="G381" s="103">
        <v>15</v>
      </c>
      <c r="H381" s="103" t="s">
        <v>2152</v>
      </c>
      <c r="I381" s="103" t="s">
        <v>2153</v>
      </c>
      <c r="L381" s="103">
        <v>15</v>
      </c>
      <c r="N381" s="103" t="s">
        <v>2163</v>
      </c>
      <c r="O381" s="103">
        <v>15</v>
      </c>
      <c r="P381" s="103" t="s">
        <v>1617</v>
      </c>
      <c r="Q381" s="103" t="s">
        <v>2155</v>
      </c>
      <c r="R381" s="103" t="s">
        <v>2164</v>
      </c>
      <c r="U381" s="103">
        <v>9</v>
      </c>
      <c r="V381" s="103" t="s">
        <v>2158</v>
      </c>
      <c r="W381" s="103" t="s">
        <v>132</v>
      </c>
      <c r="X381" s="103" t="s">
        <v>1597</v>
      </c>
      <c r="Y381" s="103" t="s">
        <v>1685</v>
      </c>
      <c r="AA381" s="103" t="s">
        <v>2164</v>
      </c>
      <c r="AB381" s="103" t="s">
        <v>64</v>
      </c>
      <c r="AE381" s="103" t="s">
        <v>750</v>
      </c>
      <c r="AF381" s="103" t="b">
        <v>1</v>
      </c>
    </row>
    <row r="382" spans="1:32" hidden="1" x14ac:dyDescent="0.2">
      <c r="A382" s="103" t="s">
        <v>588</v>
      </c>
      <c r="B382" s="103" t="s">
        <v>587</v>
      </c>
      <c r="C382" s="103" t="s">
        <v>23</v>
      </c>
      <c r="D382" s="103" t="s">
        <v>2604</v>
      </c>
      <c r="E382" s="103" t="s">
        <v>2605</v>
      </c>
      <c r="F382" s="103" t="s">
        <v>2151</v>
      </c>
      <c r="G382" s="103">
        <v>100</v>
      </c>
      <c r="H382" s="103" t="s">
        <v>2168</v>
      </c>
      <c r="I382" s="103" t="s">
        <v>2153</v>
      </c>
      <c r="J382" s="103">
        <v>100</v>
      </c>
      <c r="N382" s="103" t="s">
        <v>2163</v>
      </c>
      <c r="O382" s="103">
        <v>100</v>
      </c>
      <c r="P382" s="103" t="s">
        <v>1679</v>
      </c>
      <c r="Q382" s="103" t="s">
        <v>2155</v>
      </c>
      <c r="R382" s="103" t="s">
        <v>2225</v>
      </c>
      <c r="S382" s="103" t="s">
        <v>2157</v>
      </c>
      <c r="U382" s="103">
        <v>48.3</v>
      </c>
      <c r="V382" s="103" t="s">
        <v>2158</v>
      </c>
      <c r="W382" s="103" t="s">
        <v>106</v>
      </c>
      <c r="X382" s="103" t="s">
        <v>1597</v>
      </c>
      <c r="Y382" s="103" t="s">
        <v>1685</v>
      </c>
      <c r="AA382" s="103" t="s">
        <v>2225</v>
      </c>
      <c r="AB382" s="103" t="s">
        <v>64</v>
      </c>
      <c r="AE382" s="103" t="s">
        <v>750</v>
      </c>
      <c r="AF382" s="103" t="b">
        <v>1</v>
      </c>
    </row>
    <row r="383" spans="1:32" hidden="1" x14ac:dyDescent="0.2">
      <c r="A383" s="103" t="s">
        <v>588</v>
      </c>
      <c r="B383" s="103" t="s">
        <v>587</v>
      </c>
      <c r="C383" s="103" t="s">
        <v>23</v>
      </c>
      <c r="D383" s="103" t="s">
        <v>2428</v>
      </c>
      <c r="E383" s="103" t="s">
        <v>2586</v>
      </c>
      <c r="G383" s="103">
        <v>7.5</v>
      </c>
      <c r="H383" s="103" t="s">
        <v>2152</v>
      </c>
      <c r="I383" s="103" t="s">
        <v>2153</v>
      </c>
      <c r="J383" s="103">
        <v>7.5</v>
      </c>
      <c r="N383" s="103" t="s">
        <v>2163</v>
      </c>
      <c r="O383" s="103">
        <v>7.5</v>
      </c>
      <c r="P383" s="103" t="s">
        <v>1679</v>
      </c>
      <c r="Q383" s="103" t="s">
        <v>2155</v>
      </c>
      <c r="R383" s="103" t="s">
        <v>2164</v>
      </c>
      <c r="U383" s="103">
        <v>4.5</v>
      </c>
      <c r="V383" s="103" t="s">
        <v>2158</v>
      </c>
      <c r="W383" s="103" t="s">
        <v>132</v>
      </c>
      <c r="X383" s="103" t="s">
        <v>1597</v>
      </c>
      <c r="Y383" s="103" t="s">
        <v>1685</v>
      </c>
      <c r="AA383" s="103" t="s">
        <v>2164</v>
      </c>
      <c r="AB383" s="103" t="s">
        <v>64</v>
      </c>
      <c r="AE383" s="103" t="s">
        <v>750</v>
      </c>
      <c r="AF383" s="103" t="b">
        <v>1</v>
      </c>
    </row>
    <row r="384" spans="1:32" hidden="1" x14ac:dyDescent="0.2">
      <c r="A384" s="103" t="s">
        <v>590</v>
      </c>
      <c r="B384" s="103" t="s">
        <v>589</v>
      </c>
      <c r="C384" s="103" t="s">
        <v>2606</v>
      </c>
      <c r="D384" s="103" t="s">
        <v>2607</v>
      </c>
      <c r="E384" s="103" t="s">
        <v>2605</v>
      </c>
      <c r="F384" s="103" t="s">
        <v>2162</v>
      </c>
      <c r="G384" s="103">
        <v>50</v>
      </c>
      <c r="H384" s="103" t="s">
        <v>2168</v>
      </c>
      <c r="I384" s="103" t="s">
        <v>2153</v>
      </c>
      <c r="L384" s="103">
        <v>50</v>
      </c>
      <c r="N384" s="103" t="s">
        <v>2163</v>
      </c>
      <c r="O384" s="103">
        <v>50</v>
      </c>
      <c r="P384" s="103" t="s">
        <v>1679</v>
      </c>
      <c r="Q384" s="103" t="s">
        <v>2155</v>
      </c>
      <c r="R384" s="103" t="s">
        <v>2225</v>
      </c>
      <c r="S384" s="103" t="s">
        <v>2251</v>
      </c>
      <c r="U384" s="103">
        <v>24.15</v>
      </c>
      <c r="V384" s="103" t="s">
        <v>2158</v>
      </c>
      <c r="W384" s="103" t="s">
        <v>106</v>
      </c>
      <c r="X384" s="103" t="s">
        <v>1597</v>
      </c>
      <c r="Y384" s="103" t="s">
        <v>1685</v>
      </c>
      <c r="AA384" s="103" t="s">
        <v>2225</v>
      </c>
      <c r="AB384" s="103" t="s">
        <v>64</v>
      </c>
      <c r="AE384" s="103" t="s">
        <v>750</v>
      </c>
      <c r="AF384" s="103" t="b">
        <v>1</v>
      </c>
    </row>
    <row r="385" spans="1:32" hidden="1" x14ac:dyDescent="0.2">
      <c r="A385" s="103" t="s">
        <v>590</v>
      </c>
      <c r="B385" s="103" t="s">
        <v>589</v>
      </c>
      <c r="C385" s="103" t="s">
        <v>23</v>
      </c>
      <c r="D385" s="103" t="s">
        <v>2608</v>
      </c>
      <c r="E385" s="103" t="s">
        <v>2605</v>
      </c>
      <c r="F385" s="103" t="s">
        <v>2162</v>
      </c>
      <c r="G385" s="103">
        <v>50</v>
      </c>
      <c r="H385" s="103" t="s">
        <v>2168</v>
      </c>
      <c r="I385" s="103" t="s">
        <v>2153</v>
      </c>
      <c r="J385" s="103">
        <v>50</v>
      </c>
      <c r="N385" s="103" t="s">
        <v>2163</v>
      </c>
      <c r="O385" s="103">
        <v>50</v>
      </c>
      <c r="P385" s="103" t="s">
        <v>1679</v>
      </c>
      <c r="Q385" s="103" t="s">
        <v>2155</v>
      </c>
      <c r="R385" s="103" t="s">
        <v>2225</v>
      </c>
      <c r="S385" s="103" t="s">
        <v>2157</v>
      </c>
      <c r="U385" s="103">
        <v>24.15</v>
      </c>
      <c r="V385" s="103" t="s">
        <v>2158</v>
      </c>
      <c r="W385" s="103" t="s">
        <v>106</v>
      </c>
      <c r="X385" s="103" t="s">
        <v>1597</v>
      </c>
      <c r="Y385" s="103" t="s">
        <v>1685</v>
      </c>
      <c r="AA385" s="103" t="s">
        <v>2225</v>
      </c>
      <c r="AB385" s="103" t="s">
        <v>64</v>
      </c>
      <c r="AE385" s="103" t="s">
        <v>750</v>
      </c>
      <c r="AF385" s="103" t="b">
        <v>1</v>
      </c>
    </row>
    <row r="386" spans="1:32" hidden="1" x14ac:dyDescent="0.2">
      <c r="A386" s="103" t="s">
        <v>590</v>
      </c>
      <c r="B386" s="103" t="s">
        <v>589</v>
      </c>
      <c r="C386" s="103" t="s">
        <v>2606</v>
      </c>
      <c r="D386" s="103" t="s">
        <v>2428</v>
      </c>
      <c r="E386" s="103" t="s">
        <v>2586</v>
      </c>
      <c r="F386" s="103" t="s">
        <v>2175</v>
      </c>
      <c r="G386" s="103">
        <v>7.5</v>
      </c>
      <c r="H386" s="103" t="s">
        <v>2152</v>
      </c>
      <c r="I386" s="103" t="s">
        <v>2153</v>
      </c>
      <c r="J386" s="103">
        <v>4</v>
      </c>
      <c r="L386" s="103">
        <v>3.5</v>
      </c>
      <c r="N386" s="103" t="s">
        <v>2163</v>
      </c>
      <c r="O386" s="103">
        <v>7.5</v>
      </c>
      <c r="P386" s="103" t="s">
        <v>1679</v>
      </c>
      <c r="Q386" s="103" t="s">
        <v>2155</v>
      </c>
      <c r="R386" s="103" t="s">
        <v>2164</v>
      </c>
      <c r="U386" s="103">
        <v>4.5</v>
      </c>
      <c r="V386" s="103" t="s">
        <v>2158</v>
      </c>
      <c r="W386" s="103" t="s">
        <v>132</v>
      </c>
      <c r="X386" s="103" t="s">
        <v>1597</v>
      </c>
      <c r="Y386" s="103" t="s">
        <v>1685</v>
      </c>
      <c r="AA386" s="103" t="s">
        <v>2164</v>
      </c>
      <c r="AB386" s="103" t="s">
        <v>64</v>
      </c>
      <c r="AE386" s="103" t="s">
        <v>750</v>
      </c>
      <c r="AF386" s="103" t="b">
        <v>1</v>
      </c>
    </row>
    <row r="387" spans="1:32" hidden="1" x14ac:dyDescent="0.2">
      <c r="A387" s="103" t="s">
        <v>592</v>
      </c>
      <c r="B387" s="103" t="s">
        <v>591</v>
      </c>
      <c r="C387" s="103" t="s">
        <v>603</v>
      </c>
      <c r="D387" s="103" t="s">
        <v>2609</v>
      </c>
      <c r="E387" s="103" t="s">
        <v>2605</v>
      </c>
      <c r="F387" s="103" t="s">
        <v>2151</v>
      </c>
      <c r="G387" s="103">
        <v>100</v>
      </c>
      <c r="H387" s="103" t="s">
        <v>2168</v>
      </c>
      <c r="I387" s="103" t="s">
        <v>2153</v>
      </c>
      <c r="J387" s="103">
        <v>100</v>
      </c>
      <c r="N387" s="103" t="s">
        <v>2163</v>
      </c>
      <c r="O387" s="103">
        <v>100</v>
      </c>
      <c r="P387" s="103" t="s">
        <v>1679</v>
      </c>
      <c r="Q387" s="103" t="s">
        <v>2155</v>
      </c>
      <c r="R387" s="103" t="s">
        <v>2225</v>
      </c>
      <c r="S387" s="103" t="s">
        <v>2251</v>
      </c>
      <c r="U387" s="103">
        <v>48.3</v>
      </c>
      <c r="V387" s="103" t="s">
        <v>2158</v>
      </c>
      <c r="W387" s="103" t="s">
        <v>106</v>
      </c>
      <c r="X387" s="103" t="s">
        <v>1597</v>
      </c>
      <c r="Y387" s="103" t="s">
        <v>1685</v>
      </c>
      <c r="AA387" s="103" t="s">
        <v>2225</v>
      </c>
      <c r="AB387" s="103" t="s">
        <v>64</v>
      </c>
      <c r="AE387" s="103" t="s">
        <v>750</v>
      </c>
      <c r="AF387" s="103" t="b">
        <v>1</v>
      </c>
    </row>
    <row r="388" spans="1:32" hidden="1" x14ac:dyDescent="0.2">
      <c r="A388" s="103" t="s">
        <v>592</v>
      </c>
      <c r="B388" s="103" t="s">
        <v>591</v>
      </c>
      <c r="C388" s="103" t="s">
        <v>603</v>
      </c>
      <c r="D388" s="103" t="s">
        <v>2610</v>
      </c>
      <c r="E388" s="103" t="s">
        <v>2601</v>
      </c>
      <c r="F388" s="103" t="s">
        <v>2162</v>
      </c>
      <c r="G388" s="103">
        <v>70</v>
      </c>
      <c r="H388" s="103" t="s">
        <v>2152</v>
      </c>
      <c r="I388" s="103" t="s">
        <v>2153</v>
      </c>
      <c r="J388" s="103">
        <v>70</v>
      </c>
      <c r="N388" s="103" t="s">
        <v>2163</v>
      </c>
      <c r="O388" s="103">
        <v>70</v>
      </c>
      <c r="P388" s="103" t="s">
        <v>1679</v>
      </c>
      <c r="Q388" s="103" t="s">
        <v>2155</v>
      </c>
      <c r="R388" s="103" t="s">
        <v>2225</v>
      </c>
      <c r="S388" s="103" t="s">
        <v>2192</v>
      </c>
      <c r="U388" s="103">
        <v>33.81</v>
      </c>
      <c r="V388" s="103" t="s">
        <v>2158</v>
      </c>
      <c r="W388" s="103" t="s">
        <v>106</v>
      </c>
      <c r="X388" s="103" t="s">
        <v>1597</v>
      </c>
      <c r="Y388" s="103" t="s">
        <v>1685</v>
      </c>
      <c r="AA388" s="103" t="s">
        <v>2225</v>
      </c>
      <c r="AB388" s="103" t="s">
        <v>64</v>
      </c>
      <c r="AE388" s="103" t="s">
        <v>750</v>
      </c>
      <c r="AF388" s="103" t="b">
        <v>1</v>
      </c>
    </row>
    <row r="389" spans="1:32" hidden="1" x14ac:dyDescent="0.2">
      <c r="A389" s="103" t="s">
        <v>592</v>
      </c>
      <c r="B389" s="103" t="s">
        <v>591</v>
      </c>
      <c r="C389" s="103" t="s">
        <v>603</v>
      </c>
      <c r="D389" s="103" t="s">
        <v>2611</v>
      </c>
      <c r="E389" s="103" t="s">
        <v>2601</v>
      </c>
      <c r="F389" s="103" t="s">
        <v>2151</v>
      </c>
      <c r="G389" s="103">
        <v>80</v>
      </c>
      <c r="H389" s="103" t="s">
        <v>2152</v>
      </c>
      <c r="I389" s="103" t="s">
        <v>2153</v>
      </c>
      <c r="J389" s="103">
        <v>80</v>
      </c>
      <c r="N389" s="103" t="s">
        <v>2163</v>
      </c>
      <c r="O389" s="103">
        <v>80</v>
      </c>
      <c r="P389" s="103" t="s">
        <v>1232</v>
      </c>
      <c r="Q389" s="103" t="s">
        <v>2155</v>
      </c>
      <c r="R389" s="103" t="s">
        <v>2225</v>
      </c>
      <c r="S389" s="103" t="s">
        <v>2192</v>
      </c>
      <c r="U389" s="103">
        <v>38.64</v>
      </c>
      <c r="V389" s="103" t="s">
        <v>2158</v>
      </c>
      <c r="W389" s="103" t="s">
        <v>106</v>
      </c>
      <c r="X389" s="103" t="s">
        <v>1597</v>
      </c>
      <c r="Y389" s="103" t="s">
        <v>1685</v>
      </c>
      <c r="AA389" s="103" t="s">
        <v>2225</v>
      </c>
      <c r="AB389" s="103" t="s">
        <v>64</v>
      </c>
      <c r="AE389" s="103" t="s">
        <v>750</v>
      </c>
      <c r="AF389" s="103" t="b">
        <v>1</v>
      </c>
    </row>
    <row r="390" spans="1:32" hidden="1" x14ac:dyDescent="0.2">
      <c r="A390" s="103" t="s">
        <v>592</v>
      </c>
      <c r="B390" s="103" t="s">
        <v>591</v>
      </c>
      <c r="C390" s="103" t="s">
        <v>603</v>
      </c>
      <c r="D390" s="103" t="s">
        <v>2428</v>
      </c>
      <c r="E390" s="103" t="s">
        <v>2586</v>
      </c>
      <c r="F390" s="103" t="s">
        <v>2175</v>
      </c>
      <c r="G390" s="103">
        <v>18.75</v>
      </c>
      <c r="H390" s="103" t="s">
        <v>2152</v>
      </c>
      <c r="I390" s="103" t="s">
        <v>2153</v>
      </c>
      <c r="J390" s="103">
        <v>18.75</v>
      </c>
      <c r="N390" s="103" t="s">
        <v>2163</v>
      </c>
      <c r="O390" s="103">
        <v>18.75</v>
      </c>
      <c r="P390" s="103" t="s">
        <v>1679</v>
      </c>
      <c r="Q390" s="103" t="s">
        <v>2155</v>
      </c>
      <c r="R390" s="103" t="s">
        <v>2164</v>
      </c>
      <c r="U390" s="103">
        <v>11.25</v>
      </c>
      <c r="V390" s="103" t="s">
        <v>2158</v>
      </c>
      <c r="W390" s="103" t="s">
        <v>132</v>
      </c>
      <c r="X390" s="103" t="s">
        <v>1597</v>
      </c>
      <c r="Y390" s="103" t="s">
        <v>1685</v>
      </c>
      <c r="AA390" s="103" t="s">
        <v>2164</v>
      </c>
      <c r="AB390" s="103" t="s">
        <v>64</v>
      </c>
      <c r="AE390" s="103" t="s">
        <v>750</v>
      </c>
      <c r="AF390" s="103" t="b">
        <v>1</v>
      </c>
    </row>
    <row r="391" spans="1:32" hidden="1" x14ac:dyDescent="0.2">
      <c r="A391" s="103" t="s">
        <v>593</v>
      </c>
      <c r="B391" s="103" t="s">
        <v>1680</v>
      </c>
      <c r="C391" s="103" t="s">
        <v>1614</v>
      </c>
      <c r="D391" s="103" t="s">
        <v>2612</v>
      </c>
      <c r="E391" s="103" t="s">
        <v>2605</v>
      </c>
      <c r="F391" s="103" t="s">
        <v>2151</v>
      </c>
      <c r="G391" s="103">
        <v>100</v>
      </c>
      <c r="H391" s="103" t="s">
        <v>2168</v>
      </c>
      <c r="I391" s="103" t="s">
        <v>2153</v>
      </c>
      <c r="J391" s="103">
        <v>100</v>
      </c>
      <c r="N391" s="103" t="s">
        <v>2163</v>
      </c>
      <c r="O391" s="103">
        <v>100</v>
      </c>
      <c r="P391" s="103" t="s">
        <v>1679</v>
      </c>
      <c r="Q391" s="103" t="s">
        <v>1614</v>
      </c>
      <c r="R391" s="103" t="s">
        <v>2225</v>
      </c>
      <c r="S391" s="103" t="s">
        <v>2251</v>
      </c>
      <c r="U391" s="103">
        <v>48.3</v>
      </c>
      <c r="V391" s="103" t="s">
        <v>2239</v>
      </c>
      <c r="W391" s="103" t="s">
        <v>106</v>
      </c>
      <c r="X391" s="103" t="s">
        <v>1614</v>
      </c>
      <c r="Y391" s="103" t="s">
        <v>2240</v>
      </c>
      <c r="AA391" s="103" t="s">
        <v>2225</v>
      </c>
      <c r="AB391" s="103" t="s">
        <v>64</v>
      </c>
      <c r="AE391" s="103" t="s">
        <v>1284</v>
      </c>
      <c r="AF391" s="103" t="b">
        <v>1</v>
      </c>
    </row>
    <row r="392" spans="1:32" hidden="1" x14ac:dyDescent="0.2">
      <c r="A392" s="103" t="s">
        <v>593</v>
      </c>
      <c r="B392" s="103" t="s">
        <v>1680</v>
      </c>
      <c r="C392" s="103" t="s">
        <v>1614</v>
      </c>
      <c r="D392" s="103" t="s">
        <v>2613</v>
      </c>
      <c r="E392" s="103" t="s">
        <v>2605</v>
      </c>
      <c r="F392" s="103" t="s">
        <v>2151</v>
      </c>
      <c r="G392" s="103">
        <v>100</v>
      </c>
      <c r="H392" s="103" t="s">
        <v>2168</v>
      </c>
      <c r="I392" s="103" t="s">
        <v>2153</v>
      </c>
      <c r="K392" s="103">
        <v>100</v>
      </c>
      <c r="N392" s="103" t="s">
        <v>2163</v>
      </c>
      <c r="O392" s="103">
        <v>100</v>
      </c>
      <c r="P392" s="103" t="s">
        <v>1679</v>
      </c>
      <c r="Q392" s="103" t="s">
        <v>1614</v>
      </c>
      <c r="R392" s="103" t="s">
        <v>2225</v>
      </c>
      <c r="S392" s="103" t="s">
        <v>2251</v>
      </c>
      <c r="U392" s="103">
        <v>48.3</v>
      </c>
      <c r="V392" s="103" t="s">
        <v>2239</v>
      </c>
      <c r="W392" s="103" t="s">
        <v>106</v>
      </c>
      <c r="X392" s="103" t="s">
        <v>1614</v>
      </c>
      <c r="Y392" s="103" t="s">
        <v>2240</v>
      </c>
      <c r="AA392" s="103" t="s">
        <v>2225</v>
      </c>
      <c r="AB392" s="103" t="s">
        <v>64</v>
      </c>
      <c r="AE392" s="103" t="s">
        <v>1284</v>
      </c>
      <c r="AF392" s="103" t="b">
        <v>1</v>
      </c>
    </row>
    <row r="393" spans="1:32" hidden="1" x14ac:dyDescent="0.2">
      <c r="A393" s="103" t="s">
        <v>595</v>
      </c>
      <c r="B393" s="103" t="s">
        <v>594</v>
      </c>
      <c r="C393" s="103" t="s">
        <v>603</v>
      </c>
      <c r="D393" s="103" t="s">
        <v>2614</v>
      </c>
      <c r="E393" s="103" t="s">
        <v>2605</v>
      </c>
      <c r="F393" s="103" t="s">
        <v>2151</v>
      </c>
      <c r="G393" s="103">
        <v>100</v>
      </c>
      <c r="H393" s="103" t="s">
        <v>2168</v>
      </c>
      <c r="I393" s="103" t="s">
        <v>2153</v>
      </c>
      <c r="L393" s="103">
        <v>100</v>
      </c>
      <c r="N393" s="103" t="s">
        <v>2163</v>
      </c>
      <c r="O393" s="103">
        <v>100</v>
      </c>
      <c r="P393" s="103" t="s">
        <v>1679</v>
      </c>
      <c r="Q393" s="103" t="s">
        <v>2155</v>
      </c>
      <c r="R393" s="103" t="s">
        <v>2225</v>
      </c>
      <c r="S393" s="103" t="s">
        <v>2251</v>
      </c>
      <c r="U393" s="103">
        <v>48.3</v>
      </c>
      <c r="V393" s="103" t="s">
        <v>2158</v>
      </c>
      <c r="W393" s="103" t="s">
        <v>106</v>
      </c>
      <c r="X393" s="103" t="s">
        <v>1597</v>
      </c>
      <c r="Y393" s="103" t="s">
        <v>1685</v>
      </c>
      <c r="AA393" s="103" t="s">
        <v>2225</v>
      </c>
      <c r="AB393" s="103" t="s">
        <v>64</v>
      </c>
      <c r="AE393" s="103" t="s">
        <v>750</v>
      </c>
      <c r="AF393" s="103" t="b">
        <v>1</v>
      </c>
    </row>
    <row r="394" spans="1:32" hidden="1" x14ac:dyDescent="0.2">
      <c r="A394" s="103" t="s">
        <v>595</v>
      </c>
      <c r="B394" s="103" t="s">
        <v>594</v>
      </c>
      <c r="C394" s="103" t="s">
        <v>603</v>
      </c>
      <c r="D394" s="103" t="s">
        <v>2615</v>
      </c>
      <c r="E394" s="103" t="s">
        <v>2601</v>
      </c>
      <c r="F394" s="103" t="s">
        <v>2162</v>
      </c>
      <c r="G394" s="103">
        <v>70</v>
      </c>
      <c r="H394" s="103" t="s">
        <v>2152</v>
      </c>
      <c r="I394" s="103" t="s">
        <v>2153</v>
      </c>
      <c r="M394" s="103">
        <v>70</v>
      </c>
      <c r="N394" s="103" t="s">
        <v>2163</v>
      </c>
      <c r="O394" s="103">
        <v>70</v>
      </c>
      <c r="P394" s="103" t="s">
        <v>1679</v>
      </c>
      <c r="Q394" s="103" t="s">
        <v>2155</v>
      </c>
      <c r="R394" s="103" t="s">
        <v>2225</v>
      </c>
      <c r="S394" s="103" t="s">
        <v>2192</v>
      </c>
      <c r="U394" s="103">
        <v>33.81</v>
      </c>
      <c r="V394" s="103" t="s">
        <v>2158</v>
      </c>
      <c r="W394" s="103" t="s">
        <v>106</v>
      </c>
      <c r="X394" s="103" t="s">
        <v>1597</v>
      </c>
      <c r="Y394" s="103" t="s">
        <v>1685</v>
      </c>
      <c r="AA394" s="103" t="s">
        <v>2225</v>
      </c>
      <c r="AB394" s="103" t="s">
        <v>64</v>
      </c>
      <c r="AE394" s="103" t="s">
        <v>750</v>
      </c>
      <c r="AF394" s="103" t="b">
        <v>1</v>
      </c>
    </row>
    <row r="395" spans="1:32" hidden="1" x14ac:dyDescent="0.2">
      <c r="A395" s="103" t="s">
        <v>595</v>
      </c>
      <c r="B395" s="103" t="s">
        <v>594</v>
      </c>
      <c r="C395" s="103" t="s">
        <v>603</v>
      </c>
      <c r="D395" s="103" t="s">
        <v>2428</v>
      </c>
      <c r="E395" s="103" t="s">
        <v>2586</v>
      </c>
      <c r="G395" s="103">
        <v>17</v>
      </c>
      <c r="H395" s="103" t="s">
        <v>2152</v>
      </c>
      <c r="I395" s="103" t="s">
        <v>2153</v>
      </c>
      <c r="M395" s="103">
        <v>17</v>
      </c>
      <c r="N395" s="103" t="s">
        <v>2163</v>
      </c>
      <c r="O395" s="103">
        <v>17</v>
      </c>
      <c r="P395" s="103" t="s">
        <v>1679</v>
      </c>
      <c r="Q395" s="103" t="s">
        <v>2155</v>
      </c>
      <c r="R395" s="103" t="s">
        <v>2164</v>
      </c>
      <c r="U395" s="103">
        <v>10.199999999999999</v>
      </c>
      <c r="V395" s="103" t="s">
        <v>2158</v>
      </c>
      <c r="W395" s="103" t="s">
        <v>132</v>
      </c>
      <c r="X395" s="103" t="s">
        <v>1597</v>
      </c>
      <c r="Y395" s="103" t="s">
        <v>1685</v>
      </c>
      <c r="AA395" s="103" t="s">
        <v>2164</v>
      </c>
      <c r="AB395" s="103" t="s">
        <v>64</v>
      </c>
      <c r="AE395" s="103" t="s">
        <v>750</v>
      </c>
      <c r="AF395" s="103" t="b">
        <v>1</v>
      </c>
    </row>
    <row r="396" spans="1:32" hidden="1" x14ac:dyDescent="0.2">
      <c r="A396" s="103" t="s">
        <v>597</v>
      </c>
      <c r="B396" s="103" t="s">
        <v>596</v>
      </c>
      <c r="C396" s="103" t="s">
        <v>603</v>
      </c>
      <c r="D396" s="103" t="s">
        <v>2616</v>
      </c>
      <c r="E396" s="103" t="s">
        <v>2605</v>
      </c>
      <c r="F396" s="103" t="s">
        <v>2151</v>
      </c>
      <c r="G396" s="103">
        <v>100</v>
      </c>
      <c r="H396" s="103" t="s">
        <v>2152</v>
      </c>
      <c r="I396" s="103" t="s">
        <v>2153</v>
      </c>
      <c r="M396" s="103">
        <v>100</v>
      </c>
      <c r="N396" s="103" t="s">
        <v>2163</v>
      </c>
      <c r="O396" s="103">
        <v>100</v>
      </c>
      <c r="P396" s="103" t="s">
        <v>1679</v>
      </c>
      <c r="Q396" s="103" t="s">
        <v>2155</v>
      </c>
      <c r="R396" s="103" t="s">
        <v>2225</v>
      </c>
      <c r="S396" s="103" t="s">
        <v>2251</v>
      </c>
      <c r="U396" s="103">
        <v>48.3</v>
      </c>
      <c r="V396" s="103" t="s">
        <v>2158</v>
      </c>
      <c r="W396" s="103" t="s">
        <v>106</v>
      </c>
      <c r="X396" s="103" t="s">
        <v>1597</v>
      </c>
      <c r="Y396" s="103" t="s">
        <v>1685</v>
      </c>
      <c r="AA396" s="103" t="s">
        <v>2225</v>
      </c>
      <c r="AB396" s="103" t="s">
        <v>64</v>
      </c>
      <c r="AE396" s="103" t="s">
        <v>750</v>
      </c>
      <c r="AF396" s="103" t="b">
        <v>1</v>
      </c>
    </row>
    <row r="397" spans="1:32" hidden="1" x14ac:dyDescent="0.2">
      <c r="A397" s="103" t="s">
        <v>597</v>
      </c>
      <c r="B397" s="103" t="s">
        <v>596</v>
      </c>
      <c r="C397" s="103" t="s">
        <v>603</v>
      </c>
      <c r="D397" s="103" t="s">
        <v>2617</v>
      </c>
      <c r="E397" s="103" t="s">
        <v>2601</v>
      </c>
      <c r="F397" s="103" t="s">
        <v>2162</v>
      </c>
      <c r="G397" s="103">
        <v>70</v>
      </c>
      <c r="H397" s="103" t="s">
        <v>2152</v>
      </c>
      <c r="I397" s="103" t="s">
        <v>2153</v>
      </c>
      <c r="M397" s="103">
        <v>70</v>
      </c>
      <c r="N397" s="103" t="s">
        <v>2163</v>
      </c>
      <c r="O397" s="103">
        <v>70</v>
      </c>
      <c r="P397" s="103" t="s">
        <v>1679</v>
      </c>
      <c r="Q397" s="103" t="s">
        <v>2155</v>
      </c>
      <c r="R397" s="103" t="s">
        <v>2225</v>
      </c>
      <c r="S397" s="103" t="s">
        <v>2192</v>
      </c>
      <c r="U397" s="103">
        <v>33.81</v>
      </c>
      <c r="V397" s="103" t="s">
        <v>2158</v>
      </c>
      <c r="W397" s="103" t="s">
        <v>106</v>
      </c>
      <c r="X397" s="103" t="s">
        <v>1597</v>
      </c>
      <c r="Y397" s="103" t="s">
        <v>1685</v>
      </c>
      <c r="AA397" s="103" t="s">
        <v>2225</v>
      </c>
      <c r="AB397" s="103" t="s">
        <v>64</v>
      </c>
      <c r="AE397" s="103" t="s">
        <v>750</v>
      </c>
      <c r="AF397" s="103" t="b">
        <v>1</v>
      </c>
    </row>
    <row r="398" spans="1:32" hidden="1" x14ac:dyDescent="0.2">
      <c r="A398" s="103" t="s">
        <v>597</v>
      </c>
      <c r="B398" s="103" t="s">
        <v>596</v>
      </c>
      <c r="C398" s="103" t="s">
        <v>603</v>
      </c>
      <c r="D398" s="103" t="s">
        <v>2428</v>
      </c>
      <c r="E398" s="103" t="s">
        <v>2586</v>
      </c>
      <c r="G398" s="103">
        <v>12.75</v>
      </c>
      <c r="H398" s="103" t="s">
        <v>2152</v>
      </c>
      <c r="I398" s="103" t="s">
        <v>2153</v>
      </c>
      <c r="M398" s="103">
        <v>12.75</v>
      </c>
      <c r="N398" s="103" t="s">
        <v>2163</v>
      </c>
      <c r="O398" s="103">
        <v>12.75</v>
      </c>
      <c r="P398" s="103" t="s">
        <v>1679</v>
      </c>
      <c r="Q398" s="103" t="s">
        <v>2155</v>
      </c>
      <c r="R398" s="103" t="s">
        <v>2164</v>
      </c>
      <c r="U398" s="103">
        <v>7.65</v>
      </c>
      <c r="V398" s="103" t="s">
        <v>2158</v>
      </c>
      <c r="W398" s="103" t="s">
        <v>132</v>
      </c>
      <c r="X398" s="103" t="s">
        <v>1597</v>
      </c>
      <c r="Y398" s="103" t="s">
        <v>1685</v>
      </c>
      <c r="AA398" s="103" t="s">
        <v>2164</v>
      </c>
      <c r="AB398" s="103" t="s">
        <v>64</v>
      </c>
      <c r="AE398" s="103" t="s">
        <v>750</v>
      </c>
      <c r="AF398" s="103" t="b">
        <v>1</v>
      </c>
    </row>
    <row r="399" spans="1:32" hidden="1" x14ac:dyDescent="0.2">
      <c r="A399" s="103" t="s">
        <v>599</v>
      </c>
      <c r="B399" s="103" t="s">
        <v>598</v>
      </c>
      <c r="C399" s="103" t="s">
        <v>603</v>
      </c>
      <c r="D399" s="103" t="s">
        <v>2618</v>
      </c>
      <c r="E399" s="103" t="s">
        <v>2605</v>
      </c>
      <c r="F399" s="103" t="s">
        <v>2151</v>
      </c>
      <c r="G399" s="103">
        <v>100</v>
      </c>
      <c r="H399" s="103" t="s">
        <v>2168</v>
      </c>
      <c r="I399" s="103" t="s">
        <v>2153</v>
      </c>
      <c r="M399" s="103">
        <v>100</v>
      </c>
      <c r="N399" s="103" t="s">
        <v>2163</v>
      </c>
      <c r="O399" s="103">
        <v>100</v>
      </c>
      <c r="P399" s="103" t="s">
        <v>1679</v>
      </c>
      <c r="Q399" s="103" t="s">
        <v>2155</v>
      </c>
      <c r="R399" s="103" t="s">
        <v>2225</v>
      </c>
      <c r="S399" s="103" t="s">
        <v>2251</v>
      </c>
      <c r="U399" s="103">
        <v>48.3</v>
      </c>
      <c r="V399" s="103" t="s">
        <v>2158</v>
      </c>
      <c r="W399" s="103" t="s">
        <v>106</v>
      </c>
      <c r="X399" s="103" t="s">
        <v>1597</v>
      </c>
      <c r="Y399" s="103" t="s">
        <v>1685</v>
      </c>
      <c r="AA399" s="103" t="s">
        <v>2225</v>
      </c>
      <c r="AB399" s="103" t="s">
        <v>64</v>
      </c>
      <c r="AE399" s="103" t="s">
        <v>750</v>
      </c>
      <c r="AF399" s="103" t="b">
        <v>1</v>
      </c>
    </row>
    <row r="400" spans="1:32" hidden="1" x14ac:dyDescent="0.2">
      <c r="A400" s="103" t="s">
        <v>599</v>
      </c>
      <c r="B400" s="103" t="s">
        <v>598</v>
      </c>
      <c r="C400" s="103" t="s">
        <v>603</v>
      </c>
      <c r="D400" s="103" t="s">
        <v>2619</v>
      </c>
      <c r="E400" s="103" t="s">
        <v>2601</v>
      </c>
      <c r="F400" s="103" t="s">
        <v>2162</v>
      </c>
      <c r="G400" s="103">
        <v>70</v>
      </c>
      <c r="H400" s="103" t="s">
        <v>2152</v>
      </c>
      <c r="I400" s="103" t="s">
        <v>2153</v>
      </c>
      <c r="M400" s="103">
        <v>70</v>
      </c>
      <c r="N400" s="103" t="s">
        <v>2163</v>
      </c>
      <c r="O400" s="103">
        <v>70</v>
      </c>
      <c r="P400" s="103" t="s">
        <v>1679</v>
      </c>
      <c r="Q400" s="103" t="s">
        <v>2155</v>
      </c>
      <c r="R400" s="103" t="s">
        <v>2225</v>
      </c>
      <c r="S400" s="103" t="s">
        <v>2192</v>
      </c>
      <c r="U400" s="103">
        <v>33.81</v>
      </c>
      <c r="V400" s="103" t="s">
        <v>2158</v>
      </c>
      <c r="W400" s="103" t="s">
        <v>106</v>
      </c>
      <c r="X400" s="103" t="s">
        <v>1597</v>
      </c>
      <c r="Y400" s="103" t="s">
        <v>1685</v>
      </c>
      <c r="AA400" s="103" t="s">
        <v>2225</v>
      </c>
      <c r="AB400" s="103" t="s">
        <v>64</v>
      </c>
      <c r="AE400" s="103" t="s">
        <v>750</v>
      </c>
      <c r="AF400" s="103" t="b">
        <v>1</v>
      </c>
    </row>
    <row r="401" spans="1:32" hidden="1" x14ac:dyDescent="0.2">
      <c r="A401" s="103" t="s">
        <v>599</v>
      </c>
      <c r="B401" s="103" t="s">
        <v>598</v>
      </c>
      <c r="C401" s="103" t="s">
        <v>603</v>
      </c>
      <c r="D401" s="103" t="s">
        <v>2428</v>
      </c>
      <c r="E401" s="103" t="s">
        <v>2586</v>
      </c>
      <c r="G401" s="103">
        <v>12.75</v>
      </c>
      <c r="H401" s="103" t="s">
        <v>2152</v>
      </c>
      <c r="I401" s="103" t="s">
        <v>2153</v>
      </c>
      <c r="M401" s="103">
        <v>12.75</v>
      </c>
      <c r="N401" s="103" t="s">
        <v>2163</v>
      </c>
      <c r="O401" s="103">
        <v>12.75</v>
      </c>
      <c r="P401" s="103" t="s">
        <v>1679</v>
      </c>
      <c r="Q401" s="103" t="s">
        <v>2155</v>
      </c>
      <c r="R401" s="103" t="s">
        <v>2164</v>
      </c>
      <c r="U401" s="103">
        <v>7.65</v>
      </c>
      <c r="V401" s="103" t="s">
        <v>2158</v>
      </c>
      <c r="W401" s="103" t="s">
        <v>132</v>
      </c>
      <c r="X401" s="103" t="s">
        <v>1597</v>
      </c>
      <c r="Y401" s="103" t="s">
        <v>1685</v>
      </c>
      <c r="AA401" s="103" t="s">
        <v>2164</v>
      </c>
      <c r="AB401" s="103" t="s">
        <v>64</v>
      </c>
      <c r="AE401" s="103" t="s">
        <v>750</v>
      </c>
      <c r="AF401" s="103" t="b">
        <v>1</v>
      </c>
    </row>
    <row r="402" spans="1:32" hidden="1" x14ac:dyDescent="0.2">
      <c r="A402" s="103" t="s">
        <v>601</v>
      </c>
      <c r="B402" s="103" t="s">
        <v>600</v>
      </c>
      <c r="C402" s="103" t="s">
        <v>603</v>
      </c>
      <c r="D402" s="103" t="s">
        <v>2620</v>
      </c>
      <c r="E402" s="103" t="s">
        <v>2605</v>
      </c>
      <c r="F402" s="103" t="s">
        <v>2151</v>
      </c>
      <c r="G402" s="103">
        <v>100</v>
      </c>
      <c r="H402" s="103" t="s">
        <v>2168</v>
      </c>
      <c r="I402" s="103" t="s">
        <v>2153</v>
      </c>
      <c r="M402" s="103">
        <v>100</v>
      </c>
      <c r="N402" s="103" t="s">
        <v>2163</v>
      </c>
      <c r="O402" s="103">
        <v>100</v>
      </c>
      <c r="P402" s="103" t="s">
        <v>1679</v>
      </c>
      <c r="Q402" s="103" t="s">
        <v>2155</v>
      </c>
      <c r="R402" s="103" t="s">
        <v>2225</v>
      </c>
      <c r="S402" s="103" t="s">
        <v>2251</v>
      </c>
      <c r="U402" s="103">
        <v>48.3</v>
      </c>
      <c r="V402" s="103" t="s">
        <v>2158</v>
      </c>
      <c r="W402" s="103" t="s">
        <v>106</v>
      </c>
      <c r="X402" s="103" t="s">
        <v>1597</v>
      </c>
      <c r="Y402" s="103" t="s">
        <v>1685</v>
      </c>
      <c r="AA402" s="103" t="s">
        <v>2225</v>
      </c>
      <c r="AB402" s="103" t="s">
        <v>64</v>
      </c>
      <c r="AE402" s="103" t="s">
        <v>750</v>
      </c>
      <c r="AF402" s="103" t="b">
        <v>1</v>
      </c>
    </row>
    <row r="403" spans="1:32" hidden="1" x14ac:dyDescent="0.2">
      <c r="A403" s="103" t="s">
        <v>601</v>
      </c>
      <c r="B403" s="103" t="s">
        <v>600</v>
      </c>
      <c r="C403" s="103" t="s">
        <v>603</v>
      </c>
      <c r="D403" s="103" t="s">
        <v>2621</v>
      </c>
      <c r="E403" s="103" t="s">
        <v>2601</v>
      </c>
      <c r="F403" s="103" t="s">
        <v>2162</v>
      </c>
      <c r="G403" s="103">
        <v>70</v>
      </c>
      <c r="H403" s="103" t="s">
        <v>2152</v>
      </c>
      <c r="I403" s="103" t="s">
        <v>2153</v>
      </c>
      <c r="M403" s="103">
        <v>70</v>
      </c>
      <c r="N403" s="103" t="s">
        <v>2163</v>
      </c>
      <c r="O403" s="103">
        <v>70</v>
      </c>
      <c r="P403" s="103" t="s">
        <v>1679</v>
      </c>
      <c r="Q403" s="103" t="s">
        <v>2155</v>
      </c>
      <c r="R403" s="103" t="s">
        <v>2225</v>
      </c>
      <c r="S403" s="103" t="s">
        <v>2192</v>
      </c>
      <c r="U403" s="103">
        <v>33.81</v>
      </c>
      <c r="V403" s="103" t="s">
        <v>2158</v>
      </c>
      <c r="W403" s="103" t="s">
        <v>106</v>
      </c>
      <c r="X403" s="103" t="s">
        <v>1597</v>
      </c>
      <c r="Y403" s="103" t="s">
        <v>1685</v>
      </c>
      <c r="AA403" s="103" t="s">
        <v>2225</v>
      </c>
      <c r="AB403" s="103" t="s">
        <v>64</v>
      </c>
      <c r="AE403" s="103" t="s">
        <v>750</v>
      </c>
      <c r="AF403" s="103" t="b">
        <v>1</v>
      </c>
    </row>
    <row r="404" spans="1:32" hidden="1" x14ac:dyDescent="0.2">
      <c r="A404" s="103" t="s">
        <v>601</v>
      </c>
      <c r="B404" s="103" t="s">
        <v>600</v>
      </c>
      <c r="C404" s="103" t="s">
        <v>603</v>
      </c>
      <c r="D404" s="103" t="s">
        <v>2428</v>
      </c>
      <c r="E404" s="103" t="s">
        <v>2586</v>
      </c>
      <c r="G404" s="103">
        <v>12.75</v>
      </c>
      <c r="H404" s="103" t="s">
        <v>2152</v>
      </c>
      <c r="I404" s="103" t="s">
        <v>2153</v>
      </c>
      <c r="M404" s="103">
        <v>12.75</v>
      </c>
      <c r="N404" s="103" t="s">
        <v>2163</v>
      </c>
      <c r="O404" s="103">
        <v>12.75</v>
      </c>
      <c r="P404" s="103" t="s">
        <v>1679</v>
      </c>
      <c r="Q404" s="103" t="s">
        <v>2155</v>
      </c>
      <c r="R404" s="103" t="s">
        <v>2164</v>
      </c>
      <c r="U404" s="103">
        <v>7.65</v>
      </c>
      <c r="V404" s="103" t="s">
        <v>2158</v>
      </c>
      <c r="W404" s="103" t="s">
        <v>132</v>
      </c>
      <c r="X404" s="103" t="s">
        <v>1597</v>
      </c>
      <c r="Y404" s="103" t="s">
        <v>1685</v>
      </c>
      <c r="AA404" s="103" t="s">
        <v>2164</v>
      </c>
      <c r="AB404" s="103" t="s">
        <v>64</v>
      </c>
      <c r="AE404" s="103" t="s">
        <v>750</v>
      </c>
      <c r="AF404" s="103" t="b">
        <v>1</v>
      </c>
    </row>
    <row r="405" spans="1:32" hidden="1" x14ac:dyDescent="0.2">
      <c r="A405" s="103" t="s">
        <v>602</v>
      </c>
      <c r="B405" s="103" t="s">
        <v>1681</v>
      </c>
      <c r="C405" s="103" t="s">
        <v>1614</v>
      </c>
      <c r="D405" s="103" t="s">
        <v>2622</v>
      </c>
      <c r="E405" s="103" t="s">
        <v>2601</v>
      </c>
      <c r="F405" s="103" t="s">
        <v>2162</v>
      </c>
      <c r="G405" s="103">
        <v>70</v>
      </c>
      <c r="H405" s="103" t="s">
        <v>2152</v>
      </c>
      <c r="I405" s="103" t="s">
        <v>2153</v>
      </c>
      <c r="J405" s="103">
        <v>70</v>
      </c>
      <c r="N405" s="103" t="s">
        <v>2163</v>
      </c>
      <c r="O405" s="103">
        <v>70</v>
      </c>
      <c r="P405" s="103" t="s">
        <v>1679</v>
      </c>
      <c r="Q405" s="103" t="s">
        <v>1614</v>
      </c>
      <c r="R405" s="103" t="s">
        <v>2225</v>
      </c>
      <c r="S405" s="103" t="s">
        <v>2192</v>
      </c>
      <c r="U405" s="103">
        <v>33.81</v>
      </c>
      <c r="V405" s="103" t="s">
        <v>2239</v>
      </c>
      <c r="W405" s="103" t="s">
        <v>106</v>
      </c>
      <c r="X405" s="103" t="s">
        <v>1614</v>
      </c>
      <c r="Y405" s="103" t="s">
        <v>2240</v>
      </c>
      <c r="AA405" s="103" t="s">
        <v>2225</v>
      </c>
      <c r="AB405" s="103" t="s">
        <v>64</v>
      </c>
      <c r="AE405" s="103" t="s">
        <v>1284</v>
      </c>
      <c r="AF405" s="103" t="b">
        <v>1</v>
      </c>
    </row>
    <row r="406" spans="1:32" hidden="1" x14ac:dyDescent="0.2">
      <c r="A406" s="103" t="s">
        <v>3826</v>
      </c>
      <c r="B406" s="103" t="s">
        <v>3825</v>
      </c>
      <c r="C406" s="103" t="s">
        <v>2623</v>
      </c>
      <c r="D406" s="103" t="s">
        <v>2624</v>
      </c>
      <c r="E406" s="103" t="s">
        <v>2605</v>
      </c>
      <c r="F406" s="103" t="s">
        <v>2232</v>
      </c>
      <c r="G406" s="103">
        <v>300</v>
      </c>
      <c r="H406" s="103" t="s">
        <v>2168</v>
      </c>
      <c r="I406" s="103" t="s">
        <v>2153</v>
      </c>
      <c r="L406" s="103">
        <v>300</v>
      </c>
      <c r="N406" s="103" t="s">
        <v>2163</v>
      </c>
      <c r="O406" s="103">
        <v>300</v>
      </c>
      <c r="P406" s="103" t="s">
        <v>1679</v>
      </c>
      <c r="Q406" s="103" t="s">
        <v>1393</v>
      </c>
      <c r="R406" s="103" t="s">
        <v>2225</v>
      </c>
      <c r="S406" s="103" t="s">
        <v>2422</v>
      </c>
      <c r="U406" s="103">
        <v>144.9</v>
      </c>
      <c r="V406" s="103" t="s">
        <v>2158</v>
      </c>
      <c r="W406" s="103" t="s">
        <v>106</v>
      </c>
      <c r="X406" s="103" t="s">
        <v>345</v>
      </c>
      <c r="Y406" s="103" t="s">
        <v>2240</v>
      </c>
      <c r="AA406" s="103" t="s">
        <v>2225</v>
      </c>
      <c r="AB406" s="103" t="s">
        <v>64</v>
      </c>
      <c r="AE406" s="103" t="s">
        <v>750</v>
      </c>
      <c r="AF406" s="103" t="b">
        <v>1</v>
      </c>
    </row>
    <row r="407" spans="1:32" hidden="1" x14ac:dyDescent="0.2">
      <c r="A407" s="103" t="s">
        <v>607</v>
      </c>
      <c r="B407" s="103" t="s">
        <v>606</v>
      </c>
      <c r="C407" s="103" t="s">
        <v>2560</v>
      </c>
      <c r="D407" s="103" t="s">
        <v>2625</v>
      </c>
      <c r="E407" s="103" t="s">
        <v>2562</v>
      </c>
      <c r="F407" s="103" t="s">
        <v>2202</v>
      </c>
      <c r="G407" s="103">
        <v>250</v>
      </c>
      <c r="H407" s="103" t="s">
        <v>2152</v>
      </c>
      <c r="I407" s="103" t="s">
        <v>2153</v>
      </c>
      <c r="L407" s="103">
        <v>100</v>
      </c>
      <c r="M407" s="103">
        <v>150</v>
      </c>
      <c r="N407" s="103" t="s">
        <v>2154</v>
      </c>
      <c r="O407" s="103">
        <v>250</v>
      </c>
      <c r="Q407" s="103" t="s">
        <v>2155</v>
      </c>
      <c r="R407" s="103" t="s">
        <v>2225</v>
      </c>
      <c r="S407" s="103" t="s">
        <v>2238</v>
      </c>
      <c r="U407" s="103">
        <v>120.75</v>
      </c>
      <c r="V407" s="103" t="s">
        <v>2158</v>
      </c>
      <c r="W407" s="103" t="s">
        <v>106</v>
      </c>
      <c r="X407" s="103" t="s">
        <v>1685</v>
      </c>
      <c r="Y407" s="103" t="s">
        <v>1685</v>
      </c>
      <c r="AA407" s="103" t="s">
        <v>2225</v>
      </c>
      <c r="AB407" s="103" t="s">
        <v>74</v>
      </c>
      <c r="AE407" s="103" t="s">
        <v>750</v>
      </c>
      <c r="AF407" s="103" t="b">
        <v>1</v>
      </c>
    </row>
    <row r="408" spans="1:32" hidden="1" x14ac:dyDescent="0.2">
      <c r="A408" s="103" t="s">
        <v>607</v>
      </c>
      <c r="B408" s="103" t="s">
        <v>606</v>
      </c>
      <c r="C408" s="103" t="s">
        <v>2560</v>
      </c>
      <c r="D408" s="103" t="s">
        <v>2626</v>
      </c>
      <c r="E408" s="103" t="s">
        <v>2562</v>
      </c>
      <c r="F408" s="103" t="s">
        <v>2232</v>
      </c>
      <c r="G408" s="103">
        <v>300</v>
      </c>
      <c r="H408" s="103" t="s">
        <v>2168</v>
      </c>
      <c r="I408" s="103" t="s">
        <v>2153</v>
      </c>
      <c r="K408" s="103">
        <v>150</v>
      </c>
      <c r="L408" s="103">
        <v>150</v>
      </c>
      <c r="N408" s="103" t="s">
        <v>2154</v>
      </c>
      <c r="O408" s="103">
        <v>300</v>
      </c>
      <c r="Q408" s="103" t="s">
        <v>2155</v>
      </c>
      <c r="R408" s="103" t="s">
        <v>2225</v>
      </c>
      <c r="S408" s="103" t="s">
        <v>2238</v>
      </c>
      <c r="U408" s="103">
        <v>144.9</v>
      </c>
      <c r="V408" s="103" t="s">
        <v>2158</v>
      </c>
      <c r="W408" s="103" t="s">
        <v>106</v>
      </c>
      <c r="X408" s="103" t="s">
        <v>1685</v>
      </c>
      <c r="Y408" s="103" t="s">
        <v>1685</v>
      </c>
      <c r="AA408" s="103" t="s">
        <v>2225</v>
      </c>
      <c r="AB408" s="103" t="s">
        <v>74</v>
      </c>
      <c r="AE408" s="103" t="s">
        <v>750</v>
      </c>
      <c r="AF408" s="103" t="b">
        <v>1</v>
      </c>
    </row>
    <row r="409" spans="1:32" hidden="1" x14ac:dyDescent="0.2">
      <c r="A409" s="103" t="s">
        <v>609</v>
      </c>
      <c r="B409" s="103" t="s">
        <v>608</v>
      </c>
      <c r="C409" s="103" t="s">
        <v>2527</v>
      </c>
      <c r="D409" s="103" t="s">
        <v>2627</v>
      </c>
      <c r="E409" s="103" t="s">
        <v>2529</v>
      </c>
      <c r="G409" s="103">
        <v>40</v>
      </c>
      <c r="H409" s="103" t="s">
        <v>2152</v>
      </c>
      <c r="I409" s="103" t="s">
        <v>2153</v>
      </c>
      <c r="K409" s="103">
        <v>20</v>
      </c>
      <c r="L409" s="103">
        <v>20</v>
      </c>
      <c r="N409" s="103" t="s">
        <v>2163</v>
      </c>
      <c r="O409" s="103">
        <v>40</v>
      </c>
      <c r="P409" s="103" t="s">
        <v>1232</v>
      </c>
      <c r="Q409" s="103" t="s">
        <v>2387</v>
      </c>
      <c r="R409" s="103" t="s">
        <v>2225</v>
      </c>
      <c r="S409" s="103" t="s">
        <v>2229</v>
      </c>
      <c r="U409" s="103">
        <v>20.52</v>
      </c>
      <c r="V409" s="103" t="s">
        <v>2158</v>
      </c>
      <c r="W409" s="103" t="s">
        <v>118</v>
      </c>
      <c r="X409" s="103" t="s">
        <v>1597</v>
      </c>
      <c r="Y409" s="103" t="s">
        <v>1685</v>
      </c>
      <c r="AA409" s="103" t="s">
        <v>2225</v>
      </c>
      <c r="AB409" s="103" t="s">
        <v>64</v>
      </c>
      <c r="AE409" s="103" t="s">
        <v>1687</v>
      </c>
      <c r="AF409" s="103" t="b">
        <v>1</v>
      </c>
    </row>
    <row r="410" spans="1:32" hidden="1" x14ac:dyDescent="0.2">
      <c r="A410" s="103" t="s">
        <v>609</v>
      </c>
      <c r="B410" s="103" t="s">
        <v>608</v>
      </c>
      <c r="C410" s="103" t="s">
        <v>2527</v>
      </c>
      <c r="D410" s="103" t="s">
        <v>2628</v>
      </c>
      <c r="E410" s="103" t="s">
        <v>2529</v>
      </c>
      <c r="G410" s="103">
        <v>40</v>
      </c>
      <c r="H410" s="103" t="s">
        <v>2152</v>
      </c>
      <c r="I410" s="103" t="s">
        <v>2153</v>
      </c>
      <c r="L410" s="103">
        <v>20</v>
      </c>
      <c r="M410" s="103">
        <v>20</v>
      </c>
      <c r="N410" s="103" t="s">
        <v>2163</v>
      </c>
      <c r="O410" s="103">
        <v>40</v>
      </c>
      <c r="P410" s="103" t="s">
        <v>1232</v>
      </c>
      <c r="Q410" s="103" t="s">
        <v>2155</v>
      </c>
      <c r="R410" s="103" t="s">
        <v>2225</v>
      </c>
      <c r="S410" s="103" t="s">
        <v>2229</v>
      </c>
      <c r="U410" s="103">
        <v>20.52</v>
      </c>
      <c r="V410" s="103" t="s">
        <v>2158</v>
      </c>
      <c r="W410" s="103" t="s">
        <v>118</v>
      </c>
      <c r="X410" s="103" t="s">
        <v>1597</v>
      </c>
      <c r="Y410" s="103" t="s">
        <v>1685</v>
      </c>
      <c r="AA410" s="103" t="s">
        <v>2225</v>
      </c>
      <c r="AB410" s="103" t="s">
        <v>64</v>
      </c>
      <c r="AE410" s="103" t="s">
        <v>1687</v>
      </c>
      <c r="AF410" s="103" t="b">
        <v>1</v>
      </c>
    </row>
    <row r="411" spans="1:32" hidden="1" x14ac:dyDescent="0.2">
      <c r="A411" s="103" t="s">
        <v>609</v>
      </c>
      <c r="B411" s="103" t="s">
        <v>608</v>
      </c>
      <c r="C411" s="103" t="s">
        <v>2527</v>
      </c>
      <c r="D411" s="103" t="s">
        <v>2629</v>
      </c>
      <c r="E411" s="103" t="s">
        <v>2529</v>
      </c>
      <c r="G411" s="103">
        <v>120</v>
      </c>
      <c r="H411" s="103" t="s">
        <v>2152</v>
      </c>
      <c r="I411" s="103" t="s">
        <v>2153</v>
      </c>
      <c r="L411" s="103">
        <v>60</v>
      </c>
      <c r="M411" s="103">
        <v>60</v>
      </c>
      <c r="N411" s="103" t="s">
        <v>2163</v>
      </c>
      <c r="O411" s="103">
        <v>120</v>
      </c>
      <c r="P411" s="103" t="s">
        <v>1232</v>
      </c>
      <c r="Q411" s="103" t="s">
        <v>2155</v>
      </c>
      <c r="R411" s="103" t="s">
        <v>2225</v>
      </c>
      <c r="S411" s="103" t="s">
        <v>2229</v>
      </c>
      <c r="U411" s="103">
        <v>61.56</v>
      </c>
      <c r="V411" s="103" t="s">
        <v>2158</v>
      </c>
      <c r="W411" s="103" t="s">
        <v>118</v>
      </c>
      <c r="X411" s="103" t="s">
        <v>1597</v>
      </c>
      <c r="Y411" s="103" t="s">
        <v>1685</v>
      </c>
      <c r="AA411" s="103" t="s">
        <v>2225</v>
      </c>
      <c r="AB411" s="103" t="s">
        <v>64</v>
      </c>
      <c r="AE411" s="103" t="s">
        <v>1687</v>
      </c>
      <c r="AF411" s="103" t="b">
        <v>1</v>
      </c>
    </row>
    <row r="412" spans="1:32" hidden="1" x14ac:dyDescent="0.2">
      <c r="A412" s="103" t="s">
        <v>609</v>
      </c>
      <c r="B412" s="103" t="s">
        <v>608</v>
      </c>
      <c r="C412" s="103" t="s">
        <v>2527</v>
      </c>
      <c r="D412" s="103" t="s">
        <v>2630</v>
      </c>
      <c r="E412" s="103" t="s">
        <v>2529</v>
      </c>
      <c r="G412" s="103">
        <v>20</v>
      </c>
      <c r="H412" s="103" t="s">
        <v>2152</v>
      </c>
      <c r="I412" s="103" t="s">
        <v>2153</v>
      </c>
      <c r="L412" s="103">
        <v>20</v>
      </c>
      <c r="N412" s="103" t="s">
        <v>2163</v>
      </c>
      <c r="O412" s="103">
        <v>20</v>
      </c>
      <c r="P412" s="103" t="s">
        <v>1232</v>
      </c>
      <c r="Q412" s="103" t="s">
        <v>2155</v>
      </c>
      <c r="R412" s="103" t="s">
        <v>2225</v>
      </c>
      <c r="S412" s="103" t="s">
        <v>2229</v>
      </c>
      <c r="U412" s="103">
        <v>10.26</v>
      </c>
      <c r="V412" s="103" t="s">
        <v>2158</v>
      </c>
      <c r="W412" s="103" t="s">
        <v>118</v>
      </c>
      <c r="X412" s="103" t="s">
        <v>1597</v>
      </c>
      <c r="Y412" s="103" t="s">
        <v>1685</v>
      </c>
      <c r="AA412" s="103" t="s">
        <v>2225</v>
      </c>
      <c r="AB412" s="103" t="s">
        <v>64</v>
      </c>
      <c r="AE412" s="103" t="s">
        <v>1687</v>
      </c>
      <c r="AF412" s="103" t="b">
        <v>1</v>
      </c>
    </row>
    <row r="413" spans="1:32" hidden="1" x14ac:dyDescent="0.2">
      <c r="A413" s="103" t="s">
        <v>609</v>
      </c>
      <c r="B413" s="103" t="s">
        <v>608</v>
      </c>
      <c r="C413" s="103" t="s">
        <v>2527</v>
      </c>
      <c r="D413" s="103" t="s">
        <v>2631</v>
      </c>
      <c r="E413" s="103" t="s">
        <v>2529</v>
      </c>
      <c r="G413" s="103">
        <v>45</v>
      </c>
      <c r="H413" s="103" t="s">
        <v>2152</v>
      </c>
      <c r="I413" s="103" t="s">
        <v>2153</v>
      </c>
      <c r="J413" s="103">
        <v>20</v>
      </c>
      <c r="K413" s="103">
        <v>25</v>
      </c>
      <c r="N413" s="103" t="s">
        <v>2163</v>
      </c>
      <c r="O413" s="103">
        <v>45</v>
      </c>
      <c r="P413" s="103" t="s">
        <v>1232</v>
      </c>
      <c r="Q413" s="103" t="s">
        <v>2155</v>
      </c>
      <c r="R413" s="103" t="s">
        <v>2225</v>
      </c>
      <c r="S413" s="103" t="s">
        <v>2229</v>
      </c>
      <c r="U413" s="103">
        <v>23.085000000000001</v>
      </c>
      <c r="V413" s="103" t="s">
        <v>2158</v>
      </c>
      <c r="W413" s="103" t="s">
        <v>118</v>
      </c>
      <c r="X413" s="103" t="s">
        <v>1597</v>
      </c>
      <c r="Y413" s="103" t="s">
        <v>1685</v>
      </c>
      <c r="AA413" s="103" t="s">
        <v>2225</v>
      </c>
      <c r="AB413" s="103" t="s">
        <v>64</v>
      </c>
      <c r="AE413" s="103" t="s">
        <v>1687</v>
      </c>
      <c r="AF413" s="103" t="b">
        <v>1</v>
      </c>
    </row>
    <row r="414" spans="1:32" hidden="1" x14ac:dyDescent="0.2">
      <c r="A414" s="103" t="s">
        <v>609</v>
      </c>
      <c r="B414" s="103" t="s">
        <v>608</v>
      </c>
      <c r="C414" s="103" t="s">
        <v>2527</v>
      </c>
      <c r="D414" s="103" t="s">
        <v>2632</v>
      </c>
      <c r="E414" s="103" t="s">
        <v>2529</v>
      </c>
      <c r="G414" s="103">
        <v>120</v>
      </c>
      <c r="H414" s="103" t="s">
        <v>2152</v>
      </c>
      <c r="I414" s="103" t="s">
        <v>2153</v>
      </c>
      <c r="J414" s="103">
        <v>60</v>
      </c>
      <c r="K414" s="103">
        <v>60</v>
      </c>
      <c r="N414" s="103" t="s">
        <v>2163</v>
      </c>
      <c r="O414" s="103">
        <v>120</v>
      </c>
      <c r="P414" s="103" t="s">
        <v>1232</v>
      </c>
      <c r="Q414" s="103" t="s">
        <v>2155</v>
      </c>
      <c r="R414" s="103" t="s">
        <v>2225</v>
      </c>
      <c r="S414" s="103" t="s">
        <v>2229</v>
      </c>
      <c r="U414" s="103">
        <v>61.56</v>
      </c>
      <c r="V414" s="103" t="s">
        <v>2158</v>
      </c>
      <c r="W414" s="103" t="s">
        <v>118</v>
      </c>
      <c r="X414" s="103" t="s">
        <v>1597</v>
      </c>
      <c r="Y414" s="103" t="s">
        <v>1685</v>
      </c>
      <c r="AA414" s="103" t="s">
        <v>2225</v>
      </c>
      <c r="AB414" s="103" t="s">
        <v>64</v>
      </c>
      <c r="AE414" s="103" t="s">
        <v>1687</v>
      </c>
      <c r="AF414" s="103" t="b">
        <v>1</v>
      </c>
    </row>
    <row r="415" spans="1:32" hidden="1" x14ac:dyDescent="0.2">
      <c r="A415" s="103" t="s">
        <v>609</v>
      </c>
      <c r="B415" s="103" t="s">
        <v>608</v>
      </c>
      <c r="C415" s="103" t="s">
        <v>2527</v>
      </c>
      <c r="D415" s="103" t="s">
        <v>2633</v>
      </c>
      <c r="E415" s="103" t="s">
        <v>2529</v>
      </c>
      <c r="F415" s="103" t="s">
        <v>2151</v>
      </c>
      <c r="G415" s="103">
        <v>100</v>
      </c>
      <c r="H415" s="103" t="s">
        <v>2168</v>
      </c>
      <c r="I415" s="103" t="s">
        <v>2153</v>
      </c>
      <c r="J415" s="103">
        <v>25</v>
      </c>
      <c r="K415" s="103">
        <v>25</v>
      </c>
      <c r="L415" s="103">
        <v>25</v>
      </c>
      <c r="M415" s="103">
        <v>25</v>
      </c>
      <c r="N415" s="103" t="s">
        <v>2163</v>
      </c>
      <c r="O415" s="103">
        <v>100</v>
      </c>
      <c r="P415" s="103" t="s">
        <v>1232</v>
      </c>
      <c r="Q415" s="103" t="s">
        <v>2155</v>
      </c>
      <c r="R415" s="103" t="s">
        <v>2225</v>
      </c>
      <c r="S415" s="103" t="s">
        <v>2229</v>
      </c>
      <c r="U415" s="103">
        <v>51.3</v>
      </c>
      <c r="V415" s="103" t="s">
        <v>2158</v>
      </c>
      <c r="W415" s="103" t="s">
        <v>118</v>
      </c>
      <c r="X415" s="103" t="s">
        <v>1597</v>
      </c>
      <c r="Y415" s="103" t="s">
        <v>1685</v>
      </c>
      <c r="AA415" s="103" t="s">
        <v>2225</v>
      </c>
      <c r="AB415" s="103" t="s">
        <v>64</v>
      </c>
      <c r="AE415" s="103" t="s">
        <v>1687</v>
      </c>
      <c r="AF415" s="103" t="b">
        <v>1</v>
      </c>
    </row>
    <row r="416" spans="1:32" hidden="1" x14ac:dyDescent="0.2">
      <c r="A416" s="103" t="s">
        <v>609</v>
      </c>
      <c r="B416" s="103" t="s">
        <v>608</v>
      </c>
      <c r="C416" s="103" t="s">
        <v>2527</v>
      </c>
      <c r="D416" s="103" t="s">
        <v>2428</v>
      </c>
      <c r="E416" s="103" t="s">
        <v>2586</v>
      </c>
      <c r="G416" s="103">
        <v>40</v>
      </c>
      <c r="H416" s="103" t="s">
        <v>2152</v>
      </c>
      <c r="I416" s="103" t="s">
        <v>2153</v>
      </c>
      <c r="J416" s="103">
        <v>10</v>
      </c>
      <c r="K416" s="103">
        <v>10</v>
      </c>
      <c r="L416" s="103">
        <v>10</v>
      </c>
      <c r="M416" s="103">
        <v>10</v>
      </c>
      <c r="N416" s="103" t="s">
        <v>2163</v>
      </c>
      <c r="O416" s="103">
        <v>40</v>
      </c>
      <c r="P416" s="103" t="s">
        <v>1232</v>
      </c>
      <c r="Q416" s="103" t="s">
        <v>2155</v>
      </c>
      <c r="R416" s="103" t="s">
        <v>2164</v>
      </c>
      <c r="S416" s="103" t="s">
        <v>2229</v>
      </c>
      <c r="U416" s="103">
        <v>24</v>
      </c>
      <c r="V416" s="103" t="s">
        <v>2158</v>
      </c>
      <c r="W416" s="103" t="s">
        <v>132</v>
      </c>
      <c r="X416" s="103" t="s">
        <v>1597</v>
      </c>
      <c r="Y416" s="103" t="s">
        <v>1685</v>
      </c>
      <c r="AA416" s="103" t="s">
        <v>2164</v>
      </c>
      <c r="AB416" s="103" t="s">
        <v>64</v>
      </c>
      <c r="AE416" s="103" t="s">
        <v>1687</v>
      </c>
      <c r="AF416" s="103" t="b">
        <v>1</v>
      </c>
    </row>
    <row r="417" spans="1:32" hidden="1" x14ac:dyDescent="0.2">
      <c r="A417" s="103" t="s">
        <v>610</v>
      </c>
      <c r="B417" s="103" t="s">
        <v>3822</v>
      </c>
      <c r="C417" s="103" t="s">
        <v>2527</v>
      </c>
      <c r="D417" s="103" t="s">
        <v>2634</v>
      </c>
      <c r="E417" s="103" t="s">
        <v>2529</v>
      </c>
      <c r="G417" s="103">
        <v>80</v>
      </c>
      <c r="H417" s="103" t="s">
        <v>2152</v>
      </c>
      <c r="I417" s="103" t="s">
        <v>2153</v>
      </c>
      <c r="J417" s="103">
        <v>20</v>
      </c>
      <c r="K417" s="103">
        <v>20</v>
      </c>
      <c r="L417" s="103">
        <v>20</v>
      </c>
      <c r="M417" s="103">
        <v>20</v>
      </c>
      <c r="N417" s="103" t="s">
        <v>2163</v>
      </c>
      <c r="O417" s="103">
        <v>80</v>
      </c>
      <c r="P417" s="103" t="s">
        <v>1232</v>
      </c>
      <c r="Q417" s="103" t="s">
        <v>2155</v>
      </c>
      <c r="R417" s="103" t="s">
        <v>2225</v>
      </c>
      <c r="S417" s="103" t="s">
        <v>2229</v>
      </c>
      <c r="U417" s="103">
        <v>41.04</v>
      </c>
      <c r="V417" s="103" t="s">
        <v>2158</v>
      </c>
      <c r="W417" s="103" t="s">
        <v>118</v>
      </c>
      <c r="X417" s="103" t="s">
        <v>1597</v>
      </c>
      <c r="Y417" s="103" t="s">
        <v>1685</v>
      </c>
      <c r="AA417" s="103" t="s">
        <v>2225</v>
      </c>
      <c r="AB417" s="103" t="s">
        <v>64</v>
      </c>
      <c r="AE417" s="103" t="s">
        <v>1687</v>
      </c>
      <c r="AF417" s="103" t="b">
        <v>1</v>
      </c>
    </row>
    <row r="418" spans="1:32" hidden="1" x14ac:dyDescent="0.2">
      <c r="A418" s="103" t="s">
        <v>610</v>
      </c>
      <c r="B418" s="103" t="s">
        <v>3822</v>
      </c>
      <c r="C418" s="103" t="s">
        <v>2527</v>
      </c>
      <c r="D418" s="103" t="s">
        <v>2635</v>
      </c>
      <c r="E418" s="103" t="s">
        <v>2498</v>
      </c>
      <c r="G418" s="103">
        <v>200</v>
      </c>
      <c r="H418" s="103" t="s">
        <v>2152</v>
      </c>
      <c r="I418" s="103" t="s">
        <v>2153</v>
      </c>
      <c r="J418" s="103">
        <v>50</v>
      </c>
      <c r="K418" s="103">
        <v>50</v>
      </c>
      <c r="L418" s="103">
        <v>50</v>
      </c>
      <c r="M418" s="103">
        <v>50</v>
      </c>
      <c r="N418" s="103" t="s">
        <v>2163</v>
      </c>
      <c r="O418" s="103">
        <v>200</v>
      </c>
      <c r="P418" s="103" t="s">
        <v>1232</v>
      </c>
      <c r="Q418" s="103" t="s">
        <v>2155</v>
      </c>
      <c r="R418" s="103" t="s">
        <v>2225</v>
      </c>
      <c r="S418" s="103" t="s">
        <v>2229</v>
      </c>
      <c r="U418" s="103">
        <v>102.6</v>
      </c>
      <c r="V418" s="103" t="s">
        <v>2158</v>
      </c>
      <c r="W418" s="103" t="s">
        <v>119</v>
      </c>
      <c r="X418" s="103" t="s">
        <v>1597</v>
      </c>
      <c r="Y418" s="103" t="s">
        <v>1685</v>
      </c>
      <c r="AA418" s="103" t="s">
        <v>2225</v>
      </c>
      <c r="AB418" s="103" t="s">
        <v>64</v>
      </c>
      <c r="AE418" s="103" t="s">
        <v>1687</v>
      </c>
      <c r="AF418" s="103" t="b">
        <v>1</v>
      </c>
    </row>
    <row r="419" spans="1:32" hidden="1" x14ac:dyDescent="0.2">
      <c r="A419" s="103" t="s">
        <v>610</v>
      </c>
      <c r="B419" s="103" t="s">
        <v>3822</v>
      </c>
      <c r="C419" s="103" t="s">
        <v>2527</v>
      </c>
      <c r="D419" s="103" t="s">
        <v>2635</v>
      </c>
      <c r="E419" s="103" t="s">
        <v>2250</v>
      </c>
      <c r="G419" s="103">
        <v>200</v>
      </c>
      <c r="H419" s="103" t="s">
        <v>2152</v>
      </c>
      <c r="I419" s="103" t="s">
        <v>2153</v>
      </c>
      <c r="J419" s="103">
        <v>50</v>
      </c>
      <c r="K419" s="103">
        <v>50</v>
      </c>
      <c r="L419" s="103">
        <v>50</v>
      </c>
      <c r="M419" s="103">
        <v>50</v>
      </c>
      <c r="N419" s="103" t="s">
        <v>2163</v>
      </c>
      <c r="O419" s="103">
        <v>200</v>
      </c>
      <c r="P419" s="103" t="s">
        <v>1232</v>
      </c>
      <c r="Q419" s="103" t="s">
        <v>2155</v>
      </c>
      <c r="R419" s="103" t="s">
        <v>2225</v>
      </c>
      <c r="S419" s="103" t="s">
        <v>2229</v>
      </c>
      <c r="U419" s="103">
        <v>102.6</v>
      </c>
      <c r="V419" s="103" t="s">
        <v>2158</v>
      </c>
      <c r="W419" s="103" t="s">
        <v>119</v>
      </c>
      <c r="X419" s="103" t="s">
        <v>1597</v>
      </c>
      <c r="Y419" s="103" t="s">
        <v>1685</v>
      </c>
      <c r="AA419" s="103" t="s">
        <v>2225</v>
      </c>
      <c r="AB419" s="103" t="s">
        <v>64</v>
      </c>
      <c r="AE419" s="103" t="s">
        <v>1687</v>
      </c>
      <c r="AF419" s="103" t="b">
        <v>1</v>
      </c>
    </row>
    <row r="420" spans="1:32" hidden="1" x14ac:dyDescent="0.2">
      <c r="A420" s="103" t="s">
        <v>610</v>
      </c>
      <c r="B420" s="103" t="s">
        <v>3822</v>
      </c>
      <c r="C420" s="103" t="s">
        <v>2527</v>
      </c>
      <c r="D420" s="103" t="s">
        <v>2636</v>
      </c>
      <c r="E420" s="103" t="s">
        <v>2529</v>
      </c>
      <c r="G420" s="103">
        <v>20</v>
      </c>
      <c r="H420" s="103" t="s">
        <v>2152</v>
      </c>
      <c r="I420" s="103" t="s">
        <v>2153</v>
      </c>
      <c r="J420" s="103">
        <v>20</v>
      </c>
      <c r="N420" s="103" t="s">
        <v>2163</v>
      </c>
      <c r="O420" s="103">
        <v>20</v>
      </c>
      <c r="P420" s="103" t="s">
        <v>1232</v>
      </c>
      <c r="Q420" s="103" t="s">
        <v>2155</v>
      </c>
      <c r="R420" s="103" t="s">
        <v>2225</v>
      </c>
      <c r="S420" s="103" t="s">
        <v>2229</v>
      </c>
      <c r="U420" s="103">
        <v>10.26</v>
      </c>
      <c r="V420" s="103" t="s">
        <v>2158</v>
      </c>
      <c r="W420" s="103" t="s">
        <v>118</v>
      </c>
      <c r="X420" s="103" t="s">
        <v>1597</v>
      </c>
      <c r="Y420" s="103" t="s">
        <v>1685</v>
      </c>
      <c r="AA420" s="103" t="s">
        <v>2225</v>
      </c>
      <c r="AB420" s="103" t="s">
        <v>64</v>
      </c>
      <c r="AE420" s="103" t="s">
        <v>1687</v>
      </c>
      <c r="AF420" s="103" t="b">
        <v>1</v>
      </c>
    </row>
    <row r="421" spans="1:32" hidden="1" x14ac:dyDescent="0.2">
      <c r="A421" s="103" t="s">
        <v>610</v>
      </c>
      <c r="B421" s="103" t="s">
        <v>3822</v>
      </c>
      <c r="C421" s="103" t="s">
        <v>2527</v>
      </c>
      <c r="D421" s="103" t="s">
        <v>2637</v>
      </c>
      <c r="E421" s="103" t="s">
        <v>2529</v>
      </c>
      <c r="G421" s="103">
        <v>20</v>
      </c>
      <c r="H421" s="103" t="s">
        <v>2152</v>
      </c>
      <c r="I421" s="103" t="s">
        <v>2153</v>
      </c>
      <c r="K421" s="103">
        <v>20</v>
      </c>
      <c r="N421" s="103" t="s">
        <v>2163</v>
      </c>
      <c r="O421" s="103">
        <v>20</v>
      </c>
      <c r="P421" s="103" t="s">
        <v>1232</v>
      </c>
      <c r="Q421" s="103" t="s">
        <v>2387</v>
      </c>
      <c r="R421" s="103" t="s">
        <v>2225</v>
      </c>
      <c r="S421" s="103" t="s">
        <v>2229</v>
      </c>
      <c r="U421" s="103">
        <v>10.26</v>
      </c>
      <c r="V421" s="103" t="s">
        <v>2158</v>
      </c>
      <c r="W421" s="103" t="s">
        <v>118</v>
      </c>
      <c r="X421" s="103" t="s">
        <v>1597</v>
      </c>
      <c r="Y421" s="103" t="s">
        <v>1685</v>
      </c>
      <c r="AA421" s="103" t="s">
        <v>2225</v>
      </c>
      <c r="AB421" s="103" t="s">
        <v>64</v>
      </c>
      <c r="AE421" s="103" t="s">
        <v>1687</v>
      </c>
      <c r="AF421" s="103" t="b">
        <v>1</v>
      </c>
    </row>
    <row r="422" spans="1:32" hidden="1" x14ac:dyDescent="0.2">
      <c r="A422" s="103" t="s">
        <v>610</v>
      </c>
      <c r="B422" s="103" t="s">
        <v>3822</v>
      </c>
      <c r="C422" s="103" t="s">
        <v>2527</v>
      </c>
      <c r="D422" s="103" t="s">
        <v>2638</v>
      </c>
      <c r="E422" s="103" t="s">
        <v>2529</v>
      </c>
      <c r="G422" s="103">
        <v>240</v>
      </c>
      <c r="H422" s="103" t="s">
        <v>2152</v>
      </c>
      <c r="I422" s="103" t="s">
        <v>2153</v>
      </c>
      <c r="J422" s="103">
        <v>60</v>
      </c>
      <c r="K422" s="103">
        <v>60</v>
      </c>
      <c r="L422" s="103">
        <v>60</v>
      </c>
      <c r="M422" s="103">
        <v>60</v>
      </c>
      <c r="N422" s="103" t="s">
        <v>2163</v>
      </c>
      <c r="O422" s="103">
        <v>240</v>
      </c>
      <c r="P422" s="103" t="s">
        <v>1232</v>
      </c>
      <c r="Q422" s="103" t="s">
        <v>2387</v>
      </c>
      <c r="R422" s="103" t="s">
        <v>2225</v>
      </c>
      <c r="S422" s="103" t="s">
        <v>2229</v>
      </c>
      <c r="U422" s="103">
        <v>123.12</v>
      </c>
      <c r="V422" s="103" t="s">
        <v>2158</v>
      </c>
      <c r="W422" s="103" t="s">
        <v>118</v>
      </c>
      <c r="X422" s="103" t="s">
        <v>1597</v>
      </c>
      <c r="Y422" s="103" t="s">
        <v>1685</v>
      </c>
      <c r="AA422" s="103" t="s">
        <v>2225</v>
      </c>
      <c r="AB422" s="103" t="s">
        <v>64</v>
      </c>
      <c r="AE422" s="103" t="s">
        <v>1687</v>
      </c>
      <c r="AF422" s="103" t="b">
        <v>1</v>
      </c>
    </row>
    <row r="423" spans="1:32" hidden="1" x14ac:dyDescent="0.2">
      <c r="A423" s="103" t="s">
        <v>610</v>
      </c>
      <c r="B423" s="103" t="s">
        <v>3822</v>
      </c>
      <c r="C423" s="103" t="s">
        <v>2527</v>
      </c>
      <c r="D423" s="103" t="s">
        <v>2639</v>
      </c>
      <c r="E423" s="103" t="s">
        <v>2529</v>
      </c>
      <c r="G423" s="103">
        <v>240</v>
      </c>
      <c r="H423" s="103" t="s">
        <v>2152</v>
      </c>
      <c r="I423" s="103" t="s">
        <v>2153</v>
      </c>
      <c r="J423" s="103">
        <v>60</v>
      </c>
      <c r="K423" s="103">
        <v>60</v>
      </c>
      <c r="L423" s="103">
        <v>60</v>
      </c>
      <c r="M423" s="103">
        <v>60</v>
      </c>
      <c r="N423" s="103" t="s">
        <v>2163</v>
      </c>
      <c r="O423" s="103">
        <v>240</v>
      </c>
      <c r="P423" s="103" t="s">
        <v>1232</v>
      </c>
      <c r="Q423" s="103" t="s">
        <v>2387</v>
      </c>
      <c r="R423" s="103" t="s">
        <v>2225</v>
      </c>
      <c r="S423" s="103" t="s">
        <v>2229</v>
      </c>
      <c r="U423" s="103">
        <v>123.12</v>
      </c>
      <c r="V423" s="103" t="s">
        <v>2158</v>
      </c>
      <c r="W423" s="103" t="s">
        <v>118</v>
      </c>
      <c r="X423" s="103" t="s">
        <v>1597</v>
      </c>
      <c r="Y423" s="103" t="s">
        <v>1685</v>
      </c>
      <c r="AA423" s="103" t="s">
        <v>2225</v>
      </c>
      <c r="AB423" s="103" t="s">
        <v>64</v>
      </c>
      <c r="AE423" s="103" t="s">
        <v>1687</v>
      </c>
      <c r="AF423" s="103" t="b">
        <v>1</v>
      </c>
    </row>
    <row r="424" spans="1:32" hidden="1" x14ac:dyDescent="0.2">
      <c r="A424" s="103" t="s">
        <v>610</v>
      </c>
      <c r="B424" s="103" t="s">
        <v>3822</v>
      </c>
      <c r="C424" s="103" t="s">
        <v>2527</v>
      </c>
      <c r="D424" s="103" t="s">
        <v>2428</v>
      </c>
      <c r="E424" s="103" t="s">
        <v>2249</v>
      </c>
      <c r="G424" s="103">
        <v>120</v>
      </c>
      <c r="H424" s="103" t="s">
        <v>2152</v>
      </c>
      <c r="I424" s="103" t="s">
        <v>2153</v>
      </c>
      <c r="J424" s="103">
        <v>30</v>
      </c>
      <c r="K424" s="103">
        <v>30</v>
      </c>
      <c r="L424" s="103">
        <v>30</v>
      </c>
      <c r="M424" s="103">
        <v>30</v>
      </c>
      <c r="N424" s="103" t="s">
        <v>2163</v>
      </c>
      <c r="O424" s="103">
        <v>120</v>
      </c>
      <c r="P424" s="103" t="s">
        <v>1232</v>
      </c>
      <c r="Q424" s="103" t="s">
        <v>2155</v>
      </c>
      <c r="R424" s="103" t="s">
        <v>2164</v>
      </c>
      <c r="S424" s="103" t="s">
        <v>2229</v>
      </c>
      <c r="U424" s="103">
        <v>72</v>
      </c>
      <c r="V424" s="103" t="s">
        <v>2158</v>
      </c>
      <c r="W424" s="103" t="s">
        <v>132</v>
      </c>
      <c r="X424" s="103" t="s">
        <v>1597</v>
      </c>
      <c r="Y424" s="103" t="s">
        <v>1685</v>
      </c>
      <c r="AA424" s="103" t="s">
        <v>2164</v>
      </c>
      <c r="AB424" s="103" t="s">
        <v>64</v>
      </c>
      <c r="AE424" s="103" t="s">
        <v>1687</v>
      </c>
      <c r="AF424" s="103" t="b">
        <v>1</v>
      </c>
    </row>
    <row r="425" spans="1:32" hidden="1" x14ac:dyDescent="0.2">
      <c r="A425" s="103" t="s">
        <v>923</v>
      </c>
      <c r="B425" s="103" t="s">
        <v>922</v>
      </c>
      <c r="C425" s="103" t="s">
        <v>3840</v>
      </c>
      <c r="D425" s="103" t="s">
        <v>3841</v>
      </c>
      <c r="E425" s="103" t="s">
        <v>2642</v>
      </c>
      <c r="F425" s="103" t="s">
        <v>2175</v>
      </c>
      <c r="G425" s="103">
        <v>20</v>
      </c>
      <c r="H425" s="103" t="s">
        <v>2168</v>
      </c>
      <c r="I425" s="103" t="s">
        <v>2153</v>
      </c>
      <c r="J425" s="103">
        <v>20</v>
      </c>
      <c r="N425" s="103" t="s">
        <v>2163</v>
      </c>
      <c r="O425" s="103">
        <v>20</v>
      </c>
      <c r="P425" s="103" t="s">
        <v>1609</v>
      </c>
      <c r="Q425" s="103" t="s">
        <v>2155</v>
      </c>
      <c r="R425" s="103" t="s">
        <v>2225</v>
      </c>
      <c r="S425" s="103" t="s">
        <v>2251</v>
      </c>
      <c r="U425" s="103">
        <v>9.66</v>
      </c>
      <c r="V425" s="103" t="s">
        <v>2158</v>
      </c>
      <c r="W425" s="103" t="s">
        <v>106</v>
      </c>
      <c r="X425" s="103" t="s">
        <v>1597</v>
      </c>
      <c r="Y425" s="103" t="s">
        <v>1685</v>
      </c>
      <c r="AA425" s="103" t="s">
        <v>2225</v>
      </c>
      <c r="AB425" s="103" t="s">
        <v>64</v>
      </c>
      <c r="AE425" s="103" t="s">
        <v>750</v>
      </c>
      <c r="AF425" s="103" t="b">
        <v>1</v>
      </c>
    </row>
    <row r="426" spans="1:32" hidden="1" x14ac:dyDescent="0.2">
      <c r="A426" s="103" t="s">
        <v>923</v>
      </c>
      <c r="B426" s="103" t="s">
        <v>922</v>
      </c>
      <c r="C426" s="103" t="s">
        <v>2640</v>
      </c>
      <c r="D426" s="103" t="s">
        <v>2641</v>
      </c>
      <c r="E426" s="103" t="s">
        <v>2642</v>
      </c>
      <c r="F426" s="103" t="s">
        <v>2162</v>
      </c>
      <c r="G426" s="103">
        <v>50</v>
      </c>
      <c r="H426" s="103" t="s">
        <v>2168</v>
      </c>
      <c r="I426" s="103" t="s">
        <v>2153</v>
      </c>
      <c r="J426" s="103">
        <v>50</v>
      </c>
      <c r="N426" s="103" t="s">
        <v>2163</v>
      </c>
      <c r="O426" s="103">
        <v>50</v>
      </c>
      <c r="P426" s="103" t="s">
        <v>1609</v>
      </c>
      <c r="Q426" s="103" t="s">
        <v>2155</v>
      </c>
      <c r="R426" s="103" t="s">
        <v>2225</v>
      </c>
      <c r="S426" s="103" t="s">
        <v>2192</v>
      </c>
      <c r="T426" s="103" t="s">
        <v>2643</v>
      </c>
      <c r="U426" s="103">
        <v>24.15</v>
      </c>
      <c r="V426" s="103" t="s">
        <v>2158</v>
      </c>
      <c r="W426" s="103" t="s">
        <v>106</v>
      </c>
      <c r="X426" s="103" t="s">
        <v>1597</v>
      </c>
      <c r="Y426" s="103" t="s">
        <v>1685</v>
      </c>
      <c r="AA426" s="103" t="s">
        <v>2225</v>
      </c>
      <c r="AB426" s="103" t="s">
        <v>64</v>
      </c>
      <c r="AE426" s="103" t="s">
        <v>750</v>
      </c>
      <c r="AF426" s="103" t="b">
        <v>1</v>
      </c>
    </row>
    <row r="427" spans="1:32" hidden="1" x14ac:dyDescent="0.2">
      <c r="A427" s="103" t="s">
        <v>858</v>
      </c>
      <c r="B427" s="103" t="s">
        <v>857</v>
      </c>
      <c r="C427" s="103" t="s">
        <v>3837</v>
      </c>
      <c r="D427" s="103" t="s">
        <v>3842</v>
      </c>
      <c r="E427" s="103" t="s">
        <v>2642</v>
      </c>
      <c r="F427" s="103" t="s">
        <v>2162</v>
      </c>
      <c r="G427" s="103">
        <v>75</v>
      </c>
      <c r="H427" s="103" t="s">
        <v>2152</v>
      </c>
      <c r="I427" s="103" t="s">
        <v>2153</v>
      </c>
      <c r="J427" s="103">
        <v>40</v>
      </c>
      <c r="K427" s="103">
        <v>35</v>
      </c>
      <c r="N427" s="103" t="s">
        <v>2163</v>
      </c>
      <c r="O427" s="103">
        <v>75</v>
      </c>
      <c r="P427" s="103" t="s">
        <v>1609</v>
      </c>
      <c r="Q427" s="103" t="s">
        <v>2155</v>
      </c>
      <c r="R427" s="103" t="s">
        <v>2225</v>
      </c>
      <c r="S427" s="103" t="s">
        <v>2422</v>
      </c>
      <c r="U427" s="103">
        <v>36.225000000000001</v>
      </c>
      <c r="V427" s="103" t="s">
        <v>2158</v>
      </c>
      <c r="W427" s="103" t="s">
        <v>106</v>
      </c>
      <c r="X427" s="103" t="s">
        <v>1597</v>
      </c>
      <c r="Y427" s="103" t="s">
        <v>1685</v>
      </c>
      <c r="AA427" s="103" t="s">
        <v>2225</v>
      </c>
      <c r="AB427" s="103" t="s">
        <v>71</v>
      </c>
      <c r="AE427" s="103" t="s">
        <v>810</v>
      </c>
      <c r="AF427" s="103" t="b">
        <v>1</v>
      </c>
    </row>
    <row r="428" spans="1:32" hidden="1" x14ac:dyDescent="0.2">
      <c r="A428" s="103" t="s">
        <v>612</v>
      </c>
      <c r="B428" s="103" t="s">
        <v>611</v>
      </c>
      <c r="C428" s="103" t="s">
        <v>2644</v>
      </c>
      <c r="E428" s="103" t="s">
        <v>2642</v>
      </c>
      <c r="F428" s="103" t="s">
        <v>2232</v>
      </c>
      <c r="G428" s="103">
        <v>300</v>
      </c>
      <c r="H428" s="103" t="s">
        <v>2168</v>
      </c>
      <c r="I428" s="103" t="s">
        <v>2153</v>
      </c>
      <c r="L428" s="103">
        <v>150</v>
      </c>
      <c r="M428" s="103">
        <v>150</v>
      </c>
      <c r="N428" s="103" t="s">
        <v>2163</v>
      </c>
      <c r="O428" s="103">
        <v>300</v>
      </c>
      <c r="P428" s="103" t="s">
        <v>1609</v>
      </c>
      <c r="Q428" s="103" t="s">
        <v>2155</v>
      </c>
      <c r="R428" s="103" t="s">
        <v>2225</v>
      </c>
      <c r="S428" s="103" t="s">
        <v>2251</v>
      </c>
      <c r="U428" s="103">
        <v>144.9</v>
      </c>
      <c r="V428" s="103" t="s">
        <v>2158</v>
      </c>
      <c r="W428" s="103" t="s">
        <v>106</v>
      </c>
      <c r="X428" s="103" t="s">
        <v>1685</v>
      </c>
      <c r="Y428" s="103" t="s">
        <v>1685</v>
      </c>
      <c r="AA428" s="103" t="s">
        <v>2225</v>
      </c>
      <c r="AB428" s="103" t="s">
        <v>64</v>
      </c>
      <c r="AE428" s="103" t="s">
        <v>750</v>
      </c>
      <c r="AF428" s="103" t="b">
        <v>1</v>
      </c>
    </row>
    <row r="429" spans="1:32" hidden="1" x14ac:dyDescent="0.2">
      <c r="A429" s="103" t="s">
        <v>619</v>
      </c>
      <c r="B429" s="103" t="s">
        <v>618</v>
      </c>
      <c r="C429" s="103" t="s">
        <v>2654</v>
      </c>
      <c r="D429" s="103" t="s">
        <v>2655</v>
      </c>
      <c r="E429" s="103" t="s">
        <v>2642</v>
      </c>
      <c r="F429" s="103" t="s">
        <v>2232</v>
      </c>
      <c r="G429" s="103">
        <v>300</v>
      </c>
      <c r="H429" s="103" t="s">
        <v>2168</v>
      </c>
      <c r="I429" s="103" t="s">
        <v>2153</v>
      </c>
      <c r="J429" s="103">
        <v>75</v>
      </c>
      <c r="K429" s="103">
        <v>75</v>
      </c>
      <c r="L429" s="103">
        <v>75</v>
      </c>
      <c r="M429" s="103">
        <v>75</v>
      </c>
      <c r="N429" s="103" t="s">
        <v>2163</v>
      </c>
      <c r="O429" s="103">
        <v>300</v>
      </c>
      <c r="P429" s="103" t="s">
        <v>1609</v>
      </c>
      <c r="Q429" s="103" t="s">
        <v>2155</v>
      </c>
      <c r="R429" s="103" t="s">
        <v>2225</v>
      </c>
      <c r="S429" s="103" t="s">
        <v>2238</v>
      </c>
      <c r="U429" s="103">
        <v>144.9</v>
      </c>
      <c r="V429" s="103" t="s">
        <v>2158</v>
      </c>
      <c r="W429" s="103" t="s">
        <v>106</v>
      </c>
      <c r="X429" s="103" t="s">
        <v>1597</v>
      </c>
      <c r="Y429" s="103" t="s">
        <v>1685</v>
      </c>
      <c r="AA429" s="103" t="s">
        <v>2225</v>
      </c>
      <c r="AB429" s="103" t="s">
        <v>64</v>
      </c>
      <c r="AE429" s="103" t="s">
        <v>750</v>
      </c>
      <c r="AF429" s="103" t="b">
        <v>1</v>
      </c>
    </row>
    <row r="430" spans="1:32" hidden="1" x14ac:dyDescent="0.2">
      <c r="A430" s="103" t="s">
        <v>676</v>
      </c>
      <c r="B430" s="103" t="s">
        <v>675</v>
      </c>
      <c r="C430" s="103" t="s">
        <v>2725</v>
      </c>
      <c r="E430" s="103" t="s">
        <v>2242</v>
      </c>
      <c r="G430" s="103">
        <v>10</v>
      </c>
      <c r="H430" s="103" t="s">
        <v>2152</v>
      </c>
      <c r="I430" s="103" t="s">
        <v>2153</v>
      </c>
      <c r="J430" s="103">
        <v>10</v>
      </c>
      <c r="N430" s="103" t="s">
        <v>2163</v>
      </c>
      <c r="O430" s="103">
        <v>10</v>
      </c>
      <c r="P430" s="103" t="s">
        <v>1609</v>
      </c>
      <c r="Q430" s="103" t="s">
        <v>2155</v>
      </c>
      <c r="R430" s="103" t="s">
        <v>2225</v>
      </c>
      <c r="S430" s="103" t="s">
        <v>2157</v>
      </c>
      <c r="U430" s="103">
        <v>4.83</v>
      </c>
      <c r="V430" s="103" t="s">
        <v>2158</v>
      </c>
      <c r="W430" s="103" t="s">
        <v>106</v>
      </c>
      <c r="X430" s="103" t="s">
        <v>1685</v>
      </c>
      <c r="Y430" s="103" t="s">
        <v>1685</v>
      </c>
      <c r="AA430" s="103" t="s">
        <v>2225</v>
      </c>
      <c r="AB430" s="103" t="s">
        <v>64</v>
      </c>
      <c r="AE430" s="103" t="s">
        <v>750</v>
      </c>
      <c r="AF430" s="103" t="b">
        <v>1</v>
      </c>
    </row>
    <row r="431" spans="1:32" hidden="1" x14ac:dyDescent="0.2">
      <c r="A431" s="103" t="s">
        <v>1586</v>
      </c>
      <c r="B431" s="103" t="s">
        <v>1789</v>
      </c>
      <c r="C431" s="103" t="s">
        <v>2828</v>
      </c>
      <c r="D431" s="103" t="s">
        <v>2829</v>
      </c>
      <c r="E431" s="103" t="s">
        <v>2421</v>
      </c>
      <c r="F431" s="103" t="s">
        <v>2202</v>
      </c>
      <c r="G431" s="103">
        <v>150</v>
      </c>
      <c r="H431" s="103" t="s">
        <v>2152</v>
      </c>
      <c r="I431" s="103" t="s">
        <v>2153</v>
      </c>
      <c r="J431" s="103">
        <v>100</v>
      </c>
      <c r="K431" s="103">
        <v>50</v>
      </c>
      <c r="N431" s="103" t="s">
        <v>2163</v>
      </c>
      <c r="O431" s="103">
        <v>150</v>
      </c>
      <c r="P431" s="103" t="s">
        <v>1609</v>
      </c>
      <c r="Q431" s="103" t="s">
        <v>1393</v>
      </c>
      <c r="R431" s="103" t="s">
        <v>2225</v>
      </c>
      <c r="S431" s="103" t="s">
        <v>2422</v>
      </c>
      <c r="U431" s="103">
        <v>72.45</v>
      </c>
      <c r="V431" s="103" t="s">
        <v>2158</v>
      </c>
      <c r="W431" s="103" t="s">
        <v>106</v>
      </c>
      <c r="X431" s="103" t="s">
        <v>345</v>
      </c>
      <c r="Y431" s="103" t="s">
        <v>2240</v>
      </c>
      <c r="AA431" s="103" t="s">
        <v>2225</v>
      </c>
      <c r="AB431" s="103" t="s">
        <v>74</v>
      </c>
      <c r="AE431" s="103" t="s">
        <v>1241</v>
      </c>
      <c r="AF431" s="103" t="b">
        <v>1</v>
      </c>
    </row>
    <row r="432" spans="1:32" hidden="1" x14ac:dyDescent="0.2">
      <c r="A432" s="103" t="s">
        <v>1586</v>
      </c>
      <c r="B432" s="103" t="s">
        <v>1789</v>
      </c>
      <c r="C432" s="103" t="s">
        <v>2828</v>
      </c>
      <c r="D432" s="103" t="s">
        <v>2829</v>
      </c>
      <c r="E432" s="103" t="s">
        <v>2421</v>
      </c>
      <c r="F432" s="103" t="s">
        <v>2226</v>
      </c>
      <c r="G432" s="103">
        <v>400</v>
      </c>
      <c r="H432" s="103" t="s">
        <v>2168</v>
      </c>
      <c r="I432" s="103" t="s">
        <v>2153</v>
      </c>
      <c r="K432" s="103">
        <v>50</v>
      </c>
      <c r="L432" s="103">
        <v>175</v>
      </c>
      <c r="M432" s="103">
        <v>175</v>
      </c>
      <c r="N432" s="103" t="s">
        <v>2163</v>
      </c>
      <c r="O432" s="103">
        <v>400</v>
      </c>
      <c r="P432" s="103" t="s">
        <v>1609</v>
      </c>
      <c r="Q432" s="103" t="s">
        <v>1393</v>
      </c>
      <c r="R432" s="103" t="s">
        <v>2225</v>
      </c>
      <c r="S432" s="103" t="s">
        <v>2422</v>
      </c>
      <c r="U432" s="103">
        <v>193.2</v>
      </c>
      <c r="V432" s="103" t="s">
        <v>2158</v>
      </c>
      <c r="W432" s="103" t="s">
        <v>106</v>
      </c>
      <c r="X432" s="103" t="s">
        <v>345</v>
      </c>
      <c r="Y432" s="103" t="s">
        <v>2240</v>
      </c>
      <c r="AA432" s="103" t="s">
        <v>2225</v>
      </c>
      <c r="AB432" s="103" t="s">
        <v>74</v>
      </c>
      <c r="AE432" s="103" t="s">
        <v>1241</v>
      </c>
      <c r="AF432" s="103" t="b">
        <v>1</v>
      </c>
    </row>
    <row r="433" spans="1:32" hidden="1" x14ac:dyDescent="0.2">
      <c r="A433" s="103" t="s">
        <v>785</v>
      </c>
      <c r="B433" s="103" t="s">
        <v>784</v>
      </c>
      <c r="C433" s="103" t="s">
        <v>2862</v>
      </c>
      <c r="D433" s="103" t="s">
        <v>2863</v>
      </c>
      <c r="E433" s="103" t="s">
        <v>2421</v>
      </c>
      <c r="F433" s="103" t="s">
        <v>2202</v>
      </c>
      <c r="G433" s="103">
        <v>200</v>
      </c>
      <c r="H433" s="103" t="s">
        <v>2168</v>
      </c>
      <c r="I433" s="103" t="s">
        <v>2153</v>
      </c>
      <c r="M433" s="103">
        <v>200</v>
      </c>
      <c r="N433" s="103" t="s">
        <v>2163</v>
      </c>
      <c r="O433" s="103">
        <v>200</v>
      </c>
      <c r="P433" s="103" t="s">
        <v>1609</v>
      </c>
      <c r="Q433" s="103" t="s">
        <v>2155</v>
      </c>
      <c r="R433" s="103" t="s">
        <v>2225</v>
      </c>
      <c r="S433" s="103" t="s">
        <v>2192</v>
      </c>
      <c r="T433" s="103" t="s">
        <v>2864</v>
      </c>
      <c r="U433" s="103">
        <v>96.6</v>
      </c>
      <c r="V433" s="103" t="s">
        <v>2158</v>
      </c>
      <c r="W433" s="103" t="s">
        <v>106</v>
      </c>
      <c r="X433" s="103" t="s">
        <v>1685</v>
      </c>
      <c r="Y433" s="103" t="s">
        <v>1685</v>
      </c>
      <c r="AA433" s="103" t="s">
        <v>2225</v>
      </c>
      <c r="AB433" s="103" t="s">
        <v>71</v>
      </c>
      <c r="AE433" s="103" t="s">
        <v>898</v>
      </c>
      <c r="AF433" s="103" t="b">
        <v>1</v>
      </c>
    </row>
    <row r="434" spans="1:32" hidden="1" x14ac:dyDescent="0.2">
      <c r="A434" s="103" t="s">
        <v>617</v>
      </c>
      <c r="B434" s="103" t="s">
        <v>616</v>
      </c>
      <c r="D434" s="103" t="s">
        <v>2653</v>
      </c>
      <c r="E434" s="103" t="s">
        <v>935</v>
      </c>
      <c r="G434" s="103">
        <v>380</v>
      </c>
      <c r="H434" s="103" t="s">
        <v>2152</v>
      </c>
      <c r="I434" s="103" t="s">
        <v>2153</v>
      </c>
      <c r="J434" s="103">
        <v>95</v>
      </c>
      <c r="K434" s="103">
        <v>95</v>
      </c>
      <c r="L434" s="103">
        <v>95</v>
      </c>
      <c r="M434" s="103">
        <v>95</v>
      </c>
      <c r="N434" s="103" t="s">
        <v>2163</v>
      </c>
      <c r="O434" s="103">
        <v>380</v>
      </c>
      <c r="P434" s="103" t="s">
        <v>1639</v>
      </c>
      <c r="Q434" s="103" t="s">
        <v>2155</v>
      </c>
      <c r="R434" s="103" t="s">
        <v>2225</v>
      </c>
      <c r="S434" s="103" t="s">
        <v>2157</v>
      </c>
      <c r="U434" s="103">
        <v>194.94</v>
      </c>
      <c r="V434" s="103" t="s">
        <v>2158</v>
      </c>
      <c r="W434" s="103" t="s">
        <v>113</v>
      </c>
      <c r="X434" s="103" t="s">
        <v>1597</v>
      </c>
      <c r="Y434" s="103" t="s">
        <v>1685</v>
      </c>
      <c r="AA434" s="103" t="s">
        <v>2225</v>
      </c>
      <c r="AB434" s="103" t="s">
        <v>64</v>
      </c>
      <c r="AE434" s="103" t="s">
        <v>933</v>
      </c>
      <c r="AF434" s="103" t="b">
        <v>1</v>
      </c>
    </row>
    <row r="435" spans="1:32" hidden="1" x14ac:dyDescent="0.2">
      <c r="A435" s="103" t="s">
        <v>785</v>
      </c>
      <c r="B435" s="103" t="s">
        <v>784</v>
      </c>
      <c r="C435" s="103" t="s">
        <v>2862</v>
      </c>
      <c r="D435" s="103" t="s">
        <v>2865</v>
      </c>
      <c r="E435" s="103" t="s">
        <v>2421</v>
      </c>
      <c r="F435" s="103" t="s">
        <v>2151</v>
      </c>
      <c r="G435" s="103">
        <v>100</v>
      </c>
      <c r="H435" s="103" t="s">
        <v>2168</v>
      </c>
      <c r="I435" s="103" t="s">
        <v>2153</v>
      </c>
      <c r="K435" s="103">
        <v>100</v>
      </c>
      <c r="N435" s="103" t="s">
        <v>2163</v>
      </c>
      <c r="O435" s="103">
        <v>100</v>
      </c>
      <c r="P435" s="103" t="s">
        <v>1609</v>
      </c>
      <c r="Q435" s="103" t="s">
        <v>2155</v>
      </c>
      <c r="R435" s="103" t="s">
        <v>2225</v>
      </c>
      <c r="S435" s="103" t="s">
        <v>2247</v>
      </c>
      <c r="U435" s="103">
        <v>48.3</v>
      </c>
      <c r="V435" s="103" t="s">
        <v>2158</v>
      </c>
      <c r="W435" s="103" t="s">
        <v>106</v>
      </c>
      <c r="X435" s="103" t="s">
        <v>1685</v>
      </c>
      <c r="Y435" s="103" t="s">
        <v>1685</v>
      </c>
      <c r="AA435" s="103" t="s">
        <v>2225</v>
      </c>
      <c r="AB435" s="103" t="s">
        <v>71</v>
      </c>
      <c r="AE435" s="103" t="s">
        <v>898</v>
      </c>
      <c r="AF435" s="103" t="b">
        <v>1</v>
      </c>
    </row>
    <row r="436" spans="1:32" hidden="1" x14ac:dyDescent="0.2">
      <c r="A436" s="103" t="s">
        <v>749</v>
      </c>
      <c r="B436" s="103" t="s">
        <v>748</v>
      </c>
      <c r="D436" s="103" t="s">
        <v>3853</v>
      </c>
      <c r="E436" s="103" t="s">
        <v>2642</v>
      </c>
      <c r="F436" s="103" t="s">
        <v>2162</v>
      </c>
      <c r="G436" s="103">
        <v>30</v>
      </c>
      <c r="H436" s="103" t="s">
        <v>2152</v>
      </c>
      <c r="I436" s="103" t="s">
        <v>2153</v>
      </c>
      <c r="L436" s="103">
        <v>30</v>
      </c>
      <c r="N436" s="103" t="s">
        <v>2163</v>
      </c>
      <c r="O436" s="103">
        <v>30</v>
      </c>
      <c r="P436" s="103" t="s">
        <v>1609</v>
      </c>
      <c r="Q436" s="103" t="s">
        <v>2236</v>
      </c>
      <c r="R436" s="103" t="s">
        <v>2225</v>
      </c>
      <c r="S436" s="103" t="s">
        <v>2422</v>
      </c>
      <c r="T436" s="103" t="s">
        <v>3854</v>
      </c>
      <c r="U436" s="103">
        <v>14.49</v>
      </c>
      <c r="V436" s="103" t="s">
        <v>2158</v>
      </c>
      <c r="W436" s="103" t="s">
        <v>106</v>
      </c>
      <c r="X436" s="103" t="s">
        <v>1597</v>
      </c>
      <c r="Y436" s="103" t="s">
        <v>1685</v>
      </c>
      <c r="AA436" s="103" t="s">
        <v>2225</v>
      </c>
      <c r="AB436" s="103" t="s">
        <v>64</v>
      </c>
      <c r="AE436" s="103" t="s">
        <v>750</v>
      </c>
      <c r="AF436" s="103" t="b">
        <v>1</v>
      </c>
    </row>
    <row r="437" spans="1:32" hidden="1" x14ac:dyDescent="0.2">
      <c r="A437" s="103" t="s">
        <v>785</v>
      </c>
      <c r="B437" s="103" t="s">
        <v>784</v>
      </c>
      <c r="C437" s="103" t="s">
        <v>2862</v>
      </c>
      <c r="D437" s="103" t="s">
        <v>2866</v>
      </c>
      <c r="E437" s="103" t="s">
        <v>2421</v>
      </c>
      <c r="F437" s="103" t="s">
        <v>2202</v>
      </c>
      <c r="G437" s="103">
        <v>200</v>
      </c>
      <c r="H437" s="103" t="s">
        <v>2168</v>
      </c>
      <c r="I437" s="103" t="s">
        <v>2153</v>
      </c>
      <c r="K437" s="103">
        <v>100</v>
      </c>
      <c r="L437" s="103">
        <v>100</v>
      </c>
      <c r="N437" s="103" t="s">
        <v>2163</v>
      </c>
      <c r="O437" s="103">
        <v>200</v>
      </c>
      <c r="P437" s="103" t="s">
        <v>1609</v>
      </c>
      <c r="Q437" s="103" t="s">
        <v>2155</v>
      </c>
      <c r="R437" s="103" t="s">
        <v>2225</v>
      </c>
      <c r="S437" s="103" t="s">
        <v>2247</v>
      </c>
      <c r="U437" s="103">
        <v>96.6</v>
      </c>
      <c r="V437" s="103" t="s">
        <v>2158</v>
      </c>
      <c r="W437" s="103" t="s">
        <v>106</v>
      </c>
      <c r="X437" s="103" t="s">
        <v>1685</v>
      </c>
      <c r="Y437" s="103" t="s">
        <v>1685</v>
      </c>
      <c r="AA437" s="103" t="s">
        <v>2225</v>
      </c>
      <c r="AB437" s="103" t="s">
        <v>71</v>
      </c>
      <c r="AE437" s="103" t="s">
        <v>898</v>
      </c>
      <c r="AF437" s="103" t="b">
        <v>1</v>
      </c>
    </row>
    <row r="438" spans="1:32" hidden="1" x14ac:dyDescent="0.2">
      <c r="A438" s="103" t="s">
        <v>621</v>
      </c>
      <c r="B438" s="103" t="s">
        <v>620</v>
      </c>
      <c r="C438" s="103" t="s">
        <v>2656</v>
      </c>
      <c r="D438" s="103" t="s">
        <v>2657</v>
      </c>
      <c r="E438" s="103" t="s">
        <v>2196</v>
      </c>
      <c r="F438" s="103" t="s">
        <v>2202</v>
      </c>
      <c r="G438" s="103">
        <v>150</v>
      </c>
      <c r="H438" s="103" t="s">
        <v>2152</v>
      </c>
      <c r="I438" s="103" t="s">
        <v>2153</v>
      </c>
      <c r="J438" s="103">
        <v>75</v>
      </c>
      <c r="K438" s="103">
        <v>75</v>
      </c>
      <c r="N438" s="103" t="s">
        <v>2163</v>
      </c>
      <c r="O438" s="103">
        <v>150</v>
      </c>
      <c r="P438" s="103" t="s">
        <v>1232</v>
      </c>
      <c r="Q438" s="103" t="s">
        <v>2155</v>
      </c>
      <c r="R438" s="103" t="s">
        <v>121</v>
      </c>
      <c r="S438" s="103" t="s">
        <v>2427</v>
      </c>
      <c r="U438" s="103">
        <v>76.95</v>
      </c>
      <c r="V438" s="103" t="s">
        <v>2158</v>
      </c>
      <c r="W438" s="103" t="s">
        <v>121</v>
      </c>
      <c r="X438" s="103" t="s">
        <v>1597</v>
      </c>
      <c r="Y438" s="103" t="s">
        <v>1685</v>
      </c>
      <c r="AA438" s="103" t="s">
        <v>121</v>
      </c>
      <c r="AB438" s="103" t="s">
        <v>64</v>
      </c>
      <c r="AE438" s="103" t="s">
        <v>750</v>
      </c>
      <c r="AF438" s="103" t="b">
        <v>1</v>
      </c>
    </row>
    <row r="439" spans="1:32" hidden="1" x14ac:dyDescent="0.2">
      <c r="A439" s="103" t="s">
        <v>621</v>
      </c>
      <c r="B439" s="103" t="s">
        <v>620</v>
      </c>
      <c r="C439" s="103" t="s">
        <v>2656</v>
      </c>
      <c r="D439" s="103" t="s">
        <v>2658</v>
      </c>
      <c r="E439" s="103" t="s">
        <v>2242</v>
      </c>
      <c r="F439" s="103" t="s">
        <v>2175</v>
      </c>
      <c r="G439" s="103">
        <v>20</v>
      </c>
      <c r="H439" s="103" t="s">
        <v>2168</v>
      </c>
      <c r="I439" s="103" t="s">
        <v>2153</v>
      </c>
      <c r="L439" s="103">
        <v>20</v>
      </c>
      <c r="N439" s="103" t="s">
        <v>2163</v>
      </c>
      <c r="O439" s="103">
        <v>20</v>
      </c>
      <c r="P439" s="103" t="s">
        <v>1232</v>
      </c>
      <c r="Q439" s="103" t="s">
        <v>2155</v>
      </c>
      <c r="R439" s="103" t="s">
        <v>2225</v>
      </c>
      <c r="S439" s="103" t="s">
        <v>2192</v>
      </c>
      <c r="U439" s="103">
        <v>9.66</v>
      </c>
      <c r="V439" s="103" t="s">
        <v>2158</v>
      </c>
      <c r="W439" s="103" t="s">
        <v>106</v>
      </c>
      <c r="X439" s="103" t="s">
        <v>1597</v>
      </c>
      <c r="Y439" s="103" t="s">
        <v>1685</v>
      </c>
      <c r="AA439" s="103" t="s">
        <v>2225</v>
      </c>
      <c r="AB439" s="103" t="s">
        <v>64</v>
      </c>
      <c r="AE439" s="103" t="s">
        <v>750</v>
      </c>
      <c r="AF439" s="103" t="b">
        <v>1</v>
      </c>
    </row>
    <row r="440" spans="1:32" hidden="1" x14ac:dyDescent="0.2">
      <c r="A440" s="103" t="s">
        <v>621</v>
      </c>
      <c r="B440" s="103" t="s">
        <v>620</v>
      </c>
      <c r="C440" s="103" t="s">
        <v>2656</v>
      </c>
      <c r="D440" s="103" t="s">
        <v>621</v>
      </c>
      <c r="E440" s="103" t="s">
        <v>2244</v>
      </c>
      <c r="F440" s="103" t="s">
        <v>2151</v>
      </c>
      <c r="G440" s="103">
        <v>100</v>
      </c>
      <c r="H440" s="103" t="s">
        <v>2168</v>
      </c>
      <c r="I440" s="103" t="s">
        <v>2153</v>
      </c>
      <c r="J440" s="103">
        <v>0</v>
      </c>
      <c r="K440" s="103">
        <v>0</v>
      </c>
      <c r="L440" s="103">
        <v>100</v>
      </c>
      <c r="M440" s="103">
        <v>0</v>
      </c>
      <c r="N440" s="103" t="s">
        <v>2163</v>
      </c>
      <c r="O440" s="103">
        <v>100</v>
      </c>
      <c r="P440" s="103" t="s">
        <v>1232</v>
      </c>
      <c r="Q440" s="103" t="s">
        <v>2155</v>
      </c>
      <c r="R440" s="103" t="s">
        <v>2225</v>
      </c>
      <c r="S440" s="103" t="s">
        <v>2192</v>
      </c>
      <c r="U440" s="103">
        <v>48.3</v>
      </c>
      <c r="V440" s="103" t="s">
        <v>2158</v>
      </c>
      <c r="W440" s="103" t="s">
        <v>106</v>
      </c>
      <c r="X440" s="103" t="s">
        <v>1597</v>
      </c>
      <c r="Y440" s="103" t="s">
        <v>1685</v>
      </c>
      <c r="AA440" s="103" t="s">
        <v>2225</v>
      </c>
      <c r="AB440" s="103" t="s">
        <v>64</v>
      </c>
      <c r="AE440" s="103" t="s">
        <v>750</v>
      </c>
      <c r="AF440" s="103" t="b">
        <v>1</v>
      </c>
    </row>
    <row r="441" spans="1:32" hidden="1" x14ac:dyDescent="0.2">
      <c r="A441" s="103" t="s">
        <v>621</v>
      </c>
      <c r="B441" s="103" t="s">
        <v>620</v>
      </c>
      <c r="C441" s="103" t="s">
        <v>2656</v>
      </c>
      <c r="D441" s="103" t="s">
        <v>2428</v>
      </c>
      <c r="E441" s="103" t="s">
        <v>2586</v>
      </c>
      <c r="F441" s="103" t="s">
        <v>2162</v>
      </c>
      <c r="G441" s="103">
        <v>20.25</v>
      </c>
      <c r="H441" s="103" t="s">
        <v>2152</v>
      </c>
      <c r="I441" s="103" t="s">
        <v>2153</v>
      </c>
      <c r="J441" s="103">
        <v>5</v>
      </c>
      <c r="K441" s="103">
        <v>10</v>
      </c>
      <c r="L441" s="103">
        <v>5.25</v>
      </c>
      <c r="N441" s="103" t="s">
        <v>2163</v>
      </c>
      <c r="O441" s="103">
        <v>20.25</v>
      </c>
      <c r="P441" s="103" t="s">
        <v>1232</v>
      </c>
      <c r="Q441" s="103" t="s">
        <v>2155</v>
      </c>
      <c r="R441" s="103" t="s">
        <v>2164</v>
      </c>
      <c r="U441" s="103">
        <v>12.15</v>
      </c>
      <c r="V441" s="103" t="s">
        <v>2158</v>
      </c>
      <c r="W441" s="103" t="s">
        <v>132</v>
      </c>
      <c r="X441" s="103" t="s">
        <v>1597</v>
      </c>
      <c r="Y441" s="103" t="s">
        <v>1685</v>
      </c>
      <c r="AA441" s="103" t="s">
        <v>2164</v>
      </c>
      <c r="AB441" s="103" t="s">
        <v>64</v>
      </c>
      <c r="AE441" s="103" t="s">
        <v>750</v>
      </c>
      <c r="AF441" s="103" t="b">
        <v>1</v>
      </c>
    </row>
    <row r="442" spans="1:32" hidden="1" x14ac:dyDescent="0.2">
      <c r="A442" s="103" t="s">
        <v>623</v>
      </c>
      <c r="B442" s="103" t="s">
        <v>622</v>
      </c>
      <c r="C442" s="103" t="s">
        <v>23</v>
      </c>
      <c r="D442" s="103" t="s">
        <v>2659</v>
      </c>
      <c r="E442" s="103" t="s">
        <v>2244</v>
      </c>
      <c r="F442" s="103" t="s">
        <v>2151</v>
      </c>
      <c r="G442" s="103">
        <v>100</v>
      </c>
      <c r="H442" s="103" t="s">
        <v>2168</v>
      </c>
      <c r="I442" s="103" t="s">
        <v>2153</v>
      </c>
      <c r="M442" s="103">
        <v>100</v>
      </c>
      <c r="N442" s="103" t="s">
        <v>2260</v>
      </c>
      <c r="O442" s="103">
        <v>100</v>
      </c>
      <c r="P442" s="103" t="s">
        <v>1232</v>
      </c>
      <c r="Q442" s="103" t="s">
        <v>2296</v>
      </c>
      <c r="R442" s="103" t="s">
        <v>2225</v>
      </c>
      <c r="S442" s="103" t="s">
        <v>2157</v>
      </c>
      <c r="U442" s="103">
        <v>48.3</v>
      </c>
      <c r="V442" s="103" t="s">
        <v>2262</v>
      </c>
      <c r="W442" s="103" t="s">
        <v>106</v>
      </c>
      <c r="X442" s="103" t="s">
        <v>1597</v>
      </c>
      <c r="Y442" s="103" t="s">
        <v>1685</v>
      </c>
      <c r="AA442" s="103" t="s">
        <v>2225</v>
      </c>
      <c r="AB442" s="103" t="s">
        <v>64</v>
      </c>
      <c r="AE442" s="103" t="s">
        <v>750</v>
      </c>
      <c r="AF442" s="103" t="b">
        <v>1</v>
      </c>
    </row>
    <row r="443" spans="1:32" hidden="1" x14ac:dyDescent="0.2">
      <c r="A443" s="103" t="s">
        <v>623</v>
      </c>
      <c r="B443" s="103" t="s">
        <v>622</v>
      </c>
      <c r="C443" s="103" t="s">
        <v>23</v>
      </c>
      <c r="D443" s="103" t="s">
        <v>2660</v>
      </c>
      <c r="E443" s="103" t="s">
        <v>2244</v>
      </c>
      <c r="F443" s="103" t="s">
        <v>2226</v>
      </c>
      <c r="G443" s="103">
        <v>460</v>
      </c>
      <c r="H443" s="103" t="s">
        <v>2152</v>
      </c>
      <c r="I443" s="103" t="s">
        <v>2153</v>
      </c>
      <c r="J443" s="103">
        <v>0</v>
      </c>
      <c r="L443" s="103">
        <v>200</v>
      </c>
      <c r="M443" s="103">
        <v>260</v>
      </c>
      <c r="N443" s="103" t="s">
        <v>2163</v>
      </c>
      <c r="O443" s="103">
        <v>460</v>
      </c>
      <c r="P443" s="103" t="s">
        <v>1232</v>
      </c>
      <c r="Q443" s="103" t="s">
        <v>2387</v>
      </c>
      <c r="R443" s="103" t="s">
        <v>2225</v>
      </c>
      <c r="S443" s="103" t="s">
        <v>2157</v>
      </c>
      <c r="U443" s="103">
        <v>222.18</v>
      </c>
      <c r="V443" s="103" t="s">
        <v>2158</v>
      </c>
      <c r="W443" s="103" t="s">
        <v>106</v>
      </c>
      <c r="X443" s="103" t="s">
        <v>1597</v>
      </c>
      <c r="Y443" s="103" t="s">
        <v>1685</v>
      </c>
      <c r="AA443" s="103" t="s">
        <v>2225</v>
      </c>
      <c r="AB443" s="103" t="s">
        <v>64</v>
      </c>
      <c r="AE443" s="103" t="s">
        <v>750</v>
      </c>
      <c r="AF443" s="103" t="b">
        <v>1</v>
      </c>
    </row>
    <row r="444" spans="1:32" hidden="1" x14ac:dyDescent="0.2">
      <c r="A444" s="103" t="s">
        <v>623</v>
      </c>
      <c r="B444" s="103" t="s">
        <v>622</v>
      </c>
      <c r="C444" s="103" t="s">
        <v>23</v>
      </c>
      <c r="D444" s="103" t="s">
        <v>2661</v>
      </c>
      <c r="E444" s="103" t="s">
        <v>2244</v>
      </c>
      <c r="F444" s="103" t="s">
        <v>2151</v>
      </c>
      <c r="G444" s="103">
        <v>100</v>
      </c>
      <c r="H444" s="103" t="s">
        <v>2168</v>
      </c>
      <c r="I444" s="103" t="s">
        <v>2153</v>
      </c>
      <c r="J444" s="103">
        <v>50</v>
      </c>
      <c r="K444" s="103">
        <v>50</v>
      </c>
      <c r="N444" s="103" t="s">
        <v>2163</v>
      </c>
      <c r="O444" s="103">
        <v>100</v>
      </c>
      <c r="P444" s="103" t="s">
        <v>1232</v>
      </c>
      <c r="Q444" s="103" t="s">
        <v>2387</v>
      </c>
      <c r="R444" s="103" t="s">
        <v>2225</v>
      </c>
      <c r="S444" s="103" t="s">
        <v>2157</v>
      </c>
      <c r="U444" s="103">
        <v>48.3</v>
      </c>
      <c r="V444" s="103" t="s">
        <v>2158</v>
      </c>
      <c r="W444" s="103" t="s">
        <v>106</v>
      </c>
      <c r="X444" s="103" t="s">
        <v>1597</v>
      </c>
      <c r="Y444" s="103" t="s">
        <v>1685</v>
      </c>
      <c r="AA444" s="103" t="s">
        <v>2225</v>
      </c>
      <c r="AB444" s="103" t="s">
        <v>64</v>
      </c>
      <c r="AE444" s="103" t="s">
        <v>750</v>
      </c>
      <c r="AF444" s="103" t="b">
        <v>1</v>
      </c>
    </row>
    <row r="445" spans="1:32" hidden="1" x14ac:dyDescent="0.2">
      <c r="A445" s="103" t="s">
        <v>623</v>
      </c>
      <c r="B445" s="103" t="s">
        <v>622</v>
      </c>
      <c r="C445" s="103" t="s">
        <v>23</v>
      </c>
      <c r="D445" s="103" t="s">
        <v>2662</v>
      </c>
      <c r="E445" s="103" t="s">
        <v>2242</v>
      </c>
      <c r="F445" s="103" t="s">
        <v>2202</v>
      </c>
      <c r="G445" s="103">
        <v>200</v>
      </c>
      <c r="H445" s="103" t="s">
        <v>2168</v>
      </c>
      <c r="I445" s="103" t="s">
        <v>2153</v>
      </c>
      <c r="J445" s="103">
        <v>50</v>
      </c>
      <c r="K445" s="103">
        <v>50</v>
      </c>
      <c r="L445" s="103">
        <v>50</v>
      </c>
      <c r="M445" s="103">
        <v>50</v>
      </c>
      <c r="N445" s="103" t="s">
        <v>2163</v>
      </c>
      <c r="O445" s="103">
        <v>200</v>
      </c>
      <c r="P445" s="103" t="s">
        <v>1232</v>
      </c>
      <c r="Q445" s="103" t="s">
        <v>2387</v>
      </c>
      <c r="R445" s="103" t="s">
        <v>2225</v>
      </c>
      <c r="S445" s="103" t="s">
        <v>2157</v>
      </c>
      <c r="U445" s="103">
        <v>96.6</v>
      </c>
      <c r="V445" s="103" t="s">
        <v>2158</v>
      </c>
      <c r="W445" s="103" t="s">
        <v>106</v>
      </c>
      <c r="X445" s="103" t="s">
        <v>1597</v>
      </c>
      <c r="Y445" s="103" t="s">
        <v>1685</v>
      </c>
      <c r="AA445" s="103" t="s">
        <v>2225</v>
      </c>
      <c r="AB445" s="103" t="s">
        <v>64</v>
      </c>
      <c r="AE445" s="103" t="s">
        <v>750</v>
      </c>
      <c r="AF445" s="103" t="b">
        <v>1</v>
      </c>
    </row>
    <row r="446" spans="1:32" hidden="1" x14ac:dyDescent="0.2">
      <c r="A446" s="103" t="s">
        <v>623</v>
      </c>
      <c r="B446" s="103" t="s">
        <v>622</v>
      </c>
      <c r="C446" s="103" t="s">
        <v>23</v>
      </c>
      <c r="D446" s="103" t="s">
        <v>2663</v>
      </c>
      <c r="E446" s="103" t="s">
        <v>2196</v>
      </c>
      <c r="F446" s="103" t="s">
        <v>2202</v>
      </c>
      <c r="G446" s="103">
        <v>200</v>
      </c>
      <c r="H446" s="103" t="s">
        <v>2168</v>
      </c>
      <c r="I446" s="103" t="s">
        <v>2153</v>
      </c>
      <c r="J446" s="103">
        <v>50</v>
      </c>
      <c r="K446" s="103">
        <v>50</v>
      </c>
      <c r="L446" s="103">
        <v>50</v>
      </c>
      <c r="M446" s="103">
        <v>50</v>
      </c>
      <c r="N446" s="103" t="s">
        <v>2163</v>
      </c>
      <c r="O446" s="103">
        <v>200</v>
      </c>
      <c r="P446" s="103" t="s">
        <v>1232</v>
      </c>
      <c r="Q446" s="103" t="s">
        <v>2387</v>
      </c>
      <c r="R446" s="103" t="s">
        <v>121</v>
      </c>
      <c r="S446" s="103" t="s">
        <v>2157</v>
      </c>
      <c r="U446" s="103">
        <v>102.6</v>
      </c>
      <c r="V446" s="103" t="s">
        <v>2158</v>
      </c>
      <c r="W446" s="103" t="s">
        <v>121</v>
      </c>
      <c r="X446" s="103" t="s">
        <v>1597</v>
      </c>
      <c r="Y446" s="103" t="s">
        <v>1685</v>
      </c>
      <c r="AA446" s="103" t="s">
        <v>121</v>
      </c>
      <c r="AB446" s="103" t="s">
        <v>64</v>
      </c>
      <c r="AE446" s="103" t="s">
        <v>750</v>
      </c>
      <c r="AF446" s="103" t="b">
        <v>1</v>
      </c>
    </row>
    <row r="447" spans="1:32" hidden="1" x14ac:dyDescent="0.2">
      <c r="A447" s="103" t="s">
        <v>623</v>
      </c>
      <c r="B447" s="103" t="s">
        <v>622</v>
      </c>
      <c r="C447" s="103" t="s">
        <v>23</v>
      </c>
      <c r="D447" s="103" t="s">
        <v>2664</v>
      </c>
      <c r="E447" s="103" t="s">
        <v>2242</v>
      </c>
      <c r="F447" s="103" t="s">
        <v>2202</v>
      </c>
      <c r="G447" s="103">
        <v>240</v>
      </c>
      <c r="H447" s="103" t="s">
        <v>2152</v>
      </c>
      <c r="I447" s="103" t="s">
        <v>2153</v>
      </c>
      <c r="J447" s="103">
        <v>0</v>
      </c>
      <c r="K447" s="103">
        <v>80</v>
      </c>
      <c r="L447" s="103">
        <v>100</v>
      </c>
      <c r="M447" s="103">
        <v>60</v>
      </c>
      <c r="N447" s="103" t="s">
        <v>2163</v>
      </c>
      <c r="O447" s="103">
        <v>240</v>
      </c>
      <c r="P447" s="103" t="s">
        <v>1232</v>
      </c>
      <c r="Q447" s="103" t="s">
        <v>2387</v>
      </c>
      <c r="R447" s="103" t="s">
        <v>2225</v>
      </c>
      <c r="S447" s="103" t="s">
        <v>2157</v>
      </c>
      <c r="U447" s="103">
        <v>115.92</v>
      </c>
      <c r="V447" s="103" t="s">
        <v>2158</v>
      </c>
      <c r="W447" s="103" t="s">
        <v>106</v>
      </c>
      <c r="X447" s="103" t="s">
        <v>1597</v>
      </c>
      <c r="Y447" s="103" t="s">
        <v>1685</v>
      </c>
      <c r="AA447" s="103" t="s">
        <v>2225</v>
      </c>
      <c r="AB447" s="103" t="s">
        <v>64</v>
      </c>
      <c r="AE447" s="103" t="s">
        <v>750</v>
      </c>
      <c r="AF447" s="103" t="b">
        <v>1</v>
      </c>
    </row>
    <row r="448" spans="1:32" hidden="1" x14ac:dyDescent="0.2">
      <c r="A448" s="103" t="s">
        <v>623</v>
      </c>
      <c r="B448" s="103" t="s">
        <v>622</v>
      </c>
      <c r="C448" s="103" t="s">
        <v>23</v>
      </c>
      <c r="D448" s="103" t="s">
        <v>2665</v>
      </c>
      <c r="E448" s="103" t="s">
        <v>2244</v>
      </c>
      <c r="F448" s="103" t="s">
        <v>2162</v>
      </c>
      <c r="G448" s="103">
        <v>50</v>
      </c>
      <c r="H448" s="103" t="s">
        <v>2168</v>
      </c>
      <c r="I448" s="103" t="s">
        <v>2153</v>
      </c>
      <c r="J448" s="103">
        <v>50</v>
      </c>
      <c r="N448" s="103" t="s">
        <v>2163</v>
      </c>
      <c r="O448" s="103">
        <v>50</v>
      </c>
      <c r="P448" s="103" t="s">
        <v>1232</v>
      </c>
      <c r="Q448" s="103" t="s">
        <v>2155</v>
      </c>
      <c r="R448" s="103" t="s">
        <v>2225</v>
      </c>
      <c r="S448" s="103" t="s">
        <v>2157</v>
      </c>
      <c r="U448" s="103">
        <v>24.15</v>
      </c>
      <c r="V448" s="103" t="s">
        <v>2158</v>
      </c>
      <c r="W448" s="103" t="s">
        <v>106</v>
      </c>
      <c r="X448" s="103" t="s">
        <v>1597</v>
      </c>
      <c r="Y448" s="103" t="s">
        <v>1685</v>
      </c>
      <c r="AA448" s="103" t="s">
        <v>2225</v>
      </c>
      <c r="AB448" s="103" t="s">
        <v>64</v>
      </c>
      <c r="AE448" s="103" t="s">
        <v>750</v>
      </c>
      <c r="AF448" s="103" t="b">
        <v>1</v>
      </c>
    </row>
    <row r="449" spans="1:32" hidden="1" x14ac:dyDescent="0.2">
      <c r="A449" s="103" t="s">
        <v>623</v>
      </c>
      <c r="B449" s="103" t="s">
        <v>622</v>
      </c>
      <c r="C449" s="103" t="s">
        <v>23</v>
      </c>
      <c r="D449" s="103" t="s">
        <v>2666</v>
      </c>
      <c r="E449" s="103" t="s">
        <v>2244</v>
      </c>
      <c r="F449" s="103" t="s">
        <v>2202</v>
      </c>
      <c r="G449" s="103">
        <v>200</v>
      </c>
      <c r="H449" s="103" t="s">
        <v>2168</v>
      </c>
      <c r="I449" s="103" t="s">
        <v>2153</v>
      </c>
      <c r="L449" s="103">
        <v>60</v>
      </c>
      <c r="M449" s="103">
        <v>140</v>
      </c>
      <c r="N449" s="103" t="s">
        <v>2163</v>
      </c>
      <c r="O449" s="103">
        <v>200</v>
      </c>
      <c r="P449" s="103" t="s">
        <v>1232</v>
      </c>
      <c r="Q449" s="103" t="s">
        <v>2155</v>
      </c>
      <c r="R449" s="103" t="s">
        <v>2225</v>
      </c>
      <c r="S449" s="103" t="s">
        <v>2157</v>
      </c>
      <c r="U449" s="103">
        <v>96.6</v>
      </c>
      <c r="V449" s="103" t="s">
        <v>2158</v>
      </c>
      <c r="W449" s="103" t="s">
        <v>106</v>
      </c>
      <c r="X449" s="103" t="s">
        <v>1597</v>
      </c>
      <c r="Y449" s="103" t="s">
        <v>1685</v>
      </c>
      <c r="AA449" s="103" t="s">
        <v>2225</v>
      </c>
      <c r="AB449" s="103" t="s">
        <v>64</v>
      </c>
      <c r="AE449" s="103" t="s">
        <v>750</v>
      </c>
      <c r="AF449" s="103" t="b">
        <v>1</v>
      </c>
    </row>
    <row r="450" spans="1:32" hidden="1" x14ac:dyDescent="0.2">
      <c r="A450" s="103" t="s">
        <v>623</v>
      </c>
      <c r="B450" s="103" t="s">
        <v>622</v>
      </c>
      <c r="C450" s="103" t="s">
        <v>23</v>
      </c>
      <c r="D450" s="103" t="s">
        <v>2667</v>
      </c>
      <c r="E450" s="103" t="s">
        <v>2242</v>
      </c>
      <c r="F450" s="103" t="s">
        <v>2232</v>
      </c>
      <c r="G450" s="103">
        <v>340</v>
      </c>
      <c r="H450" s="103" t="s">
        <v>2152</v>
      </c>
      <c r="I450" s="103" t="s">
        <v>2153</v>
      </c>
      <c r="J450" s="103">
        <v>100</v>
      </c>
      <c r="K450" s="103">
        <v>120</v>
      </c>
      <c r="L450" s="103">
        <v>120</v>
      </c>
      <c r="M450" s="103">
        <v>0</v>
      </c>
      <c r="N450" s="103" t="s">
        <v>2163</v>
      </c>
      <c r="O450" s="103">
        <v>340</v>
      </c>
      <c r="P450" s="103" t="s">
        <v>1232</v>
      </c>
      <c r="Q450" s="103" t="s">
        <v>2155</v>
      </c>
      <c r="R450" s="103" t="s">
        <v>2225</v>
      </c>
      <c r="S450" s="103" t="s">
        <v>2157</v>
      </c>
      <c r="U450" s="103">
        <v>164.22</v>
      </c>
      <c r="V450" s="103" t="s">
        <v>2158</v>
      </c>
      <c r="W450" s="103" t="s">
        <v>106</v>
      </c>
      <c r="X450" s="103" t="s">
        <v>1597</v>
      </c>
      <c r="Y450" s="103" t="s">
        <v>1685</v>
      </c>
      <c r="AA450" s="103" t="s">
        <v>2225</v>
      </c>
      <c r="AB450" s="103" t="s">
        <v>64</v>
      </c>
      <c r="AE450" s="103" t="s">
        <v>750</v>
      </c>
      <c r="AF450" s="103" t="b">
        <v>1</v>
      </c>
    </row>
    <row r="451" spans="1:32" hidden="1" x14ac:dyDescent="0.2">
      <c r="A451" s="103" t="s">
        <v>623</v>
      </c>
      <c r="B451" s="103" t="s">
        <v>622</v>
      </c>
      <c r="C451" s="103" t="s">
        <v>23</v>
      </c>
      <c r="D451" s="103" t="s">
        <v>2668</v>
      </c>
      <c r="E451" s="103" t="s">
        <v>2244</v>
      </c>
      <c r="F451" s="103" t="s">
        <v>2175</v>
      </c>
      <c r="G451" s="103">
        <v>20</v>
      </c>
      <c r="H451" s="103" t="s">
        <v>2168</v>
      </c>
      <c r="I451" s="103" t="s">
        <v>2153</v>
      </c>
      <c r="K451" s="103">
        <v>20</v>
      </c>
      <c r="N451" s="103" t="s">
        <v>2154</v>
      </c>
      <c r="O451" s="103">
        <v>20</v>
      </c>
      <c r="P451" s="103" t="s">
        <v>1232</v>
      </c>
      <c r="Q451" s="103" t="s">
        <v>2155</v>
      </c>
      <c r="R451" s="103" t="s">
        <v>2225</v>
      </c>
      <c r="S451" s="103" t="s">
        <v>2157</v>
      </c>
      <c r="U451" s="103">
        <v>9.66</v>
      </c>
      <c r="V451" s="103" t="s">
        <v>2158</v>
      </c>
      <c r="W451" s="103" t="s">
        <v>106</v>
      </c>
      <c r="X451" s="103" t="s">
        <v>1597</v>
      </c>
      <c r="Y451" s="103" t="s">
        <v>1685</v>
      </c>
      <c r="AA451" s="103" t="s">
        <v>2225</v>
      </c>
      <c r="AB451" s="103" t="s">
        <v>64</v>
      </c>
      <c r="AE451" s="103" t="s">
        <v>750</v>
      </c>
      <c r="AF451" s="103" t="b">
        <v>1</v>
      </c>
    </row>
    <row r="452" spans="1:32" hidden="1" x14ac:dyDescent="0.2">
      <c r="A452" s="103" t="s">
        <v>623</v>
      </c>
      <c r="B452" s="103" t="s">
        <v>622</v>
      </c>
      <c r="C452" s="103" t="s">
        <v>23</v>
      </c>
      <c r="D452" s="103" t="s">
        <v>2669</v>
      </c>
      <c r="E452" s="103" t="s">
        <v>2244</v>
      </c>
      <c r="F452" s="103" t="s">
        <v>2162</v>
      </c>
      <c r="G452" s="103">
        <v>50</v>
      </c>
      <c r="H452" s="103" t="s">
        <v>2168</v>
      </c>
      <c r="I452" s="103" t="s">
        <v>2153</v>
      </c>
      <c r="J452" s="103">
        <v>50</v>
      </c>
      <c r="N452" s="103" t="s">
        <v>2163</v>
      </c>
      <c r="O452" s="103">
        <v>50</v>
      </c>
      <c r="P452" s="103" t="s">
        <v>1232</v>
      </c>
      <c r="Q452" s="103" t="s">
        <v>2155</v>
      </c>
      <c r="R452" s="103" t="s">
        <v>2225</v>
      </c>
      <c r="S452" s="103" t="s">
        <v>2157</v>
      </c>
      <c r="U452" s="103">
        <v>24.15</v>
      </c>
      <c r="V452" s="103" t="s">
        <v>2158</v>
      </c>
      <c r="W452" s="103" t="s">
        <v>106</v>
      </c>
      <c r="X452" s="103" t="s">
        <v>1597</v>
      </c>
      <c r="Y452" s="103" t="s">
        <v>1685</v>
      </c>
      <c r="AA452" s="103" t="s">
        <v>2225</v>
      </c>
      <c r="AB452" s="103" t="s">
        <v>64</v>
      </c>
      <c r="AE452" s="103" t="s">
        <v>750</v>
      </c>
      <c r="AF452" s="103" t="b">
        <v>1</v>
      </c>
    </row>
    <row r="453" spans="1:32" hidden="1" x14ac:dyDescent="0.2">
      <c r="A453" s="103" t="s">
        <v>623</v>
      </c>
      <c r="B453" s="103" t="s">
        <v>622</v>
      </c>
      <c r="C453" s="103" t="s">
        <v>23</v>
      </c>
      <c r="D453" s="103" t="s">
        <v>2670</v>
      </c>
      <c r="E453" s="103" t="s">
        <v>2244</v>
      </c>
      <c r="F453" s="103" t="s">
        <v>2202</v>
      </c>
      <c r="G453" s="103">
        <v>260</v>
      </c>
      <c r="H453" s="103" t="s">
        <v>2152</v>
      </c>
      <c r="I453" s="103" t="s">
        <v>2153</v>
      </c>
      <c r="K453" s="103">
        <v>60</v>
      </c>
      <c r="L453" s="103">
        <v>100</v>
      </c>
      <c r="M453" s="103">
        <v>100</v>
      </c>
      <c r="N453" s="103" t="s">
        <v>2163</v>
      </c>
      <c r="O453" s="103">
        <v>260</v>
      </c>
      <c r="P453" s="103" t="s">
        <v>1232</v>
      </c>
      <c r="Q453" s="103" t="s">
        <v>2155</v>
      </c>
      <c r="R453" s="103" t="s">
        <v>2225</v>
      </c>
      <c r="S453" s="103" t="s">
        <v>2157</v>
      </c>
      <c r="U453" s="103">
        <v>125.58</v>
      </c>
      <c r="V453" s="103" t="s">
        <v>2158</v>
      </c>
      <c r="W453" s="103" t="s">
        <v>106</v>
      </c>
      <c r="X453" s="103" t="s">
        <v>1597</v>
      </c>
      <c r="Y453" s="103" t="s">
        <v>1685</v>
      </c>
      <c r="AA453" s="103" t="s">
        <v>2225</v>
      </c>
      <c r="AB453" s="103" t="s">
        <v>64</v>
      </c>
      <c r="AE453" s="103" t="s">
        <v>750</v>
      </c>
      <c r="AF453" s="103" t="b">
        <v>1</v>
      </c>
    </row>
    <row r="454" spans="1:32" hidden="1" x14ac:dyDescent="0.2">
      <c r="A454" s="103" t="s">
        <v>623</v>
      </c>
      <c r="B454" s="103" t="s">
        <v>622</v>
      </c>
      <c r="C454" s="103" t="s">
        <v>23</v>
      </c>
      <c r="D454" s="103" t="s">
        <v>2671</v>
      </c>
      <c r="E454" s="103" t="s">
        <v>2244</v>
      </c>
      <c r="F454" s="103" t="s">
        <v>2151</v>
      </c>
      <c r="G454" s="103">
        <v>100</v>
      </c>
      <c r="H454" s="103" t="s">
        <v>2168</v>
      </c>
      <c r="I454" s="103" t="s">
        <v>2153</v>
      </c>
      <c r="K454" s="103">
        <v>100</v>
      </c>
      <c r="N454" s="103" t="s">
        <v>2163</v>
      </c>
      <c r="O454" s="103">
        <v>100</v>
      </c>
      <c r="P454" s="103" t="s">
        <v>1232</v>
      </c>
      <c r="Q454" s="103" t="s">
        <v>2155</v>
      </c>
      <c r="R454" s="103" t="s">
        <v>2225</v>
      </c>
      <c r="S454" s="103" t="s">
        <v>2157</v>
      </c>
      <c r="U454" s="103">
        <v>48.3</v>
      </c>
      <c r="V454" s="103" t="s">
        <v>2158</v>
      </c>
      <c r="W454" s="103" t="s">
        <v>106</v>
      </c>
      <c r="X454" s="103" t="s">
        <v>1597</v>
      </c>
      <c r="Y454" s="103" t="s">
        <v>1685</v>
      </c>
      <c r="AA454" s="103" t="s">
        <v>2225</v>
      </c>
      <c r="AB454" s="103" t="s">
        <v>64</v>
      </c>
      <c r="AE454" s="103" t="s">
        <v>750</v>
      </c>
      <c r="AF454" s="103" t="b">
        <v>1</v>
      </c>
    </row>
    <row r="455" spans="1:32" hidden="1" x14ac:dyDescent="0.2">
      <c r="A455" s="103" t="s">
        <v>623</v>
      </c>
      <c r="B455" s="103" t="s">
        <v>622</v>
      </c>
      <c r="C455" s="103" t="s">
        <v>23</v>
      </c>
      <c r="D455" s="103" t="s">
        <v>2672</v>
      </c>
      <c r="E455" s="103" t="s">
        <v>2244</v>
      </c>
      <c r="F455" s="103" t="s">
        <v>2151</v>
      </c>
      <c r="G455" s="103">
        <v>100</v>
      </c>
      <c r="H455" s="103" t="s">
        <v>2168</v>
      </c>
      <c r="I455" s="103" t="s">
        <v>2153</v>
      </c>
      <c r="K455" s="103">
        <v>100</v>
      </c>
      <c r="N455" s="103" t="s">
        <v>2163</v>
      </c>
      <c r="O455" s="103">
        <v>100</v>
      </c>
      <c r="P455" s="103" t="s">
        <v>1232</v>
      </c>
      <c r="Q455" s="103" t="s">
        <v>2387</v>
      </c>
      <c r="R455" s="103" t="s">
        <v>2225</v>
      </c>
      <c r="S455" s="103" t="s">
        <v>2157</v>
      </c>
      <c r="U455" s="103">
        <v>48.3</v>
      </c>
      <c r="V455" s="103" t="s">
        <v>2158</v>
      </c>
      <c r="W455" s="103" t="s">
        <v>106</v>
      </c>
      <c r="X455" s="103" t="s">
        <v>1597</v>
      </c>
      <c r="Y455" s="103" t="s">
        <v>1685</v>
      </c>
      <c r="AA455" s="103" t="s">
        <v>2225</v>
      </c>
      <c r="AB455" s="103" t="s">
        <v>64</v>
      </c>
      <c r="AE455" s="103" t="s">
        <v>750</v>
      </c>
      <c r="AF455" s="103" t="b">
        <v>1</v>
      </c>
    </row>
    <row r="456" spans="1:32" hidden="1" x14ac:dyDescent="0.2">
      <c r="A456" s="103" t="s">
        <v>623</v>
      </c>
      <c r="B456" s="103" t="s">
        <v>622</v>
      </c>
      <c r="C456" s="103" t="s">
        <v>23</v>
      </c>
      <c r="D456" s="103" t="s">
        <v>2673</v>
      </c>
      <c r="E456" s="103" t="s">
        <v>2196</v>
      </c>
      <c r="F456" s="103" t="s">
        <v>2202</v>
      </c>
      <c r="G456" s="103">
        <v>200</v>
      </c>
      <c r="H456" s="103" t="s">
        <v>2168</v>
      </c>
      <c r="I456" s="103" t="s">
        <v>2153</v>
      </c>
      <c r="L456" s="103">
        <v>200</v>
      </c>
      <c r="N456" s="103" t="s">
        <v>2163</v>
      </c>
      <c r="O456" s="103">
        <v>200</v>
      </c>
      <c r="P456" s="103" t="s">
        <v>1232</v>
      </c>
      <c r="Q456" s="103" t="s">
        <v>2155</v>
      </c>
      <c r="R456" s="103" t="s">
        <v>121</v>
      </c>
      <c r="S456" s="103" t="s">
        <v>2157</v>
      </c>
      <c r="U456" s="103">
        <v>102.6</v>
      </c>
      <c r="V456" s="103" t="s">
        <v>2158</v>
      </c>
      <c r="W456" s="103" t="s">
        <v>121</v>
      </c>
      <c r="X456" s="103" t="s">
        <v>1597</v>
      </c>
      <c r="Y456" s="103" t="s">
        <v>1685</v>
      </c>
      <c r="AA456" s="103" t="s">
        <v>121</v>
      </c>
      <c r="AB456" s="103" t="s">
        <v>64</v>
      </c>
      <c r="AE456" s="103" t="s">
        <v>750</v>
      </c>
      <c r="AF456" s="103" t="b">
        <v>1</v>
      </c>
    </row>
    <row r="457" spans="1:32" hidden="1" x14ac:dyDescent="0.2">
      <c r="A457" s="103" t="s">
        <v>623</v>
      </c>
      <c r="B457" s="103" t="s">
        <v>622</v>
      </c>
      <c r="C457" s="103" t="s">
        <v>23</v>
      </c>
      <c r="D457" s="103" t="s">
        <v>2674</v>
      </c>
      <c r="E457" s="103" t="s">
        <v>2244</v>
      </c>
      <c r="F457" s="103" t="s">
        <v>2151</v>
      </c>
      <c r="G457" s="103">
        <v>180</v>
      </c>
      <c r="H457" s="103" t="s">
        <v>2152</v>
      </c>
      <c r="I457" s="103" t="s">
        <v>2153</v>
      </c>
      <c r="J457" s="103">
        <v>0</v>
      </c>
      <c r="K457" s="103">
        <v>0</v>
      </c>
      <c r="L457" s="103">
        <v>0</v>
      </c>
      <c r="M457" s="103">
        <v>180</v>
      </c>
      <c r="N457" s="103" t="s">
        <v>2163</v>
      </c>
      <c r="O457" s="103">
        <v>180</v>
      </c>
      <c r="P457" s="103" t="s">
        <v>1232</v>
      </c>
      <c r="Q457" s="103" t="s">
        <v>2155</v>
      </c>
      <c r="R457" s="103" t="s">
        <v>2225</v>
      </c>
      <c r="S457" s="103" t="s">
        <v>2157</v>
      </c>
      <c r="U457" s="103">
        <v>86.94</v>
      </c>
      <c r="V457" s="103" t="s">
        <v>2158</v>
      </c>
      <c r="W457" s="103" t="s">
        <v>106</v>
      </c>
      <c r="X457" s="103" t="s">
        <v>1597</v>
      </c>
      <c r="Y457" s="103" t="s">
        <v>1685</v>
      </c>
      <c r="AA457" s="103" t="s">
        <v>2225</v>
      </c>
      <c r="AB457" s="103" t="s">
        <v>64</v>
      </c>
      <c r="AE457" s="103" t="s">
        <v>750</v>
      </c>
      <c r="AF457" s="103" t="b">
        <v>1</v>
      </c>
    </row>
    <row r="458" spans="1:32" hidden="1" x14ac:dyDescent="0.2">
      <c r="A458" s="103" t="s">
        <v>623</v>
      </c>
      <c r="B458" s="103" t="s">
        <v>622</v>
      </c>
      <c r="C458" s="103" t="s">
        <v>23</v>
      </c>
      <c r="D458" s="103" t="s">
        <v>2428</v>
      </c>
      <c r="E458" s="103" t="s">
        <v>2586</v>
      </c>
      <c r="G458" s="103">
        <v>120</v>
      </c>
      <c r="H458" s="103" t="s">
        <v>2152</v>
      </c>
      <c r="I458" s="103" t="s">
        <v>2153</v>
      </c>
      <c r="J458" s="103">
        <v>30</v>
      </c>
      <c r="K458" s="103">
        <v>30</v>
      </c>
      <c r="L458" s="103">
        <v>30</v>
      </c>
      <c r="M458" s="103">
        <v>30</v>
      </c>
      <c r="N458" s="103" t="s">
        <v>2163</v>
      </c>
      <c r="O458" s="103">
        <v>120</v>
      </c>
      <c r="P458" s="103" t="s">
        <v>1232</v>
      </c>
      <c r="Q458" s="103" t="s">
        <v>2155</v>
      </c>
      <c r="R458" s="103" t="s">
        <v>2164</v>
      </c>
      <c r="S458" s="103" t="s">
        <v>2157</v>
      </c>
      <c r="U458" s="103">
        <v>72</v>
      </c>
      <c r="V458" s="103" t="s">
        <v>2158</v>
      </c>
      <c r="W458" s="103" t="s">
        <v>132</v>
      </c>
      <c r="X458" s="103" t="s">
        <v>1597</v>
      </c>
      <c r="Y458" s="103" t="s">
        <v>1685</v>
      </c>
      <c r="AA458" s="103" t="s">
        <v>2164</v>
      </c>
      <c r="AB458" s="103" t="s">
        <v>64</v>
      </c>
      <c r="AE458" s="103" t="s">
        <v>750</v>
      </c>
      <c r="AF458" s="103" t="b">
        <v>1</v>
      </c>
    </row>
    <row r="459" spans="1:32" hidden="1" x14ac:dyDescent="0.2">
      <c r="A459" s="103" t="s">
        <v>625</v>
      </c>
      <c r="B459" s="103" t="s">
        <v>624</v>
      </c>
      <c r="C459" s="103" t="s">
        <v>2656</v>
      </c>
      <c r="D459" s="103" t="s">
        <v>2675</v>
      </c>
      <c r="E459" s="103" t="s">
        <v>2601</v>
      </c>
      <c r="F459" s="103" t="s">
        <v>2162</v>
      </c>
      <c r="G459" s="103">
        <v>60</v>
      </c>
      <c r="H459" s="103" t="s">
        <v>2152</v>
      </c>
      <c r="I459" s="103" t="s">
        <v>2153</v>
      </c>
      <c r="L459" s="103">
        <v>60</v>
      </c>
      <c r="N459" s="103" t="s">
        <v>2163</v>
      </c>
      <c r="O459" s="103">
        <v>60</v>
      </c>
      <c r="P459" s="103" t="s">
        <v>1232</v>
      </c>
      <c r="Q459" s="103" t="s">
        <v>2155</v>
      </c>
      <c r="R459" s="103" t="s">
        <v>2225</v>
      </c>
      <c r="S459" s="103" t="s">
        <v>2192</v>
      </c>
      <c r="U459" s="103">
        <v>28.98</v>
      </c>
      <c r="V459" s="103" t="s">
        <v>2158</v>
      </c>
      <c r="W459" s="103" t="s">
        <v>106</v>
      </c>
      <c r="X459" s="103" t="s">
        <v>1597</v>
      </c>
      <c r="Y459" s="103" t="s">
        <v>1685</v>
      </c>
      <c r="AA459" s="103" t="s">
        <v>2225</v>
      </c>
      <c r="AB459" s="103" t="s">
        <v>64</v>
      </c>
      <c r="AE459" s="103" t="s">
        <v>750</v>
      </c>
      <c r="AF459" s="103" t="b">
        <v>1</v>
      </c>
    </row>
    <row r="460" spans="1:32" hidden="1" x14ac:dyDescent="0.2">
      <c r="A460" s="103" t="s">
        <v>625</v>
      </c>
      <c r="B460" s="103" t="s">
        <v>624</v>
      </c>
      <c r="C460" s="103" t="s">
        <v>2656</v>
      </c>
      <c r="D460" s="103" t="s">
        <v>2676</v>
      </c>
      <c r="E460" s="103" t="s">
        <v>2603</v>
      </c>
      <c r="F460" s="103" t="s">
        <v>2202</v>
      </c>
      <c r="G460" s="103">
        <v>160</v>
      </c>
      <c r="H460" s="103" t="s">
        <v>2152</v>
      </c>
      <c r="I460" s="103" t="s">
        <v>2153</v>
      </c>
      <c r="L460" s="103">
        <v>160</v>
      </c>
      <c r="N460" s="103" t="s">
        <v>2163</v>
      </c>
      <c r="O460" s="103">
        <v>160</v>
      </c>
      <c r="P460" s="103" t="s">
        <v>1232</v>
      </c>
      <c r="Q460" s="103" t="s">
        <v>2155</v>
      </c>
      <c r="R460" s="103" t="s">
        <v>121</v>
      </c>
      <c r="S460" s="103" t="s">
        <v>2427</v>
      </c>
      <c r="U460" s="103">
        <v>82.08</v>
      </c>
      <c r="V460" s="103" t="s">
        <v>2158</v>
      </c>
      <c r="W460" s="103" t="s">
        <v>121</v>
      </c>
      <c r="X460" s="103" t="s">
        <v>1597</v>
      </c>
      <c r="Y460" s="103" t="s">
        <v>1685</v>
      </c>
      <c r="AA460" s="103" t="s">
        <v>121</v>
      </c>
      <c r="AB460" s="103" t="s">
        <v>64</v>
      </c>
      <c r="AE460" s="103" t="s">
        <v>750</v>
      </c>
      <c r="AF460" s="103" t="b">
        <v>1</v>
      </c>
    </row>
    <row r="461" spans="1:32" hidden="1" x14ac:dyDescent="0.2">
      <c r="A461" s="103" t="s">
        <v>625</v>
      </c>
      <c r="B461" s="103" t="s">
        <v>624</v>
      </c>
      <c r="C461" s="103" t="s">
        <v>2656</v>
      </c>
      <c r="D461" s="103" t="s">
        <v>2428</v>
      </c>
      <c r="E461" s="103" t="s">
        <v>2586</v>
      </c>
      <c r="G461" s="103">
        <v>16.5</v>
      </c>
      <c r="H461" s="103" t="s">
        <v>2152</v>
      </c>
      <c r="I461" s="103" t="s">
        <v>2153</v>
      </c>
      <c r="L461" s="103">
        <v>16.5</v>
      </c>
      <c r="N461" s="103" t="s">
        <v>2163</v>
      </c>
      <c r="O461" s="103">
        <v>16.5</v>
      </c>
      <c r="P461" s="103" t="s">
        <v>1232</v>
      </c>
      <c r="Q461" s="103" t="s">
        <v>2155</v>
      </c>
      <c r="R461" s="103" t="s">
        <v>2164</v>
      </c>
      <c r="U461" s="103">
        <v>9.9</v>
      </c>
      <c r="V461" s="103" t="s">
        <v>2158</v>
      </c>
      <c r="W461" s="103" t="s">
        <v>132</v>
      </c>
      <c r="X461" s="103" t="s">
        <v>1597</v>
      </c>
      <c r="Y461" s="103" t="s">
        <v>1685</v>
      </c>
      <c r="AA461" s="103" t="s">
        <v>2164</v>
      </c>
      <c r="AB461" s="103" t="s">
        <v>64</v>
      </c>
      <c r="AE461" s="103" t="s">
        <v>750</v>
      </c>
      <c r="AF461" s="103" t="b">
        <v>1</v>
      </c>
    </row>
    <row r="462" spans="1:32" hidden="1" x14ac:dyDescent="0.2">
      <c r="A462" s="103" t="s">
        <v>626</v>
      </c>
      <c r="B462" s="103" t="s">
        <v>1690</v>
      </c>
      <c r="C462" s="103" t="s">
        <v>2656</v>
      </c>
      <c r="D462" s="103" t="s">
        <v>2677</v>
      </c>
      <c r="E462" s="103" t="s">
        <v>2601</v>
      </c>
      <c r="F462" s="103" t="s">
        <v>2162</v>
      </c>
      <c r="G462" s="103">
        <v>60</v>
      </c>
      <c r="H462" s="103" t="s">
        <v>2152</v>
      </c>
      <c r="I462" s="103" t="s">
        <v>2153</v>
      </c>
      <c r="J462" s="103">
        <v>0</v>
      </c>
      <c r="K462" s="103">
        <v>0</v>
      </c>
      <c r="L462" s="103">
        <v>0</v>
      </c>
      <c r="M462" s="103">
        <v>60</v>
      </c>
      <c r="N462" s="103" t="s">
        <v>2273</v>
      </c>
      <c r="O462" s="103">
        <v>60</v>
      </c>
      <c r="P462" s="103" t="s">
        <v>1232</v>
      </c>
      <c r="Q462" s="103" t="s">
        <v>2155</v>
      </c>
      <c r="R462" s="103" t="s">
        <v>2225</v>
      </c>
      <c r="S462" s="103" t="s">
        <v>2192</v>
      </c>
      <c r="U462" s="103">
        <v>28.98</v>
      </c>
      <c r="V462" s="103" t="s">
        <v>2262</v>
      </c>
      <c r="W462" s="103" t="s">
        <v>106</v>
      </c>
      <c r="X462" s="103" t="s">
        <v>345</v>
      </c>
      <c r="Y462" s="103" t="s">
        <v>2240</v>
      </c>
      <c r="AA462" s="103" t="s">
        <v>2225</v>
      </c>
      <c r="AB462" s="103" t="s">
        <v>64</v>
      </c>
      <c r="AE462" s="103" t="s">
        <v>750</v>
      </c>
      <c r="AF462" s="103" t="b">
        <v>1</v>
      </c>
    </row>
    <row r="463" spans="1:32" hidden="1" x14ac:dyDescent="0.2">
      <c r="A463" s="103" t="s">
        <v>626</v>
      </c>
      <c r="B463" s="103" t="s">
        <v>1690</v>
      </c>
      <c r="C463" s="103" t="s">
        <v>2656</v>
      </c>
      <c r="D463" s="103" t="s">
        <v>2678</v>
      </c>
      <c r="E463" s="103" t="s">
        <v>2603</v>
      </c>
      <c r="F463" s="103" t="s">
        <v>2202</v>
      </c>
      <c r="G463" s="103">
        <v>160</v>
      </c>
      <c r="H463" s="103" t="s">
        <v>2152</v>
      </c>
      <c r="I463" s="103" t="s">
        <v>2153</v>
      </c>
      <c r="M463" s="103">
        <v>160</v>
      </c>
      <c r="N463" s="103" t="s">
        <v>2273</v>
      </c>
      <c r="O463" s="103">
        <v>160</v>
      </c>
      <c r="P463" s="103" t="s">
        <v>1232</v>
      </c>
      <c r="Q463" s="103" t="s">
        <v>2155</v>
      </c>
      <c r="R463" s="103" t="s">
        <v>121</v>
      </c>
      <c r="S463" s="103" t="s">
        <v>2427</v>
      </c>
      <c r="U463" s="103">
        <v>82.08</v>
      </c>
      <c r="V463" s="103" t="s">
        <v>2262</v>
      </c>
      <c r="W463" s="103" t="s">
        <v>121</v>
      </c>
      <c r="X463" s="103" t="s">
        <v>345</v>
      </c>
      <c r="Y463" s="103" t="s">
        <v>2240</v>
      </c>
      <c r="AA463" s="103" t="s">
        <v>121</v>
      </c>
      <c r="AB463" s="103" t="s">
        <v>64</v>
      </c>
      <c r="AE463" s="103" t="s">
        <v>750</v>
      </c>
      <c r="AF463" s="103" t="b">
        <v>1</v>
      </c>
    </row>
    <row r="464" spans="1:32" hidden="1" x14ac:dyDescent="0.2">
      <c r="A464" s="103" t="s">
        <v>628</v>
      </c>
      <c r="B464" s="103" t="s">
        <v>1692</v>
      </c>
      <c r="C464" s="103" t="s">
        <v>1614</v>
      </c>
      <c r="D464" s="103" t="s">
        <v>2679</v>
      </c>
      <c r="E464" s="103" t="s">
        <v>2575</v>
      </c>
      <c r="G464" s="103">
        <v>120</v>
      </c>
      <c r="H464" s="103" t="s">
        <v>2152</v>
      </c>
      <c r="I464" s="103" t="s">
        <v>2153</v>
      </c>
      <c r="J464" s="103">
        <v>30</v>
      </c>
      <c r="K464" s="103">
        <v>30</v>
      </c>
      <c r="L464" s="103">
        <v>30</v>
      </c>
      <c r="M464" s="103">
        <v>30</v>
      </c>
      <c r="N464" s="103" t="s">
        <v>2163</v>
      </c>
      <c r="O464" s="103">
        <v>120</v>
      </c>
      <c r="P464" s="103" t="s">
        <v>1694</v>
      </c>
      <c r="Q464" s="103" t="s">
        <v>1614</v>
      </c>
      <c r="R464" s="103" t="s">
        <v>121</v>
      </c>
      <c r="S464" s="103" t="s">
        <v>2192</v>
      </c>
      <c r="U464" s="103">
        <v>61.56</v>
      </c>
      <c r="V464" s="103" t="s">
        <v>2239</v>
      </c>
      <c r="W464" s="103" t="s">
        <v>121</v>
      </c>
      <c r="X464" s="103" t="s">
        <v>1614</v>
      </c>
      <c r="Y464" s="103" t="s">
        <v>2240</v>
      </c>
      <c r="AA464" s="103" t="s">
        <v>121</v>
      </c>
      <c r="AB464" s="103" t="s">
        <v>74</v>
      </c>
      <c r="AE464" s="103" t="s">
        <v>1693</v>
      </c>
      <c r="AF464" s="103" t="b">
        <v>1</v>
      </c>
    </row>
    <row r="465" spans="1:32" hidden="1" x14ac:dyDescent="0.2">
      <c r="A465" s="103" t="s">
        <v>632</v>
      </c>
      <c r="B465" s="103" t="s">
        <v>631</v>
      </c>
      <c r="C465" s="103" t="s">
        <v>632</v>
      </c>
      <c r="E465" s="103" t="s">
        <v>2680</v>
      </c>
      <c r="F465" s="103" t="s">
        <v>2151</v>
      </c>
      <c r="G465" s="103">
        <v>100</v>
      </c>
      <c r="H465" s="103" t="s">
        <v>2168</v>
      </c>
      <c r="I465" s="103" t="s">
        <v>2153</v>
      </c>
      <c r="L465" s="103">
        <v>50</v>
      </c>
      <c r="M465" s="103">
        <v>50</v>
      </c>
      <c r="N465" s="103" t="s">
        <v>2163</v>
      </c>
      <c r="O465" s="103">
        <v>100</v>
      </c>
      <c r="P465" s="103" t="s">
        <v>1246</v>
      </c>
      <c r="R465" s="103" t="s">
        <v>121</v>
      </c>
      <c r="S465" s="103" t="s">
        <v>2473</v>
      </c>
      <c r="U465" s="103">
        <v>51.3</v>
      </c>
      <c r="V465" s="103" t="s">
        <v>2158</v>
      </c>
      <c r="W465" s="103" t="s">
        <v>121</v>
      </c>
      <c r="X465" s="103" t="s">
        <v>1597</v>
      </c>
      <c r="Y465" s="103" t="s">
        <v>1685</v>
      </c>
      <c r="AA465" s="103" t="s">
        <v>121</v>
      </c>
      <c r="AB465" s="103" t="s">
        <v>74</v>
      </c>
      <c r="AE465" s="103" t="s">
        <v>1241</v>
      </c>
      <c r="AF465" s="103" t="b">
        <v>1</v>
      </c>
    </row>
    <row r="466" spans="1:32" hidden="1" x14ac:dyDescent="0.2">
      <c r="A466" s="103" t="s">
        <v>634</v>
      </c>
      <c r="B466" s="103" t="s">
        <v>633</v>
      </c>
      <c r="C466" s="103" t="s">
        <v>634</v>
      </c>
      <c r="E466" s="103" t="s">
        <v>2680</v>
      </c>
      <c r="F466" s="103" t="s">
        <v>2226</v>
      </c>
      <c r="G466" s="103">
        <v>400</v>
      </c>
      <c r="H466" s="103" t="s">
        <v>2168</v>
      </c>
      <c r="I466" s="103" t="s">
        <v>2153</v>
      </c>
      <c r="J466" s="103">
        <v>100</v>
      </c>
      <c r="K466" s="103">
        <v>100</v>
      </c>
      <c r="L466" s="103">
        <v>100</v>
      </c>
      <c r="M466" s="103">
        <v>100</v>
      </c>
      <c r="N466" s="103" t="s">
        <v>2163</v>
      </c>
      <c r="O466" s="103">
        <v>400</v>
      </c>
      <c r="P466" s="103" t="s">
        <v>1246</v>
      </c>
      <c r="R466" s="103" t="s">
        <v>121</v>
      </c>
      <c r="S466" s="103" t="s">
        <v>2473</v>
      </c>
      <c r="U466" s="103">
        <v>205.2</v>
      </c>
      <c r="V466" s="103" t="s">
        <v>2158</v>
      </c>
      <c r="W466" s="103" t="s">
        <v>121</v>
      </c>
      <c r="X466" s="103" t="s">
        <v>1597</v>
      </c>
      <c r="Y466" s="103" t="s">
        <v>1685</v>
      </c>
      <c r="AA466" s="103" t="s">
        <v>121</v>
      </c>
      <c r="AB466" s="103" t="s">
        <v>74</v>
      </c>
      <c r="AE466" s="103" t="s">
        <v>1241</v>
      </c>
      <c r="AF466" s="103" t="b">
        <v>1</v>
      </c>
    </row>
    <row r="467" spans="1:32" hidden="1" x14ac:dyDescent="0.2">
      <c r="A467" s="103" t="s">
        <v>636</v>
      </c>
      <c r="B467" s="103" t="s">
        <v>635</v>
      </c>
      <c r="C467" s="103" t="s">
        <v>636</v>
      </c>
      <c r="E467" s="103" t="s">
        <v>2680</v>
      </c>
      <c r="F467" s="103" t="s">
        <v>2151</v>
      </c>
      <c r="G467" s="103">
        <v>100</v>
      </c>
      <c r="H467" s="103" t="s">
        <v>2168</v>
      </c>
      <c r="I467" s="103" t="s">
        <v>2153</v>
      </c>
      <c r="J467" s="103">
        <v>25</v>
      </c>
      <c r="K467" s="103">
        <v>25</v>
      </c>
      <c r="L467" s="103">
        <v>25</v>
      </c>
      <c r="M467" s="103">
        <v>25</v>
      </c>
      <c r="N467" s="103" t="s">
        <v>2163</v>
      </c>
      <c r="O467" s="103">
        <v>100</v>
      </c>
      <c r="P467" s="103" t="s">
        <v>1246</v>
      </c>
      <c r="R467" s="103" t="s">
        <v>121</v>
      </c>
      <c r="S467" s="103" t="s">
        <v>2473</v>
      </c>
      <c r="U467" s="103">
        <v>51.3</v>
      </c>
      <c r="V467" s="103" t="s">
        <v>2158</v>
      </c>
      <c r="W467" s="103" t="s">
        <v>121</v>
      </c>
      <c r="X467" s="103" t="s">
        <v>1597</v>
      </c>
      <c r="Y467" s="103" t="s">
        <v>1685</v>
      </c>
      <c r="AA467" s="103" t="s">
        <v>121</v>
      </c>
      <c r="AB467" s="103" t="s">
        <v>74</v>
      </c>
      <c r="AE467" s="103" t="s">
        <v>1241</v>
      </c>
      <c r="AF467" s="103" t="b">
        <v>1</v>
      </c>
    </row>
    <row r="468" spans="1:32" hidden="1" x14ac:dyDescent="0.2">
      <c r="A468" s="103" t="s">
        <v>638</v>
      </c>
      <c r="B468" s="103" t="s">
        <v>637</v>
      </c>
      <c r="C468" s="103" t="s">
        <v>638</v>
      </c>
      <c r="E468" s="103" t="s">
        <v>2460</v>
      </c>
      <c r="G468" s="103">
        <v>600</v>
      </c>
      <c r="H468" s="103" t="s">
        <v>2152</v>
      </c>
      <c r="I468" s="103" t="s">
        <v>2153</v>
      </c>
      <c r="K468" s="103">
        <v>200</v>
      </c>
      <c r="L468" s="103">
        <v>200</v>
      </c>
      <c r="M468" s="103">
        <v>200</v>
      </c>
      <c r="N468" s="103" t="s">
        <v>2163</v>
      </c>
      <c r="O468" s="103">
        <v>600</v>
      </c>
      <c r="P468" s="103" t="s">
        <v>1246</v>
      </c>
      <c r="Q468" s="103" t="s">
        <v>2155</v>
      </c>
      <c r="R468" s="103" t="s">
        <v>2156</v>
      </c>
      <c r="S468" s="103" t="s">
        <v>2476</v>
      </c>
      <c r="U468" s="103">
        <v>307.8</v>
      </c>
      <c r="V468" s="103" t="s">
        <v>2158</v>
      </c>
      <c r="W468" s="103" t="s">
        <v>122</v>
      </c>
      <c r="X468" s="103" t="s">
        <v>1597</v>
      </c>
      <c r="Y468" s="103" t="s">
        <v>1685</v>
      </c>
      <c r="AA468" s="103" t="s">
        <v>2156</v>
      </c>
      <c r="AB468" s="103" t="s">
        <v>74</v>
      </c>
      <c r="AE468" s="103" t="s">
        <v>1241</v>
      </c>
      <c r="AF468" s="103" t="b">
        <v>1</v>
      </c>
    </row>
    <row r="469" spans="1:32" hidden="1" x14ac:dyDescent="0.2">
      <c r="A469" s="103" t="s">
        <v>638</v>
      </c>
      <c r="B469" s="103" t="s">
        <v>637</v>
      </c>
      <c r="C469" s="103" t="s">
        <v>638</v>
      </c>
      <c r="E469" s="103" t="s">
        <v>2477</v>
      </c>
      <c r="G469" s="103">
        <v>60</v>
      </c>
      <c r="H469" s="103" t="s">
        <v>2152</v>
      </c>
      <c r="I469" s="103" t="s">
        <v>2153</v>
      </c>
      <c r="K469" s="103">
        <v>30</v>
      </c>
      <c r="L469" s="103">
        <v>20</v>
      </c>
      <c r="M469" s="103">
        <v>10</v>
      </c>
      <c r="N469" s="103" t="s">
        <v>2163</v>
      </c>
      <c r="O469" s="103">
        <v>60</v>
      </c>
      <c r="P469" s="103" t="s">
        <v>1694</v>
      </c>
      <c r="R469" s="103" t="s">
        <v>121</v>
      </c>
      <c r="S469" s="103" t="s">
        <v>2476</v>
      </c>
      <c r="U469" s="103">
        <v>30.78</v>
      </c>
      <c r="V469" s="103" t="s">
        <v>2158</v>
      </c>
      <c r="W469" s="103" t="s">
        <v>121</v>
      </c>
      <c r="X469" s="103" t="s">
        <v>1597</v>
      </c>
      <c r="Y469" s="103" t="s">
        <v>1685</v>
      </c>
      <c r="AA469" s="103" t="s">
        <v>121</v>
      </c>
      <c r="AB469" s="103" t="s">
        <v>74</v>
      </c>
      <c r="AE469" s="103" t="s">
        <v>1241</v>
      </c>
      <c r="AF469" s="103" t="b">
        <v>1</v>
      </c>
    </row>
    <row r="470" spans="1:32" hidden="1" x14ac:dyDescent="0.2">
      <c r="A470" s="103" t="s">
        <v>638</v>
      </c>
      <c r="B470" s="103" t="s">
        <v>637</v>
      </c>
      <c r="C470" s="103" t="s">
        <v>638</v>
      </c>
      <c r="E470" s="103" t="s">
        <v>2681</v>
      </c>
      <c r="G470" s="103">
        <v>60</v>
      </c>
      <c r="H470" s="103" t="s">
        <v>2152</v>
      </c>
      <c r="I470" s="103" t="s">
        <v>2153</v>
      </c>
      <c r="K470" s="103">
        <v>20</v>
      </c>
      <c r="L470" s="103">
        <v>20</v>
      </c>
      <c r="M470" s="103">
        <v>20</v>
      </c>
      <c r="N470" s="103" t="s">
        <v>2163</v>
      </c>
      <c r="O470" s="103">
        <v>60</v>
      </c>
      <c r="P470" s="103" t="s">
        <v>1694</v>
      </c>
      <c r="R470" s="103" t="s">
        <v>121</v>
      </c>
      <c r="S470" s="103" t="s">
        <v>2476</v>
      </c>
      <c r="U470" s="103">
        <v>30.78</v>
      </c>
      <c r="V470" s="103" t="s">
        <v>2158</v>
      </c>
      <c r="W470" s="103" t="s">
        <v>121</v>
      </c>
      <c r="X470" s="103" t="s">
        <v>1597</v>
      </c>
      <c r="Y470" s="103" t="s">
        <v>1685</v>
      </c>
      <c r="AA470" s="103" t="s">
        <v>121</v>
      </c>
      <c r="AB470" s="103" t="s">
        <v>74</v>
      </c>
      <c r="AE470" s="103" t="s">
        <v>1241</v>
      </c>
      <c r="AF470" s="103" t="b">
        <v>1</v>
      </c>
    </row>
    <row r="471" spans="1:32" hidden="1" x14ac:dyDescent="0.2">
      <c r="A471" s="103" t="s">
        <v>638</v>
      </c>
      <c r="B471" s="103" t="s">
        <v>637</v>
      </c>
      <c r="C471" s="103" t="s">
        <v>638</v>
      </c>
      <c r="E471" s="103" t="s">
        <v>2575</v>
      </c>
      <c r="G471" s="103">
        <v>90</v>
      </c>
      <c r="H471" s="103" t="s">
        <v>2152</v>
      </c>
      <c r="I471" s="103" t="s">
        <v>2153</v>
      </c>
      <c r="K471" s="103">
        <v>10</v>
      </c>
      <c r="L471" s="103">
        <v>20</v>
      </c>
      <c r="M471" s="103">
        <v>60</v>
      </c>
      <c r="N471" s="103" t="s">
        <v>2163</v>
      </c>
      <c r="O471" s="103">
        <v>90</v>
      </c>
      <c r="P471" s="103" t="s">
        <v>1694</v>
      </c>
      <c r="R471" s="103" t="s">
        <v>121</v>
      </c>
      <c r="S471" s="103" t="s">
        <v>2476</v>
      </c>
      <c r="U471" s="103">
        <v>46.17</v>
      </c>
      <c r="V471" s="103" t="s">
        <v>2158</v>
      </c>
      <c r="W471" s="103" t="s">
        <v>121</v>
      </c>
      <c r="X471" s="103" t="s">
        <v>1597</v>
      </c>
      <c r="Y471" s="103" t="s">
        <v>1685</v>
      </c>
      <c r="AA471" s="103" t="s">
        <v>121</v>
      </c>
      <c r="AB471" s="103" t="s">
        <v>74</v>
      </c>
      <c r="AE471" s="103" t="s">
        <v>1241</v>
      </c>
      <c r="AF471" s="103" t="b">
        <v>1</v>
      </c>
    </row>
    <row r="472" spans="1:32" hidden="1" x14ac:dyDescent="0.2">
      <c r="A472" s="103" t="s">
        <v>640</v>
      </c>
      <c r="B472" s="103" t="s">
        <v>639</v>
      </c>
      <c r="C472" s="103" t="s">
        <v>640</v>
      </c>
      <c r="E472" s="103" t="s">
        <v>2447</v>
      </c>
      <c r="F472" s="103" t="s">
        <v>2202</v>
      </c>
      <c r="G472" s="103">
        <v>200</v>
      </c>
      <c r="H472" s="103" t="s">
        <v>2168</v>
      </c>
      <c r="I472" s="103" t="s">
        <v>2153</v>
      </c>
      <c r="K472" s="103">
        <v>80</v>
      </c>
      <c r="L472" s="103">
        <v>40</v>
      </c>
      <c r="M472" s="103">
        <v>80</v>
      </c>
      <c r="N472" s="103" t="s">
        <v>2163</v>
      </c>
      <c r="O472" s="103">
        <v>200</v>
      </c>
      <c r="P472" s="103" t="s">
        <v>1246</v>
      </c>
      <c r="R472" s="103" t="s">
        <v>121</v>
      </c>
      <c r="S472" s="103" t="s">
        <v>2476</v>
      </c>
      <c r="U472" s="103">
        <v>102.6</v>
      </c>
      <c r="V472" s="103" t="s">
        <v>2158</v>
      </c>
      <c r="W472" s="103" t="s">
        <v>121</v>
      </c>
      <c r="X472" s="103" t="s">
        <v>1597</v>
      </c>
      <c r="Y472" s="103" t="s">
        <v>1685</v>
      </c>
      <c r="AA472" s="103" t="s">
        <v>121</v>
      </c>
      <c r="AB472" s="103" t="s">
        <v>74</v>
      </c>
      <c r="AE472" s="103" t="s">
        <v>1241</v>
      </c>
      <c r="AF472" s="103" t="b">
        <v>1</v>
      </c>
    </row>
    <row r="473" spans="1:32" hidden="1" x14ac:dyDescent="0.2">
      <c r="A473" s="103" t="s">
        <v>640</v>
      </c>
      <c r="B473" s="103" t="s">
        <v>639</v>
      </c>
      <c r="C473" s="103" t="s">
        <v>640</v>
      </c>
      <c r="E473" s="103" t="s">
        <v>2477</v>
      </c>
      <c r="F473" s="103" t="s">
        <v>2175</v>
      </c>
      <c r="G473" s="103">
        <v>20</v>
      </c>
      <c r="H473" s="103" t="s">
        <v>2168</v>
      </c>
      <c r="I473" s="103" t="s">
        <v>2153</v>
      </c>
      <c r="K473" s="103">
        <v>15</v>
      </c>
      <c r="L473" s="103">
        <v>5</v>
      </c>
      <c r="N473" s="103" t="s">
        <v>2163</v>
      </c>
      <c r="O473" s="103">
        <v>20</v>
      </c>
      <c r="P473" s="103" t="s">
        <v>1694</v>
      </c>
      <c r="R473" s="103" t="s">
        <v>121</v>
      </c>
      <c r="S473" s="103" t="s">
        <v>2476</v>
      </c>
      <c r="U473" s="103">
        <v>10.26</v>
      </c>
      <c r="V473" s="103" t="s">
        <v>2158</v>
      </c>
      <c r="W473" s="103" t="s">
        <v>121</v>
      </c>
      <c r="X473" s="103" t="s">
        <v>1597</v>
      </c>
      <c r="Y473" s="103" t="s">
        <v>1685</v>
      </c>
      <c r="AA473" s="103" t="s">
        <v>121</v>
      </c>
      <c r="AB473" s="103" t="s">
        <v>74</v>
      </c>
      <c r="AE473" s="103" t="s">
        <v>1241</v>
      </c>
      <c r="AF473" s="103" t="b">
        <v>1</v>
      </c>
    </row>
    <row r="474" spans="1:32" hidden="1" x14ac:dyDescent="0.2">
      <c r="A474" s="103" t="s">
        <v>640</v>
      </c>
      <c r="B474" s="103" t="s">
        <v>639</v>
      </c>
      <c r="C474" s="103" t="s">
        <v>640</v>
      </c>
      <c r="E474" s="103" t="s">
        <v>2681</v>
      </c>
      <c r="F474" s="103" t="s">
        <v>2175</v>
      </c>
      <c r="G474" s="103">
        <v>20</v>
      </c>
      <c r="H474" s="103" t="s">
        <v>2168</v>
      </c>
      <c r="I474" s="103" t="s">
        <v>2153</v>
      </c>
      <c r="K474" s="103">
        <v>5</v>
      </c>
      <c r="L474" s="103">
        <v>10</v>
      </c>
      <c r="M474" s="103">
        <v>5</v>
      </c>
      <c r="N474" s="103" t="s">
        <v>2163</v>
      </c>
      <c r="O474" s="103">
        <v>20</v>
      </c>
      <c r="P474" s="103" t="s">
        <v>1694</v>
      </c>
      <c r="R474" s="103" t="s">
        <v>121</v>
      </c>
      <c r="S474" s="103" t="s">
        <v>2476</v>
      </c>
      <c r="U474" s="103">
        <v>10.26</v>
      </c>
      <c r="V474" s="103" t="s">
        <v>2158</v>
      </c>
      <c r="W474" s="103" t="s">
        <v>121</v>
      </c>
      <c r="X474" s="103" t="s">
        <v>1597</v>
      </c>
      <c r="Y474" s="103" t="s">
        <v>1685</v>
      </c>
      <c r="AA474" s="103" t="s">
        <v>121</v>
      </c>
      <c r="AB474" s="103" t="s">
        <v>74</v>
      </c>
      <c r="AE474" s="103" t="s">
        <v>1241</v>
      </c>
      <c r="AF474" s="103" t="b">
        <v>1</v>
      </c>
    </row>
    <row r="475" spans="1:32" hidden="1" x14ac:dyDescent="0.2">
      <c r="A475" s="103" t="s">
        <v>640</v>
      </c>
      <c r="B475" s="103" t="s">
        <v>639</v>
      </c>
      <c r="C475" s="103" t="s">
        <v>640</v>
      </c>
      <c r="E475" s="103" t="s">
        <v>2575</v>
      </c>
      <c r="G475" s="103">
        <v>30</v>
      </c>
      <c r="H475" s="103" t="s">
        <v>2152</v>
      </c>
      <c r="I475" s="103" t="s">
        <v>2153</v>
      </c>
      <c r="K475" s="103">
        <v>5</v>
      </c>
      <c r="L475" s="103">
        <v>5</v>
      </c>
      <c r="M475" s="103">
        <v>20</v>
      </c>
      <c r="N475" s="103" t="s">
        <v>2163</v>
      </c>
      <c r="O475" s="103">
        <v>30</v>
      </c>
      <c r="P475" s="103" t="s">
        <v>1694</v>
      </c>
      <c r="R475" s="103" t="s">
        <v>121</v>
      </c>
      <c r="S475" s="103" t="s">
        <v>2476</v>
      </c>
      <c r="U475" s="103">
        <v>15.39</v>
      </c>
      <c r="V475" s="103" t="s">
        <v>2158</v>
      </c>
      <c r="W475" s="103" t="s">
        <v>121</v>
      </c>
      <c r="X475" s="103" t="s">
        <v>1597</v>
      </c>
      <c r="Y475" s="103" t="s">
        <v>1685</v>
      </c>
      <c r="AA475" s="103" t="s">
        <v>121</v>
      </c>
      <c r="AB475" s="103" t="s">
        <v>74</v>
      </c>
      <c r="AE475" s="103" t="s">
        <v>1241</v>
      </c>
      <c r="AF475" s="103" t="b">
        <v>1</v>
      </c>
    </row>
    <row r="476" spans="1:32" hidden="1" x14ac:dyDescent="0.2">
      <c r="A476" s="103" t="s">
        <v>642</v>
      </c>
      <c r="B476" s="103" t="s">
        <v>641</v>
      </c>
      <c r="C476" s="103" t="s">
        <v>642</v>
      </c>
      <c r="E476" s="103" t="s">
        <v>2477</v>
      </c>
      <c r="F476" s="103" t="s">
        <v>2175</v>
      </c>
      <c r="G476" s="103">
        <v>20</v>
      </c>
      <c r="H476" s="103" t="s">
        <v>2168</v>
      </c>
      <c r="I476" s="103" t="s">
        <v>2153</v>
      </c>
      <c r="L476" s="103">
        <v>15</v>
      </c>
      <c r="M476" s="103">
        <v>5</v>
      </c>
      <c r="N476" s="103" t="s">
        <v>2154</v>
      </c>
      <c r="O476" s="103">
        <v>20</v>
      </c>
      <c r="P476" s="103" t="s">
        <v>1694</v>
      </c>
      <c r="R476" s="103" t="s">
        <v>121</v>
      </c>
      <c r="S476" s="103" t="s">
        <v>2192</v>
      </c>
      <c r="U476" s="103">
        <v>10.26</v>
      </c>
      <c r="V476" s="103" t="s">
        <v>2158</v>
      </c>
      <c r="W476" s="103" t="s">
        <v>121</v>
      </c>
      <c r="X476" s="103" t="s">
        <v>1597</v>
      </c>
      <c r="Y476" s="103" t="s">
        <v>1685</v>
      </c>
      <c r="AA476" s="103" t="s">
        <v>121</v>
      </c>
      <c r="AB476" s="103" t="s">
        <v>74</v>
      </c>
      <c r="AE476" s="103" t="s">
        <v>1241</v>
      </c>
      <c r="AF476" s="103" t="b">
        <v>1</v>
      </c>
    </row>
    <row r="477" spans="1:32" hidden="1" x14ac:dyDescent="0.2">
      <c r="A477" s="103" t="s">
        <v>642</v>
      </c>
      <c r="B477" s="103" t="s">
        <v>641</v>
      </c>
      <c r="C477" s="103" t="s">
        <v>642</v>
      </c>
      <c r="E477" s="103" t="s">
        <v>2681</v>
      </c>
      <c r="F477" s="103" t="s">
        <v>2175</v>
      </c>
      <c r="G477" s="103">
        <v>20</v>
      </c>
      <c r="H477" s="103" t="s">
        <v>2168</v>
      </c>
      <c r="I477" s="103" t="s">
        <v>2153</v>
      </c>
      <c r="L477" s="103">
        <v>10</v>
      </c>
      <c r="M477" s="103">
        <v>10</v>
      </c>
      <c r="N477" s="103" t="s">
        <v>2154</v>
      </c>
      <c r="O477" s="103">
        <v>20</v>
      </c>
      <c r="P477" s="103" t="s">
        <v>1694</v>
      </c>
      <c r="R477" s="103" t="s">
        <v>121</v>
      </c>
      <c r="S477" s="103" t="s">
        <v>2192</v>
      </c>
      <c r="U477" s="103">
        <v>10.26</v>
      </c>
      <c r="V477" s="103" t="s">
        <v>2158</v>
      </c>
      <c r="W477" s="103" t="s">
        <v>121</v>
      </c>
      <c r="X477" s="103" t="s">
        <v>1597</v>
      </c>
      <c r="Y477" s="103" t="s">
        <v>1685</v>
      </c>
      <c r="AA477" s="103" t="s">
        <v>121</v>
      </c>
      <c r="AB477" s="103" t="s">
        <v>74</v>
      </c>
      <c r="AE477" s="103" t="s">
        <v>1241</v>
      </c>
      <c r="AF477" s="103" t="b">
        <v>1</v>
      </c>
    </row>
    <row r="478" spans="1:32" hidden="1" x14ac:dyDescent="0.2">
      <c r="A478" s="103" t="s">
        <v>642</v>
      </c>
      <c r="B478" s="103" t="s">
        <v>641</v>
      </c>
      <c r="C478" s="103" t="s">
        <v>642</v>
      </c>
      <c r="E478" s="103" t="s">
        <v>2575</v>
      </c>
      <c r="G478" s="103">
        <v>20</v>
      </c>
      <c r="H478" s="103" t="s">
        <v>2152</v>
      </c>
      <c r="I478" s="103" t="s">
        <v>2153</v>
      </c>
      <c r="L478" s="103">
        <v>10</v>
      </c>
      <c r="M478" s="103">
        <v>10</v>
      </c>
      <c r="N478" s="103" t="s">
        <v>2154</v>
      </c>
      <c r="O478" s="103">
        <v>20</v>
      </c>
      <c r="P478" s="103" t="s">
        <v>1694</v>
      </c>
      <c r="R478" s="103" t="s">
        <v>121</v>
      </c>
      <c r="S478" s="103" t="s">
        <v>2192</v>
      </c>
      <c r="U478" s="103">
        <v>10.26</v>
      </c>
      <c r="V478" s="103" t="s">
        <v>2158</v>
      </c>
      <c r="W478" s="103" t="s">
        <v>121</v>
      </c>
      <c r="X478" s="103" t="s">
        <v>1597</v>
      </c>
      <c r="Y478" s="103" t="s">
        <v>1685</v>
      </c>
      <c r="AA478" s="103" t="s">
        <v>121</v>
      </c>
      <c r="AB478" s="103" t="s">
        <v>74</v>
      </c>
      <c r="AE478" s="103" t="s">
        <v>1241</v>
      </c>
      <c r="AF478" s="103" t="b">
        <v>1</v>
      </c>
    </row>
    <row r="479" spans="1:32" hidden="1" x14ac:dyDescent="0.2">
      <c r="A479" s="103" t="s">
        <v>642</v>
      </c>
      <c r="B479" s="103" t="s">
        <v>641</v>
      </c>
      <c r="C479" s="103" t="s">
        <v>642</v>
      </c>
      <c r="E479" s="103" t="s">
        <v>134</v>
      </c>
      <c r="F479" s="103" t="s">
        <v>2202</v>
      </c>
      <c r="G479" s="103">
        <v>200</v>
      </c>
      <c r="H479" s="103" t="s">
        <v>2168</v>
      </c>
      <c r="I479" s="103" t="s">
        <v>2153</v>
      </c>
      <c r="L479" s="103">
        <v>80</v>
      </c>
      <c r="M479" s="103">
        <v>120</v>
      </c>
      <c r="N479" s="103" t="s">
        <v>2154</v>
      </c>
      <c r="O479" s="103">
        <v>200</v>
      </c>
      <c r="P479" s="103" t="s">
        <v>1246</v>
      </c>
      <c r="R479" s="103" t="s">
        <v>1638</v>
      </c>
      <c r="S479" s="103" t="s">
        <v>2192</v>
      </c>
      <c r="T479" s="103" t="s">
        <v>2682</v>
      </c>
      <c r="U479" s="103">
        <v>226.8</v>
      </c>
      <c r="V479" s="103" t="s">
        <v>2158</v>
      </c>
      <c r="W479" s="103" t="s">
        <v>134</v>
      </c>
      <c r="X479" s="103" t="s">
        <v>1597</v>
      </c>
      <c r="Y479" s="103" t="s">
        <v>1685</v>
      </c>
      <c r="AA479" s="103" t="s">
        <v>1638</v>
      </c>
      <c r="AB479" s="103" t="s">
        <v>74</v>
      </c>
      <c r="AE479" s="103" t="s">
        <v>1241</v>
      </c>
      <c r="AF479" s="103" t="b">
        <v>1</v>
      </c>
    </row>
    <row r="480" spans="1:32" hidden="1" x14ac:dyDescent="0.2">
      <c r="A480" s="103" t="s">
        <v>643</v>
      </c>
      <c r="B480" s="103" t="s">
        <v>1698</v>
      </c>
      <c r="E480" s="103" t="s">
        <v>2246</v>
      </c>
      <c r="F480" s="103" t="s">
        <v>2151</v>
      </c>
      <c r="G480" s="103">
        <v>100</v>
      </c>
      <c r="H480" s="103" t="s">
        <v>2168</v>
      </c>
      <c r="I480" s="103" t="s">
        <v>2153</v>
      </c>
      <c r="L480" s="103">
        <v>50</v>
      </c>
      <c r="M480" s="103">
        <v>50</v>
      </c>
      <c r="N480" s="103" t="s">
        <v>2402</v>
      </c>
      <c r="O480" s="103">
        <v>100</v>
      </c>
      <c r="P480" s="103" t="s">
        <v>1651</v>
      </c>
      <c r="Q480" s="103" t="s">
        <v>2155</v>
      </c>
      <c r="R480" s="103" t="s">
        <v>2225</v>
      </c>
      <c r="S480" s="103" t="s">
        <v>2683</v>
      </c>
      <c r="U480" s="103">
        <v>100</v>
      </c>
      <c r="V480" s="103" t="s">
        <v>2262</v>
      </c>
      <c r="W480" s="103" t="s">
        <v>107</v>
      </c>
      <c r="X480" s="103">
        <v>0</v>
      </c>
      <c r="Y480" s="103" t="s">
        <v>1685</v>
      </c>
      <c r="AA480" s="103" t="s">
        <v>2225</v>
      </c>
      <c r="AB480" s="103" t="s">
        <v>74</v>
      </c>
      <c r="AE480" s="103" t="s">
        <v>1241</v>
      </c>
      <c r="AF480" s="103" t="b">
        <v>1</v>
      </c>
    </row>
    <row r="481" spans="1:32" hidden="1" x14ac:dyDescent="0.2">
      <c r="A481" s="103" t="s">
        <v>643</v>
      </c>
      <c r="B481" s="103" t="s">
        <v>1698</v>
      </c>
      <c r="E481" s="103" t="s">
        <v>2575</v>
      </c>
      <c r="F481" s="103" t="s">
        <v>2175</v>
      </c>
      <c r="G481" s="103">
        <v>20</v>
      </c>
      <c r="H481" s="103" t="s">
        <v>2168</v>
      </c>
      <c r="I481" s="103" t="s">
        <v>2153</v>
      </c>
      <c r="M481" s="103">
        <v>20</v>
      </c>
      <c r="N481" s="103" t="s">
        <v>2402</v>
      </c>
      <c r="O481" s="103">
        <v>20</v>
      </c>
      <c r="P481" s="103" t="s">
        <v>1651</v>
      </c>
      <c r="R481" s="103" t="s">
        <v>121</v>
      </c>
      <c r="S481" s="103" t="s">
        <v>2229</v>
      </c>
      <c r="U481" s="103">
        <v>10.26</v>
      </c>
      <c r="V481" s="103" t="s">
        <v>2262</v>
      </c>
      <c r="W481" s="103" t="s">
        <v>121</v>
      </c>
      <c r="X481" s="103">
        <v>0</v>
      </c>
      <c r="Y481" s="103" t="s">
        <v>1685</v>
      </c>
      <c r="AA481" s="103" t="s">
        <v>121</v>
      </c>
      <c r="AB481" s="103" t="s">
        <v>74</v>
      </c>
      <c r="AE481" s="103" t="s">
        <v>1241</v>
      </c>
      <c r="AF481" s="103" t="b">
        <v>1</v>
      </c>
    </row>
    <row r="482" spans="1:32" hidden="1" x14ac:dyDescent="0.2">
      <c r="A482" s="103" t="s">
        <v>643</v>
      </c>
      <c r="B482" s="103" t="s">
        <v>1698</v>
      </c>
      <c r="E482" s="103" t="s">
        <v>2681</v>
      </c>
      <c r="F482" s="103" t="s">
        <v>2175</v>
      </c>
      <c r="G482" s="103">
        <v>20</v>
      </c>
      <c r="H482" s="103" t="s">
        <v>2168</v>
      </c>
      <c r="I482" s="103" t="s">
        <v>2153</v>
      </c>
      <c r="M482" s="103">
        <v>20</v>
      </c>
      <c r="N482" s="103" t="s">
        <v>2402</v>
      </c>
      <c r="O482" s="103">
        <v>20</v>
      </c>
      <c r="P482" s="103" t="s">
        <v>1651</v>
      </c>
      <c r="R482" s="103" t="s">
        <v>121</v>
      </c>
      <c r="S482" s="103" t="s">
        <v>2229</v>
      </c>
      <c r="U482" s="103">
        <v>10.26</v>
      </c>
      <c r="V482" s="103" t="s">
        <v>2262</v>
      </c>
      <c r="W482" s="103" t="s">
        <v>121</v>
      </c>
      <c r="X482" s="103">
        <v>0</v>
      </c>
      <c r="Y482" s="103" t="s">
        <v>1685</v>
      </c>
      <c r="AA482" s="103" t="s">
        <v>121</v>
      </c>
      <c r="AB482" s="103" t="s">
        <v>74</v>
      </c>
      <c r="AE482" s="103" t="s">
        <v>1241</v>
      </c>
      <c r="AF482" s="103" t="b">
        <v>1</v>
      </c>
    </row>
    <row r="483" spans="1:32" hidden="1" x14ac:dyDescent="0.2">
      <c r="A483" s="103" t="s">
        <v>644</v>
      </c>
      <c r="B483" s="103" t="s">
        <v>1700</v>
      </c>
      <c r="C483" s="103" t="s">
        <v>603</v>
      </c>
      <c r="D483" s="103" t="s">
        <v>644</v>
      </c>
      <c r="E483" s="103" t="s">
        <v>2562</v>
      </c>
      <c r="F483" s="103" t="s">
        <v>2202</v>
      </c>
      <c r="G483" s="103">
        <v>200</v>
      </c>
      <c r="H483" s="103" t="s">
        <v>2168</v>
      </c>
      <c r="I483" s="103" t="s">
        <v>2153</v>
      </c>
      <c r="M483" s="103">
        <v>200</v>
      </c>
      <c r="N483" s="103" t="s">
        <v>2260</v>
      </c>
      <c r="O483" s="103">
        <v>200</v>
      </c>
      <c r="P483" s="103" t="s">
        <v>1617</v>
      </c>
      <c r="Q483" s="103" t="s">
        <v>2155</v>
      </c>
      <c r="R483" s="103" t="s">
        <v>2225</v>
      </c>
      <c r="S483" s="103" t="s">
        <v>2238</v>
      </c>
      <c r="U483" s="103">
        <v>96.6</v>
      </c>
      <c r="V483" s="103" t="s">
        <v>2262</v>
      </c>
      <c r="W483" s="103" t="s">
        <v>106</v>
      </c>
      <c r="X483" s="103" t="s">
        <v>1597</v>
      </c>
      <c r="Y483" s="103" t="s">
        <v>1685</v>
      </c>
      <c r="AA483" s="103" t="s">
        <v>2225</v>
      </c>
      <c r="AB483" s="103" t="s">
        <v>64</v>
      </c>
      <c r="AE483" s="103" t="s">
        <v>750</v>
      </c>
      <c r="AF483" s="103" t="b">
        <v>1</v>
      </c>
    </row>
    <row r="484" spans="1:32" hidden="1" x14ac:dyDescent="0.2">
      <c r="A484" s="103" t="s">
        <v>646</v>
      </c>
      <c r="B484" s="103" t="s">
        <v>645</v>
      </c>
      <c r="C484" s="103" t="s">
        <v>2684</v>
      </c>
      <c r="D484" s="103" t="s">
        <v>2685</v>
      </c>
      <c r="E484" s="103" t="s">
        <v>2250</v>
      </c>
      <c r="G484" s="103">
        <v>100</v>
      </c>
      <c r="H484" s="103" t="s">
        <v>2152</v>
      </c>
      <c r="I484" s="103" t="s">
        <v>2153</v>
      </c>
      <c r="K484" s="103">
        <v>50</v>
      </c>
      <c r="L484" s="103">
        <v>50</v>
      </c>
      <c r="N484" s="103" t="s">
        <v>2163</v>
      </c>
      <c r="O484" s="103">
        <v>100</v>
      </c>
      <c r="P484" s="103" t="s">
        <v>1701</v>
      </c>
      <c r="Q484" s="103" t="s">
        <v>2236</v>
      </c>
      <c r="R484" s="103" t="s">
        <v>2225</v>
      </c>
      <c r="S484" s="103" t="s">
        <v>2251</v>
      </c>
      <c r="U484" s="103">
        <v>51.3</v>
      </c>
      <c r="V484" s="103" t="s">
        <v>2158</v>
      </c>
      <c r="W484" s="103" t="s">
        <v>119</v>
      </c>
      <c r="X484" s="103" t="s">
        <v>1685</v>
      </c>
      <c r="Y484" s="103" t="s">
        <v>1685</v>
      </c>
      <c r="AA484" s="103" t="s">
        <v>2225</v>
      </c>
      <c r="AB484" s="103" t="s">
        <v>64</v>
      </c>
      <c r="AE484" s="103" t="s">
        <v>1618</v>
      </c>
      <c r="AF484" s="103" t="b">
        <v>1</v>
      </c>
    </row>
    <row r="485" spans="1:32" hidden="1" x14ac:dyDescent="0.2">
      <c r="A485" s="103" t="s">
        <v>648</v>
      </c>
      <c r="B485" s="103" t="s">
        <v>647</v>
      </c>
      <c r="C485" s="103" t="s">
        <v>2686</v>
      </c>
      <c r="D485" s="103" t="s">
        <v>2687</v>
      </c>
      <c r="E485" s="103" t="s">
        <v>2250</v>
      </c>
      <c r="G485" s="103">
        <v>300</v>
      </c>
      <c r="H485" s="103" t="s">
        <v>2152</v>
      </c>
      <c r="I485" s="103" t="s">
        <v>2153</v>
      </c>
      <c r="J485" s="103">
        <v>75</v>
      </c>
      <c r="K485" s="103">
        <v>75</v>
      </c>
      <c r="L485" s="103">
        <v>75</v>
      </c>
      <c r="M485" s="103">
        <v>75</v>
      </c>
      <c r="N485" s="103" t="s">
        <v>2163</v>
      </c>
      <c r="O485" s="103">
        <v>300</v>
      </c>
      <c r="P485" s="103" t="s">
        <v>1701</v>
      </c>
      <c r="Q485" s="103" t="s">
        <v>2155</v>
      </c>
      <c r="R485" s="103" t="s">
        <v>2225</v>
      </c>
      <c r="S485" s="103" t="s">
        <v>2157</v>
      </c>
      <c r="U485" s="103">
        <v>153.9</v>
      </c>
      <c r="V485" s="103" t="s">
        <v>2158</v>
      </c>
      <c r="W485" s="103" t="s">
        <v>119</v>
      </c>
      <c r="X485" s="103" t="s">
        <v>1685</v>
      </c>
      <c r="Y485" s="103" t="s">
        <v>1685</v>
      </c>
      <c r="AA485" s="103" t="s">
        <v>2225</v>
      </c>
      <c r="AB485" s="103" t="s">
        <v>64</v>
      </c>
      <c r="AE485" s="103" t="s">
        <v>1618</v>
      </c>
      <c r="AF485" s="103" t="b">
        <v>1</v>
      </c>
    </row>
    <row r="486" spans="1:32" hidden="1" x14ac:dyDescent="0.2">
      <c r="A486" s="103" t="s">
        <v>650</v>
      </c>
      <c r="B486" s="103" t="s">
        <v>649</v>
      </c>
      <c r="C486" s="103" t="s">
        <v>650</v>
      </c>
      <c r="D486" s="103" t="s">
        <v>2688</v>
      </c>
      <c r="E486" s="103" t="s">
        <v>2250</v>
      </c>
      <c r="G486" s="103">
        <v>200</v>
      </c>
      <c r="H486" s="103" t="s">
        <v>2152</v>
      </c>
      <c r="I486" s="103" t="s">
        <v>2153</v>
      </c>
      <c r="K486" s="103">
        <v>100</v>
      </c>
      <c r="L486" s="103">
        <v>100</v>
      </c>
      <c r="N486" s="103" t="s">
        <v>2163</v>
      </c>
      <c r="O486" s="103">
        <v>200</v>
      </c>
      <c r="P486" s="103" t="s">
        <v>1701</v>
      </c>
      <c r="Q486" s="103" t="s">
        <v>2236</v>
      </c>
      <c r="R486" s="103" t="s">
        <v>2225</v>
      </c>
      <c r="S486" s="103" t="s">
        <v>2251</v>
      </c>
      <c r="U486" s="103">
        <v>102.6</v>
      </c>
      <c r="V486" s="103" t="s">
        <v>2158</v>
      </c>
      <c r="W486" s="103" t="s">
        <v>119</v>
      </c>
      <c r="X486" s="103" t="s">
        <v>1685</v>
      </c>
      <c r="Y486" s="103" t="s">
        <v>1685</v>
      </c>
      <c r="AA486" s="103" t="s">
        <v>2225</v>
      </c>
      <c r="AB486" s="103" t="s">
        <v>64</v>
      </c>
      <c r="AE486" s="103" t="s">
        <v>1618</v>
      </c>
      <c r="AF486" s="103" t="b">
        <v>1</v>
      </c>
    </row>
    <row r="487" spans="1:32" hidden="1" x14ac:dyDescent="0.2">
      <c r="A487" s="103" t="s">
        <v>3810</v>
      </c>
      <c r="B487" s="103" t="s">
        <v>3811</v>
      </c>
      <c r="C487" s="103" t="s">
        <v>2689</v>
      </c>
      <c r="D487" s="103" t="s">
        <v>2690</v>
      </c>
      <c r="E487" s="103" t="s">
        <v>2605</v>
      </c>
      <c r="F487" s="103" t="s">
        <v>2151</v>
      </c>
      <c r="G487" s="103">
        <v>100</v>
      </c>
      <c r="H487" s="103" t="s">
        <v>2168</v>
      </c>
      <c r="I487" s="103" t="s">
        <v>2153</v>
      </c>
      <c r="M487" s="103">
        <v>100</v>
      </c>
      <c r="N487" s="103" t="s">
        <v>2163</v>
      </c>
      <c r="O487" s="103">
        <v>100</v>
      </c>
      <c r="P487" s="103" t="s">
        <v>1679</v>
      </c>
      <c r="Q487" s="103" t="s">
        <v>2155</v>
      </c>
      <c r="R487" s="103" t="s">
        <v>2225</v>
      </c>
      <c r="S487" s="103" t="s">
        <v>2251</v>
      </c>
      <c r="U487" s="103">
        <v>48.3</v>
      </c>
      <c r="V487" s="103" t="s">
        <v>2158</v>
      </c>
      <c r="W487" s="103" t="s">
        <v>106</v>
      </c>
      <c r="X487" s="103" t="s">
        <v>345</v>
      </c>
      <c r="Y487" s="103" t="s">
        <v>2240</v>
      </c>
      <c r="AA487" s="103" t="s">
        <v>2225</v>
      </c>
      <c r="AB487" s="103" t="s">
        <v>64</v>
      </c>
      <c r="AE487" s="103" t="s">
        <v>750</v>
      </c>
      <c r="AF487" s="103" t="b">
        <v>1</v>
      </c>
    </row>
    <row r="488" spans="1:32" hidden="1" x14ac:dyDescent="0.2">
      <c r="A488" s="103" t="s">
        <v>3810</v>
      </c>
      <c r="B488" s="103" t="s">
        <v>3811</v>
      </c>
      <c r="C488" s="103" t="s">
        <v>2689</v>
      </c>
      <c r="D488" s="103" t="s">
        <v>2691</v>
      </c>
      <c r="E488" s="103" t="s">
        <v>2605</v>
      </c>
      <c r="F488" s="103" t="s">
        <v>2232</v>
      </c>
      <c r="G488" s="103">
        <v>300</v>
      </c>
      <c r="H488" s="103" t="s">
        <v>2168</v>
      </c>
      <c r="I488" s="103" t="s">
        <v>2153</v>
      </c>
      <c r="L488" s="103">
        <v>150</v>
      </c>
      <c r="M488" s="103">
        <v>150</v>
      </c>
      <c r="N488" s="103" t="s">
        <v>2163</v>
      </c>
      <c r="O488" s="103">
        <v>300</v>
      </c>
      <c r="P488" s="103" t="s">
        <v>1679</v>
      </c>
      <c r="Q488" s="103" t="s">
        <v>2155</v>
      </c>
      <c r="R488" s="103" t="s">
        <v>2225</v>
      </c>
      <c r="S488" s="103" t="s">
        <v>2251</v>
      </c>
      <c r="U488" s="103">
        <v>144.9</v>
      </c>
      <c r="V488" s="103" t="s">
        <v>2158</v>
      </c>
      <c r="W488" s="103" t="s">
        <v>106</v>
      </c>
      <c r="X488" s="103" t="s">
        <v>345</v>
      </c>
      <c r="Y488" s="103" t="s">
        <v>2240</v>
      </c>
      <c r="AA488" s="103" t="s">
        <v>2225</v>
      </c>
      <c r="AB488" s="103" t="s">
        <v>64</v>
      </c>
      <c r="AE488" s="103" t="s">
        <v>750</v>
      </c>
      <c r="AF488" s="103" t="b">
        <v>1</v>
      </c>
    </row>
    <row r="489" spans="1:32" hidden="1" x14ac:dyDescent="0.2">
      <c r="A489" s="103" t="s">
        <v>3810</v>
      </c>
      <c r="B489" s="103" t="s">
        <v>3811</v>
      </c>
      <c r="C489" s="103" t="s">
        <v>2689</v>
      </c>
      <c r="D489" s="103" t="s">
        <v>2692</v>
      </c>
      <c r="E489" s="103" t="s">
        <v>125</v>
      </c>
      <c r="F489" s="103" t="s">
        <v>2226</v>
      </c>
      <c r="G489" s="103">
        <v>400</v>
      </c>
      <c r="H489" s="103" t="s">
        <v>2168</v>
      </c>
      <c r="I489" s="103" t="s">
        <v>2153</v>
      </c>
      <c r="L489" s="103">
        <v>200</v>
      </c>
      <c r="M489" s="103">
        <v>200</v>
      </c>
      <c r="N489" s="103" t="s">
        <v>2163</v>
      </c>
      <c r="O489" s="103">
        <v>400</v>
      </c>
      <c r="P489" s="103" t="s">
        <v>1679</v>
      </c>
      <c r="Q489" s="103" t="s">
        <v>2155</v>
      </c>
      <c r="R489" s="103" t="s">
        <v>2164</v>
      </c>
      <c r="U489" s="103">
        <v>240</v>
      </c>
      <c r="V489" s="103" t="s">
        <v>2158</v>
      </c>
      <c r="W489" s="103" t="s">
        <v>125</v>
      </c>
      <c r="X489" s="103" t="s">
        <v>345</v>
      </c>
      <c r="Y489" s="103" t="s">
        <v>2240</v>
      </c>
      <c r="AA489" s="103" t="s">
        <v>2164</v>
      </c>
      <c r="AB489" s="103" t="s">
        <v>64</v>
      </c>
      <c r="AE489" s="103" t="s">
        <v>750</v>
      </c>
      <c r="AF489" s="103" t="b">
        <v>1</v>
      </c>
    </row>
    <row r="490" spans="1:32" hidden="1" x14ac:dyDescent="0.2">
      <c r="A490" s="103" t="s">
        <v>3810</v>
      </c>
      <c r="B490" s="103" t="s">
        <v>3811</v>
      </c>
      <c r="C490" s="103" t="s">
        <v>2689</v>
      </c>
      <c r="D490" s="103" t="s">
        <v>2693</v>
      </c>
      <c r="E490" s="103" t="s">
        <v>2605</v>
      </c>
      <c r="F490" s="103" t="s">
        <v>2175</v>
      </c>
      <c r="G490" s="103">
        <v>10</v>
      </c>
      <c r="H490" s="103" t="s">
        <v>2152</v>
      </c>
      <c r="I490" s="103" t="s">
        <v>2153</v>
      </c>
      <c r="L490" s="103">
        <v>10</v>
      </c>
      <c r="N490" s="103" t="s">
        <v>2163</v>
      </c>
      <c r="O490" s="103">
        <v>10</v>
      </c>
      <c r="P490" s="103" t="s">
        <v>1679</v>
      </c>
      <c r="Q490" s="103" t="s">
        <v>2155</v>
      </c>
      <c r="R490" s="103" t="s">
        <v>2225</v>
      </c>
      <c r="S490" s="103" t="s">
        <v>2251</v>
      </c>
      <c r="U490" s="103">
        <v>4.83</v>
      </c>
      <c r="V490" s="103" t="s">
        <v>2158</v>
      </c>
      <c r="W490" s="103" t="s">
        <v>106</v>
      </c>
      <c r="X490" s="103" t="s">
        <v>345</v>
      </c>
      <c r="Y490" s="103" t="s">
        <v>2240</v>
      </c>
      <c r="AA490" s="103" t="s">
        <v>2225</v>
      </c>
      <c r="AB490" s="103" t="s">
        <v>64</v>
      </c>
      <c r="AE490" s="103" t="s">
        <v>750</v>
      </c>
      <c r="AF490" s="103" t="b">
        <v>1</v>
      </c>
    </row>
    <row r="491" spans="1:32" hidden="1" x14ac:dyDescent="0.2">
      <c r="A491" s="103" t="s">
        <v>906</v>
      </c>
      <c r="B491" s="103" t="s">
        <v>905</v>
      </c>
      <c r="C491" s="103" t="s">
        <v>2547</v>
      </c>
      <c r="D491" s="103" t="s">
        <v>2548</v>
      </c>
      <c r="E491" s="103" t="s">
        <v>2694</v>
      </c>
      <c r="F491" s="103" t="s">
        <v>2175</v>
      </c>
      <c r="G491" s="103">
        <v>20</v>
      </c>
      <c r="H491" s="103" t="s">
        <v>2168</v>
      </c>
      <c r="I491" s="103" t="s">
        <v>2153</v>
      </c>
      <c r="J491" s="103">
        <v>5</v>
      </c>
      <c r="K491" s="103">
        <v>5</v>
      </c>
      <c r="L491" s="103">
        <v>5</v>
      </c>
      <c r="M491" s="103">
        <v>5</v>
      </c>
      <c r="N491" s="103" t="s">
        <v>2163</v>
      </c>
      <c r="O491" s="103">
        <v>20</v>
      </c>
      <c r="P491" s="103" t="s">
        <v>2549</v>
      </c>
      <c r="Q491" s="103" t="s">
        <v>2155</v>
      </c>
      <c r="R491" s="103" t="s">
        <v>2220</v>
      </c>
      <c r="S491" s="103" t="s">
        <v>2157</v>
      </c>
      <c r="U491" s="103">
        <v>10.26</v>
      </c>
      <c r="V491" s="103" t="s">
        <v>2158</v>
      </c>
      <c r="W491" s="103" t="s">
        <v>108</v>
      </c>
      <c r="X491" s="103" t="s">
        <v>1597</v>
      </c>
      <c r="Y491" s="103" t="s">
        <v>1685</v>
      </c>
      <c r="AA491" s="103" t="s">
        <v>2220</v>
      </c>
      <c r="AB491" s="103" t="s">
        <v>71</v>
      </c>
      <c r="AE491" s="103" t="s">
        <v>810</v>
      </c>
      <c r="AF491" s="103" t="b">
        <v>1</v>
      </c>
    </row>
    <row r="492" spans="1:32" hidden="1" x14ac:dyDescent="0.2">
      <c r="A492" s="103" t="s">
        <v>654</v>
      </c>
      <c r="B492" s="103" t="s">
        <v>653</v>
      </c>
      <c r="C492" s="103" t="s">
        <v>2695</v>
      </c>
      <c r="E492" s="103" t="s">
        <v>2334</v>
      </c>
      <c r="F492" s="103" t="s">
        <v>2175</v>
      </c>
      <c r="G492" s="103">
        <v>20</v>
      </c>
      <c r="H492" s="103" t="s">
        <v>2168</v>
      </c>
      <c r="I492" s="103" t="s">
        <v>2153</v>
      </c>
      <c r="M492" s="103">
        <v>20</v>
      </c>
      <c r="N492" s="103" t="s">
        <v>2163</v>
      </c>
      <c r="O492" s="103">
        <v>20</v>
      </c>
      <c r="P492" s="103" t="s">
        <v>791</v>
      </c>
      <c r="Q492" s="103" t="s">
        <v>2155</v>
      </c>
      <c r="R492" s="103" t="s">
        <v>2220</v>
      </c>
      <c r="S492" s="103" t="s">
        <v>2422</v>
      </c>
      <c r="U492" s="103">
        <v>10.26</v>
      </c>
      <c r="V492" s="103" t="s">
        <v>2158</v>
      </c>
      <c r="W492" s="103" t="s">
        <v>116</v>
      </c>
      <c r="X492" s="103" t="s">
        <v>1597</v>
      </c>
      <c r="Y492" s="103" t="s">
        <v>1685</v>
      </c>
      <c r="AA492" s="103" t="s">
        <v>2220</v>
      </c>
      <c r="AB492" s="103" t="s">
        <v>71</v>
      </c>
      <c r="AE492" s="103" t="s">
        <v>898</v>
      </c>
      <c r="AF492" s="103" t="b">
        <v>1</v>
      </c>
    </row>
    <row r="493" spans="1:32" hidden="1" x14ac:dyDescent="0.2">
      <c r="A493" s="103" t="s">
        <v>654</v>
      </c>
      <c r="B493" s="103" t="s">
        <v>653</v>
      </c>
      <c r="C493" s="103" t="s">
        <v>2695</v>
      </c>
      <c r="E493" s="103" t="s">
        <v>2346</v>
      </c>
      <c r="F493" s="103" t="s">
        <v>2228</v>
      </c>
      <c r="G493" s="103">
        <v>800</v>
      </c>
      <c r="H493" s="103" t="s">
        <v>2168</v>
      </c>
      <c r="I493" s="103" t="s">
        <v>2153</v>
      </c>
      <c r="J493" s="103">
        <v>200</v>
      </c>
      <c r="K493" s="103">
        <v>200</v>
      </c>
      <c r="L493" s="103">
        <v>200</v>
      </c>
      <c r="M493" s="103">
        <v>200</v>
      </c>
      <c r="N493" s="103" t="s">
        <v>2163</v>
      </c>
      <c r="O493" s="103">
        <v>800</v>
      </c>
      <c r="P493" s="103" t="s">
        <v>791</v>
      </c>
      <c r="Q493" s="103" t="s">
        <v>2155</v>
      </c>
      <c r="R493" s="103" t="s">
        <v>2220</v>
      </c>
      <c r="S493" s="103" t="s">
        <v>2422</v>
      </c>
      <c r="U493" s="103">
        <v>410.4</v>
      </c>
      <c r="V493" s="103" t="s">
        <v>2158</v>
      </c>
      <c r="W493" s="103" t="s">
        <v>116</v>
      </c>
      <c r="X493" s="103" t="s">
        <v>1597</v>
      </c>
      <c r="Y493" s="103" t="s">
        <v>1685</v>
      </c>
      <c r="AA493" s="103" t="s">
        <v>2220</v>
      </c>
      <c r="AB493" s="103" t="s">
        <v>71</v>
      </c>
      <c r="AE493" s="103" t="s">
        <v>898</v>
      </c>
      <c r="AF493" s="103" t="b">
        <v>1</v>
      </c>
    </row>
    <row r="494" spans="1:32" hidden="1" x14ac:dyDescent="0.2">
      <c r="A494" s="103" t="s">
        <v>656</v>
      </c>
      <c r="B494" s="103" t="s">
        <v>655</v>
      </c>
      <c r="C494" s="103" t="s">
        <v>2696</v>
      </c>
      <c r="E494" s="103" t="s">
        <v>2206</v>
      </c>
      <c r="F494" s="103" t="s">
        <v>2162</v>
      </c>
      <c r="G494" s="103">
        <v>50</v>
      </c>
      <c r="H494" s="103" t="s">
        <v>2168</v>
      </c>
      <c r="I494" s="103" t="s">
        <v>2153</v>
      </c>
      <c r="M494" s="103">
        <v>50</v>
      </c>
      <c r="N494" s="103" t="s">
        <v>2163</v>
      </c>
      <c r="O494" s="103">
        <v>50</v>
      </c>
      <c r="P494" s="103" t="s">
        <v>820</v>
      </c>
      <c r="Q494" s="103" t="s">
        <v>2155</v>
      </c>
      <c r="R494" s="103" t="s">
        <v>121</v>
      </c>
      <c r="S494" s="103" t="s">
        <v>2427</v>
      </c>
      <c r="U494" s="103">
        <v>25.65</v>
      </c>
      <c r="V494" s="103" t="s">
        <v>2158</v>
      </c>
      <c r="W494" s="103" t="s">
        <v>121</v>
      </c>
      <c r="X494" s="103" t="s">
        <v>1597</v>
      </c>
      <c r="Y494" s="103" t="s">
        <v>1685</v>
      </c>
      <c r="AA494" s="103" t="s">
        <v>121</v>
      </c>
      <c r="AB494" s="103" t="s">
        <v>71</v>
      </c>
      <c r="AE494" s="103" t="s">
        <v>898</v>
      </c>
      <c r="AF494" s="103" t="b">
        <v>1</v>
      </c>
    </row>
    <row r="495" spans="1:32" hidden="1" x14ac:dyDescent="0.2">
      <c r="A495" s="103" t="s">
        <v>656</v>
      </c>
      <c r="B495" s="103" t="s">
        <v>655</v>
      </c>
      <c r="C495" s="103" t="s">
        <v>2696</v>
      </c>
      <c r="E495" s="103" t="s">
        <v>2346</v>
      </c>
      <c r="F495" s="103" t="s">
        <v>2162</v>
      </c>
      <c r="G495" s="103">
        <v>50</v>
      </c>
      <c r="H495" s="103" t="s">
        <v>2168</v>
      </c>
      <c r="I495" s="103" t="s">
        <v>2153</v>
      </c>
      <c r="M495" s="103">
        <v>50</v>
      </c>
      <c r="N495" s="103" t="s">
        <v>2163</v>
      </c>
      <c r="O495" s="103">
        <v>50</v>
      </c>
      <c r="P495" s="103" t="s">
        <v>791</v>
      </c>
      <c r="Q495" s="103" t="s">
        <v>2155</v>
      </c>
      <c r="R495" s="103" t="s">
        <v>2220</v>
      </c>
      <c r="S495" s="103" t="s">
        <v>2209</v>
      </c>
      <c r="T495" s="103" t="s">
        <v>2697</v>
      </c>
      <c r="U495" s="103">
        <v>25.65</v>
      </c>
      <c r="V495" s="103" t="s">
        <v>2158</v>
      </c>
      <c r="W495" s="103" t="s">
        <v>116</v>
      </c>
      <c r="X495" s="103" t="s">
        <v>1597</v>
      </c>
      <c r="Y495" s="103" t="s">
        <v>1685</v>
      </c>
      <c r="AA495" s="103" t="s">
        <v>2220</v>
      </c>
      <c r="AB495" s="103" t="s">
        <v>71</v>
      </c>
      <c r="AE495" s="103" t="s">
        <v>898</v>
      </c>
      <c r="AF495" s="103" t="b">
        <v>1</v>
      </c>
    </row>
    <row r="496" spans="1:32" hidden="1" x14ac:dyDescent="0.2">
      <c r="A496" s="103" t="s">
        <v>656</v>
      </c>
      <c r="B496" s="103" t="s">
        <v>655</v>
      </c>
      <c r="C496" s="103" t="s">
        <v>2698</v>
      </c>
      <c r="E496" s="103" t="s">
        <v>2334</v>
      </c>
      <c r="F496" s="103" t="s">
        <v>2175</v>
      </c>
      <c r="G496" s="103">
        <v>20</v>
      </c>
      <c r="H496" s="103" t="s">
        <v>2168</v>
      </c>
      <c r="I496" s="103" t="s">
        <v>2153</v>
      </c>
      <c r="M496" s="103">
        <v>20</v>
      </c>
      <c r="N496" s="103" t="s">
        <v>2260</v>
      </c>
      <c r="O496" s="103">
        <v>20</v>
      </c>
      <c r="P496" s="103" t="s">
        <v>791</v>
      </c>
      <c r="Q496" s="103" t="s">
        <v>2155</v>
      </c>
      <c r="R496" s="103" t="s">
        <v>2220</v>
      </c>
      <c r="S496" s="103" t="s">
        <v>2238</v>
      </c>
      <c r="T496" s="103" t="s">
        <v>2697</v>
      </c>
      <c r="U496" s="103">
        <v>10.26</v>
      </c>
      <c r="V496" s="103" t="s">
        <v>2262</v>
      </c>
      <c r="W496" s="103" t="s">
        <v>116</v>
      </c>
      <c r="X496" s="103" t="s">
        <v>1597</v>
      </c>
      <c r="Y496" s="103" t="s">
        <v>1685</v>
      </c>
      <c r="AA496" s="103" t="s">
        <v>2220</v>
      </c>
      <c r="AB496" s="103" t="s">
        <v>71</v>
      </c>
      <c r="AE496" s="103" t="s">
        <v>898</v>
      </c>
      <c r="AF496" s="103" t="b">
        <v>1</v>
      </c>
    </row>
    <row r="497" spans="1:32" hidden="1" x14ac:dyDescent="0.2">
      <c r="A497" s="103" t="s">
        <v>656</v>
      </c>
      <c r="B497" s="103" t="s">
        <v>655</v>
      </c>
      <c r="C497" s="103" t="s">
        <v>2698</v>
      </c>
      <c r="E497" s="103" t="s">
        <v>2346</v>
      </c>
      <c r="F497" s="103" t="s">
        <v>2202</v>
      </c>
      <c r="G497" s="103">
        <v>200</v>
      </c>
      <c r="H497" s="103" t="s">
        <v>2168</v>
      </c>
      <c r="I497" s="103" t="s">
        <v>2153</v>
      </c>
      <c r="J497" s="103">
        <v>50</v>
      </c>
      <c r="K497" s="103">
        <v>50</v>
      </c>
      <c r="L497" s="103">
        <v>50</v>
      </c>
      <c r="M497" s="103">
        <v>50</v>
      </c>
      <c r="N497" s="103" t="s">
        <v>2260</v>
      </c>
      <c r="O497" s="103">
        <v>200</v>
      </c>
      <c r="P497" s="103" t="s">
        <v>791</v>
      </c>
      <c r="Q497" s="103" t="s">
        <v>2155</v>
      </c>
      <c r="R497" s="103" t="s">
        <v>2220</v>
      </c>
      <c r="S497" s="103" t="s">
        <v>2192</v>
      </c>
      <c r="U497" s="103">
        <v>102.6</v>
      </c>
      <c r="V497" s="103" t="s">
        <v>2262</v>
      </c>
      <c r="W497" s="103" t="s">
        <v>116</v>
      </c>
      <c r="X497" s="103" t="s">
        <v>1597</v>
      </c>
      <c r="Y497" s="103" t="s">
        <v>1685</v>
      </c>
      <c r="AA497" s="103" t="s">
        <v>2220</v>
      </c>
      <c r="AB497" s="103" t="s">
        <v>71</v>
      </c>
      <c r="AE497" s="103" t="s">
        <v>898</v>
      </c>
      <c r="AF497" s="103" t="b">
        <v>1</v>
      </c>
    </row>
    <row r="498" spans="1:32" hidden="1" x14ac:dyDescent="0.2">
      <c r="A498" s="103" t="s">
        <v>658</v>
      </c>
      <c r="B498" s="103" t="s">
        <v>657</v>
      </c>
      <c r="C498" s="103" t="s">
        <v>658</v>
      </c>
      <c r="D498" s="103" t="s">
        <v>658</v>
      </c>
      <c r="E498" s="103" t="s">
        <v>2414</v>
      </c>
      <c r="F498" s="103" t="s">
        <v>2228</v>
      </c>
      <c r="G498" s="103">
        <v>700</v>
      </c>
      <c r="H498" s="103" t="s">
        <v>2152</v>
      </c>
      <c r="I498" s="103" t="s">
        <v>2153</v>
      </c>
      <c r="J498" s="103">
        <v>150</v>
      </c>
      <c r="K498" s="103">
        <v>200</v>
      </c>
      <c r="L498" s="103">
        <v>200</v>
      </c>
      <c r="M498" s="103">
        <v>150</v>
      </c>
      <c r="N498" s="103" t="s">
        <v>2163</v>
      </c>
      <c r="O498" s="103">
        <v>700</v>
      </c>
      <c r="P498" s="103" t="s">
        <v>1643</v>
      </c>
      <c r="Q498" s="103" t="s">
        <v>2155</v>
      </c>
      <c r="R498" s="103" t="s">
        <v>2156</v>
      </c>
      <c r="S498" s="103" t="s">
        <v>2192</v>
      </c>
      <c r="U498" s="103">
        <v>359.1</v>
      </c>
      <c r="V498" s="103" t="s">
        <v>2158</v>
      </c>
      <c r="W498" s="103" t="s">
        <v>122</v>
      </c>
      <c r="X498" s="103" t="s">
        <v>1597</v>
      </c>
      <c r="Y498" s="103" t="s">
        <v>1685</v>
      </c>
      <c r="AA498" s="103" t="s">
        <v>2156</v>
      </c>
      <c r="AB498" s="103" t="s">
        <v>68</v>
      </c>
      <c r="AC498" s="103" t="s">
        <v>122</v>
      </c>
      <c r="AD498" s="103" t="s">
        <v>2397</v>
      </c>
      <c r="AE498" s="103" t="s">
        <v>1641</v>
      </c>
      <c r="AF498" s="103" t="b">
        <v>1</v>
      </c>
    </row>
    <row r="499" spans="1:32" hidden="1" x14ac:dyDescent="0.2">
      <c r="A499" s="103" t="s">
        <v>383</v>
      </c>
      <c r="B499" s="103" t="s">
        <v>382</v>
      </c>
      <c r="C499" s="103" t="s">
        <v>659</v>
      </c>
      <c r="D499" s="103" t="s">
        <v>659</v>
      </c>
      <c r="E499" s="103" t="s">
        <v>2414</v>
      </c>
      <c r="F499" s="103" t="s">
        <v>2228</v>
      </c>
      <c r="G499" s="103">
        <v>700</v>
      </c>
      <c r="H499" s="103" t="s">
        <v>2152</v>
      </c>
      <c r="I499" s="103" t="s">
        <v>2153</v>
      </c>
      <c r="J499" s="103">
        <v>150</v>
      </c>
      <c r="K499" s="103">
        <v>200</v>
      </c>
      <c r="L499" s="103">
        <v>200</v>
      </c>
      <c r="M499" s="103">
        <v>150</v>
      </c>
      <c r="N499" s="103" t="s">
        <v>2402</v>
      </c>
      <c r="O499" s="103">
        <v>700</v>
      </c>
      <c r="P499" s="103" t="s">
        <v>1643</v>
      </c>
      <c r="Q499" s="103" t="s">
        <v>2155</v>
      </c>
      <c r="R499" s="103" t="s">
        <v>2156</v>
      </c>
      <c r="S499" s="103" t="s">
        <v>2192</v>
      </c>
      <c r="U499" s="103">
        <v>359.1</v>
      </c>
      <c r="V499" s="103" t="s">
        <v>2262</v>
      </c>
      <c r="W499" s="103" t="s">
        <v>122</v>
      </c>
      <c r="X499" s="103" t="s">
        <v>1597</v>
      </c>
      <c r="Y499" s="103" t="s">
        <v>1685</v>
      </c>
      <c r="AA499" s="103" t="s">
        <v>2156</v>
      </c>
      <c r="AB499" s="103" t="s">
        <v>68</v>
      </c>
      <c r="AC499" s="103" t="s">
        <v>122</v>
      </c>
      <c r="AD499" s="103" t="s">
        <v>2397</v>
      </c>
      <c r="AE499" s="103" t="s">
        <v>766</v>
      </c>
      <c r="AF499" s="103" t="b">
        <v>1</v>
      </c>
    </row>
    <row r="500" spans="1:32" hidden="1" x14ac:dyDescent="0.2">
      <c r="A500" s="103" t="s">
        <v>661</v>
      </c>
      <c r="B500" s="103" t="s">
        <v>1707</v>
      </c>
      <c r="C500" s="103" t="s">
        <v>2699</v>
      </c>
      <c r="E500" s="103" t="s">
        <v>123</v>
      </c>
      <c r="F500" s="103" t="s">
        <v>2162</v>
      </c>
      <c r="G500" s="103">
        <v>50</v>
      </c>
      <c r="H500" s="103" t="s">
        <v>2168</v>
      </c>
      <c r="I500" s="103" t="s">
        <v>2153</v>
      </c>
      <c r="J500" s="103">
        <v>10</v>
      </c>
      <c r="K500" s="103">
        <v>20</v>
      </c>
      <c r="L500" s="103">
        <v>10</v>
      </c>
      <c r="M500" s="103">
        <v>10</v>
      </c>
      <c r="N500" s="103" t="s">
        <v>2163</v>
      </c>
      <c r="O500" s="103">
        <v>50</v>
      </c>
      <c r="P500" s="103" t="s">
        <v>1706</v>
      </c>
      <c r="Q500" s="103" t="s">
        <v>2155</v>
      </c>
      <c r="R500" s="103" t="s">
        <v>2220</v>
      </c>
      <c r="U500" s="103">
        <v>24.6</v>
      </c>
      <c r="V500" s="103" t="s">
        <v>2239</v>
      </c>
      <c r="W500" s="103" t="s">
        <v>123</v>
      </c>
      <c r="X500" s="103" t="s">
        <v>1945</v>
      </c>
      <c r="Y500" s="103" t="s">
        <v>1685</v>
      </c>
      <c r="AA500" s="103" t="s">
        <v>2220</v>
      </c>
      <c r="AB500" s="103" t="s">
        <v>71</v>
      </c>
      <c r="AE500" s="103" t="s">
        <v>1708</v>
      </c>
      <c r="AF500" s="103" t="b">
        <v>1</v>
      </c>
    </row>
    <row r="501" spans="1:32" hidden="1" x14ac:dyDescent="0.2">
      <c r="A501" s="103" t="s">
        <v>661</v>
      </c>
      <c r="B501" s="103" t="s">
        <v>1707</v>
      </c>
      <c r="C501" s="103" t="s">
        <v>2700</v>
      </c>
      <c r="E501" s="103" t="s">
        <v>123</v>
      </c>
      <c r="F501" s="103" t="s">
        <v>2151</v>
      </c>
      <c r="G501" s="103">
        <v>100</v>
      </c>
      <c r="H501" s="103" t="s">
        <v>2168</v>
      </c>
      <c r="I501" s="103" t="s">
        <v>2153</v>
      </c>
      <c r="J501" s="103">
        <v>25</v>
      </c>
      <c r="K501" s="103">
        <v>25</v>
      </c>
      <c r="L501" s="103">
        <v>25</v>
      </c>
      <c r="M501" s="103">
        <v>25</v>
      </c>
      <c r="N501" s="103" t="s">
        <v>2163</v>
      </c>
      <c r="O501" s="103">
        <v>100</v>
      </c>
      <c r="P501" s="103" t="s">
        <v>1706</v>
      </c>
      <c r="Q501" s="103" t="s">
        <v>2155</v>
      </c>
      <c r="R501" s="103" t="s">
        <v>2220</v>
      </c>
      <c r="U501" s="103">
        <v>49.2</v>
      </c>
      <c r="V501" s="103" t="s">
        <v>2239</v>
      </c>
      <c r="W501" s="103" t="s">
        <v>123</v>
      </c>
      <c r="X501" s="103" t="s">
        <v>1945</v>
      </c>
      <c r="Y501" s="103" t="s">
        <v>1685</v>
      </c>
      <c r="AA501" s="103" t="s">
        <v>2220</v>
      </c>
      <c r="AB501" s="103" t="s">
        <v>71</v>
      </c>
      <c r="AE501" s="103" t="s">
        <v>1708</v>
      </c>
      <c r="AF501" s="103" t="b">
        <v>1</v>
      </c>
    </row>
    <row r="502" spans="1:32" hidden="1" x14ac:dyDescent="0.2">
      <c r="A502" s="103" t="s">
        <v>661</v>
      </c>
      <c r="B502" s="103" t="s">
        <v>1707</v>
      </c>
      <c r="C502" s="103" t="s">
        <v>2701</v>
      </c>
      <c r="E502" s="103" t="s">
        <v>123</v>
      </c>
      <c r="F502" s="103" t="s">
        <v>2232</v>
      </c>
      <c r="G502" s="103">
        <v>300</v>
      </c>
      <c r="H502" s="103" t="s">
        <v>2168</v>
      </c>
      <c r="I502" s="103" t="s">
        <v>2153</v>
      </c>
      <c r="J502" s="103">
        <v>75</v>
      </c>
      <c r="K502" s="103">
        <v>75</v>
      </c>
      <c r="L502" s="103">
        <v>75</v>
      </c>
      <c r="M502" s="103">
        <v>75</v>
      </c>
      <c r="N502" s="103" t="s">
        <v>2163</v>
      </c>
      <c r="O502" s="103">
        <v>300</v>
      </c>
      <c r="P502" s="103" t="s">
        <v>1706</v>
      </c>
      <c r="Q502" s="103" t="s">
        <v>2155</v>
      </c>
      <c r="R502" s="103" t="s">
        <v>2220</v>
      </c>
      <c r="U502" s="103">
        <v>147.6</v>
      </c>
      <c r="V502" s="103" t="s">
        <v>2239</v>
      </c>
      <c r="W502" s="103" t="s">
        <v>123</v>
      </c>
      <c r="X502" s="103" t="s">
        <v>1945</v>
      </c>
      <c r="Y502" s="103" t="s">
        <v>1685</v>
      </c>
      <c r="AA502" s="103" t="s">
        <v>2220</v>
      </c>
      <c r="AB502" s="103" t="s">
        <v>71</v>
      </c>
      <c r="AE502" s="103" t="s">
        <v>1708</v>
      </c>
      <c r="AF502" s="103" t="b">
        <v>1</v>
      </c>
    </row>
    <row r="503" spans="1:32" hidden="1" x14ac:dyDescent="0.2">
      <c r="A503" s="103" t="s">
        <v>662</v>
      </c>
      <c r="B503" s="103" t="s">
        <v>1710</v>
      </c>
      <c r="C503" s="103" t="s">
        <v>2702</v>
      </c>
      <c r="E503" s="103" t="s">
        <v>123</v>
      </c>
      <c r="F503" s="103" t="s">
        <v>2226</v>
      </c>
      <c r="G503" s="103">
        <v>460</v>
      </c>
      <c r="H503" s="103" t="s">
        <v>2152</v>
      </c>
      <c r="I503" s="103" t="s">
        <v>2153</v>
      </c>
      <c r="J503" s="103">
        <v>50</v>
      </c>
      <c r="K503" s="103">
        <v>70</v>
      </c>
      <c r="L503" s="103">
        <v>170</v>
      </c>
      <c r="M503" s="103">
        <v>170</v>
      </c>
      <c r="N503" s="103" t="s">
        <v>2163</v>
      </c>
      <c r="O503" s="103">
        <v>460</v>
      </c>
      <c r="P503" s="103" t="s">
        <v>1706</v>
      </c>
      <c r="Q503" s="103" t="s">
        <v>2155</v>
      </c>
      <c r="R503" s="103" t="s">
        <v>2220</v>
      </c>
      <c r="U503" s="103">
        <v>226.32</v>
      </c>
      <c r="V503" s="103" t="s">
        <v>2239</v>
      </c>
      <c r="W503" s="103" t="s">
        <v>123</v>
      </c>
      <c r="X503" s="103" t="s">
        <v>1945</v>
      </c>
      <c r="Y503" s="103" t="s">
        <v>1685</v>
      </c>
      <c r="AA503" s="103" t="s">
        <v>2220</v>
      </c>
      <c r="AB503" s="103" t="s">
        <v>71</v>
      </c>
      <c r="AE503" s="103" t="s">
        <v>1708</v>
      </c>
      <c r="AF503" s="103" t="b">
        <v>1</v>
      </c>
    </row>
    <row r="504" spans="1:32" hidden="1" x14ac:dyDescent="0.2">
      <c r="A504" s="103" t="s">
        <v>662</v>
      </c>
      <c r="B504" s="103" t="s">
        <v>1710</v>
      </c>
      <c r="C504" s="103" t="s">
        <v>2703</v>
      </c>
      <c r="E504" s="103" t="s">
        <v>123</v>
      </c>
      <c r="F504" s="103" t="s">
        <v>2162</v>
      </c>
      <c r="G504" s="103">
        <v>70</v>
      </c>
      <c r="H504" s="103" t="s">
        <v>2152</v>
      </c>
      <c r="I504" s="103" t="s">
        <v>2153</v>
      </c>
      <c r="J504" s="103">
        <v>10</v>
      </c>
      <c r="K504" s="103">
        <v>10</v>
      </c>
      <c r="L504" s="103">
        <v>20</v>
      </c>
      <c r="M504" s="103">
        <v>30</v>
      </c>
      <c r="N504" s="103" t="s">
        <v>2163</v>
      </c>
      <c r="O504" s="103">
        <v>70</v>
      </c>
      <c r="P504" s="103" t="s">
        <v>1706</v>
      </c>
      <c r="Q504" s="103" t="s">
        <v>2155</v>
      </c>
      <c r="R504" s="103" t="s">
        <v>2220</v>
      </c>
      <c r="U504" s="103">
        <v>34.44</v>
      </c>
      <c r="V504" s="103" t="s">
        <v>2239</v>
      </c>
      <c r="W504" s="103" t="s">
        <v>123</v>
      </c>
      <c r="X504" s="103" t="s">
        <v>1945</v>
      </c>
      <c r="Y504" s="103" t="s">
        <v>1685</v>
      </c>
      <c r="AA504" s="103" t="s">
        <v>2220</v>
      </c>
      <c r="AB504" s="103" t="s">
        <v>71</v>
      </c>
      <c r="AE504" s="103" t="s">
        <v>1708</v>
      </c>
      <c r="AF504" s="103" t="b">
        <v>1</v>
      </c>
    </row>
    <row r="505" spans="1:32" hidden="1" x14ac:dyDescent="0.2">
      <c r="A505" s="103" t="s">
        <v>662</v>
      </c>
      <c r="B505" s="103" t="s">
        <v>1710</v>
      </c>
      <c r="C505" s="103" t="s">
        <v>2704</v>
      </c>
      <c r="E505" s="103" t="s">
        <v>123</v>
      </c>
      <c r="F505" s="103" t="s">
        <v>2151</v>
      </c>
      <c r="G505" s="103">
        <v>120</v>
      </c>
      <c r="H505" s="103" t="s">
        <v>2152</v>
      </c>
      <c r="I505" s="103" t="s">
        <v>2153</v>
      </c>
      <c r="J505" s="103">
        <v>20</v>
      </c>
      <c r="K505" s="103">
        <v>20</v>
      </c>
      <c r="L505" s="103">
        <v>40</v>
      </c>
      <c r="M505" s="103">
        <v>40</v>
      </c>
      <c r="N505" s="103" t="s">
        <v>2163</v>
      </c>
      <c r="O505" s="103">
        <v>120</v>
      </c>
      <c r="P505" s="103" t="s">
        <v>1706</v>
      </c>
      <c r="Q505" s="103" t="s">
        <v>2155</v>
      </c>
      <c r="R505" s="103" t="s">
        <v>2220</v>
      </c>
      <c r="U505" s="103">
        <v>59.04</v>
      </c>
      <c r="V505" s="103" t="s">
        <v>2239</v>
      </c>
      <c r="W505" s="103" t="s">
        <v>123</v>
      </c>
      <c r="X505" s="103" t="s">
        <v>1945</v>
      </c>
      <c r="Y505" s="103" t="s">
        <v>1685</v>
      </c>
      <c r="AA505" s="103" t="s">
        <v>2220</v>
      </c>
      <c r="AB505" s="103" t="s">
        <v>71</v>
      </c>
      <c r="AE505" s="103" t="s">
        <v>1708</v>
      </c>
      <c r="AF505" s="103" t="b">
        <v>1</v>
      </c>
    </row>
    <row r="506" spans="1:32" hidden="1" x14ac:dyDescent="0.2">
      <c r="A506" s="103" t="s">
        <v>662</v>
      </c>
      <c r="B506" s="103" t="s">
        <v>1710</v>
      </c>
      <c r="C506" s="103" t="s">
        <v>2705</v>
      </c>
      <c r="E506" s="103" t="s">
        <v>123</v>
      </c>
      <c r="F506" s="103" t="s">
        <v>2151</v>
      </c>
      <c r="G506" s="103">
        <v>120</v>
      </c>
      <c r="H506" s="103" t="s">
        <v>2152</v>
      </c>
      <c r="I506" s="103" t="s">
        <v>2153</v>
      </c>
      <c r="J506" s="103">
        <v>20</v>
      </c>
      <c r="K506" s="103">
        <v>20</v>
      </c>
      <c r="L506" s="103">
        <v>40</v>
      </c>
      <c r="M506" s="103">
        <v>40</v>
      </c>
      <c r="N506" s="103" t="s">
        <v>2163</v>
      </c>
      <c r="O506" s="103">
        <v>120</v>
      </c>
      <c r="P506" s="103" t="s">
        <v>1706</v>
      </c>
      <c r="Q506" s="103" t="s">
        <v>2155</v>
      </c>
      <c r="R506" s="103" t="s">
        <v>2220</v>
      </c>
      <c r="U506" s="103">
        <v>59.04</v>
      </c>
      <c r="V506" s="103" t="s">
        <v>2239</v>
      </c>
      <c r="W506" s="103" t="s">
        <v>123</v>
      </c>
      <c r="X506" s="103" t="s">
        <v>1945</v>
      </c>
      <c r="Y506" s="103" t="s">
        <v>1685</v>
      </c>
      <c r="AA506" s="103" t="s">
        <v>2220</v>
      </c>
      <c r="AB506" s="103" t="s">
        <v>71</v>
      </c>
      <c r="AE506" s="103" t="s">
        <v>1708</v>
      </c>
      <c r="AF506" s="103" t="b">
        <v>1</v>
      </c>
    </row>
    <row r="507" spans="1:32" hidden="1" x14ac:dyDescent="0.2">
      <c r="A507" s="103" t="s">
        <v>662</v>
      </c>
      <c r="B507" s="103" t="s">
        <v>1710</v>
      </c>
      <c r="C507" s="103" t="s">
        <v>2706</v>
      </c>
      <c r="E507" s="103" t="s">
        <v>123</v>
      </c>
      <c r="F507" s="103" t="s">
        <v>2162</v>
      </c>
      <c r="G507" s="103">
        <v>50</v>
      </c>
      <c r="H507" s="103" t="s">
        <v>2168</v>
      </c>
      <c r="I507" s="103" t="s">
        <v>2153</v>
      </c>
      <c r="J507" s="103">
        <v>10</v>
      </c>
      <c r="K507" s="103">
        <v>20</v>
      </c>
      <c r="L507" s="103">
        <v>10</v>
      </c>
      <c r="M507" s="103">
        <v>10</v>
      </c>
      <c r="N507" s="103" t="s">
        <v>2163</v>
      </c>
      <c r="O507" s="103">
        <v>50</v>
      </c>
      <c r="P507" s="103" t="s">
        <v>1706</v>
      </c>
      <c r="Q507" s="103" t="s">
        <v>2155</v>
      </c>
      <c r="R507" s="103" t="s">
        <v>2220</v>
      </c>
      <c r="U507" s="103">
        <v>24.6</v>
      </c>
      <c r="V507" s="103" t="s">
        <v>2239</v>
      </c>
      <c r="W507" s="103" t="s">
        <v>123</v>
      </c>
      <c r="X507" s="103" t="s">
        <v>1945</v>
      </c>
      <c r="Y507" s="103" t="s">
        <v>1685</v>
      </c>
      <c r="AA507" s="103" t="s">
        <v>2220</v>
      </c>
      <c r="AB507" s="103" t="s">
        <v>71</v>
      </c>
      <c r="AE507" s="103" t="s">
        <v>1708</v>
      </c>
      <c r="AF507" s="103" t="b">
        <v>1</v>
      </c>
    </row>
    <row r="508" spans="1:32" hidden="1" x14ac:dyDescent="0.2">
      <c r="A508" s="103" t="s">
        <v>663</v>
      </c>
      <c r="B508" s="103" t="s">
        <v>1711</v>
      </c>
      <c r="C508" s="103" t="s">
        <v>2707</v>
      </c>
      <c r="E508" s="103" t="s">
        <v>123</v>
      </c>
      <c r="F508" s="103" t="s">
        <v>2151</v>
      </c>
      <c r="G508" s="103">
        <v>120</v>
      </c>
      <c r="H508" s="103" t="s">
        <v>2152</v>
      </c>
      <c r="I508" s="103" t="s">
        <v>2153</v>
      </c>
      <c r="J508" s="103">
        <v>30</v>
      </c>
      <c r="K508" s="103">
        <v>30</v>
      </c>
      <c r="L508" s="103">
        <v>30</v>
      </c>
      <c r="M508" s="103">
        <v>30</v>
      </c>
      <c r="N508" s="103" t="s">
        <v>2163</v>
      </c>
      <c r="O508" s="103">
        <v>120</v>
      </c>
      <c r="P508" s="103" t="s">
        <v>1706</v>
      </c>
      <c r="Q508" s="103" t="s">
        <v>2155</v>
      </c>
      <c r="R508" s="103" t="s">
        <v>2220</v>
      </c>
      <c r="U508" s="103">
        <v>59.04</v>
      </c>
      <c r="V508" s="103" t="s">
        <v>2239</v>
      </c>
      <c r="W508" s="103" t="s">
        <v>123</v>
      </c>
      <c r="X508" s="103" t="s">
        <v>1945</v>
      </c>
      <c r="Y508" s="103" t="s">
        <v>1685</v>
      </c>
      <c r="AA508" s="103" t="s">
        <v>2220</v>
      </c>
      <c r="AB508" s="103" t="s">
        <v>71</v>
      </c>
      <c r="AE508" s="103" t="s">
        <v>1708</v>
      </c>
      <c r="AF508" s="103" t="b">
        <v>1</v>
      </c>
    </row>
    <row r="509" spans="1:32" hidden="1" x14ac:dyDescent="0.2">
      <c r="A509" s="103" t="s">
        <v>663</v>
      </c>
      <c r="B509" s="103" t="s">
        <v>1711</v>
      </c>
      <c r="C509" s="103" t="s">
        <v>2708</v>
      </c>
      <c r="E509" s="103" t="s">
        <v>123</v>
      </c>
      <c r="F509" s="103" t="s">
        <v>2162</v>
      </c>
      <c r="G509" s="103">
        <v>40</v>
      </c>
      <c r="H509" s="103" t="s">
        <v>2152</v>
      </c>
      <c r="I509" s="103" t="s">
        <v>2153</v>
      </c>
      <c r="J509" s="103">
        <v>10</v>
      </c>
      <c r="K509" s="103">
        <v>10</v>
      </c>
      <c r="L509" s="103">
        <v>10</v>
      </c>
      <c r="M509" s="103">
        <v>10</v>
      </c>
      <c r="N509" s="103" t="s">
        <v>2163</v>
      </c>
      <c r="O509" s="103">
        <v>40</v>
      </c>
      <c r="P509" s="103" t="s">
        <v>1706</v>
      </c>
      <c r="Q509" s="103" t="s">
        <v>2155</v>
      </c>
      <c r="R509" s="103" t="s">
        <v>2220</v>
      </c>
      <c r="U509" s="103">
        <v>19.68</v>
      </c>
      <c r="V509" s="103" t="s">
        <v>2239</v>
      </c>
      <c r="W509" s="103" t="s">
        <v>123</v>
      </c>
      <c r="X509" s="103" t="s">
        <v>1945</v>
      </c>
      <c r="Y509" s="103" t="s">
        <v>1685</v>
      </c>
      <c r="AA509" s="103" t="s">
        <v>2220</v>
      </c>
      <c r="AB509" s="103" t="s">
        <v>71</v>
      </c>
      <c r="AE509" s="103" t="s">
        <v>1708</v>
      </c>
      <c r="AF509" s="103" t="b">
        <v>1</v>
      </c>
    </row>
    <row r="510" spans="1:32" hidden="1" x14ac:dyDescent="0.2">
      <c r="A510" s="103" t="s">
        <v>663</v>
      </c>
      <c r="B510" s="103" t="s">
        <v>1711</v>
      </c>
      <c r="C510" s="103" t="s">
        <v>2709</v>
      </c>
      <c r="E510" s="103" t="s">
        <v>123</v>
      </c>
      <c r="F510" s="103" t="s">
        <v>2151</v>
      </c>
      <c r="G510" s="103">
        <v>90</v>
      </c>
      <c r="H510" s="103" t="s">
        <v>2152</v>
      </c>
      <c r="I510" s="103" t="s">
        <v>2153</v>
      </c>
      <c r="J510" s="103">
        <v>20</v>
      </c>
      <c r="K510" s="103">
        <v>20</v>
      </c>
      <c r="L510" s="103">
        <v>25</v>
      </c>
      <c r="M510" s="103">
        <v>25</v>
      </c>
      <c r="N510" s="103" t="s">
        <v>2163</v>
      </c>
      <c r="O510" s="103">
        <v>90</v>
      </c>
      <c r="P510" s="103" t="s">
        <v>1706</v>
      </c>
      <c r="Q510" s="103" t="s">
        <v>2155</v>
      </c>
      <c r="R510" s="103" t="s">
        <v>2220</v>
      </c>
      <c r="U510" s="103">
        <v>44.28</v>
      </c>
      <c r="V510" s="103" t="s">
        <v>2239</v>
      </c>
      <c r="W510" s="103" t="s">
        <v>123</v>
      </c>
      <c r="X510" s="103" t="s">
        <v>1945</v>
      </c>
      <c r="Y510" s="103" t="s">
        <v>1685</v>
      </c>
      <c r="AA510" s="103" t="s">
        <v>2220</v>
      </c>
      <c r="AB510" s="103" t="s">
        <v>71</v>
      </c>
      <c r="AE510" s="103" t="s">
        <v>1708</v>
      </c>
      <c r="AF510" s="103" t="b">
        <v>1</v>
      </c>
    </row>
    <row r="511" spans="1:32" hidden="1" x14ac:dyDescent="0.2">
      <c r="A511" s="103" t="s">
        <v>663</v>
      </c>
      <c r="B511" s="103" t="s">
        <v>1711</v>
      </c>
      <c r="C511" s="103" t="s">
        <v>2710</v>
      </c>
      <c r="E511" s="103" t="s">
        <v>123</v>
      </c>
      <c r="F511" s="103" t="s">
        <v>2151</v>
      </c>
      <c r="G511" s="103">
        <v>70</v>
      </c>
      <c r="H511" s="103" t="s">
        <v>2152</v>
      </c>
      <c r="I511" s="103" t="s">
        <v>2153</v>
      </c>
      <c r="J511" s="103">
        <v>15</v>
      </c>
      <c r="K511" s="103">
        <v>15</v>
      </c>
      <c r="L511" s="103">
        <v>25</v>
      </c>
      <c r="M511" s="103">
        <v>15</v>
      </c>
      <c r="N511" s="103" t="s">
        <v>2163</v>
      </c>
      <c r="O511" s="103">
        <v>70</v>
      </c>
      <c r="P511" s="103" t="s">
        <v>1706</v>
      </c>
      <c r="Q511" s="103" t="s">
        <v>2155</v>
      </c>
      <c r="R511" s="103" t="s">
        <v>2220</v>
      </c>
      <c r="U511" s="103">
        <v>34.44</v>
      </c>
      <c r="V511" s="103" t="s">
        <v>2239</v>
      </c>
      <c r="W511" s="103" t="s">
        <v>123</v>
      </c>
      <c r="X511" s="103" t="s">
        <v>1945</v>
      </c>
      <c r="Y511" s="103" t="s">
        <v>1685</v>
      </c>
      <c r="AA511" s="103" t="s">
        <v>2220</v>
      </c>
      <c r="AB511" s="103" t="s">
        <v>71</v>
      </c>
      <c r="AE511" s="103" t="s">
        <v>1708</v>
      </c>
      <c r="AF511" s="103" t="b">
        <v>1</v>
      </c>
    </row>
    <row r="512" spans="1:32" hidden="1" x14ac:dyDescent="0.2">
      <c r="A512" s="103" t="s">
        <v>663</v>
      </c>
      <c r="B512" s="103" t="s">
        <v>1711</v>
      </c>
      <c r="C512" s="103" t="s">
        <v>2711</v>
      </c>
      <c r="E512" s="103" t="s">
        <v>123</v>
      </c>
      <c r="F512" s="103" t="s">
        <v>2232</v>
      </c>
      <c r="G512" s="103">
        <v>360</v>
      </c>
      <c r="H512" s="103" t="s">
        <v>2152</v>
      </c>
      <c r="I512" s="103" t="s">
        <v>2153</v>
      </c>
      <c r="J512" s="103">
        <v>50</v>
      </c>
      <c r="K512" s="103">
        <v>50</v>
      </c>
      <c r="L512" s="103">
        <v>160</v>
      </c>
      <c r="M512" s="103">
        <v>100</v>
      </c>
      <c r="N512" s="103" t="s">
        <v>2163</v>
      </c>
      <c r="O512" s="103">
        <v>360</v>
      </c>
      <c r="P512" s="103" t="s">
        <v>1706</v>
      </c>
      <c r="Q512" s="103" t="s">
        <v>2155</v>
      </c>
      <c r="R512" s="103" t="s">
        <v>2220</v>
      </c>
      <c r="U512" s="103">
        <v>177.12</v>
      </c>
      <c r="V512" s="103" t="s">
        <v>2239</v>
      </c>
      <c r="W512" s="103" t="s">
        <v>123</v>
      </c>
      <c r="X512" s="103" t="s">
        <v>1945</v>
      </c>
      <c r="Y512" s="103" t="s">
        <v>1685</v>
      </c>
      <c r="AA512" s="103" t="s">
        <v>2220</v>
      </c>
      <c r="AB512" s="103" t="s">
        <v>71</v>
      </c>
      <c r="AE512" s="103" t="s">
        <v>1708</v>
      </c>
      <c r="AF512" s="103" t="b">
        <v>1</v>
      </c>
    </row>
    <row r="513" spans="1:32" hidden="1" x14ac:dyDescent="0.2">
      <c r="A513" s="103" t="s">
        <v>663</v>
      </c>
      <c r="B513" s="103" t="s">
        <v>1711</v>
      </c>
      <c r="C513" s="103" t="s">
        <v>2712</v>
      </c>
      <c r="E513" s="103" t="s">
        <v>123</v>
      </c>
      <c r="F513" s="103" t="s">
        <v>2151</v>
      </c>
      <c r="G513" s="103">
        <v>100</v>
      </c>
      <c r="H513" s="103" t="s">
        <v>2152</v>
      </c>
      <c r="I513" s="103" t="s">
        <v>2153</v>
      </c>
      <c r="J513" s="103">
        <v>25</v>
      </c>
      <c r="K513" s="103">
        <v>25</v>
      </c>
      <c r="L513" s="103">
        <v>25</v>
      </c>
      <c r="M513" s="103">
        <v>25</v>
      </c>
      <c r="N513" s="103" t="s">
        <v>2163</v>
      </c>
      <c r="O513" s="103">
        <v>100</v>
      </c>
      <c r="P513" s="103" t="s">
        <v>1706</v>
      </c>
      <c r="Q513" s="103" t="s">
        <v>2155</v>
      </c>
      <c r="R513" s="103" t="s">
        <v>2220</v>
      </c>
      <c r="U513" s="103">
        <v>49.2</v>
      </c>
      <c r="V513" s="103" t="s">
        <v>2239</v>
      </c>
      <c r="W513" s="103" t="s">
        <v>123</v>
      </c>
      <c r="X513" s="103" t="s">
        <v>1945</v>
      </c>
      <c r="Y513" s="103" t="s">
        <v>1685</v>
      </c>
      <c r="AA513" s="103" t="s">
        <v>2220</v>
      </c>
      <c r="AB513" s="103" t="s">
        <v>71</v>
      </c>
      <c r="AE513" s="103" t="s">
        <v>1708</v>
      </c>
      <c r="AF513" s="103" t="b">
        <v>1</v>
      </c>
    </row>
    <row r="514" spans="1:32" hidden="1" x14ac:dyDescent="0.2">
      <c r="A514" s="103" t="s">
        <v>663</v>
      </c>
      <c r="B514" s="103" t="s">
        <v>1711</v>
      </c>
      <c r="C514" s="103" t="s">
        <v>2713</v>
      </c>
      <c r="E514" s="103" t="s">
        <v>123</v>
      </c>
      <c r="F514" s="103" t="s">
        <v>2151</v>
      </c>
      <c r="G514" s="103">
        <v>130</v>
      </c>
      <c r="H514" s="103" t="s">
        <v>2152</v>
      </c>
      <c r="I514" s="103" t="s">
        <v>2153</v>
      </c>
      <c r="J514" s="103">
        <v>30</v>
      </c>
      <c r="K514" s="103">
        <v>40</v>
      </c>
      <c r="L514" s="103">
        <v>30</v>
      </c>
      <c r="M514" s="103">
        <v>30</v>
      </c>
      <c r="N514" s="103" t="s">
        <v>2163</v>
      </c>
      <c r="O514" s="103">
        <v>130</v>
      </c>
      <c r="P514" s="103" t="s">
        <v>1706</v>
      </c>
      <c r="Q514" s="103" t="s">
        <v>2155</v>
      </c>
      <c r="R514" s="103" t="s">
        <v>2220</v>
      </c>
      <c r="U514" s="103">
        <v>63.96</v>
      </c>
      <c r="V514" s="103" t="s">
        <v>2239</v>
      </c>
      <c r="W514" s="103" t="s">
        <v>123</v>
      </c>
      <c r="X514" s="103" t="s">
        <v>1945</v>
      </c>
      <c r="Y514" s="103" t="s">
        <v>1685</v>
      </c>
      <c r="AA514" s="103" t="s">
        <v>2220</v>
      </c>
      <c r="AB514" s="103" t="s">
        <v>71</v>
      </c>
      <c r="AE514" s="103" t="s">
        <v>1708</v>
      </c>
      <c r="AF514" s="103" t="b">
        <v>1</v>
      </c>
    </row>
    <row r="515" spans="1:32" hidden="1" x14ac:dyDescent="0.2">
      <c r="A515" s="103" t="s">
        <v>663</v>
      </c>
      <c r="B515" s="103" t="s">
        <v>1711</v>
      </c>
      <c r="C515" s="103" t="s">
        <v>2714</v>
      </c>
      <c r="E515" s="103" t="s">
        <v>123</v>
      </c>
      <c r="F515" s="103" t="s">
        <v>2175</v>
      </c>
      <c r="G515" s="103">
        <v>20</v>
      </c>
      <c r="H515" s="103" t="s">
        <v>2168</v>
      </c>
      <c r="I515" s="103" t="s">
        <v>2153</v>
      </c>
      <c r="J515" s="103">
        <v>5</v>
      </c>
      <c r="K515" s="103">
        <v>5</v>
      </c>
      <c r="L515" s="103">
        <v>5</v>
      </c>
      <c r="M515" s="103">
        <v>5</v>
      </c>
      <c r="N515" s="103" t="s">
        <v>2163</v>
      </c>
      <c r="O515" s="103">
        <v>20</v>
      </c>
      <c r="P515" s="103" t="s">
        <v>1706</v>
      </c>
      <c r="Q515" s="103" t="s">
        <v>2387</v>
      </c>
      <c r="R515" s="103" t="s">
        <v>2220</v>
      </c>
      <c r="U515" s="103">
        <v>9.84</v>
      </c>
      <c r="V515" s="103" t="s">
        <v>2239</v>
      </c>
      <c r="W515" s="103" t="s">
        <v>123</v>
      </c>
      <c r="X515" s="103" t="s">
        <v>1945</v>
      </c>
      <c r="Y515" s="103" t="s">
        <v>1685</v>
      </c>
      <c r="AA515" s="103" t="s">
        <v>2220</v>
      </c>
      <c r="AB515" s="103" t="s">
        <v>71</v>
      </c>
      <c r="AE515" s="103" t="s">
        <v>1708</v>
      </c>
      <c r="AF515" s="103" t="b">
        <v>1</v>
      </c>
    </row>
    <row r="516" spans="1:32" hidden="1" x14ac:dyDescent="0.2">
      <c r="A516" s="103" t="s">
        <v>663</v>
      </c>
      <c r="B516" s="103" t="s">
        <v>1711</v>
      </c>
      <c r="C516" s="103" t="s">
        <v>2715</v>
      </c>
      <c r="E516" s="103" t="s">
        <v>123</v>
      </c>
      <c r="F516" s="103" t="s">
        <v>2202</v>
      </c>
      <c r="G516" s="103">
        <v>200</v>
      </c>
      <c r="H516" s="103" t="s">
        <v>2168</v>
      </c>
      <c r="I516" s="103" t="s">
        <v>2153</v>
      </c>
      <c r="J516" s="103">
        <v>50</v>
      </c>
      <c r="K516" s="103">
        <v>50</v>
      </c>
      <c r="L516" s="103">
        <v>50</v>
      </c>
      <c r="M516" s="103">
        <v>50</v>
      </c>
      <c r="N516" s="103" t="s">
        <v>2163</v>
      </c>
      <c r="O516" s="103">
        <v>200</v>
      </c>
      <c r="P516" s="103" t="s">
        <v>1706</v>
      </c>
      <c r="Q516" s="103" t="s">
        <v>2387</v>
      </c>
      <c r="R516" s="103" t="s">
        <v>2220</v>
      </c>
      <c r="U516" s="103">
        <v>98.4</v>
      </c>
      <c r="V516" s="103" t="s">
        <v>2239</v>
      </c>
      <c r="W516" s="103" t="s">
        <v>123</v>
      </c>
      <c r="X516" s="103" t="s">
        <v>1945</v>
      </c>
      <c r="Y516" s="103" t="s">
        <v>1685</v>
      </c>
      <c r="AA516" s="103" t="s">
        <v>2220</v>
      </c>
      <c r="AB516" s="103" t="s">
        <v>71</v>
      </c>
      <c r="AE516" s="103" t="s">
        <v>1708</v>
      </c>
      <c r="AF516" s="103" t="b">
        <v>1</v>
      </c>
    </row>
    <row r="517" spans="1:32" hidden="1" x14ac:dyDescent="0.2">
      <c r="A517" s="103" t="s">
        <v>665</v>
      </c>
      <c r="B517" s="103" t="s">
        <v>1713</v>
      </c>
      <c r="C517" s="103" t="s">
        <v>2716</v>
      </c>
      <c r="D517" s="103" t="s">
        <v>2717</v>
      </c>
      <c r="E517" s="103" t="s">
        <v>2605</v>
      </c>
      <c r="F517" s="103" t="s">
        <v>2202</v>
      </c>
      <c r="G517" s="103">
        <v>300</v>
      </c>
      <c r="H517" s="103" t="s">
        <v>2152</v>
      </c>
      <c r="I517" s="103" t="s">
        <v>2153</v>
      </c>
      <c r="K517" s="103">
        <v>100</v>
      </c>
      <c r="L517" s="103">
        <v>100</v>
      </c>
      <c r="M517" s="103">
        <v>100</v>
      </c>
      <c r="N517" s="103" t="s">
        <v>2154</v>
      </c>
      <c r="O517" s="103">
        <v>300</v>
      </c>
      <c r="P517" s="103" t="s">
        <v>1679</v>
      </c>
      <c r="Q517" s="103" t="s">
        <v>2236</v>
      </c>
      <c r="R517" s="103" t="s">
        <v>2225</v>
      </c>
      <c r="S517" s="103" t="s">
        <v>2251</v>
      </c>
      <c r="U517" s="103">
        <v>144.9</v>
      </c>
      <c r="V517" s="103" t="s">
        <v>2158</v>
      </c>
      <c r="W517" s="103" t="s">
        <v>106</v>
      </c>
      <c r="X517" s="103" t="s">
        <v>345</v>
      </c>
      <c r="Y517" s="103" t="s">
        <v>2240</v>
      </c>
      <c r="AA517" s="103" t="s">
        <v>2225</v>
      </c>
      <c r="AB517" s="103" t="s">
        <v>64</v>
      </c>
      <c r="AE517" s="103" t="s">
        <v>750</v>
      </c>
      <c r="AF517" s="103" t="b">
        <v>1</v>
      </c>
    </row>
    <row r="518" spans="1:32" hidden="1" x14ac:dyDescent="0.2">
      <c r="A518" s="103" t="s">
        <v>666</v>
      </c>
      <c r="B518" s="103" t="s">
        <v>1714</v>
      </c>
      <c r="C518" s="103" t="s">
        <v>2718</v>
      </c>
      <c r="D518" s="103" t="s">
        <v>2719</v>
      </c>
      <c r="E518" s="103" t="s">
        <v>2605</v>
      </c>
      <c r="F518" s="103" t="s">
        <v>2202</v>
      </c>
      <c r="G518" s="103">
        <v>300</v>
      </c>
      <c r="H518" s="103" t="s">
        <v>2152</v>
      </c>
      <c r="I518" s="103" t="s">
        <v>2153</v>
      </c>
      <c r="K518" s="103">
        <v>100</v>
      </c>
      <c r="L518" s="103">
        <v>100</v>
      </c>
      <c r="M518" s="103">
        <v>100</v>
      </c>
      <c r="N518" s="103" t="s">
        <v>2154</v>
      </c>
      <c r="O518" s="103">
        <v>300</v>
      </c>
      <c r="P518" s="103" t="s">
        <v>1679</v>
      </c>
      <c r="Q518" s="103" t="s">
        <v>2236</v>
      </c>
      <c r="R518" s="103" t="s">
        <v>2225</v>
      </c>
      <c r="S518" s="103" t="s">
        <v>2251</v>
      </c>
      <c r="T518" s="103" t="s">
        <v>2720</v>
      </c>
      <c r="U518" s="103">
        <v>144.9</v>
      </c>
      <c r="V518" s="103" t="s">
        <v>2158</v>
      </c>
      <c r="W518" s="103" t="s">
        <v>106</v>
      </c>
      <c r="X518" s="103" t="s">
        <v>345</v>
      </c>
      <c r="Y518" s="103" t="s">
        <v>2240</v>
      </c>
      <c r="AA518" s="103" t="s">
        <v>2225</v>
      </c>
      <c r="AB518" s="103" t="s">
        <v>64</v>
      </c>
      <c r="AE518" s="103" t="s">
        <v>750</v>
      </c>
      <c r="AF518" s="103" t="b">
        <v>1</v>
      </c>
    </row>
    <row r="519" spans="1:32" hidden="1" x14ac:dyDescent="0.2">
      <c r="A519" s="103" t="s">
        <v>669</v>
      </c>
      <c r="B519" s="103" t="s">
        <v>668</v>
      </c>
      <c r="C519" s="103" t="s">
        <v>2721</v>
      </c>
      <c r="E519" s="103" t="s">
        <v>2206</v>
      </c>
      <c r="F519" s="103" t="s">
        <v>2226</v>
      </c>
      <c r="G519" s="103">
        <v>600</v>
      </c>
      <c r="H519" s="103" t="s">
        <v>2152</v>
      </c>
      <c r="I519" s="103" t="s">
        <v>2153</v>
      </c>
      <c r="J519" s="103">
        <v>150</v>
      </c>
      <c r="K519" s="103">
        <v>150</v>
      </c>
      <c r="L519" s="103">
        <v>150</v>
      </c>
      <c r="M519" s="103">
        <v>150</v>
      </c>
      <c r="N519" s="103" t="s">
        <v>2163</v>
      </c>
      <c r="O519" s="103">
        <v>600</v>
      </c>
      <c r="P519" s="103" t="s">
        <v>820</v>
      </c>
      <c r="Q519" s="103" t="s">
        <v>2155</v>
      </c>
      <c r="R519" s="103" t="s">
        <v>121</v>
      </c>
      <c r="S519" s="103" t="s">
        <v>2427</v>
      </c>
      <c r="T519" s="103" t="s">
        <v>2722</v>
      </c>
      <c r="U519" s="103">
        <v>307.8</v>
      </c>
      <c r="V519" s="103" t="s">
        <v>2158</v>
      </c>
      <c r="W519" s="103" t="s">
        <v>121</v>
      </c>
      <c r="X519" s="103" t="s">
        <v>1597</v>
      </c>
      <c r="Y519" s="103" t="s">
        <v>1685</v>
      </c>
      <c r="AA519" s="103" t="s">
        <v>121</v>
      </c>
      <c r="AB519" s="103" t="s">
        <v>71</v>
      </c>
      <c r="AE519" s="103" t="s">
        <v>898</v>
      </c>
      <c r="AF519" s="103" t="b">
        <v>1</v>
      </c>
    </row>
    <row r="520" spans="1:32" hidden="1" x14ac:dyDescent="0.2">
      <c r="A520" s="103" t="s">
        <v>672</v>
      </c>
      <c r="B520" s="103" t="s">
        <v>671</v>
      </c>
      <c r="C520" s="103" t="s">
        <v>2723</v>
      </c>
      <c r="D520" s="103" t="s">
        <v>2724</v>
      </c>
      <c r="E520" s="103" t="s">
        <v>2206</v>
      </c>
      <c r="F520" s="103" t="s">
        <v>2202</v>
      </c>
      <c r="G520" s="103">
        <v>250</v>
      </c>
      <c r="H520" s="103" t="s">
        <v>2152</v>
      </c>
      <c r="I520" s="103" t="s">
        <v>2153</v>
      </c>
      <c r="J520" s="103">
        <v>100</v>
      </c>
      <c r="K520" s="103">
        <v>50</v>
      </c>
      <c r="L520" s="103">
        <v>50</v>
      </c>
      <c r="M520" s="103">
        <v>50</v>
      </c>
      <c r="N520" s="103" t="s">
        <v>2163</v>
      </c>
      <c r="O520" s="103">
        <v>250</v>
      </c>
      <c r="P520" s="103" t="s">
        <v>1706</v>
      </c>
      <c r="Q520" s="103" t="s">
        <v>2155</v>
      </c>
      <c r="R520" s="103" t="s">
        <v>121</v>
      </c>
      <c r="S520" s="103" t="s">
        <v>2427</v>
      </c>
      <c r="T520" s="103" t="s">
        <v>2722</v>
      </c>
      <c r="U520" s="103">
        <v>128.25</v>
      </c>
      <c r="V520" s="103" t="s">
        <v>2158</v>
      </c>
      <c r="W520" s="103" t="s">
        <v>121</v>
      </c>
      <c r="X520" s="103">
        <v>0</v>
      </c>
      <c r="Y520" s="103" t="s">
        <v>1685</v>
      </c>
      <c r="AA520" s="103" t="s">
        <v>121</v>
      </c>
      <c r="AB520" s="103" t="s">
        <v>71</v>
      </c>
      <c r="AE520" s="103" t="s">
        <v>810</v>
      </c>
      <c r="AF520" s="103" t="b">
        <v>1</v>
      </c>
    </row>
    <row r="521" spans="1:32" hidden="1" x14ac:dyDescent="0.2">
      <c r="A521" s="103" t="s">
        <v>785</v>
      </c>
      <c r="B521" s="103" t="s">
        <v>784</v>
      </c>
      <c r="C521" s="103" t="s">
        <v>2884</v>
      </c>
      <c r="E521" s="103" t="s">
        <v>2242</v>
      </c>
      <c r="F521" s="103" t="s">
        <v>2162</v>
      </c>
      <c r="G521" s="103">
        <v>20</v>
      </c>
      <c r="H521" s="103" t="s">
        <v>2152</v>
      </c>
      <c r="I521" s="103" t="s">
        <v>2153</v>
      </c>
      <c r="K521" s="103">
        <v>20</v>
      </c>
      <c r="N521" s="103" t="s">
        <v>2163</v>
      </c>
      <c r="O521" s="103">
        <v>20</v>
      </c>
      <c r="P521" s="103" t="s">
        <v>1609</v>
      </c>
      <c r="Q521" s="103" t="s">
        <v>2155</v>
      </c>
      <c r="R521" s="103" t="s">
        <v>2225</v>
      </c>
      <c r="S521" s="103" t="s">
        <v>2192</v>
      </c>
      <c r="U521" s="103">
        <v>9.66</v>
      </c>
      <c r="V521" s="103" t="s">
        <v>2158</v>
      </c>
      <c r="W521" s="103" t="s">
        <v>106</v>
      </c>
      <c r="X521" s="103" t="s">
        <v>1685</v>
      </c>
      <c r="Y521" s="103" t="s">
        <v>1685</v>
      </c>
      <c r="AA521" s="103" t="s">
        <v>2225</v>
      </c>
      <c r="AB521" s="103" t="s">
        <v>71</v>
      </c>
      <c r="AE521" s="103" t="s">
        <v>898</v>
      </c>
      <c r="AF521" s="103" t="b">
        <v>1</v>
      </c>
    </row>
    <row r="522" spans="1:32" hidden="1" x14ac:dyDescent="0.2">
      <c r="A522" s="103" t="s">
        <v>921</v>
      </c>
      <c r="B522" s="103" t="s">
        <v>920</v>
      </c>
      <c r="C522" s="103" t="s">
        <v>3187</v>
      </c>
      <c r="D522" s="103" t="s">
        <v>3855</v>
      </c>
      <c r="E522" s="103" t="s">
        <v>2642</v>
      </c>
      <c r="F522" s="103" t="s">
        <v>2151</v>
      </c>
      <c r="G522" s="103">
        <v>100</v>
      </c>
      <c r="H522" s="103" t="s">
        <v>2168</v>
      </c>
      <c r="I522" s="103" t="s">
        <v>2153</v>
      </c>
      <c r="J522" s="103">
        <v>25</v>
      </c>
      <c r="K522" s="103">
        <v>25</v>
      </c>
      <c r="L522" s="103">
        <v>25</v>
      </c>
      <c r="M522" s="103">
        <v>25</v>
      </c>
      <c r="N522" s="103" t="s">
        <v>2163</v>
      </c>
      <c r="O522" s="103">
        <v>100</v>
      </c>
      <c r="P522" s="103" t="s">
        <v>1609</v>
      </c>
      <c r="Q522" s="103" t="s">
        <v>2155</v>
      </c>
      <c r="R522" s="103" t="s">
        <v>2225</v>
      </c>
      <c r="S522" s="103" t="s">
        <v>2251</v>
      </c>
      <c r="U522" s="103">
        <v>48.3</v>
      </c>
      <c r="V522" s="103" t="s">
        <v>2158</v>
      </c>
      <c r="W522" s="103" t="s">
        <v>106</v>
      </c>
      <c r="X522" s="103" t="s">
        <v>1597</v>
      </c>
      <c r="Y522" s="103" t="s">
        <v>1685</v>
      </c>
      <c r="AA522" s="103" t="s">
        <v>2225</v>
      </c>
      <c r="AB522" s="103" t="s">
        <v>64</v>
      </c>
      <c r="AE522" s="103" t="s">
        <v>750</v>
      </c>
      <c r="AF522" s="103" t="b">
        <v>1</v>
      </c>
    </row>
    <row r="523" spans="1:32" hidden="1" x14ac:dyDescent="0.2">
      <c r="A523" s="103" t="s">
        <v>677</v>
      </c>
      <c r="B523" s="103" t="s">
        <v>1719</v>
      </c>
      <c r="C523" s="103" t="s">
        <v>2726</v>
      </c>
      <c r="D523" s="103" t="s">
        <v>2727</v>
      </c>
      <c r="E523" s="103" t="s">
        <v>2562</v>
      </c>
      <c r="F523" s="103" t="s">
        <v>2202</v>
      </c>
      <c r="G523" s="103">
        <v>100</v>
      </c>
      <c r="H523" s="103" t="s">
        <v>2152</v>
      </c>
      <c r="I523" s="103" t="s">
        <v>2153</v>
      </c>
      <c r="K523" s="103">
        <v>100</v>
      </c>
      <c r="N523" s="103" t="s">
        <v>2154</v>
      </c>
      <c r="O523" s="103">
        <v>100</v>
      </c>
      <c r="P523" s="103" t="s">
        <v>1679</v>
      </c>
      <c r="Q523" s="103" t="s">
        <v>2236</v>
      </c>
      <c r="R523" s="103" t="s">
        <v>2225</v>
      </c>
      <c r="S523" s="103" t="s">
        <v>2238</v>
      </c>
      <c r="U523" s="103">
        <v>48.3</v>
      </c>
      <c r="V523" s="103" t="s">
        <v>2158</v>
      </c>
      <c r="W523" s="103" t="s">
        <v>106</v>
      </c>
      <c r="X523" s="103" t="s">
        <v>345</v>
      </c>
      <c r="Y523" s="103" t="s">
        <v>2240</v>
      </c>
      <c r="AA523" s="103" t="s">
        <v>2225</v>
      </c>
      <c r="AB523" s="103" t="s">
        <v>64</v>
      </c>
      <c r="AE523" s="103" t="s">
        <v>750</v>
      </c>
      <c r="AF523" s="103" t="b">
        <v>1</v>
      </c>
    </row>
    <row r="524" spans="1:32" hidden="1" x14ac:dyDescent="0.2">
      <c r="A524" s="103" t="s">
        <v>677</v>
      </c>
      <c r="B524" s="103" t="s">
        <v>1719</v>
      </c>
      <c r="C524" s="103" t="s">
        <v>2726</v>
      </c>
      <c r="D524" s="103" t="s">
        <v>2727</v>
      </c>
      <c r="E524" s="103" t="s">
        <v>2605</v>
      </c>
      <c r="F524" s="103" t="s">
        <v>2202</v>
      </c>
      <c r="G524" s="103">
        <v>250</v>
      </c>
      <c r="H524" s="103" t="s">
        <v>2152</v>
      </c>
      <c r="I524" s="103" t="s">
        <v>2153</v>
      </c>
      <c r="J524" s="103">
        <v>150</v>
      </c>
      <c r="K524" s="103">
        <v>100</v>
      </c>
      <c r="N524" s="103" t="s">
        <v>2154</v>
      </c>
      <c r="O524" s="103">
        <v>250</v>
      </c>
      <c r="P524" s="103" t="s">
        <v>1679</v>
      </c>
      <c r="Q524" s="103" t="s">
        <v>2236</v>
      </c>
      <c r="R524" s="103" t="s">
        <v>2225</v>
      </c>
      <c r="S524" s="103" t="s">
        <v>2251</v>
      </c>
      <c r="U524" s="103">
        <v>120.75</v>
      </c>
      <c r="V524" s="103" t="s">
        <v>2158</v>
      </c>
      <c r="W524" s="103" t="s">
        <v>106</v>
      </c>
      <c r="X524" s="103" t="s">
        <v>345</v>
      </c>
      <c r="Y524" s="103" t="s">
        <v>2240</v>
      </c>
      <c r="AA524" s="103" t="s">
        <v>2225</v>
      </c>
      <c r="AB524" s="103" t="s">
        <v>64</v>
      </c>
      <c r="AE524" s="103" t="s">
        <v>750</v>
      </c>
      <c r="AF524" s="103" t="b">
        <v>1</v>
      </c>
    </row>
    <row r="525" spans="1:32" hidden="1" x14ac:dyDescent="0.2">
      <c r="A525" s="103" t="s">
        <v>678</v>
      </c>
      <c r="B525" s="103" t="s">
        <v>1720</v>
      </c>
      <c r="C525" s="103" t="s">
        <v>678</v>
      </c>
      <c r="E525" s="103" t="s">
        <v>2414</v>
      </c>
      <c r="F525" s="103" t="s">
        <v>2232</v>
      </c>
      <c r="G525" s="103">
        <v>350</v>
      </c>
      <c r="H525" s="103" t="s">
        <v>2152</v>
      </c>
      <c r="I525" s="103">
        <v>-300</v>
      </c>
      <c r="L525" s="103">
        <v>300</v>
      </c>
      <c r="M525" s="103">
        <v>350</v>
      </c>
      <c r="N525" s="103" t="s">
        <v>2260</v>
      </c>
      <c r="O525" s="103">
        <v>650</v>
      </c>
      <c r="P525" s="103" t="s">
        <v>1643</v>
      </c>
      <c r="Q525" s="103" t="s">
        <v>2155</v>
      </c>
      <c r="R525" s="103" t="s">
        <v>2156</v>
      </c>
      <c r="S525" s="103" t="s">
        <v>2209</v>
      </c>
      <c r="U525" s="103">
        <v>179.55</v>
      </c>
      <c r="V525" s="103" t="s">
        <v>3701</v>
      </c>
      <c r="W525" s="103" t="s">
        <v>122</v>
      </c>
      <c r="X525" s="103" t="s">
        <v>345</v>
      </c>
      <c r="Y525" s="103" t="s">
        <v>2240</v>
      </c>
      <c r="AA525" s="103" t="s">
        <v>2156</v>
      </c>
      <c r="AB525" s="103" t="s">
        <v>68</v>
      </c>
      <c r="AC525" s="103" t="s">
        <v>2197</v>
      </c>
      <c r="AD525" s="103" t="s">
        <v>2397</v>
      </c>
      <c r="AE525" s="103" t="s">
        <v>766</v>
      </c>
      <c r="AF525" s="103" t="b">
        <v>1</v>
      </c>
    </row>
    <row r="526" spans="1:32" hidden="1" x14ac:dyDescent="0.2">
      <c r="A526" s="103" t="s">
        <v>680</v>
      </c>
      <c r="B526" s="103" t="s">
        <v>679</v>
      </c>
      <c r="C526" s="103" t="s">
        <v>680</v>
      </c>
      <c r="D526" s="103" t="s">
        <v>680</v>
      </c>
      <c r="E526" s="103" t="s">
        <v>2414</v>
      </c>
      <c r="F526" s="103" t="s">
        <v>2202</v>
      </c>
      <c r="G526" s="103">
        <v>250</v>
      </c>
      <c r="H526" s="103" t="s">
        <v>2152</v>
      </c>
      <c r="I526" s="103" t="s">
        <v>2153</v>
      </c>
      <c r="K526" s="103">
        <v>110</v>
      </c>
      <c r="L526" s="103">
        <v>110</v>
      </c>
      <c r="M526" s="103">
        <v>30</v>
      </c>
      <c r="N526" s="103" t="s">
        <v>2154</v>
      </c>
      <c r="O526" s="103">
        <v>250</v>
      </c>
      <c r="P526" s="103" t="s">
        <v>1643</v>
      </c>
      <c r="Q526" s="103" t="s">
        <v>2155</v>
      </c>
      <c r="R526" s="103" t="s">
        <v>2156</v>
      </c>
      <c r="S526" s="103" t="s">
        <v>2188</v>
      </c>
      <c r="U526" s="103">
        <v>128.25</v>
      </c>
      <c r="V526" s="103" t="s">
        <v>2158</v>
      </c>
      <c r="W526" s="103" t="s">
        <v>122</v>
      </c>
      <c r="X526" s="103" t="s">
        <v>345</v>
      </c>
      <c r="Y526" s="103" t="s">
        <v>2240</v>
      </c>
      <c r="AA526" s="103" t="s">
        <v>2156</v>
      </c>
      <c r="AB526" s="103" t="s">
        <v>68</v>
      </c>
      <c r="AC526" s="103" t="s">
        <v>122</v>
      </c>
      <c r="AD526" s="103" t="s">
        <v>2397</v>
      </c>
      <c r="AE526" s="103" t="s">
        <v>1641</v>
      </c>
      <c r="AF526" s="103" t="b">
        <v>1</v>
      </c>
    </row>
    <row r="527" spans="1:32" hidden="1" x14ac:dyDescent="0.2">
      <c r="A527" s="103" t="s">
        <v>682</v>
      </c>
      <c r="B527" s="103" t="s">
        <v>681</v>
      </c>
      <c r="C527" s="103" t="s">
        <v>682</v>
      </c>
      <c r="D527" s="103" t="s">
        <v>682</v>
      </c>
      <c r="E527" s="103" t="s">
        <v>2414</v>
      </c>
      <c r="G527" s="103">
        <v>650</v>
      </c>
      <c r="H527" s="103" t="s">
        <v>2152</v>
      </c>
      <c r="I527" s="103" t="s">
        <v>2153</v>
      </c>
      <c r="K527" s="103">
        <v>250</v>
      </c>
      <c r="L527" s="103">
        <v>250</v>
      </c>
      <c r="M527" s="103">
        <v>150</v>
      </c>
      <c r="N527" s="103" t="s">
        <v>2154</v>
      </c>
      <c r="O527" s="103">
        <v>650</v>
      </c>
      <c r="P527" s="103" t="s">
        <v>1643</v>
      </c>
      <c r="Q527" s="103" t="s">
        <v>2155</v>
      </c>
      <c r="R527" s="103" t="s">
        <v>2156</v>
      </c>
      <c r="S527" s="103" t="s">
        <v>2192</v>
      </c>
      <c r="U527" s="103">
        <v>333.45</v>
      </c>
      <c r="V527" s="103" t="s">
        <v>2158</v>
      </c>
      <c r="W527" s="103" t="s">
        <v>122</v>
      </c>
      <c r="X527" s="103" t="s">
        <v>1597</v>
      </c>
      <c r="Y527" s="103" t="s">
        <v>1685</v>
      </c>
      <c r="AA527" s="103" t="s">
        <v>2156</v>
      </c>
      <c r="AB527" s="103" t="s">
        <v>68</v>
      </c>
      <c r="AC527" s="103" t="s">
        <v>122</v>
      </c>
      <c r="AD527" s="103" t="s">
        <v>2397</v>
      </c>
      <c r="AE527" s="103" t="s">
        <v>1641</v>
      </c>
      <c r="AF527" s="103" t="b">
        <v>1</v>
      </c>
    </row>
    <row r="528" spans="1:32" hidden="1" x14ac:dyDescent="0.2">
      <c r="A528" s="103" t="s">
        <v>684</v>
      </c>
      <c r="B528" s="103" t="s">
        <v>683</v>
      </c>
      <c r="C528" s="103" t="s">
        <v>684</v>
      </c>
      <c r="E528" s="103" t="s">
        <v>105</v>
      </c>
      <c r="F528" s="103" t="s">
        <v>2202</v>
      </c>
      <c r="G528" s="103">
        <v>250</v>
      </c>
      <c r="H528" s="103" t="s">
        <v>2152</v>
      </c>
      <c r="I528" s="103" t="s">
        <v>2153</v>
      </c>
      <c r="L528" s="103">
        <v>100</v>
      </c>
      <c r="M528" s="103">
        <v>150</v>
      </c>
      <c r="N528" s="103" t="s">
        <v>2163</v>
      </c>
      <c r="O528" s="103">
        <v>250</v>
      </c>
      <c r="P528" s="103" t="s">
        <v>985</v>
      </c>
      <c r="Q528" s="103" t="s">
        <v>2155</v>
      </c>
      <c r="R528" s="103" t="s">
        <v>2225</v>
      </c>
      <c r="S528" s="103" t="s">
        <v>2229</v>
      </c>
      <c r="U528" s="103">
        <v>128.25</v>
      </c>
      <c r="V528" s="103" t="s">
        <v>2158</v>
      </c>
      <c r="W528" s="103" t="s">
        <v>105</v>
      </c>
      <c r="X528" s="103" t="s">
        <v>345</v>
      </c>
      <c r="Y528" s="103" t="s">
        <v>2240</v>
      </c>
      <c r="AA528" s="103" t="s">
        <v>2225</v>
      </c>
      <c r="AB528" s="103" t="s">
        <v>64</v>
      </c>
      <c r="AE528" s="103" t="s">
        <v>984</v>
      </c>
      <c r="AF528" s="103" t="b">
        <v>1</v>
      </c>
    </row>
    <row r="529" spans="1:32" hidden="1" x14ac:dyDescent="0.2">
      <c r="A529" s="103" t="s">
        <v>1446</v>
      </c>
      <c r="B529" s="103" t="s">
        <v>1445</v>
      </c>
      <c r="C529" s="103" t="s">
        <v>2728</v>
      </c>
      <c r="E529" s="103" t="s">
        <v>136</v>
      </c>
      <c r="G529" s="103">
        <v>175</v>
      </c>
      <c r="H529" s="103" t="s">
        <v>2152</v>
      </c>
      <c r="I529" s="103" t="s">
        <v>2153</v>
      </c>
      <c r="J529" s="103">
        <v>43.75</v>
      </c>
      <c r="K529" s="103">
        <v>43.75</v>
      </c>
      <c r="L529" s="103">
        <v>43.75</v>
      </c>
      <c r="M529" s="103">
        <v>43.75</v>
      </c>
      <c r="N529" s="103" t="s">
        <v>2163</v>
      </c>
      <c r="O529" s="103">
        <v>175</v>
      </c>
      <c r="P529" s="103" t="s">
        <v>1706</v>
      </c>
      <c r="R529" s="103" t="s">
        <v>2729</v>
      </c>
      <c r="U529" s="103">
        <v>34.125</v>
      </c>
      <c r="V529" s="103" t="s">
        <v>2158</v>
      </c>
      <c r="W529" s="103" t="s">
        <v>136</v>
      </c>
      <c r="X529" s="103" t="s">
        <v>345</v>
      </c>
      <c r="Y529" s="103" t="s">
        <v>2240</v>
      </c>
      <c r="AA529" s="103" t="s">
        <v>2729</v>
      </c>
      <c r="AB529" s="103" t="s">
        <v>74</v>
      </c>
      <c r="AE529" s="103" t="s">
        <v>1241</v>
      </c>
      <c r="AF529" s="103" t="b">
        <v>1</v>
      </c>
    </row>
    <row r="530" spans="1:32" hidden="1" x14ac:dyDescent="0.2">
      <c r="A530" s="103" t="s">
        <v>1446</v>
      </c>
      <c r="B530" s="103" t="s">
        <v>1445</v>
      </c>
      <c r="C530" s="103" t="s">
        <v>2730</v>
      </c>
      <c r="E530" s="103" t="s">
        <v>136</v>
      </c>
      <c r="F530" s="103" t="s">
        <v>2175</v>
      </c>
      <c r="G530" s="103">
        <v>25</v>
      </c>
      <c r="H530" s="103" t="s">
        <v>2152</v>
      </c>
      <c r="I530" s="103" t="s">
        <v>2153</v>
      </c>
      <c r="J530" s="103">
        <v>6.25</v>
      </c>
      <c r="K530" s="103">
        <v>6.25</v>
      </c>
      <c r="L530" s="103">
        <v>6.25</v>
      </c>
      <c r="M530" s="103">
        <v>6.25</v>
      </c>
      <c r="N530" s="103" t="s">
        <v>2163</v>
      </c>
      <c r="O530" s="103">
        <v>25</v>
      </c>
      <c r="P530" s="103" t="s">
        <v>1706</v>
      </c>
      <c r="R530" s="103" t="s">
        <v>2729</v>
      </c>
      <c r="U530" s="103">
        <v>4.875</v>
      </c>
      <c r="V530" s="103" t="s">
        <v>2158</v>
      </c>
      <c r="W530" s="103" t="s">
        <v>136</v>
      </c>
      <c r="X530" s="103" t="s">
        <v>345</v>
      </c>
      <c r="Y530" s="103" t="s">
        <v>2240</v>
      </c>
      <c r="AA530" s="103" t="s">
        <v>2729</v>
      </c>
      <c r="AB530" s="103" t="s">
        <v>74</v>
      </c>
      <c r="AE530" s="103" t="s">
        <v>1241</v>
      </c>
      <c r="AF530" s="103" t="b">
        <v>1</v>
      </c>
    </row>
    <row r="531" spans="1:32" hidden="1" x14ac:dyDescent="0.2">
      <c r="A531" s="103" t="s">
        <v>1446</v>
      </c>
      <c r="B531" s="103" t="s">
        <v>1445</v>
      </c>
      <c r="C531" s="103" t="s">
        <v>2731</v>
      </c>
      <c r="E531" s="103" t="s">
        <v>136</v>
      </c>
      <c r="G531" s="103">
        <v>75</v>
      </c>
      <c r="H531" s="103" t="s">
        <v>2152</v>
      </c>
      <c r="I531" s="103" t="s">
        <v>2153</v>
      </c>
      <c r="J531" s="103">
        <v>18.75</v>
      </c>
      <c r="K531" s="103">
        <v>18.75</v>
      </c>
      <c r="L531" s="103">
        <v>18.75</v>
      </c>
      <c r="M531" s="103">
        <v>18.75</v>
      </c>
      <c r="N531" s="103" t="s">
        <v>2163</v>
      </c>
      <c r="O531" s="103">
        <v>75</v>
      </c>
      <c r="P531" s="103" t="s">
        <v>1706</v>
      </c>
      <c r="R531" s="103" t="s">
        <v>2729</v>
      </c>
      <c r="U531" s="103">
        <v>14.625</v>
      </c>
      <c r="V531" s="103" t="s">
        <v>2158</v>
      </c>
      <c r="W531" s="103" t="s">
        <v>136</v>
      </c>
      <c r="X531" s="103" t="s">
        <v>345</v>
      </c>
      <c r="Y531" s="103" t="s">
        <v>2240</v>
      </c>
      <c r="AA531" s="103" t="s">
        <v>2729</v>
      </c>
      <c r="AB531" s="103" t="s">
        <v>74</v>
      </c>
      <c r="AE531" s="103" t="s">
        <v>1241</v>
      </c>
      <c r="AF531" s="103" t="b">
        <v>1</v>
      </c>
    </row>
    <row r="532" spans="1:32" hidden="1" x14ac:dyDescent="0.2">
      <c r="A532" s="103" t="s">
        <v>1446</v>
      </c>
      <c r="B532" s="103" t="s">
        <v>1445</v>
      </c>
      <c r="C532" s="103" t="s">
        <v>2732</v>
      </c>
      <c r="E532" s="103" t="s">
        <v>136</v>
      </c>
      <c r="G532" s="103">
        <v>75</v>
      </c>
      <c r="H532" s="103" t="s">
        <v>2152</v>
      </c>
      <c r="I532" s="103" t="s">
        <v>2153</v>
      </c>
      <c r="J532" s="103">
        <v>18.75</v>
      </c>
      <c r="K532" s="103">
        <v>18.75</v>
      </c>
      <c r="L532" s="103">
        <v>18.75</v>
      </c>
      <c r="M532" s="103">
        <v>18.75</v>
      </c>
      <c r="N532" s="103" t="s">
        <v>2163</v>
      </c>
      <c r="O532" s="103">
        <v>75</v>
      </c>
      <c r="P532" s="103" t="s">
        <v>1706</v>
      </c>
      <c r="R532" s="103" t="s">
        <v>2729</v>
      </c>
      <c r="U532" s="103">
        <v>14.625</v>
      </c>
      <c r="V532" s="103" t="s">
        <v>2158</v>
      </c>
      <c r="W532" s="103" t="s">
        <v>136</v>
      </c>
      <c r="X532" s="103" t="s">
        <v>345</v>
      </c>
      <c r="Y532" s="103" t="s">
        <v>2240</v>
      </c>
      <c r="AA532" s="103" t="s">
        <v>2729</v>
      </c>
      <c r="AB532" s="103" t="s">
        <v>74</v>
      </c>
      <c r="AE532" s="103" t="s">
        <v>1241</v>
      </c>
      <c r="AF532" s="103" t="b">
        <v>1</v>
      </c>
    </row>
    <row r="533" spans="1:32" hidden="1" x14ac:dyDescent="0.2">
      <c r="A533" s="103" t="s">
        <v>1446</v>
      </c>
      <c r="B533" s="103" t="s">
        <v>1445</v>
      </c>
      <c r="C533" s="103" t="s">
        <v>2733</v>
      </c>
      <c r="E533" s="103" t="s">
        <v>136</v>
      </c>
      <c r="F533" s="103" t="s">
        <v>2151</v>
      </c>
      <c r="G533" s="103">
        <v>100</v>
      </c>
      <c r="H533" s="103" t="s">
        <v>2168</v>
      </c>
      <c r="I533" s="103" t="s">
        <v>2153</v>
      </c>
      <c r="J533" s="103">
        <v>25</v>
      </c>
      <c r="K533" s="103">
        <v>25</v>
      </c>
      <c r="L533" s="103">
        <v>25</v>
      </c>
      <c r="M533" s="103">
        <v>25</v>
      </c>
      <c r="N533" s="103" t="s">
        <v>2163</v>
      </c>
      <c r="O533" s="103">
        <v>100</v>
      </c>
      <c r="P533" s="103" t="s">
        <v>1706</v>
      </c>
      <c r="R533" s="103" t="s">
        <v>2729</v>
      </c>
      <c r="U533" s="103">
        <v>19.5</v>
      </c>
      <c r="V533" s="103" t="s">
        <v>2158</v>
      </c>
      <c r="W533" s="103" t="s">
        <v>136</v>
      </c>
      <c r="X533" s="103" t="s">
        <v>345</v>
      </c>
      <c r="Y533" s="103" t="s">
        <v>2240</v>
      </c>
      <c r="AA533" s="103" t="s">
        <v>2729</v>
      </c>
      <c r="AB533" s="103" t="s">
        <v>74</v>
      </c>
      <c r="AE533" s="103" t="s">
        <v>1241</v>
      </c>
      <c r="AF533" s="103" t="b">
        <v>1</v>
      </c>
    </row>
    <row r="534" spans="1:32" hidden="1" x14ac:dyDescent="0.2">
      <c r="A534" s="103" t="s">
        <v>1446</v>
      </c>
      <c r="B534" s="103" t="s">
        <v>1445</v>
      </c>
      <c r="C534" s="103" t="s">
        <v>2734</v>
      </c>
      <c r="E534" s="103" t="s">
        <v>136</v>
      </c>
      <c r="G534" s="103">
        <v>75</v>
      </c>
      <c r="H534" s="103" t="s">
        <v>2152</v>
      </c>
      <c r="I534" s="103" t="s">
        <v>2153</v>
      </c>
      <c r="J534" s="103">
        <v>18.75</v>
      </c>
      <c r="K534" s="103">
        <v>18.75</v>
      </c>
      <c r="L534" s="103">
        <v>18.75</v>
      </c>
      <c r="M534" s="103">
        <v>18.75</v>
      </c>
      <c r="N534" s="103" t="s">
        <v>2163</v>
      </c>
      <c r="O534" s="103">
        <v>75</v>
      </c>
      <c r="P534" s="103" t="s">
        <v>1706</v>
      </c>
      <c r="R534" s="103" t="s">
        <v>2729</v>
      </c>
      <c r="U534" s="103">
        <v>14.625</v>
      </c>
      <c r="V534" s="103" t="s">
        <v>2158</v>
      </c>
      <c r="W534" s="103" t="s">
        <v>136</v>
      </c>
      <c r="X534" s="103" t="s">
        <v>345</v>
      </c>
      <c r="Y534" s="103" t="s">
        <v>2240</v>
      </c>
      <c r="AA534" s="103" t="s">
        <v>2729</v>
      </c>
      <c r="AB534" s="103" t="s">
        <v>74</v>
      </c>
      <c r="AE534" s="103" t="s">
        <v>1241</v>
      </c>
      <c r="AF534" s="103" t="b">
        <v>1</v>
      </c>
    </row>
    <row r="535" spans="1:32" hidden="1" x14ac:dyDescent="0.2">
      <c r="A535" s="103" t="s">
        <v>1446</v>
      </c>
      <c r="B535" s="103" t="s">
        <v>1445</v>
      </c>
      <c r="C535" s="103" t="s">
        <v>2735</v>
      </c>
      <c r="E535" s="103" t="s">
        <v>136</v>
      </c>
      <c r="F535" s="103" t="s">
        <v>2202</v>
      </c>
      <c r="G535" s="103">
        <v>1025</v>
      </c>
      <c r="H535" s="103" t="s">
        <v>2152</v>
      </c>
      <c r="I535" s="103" t="s">
        <v>2153</v>
      </c>
      <c r="J535" s="103">
        <v>256.25</v>
      </c>
      <c r="K535" s="103">
        <v>256.25</v>
      </c>
      <c r="L535" s="103">
        <v>256.25</v>
      </c>
      <c r="M535" s="103">
        <v>256.25</v>
      </c>
      <c r="N535" s="103" t="s">
        <v>2163</v>
      </c>
      <c r="O535" s="103">
        <v>1025</v>
      </c>
      <c r="P535" s="103" t="s">
        <v>1706</v>
      </c>
      <c r="R535" s="103" t="s">
        <v>2729</v>
      </c>
      <c r="U535" s="103">
        <v>199.875</v>
      </c>
      <c r="V535" s="103" t="s">
        <v>2158</v>
      </c>
      <c r="W535" s="103" t="s">
        <v>136</v>
      </c>
      <c r="X535" s="103" t="s">
        <v>345</v>
      </c>
      <c r="Y535" s="103" t="s">
        <v>2240</v>
      </c>
      <c r="AA535" s="103" t="s">
        <v>2729</v>
      </c>
      <c r="AB535" s="103" t="s">
        <v>74</v>
      </c>
      <c r="AE535" s="103" t="s">
        <v>1241</v>
      </c>
      <c r="AF535" s="103" t="b">
        <v>1</v>
      </c>
    </row>
    <row r="536" spans="1:32" hidden="1" x14ac:dyDescent="0.2">
      <c r="A536" s="103" t="s">
        <v>1446</v>
      </c>
      <c r="B536" s="103" t="s">
        <v>1445</v>
      </c>
      <c r="C536" s="103" t="s">
        <v>2728</v>
      </c>
      <c r="E536" s="103" t="s">
        <v>126</v>
      </c>
      <c r="G536" s="103">
        <v>250</v>
      </c>
      <c r="H536" s="103" t="s">
        <v>2152</v>
      </c>
      <c r="I536" s="103" t="s">
        <v>2153</v>
      </c>
      <c r="J536" s="103">
        <v>62.5</v>
      </c>
      <c r="K536" s="103">
        <v>62.5</v>
      </c>
      <c r="L536" s="103">
        <v>62.5</v>
      </c>
      <c r="M536" s="103">
        <v>62.5</v>
      </c>
      <c r="N536" s="103" t="s">
        <v>2163</v>
      </c>
      <c r="O536" s="103">
        <v>250</v>
      </c>
      <c r="P536" s="103" t="s">
        <v>1706</v>
      </c>
      <c r="R536" s="103" t="s">
        <v>2729</v>
      </c>
      <c r="U536" s="103">
        <v>121.75</v>
      </c>
      <c r="V536" s="103" t="s">
        <v>2158</v>
      </c>
      <c r="W536" s="103" t="s">
        <v>126</v>
      </c>
      <c r="X536" s="103" t="s">
        <v>345</v>
      </c>
      <c r="Y536" s="103" t="s">
        <v>2240</v>
      </c>
      <c r="AA536" s="103" t="s">
        <v>2729</v>
      </c>
      <c r="AB536" s="103" t="s">
        <v>74</v>
      </c>
      <c r="AE536" s="103" t="s">
        <v>1241</v>
      </c>
      <c r="AF536" s="103" t="b">
        <v>1</v>
      </c>
    </row>
    <row r="537" spans="1:32" hidden="1" x14ac:dyDescent="0.2">
      <c r="A537" s="103" t="s">
        <v>1446</v>
      </c>
      <c r="B537" s="103" t="s">
        <v>1445</v>
      </c>
      <c r="C537" s="103" t="s">
        <v>2730</v>
      </c>
      <c r="E537" s="103" t="s">
        <v>126</v>
      </c>
      <c r="F537" s="103" t="s">
        <v>2162</v>
      </c>
      <c r="G537" s="103">
        <v>50</v>
      </c>
      <c r="H537" s="103" t="s">
        <v>2168</v>
      </c>
      <c r="I537" s="103" t="s">
        <v>2153</v>
      </c>
      <c r="J537" s="103">
        <v>12.5</v>
      </c>
      <c r="K537" s="103">
        <v>12.5</v>
      </c>
      <c r="L537" s="103">
        <v>12.5</v>
      </c>
      <c r="M537" s="103">
        <v>12.5</v>
      </c>
      <c r="N537" s="103" t="s">
        <v>2163</v>
      </c>
      <c r="O537" s="103">
        <v>50</v>
      </c>
      <c r="P537" s="103" t="s">
        <v>1706</v>
      </c>
      <c r="R537" s="103" t="s">
        <v>2729</v>
      </c>
      <c r="U537" s="103">
        <v>24.35</v>
      </c>
      <c r="V537" s="103" t="s">
        <v>2158</v>
      </c>
      <c r="W537" s="103" t="s">
        <v>126</v>
      </c>
      <c r="X537" s="103" t="s">
        <v>345</v>
      </c>
      <c r="Y537" s="103" t="s">
        <v>2240</v>
      </c>
      <c r="AA537" s="103" t="s">
        <v>2729</v>
      </c>
      <c r="AB537" s="103" t="s">
        <v>74</v>
      </c>
      <c r="AE537" s="103" t="s">
        <v>1241</v>
      </c>
      <c r="AF537" s="103" t="b">
        <v>1</v>
      </c>
    </row>
    <row r="538" spans="1:32" hidden="1" x14ac:dyDescent="0.2">
      <c r="A538" s="103" t="s">
        <v>1446</v>
      </c>
      <c r="B538" s="103" t="s">
        <v>1445</v>
      </c>
      <c r="C538" s="103" t="s">
        <v>2731</v>
      </c>
      <c r="E538" s="103" t="s">
        <v>126</v>
      </c>
      <c r="F538" s="103" t="s">
        <v>2151</v>
      </c>
      <c r="G538" s="103">
        <v>100</v>
      </c>
      <c r="H538" s="103" t="s">
        <v>2168</v>
      </c>
      <c r="I538" s="103" t="s">
        <v>2153</v>
      </c>
      <c r="J538" s="103">
        <v>25</v>
      </c>
      <c r="K538" s="103">
        <v>25</v>
      </c>
      <c r="L538" s="103">
        <v>25</v>
      </c>
      <c r="M538" s="103">
        <v>25</v>
      </c>
      <c r="N538" s="103" t="s">
        <v>2163</v>
      </c>
      <c r="O538" s="103">
        <v>100</v>
      </c>
      <c r="P538" s="103" t="s">
        <v>1706</v>
      </c>
      <c r="R538" s="103" t="s">
        <v>2729</v>
      </c>
      <c r="U538" s="103">
        <v>48.7</v>
      </c>
      <c r="V538" s="103" t="s">
        <v>2158</v>
      </c>
      <c r="W538" s="103" t="s">
        <v>126</v>
      </c>
      <c r="X538" s="103" t="s">
        <v>345</v>
      </c>
      <c r="Y538" s="103" t="s">
        <v>2240</v>
      </c>
      <c r="AA538" s="103" t="s">
        <v>2729</v>
      </c>
      <c r="AB538" s="103" t="s">
        <v>74</v>
      </c>
      <c r="AE538" s="103" t="s">
        <v>1241</v>
      </c>
      <c r="AF538" s="103" t="b">
        <v>1</v>
      </c>
    </row>
    <row r="539" spans="1:32" hidden="1" x14ac:dyDescent="0.2">
      <c r="A539" s="103" t="s">
        <v>1446</v>
      </c>
      <c r="B539" s="103" t="s">
        <v>1445</v>
      </c>
      <c r="C539" s="103" t="s">
        <v>2732</v>
      </c>
      <c r="E539" s="103" t="s">
        <v>126</v>
      </c>
      <c r="F539" s="103" t="s">
        <v>2151</v>
      </c>
      <c r="G539" s="103">
        <v>100</v>
      </c>
      <c r="H539" s="103" t="s">
        <v>2168</v>
      </c>
      <c r="I539" s="103" t="s">
        <v>2153</v>
      </c>
      <c r="J539" s="103">
        <v>25</v>
      </c>
      <c r="K539" s="103">
        <v>25</v>
      </c>
      <c r="L539" s="103">
        <v>25</v>
      </c>
      <c r="M539" s="103">
        <v>25</v>
      </c>
      <c r="N539" s="103" t="s">
        <v>2163</v>
      </c>
      <c r="O539" s="103">
        <v>100</v>
      </c>
      <c r="P539" s="103" t="s">
        <v>1706</v>
      </c>
      <c r="R539" s="103" t="s">
        <v>2729</v>
      </c>
      <c r="U539" s="103">
        <v>48.7</v>
      </c>
      <c r="V539" s="103" t="s">
        <v>2158</v>
      </c>
      <c r="W539" s="103" t="s">
        <v>126</v>
      </c>
      <c r="X539" s="103" t="s">
        <v>345</v>
      </c>
      <c r="Y539" s="103" t="s">
        <v>2240</v>
      </c>
      <c r="AA539" s="103" t="s">
        <v>2729</v>
      </c>
      <c r="AB539" s="103" t="s">
        <v>74</v>
      </c>
      <c r="AE539" s="103" t="s">
        <v>1241</v>
      </c>
      <c r="AF539" s="103" t="b">
        <v>1</v>
      </c>
    </row>
    <row r="540" spans="1:32" hidden="1" x14ac:dyDescent="0.2">
      <c r="A540" s="103" t="s">
        <v>1446</v>
      </c>
      <c r="B540" s="103" t="s">
        <v>1445</v>
      </c>
      <c r="C540" s="103" t="s">
        <v>2733</v>
      </c>
      <c r="E540" s="103" t="s">
        <v>126</v>
      </c>
      <c r="G540" s="103">
        <v>150</v>
      </c>
      <c r="H540" s="103" t="s">
        <v>2152</v>
      </c>
      <c r="I540" s="103" t="s">
        <v>2153</v>
      </c>
      <c r="J540" s="103">
        <v>37.5</v>
      </c>
      <c r="K540" s="103">
        <v>37.5</v>
      </c>
      <c r="L540" s="103">
        <v>37.5</v>
      </c>
      <c r="M540" s="103">
        <v>37.5</v>
      </c>
      <c r="N540" s="103" t="s">
        <v>2163</v>
      </c>
      <c r="O540" s="103">
        <v>150</v>
      </c>
      <c r="P540" s="103" t="s">
        <v>1706</v>
      </c>
      <c r="R540" s="103" t="s">
        <v>2729</v>
      </c>
      <c r="U540" s="103">
        <v>73.05</v>
      </c>
      <c r="V540" s="103" t="s">
        <v>2158</v>
      </c>
      <c r="W540" s="103" t="s">
        <v>126</v>
      </c>
      <c r="X540" s="103" t="s">
        <v>345</v>
      </c>
      <c r="Y540" s="103" t="s">
        <v>2240</v>
      </c>
      <c r="AA540" s="103" t="s">
        <v>2729</v>
      </c>
      <c r="AB540" s="103" t="s">
        <v>74</v>
      </c>
      <c r="AE540" s="103" t="s">
        <v>1241</v>
      </c>
      <c r="AF540" s="103" t="b">
        <v>1</v>
      </c>
    </row>
    <row r="541" spans="1:32" hidden="1" x14ac:dyDescent="0.2">
      <c r="A541" s="103" t="s">
        <v>1446</v>
      </c>
      <c r="B541" s="103" t="s">
        <v>1445</v>
      </c>
      <c r="C541" s="103" t="s">
        <v>2734</v>
      </c>
      <c r="E541" s="103" t="s">
        <v>126</v>
      </c>
      <c r="F541" s="103" t="s">
        <v>2151</v>
      </c>
      <c r="G541" s="103">
        <v>100</v>
      </c>
      <c r="H541" s="103" t="s">
        <v>2168</v>
      </c>
      <c r="I541" s="103" t="s">
        <v>2153</v>
      </c>
      <c r="J541" s="103">
        <v>25</v>
      </c>
      <c r="K541" s="103">
        <v>25</v>
      </c>
      <c r="L541" s="103">
        <v>25</v>
      </c>
      <c r="M541" s="103">
        <v>25</v>
      </c>
      <c r="N541" s="103" t="s">
        <v>2163</v>
      </c>
      <c r="O541" s="103">
        <v>100</v>
      </c>
      <c r="P541" s="103" t="s">
        <v>1706</v>
      </c>
      <c r="R541" s="103" t="s">
        <v>2729</v>
      </c>
      <c r="U541" s="103">
        <v>48.7</v>
      </c>
      <c r="V541" s="103" t="s">
        <v>2158</v>
      </c>
      <c r="W541" s="103" t="s">
        <v>126</v>
      </c>
      <c r="X541" s="103" t="s">
        <v>345</v>
      </c>
      <c r="Y541" s="103" t="s">
        <v>2240</v>
      </c>
      <c r="AA541" s="103" t="s">
        <v>2729</v>
      </c>
      <c r="AB541" s="103" t="s">
        <v>74</v>
      </c>
      <c r="AE541" s="103" t="s">
        <v>1241</v>
      </c>
      <c r="AF541" s="103" t="b">
        <v>1</v>
      </c>
    </row>
    <row r="542" spans="1:32" hidden="1" x14ac:dyDescent="0.2">
      <c r="A542" s="103" t="s">
        <v>1446</v>
      </c>
      <c r="B542" s="103" t="s">
        <v>1445</v>
      </c>
      <c r="C542" s="103" t="s">
        <v>2735</v>
      </c>
      <c r="E542" s="103" t="s">
        <v>126</v>
      </c>
      <c r="F542" s="103" t="s">
        <v>2232</v>
      </c>
      <c r="G542" s="103">
        <v>300</v>
      </c>
      <c r="H542" s="103" t="s">
        <v>2168</v>
      </c>
      <c r="I542" s="103" t="s">
        <v>2153</v>
      </c>
      <c r="J542" s="103">
        <v>75</v>
      </c>
      <c r="K542" s="103">
        <v>75</v>
      </c>
      <c r="L542" s="103">
        <v>75</v>
      </c>
      <c r="M542" s="103">
        <v>75</v>
      </c>
      <c r="N542" s="103" t="s">
        <v>2163</v>
      </c>
      <c r="O542" s="103">
        <v>300</v>
      </c>
      <c r="P542" s="103" t="s">
        <v>1706</v>
      </c>
      <c r="R542" s="103" t="s">
        <v>2729</v>
      </c>
      <c r="U542" s="103">
        <v>146.1</v>
      </c>
      <c r="V542" s="103" t="s">
        <v>2158</v>
      </c>
      <c r="W542" s="103" t="s">
        <v>126</v>
      </c>
      <c r="X542" s="103" t="s">
        <v>345</v>
      </c>
      <c r="Y542" s="103" t="s">
        <v>2240</v>
      </c>
      <c r="AA542" s="103" t="s">
        <v>2729</v>
      </c>
      <c r="AB542" s="103" t="s">
        <v>74</v>
      </c>
      <c r="AE542" s="103" t="s">
        <v>1241</v>
      </c>
      <c r="AF542" s="103" t="b">
        <v>1</v>
      </c>
    </row>
    <row r="543" spans="1:32" hidden="1" x14ac:dyDescent="0.2">
      <c r="A543" s="103" t="s">
        <v>686</v>
      </c>
      <c r="B543" s="103" t="s">
        <v>1722</v>
      </c>
      <c r="D543" s="103" t="s">
        <v>2552</v>
      </c>
      <c r="E543" s="103" t="s">
        <v>2195</v>
      </c>
      <c r="G543" s="103">
        <v>240</v>
      </c>
      <c r="H543" s="103" t="s">
        <v>2152</v>
      </c>
      <c r="I543" s="103" t="s">
        <v>2153</v>
      </c>
      <c r="J543" s="103">
        <v>60</v>
      </c>
      <c r="K543" s="103">
        <v>60</v>
      </c>
      <c r="L543" s="103">
        <v>60</v>
      </c>
      <c r="M543" s="103">
        <v>60</v>
      </c>
      <c r="N543" s="103" t="s">
        <v>2402</v>
      </c>
      <c r="O543" s="103">
        <v>240</v>
      </c>
      <c r="P543" s="103" t="s">
        <v>1672</v>
      </c>
      <c r="Q543" s="103" t="s">
        <v>1393</v>
      </c>
      <c r="R543" s="103" t="s">
        <v>2156</v>
      </c>
      <c r="S543" s="103" t="s">
        <v>2157</v>
      </c>
      <c r="U543" s="103">
        <v>123.12</v>
      </c>
      <c r="V543" s="103" t="s">
        <v>2262</v>
      </c>
      <c r="W543" s="103" t="s">
        <v>114</v>
      </c>
      <c r="X543" s="103" t="s">
        <v>345</v>
      </c>
      <c r="Y543" s="103" t="s">
        <v>2240</v>
      </c>
      <c r="AA543" s="103" t="s">
        <v>2156</v>
      </c>
      <c r="AB543" s="103" t="s">
        <v>68</v>
      </c>
      <c r="AC543" s="103" t="s">
        <v>2159</v>
      </c>
      <c r="AD543" s="103" t="s">
        <v>2203</v>
      </c>
      <c r="AE543" s="103" t="s">
        <v>766</v>
      </c>
      <c r="AF543" s="103" t="b">
        <v>1</v>
      </c>
    </row>
    <row r="544" spans="1:32" hidden="1" x14ac:dyDescent="0.2">
      <c r="A544" s="103" t="s">
        <v>687</v>
      </c>
      <c r="B544" s="103" t="s">
        <v>1723</v>
      </c>
      <c r="C544" s="103" t="s">
        <v>2736</v>
      </c>
      <c r="D544" s="103" t="s">
        <v>2737</v>
      </c>
      <c r="E544" s="103" t="s">
        <v>2498</v>
      </c>
      <c r="G544" s="103">
        <v>150</v>
      </c>
      <c r="H544" s="103" t="s">
        <v>2152</v>
      </c>
      <c r="I544" s="103" t="s">
        <v>2153</v>
      </c>
      <c r="L544" s="103">
        <v>100</v>
      </c>
      <c r="M544" s="103">
        <v>50</v>
      </c>
      <c r="N544" s="103" t="s">
        <v>2163</v>
      </c>
      <c r="O544" s="103">
        <v>150</v>
      </c>
      <c r="P544" s="103" t="s">
        <v>839</v>
      </c>
      <c r="Q544" s="103" t="s">
        <v>1614</v>
      </c>
      <c r="R544" s="103" t="s">
        <v>2225</v>
      </c>
      <c r="S544" s="103" t="s">
        <v>2247</v>
      </c>
      <c r="U544" s="103">
        <v>76.95</v>
      </c>
      <c r="V544" s="103" t="s">
        <v>2239</v>
      </c>
      <c r="W544" s="103" t="s">
        <v>119</v>
      </c>
      <c r="X544" s="103" t="s">
        <v>1614</v>
      </c>
      <c r="Y544" s="103" t="s">
        <v>2240</v>
      </c>
      <c r="AA544" s="103" t="s">
        <v>2225</v>
      </c>
      <c r="AB544" s="103" t="s">
        <v>64</v>
      </c>
      <c r="AE544" s="103" t="s">
        <v>1284</v>
      </c>
      <c r="AF544" s="103" t="b">
        <v>1</v>
      </c>
    </row>
    <row r="545" spans="1:32" hidden="1" x14ac:dyDescent="0.2">
      <c r="A545" s="103" t="s">
        <v>688</v>
      </c>
      <c r="B545" s="103" t="s">
        <v>1724</v>
      </c>
      <c r="E545" s="103" t="s">
        <v>2738</v>
      </c>
      <c r="G545" s="103">
        <v>50</v>
      </c>
      <c r="H545" s="103" t="s">
        <v>2152</v>
      </c>
      <c r="I545" s="103" t="s">
        <v>2153</v>
      </c>
      <c r="J545" s="103">
        <v>12</v>
      </c>
      <c r="K545" s="103">
        <v>12</v>
      </c>
      <c r="L545" s="103">
        <v>12</v>
      </c>
      <c r="M545" s="103">
        <v>14</v>
      </c>
      <c r="N545" s="103" t="s">
        <v>2163</v>
      </c>
      <c r="O545" s="103">
        <v>50</v>
      </c>
      <c r="P545" s="103" t="s">
        <v>2739</v>
      </c>
      <c r="Q545" s="103" t="s">
        <v>2155</v>
      </c>
      <c r="R545" s="103" t="s">
        <v>121</v>
      </c>
      <c r="S545" s="103" t="s">
        <v>2427</v>
      </c>
      <c r="U545" s="103">
        <v>25.65</v>
      </c>
      <c r="V545" s="103" t="s">
        <v>2239</v>
      </c>
      <c r="W545" s="103" t="s">
        <v>121</v>
      </c>
      <c r="X545" s="103" t="s">
        <v>1614</v>
      </c>
      <c r="Y545" s="103" t="s">
        <v>2240</v>
      </c>
      <c r="AA545" s="103" t="s">
        <v>121</v>
      </c>
      <c r="AB545" s="103" t="s">
        <v>95</v>
      </c>
      <c r="AE545" s="103">
        <v>0</v>
      </c>
      <c r="AF545" s="103" t="b">
        <v>1</v>
      </c>
    </row>
    <row r="546" spans="1:32" hidden="1" x14ac:dyDescent="0.2">
      <c r="A546" s="103" t="s">
        <v>688</v>
      </c>
      <c r="B546" s="103" t="s">
        <v>1724</v>
      </c>
      <c r="E546" s="103" t="s">
        <v>2740</v>
      </c>
      <c r="G546" s="103">
        <v>50</v>
      </c>
      <c r="H546" s="103" t="s">
        <v>2152</v>
      </c>
      <c r="I546" s="103" t="s">
        <v>2153</v>
      </c>
      <c r="J546" s="103">
        <v>12</v>
      </c>
      <c r="K546" s="103">
        <v>12</v>
      </c>
      <c r="L546" s="103">
        <v>12</v>
      </c>
      <c r="M546" s="103">
        <v>14</v>
      </c>
      <c r="N546" s="103" t="s">
        <v>2273</v>
      </c>
      <c r="O546" s="103">
        <v>50</v>
      </c>
      <c r="P546" s="103" t="s">
        <v>2739</v>
      </c>
      <c r="Q546" s="103" t="s">
        <v>2155</v>
      </c>
      <c r="R546" s="103" t="s">
        <v>121</v>
      </c>
      <c r="S546" s="103" t="s">
        <v>2427</v>
      </c>
      <c r="T546" s="103" t="s">
        <v>2741</v>
      </c>
      <c r="U546" s="103">
        <v>25.65</v>
      </c>
      <c r="V546" s="103" t="s">
        <v>2239</v>
      </c>
      <c r="W546" s="103" t="s">
        <v>121</v>
      </c>
      <c r="X546" s="103" t="s">
        <v>1614</v>
      </c>
      <c r="Y546" s="103" t="s">
        <v>2240</v>
      </c>
      <c r="AA546" s="103" t="s">
        <v>121</v>
      </c>
      <c r="AB546" s="103" t="s">
        <v>95</v>
      </c>
      <c r="AE546" s="103">
        <v>0</v>
      </c>
      <c r="AF546" s="103" t="b">
        <v>1</v>
      </c>
    </row>
    <row r="547" spans="1:32" hidden="1" x14ac:dyDescent="0.2">
      <c r="A547" s="103" t="s">
        <v>688</v>
      </c>
      <c r="B547" s="103" t="s">
        <v>1724</v>
      </c>
      <c r="D547" s="103" t="s">
        <v>2742</v>
      </c>
      <c r="E547" s="103" t="s">
        <v>2605</v>
      </c>
      <c r="G547" s="103">
        <v>50</v>
      </c>
      <c r="H547" s="103" t="s">
        <v>2152</v>
      </c>
      <c r="I547" s="103" t="s">
        <v>2153</v>
      </c>
      <c r="J547" s="103">
        <v>12</v>
      </c>
      <c r="K547" s="103">
        <v>12</v>
      </c>
      <c r="L547" s="103">
        <v>12</v>
      </c>
      <c r="M547" s="103">
        <v>14</v>
      </c>
      <c r="N547" s="103" t="s">
        <v>2163</v>
      </c>
      <c r="O547" s="103">
        <v>50</v>
      </c>
      <c r="P547" s="103" t="s">
        <v>2739</v>
      </c>
      <c r="Q547" s="103" t="s">
        <v>1614</v>
      </c>
      <c r="R547" s="103" t="s">
        <v>2225</v>
      </c>
      <c r="S547" s="103" t="s">
        <v>2251</v>
      </c>
      <c r="U547" s="103">
        <v>24.15</v>
      </c>
      <c r="V547" s="103" t="s">
        <v>2239</v>
      </c>
      <c r="W547" s="103" t="s">
        <v>106</v>
      </c>
      <c r="X547" s="103" t="s">
        <v>1614</v>
      </c>
      <c r="Y547" s="103" t="s">
        <v>2240</v>
      </c>
      <c r="AA547" s="103" t="s">
        <v>2225</v>
      </c>
      <c r="AB547" s="103" t="s">
        <v>95</v>
      </c>
      <c r="AE547" s="103">
        <v>0</v>
      </c>
      <c r="AF547" s="103" t="b">
        <v>1</v>
      </c>
    </row>
    <row r="548" spans="1:32" hidden="1" x14ac:dyDescent="0.2">
      <c r="A548" s="103" t="s">
        <v>483</v>
      </c>
      <c r="B548" s="103" t="s">
        <v>1660</v>
      </c>
      <c r="C548" s="103" t="s">
        <v>2743</v>
      </c>
      <c r="D548" s="103" t="s">
        <v>2744</v>
      </c>
      <c r="E548" s="103" t="s">
        <v>2406</v>
      </c>
      <c r="F548" s="103" t="s">
        <v>2232</v>
      </c>
      <c r="G548" s="103">
        <v>1000</v>
      </c>
      <c r="H548" s="103" t="s">
        <v>2168</v>
      </c>
      <c r="I548" s="103" t="s">
        <v>2153</v>
      </c>
      <c r="J548" s="103">
        <v>250</v>
      </c>
      <c r="K548" s="103">
        <v>250</v>
      </c>
      <c r="L548" s="103">
        <v>250</v>
      </c>
      <c r="M548" s="103">
        <v>250</v>
      </c>
      <c r="N548" s="103" t="s">
        <v>2402</v>
      </c>
      <c r="O548" s="103">
        <v>1000</v>
      </c>
      <c r="P548" s="103" t="s">
        <v>2745</v>
      </c>
      <c r="Q548" s="103" t="s">
        <v>2155</v>
      </c>
      <c r="R548" s="103" t="s">
        <v>2156</v>
      </c>
      <c r="S548" s="103" t="s">
        <v>2209</v>
      </c>
      <c r="U548" s="103">
        <v>513</v>
      </c>
      <c r="V548" s="103" t="s">
        <v>2262</v>
      </c>
      <c r="W548" s="103" t="s">
        <v>114</v>
      </c>
      <c r="X548" s="103" t="s">
        <v>1597</v>
      </c>
      <c r="Y548" s="103" t="s">
        <v>1685</v>
      </c>
      <c r="AA548" s="103" t="s">
        <v>2156</v>
      </c>
      <c r="AB548" s="103" t="s">
        <v>68</v>
      </c>
      <c r="AC548" s="103" t="s">
        <v>2197</v>
      </c>
      <c r="AD548" s="103" t="s">
        <v>2465</v>
      </c>
      <c r="AE548" s="103" t="s">
        <v>766</v>
      </c>
      <c r="AF548" s="103" t="b">
        <v>1</v>
      </c>
    </row>
    <row r="549" spans="1:32" hidden="1" x14ac:dyDescent="0.2">
      <c r="A549" s="103" t="s">
        <v>3864</v>
      </c>
      <c r="B549" s="103" t="s">
        <v>3824</v>
      </c>
      <c r="C549" s="103" t="s">
        <v>2746</v>
      </c>
      <c r="D549" s="103" t="s">
        <v>2747</v>
      </c>
      <c r="E549" s="103" t="s">
        <v>2740</v>
      </c>
      <c r="G549" s="103">
        <v>385</v>
      </c>
      <c r="H549" s="103" t="s">
        <v>2152</v>
      </c>
      <c r="I549" s="103" t="s">
        <v>2153</v>
      </c>
      <c r="K549" s="103">
        <v>225</v>
      </c>
      <c r="L549" s="103">
        <v>160</v>
      </c>
      <c r="N549" s="103" t="s">
        <v>2163</v>
      </c>
      <c r="O549" s="103">
        <v>385</v>
      </c>
      <c r="P549" s="103" t="s">
        <v>783</v>
      </c>
      <c r="R549" s="103" t="s">
        <v>121</v>
      </c>
      <c r="S549" s="103" t="s">
        <v>2427</v>
      </c>
      <c r="U549" s="103">
        <v>197.505</v>
      </c>
      <c r="V549" s="103" t="s">
        <v>2158</v>
      </c>
      <c r="W549" s="103" t="s">
        <v>121</v>
      </c>
      <c r="X549" s="103" t="s">
        <v>345</v>
      </c>
      <c r="Y549" s="103" t="s">
        <v>2240</v>
      </c>
      <c r="AA549" s="103" t="s">
        <v>121</v>
      </c>
      <c r="AB549" s="103" t="s">
        <v>74</v>
      </c>
      <c r="AE549" s="103" t="s">
        <v>1671</v>
      </c>
      <c r="AF549" s="103" t="b">
        <v>1</v>
      </c>
    </row>
    <row r="550" spans="1:32" hidden="1" x14ac:dyDescent="0.2">
      <c r="A550" s="103" t="s">
        <v>3864</v>
      </c>
      <c r="B550" s="103" t="s">
        <v>3824</v>
      </c>
      <c r="C550" s="103" t="s">
        <v>2748</v>
      </c>
      <c r="E550" s="103" t="s">
        <v>2740</v>
      </c>
      <c r="G550" s="103">
        <v>385</v>
      </c>
      <c r="H550" s="103" t="s">
        <v>2152</v>
      </c>
      <c r="I550" s="103" t="s">
        <v>2153</v>
      </c>
      <c r="K550" s="103">
        <v>60</v>
      </c>
      <c r="L550" s="103">
        <v>325</v>
      </c>
      <c r="N550" s="103" t="s">
        <v>2163</v>
      </c>
      <c r="O550" s="103">
        <v>385</v>
      </c>
      <c r="P550" s="103" t="s">
        <v>783</v>
      </c>
      <c r="R550" s="103" t="s">
        <v>121</v>
      </c>
      <c r="S550" s="103" t="s">
        <v>2427</v>
      </c>
      <c r="U550" s="103">
        <v>197.505</v>
      </c>
      <c r="V550" s="103" t="s">
        <v>2158</v>
      </c>
      <c r="W550" s="103" t="s">
        <v>121</v>
      </c>
      <c r="X550" s="103" t="s">
        <v>345</v>
      </c>
      <c r="Y550" s="103" t="s">
        <v>2240</v>
      </c>
      <c r="AA550" s="103" t="s">
        <v>121</v>
      </c>
      <c r="AB550" s="103" t="s">
        <v>74</v>
      </c>
      <c r="AE550" s="103" t="s">
        <v>1671</v>
      </c>
      <c r="AF550" s="103" t="b">
        <v>1</v>
      </c>
    </row>
    <row r="551" spans="1:32" hidden="1" x14ac:dyDescent="0.2">
      <c r="A551" s="103" t="s">
        <v>3864</v>
      </c>
      <c r="B551" s="103" t="s">
        <v>3824</v>
      </c>
      <c r="C551" s="103" t="s">
        <v>2749</v>
      </c>
      <c r="E551" s="103" t="s">
        <v>2740</v>
      </c>
      <c r="G551" s="103">
        <v>385</v>
      </c>
      <c r="H551" s="103" t="s">
        <v>2152</v>
      </c>
      <c r="I551" s="103" t="s">
        <v>2153</v>
      </c>
      <c r="L551" s="103">
        <v>265</v>
      </c>
      <c r="M551" s="103">
        <v>120</v>
      </c>
      <c r="N551" s="103" t="s">
        <v>2163</v>
      </c>
      <c r="O551" s="103">
        <v>385</v>
      </c>
      <c r="P551" s="103" t="s">
        <v>783</v>
      </c>
      <c r="R551" s="103" t="s">
        <v>121</v>
      </c>
      <c r="S551" s="103" t="s">
        <v>2427</v>
      </c>
      <c r="U551" s="103">
        <v>197.505</v>
      </c>
      <c r="V551" s="103" t="s">
        <v>2158</v>
      </c>
      <c r="W551" s="103" t="s">
        <v>121</v>
      </c>
      <c r="X551" s="103" t="s">
        <v>345</v>
      </c>
      <c r="Y551" s="103" t="s">
        <v>2240</v>
      </c>
      <c r="AA551" s="103" t="s">
        <v>121</v>
      </c>
      <c r="AB551" s="103" t="s">
        <v>74</v>
      </c>
      <c r="AE551" s="103" t="s">
        <v>1671</v>
      </c>
      <c r="AF551" s="103" t="b">
        <v>1</v>
      </c>
    </row>
    <row r="552" spans="1:32" hidden="1" x14ac:dyDescent="0.2">
      <c r="A552" s="103" t="s">
        <v>3864</v>
      </c>
      <c r="B552" s="103" t="s">
        <v>3824</v>
      </c>
      <c r="C552" s="103" t="s">
        <v>2750</v>
      </c>
      <c r="E552" s="103" t="s">
        <v>2740</v>
      </c>
      <c r="G552" s="103">
        <v>385</v>
      </c>
      <c r="H552" s="103" t="s">
        <v>2152</v>
      </c>
      <c r="I552" s="103" t="s">
        <v>2153</v>
      </c>
      <c r="M552" s="103">
        <v>385</v>
      </c>
      <c r="N552" s="103" t="s">
        <v>2163</v>
      </c>
      <c r="O552" s="103">
        <v>385</v>
      </c>
      <c r="P552" s="103" t="s">
        <v>783</v>
      </c>
      <c r="R552" s="103" t="s">
        <v>121</v>
      </c>
      <c r="S552" s="103" t="s">
        <v>2427</v>
      </c>
      <c r="U552" s="103">
        <v>197.505</v>
      </c>
      <c r="V552" s="103" t="s">
        <v>2158</v>
      </c>
      <c r="W552" s="103" t="s">
        <v>121</v>
      </c>
      <c r="X552" s="103" t="s">
        <v>345</v>
      </c>
      <c r="Y552" s="103" t="s">
        <v>2240</v>
      </c>
      <c r="AA552" s="103" t="s">
        <v>121</v>
      </c>
      <c r="AB552" s="103" t="s">
        <v>74</v>
      </c>
      <c r="AE552" s="103" t="s">
        <v>1671</v>
      </c>
      <c r="AF552" s="103" t="b">
        <v>1</v>
      </c>
    </row>
    <row r="553" spans="1:32" hidden="1" x14ac:dyDescent="0.2">
      <c r="A553" s="103" t="s">
        <v>3864</v>
      </c>
      <c r="B553" s="103" t="s">
        <v>3824</v>
      </c>
      <c r="C553" s="103" t="s">
        <v>2751</v>
      </c>
      <c r="E553" s="103" t="s">
        <v>2740</v>
      </c>
      <c r="G553" s="103">
        <v>190</v>
      </c>
      <c r="H553" s="103" t="s">
        <v>2152</v>
      </c>
      <c r="I553" s="103" t="s">
        <v>2153</v>
      </c>
      <c r="M553" s="103">
        <v>190</v>
      </c>
      <c r="N553" s="103" t="s">
        <v>2163</v>
      </c>
      <c r="O553" s="103">
        <v>190</v>
      </c>
      <c r="P553" s="103" t="s">
        <v>783</v>
      </c>
      <c r="R553" s="103" t="s">
        <v>121</v>
      </c>
      <c r="S553" s="103" t="s">
        <v>2427</v>
      </c>
      <c r="U553" s="103">
        <v>97.47</v>
      </c>
      <c r="V553" s="103" t="s">
        <v>2158</v>
      </c>
      <c r="W553" s="103" t="s">
        <v>121</v>
      </c>
      <c r="X553" s="103" t="s">
        <v>345</v>
      </c>
      <c r="Y553" s="103" t="s">
        <v>2240</v>
      </c>
      <c r="AA553" s="103" t="s">
        <v>121</v>
      </c>
      <c r="AB553" s="103" t="s">
        <v>74</v>
      </c>
      <c r="AE553" s="103" t="s">
        <v>1671</v>
      </c>
      <c r="AF553" s="103" t="b">
        <v>1</v>
      </c>
    </row>
    <row r="554" spans="1:32" hidden="1" x14ac:dyDescent="0.2">
      <c r="A554" s="103" t="s">
        <v>3864</v>
      </c>
      <c r="B554" s="103" t="s">
        <v>3824</v>
      </c>
      <c r="C554" s="103" t="s">
        <v>2752</v>
      </c>
      <c r="D554" s="103" t="s">
        <v>2753</v>
      </c>
      <c r="E554" s="103" t="s">
        <v>2740</v>
      </c>
      <c r="G554" s="103">
        <v>90</v>
      </c>
      <c r="H554" s="103" t="s">
        <v>2152</v>
      </c>
      <c r="I554" s="103" t="s">
        <v>2153</v>
      </c>
      <c r="K554" s="103">
        <v>90</v>
      </c>
      <c r="N554" s="103" t="s">
        <v>2163</v>
      </c>
      <c r="O554" s="103">
        <v>90</v>
      </c>
      <c r="P554" s="103" t="s">
        <v>783</v>
      </c>
      <c r="Q554" s="103" t="s">
        <v>2155</v>
      </c>
      <c r="R554" s="103" t="s">
        <v>121</v>
      </c>
      <c r="S554" s="103" t="s">
        <v>2427</v>
      </c>
      <c r="T554" s="103" t="s">
        <v>2754</v>
      </c>
      <c r="U554" s="103">
        <v>46.17</v>
      </c>
      <c r="V554" s="103" t="s">
        <v>2158</v>
      </c>
      <c r="W554" s="103" t="s">
        <v>121</v>
      </c>
      <c r="X554" s="103" t="s">
        <v>345</v>
      </c>
      <c r="Y554" s="103" t="s">
        <v>2240</v>
      </c>
      <c r="AA554" s="103" t="s">
        <v>121</v>
      </c>
      <c r="AB554" s="103" t="s">
        <v>74</v>
      </c>
      <c r="AE554" s="103" t="s">
        <v>1671</v>
      </c>
      <c r="AF554" s="103" t="b">
        <v>1</v>
      </c>
    </row>
    <row r="555" spans="1:32" hidden="1" x14ac:dyDescent="0.2">
      <c r="A555" s="103" t="s">
        <v>3864</v>
      </c>
      <c r="B555" s="103" t="s">
        <v>3824</v>
      </c>
      <c r="C555" s="103" t="s">
        <v>2755</v>
      </c>
      <c r="D555" s="103" t="s">
        <v>2756</v>
      </c>
      <c r="E555" s="103" t="s">
        <v>2740</v>
      </c>
      <c r="G555" s="103">
        <v>0</v>
      </c>
      <c r="H555" s="103" t="s">
        <v>2168</v>
      </c>
      <c r="I555" s="103" t="s">
        <v>2153</v>
      </c>
      <c r="N555" s="103" t="s">
        <v>2260</v>
      </c>
      <c r="O555" s="103">
        <v>0</v>
      </c>
      <c r="P555" s="103" t="s">
        <v>2757</v>
      </c>
      <c r="R555" s="103" t="s">
        <v>121</v>
      </c>
      <c r="S555" s="103" t="s">
        <v>2427</v>
      </c>
      <c r="U555" s="103">
        <v>0</v>
      </c>
      <c r="V555" s="103" t="s">
        <v>2262</v>
      </c>
      <c r="W555" s="103" t="s">
        <v>121</v>
      </c>
      <c r="X555" s="103" t="s">
        <v>345</v>
      </c>
      <c r="Y555" s="103" t="s">
        <v>2240</v>
      </c>
      <c r="AA555" s="103" t="s">
        <v>121</v>
      </c>
      <c r="AB555" s="103" t="s">
        <v>74</v>
      </c>
      <c r="AE555" s="103" t="s">
        <v>1671</v>
      </c>
      <c r="AF555" s="103" t="b">
        <v>1</v>
      </c>
    </row>
    <row r="556" spans="1:32" hidden="1" x14ac:dyDescent="0.2">
      <c r="A556" s="103" t="s">
        <v>691</v>
      </c>
      <c r="B556" s="103" t="s">
        <v>1728</v>
      </c>
      <c r="C556" s="103" t="s">
        <v>2758</v>
      </c>
      <c r="E556" s="103" t="s">
        <v>2759</v>
      </c>
      <c r="G556" s="103">
        <v>220</v>
      </c>
      <c r="H556" s="103" t="s">
        <v>2152</v>
      </c>
      <c r="I556" s="103" t="s">
        <v>2153</v>
      </c>
      <c r="J556" s="103">
        <v>55</v>
      </c>
      <c r="K556" s="103">
        <v>55</v>
      </c>
      <c r="L556" s="103">
        <v>55</v>
      </c>
      <c r="M556" s="103">
        <v>55</v>
      </c>
      <c r="N556" s="103" t="s">
        <v>2163</v>
      </c>
      <c r="O556" s="103">
        <v>220</v>
      </c>
      <c r="P556" s="103" t="s">
        <v>2739</v>
      </c>
      <c r="Q556" s="103" t="s">
        <v>2236</v>
      </c>
      <c r="R556" s="103" t="s">
        <v>121</v>
      </c>
      <c r="S556" s="103" t="s">
        <v>2427</v>
      </c>
      <c r="U556" s="103">
        <v>112.86</v>
      </c>
      <c r="V556" s="103" t="s">
        <v>2239</v>
      </c>
      <c r="W556" s="103" t="s">
        <v>121</v>
      </c>
      <c r="X556" s="103" t="s">
        <v>1945</v>
      </c>
      <c r="Y556" s="103" t="s">
        <v>1685</v>
      </c>
      <c r="AA556" s="103" t="s">
        <v>121</v>
      </c>
      <c r="AB556" s="103" t="s">
        <v>95</v>
      </c>
      <c r="AE556" s="103">
        <v>0</v>
      </c>
      <c r="AF556" s="103" t="b">
        <v>1</v>
      </c>
    </row>
    <row r="557" spans="1:32" hidden="1" x14ac:dyDescent="0.2">
      <c r="A557" s="103" t="s">
        <v>693</v>
      </c>
      <c r="B557" s="103" t="s">
        <v>692</v>
      </c>
      <c r="C557" s="103" t="s">
        <v>603</v>
      </c>
      <c r="D557" s="103" t="s">
        <v>693</v>
      </c>
      <c r="E557" s="103" t="s">
        <v>2605</v>
      </c>
      <c r="F557" s="103" t="s">
        <v>2175</v>
      </c>
      <c r="G557" s="103">
        <v>20</v>
      </c>
      <c r="H557" s="103" t="s">
        <v>2168</v>
      </c>
      <c r="I557" s="103" t="s">
        <v>2153</v>
      </c>
      <c r="K557" s="103">
        <v>20</v>
      </c>
      <c r="N557" s="103" t="s">
        <v>2163</v>
      </c>
      <c r="O557" s="103">
        <v>20</v>
      </c>
      <c r="P557" s="103" t="s">
        <v>1679</v>
      </c>
      <c r="Q557" s="103" t="s">
        <v>1393</v>
      </c>
      <c r="R557" s="103" t="s">
        <v>2225</v>
      </c>
      <c r="S557" s="103" t="s">
        <v>2251</v>
      </c>
      <c r="U557" s="103">
        <v>9.66</v>
      </c>
      <c r="V557" s="103" t="s">
        <v>2158</v>
      </c>
      <c r="W557" s="103" t="s">
        <v>106</v>
      </c>
      <c r="X557" s="103" t="s">
        <v>345</v>
      </c>
      <c r="Y557" s="103" t="s">
        <v>2240</v>
      </c>
      <c r="AA557" s="103" t="s">
        <v>2225</v>
      </c>
      <c r="AB557" s="103" t="s">
        <v>64</v>
      </c>
      <c r="AE557" s="103" t="s">
        <v>750</v>
      </c>
      <c r="AF557" s="103" t="b">
        <v>1</v>
      </c>
    </row>
    <row r="558" spans="1:32" hidden="1" x14ac:dyDescent="0.2">
      <c r="A558" s="103" t="s">
        <v>693</v>
      </c>
      <c r="B558" s="103" t="s">
        <v>692</v>
      </c>
      <c r="C558" s="103" t="s">
        <v>603</v>
      </c>
      <c r="D558" s="103" t="s">
        <v>2428</v>
      </c>
      <c r="E558" s="103" t="s">
        <v>2586</v>
      </c>
      <c r="G558" s="103">
        <v>5</v>
      </c>
      <c r="H558" s="103" t="s">
        <v>2152</v>
      </c>
      <c r="I558" s="103" t="s">
        <v>2153</v>
      </c>
      <c r="K558" s="103">
        <v>5</v>
      </c>
      <c r="N558" s="103" t="s">
        <v>2163</v>
      </c>
      <c r="O558" s="103">
        <v>5</v>
      </c>
      <c r="P558" s="103" t="s">
        <v>1679</v>
      </c>
      <c r="Q558" s="103" t="s">
        <v>1393</v>
      </c>
      <c r="R558" s="103" t="s">
        <v>2164</v>
      </c>
      <c r="U558" s="103">
        <v>3</v>
      </c>
      <c r="V558" s="103" t="s">
        <v>2158</v>
      </c>
      <c r="W558" s="103" t="s">
        <v>132</v>
      </c>
      <c r="X558" s="103" t="s">
        <v>345</v>
      </c>
      <c r="Y558" s="103" t="s">
        <v>2240</v>
      </c>
      <c r="AA558" s="103" t="s">
        <v>2164</v>
      </c>
      <c r="AB558" s="103" t="s">
        <v>64</v>
      </c>
      <c r="AE558" s="103" t="s">
        <v>750</v>
      </c>
      <c r="AF558" s="103" t="b">
        <v>1</v>
      </c>
    </row>
    <row r="559" spans="1:32" hidden="1" x14ac:dyDescent="0.2">
      <c r="A559" s="103" t="s">
        <v>483</v>
      </c>
      <c r="B559" s="103" t="s">
        <v>1660</v>
      </c>
      <c r="C559" s="103" t="s">
        <v>2760</v>
      </c>
      <c r="D559" s="103" t="s">
        <v>2761</v>
      </c>
      <c r="E559" s="103" t="s">
        <v>2406</v>
      </c>
      <c r="F559" s="103" t="s">
        <v>2228</v>
      </c>
      <c r="G559" s="103">
        <v>1200</v>
      </c>
      <c r="H559" s="103" t="s">
        <v>2152</v>
      </c>
      <c r="I559" s="103" t="s">
        <v>2153</v>
      </c>
      <c r="J559" s="103">
        <v>300</v>
      </c>
      <c r="K559" s="103">
        <v>300</v>
      </c>
      <c r="L559" s="103">
        <v>300</v>
      </c>
      <c r="M559" s="103">
        <v>300</v>
      </c>
      <c r="N559" s="103" t="s">
        <v>2402</v>
      </c>
      <c r="O559" s="103">
        <v>1200</v>
      </c>
      <c r="P559" s="103" t="s">
        <v>771</v>
      </c>
      <c r="Q559" s="103" t="s">
        <v>2155</v>
      </c>
      <c r="R559" s="103" t="s">
        <v>2156</v>
      </c>
      <c r="S559" s="103" t="s">
        <v>2396</v>
      </c>
      <c r="U559" s="103">
        <v>615.6</v>
      </c>
      <c r="V559" s="103" t="s">
        <v>2262</v>
      </c>
      <c r="W559" s="103" t="s">
        <v>114</v>
      </c>
      <c r="X559" s="103" t="s">
        <v>1597</v>
      </c>
      <c r="Y559" s="103" t="s">
        <v>1685</v>
      </c>
      <c r="AA559" s="103" t="s">
        <v>2156</v>
      </c>
      <c r="AB559" s="103" t="s">
        <v>68</v>
      </c>
      <c r="AC559" s="103" t="s">
        <v>2159</v>
      </c>
      <c r="AD559" s="103" t="s">
        <v>2203</v>
      </c>
      <c r="AE559" s="103" t="s">
        <v>766</v>
      </c>
      <c r="AF559" s="103" t="b">
        <v>1</v>
      </c>
    </row>
    <row r="560" spans="1:32" hidden="1" x14ac:dyDescent="0.2">
      <c r="A560" s="103" t="s">
        <v>483</v>
      </c>
      <c r="B560" s="103" t="s">
        <v>1660</v>
      </c>
      <c r="C560" s="103" t="s">
        <v>2760</v>
      </c>
      <c r="D560" s="103" t="s">
        <v>2762</v>
      </c>
      <c r="E560" s="103" t="s">
        <v>2406</v>
      </c>
      <c r="F560" s="103" t="s">
        <v>2228</v>
      </c>
      <c r="G560" s="103">
        <v>1200</v>
      </c>
      <c r="H560" s="103" t="s">
        <v>2152</v>
      </c>
      <c r="I560" s="103" t="s">
        <v>2153</v>
      </c>
      <c r="J560" s="103">
        <v>300</v>
      </c>
      <c r="K560" s="103">
        <v>300</v>
      </c>
      <c r="L560" s="103">
        <v>300</v>
      </c>
      <c r="M560" s="103">
        <v>300</v>
      </c>
      <c r="N560" s="103" t="s">
        <v>2402</v>
      </c>
      <c r="O560" s="103">
        <v>1200</v>
      </c>
      <c r="P560" s="103" t="s">
        <v>771</v>
      </c>
      <c r="Q560" s="103" t="s">
        <v>2155</v>
      </c>
      <c r="R560" s="103" t="s">
        <v>2156</v>
      </c>
      <c r="S560" s="103" t="s">
        <v>2209</v>
      </c>
      <c r="U560" s="103">
        <v>615.6</v>
      </c>
      <c r="V560" s="103" t="s">
        <v>2262</v>
      </c>
      <c r="W560" s="103" t="s">
        <v>114</v>
      </c>
      <c r="X560" s="103" t="s">
        <v>1597</v>
      </c>
      <c r="Y560" s="103" t="s">
        <v>1685</v>
      </c>
      <c r="AA560" s="103" t="s">
        <v>2156</v>
      </c>
      <c r="AB560" s="103" t="s">
        <v>68</v>
      </c>
      <c r="AC560" s="103" t="s">
        <v>2159</v>
      </c>
      <c r="AD560" s="103" t="s">
        <v>2203</v>
      </c>
      <c r="AE560" s="103" t="s">
        <v>766</v>
      </c>
      <c r="AF560" s="103" t="b">
        <v>1</v>
      </c>
    </row>
    <row r="561" spans="1:32" hidden="1" x14ac:dyDescent="0.2">
      <c r="A561" s="103" t="s">
        <v>483</v>
      </c>
      <c r="B561" s="103" t="s">
        <v>1660</v>
      </c>
      <c r="C561" s="103" t="s">
        <v>2760</v>
      </c>
      <c r="D561" s="103" t="s">
        <v>2763</v>
      </c>
      <c r="E561" s="103" t="s">
        <v>2195</v>
      </c>
      <c r="F561" s="103" t="s">
        <v>2226</v>
      </c>
      <c r="G561" s="103">
        <v>2000</v>
      </c>
      <c r="H561" s="103" t="s">
        <v>2152</v>
      </c>
      <c r="I561" s="103" t="s">
        <v>2153</v>
      </c>
      <c r="J561" s="103">
        <v>500</v>
      </c>
      <c r="K561" s="103">
        <v>500</v>
      </c>
      <c r="L561" s="103">
        <v>500</v>
      </c>
      <c r="M561" s="103">
        <v>500</v>
      </c>
      <c r="N561" s="103" t="s">
        <v>2402</v>
      </c>
      <c r="O561" s="103">
        <v>2000</v>
      </c>
      <c r="P561" s="103" t="s">
        <v>771</v>
      </c>
      <c r="Q561" s="103" t="s">
        <v>2155</v>
      </c>
      <c r="R561" s="103" t="s">
        <v>2156</v>
      </c>
      <c r="S561" s="103" t="s">
        <v>2209</v>
      </c>
      <c r="U561" s="103">
        <v>1026</v>
      </c>
      <c r="V561" s="103" t="s">
        <v>2262</v>
      </c>
      <c r="W561" s="103" t="s">
        <v>114</v>
      </c>
      <c r="X561" s="103" t="s">
        <v>1597</v>
      </c>
      <c r="Y561" s="103" t="s">
        <v>1685</v>
      </c>
      <c r="AA561" s="103" t="s">
        <v>2156</v>
      </c>
      <c r="AB561" s="103" t="s">
        <v>68</v>
      </c>
      <c r="AC561" s="103" t="s">
        <v>2159</v>
      </c>
      <c r="AD561" s="103" t="s">
        <v>2203</v>
      </c>
      <c r="AE561" s="103" t="s">
        <v>766</v>
      </c>
      <c r="AF561" s="103" t="b">
        <v>1</v>
      </c>
    </row>
    <row r="562" spans="1:32" hidden="1" x14ac:dyDescent="0.2">
      <c r="A562" s="103" t="s">
        <v>696</v>
      </c>
      <c r="B562" s="103" t="s">
        <v>1730</v>
      </c>
      <c r="E562" s="103" t="s">
        <v>2447</v>
      </c>
      <c r="F562" s="103" t="s">
        <v>2151</v>
      </c>
      <c r="G562" s="103">
        <v>100</v>
      </c>
      <c r="H562" s="103" t="s">
        <v>2168</v>
      </c>
      <c r="I562" s="103" t="s">
        <v>2153</v>
      </c>
      <c r="L562" s="103">
        <v>50</v>
      </c>
      <c r="M562" s="103">
        <v>50</v>
      </c>
      <c r="N562" s="103" t="s">
        <v>2260</v>
      </c>
      <c r="O562" s="103">
        <v>100</v>
      </c>
      <c r="P562" s="103" t="s">
        <v>1651</v>
      </c>
      <c r="R562" s="103" t="s">
        <v>121</v>
      </c>
      <c r="S562" s="103" t="s">
        <v>2473</v>
      </c>
      <c r="U562" s="103">
        <v>51.3</v>
      </c>
      <c r="V562" s="103" t="s">
        <v>2262</v>
      </c>
      <c r="W562" s="103" t="s">
        <v>121</v>
      </c>
      <c r="X562" s="103" t="s">
        <v>1597</v>
      </c>
      <c r="Y562" s="103" t="s">
        <v>1685</v>
      </c>
      <c r="AA562" s="103" t="s">
        <v>121</v>
      </c>
      <c r="AB562" s="103" t="s">
        <v>74</v>
      </c>
      <c r="AE562" s="103" t="s">
        <v>1241</v>
      </c>
      <c r="AF562" s="103" t="b">
        <v>1</v>
      </c>
    </row>
    <row r="563" spans="1:32" hidden="1" x14ac:dyDescent="0.2">
      <c r="A563" s="103" t="s">
        <v>696</v>
      </c>
      <c r="B563" s="103" t="s">
        <v>1730</v>
      </c>
      <c r="E563" s="103" t="s">
        <v>2680</v>
      </c>
      <c r="F563" s="103" t="s">
        <v>2175</v>
      </c>
      <c r="G563" s="103">
        <v>20</v>
      </c>
      <c r="H563" s="103" t="s">
        <v>2168</v>
      </c>
      <c r="I563" s="103" t="s">
        <v>2153</v>
      </c>
      <c r="L563" s="103">
        <v>20</v>
      </c>
      <c r="N563" s="103" t="s">
        <v>2260</v>
      </c>
      <c r="O563" s="103">
        <v>20</v>
      </c>
      <c r="P563" s="103" t="s">
        <v>1651</v>
      </c>
      <c r="R563" s="103" t="s">
        <v>121</v>
      </c>
      <c r="S563" s="103" t="s">
        <v>2473</v>
      </c>
      <c r="U563" s="103">
        <v>10.26</v>
      </c>
      <c r="V563" s="103" t="s">
        <v>2262</v>
      </c>
      <c r="W563" s="103" t="s">
        <v>121</v>
      </c>
      <c r="X563" s="103" t="s">
        <v>1597</v>
      </c>
      <c r="Y563" s="103" t="s">
        <v>1685</v>
      </c>
      <c r="AA563" s="103" t="s">
        <v>121</v>
      </c>
      <c r="AB563" s="103" t="s">
        <v>74</v>
      </c>
      <c r="AE563" s="103" t="s">
        <v>1241</v>
      </c>
      <c r="AF563" s="103" t="b">
        <v>1</v>
      </c>
    </row>
    <row r="564" spans="1:32" hidden="1" x14ac:dyDescent="0.2">
      <c r="A564" s="103" t="s">
        <v>698</v>
      </c>
      <c r="B564" s="103" t="s">
        <v>697</v>
      </c>
      <c r="C564" s="103" t="s">
        <v>2385</v>
      </c>
      <c r="E564" s="103" t="s">
        <v>2386</v>
      </c>
      <c r="G564" s="103">
        <v>343.8</v>
      </c>
      <c r="H564" s="103" t="s">
        <v>2168</v>
      </c>
      <c r="I564" s="103" t="s">
        <v>2153</v>
      </c>
      <c r="J564" s="103">
        <v>85.95</v>
      </c>
      <c r="K564" s="103">
        <v>85.95</v>
      </c>
      <c r="L564" s="103">
        <v>85.95</v>
      </c>
      <c r="M564" s="103">
        <v>85.95</v>
      </c>
      <c r="N564" s="103" t="s">
        <v>2163</v>
      </c>
      <c r="O564" s="103">
        <v>343.8</v>
      </c>
      <c r="P564" s="103" t="s">
        <v>1567</v>
      </c>
      <c r="Q564" s="103" t="s">
        <v>2236</v>
      </c>
      <c r="R564" s="103" t="s">
        <v>2156</v>
      </c>
      <c r="U564" s="103">
        <v>176.36939999999998</v>
      </c>
      <c r="V564" s="103" t="s">
        <v>2158</v>
      </c>
      <c r="W564" s="103" t="s">
        <v>114</v>
      </c>
      <c r="X564" s="103" t="s">
        <v>1597</v>
      </c>
      <c r="Y564" s="103" t="s">
        <v>1685</v>
      </c>
      <c r="AA564" s="103" t="s">
        <v>2156</v>
      </c>
      <c r="AB564" s="103" t="s">
        <v>68</v>
      </c>
      <c r="AC564" s="103" t="s">
        <v>2159</v>
      </c>
      <c r="AD564" s="103" t="s">
        <v>2388</v>
      </c>
      <c r="AE564" s="103" t="s">
        <v>766</v>
      </c>
      <c r="AF564" s="103" t="b">
        <v>1</v>
      </c>
    </row>
    <row r="565" spans="1:32" hidden="1" x14ac:dyDescent="0.2">
      <c r="A565" s="103" t="s">
        <v>698</v>
      </c>
      <c r="B565" s="103" t="s">
        <v>697</v>
      </c>
      <c r="C565" s="103" t="s">
        <v>2385</v>
      </c>
      <c r="E565" s="103" t="s">
        <v>2213</v>
      </c>
      <c r="G565" s="103">
        <v>229.2</v>
      </c>
      <c r="H565" s="103" t="s">
        <v>2168</v>
      </c>
      <c r="I565" s="103" t="s">
        <v>2153</v>
      </c>
      <c r="J565" s="103">
        <v>57.3</v>
      </c>
      <c r="K565" s="103">
        <v>57.3</v>
      </c>
      <c r="L565" s="103">
        <v>57.3</v>
      </c>
      <c r="M565" s="103">
        <v>57.3</v>
      </c>
      <c r="N565" s="103" t="s">
        <v>2163</v>
      </c>
      <c r="O565" s="103">
        <v>229.2</v>
      </c>
      <c r="P565" s="103" t="s">
        <v>1567</v>
      </c>
      <c r="Q565" s="103" t="s">
        <v>2236</v>
      </c>
      <c r="R565" s="103" t="s">
        <v>2156</v>
      </c>
      <c r="U565" s="103">
        <v>117.57959999999999</v>
      </c>
      <c r="V565" s="103" t="s">
        <v>2158</v>
      </c>
      <c r="W565" s="103" t="s">
        <v>114</v>
      </c>
      <c r="X565" s="103" t="s">
        <v>1597</v>
      </c>
      <c r="Y565" s="103" t="s">
        <v>1685</v>
      </c>
      <c r="AA565" s="103" t="s">
        <v>2156</v>
      </c>
      <c r="AB565" s="103" t="s">
        <v>68</v>
      </c>
      <c r="AC565" s="103" t="s">
        <v>2159</v>
      </c>
      <c r="AD565" s="103" t="s">
        <v>2388</v>
      </c>
      <c r="AE565" s="103" t="s">
        <v>766</v>
      </c>
      <c r="AF565" s="103" t="b">
        <v>1</v>
      </c>
    </row>
    <row r="566" spans="1:32" hidden="1" x14ac:dyDescent="0.2">
      <c r="A566" s="103" t="s">
        <v>698</v>
      </c>
      <c r="B566" s="103" t="s">
        <v>697</v>
      </c>
      <c r="C566" s="103" t="s">
        <v>2385</v>
      </c>
      <c r="E566" s="103" t="s">
        <v>2389</v>
      </c>
      <c r="G566" s="103">
        <v>171.9</v>
      </c>
      <c r="H566" s="103" t="s">
        <v>2168</v>
      </c>
      <c r="I566" s="103" t="s">
        <v>2153</v>
      </c>
      <c r="J566" s="103">
        <v>42.975000000000001</v>
      </c>
      <c r="K566" s="103">
        <v>42.975000000000001</v>
      </c>
      <c r="L566" s="103">
        <v>42.975000000000001</v>
      </c>
      <c r="M566" s="103">
        <v>42.975000000000001</v>
      </c>
      <c r="N566" s="103" t="s">
        <v>2163</v>
      </c>
      <c r="O566" s="103">
        <v>171.9</v>
      </c>
      <c r="P566" s="103" t="s">
        <v>1567</v>
      </c>
      <c r="Q566" s="103" t="s">
        <v>2236</v>
      </c>
      <c r="R566" s="103" t="s">
        <v>2156</v>
      </c>
      <c r="U566" s="103">
        <v>88.184699999999992</v>
      </c>
      <c r="V566" s="103" t="s">
        <v>2158</v>
      </c>
      <c r="W566" s="103" t="s">
        <v>114</v>
      </c>
      <c r="X566" s="103" t="s">
        <v>1597</v>
      </c>
      <c r="Y566" s="103" t="s">
        <v>1685</v>
      </c>
      <c r="AA566" s="103" t="s">
        <v>2156</v>
      </c>
      <c r="AB566" s="103" t="s">
        <v>68</v>
      </c>
      <c r="AC566" s="103" t="s">
        <v>2159</v>
      </c>
      <c r="AD566" s="103" t="s">
        <v>2388</v>
      </c>
      <c r="AE566" s="103" t="s">
        <v>766</v>
      </c>
      <c r="AF566" s="103" t="b">
        <v>1</v>
      </c>
    </row>
    <row r="567" spans="1:32" hidden="1" x14ac:dyDescent="0.2">
      <c r="A567" s="103" t="s">
        <v>699</v>
      </c>
      <c r="B567" s="103" t="s">
        <v>1731</v>
      </c>
      <c r="E567" s="103" t="s">
        <v>2474</v>
      </c>
      <c r="G567" s="103">
        <v>80</v>
      </c>
      <c r="H567" s="103" t="s">
        <v>2168</v>
      </c>
      <c r="I567" s="103" t="s">
        <v>2153</v>
      </c>
      <c r="J567" s="103">
        <v>80</v>
      </c>
      <c r="N567" s="103" t="s">
        <v>2260</v>
      </c>
      <c r="O567" s="103">
        <v>80</v>
      </c>
      <c r="P567" s="103" t="s">
        <v>1651</v>
      </c>
      <c r="R567" s="103" t="s">
        <v>121</v>
      </c>
      <c r="S567" s="103" t="s">
        <v>2229</v>
      </c>
      <c r="U567" s="103">
        <v>41.04</v>
      </c>
      <c r="V567" s="103" t="s">
        <v>2262</v>
      </c>
      <c r="W567" s="103" t="s">
        <v>121</v>
      </c>
      <c r="X567" s="103" t="s">
        <v>1597</v>
      </c>
      <c r="Y567" s="103" t="s">
        <v>1685</v>
      </c>
      <c r="AA567" s="103" t="s">
        <v>121</v>
      </c>
      <c r="AB567" s="103" t="s">
        <v>74</v>
      </c>
      <c r="AE567" s="103" t="s">
        <v>1241</v>
      </c>
      <c r="AF567" s="103" t="b">
        <v>1</v>
      </c>
    </row>
    <row r="568" spans="1:32" hidden="1" x14ac:dyDescent="0.2">
      <c r="A568" s="103" t="s">
        <v>699</v>
      </c>
      <c r="B568" s="103" t="s">
        <v>1731</v>
      </c>
      <c r="E568" s="103" t="s">
        <v>2447</v>
      </c>
      <c r="F568" s="103" t="s">
        <v>2175</v>
      </c>
      <c r="G568" s="103">
        <v>20</v>
      </c>
      <c r="H568" s="103" t="s">
        <v>2168</v>
      </c>
      <c r="I568" s="103" t="s">
        <v>2153</v>
      </c>
      <c r="J568" s="103">
        <v>20</v>
      </c>
      <c r="N568" s="103" t="s">
        <v>2260</v>
      </c>
      <c r="O568" s="103">
        <v>20</v>
      </c>
      <c r="P568" s="103" t="s">
        <v>1651</v>
      </c>
      <c r="R568" s="103" t="s">
        <v>121</v>
      </c>
      <c r="S568" s="103" t="s">
        <v>2229</v>
      </c>
      <c r="U568" s="103">
        <v>10.26</v>
      </c>
      <c r="V568" s="103" t="s">
        <v>2262</v>
      </c>
      <c r="W568" s="103" t="s">
        <v>121</v>
      </c>
      <c r="X568" s="103" t="s">
        <v>1597</v>
      </c>
      <c r="Y568" s="103" t="s">
        <v>1685</v>
      </c>
      <c r="AA568" s="103" t="s">
        <v>121</v>
      </c>
      <c r="AB568" s="103" t="s">
        <v>74</v>
      </c>
      <c r="AE568" s="103" t="s">
        <v>1241</v>
      </c>
      <c r="AF568" s="103" t="b">
        <v>1</v>
      </c>
    </row>
    <row r="569" spans="1:32" hidden="1" x14ac:dyDescent="0.2">
      <c r="A569" s="103" t="s">
        <v>702</v>
      </c>
      <c r="B569" s="103" t="s">
        <v>701</v>
      </c>
      <c r="C569" s="103" t="s">
        <v>702</v>
      </c>
      <c r="E569" s="103" t="s">
        <v>2477</v>
      </c>
      <c r="G569" s="103">
        <v>50</v>
      </c>
      <c r="H569" s="103" t="s">
        <v>2152</v>
      </c>
      <c r="I569" s="103" t="s">
        <v>2153</v>
      </c>
      <c r="J569" s="103">
        <v>30</v>
      </c>
      <c r="K569" s="103">
        <v>10</v>
      </c>
      <c r="L569" s="103">
        <v>5</v>
      </c>
      <c r="M569" s="103">
        <v>5</v>
      </c>
      <c r="N569" s="103" t="s">
        <v>2163</v>
      </c>
      <c r="O569" s="103">
        <v>50</v>
      </c>
      <c r="P569" s="103" t="s">
        <v>1694</v>
      </c>
      <c r="R569" s="103" t="s">
        <v>121</v>
      </c>
      <c r="S569" s="103" t="s">
        <v>2192</v>
      </c>
      <c r="U569" s="103">
        <v>25.65</v>
      </c>
      <c r="V569" s="103" t="s">
        <v>2158</v>
      </c>
      <c r="W569" s="103" t="s">
        <v>121</v>
      </c>
      <c r="X569" s="103" t="s">
        <v>1597</v>
      </c>
      <c r="Y569" s="103" t="s">
        <v>1685</v>
      </c>
      <c r="AA569" s="103" t="s">
        <v>121</v>
      </c>
      <c r="AB569" s="103" t="s">
        <v>74</v>
      </c>
      <c r="AE569" s="103" t="s">
        <v>1241</v>
      </c>
      <c r="AF569" s="103" t="b">
        <v>1</v>
      </c>
    </row>
    <row r="570" spans="1:32" hidden="1" x14ac:dyDescent="0.2">
      <c r="A570" s="103" t="s">
        <v>702</v>
      </c>
      <c r="B570" s="103" t="s">
        <v>701</v>
      </c>
      <c r="C570" s="103" t="s">
        <v>702</v>
      </c>
      <c r="E570" s="103" t="s">
        <v>2575</v>
      </c>
      <c r="G570" s="103">
        <v>75</v>
      </c>
      <c r="H570" s="103" t="s">
        <v>2152</v>
      </c>
      <c r="I570" s="103" t="s">
        <v>2153</v>
      </c>
      <c r="J570" s="103">
        <v>10</v>
      </c>
      <c r="K570" s="103">
        <v>10</v>
      </c>
      <c r="L570" s="103">
        <v>5</v>
      </c>
      <c r="M570" s="103">
        <v>50</v>
      </c>
      <c r="N570" s="103" t="s">
        <v>2163</v>
      </c>
      <c r="O570" s="103">
        <v>75</v>
      </c>
      <c r="P570" s="103" t="s">
        <v>1694</v>
      </c>
      <c r="R570" s="103" t="s">
        <v>121</v>
      </c>
      <c r="S570" s="103" t="s">
        <v>2192</v>
      </c>
      <c r="U570" s="103">
        <v>38.475000000000001</v>
      </c>
      <c r="V570" s="103" t="s">
        <v>2158</v>
      </c>
      <c r="W570" s="103" t="s">
        <v>121</v>
      </c>
      <c r="X570" s="103" t="s">
        <v>1597</v>
      </c>
      <c r="Y570" s="103" t="s">
        <v>1685</v>
      </c>
      <c r="AA570" s="103" t="s">
        <v>121</v>
      </c>
      <c r="AB570" s="103" t="s">
        <v>74</v>
      </c>
      <c r="AE570" s="103" t="s">
        <v>1241</v>
      </c>
      <c r="AF570" s="103" t="b">
        <v>1</v>
      </c>
    </row>
    <row r="571" spans="1:32" hidden="1" x14ac:dyDescent="0.2">
      <c r="A571" s="103" t="s">
        <v>702</v>
      </c>
      <c r="B571" s="103" t="s">
        <v>701</v>
      </c>
      <c r="C571" s="103" t="s">
        <v>702</v>
      </c>
      <c r="E571" s="103" t="s">
        <v>111</v>
      </c>
      <c r="G571" s="103">
        <v>500</v>
      </c>
      <c r="H571" s="103" t="s">
        <v>2152</v>
      </c>
      <c r="I571" s="103" t="s">
        <v>2153</v>
      </c>
      <c r="J571" s="103">
        <v>200</v>
      </c>
      <c r="K571" s="103">
        <v>200</v>
      </c>
      <c r="L571" s="103">
        <v>50</v>
      </c>
      <c r="M571" s="103">
        <v>50</v>
      </c>
      <c r="N571" s="103" t="s">
        <v>2163</v>
      </c>
      <c r="O571" s="103">
        <v>500</v>
      </c>
      <c r="P571" s="103" t="s">
        <v>1246</v>
      </c>
      <c r="R571" s="103" t="s">
        <v>2225</v>
      </c>
      <c r="S571" s="103" t="s">
        <v>2192</v>
      </c>
      <c r="U571" s="103">
        <v>246</v>
      </c>
      <c r="V571" s="103" t="s">
        <v>2158</v>
      </c>
      <c r="W571" s="103" t="s">
        <v>111</v>
      </c>
      <c r="X571" s="103" t="s">
        <v>1597</v>
      </c>
      <c r="Y571" s="103" t="s">
        <v>1685</v>
      </c>
      <c r="AA571" s="103" t="s">
        <v>2225</v>
      </c>
      <c r="AB571" s="103" t="s">
        <v>74</v>
      </c>
      <c r="AE571" s="103" t="s">
        <v>1241</v>
      </c>
      <c r="AF571" s="103" t="b">
        <v>1</v>
      </c>
    </row>
    <row r="572" spans="1:32" hidden="1" x14ac:dyDescent="0.2">
      <c r="A572" s="103" t="s">
        <v>704</v>
      </c>
      <c r="B572" s="103" t="s">
        <v>703</v>
      </c>
      <c r="C572" s="103" t="s">
        <v>704</v>
      </c>
      <c r="E572" s="103" t="s">
        <v>2447</v>
      </c>
      <c r="G572" s="103">
        <v>100</v>
      </c>
      <c r="H572" s="103" t="s">
        <v>2152</v>
      </c>
      <c r="I572" s="103" t="s">
        <v>2153</v>
      </c>
      <c r="J572" s="103">
        <v>25</v>
      </c>
      <c r="K572" s="103">
        <v>25</v>
      </c>
      <c r="L572" s="103">
        <v>25</v>
      </c>
      <c r="M572" s="103">
        <v>25</v>
      </c>
      <c r="N572" s="103" t="s">
        <v>2163</v>
      </c>
      <c r="O572" s="103">
        <v>100</v>
      </c>
      <c r="P572" s="103" t="s">
        <v>1246</v>
      </c>
      <c r="R572" s="103" t="s">
        <v>121</v>
      </c>
      <c r="S572" s="103" t="s">
        <v>2192</v>
      </c>
      <c r="U572" s="103">
        <v>51.3</v>
      </c>
      <c r="V572" s="103" t="s">
        <v>2158</v>
      </c>
      <c r="W572" s="103" t="s">
        <v>121</v>
      </c>
      <c r="X572" s="103" t="s">
        <v>1597</v>
      </c>
      <c r="Y572" s="103" t="s">
        <v>1685</v>
      </c>
      <c r="AA572" s="103" t="s">
        <v>121</v>
      </c>
      <c r="AB572" s="103" t="s">
        <v>74</v>
      </c>
      <c r="AE572" s="103" t="s">
        <v>1241</v>
      </c>
      <c r="AF572" s="103" t="b">
        <v>1</v>
      </c>
    </row>
    <row r="573" spans="1:32" hidden="1" x14ac:dyDescent="0.2">
      <c r="A573" s="103" t="s">
        <v>706</v>
      </c>
      <c r="B573" s="103" t="s">
        <v>705</v>
      </c>
      <c r="C573" s="103" t="s">
        <v>706</v>
      </c>
      <c r="E573" s="103" t="s">
        <v>2680</v>
      </c>
      <c r="G573" s="103">
        <v>200</v>
      </c>
      <c r="H573" s="103" t="s">
        <v>2152</v>
      </c>
      <c r="I573" s="103" t="s">
        <v>2153</v>
      </c>
      <c r="J573" s="103">
        <v>50</v>
      </c>
      <c r="K573" s="103">
        <v>50</v>
      </c>
      <c r="L573" s="103">
        <v>50</v>
      </c>
      <c r="M573" s="103">
        <v>50</v>
      </c>
      <c r="N573" s="103" t="s">
        <v>2163</v>
      </c>
      <c r="O573" s="103">
        <v>200</v>
      </c>
      <c r="P573" s="103" t="s">
        <v>1246</v>
      </c>
      <c r="R573" s="103" t="s">
        <v>121</v>
      </c>
      <c r="S573" s="103" t="s">
        <v>2192</v>
      </c>
      <c r="U573" s="103">
        <v>102.6</v>
      </c>
      <c r="V573" s="103" t="s">
        <v>2158</v>
      </c>
      <c r="W573" s="103" t="s">
        <v>121</v>
      </c>
      <c r="X573" s="103" t="s">
        <v>1597</v>
      </c>
      <c r="Y573" s="103" t="s">
        <v>1685</v>
      </c>
      <c r="AA573" s="103" t="s">
        <v>121</v>
      </c>
      <c r="AB573" s="103" t="s">
        <v>74</v>
      </c>
      <c r="AE573" s="103" t="s">
        <v>1241</v>
      </c>
      <c r="AF573" s="103" t="b">
        <v>1</v>
      </c>
    </row>
    <row r="574" spans="1:32" hidden="1" x14ac:dyDescent="0.2">
      <c r="A574" s="103" t="s">
        <v>708</v>
      </c>
      <c r="B574" s="103" t="s">
        <v>707</v>
      </c>
      <c r="C574" s="103" t="s">
        <v>708</v>
      </c>
      <c r="E574" s="103" t="s">
        <v>133</v>
      </c>
      <c r="G574" s="103">
        <v>105</v>
      </c>
      <c r="H574" s="103" t="s">
        <v>2152</v>
      </c>
      <c r="I574" s="103" t="s">
        <v>2153</v>
      </c>
      <c r="J574" s="103">
        <v>25</v>
      </c>
      <c r="K574" s="103">
        <v>30</v>
      </c>
      <c r="L574" s="103">
        <v>25</v>
      </c>
      <c r="M574" s="103">
        <v>25</v>
      </c>
      <c r="N574" s="103" t="s">
        <v>2163</v>
      </c>
      <c r="O574" s="103">
        <v>105</v>
      </c>
      <c r="P574" s="103" t="s">
        <v>1246</v>
      </c>
      <c r="R574" s="103" t="s">
        <v>2164</v>
      </c>
      <c r="S574" s="103" t="s">
        <v>2448</v>
      </c>
      <c r="T574" s="103" t="s">
        <v>2764</v>
      </c>
      <c r="U574" s="103">
        <v>68.775000000000006</v>
      </c>
      <c r="V574" s="103" t="s">
        <v>2158</v>
      </c>
      <c r="W574" s="103" t="s">
        <v>133</v>
      </c>
      <c r="X574" s="103" t="s">
        <v>1597</v>
      </c>
      <c r="Y574" s="103" t="s">
        <v>1685</v>
      </c>
      <c r="AA574" s="103" t="s">
        <v>2164</v>
      </c>
      <c r="AB574" s="103" t="s">
        <v>74</v>
      </c>
      <c r="AE574" s="103" t="s">
        <v>1241</v>
      </c>
      <c r="AF574" s="103" t="b">
        <v>1</v>
      </c>
    </row>
    <row r="575" spans="1:32" hidden="1" x14ac:dyDescent="0.2">
      <c r="A575" s="103" t="s">
        <v>709</v>
      </c>
      <c r="B575" s="103" t="s">
        <v>1733</v>
      </c>
      <c r="E575" s="103" t="s">
        <v>133</v>
      </c>
      <c r="F575" s="103" t="s">
        <v>2162</v>
      </c>
      <c r="G575" s="103">
        <v>80</v>
      </c>
      <c r="H575" s="103" t="s">
        <v>2168</v>
      </c>
      <c r="I575" s="103" t="s">
        <v>2153</v>
      </c>
      <c r="L575" s="103">
        <v>20</v>
      </c>
      <c r="M575" s="103">
        <v>60</v>
      </c>
      <c r="N575" s="103" t="s">
        <v>2260</v>
      </c>
      <c r="O575" s="103">
        <v>80</v>
      </c>
      <c r="P575" s="103" t="s">
        <v>1651</v>
      </c>
      <c r="R575" s="103" t="s">
        <v>2164</v>
      </c>
      <c r="S575" s="103" t="s">
        <v>2448</v>
      </c>
      <c r="U575" s="103">
        <v>52.4</v>
      </c>
      <c r="V575" s="103" t="s">
        <v>2262</v>
      </c>
      <c r="W575" s="103" t="s">
        <v>133</v>
      </c>
      <c r="X575" s="103" t="s">
        <v>1597</v>
      </c>
      <c r="Y575" s="103" t="s">
        <v>1685</v>
      </c>
      <c r="AA575" s="103" t="s">
        <v>2164</v>
      </c>
      <c r="AB575" s="103" t="s">
        <v>74</v>
      </c>
      <c r="AE575" s="103" t="s">
        <v>1241</v>
      </c>
      <c r="AF575" s="103" t="b">
        <v>1</v>
      </c>
    </row>
    <row r="576" spans="1:32" hidden="1" x14ac:dyDescent="0.2">
      <c r="A576" s="103" t="s">
        <v>711</v>
      </c>
      <c r="B576" s="103" t="s">
        <v>710</v>
      </c>
      <c r="D576" s="103" t="s">
        <v>2428</v>
      </c>
      <c r="E576" s="103" t="s">
        <v>2586</v>
      </c>
      <c r="G576" s="103">
        <v>30</v>
      </c>
      <c r="H576" s="103" t="s">
        <v>2152</v>
      </c>
      <c r="I576" s="103" t="s">
        <v>2153</v>
      </c>
      <c r="J576" s="103">
        <v>15</v>
      </c>
      <c r="K576" s="103">
        <v>15</v>
      </c>
      <c r="N576" s="103" t="s">
        <v>2163</v>
      </c>
      <c r="O576" s="103">
        <v>30</v>
      </c>
      <c r="P576" s="103" t="s">
        <v>1679</v>
      </c>
      <c r="Q576" s="103" t="s">
        <v>2155</v>
      </c>
      <c r="R576" s="103" t="s">
        <v>2164</v>
      </c>
      <c r="U576" s="103">
        <v>18</v>
      </c>
      <c r="V576" s="103" t="s">
        <v>2158</v>
      </c>
      <c r="W576" s="103" t="s">
        <v>132</v>
      </c>
      <c r="X576" s="103" t="s">
        <v>345</v>
      </c>
      <c r="Y576" s="103" t="s">
        <v>2240</v>
      </c>
      <c r="AA576" s="103" t="s">
        <v>2164</v>
      </c>
      <c r="AB576" s="103" t="s">
        <v>64</v>
      </c>
      <c r="AE576" s="103" t="s">
        <v>750</v>
      </c>
      <c r="AF576" s="103" t="b">
        <v>1</v>
      </c>
    </row>
    <row r="577" spans="1:32" hidden="1" x14ac:dyDescent="0.2">
      <c r="A577" s="103" t="s">
        <v>713</v>
      </c>
      <c r="B577" s="103" t="s">
        <v>712</v>
      </c>
      <c r="C577" s="103" t="s">
        <v>2248</v>
      </c>
      <c r="D577" s="103" t="s">
        <v>2765</v>
      </c>
      <c r="E577" s="103" t="s">
        <v>2498</v>
      </c>
      <c r="G577" s="103">
        <v>0</v>
      </c>
      <c r="H577" s="103" t="s">
        <v>2168</v>
      </c>
      <c r="I577" s="103" t="s">
        <v>2153</v>
      </c>
      <c r="N577" s="103" t="s">
        <v>2163</v>
      </c>
      <c r="O577" s="103">
        <v>0</v>
      </c>
      <c r="P577" s="103" t="s">
        <v>839</v>
      </c>
      <c r="Q577" s="103" t="s">
        <v>2155</v>
      </c>
      <c r="R577" s="103" t="s">
        <v>2225</v>
      </c>
      <c r="S577" s="103" t="s">
        <v>2251</v>
      </c>
      <c r="U577" s="103">
        <v>0</v>
      </c>
      <c r="V577" s="103" t="s">
        <v>2158</v>
      </c>
      <c r="W577" s="103" t="s">
        <v>119</v>
      </c>
      <c r="X577" s="103" t="s">
        <v>1685</v>
      </c>
      <c r="Y577" s="103" t="s">
        <v>1685</v>
      </c>
      <c r="AA577" s="103" t="s">
        <v>2225</v>
      </c>
      <c r="AB577" s="103" t="s">
        <v>64</v>
      </c>
      <c r="AE577" s="103" t="s">
        <v>1618</v>
      </c>
      <c r="AF577" s="103" t="b">
        <v>1</v>
      </c>
    </row>
    <row r="578" spans="1:32" hidden="1" x14ac:dyDescent="0.2">
      <c r="A578" s="103" t="s">
        <v>446</v>
      </c>
      <c r="B578" s="103" t="s">
        <v>445</v>
      </c>
      <c r="C578" s="103" t="s">
        <v>2521</v>
      </c>
      <c r="E578" s="103" t="s">
        <v>2249</v>
      </c>
      <c r="F578" s="103" t="s">
        <v>2151</v>
      </c>
      <c r="G578" s="103">
        <v>100</v>
      </c>
      <c r="H578" s="103" t="s">
        <v>2168</v>
      </c>
      <c r="I578" s="103" t="s">
        <v>2153</v>
      </c>
      <c r="L578" s="103">
        <v>50</v>
      </c>
      <c r="M578" s="103">
        <v>50</v>
      </c>
      <c r="N578" s="103" t="s">
        <v>2163</v>
      </c>
      <c r="O578" s="103">
        <v>100</v>
      </c>
      <c r="P578" s="103" t="s">
        <v>839</v>
      </c>
      <c r="R578" s="103" t="s">
        <v>2164</v>
      </c>
      <c r="U578" s="103">
        <v>60</v>
      </c>
      <c r="V578" s="103" t="s">
        <v>2158</v>
      </c>
      <c r="W578" s="103" t="s">
        <v>132</v>
      </c>
      <c r="X578" s="103" t="s">
        <v>1597</v>
      </c>
      <c r="Y578" s="103" t="s">
        <v>1685</v>
      </c>
      <c r="AA578" s="103" t="s">
        <v>2164</v>
      </c>
      <c r="AB578" s="103" t="s">
        <v>95</v>
      </c>
      <c r="AE578" s="103" t="s">
        <v>1473</v>
      </c>
      <c r="AF578" s="103" t="b">
        <v>1</v>
      </c>
    </row>
    <row r="579" spans="1:32" hidden="1" x14ac:dyDescent="0.2">
      <c r="A579" s="103" t="s">
        <v>446</v>
      </c>
      <c r="B579" s="103" t="s">
        <v>445</v>
      </c>
      <c r="C579" s="103" t="s">
        <v>2521</v>
      </c>
      <c r="E579" s="103" t="s">
        <v>2250</v>
      </c>
      <c r="G579" s="103">
        <v>100</v>
      </c>
      <c r="H579" s="103" t="s">
        <v>2152</v>
      </c>
      <c r="I579" s="103" t="s">
        <v>2153</v>
      </c>
      <c r="L579" s="103">
        <v>50</v>
      </c>
      <c r="M579" s="103">
        <v>50</v>
      </c>
      <c r="N579" s="103" t="s">
        <v>2163</v>
      </c>
      <c r="O579" s="103">
        <v>100</v>
      </c>
      <c r="P579" s="103" t="s">
        <v>839</v>
      </c>
      <c r="Q579" s="103" t="s">
        <v>2155</v>
      </c>
      <c r="R579" s="103" t="s">
        <v>125</v>
      </c>
      <c r="S579" s="103" t="s">
        <v>2251</v>
      </c>
      <c r="U579" s="103">
        <v>51.3</v>
      </c>
      <c r="V579" s="103" t="s">
        <v>2158</v>
      </c>
      <c r="W579" s="103" t="s">
        <v>119</v>
      </c>
      <c r="X579" s="103" t="s">
        <v>1597</v>
      </c>
      <c r="Y579" s="103" t="s">
        <v>1685</v>
      </c>
      <c r="AA579" s="103" t="s">
        <v>125</v>
      </c>
      <c r="AB579" s="103" t="s">
        <v>95</v>
      </c>
      <c r="AE579" s="103" t="s">
        <v>1473</v>
      </c>
      <c r="AF579" s="103" t="b">
        <v>1</v>
      </c>
    </row>
    <row r="580" spans="1:32" hidden="1" x14ac:dyDescent="0.2">
      <c r="A580" s="103" t="s">
        <v>713</v>
      </c>
      <c r="B580" s="103" t="s">
        <v>712</v>
      </c>
      <c r="C580" s="103" t="s">
        <v>2521</v>
      </c>
      <c r="D580" s="103" t="s">
        <v>2765</v>
      </c>
      <c r="E580" s="103" t="s">
        <v>2249</v>
      </c>
      <c r="F580" s="103" t="s">
        <v>2151</v>
      </c>
      <c r="G580" s="103">
        <v>100</v>
      </c>
      <c r="H580" s="103" t="s">
        <v>2168</v>
      </c>
      <c r="I580" s="103" t="s">
        <v>2153</v>
      </c>
      <c r="J580" s="103">
        <v>100</v>
      </c>
      <c r="N580" s="103" t="s">
        <v>2163</v>
      </c>
      <c r="O580" s="103">
        <v>100</v>
      </c>
      <c r="P580" s="103" t="s">
        <v>839</v>
      </c>
      <c r="Q580" s="103" t="s">
        <v>2155</v>
      </c>
      <c r="R580" s="103" t="s">
        <v>2164</v>
      </c>
      <c r="U580" s="103">
        <v>60</v>
      </c>
      <c r="V580" s="103" t="s">
        <v>2158</v>
      </c>
      <c r="W580" s="103" t="s">
        <v>132</v>
      </c>
      <c r="X580" s="103" t="s">
        <v>1597</v>
      </c>
      <c r="Y580" s="103" t="s">
        <v>1685</v>
      </c>
      <c r="AA580" s="103" t="s">
        <v>2164</v>
      </c>
      <c r="AB580" s="103" t="s">
        <v>64</v>
      </c>
      <c r="AE580" s="103" t="s">
        <v>1618</v>
      </c>
      <c r="AF580" s="103" t="b">
        <v>1</v>
      </c>
    </row>
    <row r="581" spans="1:32" hidden="1" x14ac:dyDescent="0.2">
      <c r="A581" s="103" t="s">
        <v>713</v>
      </c>
      <c r="B581" s="103" t="s">
        <v>712</v>
      </c>
      <c r="C581" s="103" t="s">
        <v>2521</v>
      </c>
      <c r="D581" s="103" t="s">
        <v>2765</v>
      </c>
      <c r="E581" s="103" t="s">
        <v>2495</v>
      </c>
      <c r="G581" s="103">
        <v>0</v>
      </c>
      <c r="H581" s="103" t="s">
        <v>2168</v>
      </c>
      <c r="I581" s="103" t="s">
        <v>2153</v>
      </c>
      <c r="N581" s="103" t="s">
        <v>2163</v>
      </c>
      <c r="O581" s="103">
        <v>0</v>
      </c>
      <c r="P581" s="103" t="s">
        <v>839</v>
      </c>
      <c r="Q581" s="103" t="s">
        <v>2155</v>
      </c>
      <c r="R581" s="103" t="s">
        <v>2225</v>
      </c>
      <c r="S581" s="103" t="s">
        <v>3843</v>
      </c>
      <c r="U581" s="103">
        <v>0</v>
      </c>
      <c r="V581" s="103" t="s">
        <v>2158</v>
      </c>
      <c r="W581" s="103" t="s">
        <v>117</v>
      </c>
      <c r="X581" s="103" t="s">
        <v>1597</v>
      </c>
      <c r="Y581" s="103" t="s">
        <v>1685</v>
      </c>
      <c r="AA581" s="103" t="s">
        <v>2225</v>
      </c>
      <c r="AB581" s="103" t="s">
        <v>64</v>
      </c>
      <c r="AE581" s="103" t="s">
        <v>1618</v>
      </c>
      <c r="AF581" s="103" t="b">
        <v>1</v>
      </c>
    </row>
    <row r="582" spans="1:32" hidden="1" x14ac:dyDescent="0.2">
      <c r="A582" s="103" t="s">
        <v>713</v>
      </c>
      <c r="B582" s="103" t="s">
        <v>712</v>
      </c>
      <c r="G582" s="103">
        <v>0</v>
      </c>
      <c r="H582" s="103" t="s">
        <v>2168</v>
      </c>
      <c r="I582" s="103" t="s">
        <v>2153</v>
      </c>
      <c r="O582" s="103">
        <v>0</v>
      </c>
      <c r="R582" s="103">
        <v>0</v>
      </c>
      <c r="U582" s="103">
        <v>0</v>
      </c>
      <c r="V582" s="103" t="s">
        <v>2416</v>
      </c>
      <c r="W582" s="103">
        <v>0</v>
      </c>
      <c r="X582" s="103" t="s">
        <v>1597</v>
      </c>
      <c r="Y582" s="103" t="s">
        <v>1685</v>
      </c>
      <c r="AA582" s="103">
        <v>0</v>
      </c>
      <c r="AB582" s="103" t="s">
        <v>64</v>
      </c>
      <c r="AE582" s="103" t="s">
        <v>1618</v>
      </c>
      <c r="AF582" s="103" t="b">
        <v>1</v>
      </c>
    </row>
    <row r="583" spans="1:32" hidden="1" x14ac:dyDescent="0.2">
      <c r="A583" s="103" t="s">
        <v>715</v>
      </c>
      <c r="B583" s="103" t="s">
        <v>714</v>
      </c>
      <c r="C583" s="103" t="s">
        <v>2521</v>
      </c>
      <c r="D583" s="103" t="s">
        <v>2766</v>
      </c>
      <c r="E583" s="103" t="s">
        <v>2249</v>
      </c>
      <c r="F583" s="103" t="s">
        <v>2162</v>
      </c>
      <c r="G583" s="103">
        <v>50</v>
      </c>
      <c r="H583" s="103" t="s">
        <v>2168</v>
      </c>
      <c r="I583" s="103" t="s">
        <v>2153</v>
      </c>
      <c r="K583" s="103">
        <v>25</v>
      </c>
      <c r="L583" s="103">
        <v>25</v>
      </c>
      <c r="N583" s="103" t="s">
        <v>2163</v>
      </c>
      <c r="O583" s="103">
        <v>50</v>
      </c>
      <c r="P583" s="103" t="s">
        <v>839</v>
      </c>
      <c r="R583" s="103" t="s">
        <v>2164</v>
      </c>
      <c r="U583" s="103">
        <v>30</v>
      </c>
      <c r="V583" s="103" t="s">
        <v>2158</v>
      </c>
      <c r="W583" s="103" t="s">
        <v>132</v>
      </c>
      <c r="X583" s="103" t="s">
        <v>1597</v>
      </c>
      <c r="Y583" s="103" t="s">
        <v>1685</v>
      </c>
      <c r="AA583" s="103" t="s">
        <v>2164</v>
      </c>
      <c r="AB583" s="103" t="s">
        <v>64</v>
      </c>
      <c r="AE583" s="103" t="s">
        <v>1618</v>
      </c>
      <c r="AF583" s="103" t="b">
        <v>1</v>
      </c>
    </row>
    <row r="584" spans="1:32" hidden="1" x14ac:dyDescent="0.2">
      <c r="A584" s="103" t="s">
        <v>715</v>
      </c>
      <c r="B584" s="103" t="s">
        <v>714</v>
      </c>
      <c r="C584" s="103" t="s">
        <v>2521</v>
      </c>
      <c r="D584" s="103" t="s">
        <v>2766</v>
      </c>
      <c r="E584" s="103" t="s">
        <v>2250</v>
      </c>
      <c r="G584" s="103">
        <v>100</v>
      </c>
      <c r="H584" s="103" t="s">
        <v>2152</v>
      </c>
      <c r="I584" s="103" t="s">
        <v>2153</v>
      </c>
      <c r="L584" s="103">
        <v>100</v>
      </c>
      <c r="N584" s="103" t="s">
        <v>2163</v>
      </c>
      <c r="O584" s="103">
        <v>100</v>
      </c>
      <c r="P584" s="103" t="s">
        <v>839</v>
      </c>
      <c r="Q584" s="103" t="s">
        <v>2155</v>
      </c>
      <c r="R584" s="103" t="s">
        <v>125</v>
      </c>
      <c r="S584" s="103" t="s">
        <v>2251</v>
      </c>
      <c r="U584" s="103">
        <v>51.3</v>
      </c>
      <c r="V584" s="103" t="s">
        <v>2158</v>
      </c>
      <c r="W584" s="103" t="s">
        <v>119</v>
      </c>
      <c r="X584" s="103" t="s">
        <v>1685</v>
      </c>
      <c r="Y584" s="103" t="s">
        <v>1685</v>
      </c>
      <c r="AA584" s="103" t="s">
        <v>125</v>
      </c>
      <c r="AB584" s="103" t="s">
        <v>64</v>
      </c>
      <c r="AE584" s="103" t="s">
        <v>1618</v>
      </c>
      <c r="AF584" s="103" t="b">
        <v>1</v>
      </c>
    </row>
    <row r="585" spans="1:32" hidden="1" x14ac:dyDescent="0.2">
      <c r="A585" s="103" t="s">
        <v>1974</v>
      </c>
      <c r="B585" s="103" t="s">
        <v>1973</v>
      </c>
      <c r="E585" s="103" t="s">
        <v>107</v>
      </c>
      <c r="G585" s="103">
        <v>10</v>
      </c>
      <c r="H585" s="103" t="s">
        <v>2152</v>
      </c>
      <c r="I585" s="103" t="s">
        <v>2153</v>
      </c>
      <c r="J585" s="103">
        <v>2</v>
      </c>
      <c r="K585" s="103">
        <v>3</v>
      </c>
      <c r="L585" s="103">
        <v>2</v>
      </c>
      <c r="M585" s="103">
        <v>3</v>
      </c>
      <c r="N585" s="103" t="s">
        <v>2163</v>
      </c>
      <c r="O585" s="103">
        <v>10</v>
      </c>
      <c r="Q585" s="103" t="s">
        <v>2155</v>
      </c>
      <c r="R585" s="103" t="s">
        <v>2225</v>
      </c>
      <c r="S585" s="103" t="s">
        <v>2229</v>
      </c>
      <c r="U585" s="103">
        <v>10</v>
      </c>
      <c r="V585" s="103" t="s">
        <v>2239</v>
      </c>
      <c r="W585" s="103" t="s">
        <v>107</v>
      </c>
      <c r="X585" s="103" t="s">
        <v>1945</v>
      </c>
      <c r="Y585" s="103" t="s">
        <v>1685</v>
      </c>
      <c r="AA585" s="103" t="s">
        <v>2225</v>
      </c>
      <c r="AB585" s="103" t="s">
        <v>95</v>
      </c>
      <c r="AE585" s="103">
        <v>0</v>
      </c>
      <c r="AF585" s="103" t="b">
        <v>1</v>
      </c>
    </row>
    <row r="586" spans="1:32" hidden="1" x14ac:dyDescent="0.2">
      <c r="A586" s="103" t="s">
        <v>1534</v>
      </c>
      <c r="B586" s="103" t="s">
        <v>1738</v>
      </c>
      <c r="C586" s="103" t="s">
        <v>2767</v>
      </c>
      <c r="E586" s="103" t="s">
        <v>2495</v>
      </c>
      <c r="G586" s="103">
        <v>594</v>
      </c>
      <c r="H586" s="103" t="s">
        <v>2152</v>
      </c>
      <c r="I586" s="103" t="s">
        <v>2153</v>
      </c>
      <c r="J586" s="103">
        <v>156.75</v>
      </c>
      <c r="K586" s="103">
        <v>156.75</v>
      </c>
      <c r="L586" s="103">
        <v>140.25</v>
      </c>
      <c r="M586" s="103">
        <v>140.25</v>
      </c>
      <c r="N586" s="103" t="s">
        <v>2163</v>
      </c>
      <c r="O586" s="103">
        <v>594</v>
      </c>
      <c r="P586" s="103" t="s">
        <v>1977</v>
      </c>
      <c r="Q586" s="103" t="s">
        <v>2387</v>
      </c>
      <c r="R586" s="103" t="s">
        <v>2225</v>
      </c>
      <c r="U586" s="103">
        <v>304.72199999999998</v>
      </c>
      <c r="V586" s="103" t="s">
        <v>2158</v>
      </c>
      <c r="W586" s="103" t="s">
        <v>117</v>
      </c>
      <c r="X586" s="103" t="s">
        <v>1736</v>
      </c>
      <c r="Y586" s="103" t="s">
        <v>3848</v>
      </c>
      <c r="AA586" s="103" t="s">
        <v>2225</v>
      </c>
      <c r="AB586" s="103" t="s">
        <v>64</v>
      </c>
      <c r="AE586" s="103" t="s">
        <v>1618</v>
      </c>
      <c r="AF586" s="103" t="b">
        <v>1</v>
      </c>
    </row>
    <row r="587" spans="1:32" hidden="1" x14ac:dyDescent="0.2">
      <c r="A587" s="103" t="s">
        <v>1536</v>
      </c>
      <c r="B587" s="103" t="s">
        <v>1740</v>
      </c>
      <c r="C587" s="103" t="s">
        <v>2768</v>
      </c>
      <c r="D587" s="103" t="s">
        <v>2768</v>
      </c>
      <c r="E587" s="103" t="s">
        <v>2529</v>
      </c>
      <c r="G587" s="103">
        <v>360</v>
      </c>
      <c r="H587" s="103" t="s">
        <v>2152</v>
      </c>
      <c r="I587" s="103" t="s">
        <v>2153</v>
      </c>
      <c r="J587" s="103">
        <v>90</v>
      </c>
      <c r="K587" s="103">
        <v>90</v>
      </c>
      <c r="L587" s="103">
        <v>90</v>
      </c>
      <c r="M587" s="103">
        <v>90</v>
      </c>
      <c r="N587" s="103" t="s">
        <v>2163</v>
      </c>
      <c r="O587" s="103">
        <v>360</v>
      </c>
      <c r="P587" s="103" t="s">
        <v>1977</v>
      </c>
      <c r="Q587" s="103" t="s">
        <v>2387</v>
      </c>
      <c r="R587" s="103" t="s">
        <v>2225</v>
      </c>
      <c r="S587" s="103" t="s">
        <v>2229</v>
      </c>
      <c r="U587" s="103">
        <v>184.68</v>
      </c>
      <c r="V587" s="103" t="s">
        <v>2158</v>
      </c>
      <c r="W587" s="103" t="s">
        <v>118</v>
      </c>
      <c r="X587" s="103" t="s">
        <v>1736</v>
      </c>
      <c r="Y587" s="103" t="s">
        <v>3848</v>
      </c>
      <c r="AA587" s="103" t="s">
        <v>2225</v>
      </c>
      <c r="AB587" s="103" t="s">
        <v>64</v>
      </c>
      <c r="AE587" s="103" t="s">
        <v>1687</v>
      </c>
      <c r="AF587" s="103" t="b">
        <v>1</v>
      </c>
    </row>
    <row r="588" spans="1:32" hidden="1" x14ac:dyDescent="0.2">
      <c r="A588" s="103" t="s">
        <v>1548</v>
      </c>
      <c r="B588" s="103" t="s">
        <v>1752</v>
      </c>
      <c r="C588" s="103" t="s">
        <v>2769</v>
      </c>
      <c r="D588" s="103" t="s">
        <v>2769</v>
      </c>
      <c r="E588" s="103" t="s">
        <v>2246</v>
      </c>
      <c r="G588" s="103">
        <v>352</v>
      </c>
      <c r="H588" s="103" t="s">
        <v>2152</v>
      </c>
      <c r="I588" s="103" t="s">
        <v>2153</v>
      </c>
      <c r="J588" s="103">
        <v>88</v>
      </c>
      <c r="K588" s="103">
        <v>88</v>
      </c>
      <c r="L588" s="103">
        <v>88</v>
      </c>
      <c r="M588" s="103">
        <v>88</v>
      </c>
      <c r="N588" s="103" t="s">
        <v>2163</v>
      </c>
      <c r="O588" s="103">
        <v>352</v>
      </c>
      <c r="P588" s="103" t="s">
        <v>1977</v>
      </c>
      <c r="Q588" s="103" t="s">
        <v>2387</v>
      </c>
      <c r="R588" s="103" t="s">
        <v>2225</v>
      </c>
      <c r="S588" s="103" t="s">
        <v>2229</v>
      </c>
      <c r="U588" s="103">
        <v>352</v>
      </c>
      <c r="V588" s="103" t="s">
        <v>2158</v>
      </c>
      <c r="W588" s="103" t="s">
        <v>107</v>
      </c>
      <c r="X588" s="103" t="s">
        <v>1736</v>
      </c>
      <c r="Y588" s="103" t="s">
        <v>3848</v>
      </c>
      <c r="AA588" s="103" t="s">
        <v>2225</v>
      </c>
      <c r="AB588" s="103" t="s">
        <v>64</v>
      </c>
      <c r="AE588" s="103" t="s">
        <v>1262</v>
      </c>
      <c r="AF588" s="103" t="b">
        <v>1</v>
      </c>
    </row>
    <row r="589" spans="1:32" hidden="1" x14ac:dyDescent="0.2">
      <c r="A589" s="103" t="s">
        <v>1550</v>
      </c>
      <c r="B589" s="103" t="s">
        <v>1754</v>
      </c>
      <c r="C589" s="103" t="s">
        <v>2770</v>
      </c>
      <c r="D589" s="103" t="s">
        <v>2770</v>
      </c>
      <c r="E589" s="103" t="s">
        <v>109</v>
      </c>
      <c r="G589" s="103">
        <v>3224</v>
      </c>
      <c r="H589" s="103" t="s">
        <v>2152</v>
      </c>
      <c r="I589" s="103" t="s">
        <v>2153</v>
      </c>
      <c r="J589" s="103">
        <v>806</v>
      </c>
      <c r="K589" s="103">
        <v>806</v>
      </c>
      <c r="L589" s="103">
        <v>806</v>
      </c>
      <c r="M589" s="103">
        <v>806</v>
      </c>
      <c r="N589" s="103" t="s">
        <v>2163</v>
      </c>
      <c r="O589" s="103">
        <v>3224</v>
      </c>
      <c r="P589" s="103" t="s">
        <v>1977</v>
      </c>
      <c r="Q589" s="103" t="s">
        <v>2387</v>
      </c>
      <c r="R589" s="103" t="s">
        <v>2225</v>
      </c>
      <c r="S589" s="103" t="s">
        <v>2229</v>
      </c>
      <c r="U589" s="103">
        <v>1570.088</v>
      </c>
      <c r="V589" s="103" t="s">
        <v>2158</v>
      </c>
      <c r="W589" s="103" t="s">
        <v>109</v>
      </c>
      <c r="X589" s="103" t="s">
        <v>1736</v>
      </c>
      <c r="Y589" s="103" t="s">
        <v>3848</v>
      </c>
      <c r="AA589" s="103" t="s">
        <v>2225</v>
      </c>
      <c r="AB589" s="103" t="s">
        <v>64</v>
      </c>
      <c r="AE589" s="103" t="s">
        <v>1284</v>
      </c>
      <c r="AF589" s="103" t="b">
        <v>1</v>
      </c>
    </row>
    <row r="590" spans="1:32" hidden="1" x14ac:dyDescent="0.2">
      <c r="A590" s="103" t="s">
        <v>1553</v>
      </c>
      <c r="B590" s="103" t="s">
        <v>1757</v>
      </c>
      <c r="C590" s="103" t="s">
        <v>2771</v>
      </c>
      <c r="D590" s="103" t="s">
        <v>2772</v>
      </c>
      <c r="E590" s="103" t="s">
        <v>2601</v>
      </c>
      <c r="G590" s="103">
        <v>1474</v>
      </c>
      <c r="H590" s="103" t="s">
        <v>2152</v>
      </c>
      <c r="I590" s="103" t="s">
        <v>2153</v>
      </c>
      <c r="J590" s="103">
        <v>319</v>
      </c>
      <c r="K590" s="103">
        <v>352</v>
      </c>
      <c r="L590" s="103">
        <v>385</v>
      </c>
      <c r="M590" s="103">
        <v>418</v>
      </c>
      <c r="N590" s="103" t="s">
        <v>2163</v>
      </c>
      <c r="O590" s="103">
        <v>1474</v>
      </c>
      <c r="P590" s="103" t="s">
        <v>1977</v>
      </c>
      <c r="Q590" s="103" t="s">
        <v>2387</v>
      </c>
      <c r="R590" s="103" t="s">
        <v>2225</v>
      </c>
      <c r="S590" s="103" t="s">
        <v>2192</v>
      </c>
      <c r="U590" s="103">
        <v>711.94200000000001</v>
      </c>
      <c r="V590" s="103" t="s">
        <v>2158</v>
      </c>
      <c r="W590" s="103" t="s">
        <v>106</v>
      </c>
      <c r="X590" s="103" t="s">
        <v>1736</v>
      </c>
      <c r="Y590" s="103" t="s">
        <v>3848</v>
      </c>
      <c r="AA590" s="103" t="s">
        <v>2225</v>
      </c>
      <c r="AB590" s="103" t="s">
        <v>64</v>
      </c>
      <c r="AE590" s="103" t="s">
        <v>750</v>
      </c>
      <c r="AF590" s="103" t="b">
        <v>1</v>
      </c>
    </row>
    <row r="591" spans="1:32" hidden="1" x14ac:dyDescent="0.2">
      <c r="A591" s="103" t="s">
        <v>1553</v>
      </c>
      <c r="B591" s="103" t="s">
        <v>1757</v>
      </c>
      <c r="C591" s="103" t="s">
        <v>2771</v>
      </c>
      <c r="D591" s="103" t="s">
        <v>2773</v>
      </c>
      <c r="E591" s="103" t="s">
        <v>2242</v>
      </c>
      <c r="G591" s="103">
        <v>418</v>
      </c>
      <c r="H591" s="103" t="s">
        <v>2152</v>
      </c>
      <c r="I591" s="103" t="s">
        <v>2153</v>
      </c>
      <c r="J591" s="103">
        <v>88</v>
      </c>
      <c r="K591" s="103">
        <v>99</v>
      </c>
      <c r="L591" s="103">
        <v>110</v>
      </c>
      <c r="M591" s="103">
        <v>121</v>
      </c>
      <c r="N591" s="103" t="s">
        <v>2163</v>
      </c>
      <c r="O591" s="103">
        <v>418</v>
      </c>
      <c r="P591" s="103" t="s">
        <v>1977</v>
      </c>
      <c r="Q591" s="103" t="s">
        <v>2387</v>
      </c>
      <c r="R591" s="103" t="s">
        <v>2225</v>
      </c>
      <c r="U591" s="103">
        <v>201.89400000000001</v>
      </c>
      <c r="V591" s="103" t="s">
        <v>2158</v>
      </c>
      <c r="W591" s="103" t="s">
        <v>106</v>
      </c>
      <c r="X591" s="103" t="s">
        <v>1736</v>
      </c>
      <c r="Y591" s="103" t="s">
        <v>3848</v>
      </c>
      <c r="AA591" s="103" t="s">
        <v>2225</v>
      </c>
      <c r="AB591" s="103" t="s">
        <v>64</v>
      </c>
      <c r="AE591" s="103" t="s">
        <v>750</v>
      </c>
      <c r="AF591" s="103" t="b">
        <v>1</v>
      </c>
    </row>
    <row r="592" spans="1:32" hidden="1" x14ac:dyDescent="0.2">
      <c r="A592" s="103" t="s">
        <v>1553</v>
      </c>
      <c r="B592" s="103" t="s">
        <v>1757</v>
      </c>
      <c r="C592" s="103" t="s">
        <v>2771</v>
      </c>
      <c r="D592" s="103" t="s">
        <v>2774</v>
      </c>
      <c r="E592" s="103" t="s">
        <v>2244</v>
      </c>
      <c r="G592" s="103">
        <v>1496</v>
      </c>
      <c r="H592" s="103" t="s">
        <v>2152</v>
      </c>
      <c r="I592" s="103" t="s">
        <v>2153</v>
      </c>
      <c r="J592" s="103">
        <v>319</v>
      </c>
      <c r="K592" s="103">
        <v>363</v>
      </c>
      <c r="L592" s="103">
        <v>385</v>
      </c>
      <c r="M592" s="103">
        <v>429</v>
      </c>
      <c r="N592" s="103" t="s">
        <v>2163</v>
      </c>
      <c r="O592" s="103">
        <v>1496</v>
      </c>
      <c r="P592" s="103" t="s">
        <v>1977</v>
      </c>
      <c r="Q592" s="103" t="s">
        <v>2387</v>
      </c>
      <c r="R592" s="103" t="s">
        <v>2225</v>
      </c>
      <c r="U592" s="103">
        <v>722.56799999999998</v>
      </c>
      <c r="V592" s="103" t="s">
        <v>2158</v>
      </c>
      <c r="W592" s="103" t="s">
        <v>106</v>
      </c>
      <c r="X592" s="103" t="s">
        <v>1736</v>
      </c>
      <c r="Y592" s="103" t="s">
        <v>3848</v>
      </c>
      <c r="AA592" s="103" t="s">
        <v>2225</v>
      </c>
      <c r="AB592" s="103" t="s">
        <v>64</v>
      </c>
      <c r="AE592" s="103" t="s">
        <v>750</v>
      </c>
      <c r="AF592" s="103" t="b">
        <v>1</v>
      </c>
    </row>
    <row r="593" spans="1:32" hidden="1" x14ac:dyDescent="0.2">
      <c r="A593" s="103" t="s">
        <v>1553</v>
      </c>
      <c r="B593" s="103" t="s">
        <v>1757</v>
      </c>
      <c r="C593" s="103" t="s">
        <v>2771</v>
      </c>
      <c r="D593" s="103" t="s">
        <v>2775</v>
      </c>
      <c r="E593" s="103" t="s">
        <v>2562</v>
      </c>
      <c r="G593" s="103">
        <v>1254</v>
      </c>
      <c r="H593" s="103" t="s">
        <v>2152</v>
      </c>
      <c r="I593" s="103" t="s">
        <v>2153</v>
      </c>
      <c r="J593" s="103">
        <v>264</v>
      </c>
      <c r="K593" s="103">
        <v>297</v>
      </c>
      <c r="L593" s="103">
        <v>330</v>
      </c>
      <c r="M593" s="103">
        <v>363</v>
      </c>
      <c r="N593" s="103" t="s">
        <v>2163</v>
      </c>
      <c r="O593" s="103">
        <v>1254</v>
      </c>
      <c r="P593" s="103" t="s">
        <v>1977</v>
      </c>
      <c r="Q593" s="103" t="s">
        <v>2387</v>
      </c>
      <c r="R593" s="103" t="s">
        <v>2225</v>
      </c>
      <c r="U593" s="103">
        <v>605.68200000000002</v>
      </c>
      <c r="V593" s="103" t="s">
        <v>2158</v>
      </c>
      <c r="W593" s="103" t="s">
        <v>106</v>
      </c>
      <c r="X593" s="103" t="s">
        <v>1736</v>
      </c>
      <c r="Y593" s="103" t="s">
        <v>3848</v>
      </c>
      <c r="AA593" s="103" t="s">
        <v>2225</v>
      </c>
      <c r="AB593" s="103" t="s">
        <v>64</v>
      </c>
      <c r="AE593" s="103" t="s">
        <v>750</v>
      </c>
      <c r="AF593" s="103" t="b">
        <v>1</v>
      </c>
    </row>
    <row r="594" spans="1:32" hidden="1" x14ac:dyDescent="0.2">
      <c r="A594" s="103" t="s">
        <v>1553</v>
      </c>
      <c r="B594" s="103" t="s">
        <v>1757</v>
      </c>
      <c r="C594" s="103" t="s">
        <v>2771</v>
      </c>
      <c r="D594" s="103" t="s">
        <v>2776</v>
      </c>
      <c r="E594" s="103" t="s">
        <v>2605</v>
      </c>
      <c r="G594" s="103">
        <v>1430</v>
      </c>
      <c r="H594" s="103" t="s">
        <v>2152</v>
      </c>
      <c r="I594" s="103" t="s">
        <v>2153</v>
      </c>
      <c r="J594" s="103">
        <v>308</v>
      </c>
      <c r="K594" s="103">
        <v>341</v>
      </c>
      <c r="L594" s="103">
        <v>374</v>
      </c>
      <c r="M594" s="103">
        <v>407</v>
      </c>
      <c r="N594" s="103" t="s">
        <v>2163</v>
      </c>
      <c r="O594" s="103">
        <v>1430</v>
      </c>
      <c r="P594" s="103" t="s">
        <v>1977</v>
      </c>
      <c r="Q594" s="103" t="s">
        <v>2387</v>
      </c>
      <c r="R594" s="103" t="s">
        <v>2225</v>
      </c>
      <c r="U594" s="103">
        <v>690.69</v>
      </c>
      <c r="V594" s="103" t="s">
        <v>2158</v>
      </c>
      <c r="W594" s="103" t="s">
        <v>106</v>
      </c>
      <c r="X594" s="103" t="s">
        <v>1736</v>
      </c>
      <c r="Y594" s="103" t="s">
        <v>3848</v>
      </c>
      <c r="AA594" s="103" t="s">
        <v>2225</v>
      </c>
      <c r="AB594" s="103" t="s">
        <v>64</v>
      </c>
      <c r="AE594" s="103" t="s">
        <v>750</v>
      </c>
      <c r="AF594" s="103" t="b">
        <v>1</v>
      </c>
    </row>
    <row r="595" spans="1:32" hidden="1" x14ac:dyDescent="0.2">
      <c r="A595" s="103" t="s">
        <v>1553</v>
      </c>
      <c r="B595" s="103" t="s">
        <v>1757</v>
      </c>
      <c r="C595" s="103" t="s">
        <v>2771</v>
      </c>
      <c r="E595" s="103" t="s">
        <v>1614</v>
      </c>
      <c r="G595" s="103">
        <v>110</v>
      </c>
      <c r="H595" s="103" t="s">
        <v>2152</v>
      </c>
      <c r="I595" s="103" t="s">
        <v>2153</v>
      </c>
      <c r="J595" s="103">
        <v>27.5</v>
      </c>
      <c r="K595" s="103">
        <v>27.5</v>
      </c>
      <c r="L595" s="103">
        <v>27.5</v>
      </c>
      <c r="M595" s="103">
        <v>27.5</v>
      </c>
      <c r="N595" s="103" t="s">
        <v>2163</v>
      </c>
      <c r="O595" s="103">
        <v>110</v>
      </c>
      <c r="P595" s="103" t="s">
        <v>1977</v>
      </c>
      <c r="Q595" s="103" t="s">
        <v>2387</v>
      </c>
      <c r="R595" s="103" t="s">
        <v>2225</v>
      </c>
      <c r="U595" s="103">
        <v>53.13</v>
      </c>
      <c r="V595" s="103" t="s">
        <v>2158</v>
      </c>
      <c r="W595" s="103" t="s">
        <v>106</v>
      </c>
      <c r="X595" s="103" t="s">
        <v>1736</v>
      </c>
      <c r="Y595" s="103" t="s">
        <v>3848</v>
      </c>
      <c r="AA595" s="103" t="s">
        <v>2225</v>
      </c>
      <c r="AB595" s="103" t="s">
        <v>64</v>
      </c>
      <c r="AE595" s="103" t="s">
        <v>750</v>
      </c>
      <c r="AF595" s="103" t="b">
        <v>1</v>
      </c>
    </row>
    <row r="596" spans="1:32" hidden="1" x14ac:dyDescent="0.2">
      <c r="A596" s="103" t="s">
        <v>1558</v>
      </c>
      <c r="B596" s="103" t="s">
        <v>1762</v>
      </c>
      <c r="C596" s="103" t="s">
        <v>2777</v>
      </c>
      <c r="E596" s="103" t="s">
        <v>1130</v>
      </c>
      <c r="F596" s="103" t="s">
        <v>2228</v>
      </c>
      <c r="G596" s="103">
        <v>800</v>
      </c>
      <c r="H596" s="103" t="s">
        <v>2168</v>
      </c>
      <c r="I596" s="103" t="s">
        <v>2153</v>
      </c>
      <c r="J596" s="103">
        <v>200</v>
      </c>
      <c r="K596" s="103">
        <v>200</v>
      </c>
      <c r="L596" s="103">
        <v>200</v>
      </c>
      <c r="M596" s="103">
        <v>200</v>
      </c>
      <c r="N596" s="103" t="s">
        <v>2163</v>
      </c>
      <c r="O596" s="103">
        <v>800</v>
      </c>
      <c r="P596" s="103" t="s">
        <v>1559</v>
      </c>
      <c r="Q596" s="103" t="s">
        <v>2387</v>
      </c>
      <c r="R596" s="103" t="s">
        <v>2156</v>
      </c>
      <c r="U596" s="103">
        <v>410.4</v>
      </c>
      <c r="V596" s="103" t="s">
        <v>2158</v>
      </c>
      <c r="W596" s="103" t="s">
        <v>120</v>
      </c>
      <c r="X596" s="103" t="s">
        <v>1736</v>
      </c>
      <c r="Y596" s="103" t="s">
        <v>3848</v>
      </c>
      <c r="AA596" s="103" t="s">
        <v>305</v>
      </c>
      <c r="AB596" s="103" t="s">
        <v>68</v>
      </c>
      <c r="AC596" s="103" t="s">
        <v>1130</v>
      </c>
      <c r="AD596" s="103" t="s">
        <v>2388</v>
      </c>
      <c r="AE596" s="103" t="s">
        <v>1241</v>
      </c>
      <c r="AF596" s="103" t="b">
        <v>0</v>
      </c>
    </row>
    <row r="597" spans="1:32" hidden="1" x14ac:dyDescent="0.2">
      <c r="A597" s="103" t="s">
        <v>1558</v>
      </c>
      <c r="B597" s="103" t="s">
        <v>1762</v>
      </c>
      <c r="C597" s="103" t="s">
        <v>2778</v>
      </c>
      <c r="E597" s="103" t="s">
        <v>1130</v>
      </c>
      <c r="F597" s="103" t="s">
        <v>2226</v>
      </c>
      <c r="G597" s="103">
        <v>400</v>
      </c>
      <c r="H597" s="103" t="s">
        <v>2168</v>
      </c>
      <c r="I597" s="103" t="s">
        <v>2153</v>
      </c>
      <c r="J597" s="103">
        <v>100</v>
      </c>
      <c r="K597" s="103">
        <v>100</v>
      </c>
      <c r="L597" s="103">
        <v>100</v>
      </c>
      <c r="M597" s="103">
        <v>100</v>
      </c>
      <c r="N597" s="103" t="s">
        <v>2163</v>
      </c>
      <c r="O597" s="103">
        <v>400</v>
      </c>
      <c r="P597" s="103" t="s">
        <v>1559</v>
      </c>
      <c r="Q597" s="103" t="s">
        <v>2387</v>
      </c>
      <c r="R597" s="103" t="s">
        <v>2156</v>
      </c>
      <c r="U597" s="103">
        <v>205.2</v>
      </c>
      <c r="V597" s="103" t="s">
        <v>2158</v>
      </c>
      <c r="W597" s="103" t="s">
        <v>120</v>
      </c>
      <c r="X597" s="103" t="s">
        <v>1736</v>
      </c>
      <c r="Y597" s="103" t="s">
        <v>3848</v>
      </c>
      <c r="AA597" s="103" t="s">
        <v>305</v>
      </c>
      <c r="AB597" s="103" t="s">
        <v>68</v>
      </c>
      <c r="AC597" s="103" t="s">
        <v>1130</v>
      </c>
      <c r="AD597" s="103" t="s">
        <v>2388</v>
      </c>
      <c r="AE597" s="103" t="s">
        <v>1241</v>
      </c>
      <c r="AF597" s="103" t="b">
        <v>0</v>
      </c>
    </row>
    <row r="598" spans="1:32" hidden="1" x14ac:dyDescent="0.2">
      <c r="A598" s="103" t="s">
        <v>1560</v>
      </c>
      <c r="B598" s="103" t="s">
        <v>1763</v>
      </c>
      <c r="E598" s="103" t="s">
        <v>2150</v>
      </c>
      <c r="F598" s="103" t="s">
        <v>2202</v>
      </c>
      <c r="G598" s="103">
        <v>400</v>
      </c>
      <c r="H598" s="103" t="s">
        <v>2168</v>
      </c>
      <c r="I598" s="103" t="s">
        <v>2153</v>
      </c>
      <c r="J598" s="103">
        <v>120</v>
      </c>
      <c r="K598" s="103">
        <v>120</v>
      </c>
      <c r="L598" s="103">
        <v>80</v>
      </c>
      <c r="M598" s="103">
        <v>80</v>
      </c>
      <c r="N598" s="103" t="s">
        <v>2163</v>
      </c>
      <c r="O598" s="103">
        <v>400</v>
      </c>
      <c r="P598" s="103" t="s">
        <v>771</v>
      </c>
      <c r="Q598" s="103" t="s">
        <v>2387</v>
      </c>
      <c r="R598" s="103" t="s">
        <v>2156</v>
      </c>
      <c r="U598" s="103">
        <v>205.2</v>
      </c>
      <c r="V598" s="103" t="s">
        <v>2158</v>
      </c>
      <c r="W598" s="103" t="s">
        <v>114</v>
      </c>
      <c r="X598" s="103" t="s">
        <v>1736</v>
      </c>
      <c r="Y598" s="103" t="s">
        <v>3848</v>
      </c>
      <c r="AA598" s="103" t="s">
        <v>2156</v>
      </c>
      <c r="AB598" s="103" t="s">
        <v>68</v>
      </c>
      <c r="AC598" s="103" t="s">
        <v>2159</v>
      </c>
      <c r="AD598" s="103" t="s">
        <v>2388</v>
      </c>
      <c r="AE598" s="103" t="s">
        <v>766</v>
      </c>
      <c r="AF598" s="103" t="b">
        <v>1</v>
      </c>
    </row>
    <row r="599" spans="1:32" hidden="1" x14ac:dyDescent="0.2">
      <c r="A599" s="103" t="s">
        <v>1561</v>
      </c>
      <c r="B599" s="103" t="s">
        <v>1764</v>
      </c>
      <c r="C599" s="103" t="s">
        <v>2779</v>
      </c>
      <c r="E599" s="103" t="s">
        <v>2195</v>
      </c>
      <c r="F599" s="103" t="s">
        <v>2228</v>
      </c>
      <c r="G599" s="103">
        <v>600</v>
      </c>
      <c r="H599" s="103" t="s">
        <v>2168</v>
      </c>
      <c r="I599" s="103" t="s">
        <v>2153</v>
      </c>
      <c r="J599" s="103">
        <v>150</v>
      </c>
      <c r="K599" s="103">
        <v>100</v>
      </c>
      <c r="L599" s="103">
        <v>150</v>
      </c>
      <c r="M599" s="103">
        <v>200</v>
      </c>
      <c r="N599" s="103" t="s">
        <v>2163</v>
      </c>
      <c r="O599" s="103">
        <v>600</v>
      </c>
      <c r="P599" s="103" t="s">
        <v>771</v>
      </c>
      <c r="Q599" s="103" t="s">
        <v>2387</v>
      </c>
      <c r="R599" s="103" t="s">
        <v>2156</v>
      </c>
      <c r="U599" s="103">
        <v>307.8</v>
      </c>
      <c r="V599" s="103" t="s">
        <v>2158</v>
      </c>
      <c r="W599" s="103" t="s">
        <v>114</v>
      </c>
      <c r="X599" s="103" t="s">
        <v>1736</v>
      </c>
      <c r="Y599" s="103" t="s">
        <v>3848</v>
      </c>
      <c r="AA599" s="103" t="s">
        <v>2156</v>
      </c>
      <c r="AB599" s="103" t="s">
        <v>68</v>
      </c>
      <c r="AC599" s="103" t="s">
        <v>2159</v>
      </c>
      <c r="AD599" s="103" t="s">
        <v>2388</v>
      </c>
      <c r="AE599" s="103" t="s">
        <v>766</v>
      </c>
      <c r="AF599" s="103" t="b">
        <v>1</v>
      </c>
    </row>
    <row r="600" spans="1:32" hidden="1" x14ac:dyDescent="0.2">
      <c r="A600" s="103" t="s">
        <v>1563</v>
      </c>
      <c r="B600" s="103" t="s">
        <v>1766</v>
      </c>
      <c r="C600" s="103" t="s">
        <v>2779</v>
      </c>
      <c r="E600" s="103" t="s">
        <v>2195</v>
      </c>
      <c r="F600" s="103" t="s">
        <v>2228</v>
      </c>
      <c r="G600" s="103">
        <v>600</v>
      </c>
      <c r="H600" s="103" t="s">
        <v>2168</v>
      </c>
      <c r="I600" s="103" t="s">
        <v>2153</v>
      </c>
      <c r="J600" s="103">
        <v>150</v>
      </c>
      <c r="K600" s="103">
        <v>150</v>
      </c>
      <c r="L600" s="103">
        <v>200</v>
      </c>
      <c r="M600" s="103">
        <v>100</v>
      </c>
      <c r="N600" s="103" t="s">
        <v>2163</v>
      </c>
      <c r="O600" s="103">
        <v>600</v>
      </c>
      <c r="P600" s="103" t="s">
        <v>771</v>
      </c>
      <c r="Q600" s="103" t="s">
        <v>2387</v>
      </c>
      <c r="R600" s="103" t="s">
        <v>2156</v>
      </c>
      <c r="U600" s="103">
        <v>307.8</v>
      </c>
      <c r="V600" s="103" t="s">
        <v>2158</v>
      </c>
      <c r="W600" s="103" t="s">
        <v>114</v>
      </c>
      <c r="X600" s="103" t="s">
        <v>1736</v>
      </c>
      <c r="Y600" s="103" t="s">
        <v>3848</v>
      </c>
      <c r="AA600" s="103" t="s">
        <v>2156</v>
      </c>
      <c r="AB600" s="103" t="s">
        <v>68</v>
      </c>
      <c r="AC600" s="103" t="s">
        <v>2159</v>
      </c>
      <c r="AD600" s="103" t="s">
        <v>2388</v>
      </c>
      <c r="AE600" s="103" t="s">
        <v>766</v>
      </c>
      <c r="AF600" s="103" t="b">
        <v>1</v>
      </c>
    </row>
    <row r="601" spans="1:32" hidden="1" x14ac:dyDescent="0.2">
      <c r="A601" s="103" t="s">
        <v>1564</v>
      </c>
      <c r="B601" s="103" t="s">
        <v>1767</v>
      </c>
      <c r="C601" s="103" t="s">
        <v>2780</v>
      </c>
      <c r="E601" s="103" t="s">
        <v>2510</v>
      </c>
      <c r="F601" s="103" t="s">
        <v>2781</v>
      </c>
      <c r="G601" s="103">
        <v>400</v>
      </c>
      <c r="H601" s="103" t="s">
        <v>2168</v>
      </c>
      <c r="I601" s="103" t="s">
        <v>2153</v>
      </c>
      <c r="J601" s="103">
        <v>100</v>
      </c>
      <c r="K601" s="103">
        <v>100</v>
      </c>
      <c r="L601" s="103">
        <v>100</v>
      </c>
      <c r="M601" s="103">
        <v>100</v>
      </c>
      <c r="N601" s="103" t="s">
        <v>2163</v>
      </c>
      <c r="O601" s="103">
        <v>400</v>
      </c>
      <c r="P601" s="103" t="s">
        <v>1559</v>
      </c>
      <c r="Q601" s="103" t="s">
        <v>2387</v>
      </c>
      <c r="R601" s="103" t="s">
        <v>2156</v>
      </c>
      <c r="U601" s="103">
        <v>205.2</v>
      </c>
      <c r="V601" s="103" t="s">
        <v>2158</v>
      </c>
      <c r="W601" s="103" t="s">
        <v>114</v>
      </c>
      <c r="X601" s="103" t="s">
        <v>1736</v>
      </c>
      <c r="Y601" s="103" t="s">
        <v>3848</v>
      </c>
      <c r="AA601" s="103" t="s">
        <v>2156</v>
      </c>
      <c r="AB601" s="103" t="s">
        <v>68</v>
      </c>
      <c r="AC601" s="103" t="s">
        <v>2782</v>
      </c>
      <c r="AD601" s="103" t="s">
        <v>2388</v>
      </c>
      <c r="AE601" s="103" t="s">
        <v>766</v>
      </c>
      <c r="AF601" s="103" t="b">
        <v>1</v>
      </c>
    </row>
    <row r="602" spans="1:32" hidden="1" x14ac:dyDescent="0.2">
      <c r="A602" s="103" t="s">
        <v>1566</v>
      </c>
      <c r="B602" s="103" t="s">
        <v>1769</v>
      </c>
      <c r="C602" s="103" t="s">
        <v>2385</v>
      </c>
      <c r="E602" s="103" t="s">
        <v>2386</v>
      </c>
      <c r="G602" s="103">
        <v>229.20000000000002</v>
      </c>
      <c r="H602" s="103" t="s">
        <v>2168</v>
      </c>
      <c r="I602" s="103" t="s">
        <v>2153</v>
      </c>
      <c r="J602" s="103">
        <v>57.300000000000004</v>
      </c>
      <c r="K602" s="103">
        <v>57.300000000000004</v>
      </c>
      <c r="L602" s="103">
        <v>57.300000000000004</v>
      </c>
      <c r="M602" s="103">
        <v>57.300000000000004</v>
      </c>
      <c r="N602" s="103" t="s">
        <v>2163</v>
      </c>
      <c r="O602" s="103">
        <v>229.20000000000002</v>
      </c>
      <c r="P602" s="103" t="s">
        <v>1567</v>
      </c>
      <c r="Q602" s="103" t="s">
        <v>2387</v>
      </c>
      <c r="R602" s="103" t="s">
        <v>2156</v>
      </c>
      <c r="U602" s="103">
        <v>117.5796</v>
      </c>
      <c r="V602" s="103" t="s">
        <v>2158</v>
      </c>
      <c r="W602" s="103" t="s">
        <v>114</v>
      </c>
      <c r="X602" s="103" t="s">
        <v>1736</v>
      </c>
      <c r="Y602" s="103" t="s">
        <v>3848</v>
      </c>
      <c r="AA602" s="103" t="s">
        <v>2156</v>
      </c>
      <c r="AB602" s="103" t="s">
        <v>68</v>
      </c>
      <c r="AC602" s="103" t="s">
        <v>2159</v>
      </c>
      <c r="AD602" s="103" t="s">
        <v>2388</v>
      </c>
      <c r="AE602" s="103" t="s">
        <v>766</v>
      </c>
      <c r="AF602" s="103" t="b">
        <v>1</v>
      </c>
    </row>
    <row r="603" spans="1:32" hidden="1" x14ac:dyDescent="0.2">
      <c r="A603" s="103" t="s">
        <v>1566</v>
      </c>
      <c r="B603" s="103" t="s">
        <v>1769</v>
      </c>
      <c r="C603" s="103" t="s">
        <v>2385</v>
      </c>
      <c r="E603" s="103" t="s">
        <v>2213</v>
      </c>
      <c r="G603" s="103">
        <v>152.80000000000001</v>
      </c>
      <c r="H603" s="103" t="s">
        <v>2168</v>
      </c>
      <c r="I603" s="103" t="s">
        <v>2153</v>
      </c>
      <c r="J603" s="103">
        <v>38.200000000000003</v>
      </c>
      <c r="K603" s="103">
        <v>38.200000000000003</v>
      </c>
      <c r="L603" s="103">
        <v>38.200000000000003</v>
      </c>
      <c r="M603" s="103">
        <v>38.200000000000003</v>
      </c>
      <c r="N603" s="103" t="s">
        <v>2163</v>
      </c>
      <c r="O603" s="103">
        <v>152.80000000000001</v>
      </c>
      <c r="P603" s="103" t="s">
        <v>1567</v>
      </c>
      <c r="Q603" s="103" t="s">
        <v>2387</v>
      </c>
      <c r="R603" s="103" t="s">
        <v>2156</v>
      </c>
      <c r="U603" s="103">
        <v>78.386400000000009</v>
      </c>
      <c r="V603" s="103" t="s">
        <v>2158</v>
      </c>
      <c r="W603" s="103" t="s">
        <v>114</v>
      </c>
      <c r="X603" s="103" t="s">
        <v>1736</v>
      </c>
      <c r="Y603" s="103" t="s">
        <v>3848</v>
      </c>
      <c r="AA603" s="103" t="s">
        <v>2156</v>
      </c>
      <c r="AB603" s="103" t="s">
        <v>68</v>
      </c>
      <c r="AC603" s="103" t="s">
        <v>2159</v>
      </c>
      <c r="AD603" s="103" t="s">
        <v>2388</v>
      </c>
      <c r="AE603" s="103" t="s">
        <v>766</v>
      </c>
      <c r="AF603" s="103" t="b">
        <v>1</v>
      </c>
    </row>
    <row r="604" spans="1:32" hidden="1" x14ac:dyDescent="0.2">
      <c r="A604" s="103" t="s">
        <v>1566</v>
      </c>
      <c r="B604" s="103" t="s">
        <v>1769</v>
      </c>
      <c r="C604" s="103" t="s">
        <v>2385</v>
      </c>
      <c r="E604" s="103" t="s">
        <v>2389</v>
      </c>
      <c r="G604" s="103">
        <v>114.60000000000001</v>
      </c>
      <c r="H604" s="103" t="s">
        <v>2168</v>
      </c>
      <c r="I604" s="103" t="s">
        <v>2153</v>
      </c>
      <c r="J604" s="103">
        <v>28.650000000000002</v>
      </c>
      <c r="K604" s="103">
        <v>28.650000000000002</v>
      </c>
      <c r="L604" s="103">
        <v>28.650000000000002</v>
      </c>
      <c r="M604" s="103">
        <v>28.650000000000002</v>
      </c>
      <c r="N604" s="103" t="s">
        <v>2163</v>
      </c>
      <c r="O604" s="103">
        <v>114.60000000000001</v>
      </c>
      <c r="P604" s="103" t="s">
        <v>1567</v>
      </c>
      <c r="Q604" s="103" t="s">
        <v>2387</v>
      </c>
      <c r="R604" s="103" t="s">
        <v>2156</v>
      </c>
      <c r="U604" s="103">
        <v>58.7898</v>
      </c>
      <c r="V604" s="103" t="s">
        <v>2158</v>
      </c>
      <c r="W604" s="103" t="s">
        <v>114</v>
      </c>
      <c r="X604" s="103" t="s">
        <v>1736</v>
      </c>
      <c r="Y604" s="103" t="s">
        <v>3848</v>
      </c>
      <c r="AA604" s="103" t="s">
        <v>2156</v>
      </c>
      <c r="AB604" s="103" t="s">
        <v>68</v>
      </c>
      <c r="AC604" s="103" t="s">
        <v>2159</v>
      </c>
      <c r="AD604" s="103" t="s">
        <v>2388</v>
      </c>
      <c r="AE604" s="103" t="s">
        <v>766</v>
      </c>
      <c r="AF604" s="103" t="b">
        <v>1</v>
      </c>
    </row>
    <row r="605" spans="1:32" hidden="1" x14ac:dyDescent="0.2">
      <c r="A605" s="103" t="s">
        <v>1568</v>
      </c>
      <c r="B605" s="103" t="s">
        <v>1770</v>
      </c>
      <c r="C605" s="103" t="s">
        <v>2385</v>
      </c>
      <c r="E605" s="103" t="s">
        <v>2167</v>
      </c>
      <c r="G605" s="103">
        <v>267.40000000000003</v>
      </c>
      <c r="H605" s="103" t="s">
        <v>2168</v>
      </c>
      <c r="I605" s="103" t="s">
        <v>2153</v>
      </c>
      <c r="J605" s="103">
        <v>66.850000000000009</v>
      </c>
      <c r="K605" s="103">
        <v>66.850000000000009</v>
      </c>
      <c r="L605" s="103">
        <v>66.850000000000009</v>
      </c>
      <c r="M605" s="103">
        <v>66.850000000000009</v>
      </c>
      <c r="N605" s="103" t="s">
        <v>2163</v>
      </c>
      <c r="O605" s="103">
        <v>267.40000000000003</v>
      </c>
      <c r="P605" s="103" t="s">
        <v>1567</v>
      </c>
      <c r="Q605" s="103" t="s">
        <v>2387</v>
      </c>
      <c r="R605" s="103" t="s">
        <v>2156</v>
      </c>
      <c r="U605" s="103">
        <v>137.17620000000002</v>
      </c>
      <c r="V605" s="103" t="s">
        <v>2158</v>
      </c>
      <c r="W605" s="103" t="s">
        <v>114</v>
      </c>
      <c r="X605" s="103" t="s">
        <v>1736</v>
      </c>
      <c r="Y605" s="103" t="s">
        <v>3848</v>
      </c>
      <c r="AA605" s="103" t="s">
        <v>2156</v>
      </c>
      <c r="AB605" s="103" t="s">
        <v>68</v>
      </c>
      <c r="AC605" s="103" t="s">
        <v>2159</v>
      </c>
      <c r="AD605" s="103" t="s">
        <v>2388</v>
      </c>
      <c r="AE605" s="103" t="s">
        <v>766</v>
      </c>
      <c r="AF605" s="103" t="b">
        <v>1</v>
      </c>
    </row>
    <row r="606" spans="1:32" hidden="1" x14ac:dyDescent="0.2">
      <c r="A606" s="103" t="s">
        <v>1568</v>
      </c>
      <c r="B606" s="103" t="s">
        <v>1770</v>
      </c>
      <c r="C606" s="103" t="s">
        <v>2385</v>
      </c>
      <c r="E606" s="103" t="s">
        <v>2171</v>
      </c>
      <c r="G606" s="103">
        <v>229.20000000000002</v>
      </c>
      <c r="H606" s="103" t="s">
        <v>2168</v>
      </c>
      <c r="I606" s="103" t="s">
        <v>2153</v>
      </c>
      <c r="J606" s="103">
        <v>57.300000000000004</v>
      </c>
      <c r="K606" s="103">
        <v>57.300000000000004</v>
      </c>
      <c r="L606" s="103">
        <v>57.300000000000004</v>
      </c>
      <c r="M606" s="103">
        <v>57.300000000000004</v>
      </c>
      <c r="N606" s="103" t="s">
        <v>2163</v>
      </c>
      <c r="O606" s="103">
        <v>229.20000000000002</v>
      </c>
      <c r="P606" s="103" t="s">
        <v>1567</v>
      </c>
      <c r="Q606" s="103" t="s">
        <v>2387</v>
      </c>
      <c r="R606" s="103" t="s">
        <v>2156</v>
      </c>
      <c r="U606" s="103">
        <v>117.5796</v>
      </c>
      <c r="V606" s="103" t="s">
        <v>2158</v>
      </c>
      <c r="W606" s="103" t="s">
        <v>114</v>
      </c>
      <c r="X606" s="103" t="s">
        <v>1736</v>
      </c>
      <c r="Y606" s="103" t="s">
        <v>3848</v>
      </c>
      <c r="AA606" s="103" t="s">
        <v>2156</v>
      </c>
      <c r="AB606" s="103" t="s">
        <v>68</v>
      </c>
      <c r="AC606" s="103" t="s">
        <v>2159</v>
      </c>
      <c r="AD606" s="103" t="s">
        <v>2388</v>
      </c>
      <c r="AE606" s="103" t="s">
        <v>766</v>
      </c>
      <c r="AF606" s="103" t="b">
        <v>1</v>
      </c>
    </row>
    <row r="607" spans="1:32" hidden="1" x14ac:dyDescent="0.2">
      <c r="A607" s="103" t="s">
        <v>1568</v>
      </c>
      <c r="B607" s="103" t="s">
        <v>1770</v>
      </c>
      <c r="C607" s="103" t="s">
        <v>2385</v>
      </c>
      <c r="E607" s="103" t="s">
        <v>2211</v>
      </c>
      <c r="G607" s="103">
        <v>191</v>
      </c>
      <c r="H607" s="103" t="s">
        <v>2168</v>
      </c>
      <c r="I607" s="103" t="s">
        <v>2153</v>
      </c>
      <c r="J607" s="103">
        <v>47.75</v>
      </c>
      <c r="K607" s="103">
        <v>47.75</v>
      </c>
      <c r="L607" s="103">
        <v>47.75</v>
      </c>
      <c r="M607" s="103">
        <v>47.75</v>
      </c>
      <c r="N607" s="103" t="s">
        <v>2163</v>
      </c>
      <c r="O607" s="103">
        <v>191</v>
      </c>
      <c r="P607" s="103" t="s">
        <v>1567</v>
      </c>
      <c r="Q607" s="103" t="s">
        <v>2387</v>
      </c>
      <c r="R607" s="103" t="s">
        <v>2156</v>
      </c>
      <c r="U607" s="103">
        <v>97.983000000000004</v>
      </c>
      <c r="V607" s="103" t="s">
        <v>2158</v>
      </c>
      <c r="W607" s="103" t="s">
        <v>114</v>
      </c>
      <c r="X607" s="103" t="s">
        <v>1736</v>
      </c>
      <c r="Y607" s="103" t="s">
        <v>3848</v>
      </c>
      <c r="AA607" s="103" t="s">
        <v>2156</v>
      </c>
      <c r="AB607" s="103" t="s">
        <v>68</v>
      </c>
      <c r="AC607" s="103" t="s">
        <v>2159</v>
      </c>
      <c r="AD607" s="103" t="s">
        <v>2388</v>
      </c>
      <c r="AE607" s="103" t="s">
        <v>766</v>
      </c>
      <c r="AF607" s="103" t="b">
        <v>1</v>
      </c>
    </row>
    <row r="608" spans="1:32" hidden="1" x14ac:dyDescent="0.2">
      <c r="A608" s="103" t="s">
        <v>1569</v>
      </c>
      <c r="B608" s="103" t="s">
        <v>1771</v>
      </c>
      <c r="C608" s="103" t="s">
        <v>2385</v>
      </c>
      <c r="E608" s="103" t="s">
        <v>2433</v>
      </c>
      <c r="G608" s="103">
        <v>114.60000000000001</v>
      </c>
      <c r="H608" s="103" t="s">
        <v>2168</v>
      </c>
      <c r="I608" s="103" t="s">
        <v>2153</v>
      </c>
      <c r="J608" s="103">
        <v>28.650000000000002</v>
      </c>
      <c r="K608" s="103">
        <v>28.650000000000002</v>
      </c>
      <c r="L608" s="103">
        <v>28.650000000000002</v>
      </c>
      <c r="M608" s="103">
        <v>28.650000000000002</v>
      </c>
      <c r="N608" s="103" t="s">
        <v>2163</v>
      </c>
      <c r="O608" s="103">
        <v>114.60000000000001</v>
      </c>
      <c r="P608" s="103" t="s">
        <v>1567</v>
      </c>
      <c r="Q608" s="103" t="s">
        <v>2387</v>
      </c>
      <c r="R608" s="103" t="s">
        <v>2156</v>
      </c>
      <c r="U608" s="103">
        <v>58.7898</v>
      </c>
      <c r="V608" s="103" t="s">
        <v>2158</v>
      </c>
      <c r="W608" s="103" t="s">
        <v>114</v>
      </c>
      <c r="X608" s="103" t="s">
        <v>1736</v>
      </c>
      <c r="Y608" s="103" t="s">
        <v>3848</v>
      </c>
      <c r="AA608" s="103" t="s">
        <v>2156</v>
      </c>
      <c r="AB608" s="103" t="s">
        <v>68</v>
      </c>
      <c r="AC608" s="103" t="s">
        <v>2159</v>
      </c>
      <c r="AD608" s="103" t="s">
        <v>2388</v>
      </c>
      <c r="AE608" s="103" t="s">
        <v>766</v>
      </c>
      <c r="AF608" s="103" t="b">
        <v>1</v>
      </c>
    </row>
    <row r="609" spans="1:32" hidden="1" x14ac:dyDescent="0.2">
      <c r="A609" s="103" t="s">
        <v>1569</v>
      </c>
      <c r="B609" s="103" t="s">
        <v>1771</v>
      </c>
      <c r="C609" s="103" t="s">
        <v>2385</v>
      </c>
      <c r="E609" s="103" t="s">
        <v>2434</v>
      </c>
      <c r="G609" s="103">
        <v>191</v>
      </c>
      <c r="H609" s="103" t="s">
        <v>2168</v>
      </c>
      <c r="I609" s="103" t="s">
        <v>2153</v>
      </c>
      <c r="J609" s="103">
        <v>47.75</v>
      </c>
      <c r="K609" s="103">
        <v>47.75</v>
      </c>
      <c r="L609" s="103">
        <v>47.75</v>
      </c>
      <c r="M609" s="103">
        <v>47.75</v>
      </c>
      <c r="N609" s="103" t="s">
        <v>2163</v>
      </c>
      <c r="O609" s="103">
        <v>191</v>
      </c>
      <c r="P609" s="103" t="s">
        <v>1567</v>
      </c>
      <c r="Q609" s="103" t="s">
        <v>2387</v>
      </c>
      <c r="R609" s="103" t="s">
        <v>2156</v>
      </c>
      <c r="U609" s="103">
        <v>97.983000000000004</v>
      </c>
      <c r="V609" s="103" t="s">
        <v>2158</v>
      </c>
      <c r="W609" s="103" t="s">
        <v>114</v>
      </c>
      <c r="X609" s="103" t="s">
        <v>1736</v>
      </c>
      <c r="Y609" s="103" t="s">
        <v>3848</v>
      </c>
      <c r="AA609" s="103" t="s">
        <v>2156</v>
      </c>
      <c r="AB609" s="103" t="s">
        <v>68</v>
      </c>
      <c r="AC609" s="103" t="s">
        <v>2159</v>
      </c>
      <c r="AD609" s="103" t="s">
        <v>2388</v>
      </c>
      <c r="AE609" s="103" t="s">
        <v>766</v>
      </c>
      <c r="AF609" s="103" t="b">
        <v>1</v>
      </c>
    </row>
    <row r="610" spans="1:32" hidden="1" x14ac:dyDescent="0.2">
      <c r="A610" s="103" t="s">
        <v>1570</v>
      </c>
      <c r="B610" s="103" t="s">
        <v>1772</v>
      </c>
      <c r="C610" s="103" t="s">
        <v>1570</v>
      </c>
      <c r="D610" s="103" t="s">
        <v>1570</v>
      </c>
      <c r="E610" s="103" t="s">
        <v>104</v>
      </c>
      <c r="F610" s="103" t="s">
        <v>2162</v>
      </c>
      <c r="G610" s="103">
        <v>354</v>
      </c>
      <c r="H610" s="103" t="s">
        <v>2168</v>
      </c>
      <c r="I610" s="103" t="s">
        <v>2153</v>
      </c>
      <c r="J610" s="103">
        <v>76</v>
      </c>
      <c r="K610" s="103">
        <v>86</v>
      </c>
      <c r="L610" s="103">
        <v>96</v>
      </c>
      <c r="M610" s="103">
        <v>96</v>
      </c>
      <c r="N610" s="103" t="s">
        <v>2163</v>
      </c>
      <c r="O610" s="103">
        <v>354</v>
      </c>
      <c r="P610" s="103" t="s">
        <v>1571</v>
      </c>
      <c r="Q610" s="103" t="s">
        <v>2387</v>
      </c>
      <c r="R610" s="103" t="s">
        <v>2156</v>
      </c>
      <c r="U610" s="103">
        <v>181.602</v>
      </c>
      <c r="V610" s="103" t="s">
        <v>2158</v>
      </c>
      <c r="W610" s="103" t="s">
        <v>104</v>
      </c>
      <c r="X610" s="103" t="s">
        <v>1736</v>
      </c>
      <c r="Y610" s="103" t="s">
        <v>3848</v>
      </c>
      <c r="AA610" s="103" t="s">
        <v>2156</v>
      </c>
      <c r="AB610" s="103" t="s">
        <v>68</v>
      </c>
      <c r="AC610" s="103" t="s">
        <v>2159</v>
      </c>
      <c r="AD610" s="103" t="s">
        <v>2388</v>
      </c>
      <c r="AE610" s="103" t="s">
        <v>766</v>
      </c>
      <c r="AF610" s="103" t="b">
        <v>1</v>
      </c>
    </row>
    <row r="611" spans="1:32" hidden="1" x14ac:dyDescent="0.2">
      <c r="A611" s="103" t="s">
        <v>1573</v>
      </c>
      <c r="B611" s="103" t="s">
        <v>1774</v>
      </c>
      <c r="C611" s="103" t="s">
        <v>2783</v>
      </c>
      <c r="D611" s="103" t="s">
        <v>2784</v>
      </c>
      <c r="E611" s="103" t="s">
        <v>2785</v>
      </c>
      <c r="F611" s="103" t="s">
        <v>2228</v>
      </c>
      <c r="G611" s="103">
        <v>1100</v>
      </c>
      <c r="H611" s="103" t="s">
        <v>2152</v>
      </c>
      <c r="I611" s="103" t="s">
        <v>2153</v>
      </c>
      <c r="J611" s="103">
        <v>300</v>
      </c>
      <c r="K611" s="103">
        <v>300</v>
      </c>
      <c r="L611" s="103">
        <v>300</v>
      </c>
      <c r="M611" s="103">
        <v>200</v>
      </c>
      <c r="N611" s="103" t="s">
        <v>2163</v>
      </c>
      <c r="O611" s="103">
        <v>1100</v>
      </c>
      <c r="P611" s="103" t="s">
        <v>1609</v>
      </c>
      <c r="Q611" s="103" t="s">
        <v>2387</v>
      </c>
      <c r="R611" s="103" t="s">
        <v>2220</v>
      </c>
      <c r="T611" s="103" t="s">
        <v>2786</v>
      </c>
      <c r="U611" s="103">
        <v>564.29999999999995</v>
      </c>
      <c r="V611" s="103" t="s">
        <v>2158</v>
      </c>
      <c r="W611" s="103" t="s">
        <v>115</v>
      </c>
      <c r="X611" s="103" t="s">
        <v>1736</v>
      </c>
      <c r="Y611" s="103" t="s">
        <v>3848</v>
      </c>
      <c r="AA611" s="103" t="s">
        <v>2220</v>
      </c>
      <c r="AB611" s="103" t="s">
        <v>71</v>
      </c>
      <c r="AE611" s="103" t="s">
        <v>898</v>
      </c>
      <c r="AF611" s="103" t="b">
        <v>1</v>
      </c>
    </row>
    <row r="612" spans="1:32" hidden="1" x14ac:dyDescent="0.2">
      <c r="A612" s="103" t="s">
        <v>1573</v>
      </c>
      <c r="B612" s="103" t="s">
        <v>1774</v>
      </c>
      <c r="C612" s="103" t="s">
        <v>2787</v>
      </c>
      <c r="D612" s="103" t="s">
        <v>2788</v>
      </c>
      <c r="E612" s="103" t="s">
        <v>2785</v>
      </c>
      <c r="F612" s="103" t="s">
        <v>2226</v>
      </c>
      <c r="G612" s="103">
        <v>300</v>
      </c>
      <c r="H612" s="103" t="s">
        <v>2152</v>
      </c>
      <c r="I612" s="103" t="s">
        <v>2153</v>
      </c>
      <c r="J612" s="103">
        <v>75</v>
      </c>
      <c r="K612" s="103">
        <v>75</v>
      </c>
      <c r="L612" s="103">
        <v>75</v>
      </c>
      <c r="M612" s="103">
        <v>75</v>
      </c>
      <c r="N612" s="103" t="s">
        <v>2163</v>
      </c>
      <c r="O612" s="103">
        <v>300</v>
      </c>
      <c r="P612" s="103" t="s">
        <v>2789</v>
      </c>
      <c r="Q612" s="103" t="s">
        <v>2387</v>
      </c>
      <c r="R612" s="103" t="s">
        <v>2220</v>
      </c>
      <c r="U612" s="103">
        <v>153.9</v>
      </c>
      <c r="V612" s="103" t="s">
        <v>2158</v>
      </c>
      <c r="W612" s="103" t="s">
        <v>115</v>
      </c>
      <c r="X612" s="103" t="s">
        <v>1736</v>
      </c>
      <c r="Y612" s="103" t="s">
        <v>3848</v>
      </c>
      <c r="AA612" s="103" t="s">
        <v>2220</v>
      </c>
      <c r="AB612" s="103" t="s">
        <v>71</v>
      </c>
      <c r="AE612" s="103" t="s">
        <v>898</v>
      </c>
      <c r="AF612" s="103" t="b">
        <v>1</v>
      </c>
    </row>
    <row r="613" spans="1:32" hidden="1" x14ac:dyDescent="0.2">
      <c r="A613" s="103" t="s">
        <v>1573</v>
      </c>
      <c r="B613" s="103" t="s">
        <v>1774</v>
      </c>
      <c r="C613" s="103" t="s">
        <v>2787</v>
      </c>
      <c r="D613" s="103" t="s">
        <v>2790</v>
      </c>
      <c r="E613" s="103" t="s">
        <v>2346</v>
      </c>
      <c r="F613" s="103" t="s">
        <v>2151</v>
      </c>
      <c r="G613" s="103">
        <v>100</v>
      </c>
      <c r="H613" s="103" t="s">
        <v>2168</v>
      </c>
      <c r="I613" s="103" t="s">
        <v>2153</v>
      </c>
      <c r="J613" s="103">
        <v>25</v>
      </c>
      <c r="K613" s="103">
        <v>25</v>
      </c>
      <c r="L613" s="103">
        <v>25</v>
      </c>
      <c r="M613" s="103">
        <v>25</v>
      </c>
      <c r="N613" s="103" t="s">
        <v>2163</v>
      </c>
      <c r="O613" s="103">
        <v>100</v>
      </c>
      <c r="P613" s="103" t="s">
        <v>2789</v>
      </c>
      <c r="Q613" s="103" t="s">
        <v>2387</v>
      </c>
      <c r="R613" s="103" t="s">
        <v>2220</v>
      </c>
      <c r="S613" s="103" t="s">
        <v>2422</v>
      </c>
      <c r="U613" s="103">
        <v>51.3</v>
      </c>
      <c r="V613" s="103" t="s">
        <v>2158</v>
      </c>
      <c r="W613" s="103" t="s">
        <v>116</v>
      </c>
      <c r="X613" s="103" t="s">
        <v>1736</v>
      </c>
      <c r="Y613" s="103" t="s">
        <v>3848</v>
      </c>
      <c r="AA613" s="103" t="s">
        <v>2220</v>
      </c>
      <c r="AB613" s="103" t="s">
        <v>71</v>
      </c>
      <c r="AE613" s="103" t="s">
        <v>898</v>
      </c>
      <c r="AF613" s="103" t="b">
        <v>1</v>
      </c>
    </row>
    <row r="614" spans="1:32" hidden="1" x14ac:dyDescent="0.2">
      <c r="A614" s="103" t="s">
        <v>1573</v>
      </c>
      <c r="B614" s="103" t="s">
        <v>1774</v>
      </c>
      <c r="C614" s="103" t="s">
        <v>2787</v>
      </c>
      <c r="D614" s="103" t="s">
        <v>2790</v>
      </c>
      <c r="E614" s="103" t="s">
        <v>2334</v>
      </c>
      <c r="F614" s="103" t="s">
        <v>2151</v>
      </c>
      <c r="G614" s="103">
        <v>100</v>
      </c>
      <c r="H614" s="103" t="s">
        <v>2168</v>
      </c>
      <c r="I614" s="103" t="s">
        <v>2153</v>
      </c>
      <c r="J614" s="103">
        <v>25</v>
      </c>
      <c r="K614" s="103">
        <v>25</v>
      </c>
      <c r="L614" s="103">
        <v>25</v>
      </c>
      <c r="M614" s="103">
        <v>25</v>
      </c>
      <c r="N614" s="103" t="s">
        <v>2163</v>
      </c>
      <c r="O614" s="103">
        <v>100</v>
      </c>
      <c r="P614" s="103" t="s">
        <v>2789</v>
      </c>
      <c r="Q614" s="103" t="s">
        <v>2387</v>
      </c>
      <c r="R614" s="103" t="s">
        <v>2220</v>
      </c>
      <c r="S614" s="103" t="s">
        <v>2422</v>
      </c>
      <c r="U614" s="103">
        <v>51.3</v>
      </c>
      <c r="V614" s="103" t="s">
        <v>2158</v>
      </c>
      <c r="W614" s="103" t="s">
        <v>116</v>
      </c>
      <c r="X614" s="103" t="s">
        <v>1736</v>
      </c>
      <c r="Y614" s="103" t="s">
        <v>3848</v>
      </c>
      <c r="AA614" s="103" t="s">
        <v>2220</v>
      </c>
      <c r="AB614" s="103" t="s">
        <v>71</v>
      </c>
      <c r="AE614" s="103" t="s">
        <v>898</v>
      </c>
      <c r="AF614" s="103" t="b">
        <v>1</v>
      </c>
    </row>
    <row r="615" spans="1:32" hidden="1" x14ac:dyDescent="0.2">
      <c r="A615" s="103" t="s">
        <v>1573</v>
      </c>
      <c r="B615" s="103" t="s">
        <v>1774</v>
      </c>
      <c r="C615" s="103" t="s">
        <v>2787</v>
      </c>
      <c r="D615" s="103" t="s">
        <v>2791</v>
      </c>
      <c r="E615" s="103" t="s">
        <v>2792</v>
      </c>
      <c r="F615" s="103" t="s">
        <v>2162</v>
      </c>
      <c r="G615" s="103">
        <v>50</v>
      </c>
      <c r="H615" s="103" t="s">
        <v>2168</v>
      </c>
      <c r="I615" s="103" t="s">
        <v>2153</v>
      </c>
      <c r="J615" s="103">
        <v>10</v>
      </c>
      <c r="K615" s="103">
        <v>10</v>
      </c>
      <c r="L615" s="103">
        <v>10</v>
      </c>
      <c r="M615" s="103">
        <v>20</v>
      </c>
      <c r="N615" s="103" t="s">
        <v>2163</v>
      </c>
      <c r="O615" s="103">
        <v>50</v>
      </c>
      <c r="P615" s="103" t="s">
        <v>2789</v>
      </c>
      <c r="Q615" s="103" t="s">
        <v>2387</v>
      </c>
      <c r="R615" s="103" t="s">
        <v>2220</v>
      </c>
      <c r="S615" s="103" t="s">
        <v>2422</v>
      </c>
      <c r="U615" s="103">
        <v>25.65</v>
      </c>
      <c r="V615" s="103" t="s">
        <v>2158</v>
      </c>
      <c r="W615" s="103" t="s">
        <v>116</v>
      </c>
      <c r="X615" s="103" t="s">
        <v>1736</v>
      </c>
      <c r="Y615" s="103" t="s">
        <v>3848</v>
      </c>
      <c r="AA615" s="103" t="s">
        <v>2220</v>
      </c>
      <c r="AB615" s="103" t="s">
        <v>71</v>
      </c>
      <c r="AE615" s="103" t="s">
        <v>898</v>
      </c>
      <c r="AF615" s="103" t="b">
        <v>1</v>
      </c>
    </row>
    <row r="616" spans="1:32" hidden="1" x14ac:dyDescent="0.2">
      <c r="A616" s="103" t="s">
        <v>1573</v>
      </c>
      <c r="B616" s="103" t="s">
        <v>1774</v>
      </c>
      <c r="C616" s="103" t="s">
        <v>2787</v>
      </c>
      <c r="D616" s="103" t="s">
        <v>2793</v>
      </c>
      <c r="E616" s="103" t="s">
        <v>2794</v>
      </c>
      <c r="F616" s="103" t="s">
        <v>2151</v>
      </c>
      <c r="G616" s="103">
        <v>100</v>
      </c>
      <c r="H616" s="103" t="s">
        <v>2168</v>
      </c>
      <c r="I616" s="103" t="s">
        <v>2153</v>
      </c>
      <c r="J616" s="103">
        <v>25</v>
      </c>
      <c r="K616" s="103">
        <v>25</v>
      </c>
      <c r="L616" s="103">
        <v>25</v>
      </c>
      <c r="M616" s="103">
        <v>25</v>
      </c>
      <c r="N616" s="103" t="s">
        <v>2163</v>
      </c>
      <c r="O616" s="103">
        <v>100</v>
      </c>
      <c r="P616" s="103" t="s">
        <v>2789</v>
      </c>
      <c r="Q616" s="103" t="s">
        <v>2387</v>
      </c>
      <c r="R616" s="103" t="s">
        <v>2220</v>
      </c>
      <c r="S616" s="103" t="s">
        <v>2422</v>
      </c>
      <c r="U616" s="103">
        <v>51.3</v>
      </c>
      <c r="V616" s="103" t="s">
        <v>2158</v>
      </c>
      <c r="W616" s="103" t="s">
        <v>116</v>
      </c>
      <c r="X616" s="103" t="s">
        <v>1736</v>
      </c>
      <c r="Y616" s="103" t="s">
        <v>3848</v>
      </c>
      <c r="AA616" s="103" t="s">
        <v>2220</v>
      </c>
      <c r="AB616" s="103" t="s">
        <v>71</v>
      </c>
      <c r="AE616" s="103" t="s">
        <v>898</v>
      </c>
      <c r="AF616" s="103" t="b">
        <v>1</v>
      </c>
    </row>
    <row r="617" spans="1:32" hidden="1" x14ac:dyDescent="0.2">
      <c r="A617" s="103" t="s">
        <v>895</v>
      </c>
      <c r="B617" s="103" t="s">
        <v>1775</v>
      </c>
      <c r="C617" s="103" t="s">
        <v>2795</v>
      </c>
      <c r="E617" s="103" t="s">
        <v>2740</v>
      </c>
      <c r="F617" s="103" t="s">
        <v>2232</v>
      </c>
      <c r="G617" s="103">
        <v>400</v>
      </c>
      <c r="H617" s="103" t="s">
        <v>2152</v>
      </c>
      <c r="I617" s="103" t="s">
        <v>2153</v>
      </c>
      <c r="J617" s="103">
        <v>100</v>
      </c>
      <c r="K617" s="103">
        <v>100</v>
      </c>
      <c r="L617" s="103">
        <v>100</v>
      </c>
      <c r="M617" s="103">
        <v>100</v>
      </c>
      <c r="N617" s="103" t="s">
        <v>2163</v>
      </c>
      <c r="O617" s="103">
        <v>400</v>
      </c>
      <c r="P617" s="103" t="s">
        <v>783</v>
      </c>
      <c r="Q617" s="103" t="s">
        <v>2387</v>
      </c>
      <c r="R617" s="103" t="s">
        <v>121</v>
      </c>
      <c r="S617" s="103" t="s">
        <v>2427</v>
      </c>
      <c r="U617" s="103">
        <v>205.2</v>
      </c>
      <c r="V617" s="103" t="s">
        <v>2158</v>
      </c>
      <c r="W617" s="103" t="s">
        <v>121</v>
      </c>
      <c r="X617" s="103" t="s">
        <v>1736</v>
      </c>
      <c r="Y617" s="103" t="s">
        <v>3848</v>
      </c>
      <c r="AA617" s="103" t="s">
        <v>121</v>
      </c>
      <c r="AB617" s="103" t="s">
        <v>71</v>
      </c>
      <c r="AE617" s="103" t="s">
        <v>810</v>
      </c>
      <c r="AF617" s="103" t="b">
        <v>1</v>
      </c>
    </row>
    <row r="618" spans="1:32" hidden="1" x14ac:dyDescent="0.2">
      <c r="A618" s="103" t="s">
        <v>906</v>
      </c>
      <c r="B618" s="103" t="s">
        <v>905</v>
      </c>
      <c r="C618" s="103" t="s">
        <v>2547</v>
      </c>
      <c r="D618" s="103" t="s">
        <v>2548</v>
      </c>
      <c r="E618" s="103" t="s">
        <v>2796</v>
      </c>
      <c r="F618" s="103" t="s">
        <v>2175</v>
      </c>
      <c r="G618" s="103">
        <v>20</v>
      </c>
      <c r="H618" s="103" t="s">
        <v>2168</v>
      </c>
      <c r="I618" s="103" t="s">
        <v>2153</v>
      </c>
      <c r="J618" s="103">
        <v>5</v>
      </c>
      <c r="K618" s="103">
        <v>5</v>
      </c>
      <c r="L618" s="103">
        <v>5</v>
      </c>
      <c r="M618" s="103">
        <v>5</v>
      </c>
      <c r="N618" s="103" t="s">
        <v>2163</v>
      </c>
      <c r="O618" s="103">
        <v>20</v>
      </c>
      <c r="P618" s="103" t="s">
        <v>2549</v>
      </c>
      <c r="Q618" s="103" t="s">
        <v>2155</v>
      </c>
      <c r="R618" s="103" t="s">
        <v>2220</v>
      </c>
      <c r="S618" s="103" t="s">
        <v>2157</v>
      </c>
      <c r="U618" s="103">
        <v>10.26</v>
      </c>
      <c r="V618" s="103" t="s">
        <v>2158</v>
      </c>
      <c r="W618" s="103" t="s">
        <v>108</v>
      </c>
      <c r="X618" s="103" t="s">
        <v>1597</v>
      </c>
      <c r="Y618" s="103" t="s">
        <v>1685</v>
      </c>
      <c r="AA618" s="103" t="s">
        <v>2220</v>
      </c>
      <c r="AB618" s="103" t="s">
        <v>71</v>
      </c>
      <c r="AE618" s="103" t="s">
        <v>810</v>
      </c>
      <c r="AF618" s="103" t="b">
        <v>1</v>
      </c>
    </row>
    <row r="619" spans="1:32" hidden="1" x14ac:dyDescent="0.2">
      <c r="A619" s="103" t="s">
        <v>906</v>
      </c>
      <c r="B619" s="103" t="s">
        <v>905</v>
      </c>
      <c r="C619" s="103" t="s">
        <v>2797</v>
      </c>
      <c r="D619" s="103" t="s">
        <v>2301</v>
      </c>
      <c r="E619" s="103" t="s">
        <v>2302</v>
      </c>
      <c r="F619" s="103" t="s">
        <v>2175</v>
      </c>
      <c r="G619" s="103">
        <v>20</v>
      </c>
      <c r="H619" s="103" t="s">
        <v>2168</v>
      </c>
      <c r="I619" s="103" t="s">
        <v>2153</v>
      </c>
      <c r="J619" s="103">
        <v>5</v>
      </c>
      <c r="K619" s="103">
        <v>5</v>
      </c>
      <c r="L619" s="103">
        <v>5</v>
      </c>
      <c r="M619" s="103">
        <v>5</v>
      </c>
      <c r="N619" s="103" t="s">
        <v>2163</v>
      </c>
      <c r="O619" s="103">
        <v>20</v>
      </c>
      <c r="P619" s="103" t="s">
        <v>2798</v>
      </c>
      <c r="Q619" s="103" t="s">
        <v>2236</v>
      </c>
      <c r="R619" s="103" t="s">
        <v>2220</v>
      </c>
      <c r="S619" s="103" t="s">
        <v>2157</v>
      </c>
      <c r="U619" s="103">
        <v>10.26</v>
      </c>
      <c r="V619" s="103" t="s">
        <v>2158</v>
      </c>
      <c r="W619" s="103" t="s">
        <v>108</v>
      </c>
      <c r="X619" s="103" t="s">
        <v>1597</v>
      </c>
      <c r="Y619" s="103" t="s">
        <v>1685</v>
      </c>
      <c r="AA619" s="103" t="s">
        <v>2220</v>
      </c>
      <c r="AB619" s="103" t="s">
        <v>71</v>
      </c>
      <c r="AE619" s="103" t="s">
        <v>810</v>
      </c>
      <c r="AF619" s="103" t="b">
        <v>1</v>
      </c>
    </row>
    <row r="620" spans="1:32" hidden="1" x14ac:dyDescent="0.2">
      <c r="A620" s="103" t="s">
        <v>911</v>
      </c>
      <c r="B620" s="103" t="s">
        <v>910</v>
      </c>
      <c r="C620" s="103" t="s">
        <v>2799</v>
      </c>
      <c r="E620" s="103" t="s">
        <v>2315</v>
      </c>
      <c r="F620" s="103" t="s">
        <v>2202</v>
      </c>
      <c r="G620" s="103">
        <v>200</v>
      </c>
      <c r="H620" s="103" t="s">
        <v>2168</v>
      </c>
      <c r="I620" s="103" t="s">
        <v>2153</v>
      </c>
      <c r="J620" s="103">
        <v>50</v>
      </c>
      <c r="K620" s="103">
        <v>50</v>
      </c>
      <c r="L620" s="103">
        <v>50</v>
      </c>
      <c r="M620" s="103">
        <v>50</v>
      </c>
      <c r="N620" s="103" t="s">
        <v>2163</v>
      </c>
      <c r="O620" s="103">
        <v>200</v>
      </c>
      <c r="P620" s="103" t="s">
        <v>811</v>
      </c>
      <c r="Q620" s="103" t="s">
        <v>2155</v>
      </c>
      <c r="R620" s="103" t="s">
        <v>2220</v>
      </c>
      <c r="S620" s="103" t="s">
        <v>2157</v>
      </c>
      <c r="U620" s="103">
        <v>102.6</v>
      </c>
      <c r="V620" s="103" t="s">
        <v>2158</v>
      </c>
      <c r="W620" s="103" t="s">
        <v>108</v>
      </c>
      <c r="X620" s="103" t="s">
        <v>1597</v>
      </c>
      <c r="Y620" s="103" t="s">
        <v>1685</v>
      </c>
      <c r="AA620" s="103" t="s">
        <v>2220</v>
      </c>
      <c r="AB620" s="103" t="s">
        <v>71</v>
      </c>
      <c r="AE620" s="103" t="s">
        <v>810</v>
      </c>
      <c r="AF620" s="103" t="b">
        <v>1</v>
      </c>
    </row>
    <row r="621" spans="1:32" hidden="1" x14ac:dyDescent="0.2">
      <c r="A621" s="103" t="s">
        <v>911</v>
      </c>
      <c r="B621" s="103" t="s">
        <v>910</v>
      </c>
      <c r="C621" s="103" t="s">
        <v>2800</v>
      </c>
      <c r="E621" s="103" t="s">
        <v>2315</v>
      </c>
      <c r="F621" s="103" t="s">
        <v>2202</v>
      </c>
      <c r="G621" s="103">
        <v>200</v>
      </c>
      <c r="H621" s="103" t="s">
        <v>2168</v>
      </c>
      <c r="I621" s="103" t="s">
        <v>2153</v>
      </c>
      <c r="J621" s="103">
        <v>50</v>
      </c>
      <c r="K621" s="103">
        <v>50</v>
      </c>
      <c r="L621" s="103">
        <v>50</v>
      </c>
      <c r="M621" s="103">
        <v>50</v>
      </c>
      <c r="N621" s="103" t="s">
        <v>2163</v>
      </c>
      <c r="O621" s="103">
        <v>200</v>
      </c>
      <c r="P621" s="103" t="s">
        <v>811</v>
      </c>
      <c r="Q621" s="103" t="s">
        <v>2155</v>
      </c>
      <c r="R621" s="103" t="s">
        <v>2220</v>
      </c>
      <c r="S621" s="103" t="s">
        <v>2157</v>
      </c>
      <c r="U621" s="103">
        <v>102.6</v>
      </c>
      <c r="V621" s="103" t="s">
        <v>2158</v>
      </c>
      <c r="W621" s="103" t="s">
        <v>108</v>
      </c>
      <c r="X621" s="103" t="s">
        <v>1597</v>
      </c>
      <c r="Y621" s="103" t="s">
        <v>1685</v>
      </c>
      <c r="AA621" s="103" t="s">
        <v>2220</v>
      </c>
      <c r="AB621" s="103" t="s">
        <v>71</v>
      </c>
      <c r="AE621" s="103" t="s">
        <v>810</v>
      </c>
      <c r="AF621" s="103" t="b">
        <v>1</v>
      </c>
    </row>
    <row r="622" spans="1:32" hidden="1" x14ac:dyDescent="0.2">
      <c r="A622" s="103" t="s">
        <v>911</v>
      </c>
      <c r="B622" s="103" t="s">
        <v>910</v>
      </c>
      <c r="C622" s="103" t="s">
        <v>2801</v>
      </c>
      <c r="E622" s="103" t="s">
        <v>2315</v>
      </c>
      <c r="F622" s="103" t="s">
        <v>2151</v>
      </c>
      <c r="G622" s="103">
        <v>100</v>
      </c>
      <c r="H622" s="103" t="s">
        <v>2168</v>
      </c>
      <c r="I622" s="103" t="s">
        <v>2153</v>
      </c>
      <c r="J622" s="103">
        <v>50</v>
      </c>
      <c r="K622" s="103">
        <v>50</v>
      </c>
      <c r="N622" s="103" t="s">
        <v>2163</v>
      </c>
      <c r="O622" s="103">
        <v>100</v>
      </c>
      <c r="P622" s="103" t="s">
        <v>811</v>
      </c>
      <c r="Q622" s="103" t="s">
        <v>2155</v>
      </c>
      <c r="R622" s="103" t="s">
        <v>2220</v>
      </c>
      <c r="S622" s="103" t="s">
        <v>2157</v>
      </c>
      <c r="U622" s="103">
        <v>51.3</v>
      </c>
      <c r="V622" s="103" t="s">
        <v>2158</v>
      </c>
      <c r="W622" s="103" t="s">
        <v>108</v>
      </c>
      <c r="X622" s="103" t="s">
        <v>1597</v>
      </c>
      <c r="Y622" s="103" t="s">
        <v>1685</v>
      </c>
      <c r="AA622" s="103" t="s">
        <v>2220</v>
      </c>
      <c r="AB622" s="103" t="s">
        <v>71</v>
      </c>
      <c r="AE622" s="103" t="s">
        <v>810</v>
      </c>
      <c r="AF622" s="103" t="b">
        <v>1</v>
      </c>
    </row>
    <row r="623" spans="1:32" hidden="1" x14ac:dyDescent="0.2">
      <c r="A623" s="103" t="s">
        <v>911</v>
      </c>
      <c r="B623" s="103" t="s">
        <v>910</v>
      </c>
      <c r="C623" s="103" t="s">
        <v>2802</v>
      </c>
      <c r="E623" s="103" t="s">
        <v>2315</v>
      </c>
      <c r="F623" s="103" t="s">
        <v>2151</v>
      </c>
      <c r="G623" s="103">
        <v>100</v>
      </c>
      <c r="H623" s="103" t="s">
        <v>2168</v>
      </c>
      <c r="I623" s="103" t="s">
        <v>2153</v>
      </c>
      <c r="J623" s="103">
        <v>50</v>
      </c>
      <c r="K623" s="103">
        <v>50</v>
      </c>
      <c r="N623" s="103" t="s">
        <v>2163</v>
      </c>
      <c r="O623" s="103">
        <v>100</v>
      </c>
      <c r="P623" s="103" t="s">
        <v>811</v>
      </c>
      <c r="Q623" s="103" t="s">
        <v>1393</v>
      </c>
      <c r="R623" s="103" t="s">
        <v>2220</v>
      </c>
      <c r="S623" s="103" t="s">
        <v>2157</v>
      </c>
      <c r="U623" s="103">
        <v>51.3</v>
      </c>
      <c r="V623" s="103" t="s">
        <v>2158</v>
      </c>
      <c r="W623" s="103" t="s">
        <v>108</v>
      </c>
      <c r="X623" s="103" t="s">
        <v>1597</v>
      </c>
      <c r="Y623" s="103" t="s">
        <v>1685</v>
      </c>
      <c r="AA623" s="103" t="s">
        <v>2220</v>
      </c>
      <c r="AB623" s="103" t="s">
        <v>71</v>
      </c>
      <c r="AE623" s="103" t="s">
        <v>810</v>
      </c>
      <c r="AF623" s="103" t="b">
        <v>1</v>
      </c>
    </row>
    <row r="624" spans="1:32" hidden="1" x14ac:dyDescent="0.2">
      <c r="A624" s="103" t="s">
        <v>915</v>
      </c>
      <c r="B624" s="103" t="s">
        <v>914</v>
      </c>
      <c r="C624" s="103" t="s">
        <v>2803</v>
      </c>
      <c r="D624" s="103" t="s">
        <v>2804</v>
      </c>
      <c r="E624" s="103" t="s">
        <v>2350</v>
      </c>
      <c r="F624" s="103" t="s">
        <v>2162</v>
      </c>
      <c r="G624" s="103">
        <v>50</v>
      </c>
      <c r="H624" s="103" t="s">
        <v>2168</v>
      </c>
      <c r="I624" s="103" t="s">
        <v>2153</v>
      </c>
      <c r="J624" s="103">
        <v>10</v>
      </c>
      <c r="K624" s="103">
        <v>10</v>
      </c>
      <c r="L624" s="103">
        <v>15</v>
      </c>
      <c r="M624" s="103">
        <v>15</v>
      </c>
      <c r="N624" s="103" t="s">
        <v>2163</v>
      </c>
      <c r="O624" s="103">
        <v>50</v>
      </c>
      <c r="P624" s="103" t="s">
        <v>1624</v>
      </c>
      <c r="Q624" s="103" t="s">
        <v>2387</v>
      </c>
      <c r="R624" s="103" t="s">
        <v>2220</v>
      </c>
      <c r="S624" s="103" t="s">
        <v>2157</v>
      </c>
      <c r="U624" s="103">
        <v>25.65</v>
      </c>
      <c r="V624" s="103" t="s">
        <v>2158</v>
      </c>
      <c r="W624" s="103" t="s">
        <v>108</v>
      </c>
      <c r="X624" s="103" t="s">
        <v>1736</v>
      </c>
      <c r="Y624" s="103" t="s">
        <v>3848</v>
      </c>
      <c r="AA624" s="103" t="s">
        <v>2220</v>
      </c>
      <c r="AB624" s="103" t="s">
        <v>71</v>
      </c>
      <c r="AE624" s="103" t="s">
        <v>810</v>
      </c>
      <c r="AF624" s="103" t="b">
        <v>1</v>
      </c>
    </row>
    <row r="625" spans="1:32" hidden="1" x14ac:dyDescent="0.2">
      <c r="A625" s="103" t="s">
        <v>915</v>
      </c>
      <c r="B625" s="103" t="s">
        <v>914</v>
      </c>
      <c r="C625" s="103" t="s">
        <v>2805</v>
      </c>
      <c r="E625" s="103" t="s">
        <v>2350</v>
      </c>
      <c r="F625" s="103" t="s">
        <v>2162</v>
      </c>
      <c r="G625" s="103">
        <v>50</v>
      </c>
      <c r="H625" s="103" t="s">
        <v>2168</v>
      </c>
      <c r="I625" s="103" t="s">
        <v>2153</v>
      </c>
      <c r="J625" s="103">
        <v>10</v>
      </c>
      <c r="K625" s="103">
        <v>10</v>
      </c>
      <c r="L625" s="103">
        <v>15</v>
      </c>
      <c r="M625" s="103">
        <v>15</v>
      </c>
      <c r="N625" s="103" t="s">
        <v>2163</v>
      </c>
      <c r="O625" s="103">
        <v>50</v>
      </c>
      <c r="P625" s="103" t="s">
        <v>1624</v>
      </c>
      <c r="Q625" s="103" t="s">
        <v>2387</v>
      </c>
      <c r="R625" s="103" t="s">
        <v>2220</v>
      </c>
      <c r="S625" s="103" t="s">
        <v>2157</v>
      </c>
      <c r="U625" s="103">
        <v>25.65</v>
      </c>
      <c r="V625" s="103" t="s">
        <v>2158</v>
      </c>
      <c r="W625" s="103" t="s">
        <v>108</v>
      </c>
      <c r="X625" s="103" t="s">
        <v>1736</v>
      </c>
      <c r="Y625" s="103" t="s">
        <v>3848</v>
      </c>
      <c r="AA625" s="103" t="s">
        <v>2220</v>
      </c>
      <c r="AB625" s="103" t="s">
        <v>71</v>
      </c>
      <c r="AE625" s="103" t="s">
        <v>810</v>
      </c>
      <c r="AF625" s="103" t="b">
        <v>1</v>
      </c>
    </row>
    <row r="626" spans="1:32" hidden="1" x14ac:dyDescent="0.2">
      <c r="A626" s="103" t="s">
        <v>915</v>
      </c>
      <c r="B626" s="103" t="s">
        <v>914</v>
      </c>
      <c r="C626" s="103" t="s">
        <v>2803</v>
      </c>
      <c r="D626" s="103" t="s">
        <v>2804</v>
      </c>
      <c r="E626" s="103" t="s">
        <v>2266</v>
      </c>
      <c r="F626" s="103" t="s">
        <v>2175</v>
      </c>
      <c r="G626" s="103">
        <v>20</v>
      </c>
      <c r="H626" s="103" t="s">
        <v>2168</v>
      </c>
      <c r="I626" s="103" t="s">
        <v>2153</v>
      </c>
      <c r="J626" s="103">
        <v>5</v>
      </c>
      <c r="K626" s="103">
        <v>5</v>
      </c>
      <c r="L626" s="103">
        <v>5</v>
      </c>
      <c r="M626" s="103">
        <v>5</v>
      </c>
      <c r="N626" s="103" t="s">
        <v>2163</v>
      </c>
      <c r="O626" s="103">
        <v>20</v>
      </c>
      <c r="P626" s="103" t="s">
        <v>1624</v>
      </c>
      <c r="Q626" s="103" t="s">
        <v>2387</v>
      </c>
      <c r="R626" s="103" t="s">
        <v>2220</v>
      </c>
      <c r="S626" s="103" t="s">
        <v>2157</v>
      </c>
      <c r="U626" s="103">
        <v>10.26</v>
      </c>
      <c r="V626" s="103" t="s">
        <v>2158</v>
      </c>
      <c r="W626" s="103" t="s">
        <v>108</v>
      </c>
      <c r="X626" s="103" t="s">
        <v>1736</v>
      </c>
      <c r="Y626" s="103" t="s">
        <v>3848</v>
      </c>
      <c r="AA626" s="103" t="s">
        <v>2220</v>
      </c>
      <c r="AB626" s="103" t="s">
        <v>71</v>
      </c>
      <c r="AE626" s="103" t="s">
        <v>810</v>
      </c>
      <c r="AF626" s="103" t="b">
        <v>1</v>
      </c>
    </row>
    <row r="627" spans="1:32" hidden="1" x14ac:dyDescent="0.2">
      <c r="A627" s="103" t="s">
        <v>915</v>
      </c>
      <c r="B627" s="103" t="s">
        <v>914</v>
      </c>
      <c r="C627" s="103" t="s">
        <v>2803</v>
      </c>
      <c r="D627" s="103" t="s">
        <v>2804</v>
      </c>
      <c r="E627" s="103" t="s">
        <v>2338</v>
      </c>
      <c r="F627" s="103" t="s">
        <v>2175</v>
      </c>
      <c r="G627" s="103">
        <v>20</v>
      </c>
      <c r="H627" s="103" t="s">
        <v>2168</v>
      </c>
      <c r="I627" s="103" t="s">
        <v>2153</v>
      </c>
      <c r="J627" s="103">
        <v>5</v>
      </c>
      <c r="K627" s="103">
        <v>5</v>
      </c>
      <c r="L627" s="103">
        <v>5</v>
      </c>
      <c r="M627" s="103">
        <v>5</v>
      </c>
      <c r="N627" s="103" t="s">
        <v>2163</v>
      </c>
      <c r="O627" s="103">
        <v>20</v>
      </c>
      <c r="P627" s="103" t="s">
        <v>1624</v>
      </c>
      <c r="Q627" s="103" t="s">
        <v>2387</v>
      </c>
      <c r="R627" s="103" t="s">
        <v>2220</v>
      </c>
      <c r="S627" s="103" t="s">
        <v>2157</v>
      </c>
      <c r="U627" s="103">
        <v>10.26</v>
      </c>
      <c r="V627" s="103" t="s">
        <v>2158</v>
      </c>
      <c r="W627" s="103" t="s">
        <v>108</v>
      </c>
      <c r="X627" s="103" t="s">
        <v>1736</v>
      </c>
      <c r="Y627" s="103" t="s">
        <v>3848</v>
      </c>
      <c r="AA627" s="103" t="s">
        <v>2220</v>
      </c>
      <c r="AB627" s="103" t="s">
        <v>71</v>
      </c>
      <c r="AE627" s="103" t="s">
        <v>810</v>
      </c>
      <c r="AF627" s="103" t="b">
        <v>1</v>
      </c>
    </row>
    <row r="628" spans="1:32" hidden="1" x14ac:dyDescent="0.2">
      <c r="A628" s="103" t="s">
        <v>915</v>
      </c>
      <c r="B628" s="103" t="s">
        <v>914</v>
      </c>
      <c r="C628" s="103" t="s">
        <v>2803</v>
      </c>
      <c r="D628" s="103" t="s">
        <v>2804</v>
      </c>
      <c r="E628" s="103" t="s">
        <v>2299</v>
      </c>
      <c r="F628" s="103" t="s">
        <v>2175</v>
      </c>
      <c r="G628" s="103">
        <v>20</v>
      </c>
      <c r="H628" s="103" t="s">
        <v>2168</v>
      </c>
      <c r="I628" s="103" t="s">
        <v>2153</v>
      </c>
      <c r="J628" s="103">
        <v>5</v>
      </c>
      <c r="K628" s="103">
        <v>5</v>
      </c>
      <c r="L628" s="103">
        <v>5</v>
      </c>
      <c r="M628" s="103">
        <v>5</v>
      </c>
      <c r="N628" s="103" t="s">
        <v>2163</v>
      </c>
      <c r="O628" s="103">
        <v>20</v>
      </c>
      <c r="P628" s="103" t="s">
        <v>1624</v>
      </c>
      <c r="Q628" s="103" t="s">
        <v>2387</v>
      </c>
      <c r="R628" s="103" t="s">
        <v>2220</v>
      </c>
      <c r="S628" s="103" t="s">
        <v>2157</v>
      </c>
      <c r="U628" s="103">
        <v>10.26</v>
      </c>
      <c r="V628" s="103" t="s">
        <v>2158</v>
      </c>
      <c r="W628" s="103" t="s">
        <v>108</v>
      </c>
      <c r="X628" s="103" t="s">
        <v>1736</v>
      </c>
      <c r="Y628" s="103" t="s">
        <v>3848</v>
      </c>
      <c r="AA628" s="103" t="s">
        <v>2220</v>
      </c>
      <c r="AB628" s="103" t="s">
        <v>71</v>
      </c>
      <c r="AE628" s="103" t="s">
        <v>810</v>
      </c>
      <c r="AF628" s="103" t="b">
        <v>1</v>
      </c>
    </row>
    <row r="629" spans="1:32" hidden="1" x14ac:dyDescent="0.2">
      <c r="A629" s="103" t="s">
        <v>915</v>
      </c>
      <c r="B629" s="103" t="s">
        <v>914</v>
      </c>
      <c r="C629" s="103" t="s">
        <v>2803</v>
      </c>
      <c r="D629" s="103" t="s">
        <v>2804</v>
      </c>
      <c r="E629" s="103" t="s">
        <v>2264</v>
      </c>
      <c r="F629" s="103" t="s">
        <v>2175</v>
      </c>
      <c r="G629" s="103">
        <v>20</v>
      </c>
      <c r="H629" s="103" t="s">
        <v>2168</v>
      </c>
      <c r="I629" s="103" t="s">
        <v>2153</v>
      </c>
      <c r="J629" s="103">
        <v>5</v>
      </c>
      <c r="K629" s="103">
        <v>5</v>
      </c>
      <c r="L629" s="103">
        <v>5</v>
      </c>
      <c r="M629" s="103">
        <v>5</v>
      </c>
      <c r="N629" s="103" t="s">
        <v>2163</v>
      </c>
      <c r="O629" s="103">
        <v>20</v>
      </c>
      <c r="P629" s="103" t="s">
        <v>1624</v>
      </c>
      <c r="Q629" s="103" t="s">
        <v>2387</v>
      </c>
      <c r="R629" s="103" t="s">
        <v>2220</v>
      </c>
      <c r="S629" s="103" t="s">
        <v>2157</v>
      </c>
      <c r="U629" s="103">
        <v>10.26</v>
      </c>
      <c r="V629" s="103" t="s">
        <v>2158</v>
      </c>
      <c r="W629" s="103" t="s">
        <v>108</v>
      </c>
      <c r="X629" s="103" t="s">
        <v>1736</v>
      </c>
      <c r="Y629" s="103" t="s">
        <v>3848</v>
      </c>
      <c r="AA629" s="103" t="s">
        <v>2220</v>
      </c>
      <c r="AB629" s="103" t="s">
        <v>71</v>
      </c>
      <c r="AE629" s="103" t="s">
        <v>810</v>
      </c>
      <c r="AF629" s="103" t="b">
        <v>1</v>
      </c>
    </row>
    <row r="630" spans="1:32" hidden="1" x14ac:dyDescent="0.2">
      <c r="A630" s="103" t="s">
        <v>915</v>
      </c>
      <c r="B630" s="103" t="s">
        <v>914</v>
      </c>
      <c r="C630" s="103" t="s">
        <v>2805</v>
      </c>
      <c r="E630" s="103" t="s">
        <v>2266</v>
      </c>
      <c r="F630" s="103" t="s">
        <v>2175</v>
      </c>
      <c r="G630" s="103">
        <v>20</v>
      </c>
      <c r="H630" s="103" t="s">
        <v>2168</v>
      </c>
      <c r="I630" s="103" t="s">
        <v>2153</v>
      </c>
      <c r="J630" s="103">
        <v>5</v>
      </c>
      <c r="K630" s="103">
        <v>5</v>
      </c>
      <c r="L630" s="103">
        <v>5</v>
      </c>
      <c r="M630" s="103">
        <v>5</v>
      </c>
      <c r="N630" s="103" t="s">
        <v>2163</v>
      </c>
      <c r="O630" s="103">
        <v>20</v>
      </c>
      <c r="P630" s="103" t="s">
        <v>1624</v>
      </c>
      <c r="Q630" s="103" t="s">
        <v>2387</v>
      </c>
      <c r="R630" s="103" t="s">
        <v>2220</v>
      </c>
      <c r="S630" s="103" t="s">
        <v>2157</v>
      </c>
      <c r="U630" s="103">
        <v>10.26</v>
      </c>
      <c r="V630" s="103" t="s">
        <v>2158</v>
      </c>
      <c r="W630" s="103" t="s">
        <v>108</v>
      </c>
      <c r="X630" s="103" t="s">
        <v>1736</v>
      </c>
      <c r="Y630" s="103" t="s">
        <v>3848</v>
      </c>
      <c r="AA630" s="103" t="s">
        <v>2220</v>
      </c>
      <c r="AB630" s="103" t="s">
        <v>71</v>
      </c>
      <c r="AE630" s="103" t="s">
        <v>810</v>
      </c>
      <c r="AF630" s="103" t="b">
        <v>1</v>
      </c>
    </row>
    <row r="631" spans="1:32" hidden="1" x14ac:dyDescent="0.2">
      <c r="A631" s="103" t="s">
        <v>915</v>
      </c>
      <c r="B631" s="103" t="s">
        <v>914</v>
      </c>
      <c r="C631" s="103" t="s">
        <v>2805</v>
      </c>
      <c r="E631" s="103" t="s">
        <v>2338</v>
      </c>
      <c r="F631" s="103" t="s">
        <v>2175</v>
      </c>
      <c r="G631" s="103">
        <v>20</v>
      </c>
      <c r="H631" s="103" t="s">
        <v>2168</v>
      </c>
      <c r="I631" s="103" t="s">
        <v>2153</v>
      </c>
      <c r="J631" s="103">
        <v>5</v>
      </c>
      <c r="K631" s="103">
        <v>5</v>
      </c>
      <c r="L631" s="103">
        <v>5</v>
      </c>
      <c r="M631" s="103">
        <v>5</v>
      </c>
      <c r="N631" s="103" t="s">
        <v>2163</v>
      </c>
      <c r="O631" s="103">
        <v>20</v>
      </c>
      <c r="P631" s="103" t="s">
        <v>1624</v>
      </c>
      <c r="Q631" s="103" t="s">
        <v>2387</v>
      </c>
      <c r="R631" s="103" t="s">
        <v>2220</v>
      </c>
      <c r="S631" s="103" t="s">
        <v>2157</v>
      </c>
      <c r="U631" s="103">
        <v>10.26</v>
      </c>
      <c r="V631" s="103" t="s">
        <v>2158</v>
      </c>
      <c r="W631" s="103" t="s">
        <v>108</v>
      </c>
      <c r="X631" s="103" t="s">
        <v>1736</v>
      </c>
      <c r="Y631" s="103" t="s">
        <v>3848</v>
      </c>
      <c r="AA631" s="103" t="s">
        <v>2220</v>
      </c>
      <c r="AB631" s="103" t="s">
        <v>71</v>
      </c>
      <c r="AE631" s="103" t="s">
        <v>810</v>
      </c>
      <c r="AF631" s="103" t="b">
        <v>1</v>
      </c>
    </row>
    <row r="632" spans="1:32" hidden="1" x14ac:dyDescent="0.2">
      <c r="A632" s="103" t="s">
        <v>915</v>
      </c>
      <c r="B632" s="103" t="s">
        <v>914</v>
      </c>
      <c r="C632" s="103" t="s">
        <v>2805</v>
      </c>
      <c r="E632" s="103" t="s">
        <v>2299</v>
      </c>
      <c r="F632" s="103" t="s">
        <v>2175</v>
      </c>
      <c r="G632" s="103">
        <v>20</v>
      </c>
      <c r="H632" s="103" t="s">
        <v>2168</v>
      </c>
      <c r="I632" s="103" t="s">
        <v>2153</v>
      </c>
      <c r="J632" s="103">
        <v>5</v>
      </c>
      <c r="K632" s="103">
        <v>5</v>
      </c>
      <c r="L632" s="103">
        <v>5</v>
      </c>
      <c r="M632" s="103">
        <v>5</v>
      </c>
      <c r="N632" s="103" t="s">
        <v>2163</v>
      </c>
      <c r="O632" s="103">
        <v>20</v>
      </c>
      <c r="P632" s="103" t="s">
        <v>1624</v>
      </c>
      <c r="Q632" s="103" t="s">
        <v>2387</v>
      </c>
      <c r="R632" s="103" t="s">
        <v>2220</v>
      </c>
      <c r="S632" s="103" t="s">
        <v>2157</v>
      </c>
      <c r="U632" s="103">
        <v>10.26</v>
      </c>
      <c r="V632" s="103" t="s">
        <v>2158</v>
      </c>
      <c r="W632" s="103" t="s">
        <v>108</v>
      </c>
      <c r="X632" s="103" t="s">
        <v>1736</v>
      </c>
      <c r="Y632" s="103" t="s">
        <v>3848</v>
      </c>
      <c r="AA632" s="103" t="s">
        <v>2220</v>
      </c>
      <c r="AB632" s="103" t="s">
        <v>71</v>
      </c>
      <c r="AE632" s="103" t="s">
        <v>810</v>
      </c>
      <c r="AF632" s="103" t="b">
        <v>1</v>
      </c>
    </row>
    <row r="633" spans="1:32" hidden="1" x14ac:dyDescent="0.2">
      <c r="A633" s="103" t="s">
        <v>915</v>
      </c>
      <c r="B633" s="103" t="s">
        <v>914</v>
      </c>
      <c r="C633" s="103" t="s">
        <v>2805</v>
      </c>
      <c r="E633" s="103" t="s">
        <v>2264</v>
      </c>
      <c r="F633" s="103" t="s">
        <v>2175</v>
      </c>
      <c r="G633" s="103">
        <v>20</v>
      </c>
      <c r="H633" s="103" t="s">
        <v>2168</v>
      </c>
      <c r="I633" s="103" t="s">
        <v>2153</v>
      </c>
      <c r="J633" s="103">
        <v>5</v>
      </c>
      <c r="K633" s="103">
        <v>5</v>
      </c>
      <c r="L633" s="103">
        <v>5</v>
      </c>
      <c r="M633" s="103">
        <v>5</v>
      </c>
      <c r="N633" s="103" t="s">
        <v>2163</v>
      </c>
      <c r="O633" s="103">
        <v>20</v>
      </c>
      <c r="P633" s="103" t="s">
        <v>1624</v>
      </c>
      <c r="Q633" s="103" t="s">
        <v>2387</v>
      </c>
      <c r="R633" s="103" t="s">
        <v>2220</v>
      </c>
      <c r="S633" s="103" t="s">
        <v>2157</v>
      </c>
      <c r="U633" s="103">
        <v>10.26</v>
      </c>
      <c r="V633" s="103" t="s">
        <v>2158</v>
      </c>
      <c r="W633" s="103" t="s">
        <v>108</v>
      </c>
      <c r="X633" s="103" t="s">
        <v>1736</v>
      </c>
      <c r="Y633" s="103" t="s">
        <v>3848</v>
      </c>
      <c r="AA633" s="103" t="s">
        <v>2220</v>
      </c>
      <c r="AB633" s="103" t="s">
        <v>71</v>
      </c>
      <c r="AE633" s="103" t="s">
        <v>810</v>
      </c>
      <c r="AF633" s="103" t="b">
        <v>1</v>
      </c>
    </row>
    <row r="634" spans="1:32" hidden="1" x14ac:dyDescent="0.2">
      <c r="A634" s="103" t="s">
        <v>915</v>
      </c>
      <c r="B634" s="103" t="s">
        <v>914</v>
      </c>
      <c r="C634" s="103" t="s">
        <v>2803</v>
      </c>
      <c r="D634" s="103" t="s">
        <v>2804</v>
      </c>
      <c r="E634" s="103" t="s">
        <v>2259</v>
      </c>
      <c r="F634" s="103" t="s">
        <v>2175</v>
      </c>
      <c r="G634" s="103">
        <v>20</v>
      </c>
      <c r="H634" s="103" t="s">
        <v>2168</v>
      </c>
      <c r="I634" s="103" t="s">
        <v>2153</v>
      </c>
      <c r="J634" s="103">
        <v>5</v>
      </c>
      <c r="K634" s="103">
        <v>5</v>
      </c>
      <c r="L634" s="103">
        <v>5</v>
      </c>
      <c r="M634" s="103">
        <v>5</v>
      </c>
      <c r="N634" s="103" t="s">
        <v>2163</v>
      </c>
      <c r="O634" s="103">
        <v>20</v>
      </c>
      <c r="P634" s="103" t="s">
        <v>1624</v>
      </c>
      <c r="Q634" s="103" t="s">
        <v>2387</v>
      </c>
      <c r="R634" s="103" t="s">
        <v>2220</v>
      </c>
      <c r="S634" s="103" t="s">
        <v>2157</v>
      </c>
      <c r="U634" s="103">
        <v>10.26</v>
      </c>
      <c r="V634" s="103" t="s">
        <v>2158</v>
      </c>
      <c r="W634" s="103" t="s">
        <v>108</v>
      </c>
      <c r="X634" s="103" t="s">
        <v>1736</v>
      </c>
      <c r="Y634" s="103" t="s">
        <v>3848</v>
      </c>
      <c r="AA634" s="103" t="s">
        <v>2220</v>
      </c>
      <c r="AB634" s="103" t="s">
        <v>71</v>
      </c>
      <c r="AE634" s="103" t="s">
        <v>810</v>
      </c>
      <c r="AF634" s="103" t="b">
        <v>1</v>
      </c>
    </row>
    <row r="635" spans="1:32" hidden="1" x14ac:dyDescent="0.2">
      <c r="A635" s="103" t="s">
        <v>1574</v>
      </c>
      <c r="B635" s="103" t="s">
        <v>1776</v>
      </c>
      <c r="C635" s="103" t="s">
        <v>2806</v>
      </c>
      <c r="D635" s="103" t="s">
        <v>2807</v>
      </c>
      <c r="E635" s="103" t="s">
        <v>2808</v>
      </c>
      <c r="G635" s="103">
        <v>132</v>
      </c>
      <c r="H635" s="103" t="s">
        <v>2168</v>
      </c>
      <c r="I635" s="103" t="s">
        <v>2153</v>
      </c>
      <c r="J635" s="103">
        <v>33</v>
      </c>
      <c r="K635" s="103">
        <v>33</v>
      </c>
      <c r="L635" s="103">
        <v>33</v>
      </c>
      <c r="M635" s="103">
        <v>33</v>
      </c>
      <c r="N635" s="103" t="s">
        <v>2163</v>
      </c>
      <c r="O635" s="103">
        <v>132</v>
      </c>
      <c r="P635" s="103" t="s">
        <v>783</v>
      </c>
      <c r="Q635" s="103" t="s">
        <v>2387</v>
      </c>
      <c r="R635" s="103" t="s">
        <v>2220</v>
      </c>
      <c r="S635" s="103" t="s">
        <v>2422</v>
      </c>
      <c r="U635" s="103">
        <v>67.715999999999994</v>
      </c>
      <c r="V635" s="103" t="s">
        <v>2158</v>
      </c>
      <c r="W635" s="103" t="s">
        <v>110</v>
      </c>
      <c r="X635" s="103" t="s">
        <v>1736</v>
      </c>
      <c r="Y635" s="103" t="s">
        <v>3848</v>
      </c>
      <c r="AA635" s="103" t="s">
        <v>2220</v>
      </c>
      <c r="AB635" s="103" t="s">
        <v>71</v>
      </c>
      <c r="AE635" s="103" t="s">
        <v>810</v>
      </c>
      <c r="AF635" s="103" t="b">
        <v>1</v>
      </c>
    </row>
    <row r="636" spans="1:32" hidden="1" x14ac:dyDescent="0.2">
      <c r="A636" s="103" t="s">
        <v>915</v>
      </c>
      <c r="B636" s="103" t="s">
        <v>914</v>
      </c>
      <c r="C636" s="103" t="s">
        <v>2805</v>
      </c>
      <c r="E636" s="103" t="s">
        <v>2259</v>
      </c>
      <c r="F636" s="103" t="s">
        <v>2175</v>
      </c>
      <c r="G636" s="103">
        <v>20</v>
      </c>
      <c r="H636" s="103" t="s">
        <v>2168</v>
      </c>
      <c r="I636" s="103" t="s">
        <v>2153</v>
      </c>
      <c r="J636" s="103">
        <v>5</v>
      </c>
      <c r="K636" s="103">
        <v>5</v>
      </c>
      <c r="L636" s="103">
        <v>5</v>
      </c>
      <c r="M636" s="103">
        <v>5</v>
      </c>
      <c r="N636" s="103" t="s">
        <v>2163</v>
      </c>
      <c r="O636" s="103">
        <v>20</v>
      </c>
      <c r="P636" s="103" t="s">
        <v>1624</v>
      </c>
      <c r="Q636" s="103" t="s">
        <v>2387</v>
      </c>
      <c r="R636" s="103" t="s">
        <v>2220</v>
      </c>
      <c r="S636" s="103" t="s">
        <v>2157</v>
      </c>
      <c r="U636" s="103">
        <v>10.26</v>
      </c>
      <c r="V636" s="103" t="s">
        <v>2158</v>
      </c>
      <c r="W636" s="103" t="s">
        <v>108</v>
      </c>
      <c r="X636" s="103" t="s">
        <v>1736</v>
      </c>
      <c r="Y636" s="103" t="s">
        <v>3848</v>
      </c>
      <c r="AA636" s="103" t="s">
        <v>2220</v>
      </c>
      <c r="AB636" s="103" t="s">
        <v>71</v>
      </c>
      <c r="AE636" s="103" t="s">
        <v>810</v>
      </c>
      <c r="AF636" s="103" t="b">
        <v>1</v>
      </c>
    </row>
    <row r="637" spans="1:32" hidden="1" x14ac:dyDescent="0.2">
      <c r="A637" s="103" t="s">
        <v>891</v>
      </c>
      <c r="B637" s="103" t="s">
        <v>1777</v>
      </c>
      <c r="C637" s="103" t="s">
        <v>2809</v>
      </c>
      <c r="D637" s="103" t="s">
        <v>2810</v>
      </c>
      <c r="E637" s="103" t="s">
        <v>2811</v>
      </c>
      <c r="F637" s="103" t="s">
        <v>2232</v>
      </c>
      <c r="G637" s="103">
        <v>200</v>
      </c>
      <c r="H637" s="103" t="s">
        <v>2152</v>
      </c>
      <c r="I637" s="103" t="s">
        <v>2153</v>
      </c>
      <c r="J637" s="103">
        <v>50</v>
      </c>
      <c r="K637" s="103">
        <v>50</v>
      </c>
      <c r="L637" s="103">
        <v>50</v>
      </c>
      <c r="M637" s="103">
        <v>50</v>
      </c>
      <c r="N637" s="103" t="s">
        <v>2163</v>
      </c>
      <c r="O637" s="103">
        <v>200</v>
      </c>
      <c r="P637" s="103" t="s">
        <v>1624</v>
      </c>
      <c r="Q637" s="103" t="s">
        <v>2387</v>
      </c>
      <c r="R637" s="103" t="s">
        <v>2220</v>
      </c>
      <c r="S637" s="103" t="s">
        <v>2422</v>
      </c>
      <c r="U637" s="103">
        <v>102.6</v>
      </c>
      <c r="V637" s="103" t="s">
        <v>2158</v>
      </c>
      <c r="W637" s="103" t="s">
        <v>110</v>
      </c>
      <c r="X637" s="103" t="s">
        <v>1736</v>
      </c>
      <c r="Y637" s="103" t="s">
        <v>3848</v>
      </c>
      <c r="AA637" s="103" t="s">
        <v>2220</v>
      </c>
      <c r="AB637" s="103" t="s">
        <v>71</v>
      </c>
      <c r="AE637" s="103" t="s">
        <v>810</v>
      </c>
      <c r="AF637" s="103" t="b">
        <v>1</v>
      </c>
    </row>
    <row r="638" spans="1:32" hidden="1" x14ac:dyDescent="0.2">
      <c r="A638" s="103" t="s">
        <v>891</v>
      </c>
      <c r="B638" s="103" t="s">
        <v>1777</v>
      </c>
      <c r="C638" s="103" t="s">
        <v>2812</v>
      </c>
      <c r="D638" s="103" t="s">
        <v>2813</v>
      </c>
      <c r="E638" s="103" t="s">
        <v>2814</v>
      </c>
      <c r="F638" s="103" t="s">
        <v>2162</v>
      </c>
      <c r="G638" s="103">
        <v>50</v>
      </c>
      <c r="H638" s="103" t="s">
        <v>2168</v>
      </c>
      <c r="I638" s="103" t="s">
        <v>2153</v>
      </c>
      <c r="J638" s="103">
        <v>12</v>
      </c>
      <c r="K638" s="103">
        <v>12</v>
      </c>
      <c r="L638" s="103">
        <v>12</v>
      </c>
      <c r="M638" s="103">
        <v>14</v>
      </c>
      <c r="N638" s="103" t="s">
        <v>2163</v>
      </c>
      <c r="O638" s="103">
        <v>50</v>
      </c>
      <c r="P638" s="103" t="s">
        <v>783</v>
      </c>
      <c r="Q638" s="103" t="s">
        <v>2155</v>
      </c>
      <c r="R638" s="103" t="s">
        <v>2220</v>
      </c>
      <c r="S638" s="103" t="s">
        <v>2422</v>
      </c>
      <c r="U638" s="103">
        <v>25.65</v>
      </c>
      <c r="V638" s="103" t="s">
        <v>2158</v>
      </c>
      <c r="W638" s="103" t="s">
        <v>110</v>
      </c>
      <c r="X638" s="103" t="s">
        <v>1736</v>
      </c>
      <c r="Y638" s="103" t="s">
        <v>3848</v>
      </c>
      <c r="AA638" s="103" t="s">
        <v>2220</v>
      </c>
      <c r="AB638" s="103" t="s">
        <v>71</v>
      </c>
      <c r="AE638" s="103" t="s">
        <v>810</v>
      </c>
      <c r="AF638" s="103" t="b">
        <v>1</v>
      </c>
    </row>
    <row r="639" spans="1:32" hidden="1" x14ac:dyDescent="0.2">
      <c r="A639" s="103" t="s">
        <v>1575</v>
      </c>
      <c r="B639" s="103" t="s">
        <v>1778</v>
      </c>
      <c r="C639" s="103" t="s">
        <v>2815</v>
      </c>
      <c r="E639" s="103" t="s">
        <v>105</v>
      </c>
      <c r="F639" s="103" t="s">
        <v>2228</v>
      </c>
      <c r="G639" s="103">
        <v>960</v>
      </c>
      <c r="H639" s="103" t="s">
        <v>2168</v>
      </c>
      <c r="I639" s="103" t="s">
        <v>2153</v>
      </c>
      <c r="J639" s="103">
        <v>240</v>
      </c>
      <c r="K639" s="103">
        <v>240</v>
      </c>
      <c r="L639" s="103">
        <v>240</v>
      </c>
      <c r="M639" s="103">
        <v>240</v>
      </c>
      <c r="N639" s="103" t="s">
        <v>2163</v>
      </c>
      <c r="O639" s="103">
        <v>960</v>
      </c>
      <c r="P639" s="103" t="s">
        <v>985</v>
      </c>
      <c r="Q639" s="103" t="s">
        <v>2387</v>
      </c>
      <c r="R639" s="103" t="s">
        <v>2225</v>
      </c>
      <c r="S639" s="103" t="s">
        <v>2229</v>
      </c>
      <c r="U639" s="103">
        <v>492.48</v>
      </c>
      <c r="V639" s="103" t="s">
        <v>2158</v>
      </c>
      <c r="W639" s="103" t="s">
        <v>105</v>
      </c>
      <c r="X639" s="103" t="s">
        <v>1736</v>
      </c>
      <c r="Y639" s="103" t="s">
        <v>3848</v>
      </c>
      <c r="AA639" s="103" t="s">
        <v>2225</v>
      </c>
      <c r="AB639" s="103" t="s">
        <v>64</v>
      </c>
      <c r="AE639" s="103" t="s">
        <v>984</v>
      </c>
      <c r="AF639" s="103" t="b">
        <v>1</v>
      </c>
    </row>
    <row r="640" spans="1:32" hidden="1" x14ac:dyDescent="0.2">
      <c r="A640" s="103" t="s">
        <v>1576</v>
      </c>
      <c r="B640" s="103" t="s">
        <v>1779</v>
      </c>
      <c r="C640" s="103" t="s">
        <v>2385</v>
      </c>
      <c r="E640" s="103" t="s">
        <v>2816</v>
      </c>
      <c r="F640" s="103" t="s">
        <v>2202</v>
      </c>
      <c r="G640" s="103">
        <v>250</v>
      </c>
      <c r="H640" s="103" t="s">
        <v>2152</v>
      </c>
      <c r="I640" s="103" t="s">
        <v>2153</v>
      </c>
      <c r="J640" s="103">
        <v>63</v>
      </c>
      <c r="K640" s="103">
        <v>63</v>
      </c>
      <c r="L640" s="103">
        <v>62</v>
      </c>
      <c r="M640" s="103">
        <v>62</v>
      </c>
      <c r="N640" s="103" t="s">
        <v>2154</v>
      </c>
      <c r="O640" s="103">
        <v>250</v>
      </c>
      <c r="P640" s="103" t="s">
        <v>1567</v>
      </c>
      <c r="Q640" s="103" t="s">
        <v>2155</v>
      </c>
      <c r="R640" s="103" t="s">
        <v>2156</v>
      </c>
      <c r="S640" s="103" t="s">
        <v>2251</v>
      </c>
      <c r="U640" s="103">
        <v>128.25</v>
      </c>
      <c r="V640" s="103" t="s">
        <v>2158</v>
      </c>
      <c r="W640" s="103" t="s">
        <v>114</v>
      </c>
      <c r="X640" s="103" t="s">
        <v>1736</v>
      </c>
      <c r="Y640" s="103" t="s">
        <v>3848</v>
      </c>
      <c r="AA640" s="103" t="s">
        <v>2156</v>
      </c>
      <c r="AB640" s="103" t="s">
        <v>68</v>
      </c>
      <c r="AC640" s="103" t="s">
        <v>2159</v>
      </c>
      <c r="AD640" s="103" t="s">
        <v>2465</v>
      </c>
      <c r="AE640" s="103" t="s">
        <v>766</v>
      </c>
      <c r="AF640" s="103" t="b">
        <v>1</v>
      </c>
    </row>
    <row r="641" spans="1:32" hidden="1" x14ac:dyDescent="0.2">
      <c r="A641" s="103" t="s">
        <v>1577</v>
      </c>
      <c r="B641" s="103" t="s">
        <v>1780</v>
      </c>
      <c r="C641" s="103" t="s">
        <v>1577</v>
      </c>
      <c r="D641" s="103" t="s">
        <v>1577</v>
      </c>
      <c r="E641" s="103" t="s">
        <v>2414</v>
      </c>
      <c r="F641" s="103" t="s">
        <v>2228</v>
      </c>
      <c r="G641" s="103">
        <v>1069.6000000000001</v>
      </c>
      <c r="H641" s="103" t="s">
        <v>2168</v>
      </c>
      <c r="I641" s="103" t="s">
        <v>2153</v>
      </c>
      <c r="J641" s="103">
        <v>267.40000000000003</v>
      </c>
      <c r="K641" s="103">
        <v>267.40000000000003</v>
      </c>
      <c r="L641" s="103">
        <v>267.40000000000003</v>
      </c>
      <c r="M641" s="103">
        <v>267.40000000000003</v>
      </c>
      <c r="N641" s="103" t="s">
        <v>2163</v>
      </c>
      <c r="O641" s="103">
        <v>1069.6000000000001</v>
      </c>
      <c r="P641" s="103" t="s">
        <v>1571</v>
      </c>
      <c r="Q641" s="103" t="s">
        <v>2387</v>
      </c>
      <c r="R641" s="103" t="s">
        <v>2156</v>
      </c>
      <c r="U641" s="103">
        <v>548.70480000000009</v>
      </c>
      <c r="V641" s="103" t="s">
        <v>2158</v>
      </c>
      <c r="W641" s="103" t="s">
        <v>122</v>
      </c>
      <c r="X641" s="103" t="s">
        <v>1736</v>
      </c>
      <c r="Y641" s="103" t="s">
        <v>3848</v>
      </c>
      <c r="AA641" s="103" t="s">
        <v>2156</v>
      </c>
      <c r="AB641" s="103" t="s">
        <v>68</v>
      </c>
      <c r="AC641" s="103" t="s">
        <v>122</v>
      </c>
      <c r="AD641" s="103" t="s">
        <v>2388</v>
      </c>
      <c r="AE641" s="103" t="s">
        <v>766</v>
      </c>
      <c r="AF641" s="103" t="b">
        <v>1</v>
      </c>
    </row>
    <row r="642" spans="1:32" hidden="1" x14ac:dyDescent="0.2">
      <c r="A642" s="103" t="s">
        <v>1578</v>
      </c>
      <c r="B642" s="103" t="s">
        <v>1781</v>
      </c>
      <c r="E642" s="103" t="s">
        <v>2506</v>
      </c>
      <c r="F642" s="103" t="s">
        <v>2228</v>
      </c>
      <c r="G642" s="103">
        <v>1528</v>
      </c>
      <c r="H642" s="103" t="s">
        <v>2168</v>
      </c>
      <c r="I642" s="103" t="s">
        <v>2153</v>
      </c>
      <c r="J642" s="103">
        <v>400</v>
      </c>
      <c r="K642" s="103">
        <v>400</v>
      </c>
      <c r="L642" s="103">
        <v>400</v>
      </c>
      <c r="M642" s="103">
        <v>328</v>
      </c>
      <c r="N642" s="103" t="s">
        <v>2163</v>
      </c>
      <c r="O642" s="103">
        <v>1528</v>
      </c>
      <c r="P642" s="103" t="s">
        <v>1659</v>
      </c>
      <c r="Q642" s="103" t="s">
        <v>2387</v>
      </c>
      <c r="R642" s="103" t="s">
        <v>2156</v>
      </c>
      <c r="U642" s="103">
        <v>783.86400000000003</v>
      </c>
      <c r="V642" s="103" t="s">
        <v>2158</v>
      </c>
      <c r="W642" s="103" t="s">
        <v>112</v>
      </c>
      <c r="X642" s="103" t="s">
        <v>1736</v>
      </c>
      <c r="Y642" s="103" t="s">
        <v>3848</v>
      </c>
      <c r="AA642" s="103" t="s">
        <v>305</v>
      </c>
      <c r="AB642" s="103" t="s">
        <v>68</v>
      </c>
      <c r="AC642" s="103" t="s">
        <v>2507</v>
      </c>
      <c r="AD642" s="103" t="s">
        <v>2388</v>
      </c>
      <c r="AE642" s="103" t="s">
        <v>1109</v>
      </c>
      <c r="AF642" s="103" t="b">
        <v>0</v>
      </c>
    </row>
    <row r="643" spans="1:32" hidden="1" x14ac:dyDescent="0.2">
      <c r="A643" s="103" t="s">
        <v>1579</v>
      </c>
      <c r="B643" s="103" t="s">
        <v>1782</v>
      </c>
      <c r="C643" s="103" t="s">
        <v>2817</v>
      </c>
      <c r="D643" s="103" t="s">
        <v>2818</v>
      </c>
      <c r="E643" s="103" t="s">
        <v>1130</v>
      </c>
      <c r="F643" s="103" t="s">
        <v>2228</v>
      </c>
      <c r="G643" s="103">
        <v>800</v>
      </c>
      <c r="H643" s="103" t="s">
        <v>2168</v>
      </c>
      <c r="I643" s="103" t="s">
        <v>2153</v>
      </c>
      <c r="J643" s="103">
        <v>200</v>
      </c>
      <c r="K643" s="103">
        <v>200</v>
      </c>
      <c r="L643" s="103">
        <v>200</v>
      </c>
      <c r="M643" s="103">
        <v>200</v>
      </c>
      <c r="N643" s="103" t="s">
        <v>2163</v>
      </c>
      <c r="O643" s="103">
        <v>800</v>
      </c>
      <c r="P643" s="103" t="s">
        <v>1559</v>
      </c>
      <c r="Q643" s="103" t="s">
        <v>2236</v>
      </c>
      <c r="R643" s="103" t="s">
        <v>2156</v>
      </c>
      <c r="U643" s="103">
        <v>410.4</v>
      </c>
      <c r="V643" s="103" t="s">
        <v>2158</v>
      </c>
      <c r="W643" s="103" t="s">
        <v>120</v>
      </c>
      <c r="X643" s="103" t="s">
        <v>1736</v>
      </c>
      <c r="Y643" s="103" t="s">
        <v>3848</v>
      </c>
      <c r="AA643" s="103" t="s">
        <v>305</v>
      </c>
      <c r="AB643" s="103" t="s">
        <v>68</v>
      </c>
      <c r="AC643" s="103" t="s">
        <v>1130</v>
      </c>
      <c r="AD643" s="103" t="s">
        <v>2388</v>
      </c>
      <c r="AE643" s="103" t="s">
        <v>1241</v>
      </c>
      <c r="AF643" s="103" t="b">
        <v>0</v>
      </c>
    </row>
    <row r="644" spans="1:32" hidden="1" x14ac:dyDescent="0.2">
      <c r="A644" s="103" t="s">
        <v>1579</v>
      </c>
      <c r="B644" s="103" t="s">
        <v>1782</v>
      </c>
      <c r="C644" s="103" t="s">
        <v>2819</v>
      </c>
      <c r="D644" s="103" t="s">
        <v>2820</v>
      </c>
      <c r="E644" s="103" t="s">
        <v>1130</v>
      </c>
      <c r="F644" s="103" t="s">
        <v>2228</v>
      </c>
      <c r="G644" s="103">
        <v>800</v>
      </c>
      <c r="H644" s="103" t="s">
        <v>2168</v>
      </c>
      <c r="I644" s="103" t="s">
        <v>2153</v>
      </c>
      <c r="J644" s="103">
        <v>200</v>
      </c>
      <c r="K644" s="103">
        <v>200</v>
      </c>
      <c r="L644" s="103">
        <v>200</v>
      </c>
      <c r="M644" s="103">
        <v>200</v>
      </c>
      <c r="N644" s="103" t="s">
        <v>2163</v>
      </c>
      <c r="O644" s="103">
        <v>800</v>
      </c>
      <c r="P644" s="103" t="s">
        <v>1559</v>
      </c>
      <c r="Q644" s="103" t="s">
        <v>2236</v>
      </c>
      <c r="R644" s="103" t="s">
        <v>2156</v>
      </c>
      <c r="U644" s="103">
        <v>410.4</v>
      </c>
      <c r="V644" s="103" t="s">
        <v>2158</v>
      </c>
      <c r="W644" s="103" t="s">
        <v>120</v>
      </c>
      <c r="X644" s="103" t="s">
        <v>1736</v>
      </c>
      <c r="Y644" s="103" t="s">
        <v>3848</v>
      </c>
      <c r="AA644" s="103" t="s">
        <v>305</v>
      </c>
      <c r="AB644" s="103" t="s">
        <v>68</v>
      </c>
      <c r="AC644" s="103" t="s">
        <v>1130</v>
      </c>
      <c r="AD644" s="103" t="s">
        <v>2388</v>
      </c>
      <c r="AE644" s="103" t="s">
        <v>1241</v>
      </c>
      <c r="AF644" s="103" t="b">
        <v>0</v>
      </c>
    </row>
    <row r="645" spans="1:32" hidden="1" x14ac:dyDescent="0.2">
      <c r="A645" s="103" t="s">
        <v>1579</v>
      </c>
      <c r="B645" s="103" t="s">
        <v>1782</v>
      </c>
      <c r="C645" s="103" t="s">
        <v>2821</v>
      </c>
      <c r="E645" s="103" t="s">
        <v>1130</v>
      </c>
      <c r="F645" s="103" t="s">
        <v>2202</v>
      </c>
      <c r="G645" s="103">
        <v>200</v>
      </c>
      <c r="H645" s="103" t="s">
        <v>2168</v>
      </c>
      <c r="I645" s="103" t="s">
        <v>2153</v>
      </c>
      <c r="J645" s="103">
        <v>50</v>
      </c>
      <c r="K645" s="103">
        <v>50</v>
      </c>
      <c r="L645" s="103">
        <v>50</v>
      </c>
      <c r="M645" s="103">
        <v>50</v>
      </c>
      <c r="N645" s="103" t="s">
        <v>2163</v>
      </c>
      <c r="O645" s="103">
        <v>200</v>
      </c>
      <c r="P645" s="103" t="s">
        <v>1559</v>
      </c>
      <c r="Q645" s="103" t="s">
        <v>2236</v>
      </c>
      <c r="R645" s="103" t="s">
        <v>2156</v>
      </c>
      <c r="U645" s="103">
        <v>102.6</v>
      </c>
      <c r="V645" s="103" t="s">
        <v>2158</v>
      </c>
      <c r="W645" s="103" t="s">
        <v>120</v>
      </c>
      <c r="X645" s="103" t="s">
        <v>1736</v>
      </c>
      <c r="Y645" s="103" t="s">
        <v>3848</v>
      </c>
      <c r="AA645" s="103" t="s">
        <v>305</v>
      </c>
      <c r="AB645" s="103" t="s">
        <v>68</v>
      </c>
      <c r="AC645" s="103" t="s">
        <v>1130</v>
      </c>
      <c r="AD645" s="103" t="s">
        <v>2388</v>
      </c>
      <c r="AE645" s="103" t="s">
        <v>1241</v>
      </c>
      <c r="AF645" s="103" t="b">
        <v>0</v>
      </c>
    </row>
    <row r="646" spans="1:32" hidden="1" x14ac:dyDescent="0.2">
      <c r="A646" s="103" t="s">
        <v>1580</v>
      </c>
      <c r="B646" s="103" t="s">
        <v>1783</v>
      </c>
      <c r="C646" s="103" t="s">
        <v>2822</v>
      </c>
      <c r="E646" s="103" t="s">
        <v>126</v>
      </c>
      <c r="G646" s="103">
        <v>0</v>
      </c>
      <c r="H646" s="103" t="s">
        <v>2168</v>
      </c>
      <c r="I646" s="103" t="s">
        <v>2153</v>
      </c>
      <c r="N646" s="103" t="s">
        <v>2163</v>
      </c>
      <c r="O646" s="103">
        <v>0</v>
      </c>
      <c r="P646" s="103" t="s">
        <v>1706</v>
      </c>
      <c r="R646" s="103" t="s">
        <v>2729</v>
      </c>
      <c r="U646" s="103">
        <v>0</v>
      </c>
      <c r="V646" s="103" t="s">
        <v>2158</v>
      </c>
      <c r="W646" s="103" t="s">
        <v>126</v>
      </c>
      <c r="X646" s="103" t="s">
        <v>1736</v>
      </c>
      <c r="Y646" s="103" t="s">
        <v>3848</v>
      </c>
      <c r="AA646" s="103" t="s">
        <v>2729</v>
      </c>
      <c r="AB646" s="103" t="s">
        <v>71</v>
      </c>
      <c r="AE646" s="103" t="s">
        <v>1224</v>
      </c>
      <c r="AF646" s="103" t="b">
        <v>1</v>
      </c>
    </row>
    <row r="647" spans="1:32" hidden="1" x14ac:dyDescent="0.2">
      <c r="A647" s="103" t="s">
        <v>1584</v>
      </c>
      <c r="B647" s="103" t="s">
        <v>1787</v>
      </c>
      <c r="C647" s="103" t="s">
        <v>2823</v>
      </c>
      <c r="E647" s="103" t="s">
        <v>136</v>
      </c>
      <c r="F647" s="103" t="s">
        <v>2202</v>
      </c>
      <c r="G647" s="103">
        <v>200</v>
      </c>
      <c r="H647" s="103" t="s">
        <v>2168</v>
      </c>
      <c r="I647" s="103" t="s">
        <v>2153</v>
      </c>
      <c r="J647" s="103">
        <v>50</v>
      </c>
      <c r="K647" s="103">
        <v>50</v>
      </c>
      <c r="L647" s="103">
        <v>50</v>
      </c>
      <c r="M647" s="103">
        <v>50</v>
      </c>
      <c r="N647" s="103" t="s">
        <v>2163</v>
      </c>
      <c r="O647" s="103">
        <v>200</v>
      </c>
      <c r="P647" s="103" t="s">
        <v>1706</v>
      </c>
      <c r="R647" s="103" t="s">
        <v>2729</v>
      </c>
      <c r="U647" s="103">
        <v>39</v>
      </c>
      <c r="V647" s="103" t="s">
        <v>2158</v>
      </c>
      <c r="W647" s="103" t="s">
        <v>136</v>
      </c>
      <c r="X647" s="103" t="s">
        <v>1736</v>
      </c>
      <c r="Y647" s="103" t="s">
        <v>3848</v>
      </c>
      <c r="AA647" s="103" t="s">
        <v>2729</v>
      </c>
      <c r="AB647" s="103" t="s">
        <v>71</v>
      </c>
      <c r="AE647" s="103" t="s">
        <v>1224</v>
      </c>
      <c r="AF647" s="103" t="b">
        <v>1</v>
      </c>
    </row>
    <row r="648" spans="1:32" hidden="1" x14ac:dyDescent="0.2">
      <c r="A648" s="103" t="s">
        <v>1584</v>
      </c>
      <c r="B648" s="103" t="s">
        <v>1787</v>
      </c>
      <c r="C648" s="103" t="s">
        <v>2824</v>
      </c>
      <c r="E648" s="103" t="s">
        <v>136</v>
      </c>
      <c r="F648" s="103" t="s">
        <v>2162</v>
      </c>
      <c r="G648" s="103">
        <v>50</v>
      </c>
      <c r="H648" s="103" t="s">
        <v>2168</v>
      </c>
      <c r="I648" s="103" t="s">
        <v>2153</v>
      </c>
      <c r="J648" s="103">
        <v>12.5</v>
      </c>
      <c r="K648" s="103">
        <v>12.5</v>
      </c>
      <c r="L648" s="103">
        <v>12.5</v>
      </c>
      <c r="M648" s="103">
        <v>12.5</v>
      </c>
      <c r="N648" s="103" t="s">
        <v>2163</v>
      </c>
      <c r="O648" s="103">
        <v>50</v>
      </c>
      <c r="P648" s="103" t="s">
        <v>1706</v>
      </c>
      <c r="R648" s="103" t="s">
        <v>2729</v>
      </c>
      <c r="U648" s="103">
        <v>9.75</v>
      </c>
      <c r="V648" s="103" t="s">
        <v>2158</v>
      </c>
      <c r="W648" s="103" t="s">
        <v>136</v>
      </c>
      <c r="X648" s="103" t="s">
        <v>1736</v>
      </c>
      <c r="Y648" s="103" t="s">
        <v>3848</v>
      </c>
      <c r="AA648" s="103" t="s">
        <v>2729</v>
      </c>
      <c r="AB648" s="103" t="s">
        <v>71</v>
      </c>
      <c r="AE648" s="103" t="s">
        <v>1224</v>
      </c>
      <c r="AF648" s="103" t="b">
        <v>1</v>
      </c>
    </row>
    <row r="649" spans="1:32" hidden="1" x14ac:dyDescent="0.2">
      <c r="A649" s="103" t="s">
        <v>1584</v>
      </c>
      <c r="B649" s="103" t="s">
        <v>1787</v>
      </c>
      <c r="C649" s="103" t="s">
        <v>2825</v>
      </c>
      <c r="E649" s="103" t="s">
        <v>126</v>
      </c>
      <c r="F649" s="103" t="s">
        <v>2232</v>
      </c>
      <c r="G649" s="103">
        <v>300</v>
      </c>
      <c r="H649" s="103" t="s">
        <v>2168</v>
      </c>
      <c r="I649" s="103" t="s">
        <v>2153</v>
      </c>
      <c r="J649" s="103">
        <v>75</v>
      </c>
      <c r="K649" s="103">
        <v>75</v>
      </c>
      <c r="L649" s="103">
        <v>75</v>
      </c>
      <c r="M649" s="103">
        <v>75</v>
      </c>
      <c r="N649" s="103" t="s">
        <v>2163</v>
      </c>
      <c r="O649" s="103">
        <v>300</v>
      </c>
      <c r="P649" s="103" t="s">
        <v>1706</v>
      </c>
      <c r="R649" s="103" t="s">
        <v>2729</v>
      </c>
      <c r="U649" s="103">
        <v>146.1</v>
      </c>
      <c r="V649" s="103" t="s">
        <v>2158</v>
      </c>
      <c r="W649" s="103" t="s">
        <v>126</v>
      </c>
      <c r="X649" s="103" t="s">
        <v>1736</v>
      </c>
      <c r="Y649" s="103" t="s">
        <v>3848</v>
      </c>
      <c r="AA649" s="103" t="s">
        <v>2729</v>
      </c>
      <c r="AB649" s="103" t="s">
        <v>71</v>
      </c>
      <c r="AE649" s="103" t="s">
        <v>1224</v>
      </c>
      <c r="AF649" s="103" t="b">
        <v>1</v>
      </c>
    </row>
    <row r="650" spans="1:32" hidden="1" x14ac:dyDescent="0.2">
      <c r="A650" s="103" t="s">
        <v>1584</v>
      </c>
      <c r="B650" s="103" t="s">
        <v>1787</v>
      </c>
      <c r="C650" s="103" t="s">
        <v>2823</v>
      </c>
      <c r="E650" s="103" t="s">
        <v>126</v>
      </c>
      <c r="G650" s="103">
        <v>975</v>
      </c>
      <c r="H650" s="103" t="s">
        <v>2152</v>
      </c>
      <c r="I650" s="103" t="s">
        <v>2153</v>
      </c>
      <c r="J650" s="103">
        <v>243.75</v>
      </c>
      <c r="K650" s="103">
        <v>243.75</v>
      </c>
      <c r="L650" s="103">
        <v>243.75</v>
      </c>
      <c r="M650" s="103">
        <v>243.75</v>
      </c>
      <c r="N650" s="103" t="s">
        <v>2163</v>
      </c>
      <c r="O650" s="103">
        <v>975</v>
      </c>
      <c r="P650" s="103" t="s">
        <v>1706</v>
      </c>
      <c r="R650" s="103" t="s">
        <v>2729</v>
      </c>
      <c r="U650" s="103">
        <v>474.82499999999999</v>
      </c>
      <c r="V650" s="103" t="s">
        <v>2158</v>
      </c>
      <c r="W650" s="103" t="s">
        <v>126</v>
      </c>
      <c r="X650" s="103" t="s">
        <v>1736</v>
      </c>
      <c r="Y650" s="103" t="s">
        <v>3848</v>
      </c>
      <c r="AA650" s="103" t="s">
        <v>2729</v>
      </c>
      <c r="AB650" s="103" t="s">
        <v>71</v>
      </c>
      <c r="AE650" s="103" t="s">
        <v>1224</v>
      </c>
      <c r="AF650" s="103" t="b">
        <v>1</v>
      </c>
    </row>
    <row r="651" spans="1:32" hidden="1" x14ac:dyDescent="0.2">
      <c r="A651" s="103" t="s">
        <v>1584</v>
      </c>
      <c r="B651" s="103" t="s">
        <v>1787</v>
      </c>
      <c r="C651" s="103" t="s">
        <v>2824</v>
      </c>
      <c r="E651" s="103" t="s">
        <v>126</v>
      </c>
      <c r="F651" s="103" t="s">
        <v>2151</v>
      </c>
      <c r="G651" s="103">
        <v>100</v>
      </c>
      <c r="H651" s="103" t="s">
        <v>2168</v>
      </c>
      <c r="I651" s="103" t="s">
        <v>2153</v>
      </c>
      <c r="J651" s="103">
        <v>25</v>
      </c>
      <c r="K651" s="103">
        <v>25</v>
      </c>
      <c r="L651" s="103">
        <v>25</v>
      </c>
      <c r="M651" s="103">
        <v>25</v>
      </c>
      <c r="N651" s="103" t="s">
        <v>2163</v>
      </c>
      <c r="O651" s="103">
        <v>100</v>
      </c>
      <c r="P651" s="103" t="s">
        <v>1706</v>
      </c>
      <c r="R651" s="103" t="s">
        <v>2729</v>
      </c>
      <c r="U651" s="103">
        <v>48.7</v>
      </c>
      <c r="V651" s="103" t="s">
        <v>2158</v>
      </c>
      <c r="W651" s="103" t="s">
        <v>126</v>
      </c>
      <c r="X651" s="103" t="s">
        <v>1736</v>
      </c>
      <c r="Y651" s="103" t="s">
        <v>3848</v>
      </c>
      <c r="AA651" s="103" t="s">
        <v>2729</v>
      </c>
      <c r="AB651" s="103" t="s">
        <v>71</v>
      </c>
      <c r="AE651" s="103" t="s">
        <v>1224</v>
      </c>
      <c r="AF651" s="103" t="b">
        <v>1</v>
      </c>
    </row>
    <row r="652" spans="1:32" hidden="1" x14ac:dyDescent="0.2">
      <c r="A652" s="103" t="s">
        <v>1585</v>
      </c>
      <c r="B652" s="103" t="s">
        <v>1788</v>
      </c>
      <c r="C652" s="103" t="s">
        <v>2826</v>
      </c>
      <c r="D652" s="103" t="s">
        <v>2827</v>
      </c>
      <c r="E652" s="103" t="s">
        <v>2498</v>
      </c>
      <c r="G652" s="103">
        <v>300</v>
      </c>
      <c r="H652" s="103" t="s">
        <v>2152</v>
      </c>
      <c r="I652" s="103" t="s">
        <v>2153</v>
      </c>
      <c r="J652" s="103">
        <v>75</v>
      </c>
      <c r="K652" s="103">
        <v>75</v>
      </c>
      <c r="L652" s="103">
        <v>75</v>
      </c>
      <c r="M652" s="103">
        <v>75</v>
      </c>
      <c r="N652" s="103" t="s">
        <v>2163</v>
      </c>
      <c r="O652" s="103">
        <v>300</v>
      </c>
      <c r="P652" s="103" t="s">
        <v>1701</v>
      </c>
      <c r="Q652" s="103" t="s">
        <v>2236</v>
      </c>
      <c r="R652" s="103" t="s">
        <v>2225</v>
      </c>
      <c r="S652" s="103" t="s">
        <v>2422</v>
      </c>
      <c r="U652" s="103">
        <v>153.9</v>
      </c>
      <c r="V652" s="103" t="s">
        <v>2158</v>
      </c>
      <c r="W652" s="103" t="s">
        <v>119</v>
      </c>
      <c r="X652" s="103" t="s">
        <v>1736</v>
      </c>
      <c r="Y652" s="103" t="s">
        <v>3848</v>
      </c>
      <c r="AA652" s="103" t="s">
        <v>2225</v>
      </c>
      <c r="AB652" s="103" t="s">
        <v>64</v>
      </c>
      <c r="AE652" s="103" t="s">
        <v>1618</v>
      </c>
      <c r="AF652" s="103" t="b">
        <v>1</v>
      </c>
    </row>
    <row r="653" spans="1:32" hidden="1" x14ac:dyDescent="0.2">
      <c r="A653" s="103" t="s">
        <v>921</v>
      </c>
      <c r="B653" s="103" t="s">
        <v>920</v>
      </c>
      <c r="C653" s="103" t="s">
        <v>2419</v>
      </c>
      <c r="D653" s="103" t="s">
        <v>3188</v>
      </c>
      <c r="E653" s="103" t="s">
        <v>2421</v>
      </c>
      <c r="F653" s="103" t="s">
        <v>2151</v>
      </c>
      <c r="G653" s="103">
        <v>100</v>
      </c>
      <c r="H653" s="103" t="s">
        <v>2168</v>
      </c>
      <c r="I653" s="103" t="s">
        <v>2153</v>
      </c>
      <c r="J653" s="103">
        <v>100</v>
      </c>
      <c r="N653" s="103" t="s">
        <v>2163</v>
      </c>
      <c r="O653" s="103">
        <v>100</v>
      </c>
      <c r="P653" s="103" t="s">
        <v>1609</v>
      </c>
      <c r="Q653" s="103" t="s">
        <v>2236</v>
      </c>
      <c r="R653" s="103" t="s">
        <v>2225</v>
      </c>
      <c r="S653" s="103" t="s">
        <v>2422</v>
      </c>
      <c r="U653" s="103">
        <v>48.3</v>
      </c>
      <c r="V653" s="103" t="s">
        <v>2158</v>
      </c>
      <c r="W653" s="103" t="s">
        <v>106</v>
      </c>
      <c r="X653" s="103" t="s">
        <v>1597</v>
      </c>
      <c r="Y653" s="103" t="s">
        <v>1685</v>
      </c>
      <c r="AA653" s="103" t="s">
        <v>2225</v>
      </c>
      <c r="AB653" s="103" t="s">
        <v>64</v>
      </c>
      <c r="AE653" s="103" t="s">
        <v>750</v>
      </c>
      <c r="AF653" s="103" t="b">
        <v>1</v>
      </c>
    </row>
    <row r="654" spans="1:32" hidden="1" x14ac:dyDescent="0.2">
      <c r="A654" s="103" t="s">
        <v>923</v>
      </c>
      <c r="B654" s="103" t="s">
        <v>922</v>
      </c>
      <c r="C654" s="103" t="s">
        <v>3190</v>
      </c>
      <c r="D654" s="103" t="s">
        <v>3844</v>
      </c>
      <c r="E654" s="103" t="s">
        <v>2601</v>
      </c>
      <c r="F654" s="103" t="s">
        <v>2162</v>
      </c>
      <c r="G654" s="103">
        <v>50</v>
      </c>
      <c r="H654" s="103" t="s">
        <v>2168</v>
      </c>
      <c r="I654" s="103" t="s">
        <v>2153</v>
      </c>
      <c r="K654" s="103">
        <v>50</v>
      </c>
      <c r="N654" s="103" t="s">
        <v>2163</v>
      </c>
      <c r="O654" s="103">
        <v>50</v>
      </c>
      <c r="P654" s="103" t="s">
        <v>1609</v>
      </c>
      <c r="Q654" s="103" t="s">
        <v>2155</v>
      </c>
      <c r="R654" s="103" t="s">
        <v>2225</v>
      </c>
      <c r="S654" s="103" t="s">
        <v>2238</v>
      </c>
      <c r="U654" s="103">
        <v>24.15</v>
      </c>
      <c r="V654" s="103" t="s">
        <v>2158</v>
      </c>
      <c r="W654" s="103" t="s">
        <v>106</v>
      </c>
      <c r="X654" s="103" t="s">
        <v>1597</v>
      </c>
      <c r="Y654" s="103" t="s">
        <v>1685</v>
      </c>
      <c r="AA654" s="103" t="s">
        <v>2225</v>
      </c>
      <c r="AB654" s="103" t="s">
        <v>64</v>
      </c>
      <c r="AE654" s="103" t="s">
        <v>750</v>
      </c>
      <c r="AF654" s="103" t="b">
        <v>1</v>
      </c>
    </row>
    <row r="655" spans="1:32" hidden="1" x14ac:dyDescent="0.2">
      <c r="A655" s="103" t="s">
        <v>1586</v>
      </c>
      <c r="B655" s="103" t="s">
        <v>1789</v>
      </c>
      <c r="E655" s="103" t="s">
        <v>2477</v>
      </c>
      <c r="G655" s="103">
        <v>120</v>
      </c>
      <c r="H655" s="103" t="s">
        <v>2152</v>
      </c>
      <c r="I655" s="103" t="s">
        <v>2153</v>
      </c>
      <c r="J655" s="103">
        <v>50</v>
      </c>
      <c r="K655" s="103">
        <v>25</v>
      </c>
      <c r="L655" s="103">
        <v>25</v>
      </c>
      <c r="M655" s="103">
        <v>20</v>
      </c>
      <c r="N655" s="103" t="s">
        <v>2163</v>
      </c>
      <c r="O655" s="103">
        <v>120</v>
      </c>
      <c r="P655" s="103" t="s">
        <v>1651</v>
      </c>
      <c r="Q655" s="103" t="s">
        <v>2155</v>
      </c>
      <c r="R655" s="103" t="s">
        <v>121</v>
      </c>
      <c r="S655" s="103" t="s">
        <v>2192</v>
      </c>
      <c r="U655" s="103">
        <v>61.56</v>
      </c>
      <c r="V655" s="103" t="s">
        <v>2158</v>
      </c>
      <c r="W655" s="103" t="s">
        <v>121</v>
      </c>
      <c r="X655" s="103" t="s">
        <v>345</v>
      </c>
      <c r="Y655" s="103" t="s">
        <v>2240</v>
      </c>
      <c r="AA655" s="103" t="s">
        <v>121</v>
      </c>
      <c r="AB655" s="103" t="s">
        <v>74</v>
      </c>
      <c r="AE655" s="103" t="s">
        <v>1241</v>
      </c>
      <c r="AF655" s="103" t="b">
        <v>1</v>
      </c>
    </row>
    <row r="656" spans="1:32" hidden="1" x14ac:dyDescent="0.2">
      <c r="A656" s="103" t="s">
        <v>1586</v>
      </c>
      <c r="B656" s="103" t="s">
        <v>1789</v>
      </c>
      <c r="E656" s="103" t="s">
        <v>2575</v>
      </c>
      <c r="G656" s="103">
        <v>146</v>
      </c>
      <c r="H656" s="103" t="s">
        <v>2152</v>
      </c>
      <c r="I656" s="103" t="s">
        <v>2153</v>
      </c>
      <c r="J656" s="103">
        <v>21</v>
      </c>
      <c r="K656" s="103">
        <v>40</v>
      </c>
      <c r="L656" s="103">
        <v>45</v>
      </c>
      <c r="M656" s="103">
        <v>40</v>
      </c>
      <c r="N656" s="103" t="s">
        <v>2163</v>
      </c>
      <c r="O656" s="103">
        <v>146</v>
      </c>
      <c r="P656" s="103" t="s">
        <v>1651</v>
      </c>
      <c r="Q656" s="103" t="s">
        <v>2155</v>
      </c>
      <c r="R656" s="103" t="s">
        <v>121</v>
      </c>
      <c r="S656" s="103" t="s">
        <v>2192</v>
      </c>
      <c r="U656" s="103">
        <v>74.897999999999996</v>
      </c>
      <c r="V656" s="103" t="s">
        <v>2158</v>
      </c>
      <c r="W656" s="103" t="s">
        <v>121</v>
      </c>
      <c r="X656" s="103" t="s">
        <v>345</v>
      </c>
      <c r="Y656" s="103" t="s">
        <v>2240</v>
      </c>
      <c r="AA656" s="103" t="s">
        <v>121</v>
      </c>
      <c r="AB656" s="103" t="s">
        <v>74</v>
      </c>
      <c r="AE656" s="103" t="s">
        <v>1241</v>
      </c>
      <c r="AF656" s="103" t="b">
        <v>1</v>
      </c>
    </row>
    <row r="657" spans="1:32" hidden="1" x14ac:dyDescent="0.2">
      <c r="A657" s="103" t="s">
        <v>1586</v>
      </c>
      <c r="B657" s="103" t="s">
        <v>1789</v>
      </c>
      <c r="E657" s="103" t="s">
        <v>2681</v>
      </c>
      <c r="G657" s="103">
        <v>30</v>
      </c>
      <c r="H657" s="103" t="s">
        <v>2152</v>
      </c>
      <c r="I657" s="103" t="s">
        <v>2153</v>
      </c>
      <c r="J657" s="103">
        <v>5</v>
      </c>
      <c r="K657" s="103">
        <v>15</v>
      </c>
      <c r="L657" s="103">
        <v>5</v>
      </c>
      <c r="M657" s="103">
        <v>5</v>
      </c>
      <c r="N657" s="103" t="s">
        <v>2163</v>
      </c>
      <c r="O657" s="103">
        <v>30</v>
      </c>
      <c r="P657" s="103" t="s">
        <v>1651</v>
      </c>
      <c r="Q657" s="103" t="s">
        <v>2155</v>
      </c>
      <c r="R657" s="103" t="s">
        <v>121</v>
      </c>
      <c r="S657" s="103" t="s">
        <v>2192</v>
      </c>
      <c r="U657" s="103">
        <v>15.39</v>
      </c>
      <c r="V657" s="103" t="s">
        <v>2158</v>
      </c>
      <c r="W657" s="103" t="s">
        <v>121</v>
      </c>
      <c r="X657" s="103" t="s">
        <v>345</v>
      </c>
      <c r="Y657" s="103" t="s">
        <v>2240</v>
      </c>
      <c r="AA657" s="103" t="s">
        <v>121</v>
      </c>
      <c r="AB657" s="103" t="s">
        <v>74</v>
      </c>
      <c r="AE657" s="103" t="s">
        <v>1241</v>
      </c>
      <c r="AF657" s="103" t="b">
        <v>1</v>
      </c>
    </row>
    <row r="658" spans="1:32" hidden="1" x14ac:dyDescent="0.2">
      <c r="A658" s="103" t="s">
        <v>1586</v>
      </c>
      <c r="B658" s="103" t="s">
        <v>1789</v>
      </c>
      <c r="C658" s="103" t="s">
        <v>2830</v>
      </c>
      <c r="E658" s="103" t="s">
        <v>2474</v>
      </c>
      <c r="G658" s="103">
        <v>344</v>
      </c>
      <c r="H658" s="103" t="s">
        <v>2152</v>
      </c>
      <c r="I658" s="103" t="s">
        <v>2153</v>
      </c>
      <c r="K658" s="103">
        <v>60</v>
      </c>
      <c r="L658" s="103">
        <v>224</v>
      </c>
      <c r="M658" s="103">
        <v>60</v>
      </c>
      <c r="N658" s="103" t="s">
        <v>2163</v>
      </c>
      <c r="O658" s="103">
        <v>344</v>
      </c>
      <c r="P658" s="103" t="s">
        <v>1651</v>
      </c>
      <c r="Q658" s="103" t="s">
        <v>2155</v>
      </c>
      <c r="R658" s="103" t="s">
        <v>121</v>
      </c>
      <c r="S658" s="103" t="s">
        <v>2192</v>
      </c>
      <c r="U658" s="103">
        <v>176.47200000000001</v>
      </c>
      <c r="V658" s="103" t="s">
        <v>2158</v>
      </c>
      <c r="W658" s="103" t="s">
        <v>121</v>
      </c>
      <c r="X658" s="103" t="s">
        <v>345</v>
      </c>
      <c r="Y658" s="103" t="s">
        <v>2240</v>
      </c>
      <c r="AA658" s="103" t="s">
        <v>121</v>
      </c>
      <c r="AB658" s="103" t="s">
        <v>74</v>
      </c>
      <c r="AE658" s="103" t="s">
        <v>1241</v>
      </c>
      <c r="AF658" s="103" t="b">
        <v>1</v>
      </c>
    </row>
    <row r="659" spans="1:32" hidden="1" x14ac:dyDescent="0.2">
      <c r="A659" s="103" t="s">
        <v>1587</v>
      </c>
      <c r="B659" s="103" t="s">
        <v>1790</v>
      </c>
      <c r="C659" s="103" t="s">
        <v>2831</v>
      </c>
      <c r="D659" s="103" t="s">
        <v>2832</v>
      </c>
      <c r="E659" s="103" t="s">
        <v>2447</v>
      </c>
      <c r="F659" s="103" t="s">
        <v>2202</v>
      </c>
      <c r="G659" s="103">
        <v>208</v>
      </c>
      <c r="H659" s="103" t="s">
        <v>2152</v>
      </c>
      <c r="I659" s="103" t="s">
        <v>2153</v>
      </c>
      <c r="J659" s="103">
        <v>49</v>
      </c>
      <c r="K659" s="103">
        <v>53</v>
      </c>
      <c r="L659" s="103">
        <v>53</v>
      </c>
      <c r="M659" s="103">
        <v>53</v>
      </c>
      <c r="N659" s="103" t="s">
        <v>2163</v>
      </c>
      <c r="O659" s="103">
        <v>208</v>
      </c>
      <c r="P659" s="103" t="s">
        <v>1649</v>
      </c>
      <c r="Q659" s="103" t="s">
        <v>2387</v>
      </c>
      <c r="R659" s="103" t="s">
        <v>121</v>
      </c>
      <c r="S659" s="103" t="s">
        <v>2448</v>
      </c>
      <c r="U659" s="103">
        <v>106.70399999999999</v>
      </c>
      <c r="V659" s="103" t="s">
        <v>2158</v>
      </c>
      <c r="W659" s="103" t="s">
        <v>121</v>
      </c>
      <c r="X659" s="103" t="s">
        <v>1736</v>
      </c>
      <c r="Y659" s="103" t="s">
        <v>3848</v>
      </c>
      <c r="AA659" s="103" t="s">
        <v>121</v>
      </c>
      <c r="AB659" s="103" t="s">
        <v>74</v>
      </c>
      <c r="AE659" s="103" t="s">
        <v>1241</v>
      </c>
      <c r="AF659" s="103" t="b">
        <v>1</v>
      </c>
    </row>
    <row r="660" spans="1:32" hidden="1" x14ac:dyDescent="0.2">
      <c r="A660" s="103" t="s">
        <v>1587</v>
      </c>
      <c r="B660" s="103" t="s">
        <v>1790</v>
      </c>
      <c r="C660" s="103" t="s">
        <v>2831</v>
      </c>
      <c r="D660" s="103" t="s">
        <v>2833</v>
      </c>
      <c r="E660" s="103" t="s">
        <v>2447</v>
      </c>
      <c r="F660" s="103" t="s">
        <v>2202</v>
      </c>
      <c r="G660" s="103">
        <v>244</v>
      </c>
      <c r="H660" s="103" t="s">
        <v>2152</v>
      </c>
      <c r="I660" s="103" t="s">
        <v>2153</v>
      </c>
      <c r="J660" s="103">
        <v>58</v>
      </c>
      <c r="K660" s="103">
        <v>62</v>
      </c>
      <c r="L660" s="103">
        <v>62</v>
      </c>
      <c r="M660" s="103">
        <v>62</v>
      </c>
      <c r="N660" s="103" t="s">
        <v>2163</v>
      </c>
      <c r="O660" s="103">
        <v>244</v>
      </c>
      <c r="P660" s="103" t="s">
        <v>1649</v>
      </c>
      <c r="Q660" s="103" t="s">
        <v>2387</v>
      </c>
      <c r="R660" s="103" t="s">
        <v>121</v>
      </c>
      <c r="S660" s="103" t="s">
        <v>2448</v>
      </c>
      <c r="U660" s="103">
        <v>125.172</v>
      </c>
      <c r="V660" s="103" t="s">
        <v>2158</v>
      </c>
      <c r="W660" s="103" t="s">
        <v>121</v>
      </c>
      <c r="X660" s="103" t="s">
        <v>1736</v>
      </c>
      <c r="Y660" s="103" t="s">
        <v>3848</v>
      </c>
      <c r="AA660" s="103" t="s">
        <v>121</v>
      </c>
      <c r="AB660" s="103" t="s">
        <v>74</v>
      </c>
      <c r="AE660" s="103" t="s">
        <v>1241</v>
      </c>
      <c r="AF660" s="103" t="b">
        <v>1</v>
      </c>
    </row>
    <row r="661" spans="1:32" hidden="1" x14ac:dyDescent="0.2">
      <c r="A661" s="103" t="s">
        <v>1587</v>
      </c>
      <c r="B661" s="103" t="s">
        <v>1790</v>
      </c>
      <c r="C661" s="103" t="s">
        <v>1685</v>
      </c>
      <c r="E661" s="103" t="s">
        <v>2474</v>
      </c>
      <c r="F661" s="103" t="s">
        <v>2202</v>
      </c>
      <c r="G661" s="103">
        <v>200</v>
      </c>
      <c r="H661" s="103" t="s">
        <v>2168</v>
      </c>
      <c r="I661" s="103" t="s">
        <v>2153</v>
      </c>
      <c r="J661" s="103">
        <v>50</v>
      </c>
      <c r="K661" s="103">
        <v>50</v>
      </c>
      <c r="L661" s="103">
        <v>50</v>
      </c>
      <c r="M661" s="103">
        <v>50</v>
      </c>
      <c r="N661" s="103" t="s">
        <v>2163</v>
      </c>
      <c r="O661" s="103">
        <v>200</v>
      </c>
      <c r="P661" s="103" t="s">
        <v>1652</v>
      </c>
      <c r="Q661" s="103" t="s">
        <v>2387</v>
      </c>
      <c r="R661" s="103" t="s">
        <v>121</v>
      </c>
      <c r="S661" s="103" t="s">
        <v>2448</v>
      </c>
      <c r="U661" s="103">
        <v>102.6</v>
      </c>
      <c r="V661" s="103" t="s">
        <v>2158</v>
      </c>
      <c r="W661" s="103" t="s">
        <v>121</v>
      </c>
      <c r="X661" s="103" t="s">
        <v>1736</v>
      </c>
      <c r="Y661" s="103" t="s">
        <v>3848</v>
      </c>
      <c r="AA661" s="103" t="s">
        <v>121</v>
      </c>
      <c r="AB661" s="103" t="s">
        <v>74</v>
      </c>
      <c r="AE661" s="103" t="s">
        <v>1241</v>
      </c>
      <c r="AF661" s="103" t="b">
        <v>1</v>
      </c>
    </row>
    <row r="662" spans="1:32" hidden="1" x14ac:dyDescent="0.2">
      <c r="A662" s="103" t="s">
        <v>1587</v>
      </c>
      <c r="B662" s="103" t="s">
        <v>1790</v>
      </c>
      <c r="C662" s="103" t="s">
        <v>1685</v>
      </c>
      <c r="E662" s="103" t="s">
        <v>2472</v>
      </c>
      <c r="F662" s="103" t="s">
        <v>2202</v>
      </c>
      <c r="G662" s="103">
        <v>200</v>
      </c>
      <c r="H662" s="103" t="s">
        <v>2168</v>
      </c>
      <c r="I662" s="103" t="s">
        <v>2153</v>
      </c>
      <c r="J662" s="103">
        <v>50</v>
      </c>
      <c r="K662" s="103">
        <v>50</v>
      </c>
      <c r="L662" s="103">
        <v>50</v>
      </c>
      <c r="M662" s="103">
        <v>50</v>
      </c>
      <c r="N662" s="103" t="s">
        <v>2163</v>
      </c>
      <c r="O662" s="103">
        <v>200</v>
      </c>
      <c r="P662" s="103" t="s">
        <v>1652</v>
      </c>
      <c r="Q662" s="103" t="s">
        <v>2387</v>
      </c>
      <c r="R662" s="103" t="s">
        <v>121</v>
      </c>
      <c r="S662" s="103" t="s">
        <v>2448</v>
      </c>
      <c r="U662" s="103">
        <v>102.6</v>
      </c>
      <c r="V662" s="103" t="s">
        <v>2158</v>
      </c>
      <c r="W662" s="103" t="s">
        <v>121</v>
      </c>
      <c r="X662" s="103" t="s">
        <v>1736</v>
      </c>
      <c r="Y662" s="103" t="s">
        <v>3848</v>
      </c>
      <c r="AA662" s="103" t="s">
        <v>121</v>
      </c>
      <c r="AB662" s="103" t="s">
        <v>74</v>
      </c>
      <c r="AE662" s="103" t="s">
        <v>1241</v>
      </c>
      <c r="AF662" s="103" t="b">
        <v>1</v>
      </c>
    </row>
    <row r="663" spans="1:32" hidden="1" x14ac:dyDescent="0.2">
      <c r="A663" s="103" t="s">
        <v>1987</v>
      </c>
      <c r="B663" s="103" t="s">
        <v>1986</v>
      </c>
      <c r="E663" s="103" t="s">
        <v>107</v>
      </c>
      <c r="G663" s="103">
        <v>4</v>
      </c>
      <c r="H663" s="103" t="s">
        <v>2152</v>
      </c>
      <c r="I663" s="103" t="s">
        <v>2153</v>
      </c>
      <c r="J663" s="103">
        <v>1</v>
      </c>
      <c r="K663" s="103">
        <v>1</v>
      </c>
      <c r="L663" s="103">
        <v>1</v>
      </c>
      <c r="M663" s="103">
        <v>1</v>
      </c>
      <c r="N663" s="103" t="s">
        <v>2273</v>
      </c>
      <c r="O663" s="103">
        <v>4</v>
      </c>
      <c r="P663" s="103" t="s">
        <v>1988</v>
      </c>
      <c r="Q663" s="103" t="s">
        <v>2155</v>
      </c>
      <c r="R663" s="103" t="s">
        <v>2225</v>
      </c>
      <c r="S663" s="103" t="s">
        <v>2229</v>
      </c>
      <c r="U663" s="103">
        <v>4</v>
      </c>
      <c r="V663" s="103" t="s">
        <v>2239</v>
      </c>
      <c r="W663" s="103" t="s">
        <v>107</v>
      </c>
      <c r="X663" s="103" t="s">
        <v>1945</v>
      </c>
      <c r="Y663" s="103" t="s">
        <v>1685</v>
      </c>
      <c r="AA663" s="103" t="s">
        <v>2225</v>
      </c>
      <c r="AB663" s="103" t="s">
        <v>95</v>
      </c>
      <c r="AE663" s="103">
        <v>0</v>
      </c>
      <c r="AF663" s="103" t="b">
        <v>1</v>
      </c>
    </row>
    <row r="664" spans="1:32" hidden="1" x14ac:dyDescent="0.2">
      <c r="A664" s="103" t="s">
        <v>1990</v>
      </c>
      <c r="B664" s="103" t="s">
        <v>1989</v>
      </c>
      <c r="E664" s="103" t="s">
        <v>107</v>
      </c>
      <c r="G664" s="103">
        <v>39</v>
      </c>
      <c r="H664" s="103" t="s">
        <v>2152</v>
      </c>
      <c r="I664" s="103" t="s">
        <v>2153</v>
      </c>
      <c r="J664" s="103">
        <v>10</v>
      </c>
      <c r="K664" s="103">
        <v>10</v>
      </c>
      <c r="L664" s="103">
        <v>10</v>
      </c>
      <c r="M664" s="103">
        <v>9</v>
      </c>
      <c r="N664" s="103" t="s">
        <v>2163</v>
      </c>
      <c r="O664" s="103">
        <v>39</v>
      </c>
      <c r="P664" s="103" t="s">
        <v>1988</v>
      </c>
      <c r="Q664" s="103" t="s">
        <v>2155</v>
      </c>
      <c r="R664" s="103" t="s">
        <v>2225</v>
      </c>
      <c r="S664" s="103" t="s">
        <v>2229</v>
      </c>
      <c r="U664" s="103">
        <v>39</v>
      </c>
      <c r="V664" s="103" t="s">
        <v>2239</v>
      </c>
      <c r="W664" s="103" t="s">
        <v>107</v>
      </c>
      <c r="X664" s="103" t="s">
        <v>1945</v>
      </c>
      <c r="Y664" s="103" t="s">
        <v>1685</v>
      </c>
      <c r="AA664" s="103" t="s">
        <v>2225</v>
      </c>
      <c r="AB664" s="103" t="s">
        <v>95</v>
      </c>
      <c r="AE664" s="103">
        <v>0</v>
      </c>
      <c r="AF664" s="103" t="b">
        <v>1</v>
      </c>
    </row>
    <row r="665" spans="1:32" hidden="1" x14ac:dyDescent="0.2">
      <c r="A665" s="103" t="s">
        <v>1992</v>
      </c>
      <c r="B665" s="103" t="s">
        <v>1991</v>
      </c>
      <c r="E665" s="103" t="s">
        <v>107</v>
      </c>
      <c r="G665" s="103">
        <v>49</v>
      </c>
      <c r="H665" s="103" t="s">
        <v>2152</v>
      </c>
      <c r="I665" s="103" t="s">
        <v>2153</v>
      </c>
      <c r="J665" s="103">
        <v>12</v>
      </c>
      <c r="K665" s="103">
        <v>13</v>
      </c>
      <c r="L665" s="103">
        <v>12</v>
      </c>
      <c r="M665" s="103">
        <v>12</v>
      </c>
      <c r="N665" s="103" t="s">
        <v>2402</v>
      </c>
      <c r="O665" s="103">
        <v>49</v>
      </c>
      <c r="P665" s="103" t="s">
        <v>1988</v>
      </c>
      <c r="Q665" s="103" t="s">
        <v>2155</v>
      </c>
      <c r="R665" s="103" t="s">
        <v>2225</v>
      </c>
      <c r="S665" s="103" t="s">
        <v>2229</v>
      </c>
      <c r="U665" s="103">
        <v>49</v>
      </c>
      <c r="V665" s="103" t="s">
        <v>2239</v>
      </c>
      <c r="W665" s="103" t="s">
        <v>107</v>
      </c>
      <c r="X665" s="103" t="s">
        <v>1945</v>
      </c>
      <c r="Y665" s="103" t="s">
        <v>1685</v>
      </c>
      <c r="AA665" s="103" t="s">
        <v>2225</v>
      </c>
      <c r="AB665" s="103" t="s">
        <v>95</v>
      </c>
      <c r="AE665" s="103">
        <v>0</v>
      </c>
      <c r="AF665" s="103" t="b">
        <v>1</v>
      </c>
    </row>
    <row r="666" spans="1:32" hidden="1" x14ac:dyDescent="0.2">
      <c r="A666" s="103" t="s">
        <v>1994</v>
      </c>
      <c r="B666" s="103" t="s">
        <v>1993</v>
      </c>
      <c r="E666" s="103" t="s">
        <v>107</v>
      </c>
      <c r="G666" s="103">
        <v>39</v>
      </c>
      <c r="H666" s="103" t="s">
        <v>2152</v>
      </c>
      <c r="I666" s="103" t="s">
        <v>2153</v>
      </c>
      <c r="J666" s="103">
        <v>10</v>
      </c>
      <c r="K666" s="103">
        <v>10</v>
      </c>
      <c r="L666" s="103">
        <v>10</v>
      </c>
      <c r="M666" s="103">
        <v>9</v>
      </c>
      <c r="N666" s="103" t="s">
        <v>2402</v>
      </c>
      <c r="O666" s="103">
        <v>39</v>
      </c>
      <c r="P666" s="103" t="s">
        <v>1988</v>
      </c>
      <c r="Q666" s="103" t="s">
        <v>2155</v>
      </c>
      <c r="R666" s="103" t="s">
        <v>2225</v>
      </c>
      <c r="S666" s="103" t="s">
        <v>2229</v>
      </c>
      <c r="U666" s="103">
        <v>39</v>
      </c>
      <c r="V666" s="103" t="s">
        <v>2239</v>
      </c>
      <c r="W666" s="103" t="s">
        <v>107</v>
      </c>
      <c r="X666" s="103" t="s">
        <v>1945</v>
      </c>
      <c r="Y666" s="103" t="s">
        <v>1685</v>
      </c>
      <c r="AA666" s="103" t="s">
        <v>2225</v>
      </c>
      <c r="AB666" s="103" t="s">
        <v>95</v>
      </c>
      <c r="AE666" s="103">
        <v>0</v>
      </c>
      <c r="AF666" s="103" t="b">
        <v>1</v>
      </c>
    </row>
    <row r="667" spans="1:32" hidden="1" x14ac:dyDescent="0.2">
      <c r="A667" s="103" t="s">
        <v>1996</v>
      </c>
      <c r="B667" s="103" t="s">
        <v>1995</v>
      </c>
      <c r="E667" s="103" t="s">
        <v>107</v>
      </c>
      <c r="G667" s="103">
        <v>5</v>
      </c>
      <c r="H667" s="103" t="s">
        <v>2152</v>
      </c>
      <c r="I667" s="103" t="s">
        <v>2153</v>
      </c>
      <c r="J667" s="103">
        <v>1</v>
      </c>
      <c r="K667" s="103">
        <v>1</v>
      </c>
      <c r="L667" s="103">
        <v>1</v>
      </c>
      <c r="M667" s="103">
        <v>2</v>
      </c>
      <c r="N667" s="103" t="s">
        <v>2402</v>
      </c>
      <c r="O667" s="103">
        <v>5</v>
      </c>
      <c r="P667" s="103" t="s">
        <v>1988</v>
      </c>
      <c r="Q667" s="103" t="s">
        <v>2155</v>
      </c>
      <c r="R667" s="103" t="s">
        <v>2225</v>
      </c>
      <c r="S667" s="103" t="s">
        <v>2229</v>
      </c>
      <c r="U667" s="103">
        <v>5</v>
      </c>
      <c r="V667" s="103" t="s">
        <v>2239</v>
      </c>
      <c r="W667" s="103" t="s">
        <v>107</v>
      </c>
      <c r="X667" s="103" t="s">
        <v>1945</v>
      </c>
      <c r="Y667" s="103" t="s">
        <v>1685</v>
      </c>
      <c r="AA667" s="103" t="s">
        <v>2225</v>
      </c>
      <c r="AB667" s="103" t="s">
        <v>95</v>
      </c>
      <c r="AE667" s="103">
        <v>0</v>
      </c>
      <c r="AF667" s="103" t="b">
        <v>1</v>
      </c>
    </row>
    <row r="668" spans="1:32" hidden="1" x14ac:dyDescent="0.2">
      <c r="A668" s="103" t="s">
        <v>1998</v>
      </c>
      <c r="B668" s="103" t="s">
        <v>1997</v>
      </c>
      <c r="E668" s="103" t="s">
        <v>107</v>
      </c>
      <c r="F668" s="103" t="s">
        <v>2175</v>
      </c>
      <c r="G668" s="103">
        <v>20</v>
      </c>
      <c r="H668" s="103" t="s">
        <v>2168</v>
      </c>
      <c r="I668" s="103" t="s">
        <v>2153</v>
      </c>
      <c r="J668" s="103">
        <v>5</v>
      </c>
      <c r="K668" s="103">
        <v>5</v>
      </c>
      <c r="L668" s="103">
        <v>5</v>
      </c>
      <c r="M668" s="103">
        <v>5</v>
      </c>
      <c r="N668" s="103" t="s">
        <v>2163</v>
      </c>
      <c r="O668" s="103">
        <v>20</v>
      </c>
      <c r="P668" s="103" t="s">
        <v>2000</v>
      </c>
      <c r="Q668" s="103" t="s">
        <v>2155</v>
      </c>
      <c r="R668" s="103" t="s">
        <v>2225</v>
      </c>
      <c r="S668" s="103" t="s">
        <v>2229</v>
      </c>
      <c r="U668" s="103">
        <v>20</v>
      </c>
      <c r="V668" s="103" t="s">
        <v>2239</v>
      </c>
      <c r="W668" s="103" t="s">
        <v>107</v>
      </c>
      <c r="X668" s="103" t="s">
        <v>1945</v>
      </c>
      <c r="Y668" s="103" t="s">
        <v>1685</v>
      </c>
      <c r="AA668" s="103" t="s">
        <v>2225</v>
      </c>
      <c r="AB668" s="103" t="s">
        <v>95</v>
      </c>
      <c r="AE668" s="103">
        <v>0</v>
      </c>
      <c r="AF668" s="103" t="b">
        <v>1</v>
      </c>
    </row>
    <row r="669" spans="1:32" hidden="1" x14ac:dyDescent="0.2">
      <c r="A669" s="103" t="s">
        <v>1998</v>
      </c>
      <c r="B669" s="103" t="s">
        <v>1997</v>
      </c>
      <c r="E669" s="103" t="s">
        <v>2605</v>
      </c>
      <c r="F669" s="103" t="s">
        <v>2175</v>
      </c>
      <c r="G669" s="103">
        <v>20</v>
      </c>
      <c r="H669" s="103" t="s">
        <v>2168</v>
      </c>
      <c r="I669" s="103" t="s">
        <v>2153</v>
      </c>
      <c r="J669" s="103">
        <v>5</v>
      </c>
      <c r="K669" s="103">
        <v>5</v>
      </c>
      <c r="L669" s="103">
        <v>5</v>
      </c>
      <c r="M669" s="103">
        <v>5</v>
      </c>
      <c r="N669" s="103" t="s">
        <v>2163</v>
      </c>
      <c r="O669" s="103">
        <v>20</v>
      </c>
      <c r="P669" s="103" t="s">
        <v>1679</v>
      </c>
      <c r="Q669" s="103" t="s">
        <v>2155</v>
      </c>
      <c r="R669" s="103" t="s">
        <v>2225</v>
      </c>
      <c r="S669" s="103" t="s">
        <v>2247</v>
      </c>
      <c r="U669" s="103">
        <v>9.66</v>
      </c>
      <c r="V669" s="103" t="s">
        <v>2239</v>
      </c>
      <c r="W669" s="103" t="s">
        <v>106</v>
      </c>
      <c r="X669" s="103" t="s">
        <v>1945</v>
      </c>
      <c r="Y669" s="103" t="s">
        <v>1685</v>
      </c>
      <c r="AA669" s="103" t="s">
        <v>2225</v>
      </c>
      <c r="AB669" s="103" t="s">
        <v>95</v>
      </c>
      <c r="AE669" s="103">
        <v>0</v>
      </c>
      <c r="AF669" s="103" t="b">
        <v>1</v>
      </c>
    </row>
    <row r="670" spans="1:32" hidden="1" x14ac:dyDescent="0.2">
      <c r="A670" s="103" t="s">
        <v>749</v>
      </c>
      <c r="B670" s="103" t="s">
        <v>748</v>
      </c>
      <c r="C670" s="103" t="s">
        <v>2834</v>
      </c>
      <c r="D670" s="103" t="s">
        <v>2835</v>
      </c>
      <c r="E670" s="103" t="s">
        <v>2244</v>
      </c>
      <c r="F670" s="103" t="s">
        <v>2226</v>
      </c>
      <c r="G670" s="103">
        <v>450</v>
      </c>
      <c r="H670" s="103" t="s">
        <v>2168</v>
      </c>
      <c r="I670" s="103" t="s">
        <v>2153</v>
      </c>
      <c r="J670" s="103">
        <v>0</v>
      </c>
      <c r="K670" s="103">
        <v>100</v>
      </c>
      <c r="L670" s="103">
        <v>100</v>
      </c>
      <c r="M670" s="103">
        <v>250</v>
      </c>
      <c r="N670" s="103" t="s">
        <v>2154</v>
      </c>
      <c r="O670" s="103">
        <v>450</v>
      </c>
      <c r="P670" s="103" t="s">
        <v>2001</v>
      </c>
      <c r="Q670" s="103" t="s">
        <v>2236</v>
      </c>
      <c r="R670" s="103" t="s">
        <v>2225</v>
      </c>
      <c r="S670" s="103" t="s">
        <v>2422</v>
      </c>
      <c r="U670" s="103">
        <v>217.35</v>
      </c>
      <c r="V670" s="103" t="s">
        <v>2158</v>
      </c>
      <c r="W670" s="103" t="s">
        <v>106</v>
      </c>
      <c r="X670" s="103" t="s">
        <v>1597</v>
      </c>
      <c r="Y670" s="103" t="s">
        <v>1685</v>
      </c>
      <c r="AA670" s="103" t="s">
        <v>2225</v>
      </c>
      <c r="AB670" s="103" t="s">
        <v>64</v>
      </c>
      <c r="AE670" s="103" t="s">
        <v>750</v>
      </c>
      <c r="AF670" s="103" t="b">
        <v>1</v>
      </c>
    </row>
    <row r="671" spans="1:32" hidden="1" x14ac:dyDescent="0.2">
      <c r="A671" s="103" t="s">
        <v>749</v>
      </c>
      <c r="B671" s="103" t="s">
        <v>748</v>
      </c>
      <c r="C671" s="103" t="s">
        <v>2834</v>
      </c>
      <c r="D671" s="103" t="s">
        <v>2836</v>
      </c>
      <c r="E671" s="103" t="s">
        <v>2601</v>
      </c>
      <c r="F671" s="103" t="s">
        <v>2226</v>
      </c>
      <c r="G671" s="103">
        <v>460</v>
      </c>
      <c r="H671" s="103" t="s">
        <v>2168</v>
      </c>
      <c r="I671" s="103" t="s">
        <v>2153</v>
      </c>
      <c r="J671" s="103">
        <v>0</v>
      </c>
      <c r="K671" s="103">
        <v>190</v>
      </c>
      <c r="L671" s="103">
        <v>270</v>
      </c>
      <c r="M671" s="103">
        <v>0</v>
      </c>
      <c r="N671" s="103" t="s">
        <v>2163</v>
      </c>
      <c r="O671" s="103">
        <v>460</v>
      </c>
      <c r="P671" s="103" t="s">
        <v>2001</v>
      </c>
      <c r="Q671" s="103" t="s">
        <v>2236</v>
      </c>
      <c r="R671" s="103" t="s">
        <v>2225</v>
      </c>
      <c r="S671" s="103" t="s">
        <v>2192</v>
      </c>
      <c r="T671" s="103" t="s">
        <v>2837</v>
      </c>
      <c r="U671" s="103">
        <v>222.18</v>
      </c>
      <c r="V671" s="103" t="s">
        <v>2158</v>
      </c>
      <c r="W671" s="103" t="s">
        <v>106</v>
      </c>
      <c r="X671" s="103" t="s">
        <v>1597</v>
      </c>
      <c r="Y671" s="103" t="s">
        <v>1685</v>
      </c>
      <c r="AA671" s="103" t="s">
        <v>2225</v>
      </c>
      <c r="AB671" s="103" t="s">
        <v>64</v>
      </c>
      <c r="AE671" s="103" t="s">
        <v>750</v>
      </c>
      <c r="AF671" s="103" t="b">
        <v>1</v>
      </c>
    </row>
    <row r="672" spans="1:32" hidden="1" x14ac:dyDescent="0.2">
      <c r="A672" s="103" t="s">
        <v>749</v>
      </c>
      <c r="B672" s="103" t="s">
        <v>748</v>
      </c>
      <c r="C672" s="103" t="s">
        <v>2834</v>
      </c>
      <c r="D672" s="103" t="s">
        <v>2838</v>
      </c>
      <c r="E672" s="103" t="s">
        <v>2244</v>
      </c>
      <c r="F672" s="103" t="s">
        <v>2228</v>
      </c>
      <c r="G672" s="103">
        <v>880</v>
      </c>
      <c r="H672" s="103" t="s">
        <v>2168</v>
      </c>
      <c r="I672" s="103" t="s">
        <v>2153</v>
      </c>
      <c r="J672" s="103">
        <v>220</v>
      </c>
      <c r="K672" s="103">
        <v>220</v>
      </c>
      <c r="L672" s="103">
        <v>220</v>
      </c>
      <c r="M672" s="103">
        <v>220</v>
      </c>
      <c r="N672" s="103" t="s">
        <v>2163</v>
      </c>
      <c r="O672" s="103">
        <v>880</v>
      </c>
      <c r="P672" s="103" t="s">
        <v>2001</v>
      </c>
      <c r="Q672" s="103" t="s">
        <v>2236</v>
      </c>
      <c r="R672" s="103" t="s">
        <v>2225</v>
      </c>
      <c r="S672" s="103" t="s">
        <v>2422</v>
      </c>
      <c r="U672" s="103">
        <v>425.04</v>
      </c>
      <c r="V672" s="103" t="s">
        <v>2158</v>
      </c>
      <c r="W672" s="103" t="s">
        <v>106</v>
      </c>
      <c r="X672" s="103" t="s">
        <v>1597</v>
      </c>
      <c r="Y672" s="103" t="s">
        <v>1685</v>
      </c>
      <c r="AA672" s="103" t="s">
        <v>2225</v>
      </c>
      <c r="AB672" s="103" t="s">
        <v>64</v>
      </c>
      <c r="AE672" s="103" t="s">
        <v>750</v>
      </c>
      <c r="AF672" s="103" t="b">
        <v>1</v>
      </c>
    </row>
    <row r="673" spans="1:32" hidden="1" x14ac:dyDescent="0.2">
      <c r="A673" s="103" t="s">
        <v>749</v>
      </c>
      <c r="B673" s="103" t="s">
        <v>748</v>
      </c>
      <c r="C673" s="103" t="s">
        <v>2834</v>
      </c>
      <c r="D673" s="103" t="s">
        <v>2839</v>
      </c>
      <c r="E673" s="103" t="s">
        <v>2601</v>
      </c>
      <c r="F673" s="103" t="s">
        <v>2151</v>
      </c>
      <c r="G673" s="103">
        <v>120</v>
      </c>
      <c r="H673" s="103" t="s">
        <v>2168</v>
      </c>
      <c r="I673" s="103" t="s">
        <v>2153</v>
      </c>
      <c r="J673" s="103">
        <v>120</v>
      </c>
      <c r="K673" s="103">
        <v>0</v>
      </c>
      <c r="L673" s="103">
        <v>0</v>
      </c>
      <c r="M673" s="103">
        <v>0</v>
      </c>
      <c r="N673" s="103" t="s">
        <v>2163</v>
      </c>
      <c r="O673" s="103">
        <v>120</v>
      </c>
      <c r="P673" s="103" t="s">
        <v>2001</v>
      </c>
      <c r="Q673" s="103" t="s">
        <v>2236</v>
      </c>
      <c r="R673" s="103" t="s">
        <v>2225</v>
      </c>
      <c r="S673" s="103" t="s">
        <v>2192</v>
      </c>
      <c r="U673" s="103">
        <v>57.96</v>
      </c>
      <c r="V673" s="103" t="s">
        <v>2158</v>
      </c>
      <c r="W673" s="103" t="s">
        <v>106</v>
      </c>
      <c r="X673" s="103" t="s">
        <v>1597</v>
      </c>
      <c r="Y673" s="103" t="s">
        <v>1685</v>
      </c>
      <c r="AA673" s="103" t="s">
        <v>2225</v>
      </c>
      <c r="AB673" s="103" t="s">
        <v>64</v>
      </c>
      <c r="AE673" s="103" t="s">
        <v>750</v>
      </c>
      <c r="AF673" s="103" t="b">
        <v>1</v>
      </c>
    </row>
    <row r="674" spans="1:32" hidden="1" x14ac:dyDescent="0.2">
      <c r="A674" s="103" t="s">
        <v>749</v>
      </c>
      <c r="B674" s="103" t="s">
        <v>748</v>
      </c>
      <c r="C674" s="103" t="s">
        <v>2834</v>
      </c>
      <c r="D674" s="103" t="s">
        <v>2840</v>
      </c>
      <c r="E674" s="103" t="s">
        <v>2242</v>
      </c>
      <c r="F674" s="103" t="s">
        <v>2228</v>
      </c>
      <c r="G674" s="103">
        <v>600</v>
      </c>
      <c r="H674" s="103" t="s">
        <v>2168</v>
      </c>
      <c r="I674" s="103" t="s">
        <v>2153</v>
      </c>
      <c r="J674" s="103">
        <v>60</v>
      </c>
      <c r="K674" s="103">
        <v>100</v>
      </c>
      <c r="L674" s="103">
        <v>200</v>
      </c>
      <c r="M674" s="103">
        <v>240</v>
      </c>
      <c r="N674" s="103" t="s">
        <v>2163</v>
      </c>
      <c r="O674" s="103">
        <v>600</v>
      </c>
      <c r="P674" s="103" t="s">
        <v>2001</v>
      </c>
      <c r="Q674" s="103" t="s">
        <v>2236</v>
      </c>
      <c r="R674" s="103" t="s">
        <v>2225</v>
      </c>
      <c r="S674" s="103" t="s">
        <v>2422</v>
      </c>
      <c r="U674" s="103">
        <v>289.8</v>
      </c>
      <c r="V674" s="103" t="s">
        <v>2158</v>
      </c>
      <c r="W674" s="103" t="s">
        <v>106</v>
      </c>
      <c r="X674" s="103" t="s">
        <v>1597</v>
      </c>
      <c r="Y674" s="103" t="s">
        <v>1685</v>
      </c>
      <c r="AA674" s="103" t="s">
        <v>2225</v>
      </c>
      <c r="AB674" s="103" t="s">
        <v>64</v>
      </c>
      <c r="AE674" s="103" t="s">
        <v>750</v>
      </c>
      <c r="AF674" s="103" t="b">
        <v>1</v>
      </c>
    </row>
    <row r="675" spans="1:32" hidden="1" x14ac:dyDescent="0.2">
      <c r="A675" s="103" t="s">
        <v>749</v>
      </c>
      <c r="B675" s="103" t="s">
        <v>748</v>
      </c>
      <c r="C675" s="103" t="s">
        <v>2834</v>
      </c>
      <c r="D675" s="103" t="s">
        <v>2841</v>
      </c>
      <c r="E675" s="103" t="s">
        <v>2244</v>
      </c>
      <c r="F675" s="103" t="s">
        <v>2228</v>
      </c>
      <c r="G675" s="103">
        <v>800</v>
      </c>
      <c r="H675" s="103" t="s">
        <v>2168</v>
      </c>
      <c r="I675" s="103" t="s">
        <v>2153</v>
      </c>
      <c r="J675" s="103">
        <v>0</v>
      </c>
      <c r="K675" s="103">
        <v>100</v>
      </c>
      <c r="L675" s="103">
        <v>350</v>
      </c>
      <c r="M675" s="103">
        <v>350</v>
      </c>
      <c r="N675" s="103" t="s">
        <v>2163</v>
      </c>
      <c r="O675" s="103">
        <v>800</v>
      </c>
      <c r="P675" s="103" t="s">
        <v>2001</v>
      </c>
      <c r="Q675" s="103" t="s">
        <v>2236</v>
      </c>
      <c r="R675" s="103" t="s">
        <v>2225</v>
      </c>
      <c r="S675" s="103" t="s">
        <v>2422</v>
      </c>
      <c r="U675" s="103">
        <v>386.4</v>
      </c>
      <c r="V675" s="103" t="s">
        <v>2158</v>
      </c>
      <c r="W675" s="103" t="s">
        <v>106</v>
      </c>
      <c r="X675" s="103" t="s">
        <v>1597</v>
      </c>
      <c r="Y675" s="103" t="s">
        <v>1685</v>
      </c>
      <c r="AA675" s="103" t="s">
        <v>2225</v>
      </c>
      <c r="AB675" s="103" t="s">
        <v>64</v>
      </c>
      <c r="AE675" s="103" t="s">
        <v>750</v>
      </c>
      <c r="AF675" s="103" t="b">
        <v>1</v>
      </c>
    </row>
    <row r="676" spans="1:32" hidden="1" x14ac:dyDescent="0.2">
      <c r="A676" s="103" t="s">
        <v>749</v>
      </c>
      <c r="B676" s="103" t="s">
        <v>748</v>
      </c>
      <c r="C676" s="103" t="s">
        <v>2842</v>
      </c>
      <c r="D676" s="103" t="s">
        <v>2843</v>
      </c>
      <c r="E676" s="103" t="s">
        <v>2562</v>
      </c>
      <c r="F676" s="103" t="s">
        <v>2151</v>
      </c>
      <c r="G676" s="103">
        <v>170</v>
      </c>
      <c r="H676" s="103" t="s">
        <v>2168</v>
      </c>
      <c r="I676" s="103" t="s">
        <v>2153</v>
      </c>
      <c r="J676" s="103">
        <v>150</v>
      </c>
      <c r="K676" s="103">
        <v>20</v>
      </c>
      <c r="L676" s="103">
        <v>0</v>
      </c>
      <c r="M676" s="103">
        <v>0</v>
      </c>
      <c r="N676" s="103" t="s">
        <v>2163</v>
      </c>
      <c r="O676" s="103">
        <v>170</v>
      </c>
      <c r="P676" s="103" t="s">
        <v>1617</v>
      </c>
      <c r="Q676" s="103" t="s">
        <v>2155</v>
      </c>
      <c r="R676" s="103" t="s">
        <v>2225</v>
      </c>
      <c r="S676" s="103" t="s">
        <v>2422</v>
      </c>
      <c r="U676" s="103">
        <v>82.11</v>
      </c>
      <c r="V676" s="103" t="s">
        <v>2158</v>
      </c>
      <c r="W676" s="103" t="s">
        <v>106</v>
      </c>
      <c r="X676" s="103" t="s">
        <v>1597</v>
      </c>
      <c r="Y676" s="103" t="s">
        <v>1685</v>
      </c>
      <c r="AA676" s="103" t="s">
        <v>2225</v>
      </c>
      <c r="AB676" s="103" t="s">
        <v>64</v>
      </c>
      <c r="AE676" s="103" t="s">
        <v>750</v>
      </c>
      <c r="AF676" s="103" t="b">
        <v>1</v>
      </c>
    </row>
    <row r="677" spans="1:32" hidden="1" x14ac:dyDescent="0.2">
      <c r="A677" s="103" t="s">
        <v>749</v>
      </c>
      <c r="B677" s="103" t="s">
        <v>748</v>
      </c>
      <c r="C677" s="103" t="s">
        <v>2834</v>
      </c>
      <c r="D677" s="103" t="s">
        <v>2844</v>
      </c>
      <c r="E677" s="103" t="s">
        <v>2196</v>
      </c>
      <c r="F677" s="103" t="s">
        <v>2202</v>
      </c>
      <c r="G677" s="103">
        <v>150</v>
      </c>
      <c r="H677" s="103" t="s">
        <v>2168</v>
      </c>
      <c r="I677" s="103" t="s">
        <v>2153</v>
      </c>
      <c r="L677" s="103">
        <v>75</v>
      </c>
      <c r="M677" s="103">
        <v>75</v>
      </c>
      <c r="N677" s="103" t="s">
        <v>2163</v>
      </c>
      <c r="O677" s="103">
        <v>150</v>
      </c>
      <c r="P677" s="103" t="s">
        <v>1232</v>
      </c>
      <c r="Q677" s="103" t="s">
        <v>2236</v>
      </c>
      <c r="R677" s="103" t="s">
        <v>121</v>
      </c>
      <c r="S677" s="103" t="s">
        <v>2427</v>
      </c>
      <c r="U677" s="103">
        <v>76.95</v>
      </c>
      <c r="V677" s="103" t="s">
        <v>2158</v>
      </c>
      <c r="W677" s="103" t="s">
        <v>121</v>
      </c>
      <c r="X677" s="103" t="s">
        <v>1597</v>
      </c>
      <c r="Y677" s="103" t="s">
        <v>1685</v>
      </c>
      <c r="AA677" s="103" t="s">
        <v>121</v>
      </c>
      <c r="AB677" s="103" t="s">
        <v>64</v>
      </c>
      <c r="AE677" s="103" t="s">
        <v>750</v>
      </c>
      <c r="AF677" s="103" t="b">
        <v>1</v>
      </c>
    </row>
    <row r="678" spans="1:32" hidden="1" x14ac:dyDescent="0.2">
      <c r="A678" s="103" t="s">
        <v>749</v>
      </c>
      <c r="B678" s="103" t="s">
        <v>748</v>
      </c>
      <c r="C678" s="103" t="s">
        <v>2834</v>
      </c>
      <c r="D678" s="103" t="s">
        <v>2845</v>
      </c>
      <c r="E678" s="103" t="s">
        <v>2242</v>
      </c>
      <c r="F678" s="103" t="s">
        <v>2162</v>
      </c>
      <c r="G678" s="103">
        <v>60</v>
      </c>
      <c r="H678" s="103" t="s">
        <v>2168</v>
      </c>
      <c r="I678" s="103" t="s">
        <v>2153</v>
      </c>
      <c r="M678" s="103">
        <v>60</v>
      </c>
      <c r="N678" s="103" t="s">
        <v>2163</v>
      </c>
      <c r="O678" s="103">
        <v>60</v>
      </c>
      <c r="P678" s="103" t="s">
        <v>2001</v>
      </c>
      <c r="Q678" s="103" t="s">
        <v>2236</v>
      </c>
      <c r="R678" s="103" t="s">
        <v>2225</v>
      </c>
      <c r="S678" s="103" t="s">
        <v>2422</v>
      </c>
      <c r="U678" s="103">
        <v>28.98</v>
      </c>
      <c r="V678" s="103" t="s">
        <v>2158</v>
      </c>
      <c r="W678" s="103" t="s">
        <v>106</v>
      </c>
      <c r="X678" s="103" t="s">
        <v>1597</v>
      </c>
      <c r="Y678" s="103" t="s">
        <v>1685</v>
      </c>
      <c r="AA678" s="103" t="s">
        <v>2225</v>
      </c>
      <c r="AB678" s="103" t="s">
        <v>64</v>
      </c>
      <c r="AE678" s="103" t="s">
        <v>750</v>
      </c>
      <c r="AF678" s="103" t="b">
        <v>1</v>
      </c>
    </row>
    <row r="679" spans="1:32" hidden="1" x14ac:dyDescent="0.2">
      <c r="A679" s="103" t="s">
        <v>749</v>
      </c>
      <c r="B679" s="103" t="s">
        <v>748</v>
      </c>
      <c r="C679" s="103" t="s">
        <v>2834</v>
      </c>
      <c r="D679" s="103" t="s">
        <v>2846</v>
      </c>
      <c r="E679" s="103" t="s">
        <v>2242</v>
      </c>
      <c r="F679" s="103" t="s">
        <v>2151</v>
      </c>
      <c r="G679" s="103">
        <v>100</v>
      </c>
      <c r="H679" s="103" t="s">
        <v>2168</v>
      </c>
      <c r="I679" s="103" t="s">
        <v>2153</v>
      </c>
      <c r="M679" s="103">
        <v>100</v>
      </c>
      <c r="N679" s="103" t="s">
        <v>2154</v>
      </c>
      <c r="O679" s="103">
        <v>100</v>
      </c>
      <c r="P679" s="103" t="s">
        <v>2001</v>
      </c>
      <c r="Q679" s="103" t="s">
        <v>2236</v>
      </c>
      <c r="R679" s="103" t="s">
        <v>2225</v>
      </c>
      <c r="S679" s="103" t="s">
        <v>2422</v>
      </c>
      <c r="U679" s="103">
        <v>48.3</v>
      </c>
      <c r="V679" s="103" t="s">
        <v>2158</v>
      </c>
      <c r="W679" s="103" t="s">
        <v>106</v>
      </c>
      <c r="X679" s="103" t="s">
        <v>1597</v>
      </c>
      <c r="Y679" s="103" t="s">
        <v>1685</v>
      </c>
      <c r="AA679" s="103" t="s">
        <v>2225</v>
      </c>
      <c r="AB679" s="103" t="s">
        <v>64</v>
      </c>
      <c r="AE679" s="103" t="s">
        <v>750</v>
      </c>
      <c r="AF679" s="103" t="b">
        <v>1</v>
      </c>
    </row>
    <row r="680" spans="1:32" hidden="1" x14ac:dyDescent="0.2">
      <c r="A680" s="103" t="s">
        <v>749</v>
      </c>
      <c r="B680" s="103" t="s">
        <v>748</v>
      </c>
      <c r="C680" s="103" t="s">
        <v>2842</v>
      </c>
      <c r="D680" s="103" t="s">
        <v>2847</v>
      </c>
      <c r="E680" s="103" t="s">
        <v>2605</v>
      </c>
      <c r="F680" s="103" t="s">
        <v>2226</v>
      </c>
      <c r="G680" s="103">
        <v>400</v>
      </c>
      <c r="H680" s="103" t="s">
        <v>2168</v>
      </c>
      <c r="I680" s="103" t="s">
        <v>2153</v>
      </c>
      <c r="K680" s="103">
        <v>200</v>
      </c>
      <c r="L680" s="103">
        <v>200</v>
      </c>
      <c r="N680" s="103" t="s">
        <v>2163</v>
      </c>
      <c r="O680" s="103">
        <v>400</v>
      </c>
      <c r="P680" s="103" t="s">
        <v>1701</v>
      </c>
      <c r="Q680" s="103" t="s">
        <v>2236</v>
      </c>
      <c r="R680" s="103" t="s">
        <v>2225</v>
      </c>
      <c r="S680" s="103" t="s">
        <v>2422</v>
      </c>
      <c r="U680" s="103">
        <v>193.2</v>
      </c>
      <c r="V680" s="103" t="s">
        <v>2158</v>
      </c>
      <c r="W680" s="103" t="s">
        <v>106</v>
      </c>
      <c r="X680" s="103" t="s">
        <v>1597</v>
      </c>
      <c r="Y680" s="103" t="s">
        <v>1685</v>
      </c>
      <c r="AA680" s="103" t="s">
        <v>2225</v>
      </c>
      <c r="AB680" s="103" t="s">
        <v>64</v>
      </c>
      <c r="AE680" s="103" t="s">
        <v>750</v>
      </c>
      <c r="AF680" s="103" t="b">
        <v>1</v>
      </c>
    </row>
    <row r="681" spans="1:32" hidden="1" x14ac:dyDescent="0.2">
      <c r="A681" s="103" t="s">
        <v>749</v>
      </c>
      <c r="B681" s="103" t="s">
        <v>748</v>
      </c>
      <c r="C681" s="103" t="s">
        <v>2834</v>
      </c>
      <c r="D681" s="103" t="s">
        <v>2848</v>
      </c>
      <c r="E681" s="103" t="s">
        <v>2244</v>
      </c>
      <c r="F681" s="103" t="s">
        <v>2202</v>
      </c>
      <c r="G681" s="103">
        <v>200</v>
      </c>
      <c r="H681" s="103" t="s">
        <v>2168</v>
      </c>
      <c r="I681" s="103" t="s">
        <v>2153</v>
      </c>
      <c r="M681" s="103">
        <v>200</v>
      </c>
      <c r="N681" s="103" t="s">
        <v>2260</v>
      </c>
      <c r="O681" s="103">
        <v>200</v>
      </c>
      <c r="P681" s="103" t="s">
        <v>2001</v>
      </c>
      <c r="Q681" s="103" t="s">
        <v>2236</v>
      </c>
      <c r="R681" s="103" t="s">
        <v>2225</v>
      </c>
      <c r="S681" s="103" t="s">
        <v>2422</v>
      </c>
      <c r="U681" s="103">
        <v>96.6</v>
      </c>
      <c r="V681" s="103" t="s">
        <v>2262</v>
      </c>
      <c r="W681" s="103" t="s">
        <v>106</v>
      </c>
      <c r="X681" s="103" t="s">
        <v>1597</v>
      </c>
      <c r="Y681" s="103" t="s">
        <v>1685</v>
      </c>
      <c r="AA681" s="103" t="s">
        <v>2225</v>
      </c>
      <c r="AB681" s="103" t="s">
        <v>64</v>
      </c>
      <c r="AE681" s="103" t="s">
        <v>750</v>
      </c>
      <c r="AF681" s="103" t="b">
        <v>1</v>
      </c>
    </row>
    <row r="682" spans="1:32" hidden="1" x14ac:dyDescent="0.2">
      <c r="A682" s="103" t="s">
        <v>749</v>
      </c>
      <c r="B682" s="103" t="s">
        <v>748</v>
      </c>
      <c r="C682" s="103" t="s">
        <v>2834</v>
      </c>
      <c r="D682" s="103" t="s">
        <v>2849</v>
      </c>
      <c r="E682" s="103" t="s">
        <v>2196</v>
      </c>
      <c r="F682" s="103" t="s">
        <v>2202</v>
      </c>
      <c r="G682" s="103">
        <v>150</v>
      </c>
      <c r="H682" s="103" t="s">
        <v>2168</v>
      </c>
      <c r="I682" s="103" t="s">
        <v>2153</v>
      </c>
      <c r="L682" s="103">
        <v>75</v>
      </c>
      <c r="M682" s="103">
        <v>75</v>
      </c>
      <c r="N682" s="103" t="s">
        <v>2273</v>
      </c>
      <c r="O682" s="103">
        <v>150</v>
      </c>
      <c r="P682" s="103" t="s">
        <v>1232</v>
      </c>
      <c r="Q682" s="103" t="s">
        <v>2236</v>
      </c>
      <c r="R682" s="103" t="s">
        <v>121</v>
      </c>
      <c r="S682" s="103" t="s">
        <v>2427</v>
      </c>
      <c r="U682" s="103">
        <v>76.95</v>
      </c>
      <c r="V682" s="103" t="s">
        <v>2262</v>
      </c>
      <c r="W682" s="103" t="s">
        <v>121</v>
      </c>
      <c r="X682" s="103" t="s">
        <v>1597</v>
      </c>
      <c r="Y682" s="103" t="s">
        <v>1685</v>
      </c>
      <c r="AA682" s="103" t="s">
        <v>121</v>
      </c>
      <c r="AB682" s="103" t="s">
        <v>64</v>
      </c>
      <c r="AE682" s="103" t="s">
        <v>750</v>
      </c>
      <c r="AF682" s="103" t="b">
        <v>1</v>
      </c>
    </row>
    <row r="683" spans="1:32" hidden="1" x14ac:dyDescent="0.2">
      <c r="A683" s="103" t="s">
        <v>749</v>
      </c>
      <c r="B683" s="103" t="s">
        <v>748</v>
      </c>
      <c r="C683" s="103" t="s">
        <v>2834</v>
      </c>
      <c r="D683" s="103" t="s">
        <v>2850</v>
      </c>
      <c r="E683" s="103" t="s">
        <v>2242</v>
      </c>
      <c r="F683" s="103" t="s">
        <v>2162</v>
      </c>
      <c r="G683" s="103">
        <v>20</v>
      </c>
      <c r="H683" s="103" t="s">
        <v>2168</v>
      </c>
      <c r="I683" s="103" t="s">
        <v>2153</v>
      </c>
      <c r="J683" s="103">
        <v>0</v>
      </c>
      <c r="K683" s="103">
        <v>0</v>
      </c>
      <c r="L683" s="103">
        <v>0</v>
      </c>
      <c r="M683" s="103">
        <v>20</v>
      </c>
      <c r="N683" s="103" t="s">
        <v>2273</v>
      </c>
      <c r="O683" s="103">
        <v>20</v>
      </c>
      <c r="P683" s="103" t="s">
        <v>1232</v>
      </c>
      <c r="Q683" s="103" t="s">
        <v>2236</v>
      </c>
      <c r="R683" s="103" t="s">
        <v>2225</v>
      </c>
      <c r="S683" s="103" t="s">
        <v>2422</v>
      </c>
      <c r="U683" s="103">
        <v>9.66</v>
      </c>
      <c r="V683" s="103" t="s">
        <v>2262</v>
      </c>
      <c r="W683" s="103" t="s">
        <v>106</v>
      </c>
      <c r="X683" s="103" t="s">
        <v>1597</v>
      </c>
      <c r="Y683" s="103" t="s">
        <v>1685</v>
      </c>
      <c r="AA683" s="103" t="s">
        <v>2225</v>
      </c>
      <c r="AB683" s="103" t="s">
        <v>64</v>
      </c>
      <c r="AE683" s="103" t="s">
        <v>750</v>
      </c>
      <c r="AF683" s="103" t="b">
        <v>1</v>
      </c>
    </row>
    <row r="684" spans="1:32" hidden="1" x14ac:dyDescent="0.2">
      <c r="A684" s="103" t="s">
        <v>749</v>
      </c>
      <c r="B684" s="103" t="s">
        <v>748</v>
      </c>
      <c r="C684" s="103" t="s">
        <v>2834</v>
      </c>
      <c r="D684" s="103" t="s">
        <v>2851</v>
      </c>
      <c r="E684" s="103" t="s">
        <v>2242</v>
      </c>
      <c r="F684" s="103" t="s">
        <v>2162</v>
      </c>
      <c r="G684" s="103">
        <v>20</v>
      </c>
      <c r="H684" s="103" t="s">
        <v>2168</v>
      </c>
      <c r="I684" s="103" t="s">
        <v>2153</v>
      </c>
      <c r="M684" s="103">
        <v>20</v>
      </c>
      <c r="N684" s="103" t="s">
        <v>2273</v>
      </c>
      <c r="O684" s="103">
        <v>20</v>
      </c>
      <c r="P684" s="103" t="s">
        <v>1232</v>
      </c>
      <c r="Q684" s="103" t="s">
        <v>2236</v>
      </c>
      <c r="R684" s="103" t="s">
        <v>2225</v>
      </c>
      <c r="S684" s="103" t="s">
        <v>2422</v>
      </c>
      <c r="U684" s="103">
        <v>9.66</v>
      </c>
      <c r="V684" s="103" t="s">
        <v>2262</v>
      </c>
      <c r="W684" s="103" t="s">
        <v>106</v>
      </c>
      <c r="X684" s="103" t="s">
        <v>1597</v>
      </c>
      <c r="Y684" s="103" t="s">
        <v>1685</v>
      </c>
      <c r="AA684" s="103" t="s">
        <v>2225</v>
      </c>
      <c r="AB684" s="103" t="s">
        <v>64</v>
      </c>
      <c r="AE684" s="103" t="s">
        <v>750</v>
      </c>
      <c r="AF684" s="103" t="b">
        <v>1</v>
      </c>
    </row>
    <row r="685" spans="1:32" hidden="1" x14ac:dyDescent="0.2">
      <c r="A685" s="103" t="s">
        <v>749</v>
      </c>
      <c r="B685" s="103" t="s">
        <v>748</v>
      </c>
      <c r="C685" s="103" t="s">
        <v>2834</v>
      </c>
      <c r="D685" s="103" t="s">
        <v>2428</v>
      </c>
      <c r="E685" s="103" t="s">
        <v>2586</v>
      </c>
      <c r="G685" s="103">
        <v>20</v>
      </c>
      <c r="H685" s="103" t="s">
        <v>2152</v>
      </c>
      <c r="I685" s="103" t="s">
        <v>2153</v>
      </c>
      <c r="J685" s="103">
        <v>5</v>
      </c>
      <c r="K685" s="103">
        <v>5</v>
      </c>
      <c r="L685" s="103">
        <v>5</v>
      </c>
      <c r="M685" s="103">
        <v>5</v>
      </c>
      <c r="N685" s="103" t="s">
        <v>2163</v>
      </c>
      <c r="O685" s="103">
        <v>20</v>
      </c>
      <c r="P685" s="103" t="s">
        <v>2001</v>
      </c>
      <c r="Q685" s="103" t="s">
        <v>2236</v>
      </c>
      <c r="R685" s="103" t="s">
        <v>2164</v>
      </c>
      <c r="U685" s="103">
        <v>12</v>
      </c>
      <c r="V685" s="103" t="s">
        <v>2158</v>
      </c>
      <c r="W685" s="103" t="s">
        <v>132</v>
      </c>
      <c r="X685" s="103" t="s">
        <v>1597</v>
      </c>
      <c r="Y685" s="103" t="s">
        <v>1685</v>
      </c>
      <c r="AA685" s="103" t="s">
        <v>2164</v>
      </c>
      <c r="AB685" s="103" t="s">
        <v>64</v>
      </c>
      <c r="AE685" s="103" t="s">
        <v>750</v>
      </c>
      <c r="AF685" s="103" t="b">
        <v>1</v>
      </c>
    </row>
    <row r="686" spans="1:32" hidden="1" x14ac:dyDescent="0.2">
      <c r="A686" s="103" t="s">
        <v>778</v>
      </c>
      <c r="B686" s="103" t="s">
        <v>777</v>
      </c>
      <c r="C686" s="103" t="s">
        <v>2852</v>
      </c>
      <c r="D686" s="103" t="s">
        <v>2853</v>
      </c>
      <c r="E686" s="103" t="s">
        <v>2346</v>
      </c>
      <c r="F686" s="103" t="s">
        <v>2202</v>
      </c>
      <c r="G686" s="103">
        <v>200</v>
      </c>
      <c r="H686" s="103" t="s">
        <v>2168</v>
      </c>
      <c r="I686" s="103" t="s">
        <v>2153</v>
      </c>
      <c r="J686" s="103">
        <v>50</v>
      </c>
      <c r="K686" s="103">
        <v>50</v>
      </c>
      <c r="L686" s="103">
        <v>75</v>
      </c>
      <c r="M686" s="103">
        <v>25</v>
      </c>
      <c r="N686" s="103" t="s">
        <v>2163</v>
      </c>
      <c r="O686" s="103">
        <v>200</v>
      </c>
      <c r="P686" s="103" t="s">
        <v>791</v>
      </c>
      <c r="Q686" s="103" t="s">
        <v>2155</v>
      </c>
      <c r="R686" s="103" t="s">
        <v>2220</v>
      </c>
      <c r="S686" s="103" t="s">
        <v>2209</v>
      </c>
      <c r="T686" s="103" t="s">
        <v>2854</v>
      </c>
      <c r="U686" s="103">
        <v>102.6</v>
      </c>
      <c r="V686" s="103" t="s">
        <v>2158</v>
      </c>
      <c r="W686" s="103" t="s">
        <v>116</v>
      </c>
      <c r="X686" s="103" t="s">
        <v>1597</v>
      </c>
      <c r="Y686" s="103" t="s">
        <v>1685</v>
      </c>
      <c r="AA686" s="103" t="s">
        <v>2220</v>
      </c>
      <c r="AB686" s="103" t="s">
        <v>71</v>
      </c>
      <c r="AE686" s="103" t="s">
        <v>810</v>
      </c>
      <c r="AF686" s="103" t="b">
        <v>1</v>
      </c>
    </row>
    <row r="687" spans="1:32" hidden="1" x14ac:dyDescent="0.2">
      <c r="A687" s="103" t="s">
        <v>778</v>
      </c>
      <c r="B687" s="103" t="s">
        <v>777</v>
      </c>
      <c r="C687" s="103" t="s">
        <v>2855</v>
      </c>
      <c r="E687" s="103" t="s">
        <v>2346</v>
      </c>
      <c r="F687" s="103" t="s">
        <v>2202</v>
      </c>
      <c r="G687" s="103">
        <v>200</v>
      </c>
      <c r="H687" s="103" t="s">
        <v>2168</v>
      </c>
      <c r="I687" s="103" t="s">
        <v>2153</v>
      </c>
      <c r="L687" s="103">
        <v>100</v>
      </c>
      <c r="M687" s="103">
        <v>100</v>
      </c>
      <c r="N687" s="103" t="s">
        <v>2273</v>
      </c>
      <c r="O687" s="103">
        <v>200</v>
      </c>
      <c r="P687" s="103" t="s">
        <v>791</v>
      </c>
      <c r="Q687" s="103" t="s">
        <v>2155</v>
      </c>
      <c r="R687" s="103" t="s">
        <v>2220</v>
      </c>
      <c r="S687" s="103" t="s">
        <v>2238</v>
      </c>
      <c r="U687" s="103">
        <v>102.6</v>
      </c>
      <c r="V687" s="103" t="s">
        <v>2262</v>
      </c>
      <c r="W687" s="103" t="s">
        <v>116</v>
      </c>
      <c r="X687" s="103" t="s">
        <v>1597</v>
      </c>
      <c r="Y687" s="103" t="s">
        <v>1685</v>
      </c>
      <c r="AA687" s="103" t="s">
        <v>2220</v>
      </c>
      <c r="AB687" s="103" t="s">
        <v>71</v>
      </c>
      <c r="AE687" s="103" t="s">
        <v>810</v>
      </c>
      <c r="AF687" s="103" t="b">
        <v>1</v>
      </c>
    </row>
    <row r="688" spans="1:32" hidden="1" x14ac:dyDescent="0.2">
      <c r="A688" s="103" t="s">
        <v>785</v>
      </c>
      <c r="B688" s="103" t="s">
        <v>784</v>
      </c>
      <c r="C688" s="103" t="s">
        <v>2856</v>
      </c>
      <c r="E688" s="103" t="s">
        <v>2196</v>
      </c>
      <c r="F688" s="103" t="s">
        <v>2162</v>
      </c>
      <c r="G688" s="103">
        <v>50</v>
      </c>
      <c r="H688" s="103" t="s">
        <v>2168</v>
      </c>
      <c r="I688" s="103" t="s">
        <v>2153</v>
      </c>
      <c r="K688" s="103">
        <v>50</v>
      </c>
      <c r="N688" s="103" t="s">
        <v>2163</v>
      </c>
      <c r="O688" s="103">
        <v>50</v>
      </c>
      <c r="P688" s="103" t="s">
        <v>1609</v>
      </c>
      <c r="Q688" s="103" t="s">
        <v>2155</v>
      </c>
      <c r="R688" s="103" t="s">
        <v>121</v>
      </c>
      <c r="S688" s="103" t="s">
        <v>2427</v>
      </c>
      <c r="U688" s="103">
        <v>25.65</v>
      </c>
      <c r="V688" s="103" t="s">
        <v>2158</v>
      </c>
      <c r="W688" s="103" t="s">
        <v>121</v>
      </c>
      <c r="X688" s="103" t="s">
        <v>1597</v>
      </c>
      <c r="Y688" s="103" t="s">
        <v>1685</v>
      </c>
      <c r="AA688" s="103" t="s">
        <v>121</v>
      </c>
      <c r="AB688" s="103" t="s">
        <v>71</v>
      </c>
      <c r="AE688" s="103" t="s">
        <v>898</v>
      </c>
      <c r="AF688" s="103" t="b">
        <v>1</v>
      </c>
    </row>
    <row r="689" spans="1:32" hidden="1" x14ac:dyDescent="0.2">
      <c r="A689" s="103" t="s">
        <v>915</v>
      </c>
      <c r="B689" s="103" t="s">
        <v>914</v>
      </c>
      <c r="C689" s="103" t="s">
        <v>2857</v>
      </c>
      <c r="D689" s="103" t="s">
        <v>2858</v>
      </c>
      <c r="E689" s="103" t="s">
        <v>2378</v>
      </c>
      <c r="F689" s="103" t="s">
        <v>2162</v>
      </c>
      <c r="G689" s="103">
        <v>50</v>
      </c>
      <c r="H689" s="103" t="s">
        <v>2168</v>
      </c>
      <c r="I689" s="103" t="s">
        <v>2153</v>
      </c>
      <c r="L689" s="103">
        <v>20</v>
      </c>
      <c r="M689" s="103">
        <v>30</v>
      </c>
      <c r="N689" s="103" t="s">
        <v>2163</v>
      </c>
      <c r="O689" s="103">
        <v>50</v>
      </c>
      <c r="P689" s="103" t="s">
        <v>1624</v>
      </c>
      <c r="Q689" s="103" t="s">
        <v>2155</v>
      </c>
      <c r="R689" s="103" t="s">
        <v>2220</v>
      </c>
      <c r="S689" s="103" t="s">
        <v>2157</v>
      </c>
      <c r="U689" s="103">
        <v>25.65</v>
      </c>
      <c r="V689" s="103" t="s">
        <v>2158</v>
      </c>
      <c r="W689" s="103" t="s">
        <v>108</v>
      </c>
      <c r="X689" s="103" t="s">
        <v>1736</v>
      </c>
      <c r="Y689" s="103" t="s">
        <v>3848</v>
      </c>
      <c r="AA689" s="103" t="s">
        <v>2220</v>
      </c>
      <c r="AB689" s="103" t="s">
        <v>71</v>
      </c>
      <c r="AE689" s="103" t="s">
        <v>810</v>
      </c>
      <c r="AF689" s="103" t="b">
        <v>1</v>
      </c>
    </row>
    <row r="690" spans="1:32" hidden="1" x14ac:dyDescent="0.2">
      <c r="A690" s="103" t="s">
        <v>915</v>
      </c>
      <c r="B690" s="103" t="s">
        <v>914</v>
      </c>
      <c r="C690" s="103" t="s">
        <v>2857</v>
      </c>
      <c r="D690" s="103" t="s">
        <v>2859</v>
      </c>
      <c r="E690" s="103" t="s">
        <v>2266</v>
      </c>
      <c r="F690" s="103" t="s">
        <v>2162</v>
      </c>
      <c r="G690" s="103">
        <v>50</v>
      </c>
      <c r="H690" s="103" t="s">
        <v>2168</v>
      </c>
      <c r="I690" s="103" t="s">
        <v>2153</v>
      </c>
      <c r="L690" s="103">
        <v>20</v>
      </c>
      <c r="M690" s="103">
        <v>30</v>
      </c>
      <c r="N690" s="103" t="s">
        <v>2163</v>
      </c>
      <c r="O690" s="103">
        <v>50</v>
      </c>
      <c r="P690" s="103" t="s">
        <v>1624</v>
      </c>
      <c r="Q690" s="103" t="s">
        <v>2155</v>
      </c>
      <c r="R690" s="103" t="s">
        <v>2220</v>
      </c>
      <c r="S690" s="103" t="s">
        <v>2157</v>
      </c>
      <c r="U690" s="103">
        <v>25.65</v>
      </c>
      <c r="V690" s="103" t="s">
        <v>2158</v>
      </c>
      <c r="W690" s="103" t="s">
        <v>108</v>
      </c>
      <c r="X690" s="103" t="s">
        <v>1736</v>
      </c>
      <c r="Y690" s="103" t="s">
        <v>3848</v>
      </c>
      <c r="AA690" s="103" t="s">
        <v>2220</v>
      </c>
      <c r="AB690" s="103" t="s">
        <v>71</v>
      </c>
      <c r="AE690" s="103" t="s">
        <v>810</v>
      </c>
      <c r="AF690" s="103" t="b">
        <v>1</v>
      </c>
    </row>
    <row r="691" spans="1:32" hidden="1" x14ac:dyDescent="0.2">
      <c r="A691" s="103" t="s">
        <v>915</v>
      </c>
      <c r="B691" s="103" t="s">
        <v>914</v>
      </c>
      <c r="C691" s="103" t="s">
        <v>2857</v>
      </c>
      <c r="D691" s="103" t="s">
        <v>2860</v>
      </c>
      <c r="E691" s="103" t="s">
        <v>2350</v>
      </c>
      <c r="F691" s="103" t="s">
        <v>2162</v>
      </c>
      <c r="G691" s="103">
        <v>50</v>
      </c>
      <c r="H691" s="103" t="s">
        <v>2168</v>
      </c>
      <c r="I691" s="103" t="s">
        <v>2153</v>
      </c>
      <c r="K691" s="103">
        <v>20</v>
      </c>
      <c r="L691" s="103">
        <v>30</v>
      </c>
      <c r="N691" s="103" t="s">
        <v>2163</v>
      </c>
      <c r="O691" s="103">
        <v>50</v>
      </c>
      <c r="P691" s="103" t="s">
        <v>1624</v>
      </c>
      <c r="Q691" s="103" t="s">
        <v>2155</v>
      </c>
      <c r="R691" s="103" t="s">
        <v>2220</v>
      </c>
      <c r="S691" s="103" t="s">
        <v>2157</v>
      </c>
      <c r="U691" s="103">
        <v>25.65</v>
      </c>
      <c r="V691" s="103" t="s">
        <v>2158</v>
      </c>
      <c r="W691" s="103" t="s">
        <v>108</v>
      </c>
      <c r="X691" s="103" t="s">
        <v>1736</v>
      </c>
      <c r="Y691" s="103" t="s">
        <v>3848</v>
      </c>
      <c r="AA691" s="103" t="s">
        <v>2220</v>
      </c>
      <c r="AB691" s="103" t="s">
        <v>71</v>
      </c>
      <c r="AE691" s="103" t="s">
        <v>810</v>
      </c>
      <c r="AF691" s="103" t="b">
        <v>1</v>
      </c>
    </row>
    <row r="692" spans="1:32" hidden="1" x14ac:dyDescent="0.2">
      <c r="A692" s="103" t="s">
        <v>915</v>
      </c>
      <c r="B692" s="103" t="s">
        <v>914</v>
      </c>
      <c r="C692" s="103" t="s">
        <v>2857</v>
      </c>
      <c r="D692" s="103" t="s">
        <v>2861</v>
      </c>
      <c r="E692" s="103" t="s">
        <v>2264</v>
      </c>
      <c r="F692" s="103" t="s">
        <v>2162</v>
      </c>
      <c r="G692" s="103">
        <v>50</v>
      </c>
      <c r="H692" s="103" t="s">
        <v>2168</v>
      </c>
      <c r="I692" s="103" t="s">
        <v>2153</v>
      </c>
      <c r="L692" s="103">
        <v>20</v>
      </c>
      <c r="M692" s="103">
        <v>30</v>
      </c>
      <c r="N692" s="103" t="s">
        <v>2163</v>
      </c>
      <c r="O692" s="103">
        <v>50</v>
      </c>
      <c r="P692" s="103" t="s">
        <v>1624</v>
      </c>
      <c r="Q692" s="103" t="s">
        <v>2155</v>
      </c>
      <c r="R692" s="103" t="s">
        <v>2220</v>
      </c>
      <c r="S692" s="103" t="s">
        <v>2157</v>
      </c>
      <c r="U692" s="103">
        <v>25.65</v>
      </c>
      <c r="V692" s="103" t="s">
        <v>2158</v>
      </c>
      <c r="W692" s="103" t="s">
        <v>108</v>
      </c>
      <c r="X692" s="103" t="s">
        <v>1736</v>
      </c>
      <c r="Y692" s="103" t="s">
        <v>3848</v>
      </c>
      <c r="AA692" s="103" t="s">
        <v>2220</v>
      </c>
      <c r="AB692" s="103" t="s">
        <v>71</v>
      </c>
      <c r="AE692" s="103" t="s">
        <v>810</v>
      </c>
      <c r="AF692" s="103" t="b">
        <v>1</v>
      </c>
    </row>
    <row r="693" spans="1:32" hidden="1" x14ac:dyDescent="0.2">
      <c r="A693" s="103" t="s">
        <v>995</v>
      </c>
      <c r="B693" s="103" t="s">
        <v>994</v>
      </c>
      <c r="C693" s="103" t="s">
        <v>2805</v>
      </c>
      <c r="E693" s="103" t="s">
        <v>2292</v>
      </c>
      <c r="F693" s="103" t="s">
        <v>2175</v>
      </c>
      <c r="G693" s="103">
        <v>10</v>
      </c>
      <c r="H693" s="103" t="s">
        <v>2152</v>
      </c>
      <c r="I693" s="103" t="s">
        <v>2153</v>
      </c>
      <c r="L693" s="103">
        <v>10</v>
      </c>
      <c r="N693" s="103" t="s">
        <v>2260</v>
      </c>
      <c r="O693" s="103">
        <v>0</v>
      </c>
      <c r="P693" s="103" t="s">
        <v>2549</v>
      </c>
      <c r="Q693" s="103" t="s">
        <v>2296</v>
      </c>
      <c r="R693" s="103" t="s">
        <v>2220</v>
      </c>
      <c r="S693" s="103" t="s">
        <v>2157</v>
      </c>
      <c r="U693" s="103">
        <v>5.13</v>
      </c>
      <c r="V693" s="103" t="s">
        <v>2262</v>
      </c>
      <c r="W693" s="103" t="s">
        <v>108</v>
      </c>
      <c r="X693" s="103" t="s">
        <v>1736</v>
      </c>
      <c r="Y693" s="103" t="s">
        <v>3848</v>
      </c>
      <c r="AA693" s="103" t="s">
        <v>2220</v>
      </c>
      <c r="AB693" s="103" t="s">
        <v>71</v>
      </c>
      <c r="AE693" s="103" t="s">
        <v>810</v>
      </c>
      <c r="AF693" s="103" t="b">
        <v>1</v>
      </c>
    </row>
    <row r="694" spans="1:32" hidden="1" x14ac:dyDescent="0.2">
      <c r="A694" s="103" t="s">
        <v>995</v>
      </c>
      <c r="B694" s="103" t="s">
        <v>994</v>
      </c>
      <c r="C694" s="103" t="s">
        <v>2805</v>
      </c>
      <c r="E694" s="103" t="s">
        <v>2694</v>
      </c>
      <c r="F694" s="103" t="s">
        <v>2175</v>
      </c>
      <c r="G694" s="103">
        <v>10</v>
      </c>
      <c r="H694" s="103" t="s">
        <v>2152</v>
      </c>
      <c r="I694" s="103" t="s">
        <v>2153</v>
      </c>
      <c r="L694" s="103">
        <v>10</v>
      </c>
      <c r="N694" s="103" t="s">
        <v>2260</v>
      </c>
      <c r="O694" s="103">
        <v>10</v>
      </c>
      <c r="P694" s="103" t="s">
        <v>2549</v>
      </c>
      <c r="Q694" s="103" t="s">
        <v>2296</v>
      </c>
      <c r="R694" s="103" t="s">
        <v>2220</v>
      </c>
      <c r="S694" s="103" t="s">
        <v>2157</v>
      </c>
      <c r="U694" s="103">
        <v>5.13</v>
      </c>
      <c r="V694" s="103" t="s">
        <v>2262</v>
      </c>
      <c r="W694" s="103" t="s">
        <v>108</v>
      </c>
      <c r="X694" s="103" t="s">
        <v>1736</v>
      </c>
      <c r="Y694" s="103" t="s">
        <v>3848</v>
      </c>
      <c r="AA694" s="103" t="s">
        <v>2220</v>
      </c>
      <c r="AB694" s="103" t="s">
        <v>71</v>
      </c>
      <c r="AE694" s="103" t="s">
        <v>810</v>
      </c>
      <c r="AF694" s="103" t="b">
        <v>1</v>
      </c>
    </row>
    <row r="695" spans="1:32" hidden="1" x14ac:dyDescent="0.2">
      <c r="A695" s="103" t="s">
        <v>923</v>
      </c>
      <c r="B695" s="103" t="s">
        <v>922</v>
      </c>
      <c r="C695" s="103" t="s">
        <v>3193</v>
      </c>
      <c r="E695" s="103" t="s">
        <v>2242</v>
      </c>
      <c r="F695" s="103" t="s">
        <v>2162</v>
      </c>
      <c r="G695" s="103">
        <v>20</v>
      </c>
      <c r="H695" s="103" t="s">
        <v>2168</v>
      </c>
      <c r="I695" s="103" t="s">
        <v>2153</v>
      </c>
      <c r="K695" s="103">
        <v>20</v>
      </c>
      <c r="N695" s="103" t="s">
        <v>2163</v>
      </c>
      <c r="O695" s="103">
        <v>20</v>
      </c>
      <c r="P695" s="103" t="s">
        <v>1609</v>
      </c>
      <c r="Q695" s="103" t="s">
        <v>2236</v>
      </c>
      <c r="R695" s="103" t="s">
        <v>2225</v>
      </c>
      <c r="S695" s="103" t="s">
        <v>2422</v>
      </c>
      <c r="U695" s="103">
        <v>9.66</v>
      </c>
      <c r="V695" s="103" t="s">
        <v>2158</v>
      </c>
      <c r="W695" s="103" t="s">
        <v>106</v>
      </c>
      <c r="X695" s="103" t="s">
        <v>1597</v>
      </c>
      <c r="Y695" s="103" t="s">
        <v>1685</v>
      </c>
      <c r="AA695" s="103" t="s">
        <v>2225</v>
      </c>
      <c r="AB695" s="103" t="s">
        <v>64</v>
      </c>
      <c r="AE695" s="103" t="s">
        <v>750</v>
      </c>
      <c r="AF695" s="103" t="b">
        <v>1</v>
      </c>
    </row>
    <row r="696" spans="1:32" hidden="1" x14ac:dyDescent="0.2">
      <c r="A696" s="103" t="s">
        <v>925</v>
      </c>
      <c r="B696" s="103" t="s">
        <v>924</v>
      </c>
      <c r="C696" s="103" t="s">
        <v>3194</v>
      </c>
      <c r="E696" s="103" t="s">
        <v>2642</v>
      </c>
      <c r="F696" s="103" t="s">
        <v>2232</v>
      </c>
      <c r="G696" s="103">
        <v>300</v>
      </c>
      <c r="H696" s="103" t="s">
        <v>2168</v>
      </c>
      <c r="I696" s="103" t="s">
        <v>2153</v>
      </c>
      <c r="J696" s="103">
        <v>150</v>
      </c>
      <c r="K696" s="103">
        <v>150</v>
      </c>
      <c r="N696" s="103" t="s">
        <v>2163</v>
      </c>
      <c r="O696" s="103">
        <v>300</v>
      </c>
      <c r="P696" s="103" t="s">
        <v>1609</v>
      </c>
      <c r="Q696" s="103" t="s">
        <v>2155</v>
      </c>
      <c r="R696" s="103" t="s">
        <v>2225</v>
      </c>
      <c r="S696" s="103" t="s">
        <v>2238</v>
      </c>
      <c r="U696" s="103">
        <v>144.9</v>
      </c>
      <c r="V696" s="103" t="s">
        <v>2158</v>
      </c>
      <c r="W696" s="103" t="s">
        <v>106</v>
      </c>
      <c r="X696" s="103" t="s">
        <v>1685</v>
      </c>
      <c r="Y696" s="103" t="s">
        <v>1685</v>
      </c>
      <c r="AA696" s="103" t="s">
        <v>2225</v>
      </c>
      <c r="AB696" s="103" t="s">
        <v>64</v>
      </c>
      <c r="AE696" s="103" t="s">
        <v>750</v>
      </c>
      <c r="AF696" s="103" t="b">
        <v>1</v>
      </c>
    </row>
    <row r="697" spans="1:32" hidden="1" x14ac:dyDescent="0.2">
      <c r="A697" s="103" t="s">
        <v>1419</v>
      </c>
      <c r="B697" s="103" t="s">
        <v>1418</v>
      </c>
      <c r="C697" s="103" t="s">
        <v>3674</v>
      </c>
      <c r="D697" s="103" t="s">
        <v>3675</v>
      </c>
      <c r="E697" s="103" t="s">
        <v>2421</v>
      </c>
      <c r="F697" s="103" t="s">
        <v>2162</v>
      </c>
      <c r="G697" s="103">
        <v>50</v>
      </c>
      <c r="H697" s="103" t="s">
        <v>2168</v>
      </c>
      <c r="I697" s="103" t="s">
        <v>2153</v>
      </c>
      <c r="J697" s="103">
        <v>50</v>
      </c>
      <c r="N697" s="103" t="s">
        <v>2163</v>
      </c>
      <c r="O697" s="103">
        <v>50</v>
      </c>
      <c r="P697" s="103" t="s">
        <v>1609</v>
      </c>
      <c r="Q697" s="103" t="s">
        <v>1393</v>
      </c>
      <c r="R697" s="103" t="s">
        <v>2225</v>
      </c>
      <c r="S697" s="103" t="s">
        <v>2238</v>
      </c>
      <c r="U697" s="103">
        <v>24.15</v>
      </c>
      <c r="V697" s="103" t="s">
        <v>2158</v>
      </c>
      <c r="W697" s="103" t="s">
        <v>106</v>
      </c>
      <c r="X697" s="103" t="s">
        <v>345</v>
      </c>
      <c r="Y697" s="103" t="s">
        <v>2240</v>
      </c>
      <c r="AA697" s="103" t="s">
        <v>2225</v>
      </c>
      <c r="AB697" s="103" t="s">
        <v>74</v>
      </c>
      <c r="AE697" s="103" t="s">
        <v>1671</v>
      </c>
      <c r="AF697" s="103" t="b">
        <v>1</v>
      </c>
    </row>
    <row r="698" spans="1:32" hidden="1" x14ac:dyDescent="0.2">
      <c r="A698" s="103" t="s">
        <v>995</v>
      </c>
      <c r="B698" s="103" t="s">
        <v>994</v>
      </c>
      <c r="C698" s="103" t="s">
        <v>2867</v>
      </c>
      <c r="D698" s="103" t="s">
        <v>2804</v>
      </c>
      <c r="E698" s="103" t="s">
        <v>2366</v>
      </c>
      <c r="F698" s="103" t="s">
        <v>2175</v>
      </c>
      <c r="G698" s="103">
        <v>10</v>
      </c>
      <c r="H698" s="103" t="s">
        <v>2152</v>
      </c>
      <c r="I698" s="103" t="s">
        <v>2153</v>
      </c>
      <c r="K698" s="103">
        <v>10</v>
      </c>
      <c r="N698" s="103" t="s">
        <v>2163</v>
      </c>
      <c r="O698" s="103">
        <v>10</v>
      </c>
      <c r="P698" s="103" t="s">
        <v>2549</v>
      </c>
      <c r="Q698" s="103" t="s">
        <v>2387</v>
      </c>
      <c r="R698" s="103" t="s">
        <v>2220</v>
      </c>
      <c r="S698" s="103" t="s">
        <v>2157</v>
      </c>
      <c r="U698" s="103">
        <v>5.13</v>
      </c>
      <c r="V698" s="103" t="s">
        <v>2158</v>
      </c>
      <c r="W698" s="103" t="s">
        <v>108</v>
      </c>
      <c r="X698" s="103" t="s">
        <v>1736</v>
      </c>
      <c r="Y698" s="103" t="s">
        <v>3848</v>
      </c>
      <c r="AA698" s="103" t="s">
        <v>2220</v>
      </c>
      <c r="AB698" s="103" t="s">
        <v>71</v>
      </c>
      <c r="AE698" s="103" t="s">
        <v>810</v>
      </c>
      <c r="AF698" s="103" t="b">
        <v>1</v>
      </c>
    </row>
    <row r="699" spans="1:32" hidden="1" x14ac:dyDescent="0.2">
      <c r="A699" s="103" t="s">
        <v>785</v>
      </c>
      <c r="B699" s="103" t="s">
        <v>784</v>
      </c>
      <c r="C699" s="103" t="s">
        <v>2868</v>
      </c>
      <c r="D699" s="103" t="s">
        <v>2869</v>
      </c>
      <c r="E699" s="103" t="s">
        <v>2219</v>
      </c>
      <c r="F699" s="103" t="s">
        <v>2162</v>
      </c>
      <c r="G699" s="103">
        <v>75</v>
      </c>
      <c r="H699" s="103" t="s">
        <v>2168</v>
      </c>
      <c r="I699" s="103" t="s">
        <v>2153</v>
      </c>
      <c r="J699" s="103">
        <v>50</v>
      </c>
      <c r="K699" s="103">
        <v>25</v>
      </c>
      <c r="N699" s="103" t="s">
        <v>2163</v>
      </c>
      <c r="O699" s="103">
        <v>75</v>
      </c>
      <c r="P699" s="103" t="s">
        <v>1609</v>
      </c>
      <c r="Q699" s="103" t="s">
        <v>2155</v>
      </c>
      <c r="R699" s="103" t="s">
        <v>2220</v>
      </c>
      <c r="S699" s="103" t="s">
        <v>2870</v>
      </c>
      <c r="T699" s="103" t="s">
        <v>2871</v>
      </c>
      <c r="U699" s="103">
        <v>38.475000000000001</v>
      </c>
      <c r="V699" s="103" t="s">
        <v>2158</v>
      </c>
      <c r="W699" s="103" t="s">
        <v>116</v>
      </c>
      <c r="X699" s="103" t="s">
        <v>1597</v>
      </c>
      <c r="Y699" s="103" t="s">
        <v>1685</v>
      </c>
      <c r="AA699" s="103" t="s">
        <v>2220</v>
      </c>
      <c r="AB699" s="103" t="s">
        <v>71</v>
      </c>
      <c r="AE699" s="103" t="s">
        <v>898</v>
      </c>
      <c r="AF699" s="103" t="b">
        <v>1</v>
      </c>
    </row>
    <row r="700" spans="1:32" hidden="1" x14ac:dyDescent="0.2">
      <c r="A700" s="103" t="s">
        <v>785</v>
      </c>
      <c r="B700" s="103" t="s">
        <v>784</v>
      </c>
      <c r="C700" s="103" t="s">
        <v>2868</v>
      </c>
      <c r="D700" s="103" t="s">
        <v>2869</v>
      </c>
      <c r="E700" s="103" t="s">
        <v>2785</v>
      </c>
      <c r="F700" s="103" t="s">
        <v>2151</v>
      </c>
      <c r="G700" s="103">
        <v>100</v>
      </c>
      <c r="H700" s="103" t="s">
        <v>2168</v>
      </c>
      <c r="I700" s="103" t="s">
        <v>2153</v>
      </c>
      <c r="J700" s="103">
        <v>50</v>
      </c>
      <c r="K700" s="103">
        <v>50</v>
      </c>
      <c r="L700" s="103">
        <v>0</v>
      </c>
      <c r="M700" s="103">
        <v>0</v>
      </c>
      <c r="N700" s="103" t="s">
        <v>2163</v>
      </c>
      <c r="O700" s="103">
        <v>100</v>
      </c>
      <c r="P700" s="103" t="s">
        <v>1609</v>
      </c>
      <c r="Q700" s="103" t="s">
        <v>2155</v>
      </c>
      <c r="R700" s="103" t="s">
        <v>2220</v>
      </c>
      <c r="S700" s="103" t="s">
        <v>2870</v>
      </c>
      <c r="T700" s="103" t="s">
        <v>2872</v>
      </c>
      <c r="U700" s="103">
        <v>51.3</v>
      </c>
      <c r="V700" s="103" t="s">
        <v>2158</v>
      </c>
      <c r="W700" s="103" t="s">
        <v>115</v>
      </c>
      <c r="X700" s="103" t="s">
        <v>1597</v>
      </c>
      <c r="Y700" s="103" t="s">
        <v>1685</v>
      </c>
      <c r="AA700" s="103" t="s">
        <v>2220</v>
      </c>
      <c r="AB700" s="103" t="s">
        <v>71</v>
      </c>
      <c r="AE700" s="103" t="s">
        <v>898</v>
      </c>
      <c r="AF700" s="103" t="b">
        <v>1</v>
      </c>
    </row>
    <row r="701" spans="1:32" hidden="1" x14ac:dyDescent="0.2">
      <c r="A701" s="103" t="s">
        <v>785</v>
      </c>
      <c r="B701" s="103" t="s">
        <v>784</v>
      </c>
      <c r="C701" s="103" t="s">
        <v>2873</v>
      </c>
      <c r="D701" s="103" t="s">
        <v>2874</v>
      </c>
      <c r="E701" s="103" t="s">
        <v>2334</v>
      </c>
      <c r="F701" s="103" t="s">
        <v>2175</v>
      </c>
      <c r="G701" s="103">
        <v>20</v>
      </c>
      <c r="H701" s="103" t="s">
        <v>2168</v>
      </c>
      <c r="I701" s="103" t="s">
        <v>2153</v>
      </c>
      <c r="J701" s="103">
        <v>5</v>
      </c>
      <c r="K701" s="103">
        <v>5</v>
      </c>
      <c r="L701" s="103">
        <v>5</v>
      </c>
      <c r="M701" s="103">
        <v>5</v>
      </c>
      <c r="N701" s="103" t="s">
        <v>2163</v>
      </c>
      <c r="O701" s="103">
        <v>20</v>
      </c>
      <c r="P701" s="103" t="s">
        <v>791</v>
      </c>
      <c r="Q701" s="103" t="s">
        <v>2155</v>
      </c>
      <c r="R701" s="103" t="s">
        <v>2220</v>
      </c>
      <c r="S701" s="103" t="s">
        <v>2870</v>
      </c>
      <c r="U701" s="103">
        <v>10.26</v>
      </c>
      <c r="V701" s="103" t="s">
        <v>2158</v>
      </c>
      <c r="W701" s="103" t="s">
        <v>116</v>
      </c>
      <c r="X701" s="103" t="s">
        <v>1597</v>
      </c>
      <c r="Y701" s="103" t="s">
        <v>1685</v>
      </c>
      <c r="AA701" s="103" t="s">
        <v>2220</v>
      </c>
      <c r="AB701" s="103" t="s">
        <v>71</v>
      </c>
      <c r="AE701" s="103" t="s">
        <v>898</v>
      </c>
      <c r="AF701" s="103" t="b">
        <v>1</v>
      </c>
    </row>
    <row r="702" spans="1:32" hidden="1" x14ac:dyDescent="0.2">
      <c r="A702" s="103" t="s">
        <v>785</v>
      </c>
      <c r="B702" s="103" t="s">
        <v>784</v>
      </c>
      <c r="C702" s="103" t="s">
        <v>2875</v>
      </c>
      <c r="D702" s="103" t="s">
        <v>2876</v>
      </c>
      <c r="E702" s="103" t="s">
        <v>2334</v>
      </c>
      <c r="F702" s="103" t="s">
        <v>2162</v>
      </c>
      <c r="G702" s="103">
        <v>35</v>
      </c>
      <c r="H702" s="103" t="s">
        <v>2152</v>
      </c>
      <c r="I702" s="103" t="s">
        <v>2153</v>
      </c>
      <c r="K702" s="103">
        <v>15</v>
      </c>
      <c r="L702" s="103">
        <v>15</v>
      </c>
      <c r="M702" s="103">
        <v>5</v>
      </c>
      <c r="N702" s="103" t="s">
        <v>2163</v>
      </c>
      <c r="O702" s="103">
        <v>35</v>
      </c>
      <c r="P702" s="103" t="s">
        <v>791</v>
      </c>
      <c r="Q702" s="103" t="s">
        <v>2155</v>
      </c>
      <c r="R702" s="103" t="s">
        <v>2220</v>
      </c>
      <c r="S702" s="103" t="s">
        <v>2870</v>
      </c>
      <c r="U702" s="103">
        <v>17.954999999999998</v>
      </c>
      <c r="V702" s="103" t="s">
        <v>2158</v>
      </c>
      <c r="W702" s="103" t="s">
        <v>116</v>
      </c>
      <c r="X702" s="103" t="s">
        <v>1597</v>
      </c>
      <c r="Y702" s="103" t="s">
        <v>1685</v>
      </c>
      <c r="AA702" s="103" t="s">
        <v>2220</v>
      </c>
      <c r="AB702" s="103" t="s">
        <v>71</v>
      </c>
      <c r="AE702" s="103" t="s">
        <v>898</v>
      </c>
      <c r="AF702" s="103" t="b">
        <v>1</v>
      </c>
    </row>
    <row r="703" spans="1:32" hidden="1" x14ac:dyDescent="0.2">
      <c r="A703" s="103" t="s">
        <v>785</v>
      </c>
      <c r="B703" s="103" t="s">
        <v>784</v>
      </c>
      <c r="C703" s="103" t="s">
        <v>2873</v>
      </c>
      <c r="D703" s="103" t="s">
        <v>2877</v>
      </c>
      <c r="E703" s="103" t="s">
        <v>2792</v>
      </c>
      <c r="F703" s="103" t="s">
        <v>2151</v>
      </c>
      <c r="G703" s="103">
        <v>150</v>
      </c>
      <c r="H703" s="103" t="s">
        <v>2152</v>
      </c>
      <c r="I703" s="103" t="s">
        <v>2153</v>
      </c>
      <c r="J703" s="103">
        <v>50</v>
      </c>
      <c r="K703" s="103">
        <v>50</v>
      </c>
      <c r="L703" s="103">
        <v>50</v>
      </c>
      <c r="N703" s="103" t="s">
        <v>2163</v>
      </c>
      <c r="O703" s="103">
        <v>150</v>
      </c>
      <c r="P703" s="103" t="s">
        <v>791</v>
      </c>
      <c r="Q703" s="103" t="s">
        <v>2155</v>
      </c>
      <c r="R703" s="103" t="s">
        <v>2220</v>
      </c>
      <c r="S703" s="103" t="s">
        <v>2870</v>
      </c>
      <c r="U703" s="103">
        <v>76.95</v>
      </c>
      <c r="V703" s="103" t="s">
        <v>2158</v>
      </c>
      <c r="W703" s="103" t="s">
        <v>116</v>
      </c>
      <c r="X703" s="103" t="s">
        <v>1597</v>
      </c>
      <c r="Y703" s="103" t="s">
        <v>1685</v>
      </c>
      <c r="AA703" s="103" t="s">
        <v>2220</v>
      </c>
      <c r="AB703" s="103" t="s">
        <v>71</v>
      </c>
      <c r="AE703" s="103" t="s">
        <v>898</v>
      </c>
      <c r="AF703" s="103" t="b">
        <v>1</v>
      </c>
    </row>
    <row r="704" spans="1:32" hidden="1" x14ac:dyDescent="0.2">
      <c r="A704" s="103" t="s">
        <v>785</v>
      </c>
      <c r="B704" s="103" t="s">
        <v>784</v>
      </c>
      <c r="C704" s="103" t="s">
        <v>2875</v>
      </c>
      <c r="D704" s="103" t="s">
        <v>2878</v>
      </c>
      <c r="E704" s="103" t="s">
        <v>2792</v>
      </c>
      <c r="F704" s="103" t="s">
        <v>2226</v>
      </c>
      <c r="G704" s="103">
        <v>400</v>
      </c>
      <c r="H704" s="103" t="s">
        <v>2168</v>
      </c>
      <c r="I704" s="103" t="s">
        <v>2153</v>
      </c>
      <c r="J704" s="103">
        <v>50</v>
      </c>
      <c r="K704" s="103">
        <v>125</v>
      </c>
      <c r="L704" s="103">
        <v>150</v>
      </c>
      <c r="M704" s="103">
        <v>75</v>
      </c>
      <c r="N704" s="103" t="s">
        <v>2163</v>
      </c>
      <c r="O704" s="103">
        <v>400</v>
      </c>
      <c r="P704" s="103" t="s">
        <v>791</v>
      </c>
      <c r="Q704" s="103" t="s">
        <v>2155</v>
      </c>
      <c r="R704" s="103" t="s">
        <v>2220</v>
      </c>
      <c r="S704" s="103" t="s">
        <v>2870</v>
      </c>
      <c r="U704" s="103">
        <v>205.2</v>
      </c>
      <c r="V704" s="103" t="s">
        <v>2158</v>
      </c>
      <c r="W704" s="103" t="s">
        <v>116</v>
      </c>
      <c r="X704" s="103" t="s">
        <v>1597</v>
      </c>
      <c r="Y704" s="103" t="s">
        <v>1685</v>
      </c>
      <c r="AA704" s="103" t="s">
        <v>2220</v>
      </c>
      <c r="AB704" s="103" t="s">
        <v>71</v>
      </c>
      <c r="AE704" s="103" t="s">
        <v>898</v>
      </c>
      <c r="AF704" s="103" t="b">
        <v>1</v>
      </c>
    </row>
    <row r="705" spans="1:32" hidden="1" x14ac:dyDescent="0.2">
      <c r="A705" s="103" t="s">
        <v>785</v>
      </c>
      <c r="B705" s="103" t="s">
        <v>784</v>
      </c>
      <c r="C705" s="103" t="s">
        <v>2879</v>
      </c>
      <c r="D705" s="103" t="s">
        <v>2880</v>
      </c>
      <c r="E705" s="103" t="s">
        <v>2334</v>
      </c>
      <c r="F705" s="103" t="s">
        <v>2175</v>
      </c>
      <c r="G705" s="103">
        <v>20</v>
      </c>
      <c r="H705" s="103" t="s">
        <v>2168</v>
      </c>
      <c r="I705" s="103" t="s">
        <v>2153</v>
      </c>
      <c r="J705" s="103">
        <v>5</v>
      </c>
      <c r="K705" s="103">
        <v>5</v>
      </c>
      <c r="L705" s="103">
        <v>5</v>
      </c>
      <c r="M705" s="103">
        <v>5</v>
      </c>
      <c r="N705" s="103" t="s">
        <v>2163</v>
      </c>
      <c r="O705" s="103">
        <v>20</v>
      </c>
      <c r="P705" s="103" t="s">
        <v>791</v>
      </c>
      <c r="Q705" s="103" t="s">
        <v>2155</v>
      </c>
      <c r="R705" s="103" t="s">
        <v>2220</v>
      </c>
      <c r="S705" s="103" t="s">
        <v>2870</v>
      </c>
      <c r="U705" s="103">
        <v>10.26</v>
      </c>
      <c r="V705" s="103" t="s">
        <v>2158</v>
      </c>
      <c r="W705" s="103" t="s">
        <v>116</v>
      </c>
      <c r="X705" s="103" t="s">
        <v>1597</v>
      </c>
      <c r="Y705" s="103" t="s">
        <v>1685</v>
      </c>
      <c r="AA705" s="103" t="s">
        <v>2220</v>
      </c>
      <c r="AB705" s="103" t="s">
        <v>71</v>
      </c>
      <c r="AE705" s="103" t="s">
        <v>898</v>
      </c>
      <c r="AF705" s="103" t="b">
        <v>1</v>
      </c>
    </row>
    <row r="706" spans="1:32" hidden="1" x14ac:dyDescent="0.2">
      <c r="A706" s="103" t="s">
        <v>785</v>
      </c>
      <c r="B706" s="103" t="s">
        <v>784</v>
      </c>
      <c r="C706" s="103" t="s">
        <v>2879</v>
      </c>
      <c r="D706" s="103" t="s">
        <v>2881</v>
      </c>
      <c r="E706" s="103" t="s">
        <v>2792</v>
      </c>
      <c r="F706" s="103" t="s">
        <v>2162</v>
      </c>
      <c r="G706" s="103">
        <v>50</v>
      </c>
      <c r="H706" s="103" t="s">
        <v>2168</v>
      </c>
      <c r="I706" s="103" t="s">
        <v>2153</v>
      </c>
      <c r="J706" s="103">
        <v>14</v>
      </c>
      <c r="K706" s="103">
        <v>12</v>
      </c>
      <c r="L706" s="103">
        <v>12</v>
      </c>
      <c r="M706" s="103">
        <v>12</v>
      </c>
      <c r="N706" s="103" t="s">
        <v>2163</v>
      </c>
      <c r="O706" s="103">
        <v>50</v>
      </c>
      <c r="P706" s="103" t="s">
        <v>791</v>
      </c>
      <c r="Q706" s="103" t="s">
        <v>2155</v>
      </c>
      <c r="R706" s="103" t="s">
        <v>2220</v>
      </c>
      <c r="S706" s="103" t="s">
        <v>2870</v>
      </c>
      <c r="U706" s="103">
        <v>25.65</v>
      </c>
      <c r="V706" s="103" t="s">
        <v>2158</v>
      </c>
      <c r="W706" s="103" t="s">
        <v>116</v>
      </c>
      <c r="X706" s="103" t="s">
        <v>1597</v>
      </c>
      <c r="Y706" s="103" t="s">
        <v>1685</v>
      </c>
      <c r="AA706" s="103" t="s">
        <v>2220</v>
      </c>
      <c r="AB706" s="103" t="s">
        <v>71</v>
      </c>
      <c r="AE706" s="103" t="s">
        <v>898</v>
      </c>
      <c r="AF706" s="103" t="b">
        <v>1</v>
      </c>
    </row>
    <row r="707" spans="1:32" hidden="1" x14ac:dyDescent="0.2">
      <c r="A707" s="103" t="s">
        <v>785</v>
      </c>
      <c r="B707" s="103" t="s">
        <v>784</v>
      </c>
      <c r="C707" s="103" t="s">
        <v>2879</v>
      </c>
      <c r="D707" s="103" t="s">
        <v>2881</v>
      </c>
      <c r="E707" s="103" t="s">
        <v>2346</v>
      </c>
      <c r="F707" s="103" t="s">
        <v>2162</v>
      </c>
      <c r="G707" s="103">
        <v>50</v>
      </c>
      <c r="H707" s="103" t="s">
        <v>2168</v>
      </c>
      <c r="I707" s="103" t="s">
        <v>2153</v>
      </c>
      <c r="J707" s="103">
        <v>14</v>
      </c>
      <c r="K707" s="103">
        <v>12</v>
      </c>
      <c r="L707" s="103">
        <v>12</v>
      </c>
      <c r="M707" s="103">
        <v>12</v>
      </c>
      <c r="N707" s="103" t="s">
        <v>2163</v>
      </c>
      <c r="O707" s="103">
        <v>50</v>
      </c>
      <c r="P707" s="103" t="s">
        <v>791</v>
      </c>
      <c r="Q707" s="103" t="s">
        <v>2155</v>
      </c>
      <c r="R707" s="103" t="s">
        <v>2220</v>
      </c>
      <c r="S707" s="103" t="s">
        <v>2870</v>
      </c>
      <c r="U707" s="103">
        <v>25.65</v>
      </c>
      <c r="V707" s="103" t="s">
        <v>2158</v>
      </c>
      <c r="W707" s="103" t="s">
        <v>116</v>
      </c>
      <c r="X707" s="103" t="s">
        <v>1597</v>
      </c>
      <c r="Y707" s="103" t="s">
        <v>1685</v>
      </c>
      <c r="AA707" s="103" t="s">
        <v>2220</v>
      </c>
      <c r="AB707" s="103" t="s">
        <v>71</v>
      </c>
      <c r="AE707" s="103" t="s">
        <v>898</v>
      </c>
      <c r="AF707" s="103" t="b">
        <v>1</v>
      </c>
    </row>
    <row r="708" spans="1:32" hidden="1" x14ac:dyDescent="0.2">
      <c r="A708" s="103" t="s">
        <v>785</v>
      </c>
      <c r="B708" s="103" t="s">
        <v>784</v>
      </c>
      <c r="C708" s="103" t="s">
        <v>2882</v>
      </c>
      <c r="E708" s="103" t="s">
        <v>2346</v>
      </c>
      <c r="F708" s="103" t="s">
        <v>2162</v>
      </c>
      <c r="G708" s="103">
        <v>40</v>
      </c>
      <c r="H708" s="103" t="s">
        <v>2152</v>
      </c>
      <c r="I708" s="103" t="s">
        <v>2153</v>
      </c>
      <c r="J708" s="103">
        <v>30</v>
      </c>
      <c r="K708" s="103">
        <v>10</v>
      </c>
      <c r="L708" s="103">
        <v>0</v>
      </c>
      <c r="M708" s="103">
        <v>0</v>
      </c>
      <c r="N708" s="103" t="s">
        <v>2163</v>
      </c>
      <c r="O708" s="103">
        <v>40</v>
      </c>
      <c r="P708" s="103" t="s">
        <v>791</v>
      </c>
      <c r="Q708" s="103" t="s">
        <v>2155</v>
      </c>
      <c r="R708" s="103" t="s">
        <v>2220</v>
      </c>
      <c r="S708" s="103" t="s">
        <v>2870</v>
      </c>
      <c r="T708" s="103" t="s">
        <v>2883</v>
      </c>
      <c r="U708" s="103">
        <v>20.52</v>
      </c>
      <c r="V708" s="103" t="s">
        <v>2158</v>
      </c>
      <c r="W708" s="103" t="s">
        <v>116</v>
      </c>
      <c r="X708" s="103" t="s">
        <v>1597</v>
      </c>
      <c r="Y708" s="103" t="s">
        <v>1685</v>
      </c>
      <c r="AA708" s="103" t="s">
        <v>2220</v>
      </c>
      <c r="AB708" s="103" t="s">
        <v>71</v>
      </c>
      <c r="AE708" s="103" t="s">
        <v>898</v>
      </c>
      <c r="AF708" s="103" t="b">
        <v>1</v>
      </c>
    </row>
    <row r="709" spans="1:32" hidden="1" x14ac:dyDescent="0.2">
      <c r="A709" s="103" t="s">
        <v>613</v>
      </c>
      <c r="B709" s="103" t="s">
        <v>1689</v>
      </c>
      <c r="C709" s="103" t="s">
        <v>2645</v>
      </c>
      <c r="E709" s="103" t="s">
        <v>2642</v>
      </c>
      <c r="F709" s="103" t="s">
        <v>2232</v>
      </c>
      <c r="G709" s="103">
        <v>300</v>
      </c>
      <c r="H709" s="103" t="s">
        <v>2168</v>
      </c>
      <c r="I709" s="103" t="s">
        <v>2153</v>
      </c>
      <c r="L709" s="103">
        <v>150</v>
      </c>
      <c r="M709" s="103">
        <v>150</v>
      </c>
      <c r="N709" s="103" t="s">
        <v>2154</v>
      </c>
      <c r="O709" s="103">
        <v>300</v>
      </c>
      <c r="P709" s="103" t="s">
        <v>1609</v>
      </c>
      <c r="Q709" s="103" t="s">
        <v>2155</v>
      </c>
      <c r="R709" s="103" t="s">
        <v>2225</v>
      </c>
      <c r="S709" s="103" t="s">
        <v>2238</v>
      </c>
      <c r="U709" s="103">
        <v>144.9</v>
      </c>
      <c r="V709" s="103" t="s">
        <v>2158</v>
      </c>
      <c r="W709" s="103" t="s">
        <v>106</v>
      </c>
      <c r="X709" s="103" t="s">
        <v>1597</v>
      </c>
      <c r="Y709" s="103" t="s">
        <v>1685</v>
      </c>
      <c r="AA709" s="103" t="s">
        <v>2225</v>
      </c>
      <c r="AB709" s="103" t="s">
        <v>64</v>
      </c>
      <c r="AE709" s="103" t="s">
        <v>750</v>
      </c>
      <c r="AF709" s="103" t="b">
        <v>1</v>
      </c>
    </row>
    <row r="710" spans="1:32" hidden="1" x14ac:dyDescent="0.2">
      <c r="A710" s="103" t="s">
        <v>796</v>
      </c>
      <c r="B710" s="103" t="s">
        <v>795</v>
      </c>
      <c r="C710" s="103" t="s">
        <v>2885</v>
      </c>
      <c r="D710" s="103" t="s">
        <v>2886</v>
      </c>
      <c r="E710" s="103" t="s">
        <v>2808</v>
      </c>
      <c r="G710" s="103">
        <v>300</v>
      </c>
      <c r="H710" s="103" t="s">
        <v>2168</v>
      </c>
      <c r="I710" s="103" t="s">
        <v>2153</v>
      </c>
      <c r="J710" s="103">
        <v>75</v>
      </c>
      <c r="K710" s="103">
        <v>75</v>
      </c>
      <c r="L710" s="103">
        <v>75</v>
      </c>
      <c r="M710" s="103">
        <v>75</v>
      </c>
      <c r="N710" s="103" t="s">
        <v>2260</v>
      </c>
      <c r="O710" s="103">
        <v>300</v>
      </c>
      <c r="P710" s="103" t="s">
        <v>783</v>
      </c>
      <c r="Q710" s="103" t="s">
        <v>2155</v>
      </c>
      <c r="R710" s="103" t="s">
        <v>2220</v>
      </c>
      <c r="U710" s="103">
        <v>153.9</v>
      </c>
      <c r="V710" s="103" t="s">
        <v>2262</v>
      </c>
      <c r="W710" s="103" t="s">
        <v>110</v>
      </c>
      <c r="X710" s="103">
        <v>0</v>
      </c>
      <c r="Y710" s="103" t="s">
        <v>1685</v>
      </c>
      <c r="AA710" s="103" t="s">
        <v>2220</v>
      </c>
      <c r="AB710" s="103" t="s">
        <v>71</v>
      </c>
      <c r="AE710" s="103" t="s">
        <v>810</v>
      </c>
      <c r="AF710" s="103" t="b">
        <v>1</v>
      </c>
    </row>
    <row r="711" spans="1:32" hidden="1" x14ac:dyDescent="0.2">
      <c r="A711" s="103" t="s">
        <v>796</v>
      </c>
      <c r="B711" s="103" t="s">
        <v>795</v>
      </c>
      <c r="C711" s="103" t="s">
        <v>2887</v>
      </c>
      <c r="D711" s="103" t="s">
        <v>2888</v>
      </c>
      <c r="E711" s="103" t="s">
        <v>2889</v>
      </c>
      <c r="G711" s="103">
        <v>400</v>
      </c>
      <c r="H711" s="103" t="s">
        <v>2168</v>
      </c>
      <c r="I711" s="103" t="s">
        <v>2153</v>
      </c>
      <c r="J711" s="103">
        <v>100</v>
      </c>
      <c r="K711" s="103">
        <v>100</v>
      </c>
      <c r="L711" s="103">
        <v>100</v>
      </c>
      <c r="M711" s="103">
        <v>100</v>
      </c>
      <c r="N711" s="103" t="s">
        <v>2260</v>
      </c>
      <c r="O711" s="103">
        <v>400</v>
      </c>
      <c r="P711" s="103" t="s">
        <v>783</v>
      </c>
      <c r="Q711" s="103" t="s">
        <v>2155</v>
      </c>
      <c r="R711" s="103" t="s">
        <v>2220</v>
      </c>
      <c r="U711" s="103">
        <v>205.2</v>
      </c>
      <c r="V711" s="103" t="s">
        <v>2262</v>
      </c>
      <c r="W711" s="103" t="s">
        <v>110</v>
      </c>
      <c r="X711" s="103">
        <v>0</v>
      </c>
      <c r="Y711" s="103" t="s">
        <v>1685</v>
      </c>
      <c r="AA711" s="103" t="s">
        <v>2220</v>
      </c>
      <c r="AB711" s="103" t="s">
        <v>71</v>
      </c>
      <c r="AE711" s="103" t="s">
        <v>810</v>
      </c>
      <c r="AF711" s="103" t="b">
        <v>1</v>
      </c>
    </row>
    <row r="712" spans="1:32" hidden="1" x14ac:dyDescent="0.2">
      <c r="A712" s="103" t="s">
        <v>796</v>
      </c>
      <c r="B712" s="103" t="s">
        <v>795</v>
      </c>
      <c r="C712" s="103" t="s">
        <v>2890</v>
      </c>
      <c r="D712" s="103" t="s">
        <v>2891</v>
      </c>
      <c r="E712" s="103" t="s">
        <v>2808</v>
      </c>
      <c r="G712" s="103">
        <v>195</v>
      </c>
      <c r="H712" s="103" t="s">
        <v>2168</v>
      </c>
      <c r="I712" s="103" t="s">
        <v>2153</v>
      </c>
      <c r="J712" s="103">
        <v>50</v>
      </c>
      <c r="K712" s="103">
        <v>50</v>
      </c>
      <c r="L712" s="103">
        <v>50</v>
      </c>
      <c r="M712" s="103">
        <v>45</v>
      </c>
      <c r="N712" s="103" t="s">
        <v>2163</v>
      </c>
      <c r="O712" s="103">
        <v>195</v>
      </c>
      <c r="P712" s="103" t="s">
        <v>783</v>
      </c>
      <c r="Q712" s="103" t="s">
        <v>2155</v>
      </c>
      <c r="R712" s="103" t="s">
        <v>2220</v>
      </c>
      <c r="S712" s="103" t="s">
        <v>2422</v>
      </c>
      <c r="U712" s="103">
        <v>100.035</v>
      </c>
      <c r="V712" s="103" t="s">
        <v>2158</v>
      </c>
      <c r="W712" s="103" t="s">
        <v>110</v>
      </c>
      <c r="X712" s="103">
        <v>0</v>
      </c>
      <c r="Y712" s="103" t="s">
        <v>1685</v>
      </c>
      <c r="AA712" s="103" t="s">
        <v>2220</v>
      </c>
      <c r="AB712" s="103" t="s">
        <v>71</v>
      </c>
      <c r="AE712" s="103" t="s">
        <v>810</v>
      </c>
      <c r="AF712" s="103" t="b">
        <v>1</v>
      </c>
    </row>
    <row r="713" spans="1:32" hidden="1" x14ac:dyDescent="0.2">
      <c r="A713" s="103" t="s">
        <v>796</v>
      </c>
      <c r="B713" s="103" t="s">
        <v>795</v>
      </c>
      <c r="C713" s="103" t="s">
        <v>2892</v>
      </c>
      <c r="D713" s="103" t="s">
        <v>2893</v>
      </c>
      <c r="E713" s="103" t="s">
        <v>2889</v>
      </c>
      <c r="G713" s="103">
        <v>600</v>
      </c>
      <c r="H713" s="103" t="s">
        <v>2168</v>
      </c>
      <c r="I713" s="103" t="s">
        <v>2153</v>
      </c>
      <c r="J713" s="103">
        <v>150</v>
      </c>
      <c r="K713" s="103">
        <v>150</v>
      </c>
      <c r="L713" s="103">
        <v>150</v>
      </c>
      <c r="M713" s="103">
        <v>150</v>
      </c>
      <c r="N713" s="103" t="s">
        <v>2163</v>
      </c>
      <c r="O713" s="103">
        <v>600</v>
      </c>
      <c r="P713" s="103" t="s">
        <v>783</v>
      </c>
      <c r="Q713" s="103" t="s">
        <v>2155</v>
      </c>
      <c r="R713" s="103" t="s">
        <v>2220</v>
      </c>
      <c r="S713" s="103" t="s">
        <v>2422</v>
      </c>
      <c r="U713" s="103">
        <v>307.8</v>
      </c>
      <c r="V713" s="103" t="s">
        <v>2158</v>
      </c>
      <c r="W713" s="103" t="s">
        <v>110</v>
      </c>
      <c r="X713" s="103">
        <v>0</v>
      </c>
      <c r="Y713" s="103" t="s">
        <v>1685</v>
      </c>
      <c r="AA713" s="103" t="s">
        <v>2220</v>
      </c>
      <c r="AB713" s="103" t="s">
        <v>71</v>
      </c>
      <c r="AE713" s="103" t="s">
        <v>810</v>
      </c>
      <c r="AF713" s="103" t="b">
        <v>1</v>
      </c>
    </row>
    <row r="714" spans="1:32" hidden="1" x14ac:dyDescent="0.2">
      <c r="A714" s="103" t="s">
        <v>796</v>
      </c>
      <c r="B714" s="103" t="s">
        <v>795</v>
      </c>
      <c r="C714" s="103" t="s">
        <v>2894</v>
      </c>
      <c r="D714" s="103" t="s">
        <v>2895</v>
      </c>
      <c r="E714" s="103" t="s">
        <v>2808</v>
      </c>
      <c r="G714" s="103">
        <v>450</v>
      </c>
      <c r="H714" s="103" t="s">
        <v>2168</v>
      </c>
      <c r="I714" s="103" t="s">
        <v>2153</v>
      </c>
      <c r="J714" s="103">
        <v>110</v>
      </c>
      <c r="K714" s="103">
        <v>110</v>
      </c>
      <c r="L714" s="103">
        <v>110</v>
      </c>
      <c r="M714" s="103">
        <v>120</v>
      </c>
      <c r="N714" s="103" t="s">
        <v>2163</v>
      </c>
      <c r="O714" s="103">
        <v>450</v>
      </c>
      <c r="P714" s="103" t="s">
        <v>783</v>
      </c>
      <c r="Q714" s="103" t="s">
        <v>2155</v>
      </c>
      <c r="R714" s="103" t="s">
        <v>2220</v>
      </c>
      <c r="S714" s="103" t="s">
        <v>2422</v>
      </c>
      <c r="U714" s="103">
        <v>230.85</v>
      </c>
      <c r="V714" s="103" t="s">
        <v>2158</v>
      </c>
      <c r="W714" s="103" t="s">
        <v>110</v>
      </c>
      <c r="X714" s="103">
        <v>0</v>
      </c>
      <c r="Y714" s="103" t="s">
        <v>1685</v>
      </c>
      <c r="AA714" s="103" t="s">
        <v>2220</v>
      </c>
      <c r="AB714" s="103" t="s">
        <v>71</v>
      </c>
      <c r="AE714" s="103" t="s">
        <v>810</v>
      </c>
      <c r="AF714" s="103" t="b">
        <v>1</v>
      </c>
    </row>
    <row r="715" spans="1:32" hidden="1" x14ac:dyDescent="0.2">
      <c r="A715" s="103" t="s">
        <v>796</v>
      </c>
      <c r="B715" s="103" t="s">
        <v>795</v>
      </c>
      <c r="C715" s="103" t="s">
        <v>2896</v>
      </c>
      <c r="D715" s="103" t="s">
        <v>2897</v>
      </c>
      <c r="E715" s="103" t="s">
        <v>2889</v>
      </c>
      <c r="G715" s="103">
        <v>100</v>
      </c>
      <c r="H715" s="103" t="s">
        <v>2168</v>
      </c>
      <c r="I715" s="103" t="s">
        <v>2153</v>
      </c>
      <c r="J715" s="103">
        <v>25</v>
      </c>
      <c r="K715" s="103">
        <v>25</v>
      </c>
      <c r="L715" s="103">
        <v>25</v>
      </c>
      <c r="M715" s="103">
        <v>25</v>
      </c>
      <c r="N715" s="103" t="s">
        <v>2163</v>
      </c>
      <c r="O715" s="103">
        <v>100</v>
      </c>
      <c r="P715" s="103" t="s">
        <v>783</v>
      </c>
      <c r="Q715" s="103" t="s">
        <v>2155</v>
      </c>
      <c r="R715" s="103" t="s">
        <v>2220</v>
      </c>
      <c r="S715" s="103" t="s">
        <v>2422</v>
      </c>
      <c r="U715" s="103">
        <v>51.3</v>
      </c>
      <c r="V715" s="103" t="s">
        <v>2158</v>
      </c>
      <c r="W715" s="103" t="s">
        <v>110</v>
      </c>
      <c r="X715" s="103">
        <v>0</v>
      </c>
      <c r="Y715" s="103" t="s">
        <v>1685</v>
      </c>
      <c r="AA715" s="103" t="s">
        <v>2220</v>
      </c>
      <c r="AB715" s="103" t="s">
        <v>71</v>
      </c>
      <c r="AE715" s="103" t="s">
        <v>810</v>
      </c>
      <c r="AF715" s="103" t="b">
        <v>1</v>
      </c>
    </row>
    <row r="716" spans="1:32" hidden="1" x14ac:dyDescent="0.2">
      <c r="A716" s="103" t="s">
        <v>796</v>
      </c>
      <c r="B716" s="103" t="s">
        <v>795</v>
      </c>
      <c r="C716" s="103" t="s">
        <v>2898</v>
      </c>
      <c r="D716" s="103" t="s">
        <v>2899</v>
      </c>
      <c r="E716" s="103" t="s">
        <v>2808</v>
      </c>
      <c r="G716" s="103">
        <v>200</v>
      </c>
      <c r="H716" s="103" t="s">
        <v>2168</v>
      </c>
      <c r="I716" s="103" t="s">
        <v>2153</v>
      </c>
      <c r="J716" s="103">
        <v>50</v>
      </c>
      <c r="K716" s="103">
        <v>50</v>
      </c>
      <c r="L716" s="103">
        <v>50</v>
      </c>
      <c r="M716" s="103">
        <v>50</v>
      </c>
      <c r="N716" s="103" t="s">
        <v>2163</v>
      </c>
      <c r="O716" s="103">
        <v>200</v>
      </c>
      <c r="P716" s="103" t="s">
        <v>783</v>
      </c>
      <c r="Q716" s="103" t="s">
        <v>2155</v>
      </c>
      <c r="R716" s="103" t="s">
        <v>2220</v>
      </c>
      <c r="S716" s="103" t="s">
        <v>2422</v>
      </c>
      <c r="U716" s="103">
        <v>102.6</v>
      </c>
      <c r="V716" s="103" t="s">
        <v>2158</v>
      </c>
      <c r="W716" s="103" t="s">
        <v>110</v>
      </c>
      <c r="X716" s="103">
        <v>0</v>
      </c>
      <c r="Y716" s="103" t="s">
        <v>1685</v>
      </c>
      <c r="AA716" s="103" t="s">
        <v>2220</v>
      </c>
      <c r="AB716" s="103" t="s">
        <v>71</v>
      </c>
      <c r="AE716" s="103" t="s">
        <v>810</v>
      </c>
      <c r="AF716" s="103" t="b">
        <v>1</v>
      </c>
    </row>
    <row r="717" spans="1:32" hidden="1" x14ac:dyDescent="0.2">
      <c r="A717" s="103" t="s">
        <v>796</v>
      </c>
      <c r="B717" s="103" t="s">
        <v>795</v>
      </c>
      <c r="C717" s="103" t="s">
        <v>2900</v>
      </c>
      <c r="D717" s="103" t="s">
        <v>2901</v>
      </c>
      <c r="E717" s="103" t="s">
        <v>2889</v>
      </c>
      <c r="G717" s="103">
        <v>152</v>
      </c>
      <c r="H717" s="103" t="s">
        <v>2168</v>
      </c>
      <c r="I717" s="103" t="s">
        <v>2153</v>
      </c>
      <c r="J717" s="103">
        <v>38</v>
      </c>
      <c r="K717" s="103">
        <v>38</v>
      </c>
      <c r="L717" s="103">
        <v>38</v>
      </c>
      <c r="M717" s="103">
        <v>38</v>
      </c>
      <c r="N717" s="103" t="s">
        <v>2163</v>
      </c>
      <c r="O717" s="103">
        <v>152</v>
      </c>
      <c r="P717" s="103" t="s">
        <v>783</v>
      </c>
      <c r="Q717" s="103" t="s">
        <v>2155</v>
      </c>
      <c r="R717" s="103" t="s">
        <v>2220</v>
      </c>
      <c r="S717" s="103" t="s">
        <v>2422</v>
      </c>
      <c r="U717" s="103">
        <v>77.975999999999999</v>
      </c>
      <c r="V717" s="103" t="s">
        <v>2158</v>
      </c>
      <c r="W717" s="103" t="s">
        <v>110</v>
      </c>
      <c r="X717" s="103">
        <v>0</v>
      </c>
      <c r="Y717" s="103" t="s">
        <v>1685</v>
      </c>
      <c r="AA717" s="103" t="s">
        <v>2220</v>
      </c>
      <c r="AB717" s="103" t="s">
        <v>71</v>
      </c>
      <c r="AE717" s="103" t="s">
        <v>810</v>
      </c>
      <c r="AF717" s="103" t="b">
        <v>1</v>
      </c>
    </row>
    <row r="718" spans="1:32" hidden="1" x14ac:dyDescent="0.2">
      <c r="A718" s="103" t="s">
        <v>796</v>
      </c>
      <c r="B718" s="103" t="s">
        <v>795</v>
      </c>
      <c r="C718" s="103" t="s">
        <v>2902</v>
      </c>
      <c r="D718" s="103" t="s">
        <v>2903</v>
      </c>
      <c r="E718" s="103" t="s">
        <v>2889</v>
      </c>
      <c r="G718" s="103">
        <v>100</v>
      </c>
      <c r="H718" s="103" t="s">
        <v>2168</v>
      </c>
      <c r="I718" s="103" t="s">
        <v>2153</v>
      </c>
      <c r="J718" s="103">
        <v>25</v>
      </c>
      <c r="K718" s="103">
        <v>25</v>
      </c>
      <c r="L718" s="103">
        <v>25</v>
      </c>
      <c r="M718" s="103">
        <v>25</v>
      </c>
      <c r="N718" s="103" t="s">
        <v>2163</v>
      </c>
      <c r="O718" s="103">
        <v>100</v>
      </c>
      <c r="P718" s="103" t="s">
        <v>783</v>
      </c>
      <c r="Q718" s="103" t="s">
        <v>2155</v>
      </c>
      <c r="R718" s="103" t="s">
        <v>2220</v>
      </c>
      <c r="S718" s="103" t="s">
        <v>2422</v>
      </c>
      <c r="U718" s="103">
        <v>51.3</v>
      </c>
      <c r="V718" s="103" t="s">
        <v>2158</v>
      </c>
      <c r="W718" s="103" t="s">
        <v>110</v>
      </c>
      <c r="X718" s="103">
        <v>0</v>
      </c>
      <c r="Y718" s="103" t="s">
        <v>1685</v>
      </c>
      <c r="AA718" s="103" t="s">
        <v>2220</v>
      </c>
      <c r="AB718" s="103" t="s">
        <v>71</v>
      </c>
      <c r="AE718" s="103" t="s">
        <v>810</v>
      </c>
      <c r="AF718" s="103" t="b">
        <v>1</v>
      </c>
    </row>
    <row r="719" spans="1:32" hidden="1" x14ac:dyDescent="0.2">
      <c r="A719" s="103" t="s">
        <v>796</v>
      </c>
      <c r="B719" s="103" t="s">
        <v>795</v>
      </c>
      <c r="C719" s="103" t="s">
        <v>2904</v>
      </c>
      <c r="D719" s="103" t="s">
        <v>2905</v>
      </c>
      <c r="E719" s="103" t="s">
        <v>2889</v>
      </c>
      <c r="G719" s="103">
        <v>200</v>
      </c>
      <c r="H719" s="103" t="s">
        <v>2168</v>
      </c>
      <c r="I719" s="103" t="s">
        <v>2153</v>
      </c>
      <c r="J719" s="103">
        <v>50</v>
      </c>
      <c r="K719" s="103">
        <v>50</v>
      </c>
      <c r="L719" s="103">
        <v>50</v>
      </c>
      <c r="M719" s="103">
        <v>50</v>
      </c>
      <c r="N719" s="103" t="s">
        <v>2163</v>
      </c>
      <c r="O719" s="103">
        <v>200</v>
      </c>
      <c r="P719" s="103" t="s">
        <v>783</v>
      </c>
      <c r="Q719" s="103" t="s">
        <v>2155</v>
      </c>
      <c r="R719" s="103" t="s">
        <v>2220</v>
      </c>
      <c r="S719" s="103" t="s">
        <v>2422</v>
      </c>
      <c r="U719" s="103">
        <v>102.6</v>
      </c>
      <c r="V719" s="103" t="s">
        <v>2158</v>
      </c>
      <c r="W719" s="103" t="s">
        <v>110</v>
      </c>
      <c r="X719" s="103">
        <v>0</v>
      </c>
      <c r="Y719" s="103" t="s">
        <v>1685</v>
      </c>
      <c r="AA719" s="103" t="s">
        <v>2220</v>
      </c>
      <c r="AB719" s="103" t="s">
        <v>71</v>
      </c>
      <c r="AE719" s="103" t="s">
        <v>810</v>
      </c>
      <c r="AF719" s="103" t="b">
        <v>1</v>
      </c>
    </row>
    <row r="720" spans="1:32" hidden="1" x14ac:dyDescent="0.2">
      <c r="A720" s="103" t="s">
        <v>796</v>
      </c>
      <c r="B720" s="103" t="s">
        <v>795</v>
      </c>
      <c r="C720" s="103" t="s">
        <v>2906</v>
      </c>
      <c r="D720" s="103" t="s">
        <v>2907</v>
      </c>
      <c r="E720" s="103" t="s">
        <v>2889</v>
      </c>
      <c r="G720" s="103">
        <v>100</v>
      </c>
      <c r="H720" s="103" t="s">
        <v>2168</v>
      </c>
      <c r="I720" s="103" t="s">
        <v>2153</v>
      </c>
      <c r="J720" s="103">
        <v>25</v>
      </c>
      <c r="K720" s="103">
        <v>25</v>
      </c>
      <c r="L720" s="103">
        <v>25</v>
      </c>
      <c r="M720" s="103">
        <v>25</v>
      </c>
      <c r="N720" s="103" t="s">
        <v>2163</v>
      </c>
      <c r="O720" s="103">
        <v>100</v>
      </c>
      <c r="P720" s="103" t="s">
        <v>783</v>
      </c>
      <c r="Q720" s="103" t="s">
        <v>2155</v>
      </c>
      <c r="R720" s="103" t="s">
        <v>2220</v>
      </c>
      <c r="S720" s="103" t="s">
        <v>2422</v>
      </c>
      <c r="U720" s="103">
        <v>51.3</v>
      </c>
      <c r="V720" s="103" t="s">
        <v>2158</v>
      </c>
      <c r="W720" s="103" t="s">
        <v>110</v>
      </c>
      <c r="X720" s="103">
        <v>0</v>
      </c>
      <c r="Y720" s="103" t="s">
        <v>1685</v>
      </c>
      <c r="AA720" s="103" t="s">
        <v>2220</v>
      </c>
      <c r="AB720" s="103" t="s">
        <v>71</v>
      </c>
      <c r="AE720" s="103" t="s">
        <v>810</v>
      </c>
      <c r="AF720" s="103" t="b">
        <v>1</v>
      </c>
    </row>
    <row r="721" spans="1:32" hidden="1" x14ac:dyDescent="0.2">
      <c r="A721" s="103" t="s">
        <v>796</v>
      </c>
      <c r="B721" s="103" t="s">
        <v>795</v>
      </c>
      <c r="C721" s="103" t="s">
        <v>2908</v>
      </c>
      <c r="D721" s="103" t="s">
        <v>2909</v>
      </c>
      <c r="E721" s="103" t="s">
        <v>2808</v>
      </c>
      <c r="G721" s="103">
        <v>75</v>
      </c>
      <c r="H721" s="103" t="s">
        <v>2168</v>
      </c>
      <c r="I721" s="103" t="s">
        <v>2153</v>
      </c>
      <c r="M721" s="103">
        <v>75</v>
      </c>
      <c r="N721" s="103" t="s">
        <v>2163</v>
      </c>
      <c r="O721" s="103">
        <v>75</v>
      </c>
      <c r="P721" s="103" t="s">
        <v>783</v>
      </c>
      <c r="Q721" s="103" t="s">
        <v>2236</v>
      </c>
      <c r="R721" s="103" t="s">
        <v>2220</v>
      </c>
      <c r="S721" s="103" t="s">
        <v>2422</v>
      </c>
      <c r="U721" s="103">
        <v>38.475000000000001</v>
      </c>
      <c r="V721" s="103" t="s">
        <v>2158</v>
      </c>
      <c r="W721" s="103" t="s">
        <v>110</v>
      </c>
      <c r="X721" s="103">
        <v>0</v>
      </c>
      <c r="Y721" s="103" t="s">
        <v>1685</v>
      </c>
      <c r="AA721" s="103" t="s">
        <v>2220</v>
      </c>
      <c r="AB721" s="103" t="s">
        <v>71</v>
      </c>
      <c r="AE721" s="103" t="s">
        <v>810</v>
      </c>
      <c r="AF721" s="103" t="b">
        <v>1</v>
      </c>
    </row>
    <row r="722" spans="1:32" hidden="1" x14ac:dyDescent="0.2">
      <c r="A722" s="103" t="s">
        <v>796</v>
      </c>
      <c r="B722" s="103" t="s">
        <v>795</v>
      </c>
      <c r="C722" s="103" t="s">
        <v>2908</v>
      </c>
      <c r="D722" s="103" t="s">
        <v>2910</v>
      </c>
      <c r="E722" s="103" t="s">
        <v>2808</v>
      </c>
      <c r="G722" s="103">
        <v>50</v>
      </c>
      <c r="H722" s="103" t="s">
        <v>2168</v>
      </c>
      <c r="I722" s="103" t="s">
        <v>2153</v>
      </c>
      <c r="L722" s="103">
        <v>25</v>
      </c>
      <c r="M722" s="103">
        <v>25</v>
      </c>
      <c r="N722" s="103" t="s">
        <v>2163</v>
      </c>
      <c r="O722" s="103">
        <v>50</v>
      </c>
      <c r="P722" s="103" t="s">
        <v>783</v>
      </c>
      <c r="Q722" s="103" t="s">
        <v>2236</v>
      </c>
      <c r="R722" s="103" t="s">
        <v>2220</v>
      </c>
      <c r="S722" s="103" t="s">
        <v>2422</v>
      </c>
      <c r="U722" s="103">
        <v>25.65</v>
      </c>
      <c r="V722" s="103" t="s">
        <v>2158</v>
      </c>
      <c r="W722" s="103" t="s">
        <v>110</v>
      </c>
      <c r="X722" s="103">
        <v>0</v>
      </c>
      <c r="Y722" s="103" t="s">
        <v>1685</v>
      </c>
      <c r="AA722" s="103" t="s">
        <v>2220</v>
      </c>
      <c r="AB722" s="103" t="s">
        <v>71</v>
      </c>
      <c r="AE722" s="103" t="s">
        <v>810</v>
      </c>
      <c r="AF722" s="103" t="b">
        <v>1</v>
      </c>
    </row>
    <row r="723" spans="1:32" hidden="1" x14ac:dyDescent="0.2">
      <c r="A723" s="103" t="s">
        <v>796</v>
      </c>
      <c r="B723" s="103" t="s">
        <v>795</v>
      </c>
      <c r="C723" s="103" t="s">
        <v>2908</v>
      </c>
      <c r="D723" s="103" t="s">
        <v>2911</v>
      </c>
      <c r="E723" s="103" t="s">
        <v>2808</v>
      </c>
      <c r="G723" s="103">
        <v>50</v>
      </c>
      <c r="H723" s="103" t="s">
        <v>2168</v>
      </c>
      <c r="I723" s="103" t="s">
        <v>2153</v>
      </c>
      <c r="L723" s="103">
        <v>25</v>
      </c>
      <c r="M723" s="103">
        <v>25</v>
      </c>
      <c r="N723" s="103" t="s">
        <v>2163</v>
      </c>
      <c r="O723" s="103">
        <v>50</v>
      </c>
      <c r="P723" s="103" t="s">
        <v>783</v>
      </c>
      <c r="Q723" s="103" t="s">
        <v>2236</v>
      </c>
      <c r="R723" s="103" t="s">
        <v>2220</v>
      </c>
      <c r="S723" s="103" t="s">
        <v>2422</v>
      </c>
      <c r="U723" s="103">
        <v>25.65</v>
      </c>
      <c r="V723" s="103" t="s">
        <v>2158</v>
      </c>
      <c r="W723" s="103" t="s">
        <v>110</v>
      </c>
      <c r="X723" s="103">
        <v>0</v>
      </c>
      <c r="Y723" s="103" t="s">
        <v>1685</v>
      </c>
      <c r="AA723" s="103" t="s">
        <v>2220</v>
      </c>
      <c r="AB723" s="103" t="s">
        <v>71</v>
      </c>
      <c r="AE723" s="103" t="s">
        <v>810</v>
      </c>
      <c r="AF723" s="103" t="b">
        <v>1</v>
      </c>
    </row>
    <row r="724" spans="1:32" hidden="1" x14ac:dyDescent="0.2">
      <c r="A724" s="103" t="s">
        <v>796</v>
      </c>
      <c r="B724" s="103" t="s">
        <v>795</v>
      </c>
      <c r="C724" s="103" t="s">
        <v>2908</v>
      </c>
      <c r="D724" s="103" t="s">
        <v>2912</v>
      </c>
      <c r="E724" s="103" t="s">
        <v>2808</v>
      </c>
      <c r="G724" s="103">
        <v>50</v>
      </c>
      <c r="H724" s="103" t="s">
        <v>2168</v>
      </c>
      <c r="I724" s="103" t="s">
        <v>2153</v>
      </c>
      <c r="K724" s="103">
        <v>50</v>
      </c>
      <c r="N724" s="103" t="s">
        <v>2163</v>
      </c>
      <c r="O724" s="103">
        <v>50</v>
      </c>
      <c r="P724" s="103" t="s">
        <v>783</v>
      </c>
      <c r="Q724" s="103" t="s">
        <v>2236</v>
      </c>
      <c r="R724" s="103" t="s">
        <v>2220</v>
      </c>
      <c r="S724" s="103" t="s">
        <v>2422</v>
      </c>
      <c r="U724" s="103">
        <v>25.65</v>
      </c>
      <c r="V724" s="103" t="s">
        <v>2158</v>
      </c>
      <c r="W724" s="103" t="s">
        <v>110</v>
      </c>
      <c r="X724" s="103">
        <v>0</v>
      </c>
      <c r="Y724" s="103" t="s">
        <v>1685</v>
      </c>
      <c r="AA724" s="103" t="s">
        <v>2220</v>
      </c>
      <c r="AB724" s="103" t="s">
        <v>71</v>
      </c>
      <c r="AE724" s="103" t="s">
        <v>810</v>
      </c>
      <c r="AF724" s="103" t="b">
        <v>1</v>
      </c>
    </row>
    <row r="725" spans="1:32" hidden="1" x14ac:dyDescent="0.2">
      <c r="A725" s="103" t="s">
        <v>995</v>
      </c>
      <c r="B725" s="103" t="s">
        <v>994</v>
      </c>
      <c r="C725" s="103" t="s">
        <v>2867</v>
      </c>
      <c r="D725" s="103" t="s">
        <v>2804</v>
      </c>
      <c r="E725" s="103" t="s">
        <v>2285</v>
      </c>
      <c r="F725" s="103" t="s">
        <v>2175</v>
      </c>
      <c r="G725" s="103">
        <v>10</v>
      </c>
      <c r="H725" s="103" t="s">
        <v>2152</v>
      </c>
      <c r="I725" s="103" t="s">
        <v>2153</v>
      </c>
      <c r="K725" s="103">
        <v>10</v>
      </c>
      <c r="N725" s="103" t="s">
        <v>2163</v>
      </c>
      <c r="O725" s="103">
        <v>10</v>
      </c>
      <c r="P725" s="103" t="s">
        <v>2549</v>
      </c>
      <c r="Q725" s="103" t="s">
        <v>2387</v>
      </c>
      <c r="R725" s="103" t="s">
        <v>2220</v>
      </c>
      <c r="S725" s="103" t="s">
        <v>2157</v>
      </c>
      <c r="U725" s="103">
        <v>5.13</v>
      </c>
      <c r="V725" s="103" t="s">
        <v>2158</v>
      </c>
      <c r="W725" s="103" t="s">
        <v>108</v>
      </c>
      <c r="X725" s="103" t="s">
        <v>1736</v>
      </c>
      <c r="Y725" s="103" t="s">
        <v>3848</v>
      </c>
      <c r="AA725" s="103" t="s">
        <v>2220</v>
      </c>
      <c r="AB725" s="103" t="s">
        <v>71</v>
      </c>
      <c r="AE725" s="103" t="s">
        <v>810</v>
      </c>
      <c r="AF725" s="103" t="b">
        <v>1</v>
      </c>
    </row>
    <row r="726" spans="1:32" hidden="1" x14ac:dyDescent="0.2">
      <c r="A726" s="103" t="s">
        <v>995</v>
      </c>
      <c r="B726" s="103" t="s">
        <v>994</v>
      </c>
      <c r="C726" s="103" t="s">
        <v>2867</v>
      </c>
      <c r="D726" s="103" t="s">
        <v>2804</v>
      </c>
      <c r="E726" s="103" t="s">
        <v>2292</v>
      </c>
      <c r="F726" s="103" t="s">
        <v>2175</v>
      </c>
      <c r="G726" s="103">
        <v>10</v>
      </c>
      <c r="H726" s="103" t="s">
        <v>2152</v>
      </c>
      <c r="I726" s="103" t="s">
        <v>2153</v>
      </c>
      <c r="K726" s="103">
        <v>10</v>
      </c>
      <c r="N726" s="103" t="s">
        <v>2163</v>
      </c>
      <c r="O726" s="103">
        <v>0</v>
      </c>
      <c r="P726" s="103" t="s">
        <v>2549</v>
      </c>
      <c r="Q726" s="103" t="s">
        <v>2387</v>
      </c>
      <c r="R726" s="103" t="s">
        <v>2220</v>
      </c>
      <c r="S726" s="103" t="s">
        <v>2157</v>
      </c>
      <c r="U726" s="103">
        <v>5.13</v>
      </c>
      <c r="V726" s="103" t="s">
        <v>2158</v>
      </c>
      <c r="W726" s="103" t="s">
        <v>108</v>
      </c>
      <c r="X726" s="103" t="s">
        <v>1736</v>
      </c>
      <c r="Y726" s="103" t="s">
        <v>3848</v>
      </c>
      <c r="AA726" s="103" t="s">
        <v>2220</v>
      </c>
      <c r="AB726" s="103" t="s">
        <v>71</v>
      </c>
      <c r="AE726" s="103" t="s">
        <v>810</v>
      </c>
      <c r="AF726" s="103" t="b">
        <v>1</v>
      </c>
    </row>
    <row r="727" spans="1:32" hidden="1" x14ac:dyDescent="0.2">
      <c r="A727" s="103" t="s">
        <v>995</v>
      </c>
      <c r="B727" s="103" t="s">
        <v>994</v>
      </c>
      <c r="C727" s="103" t="s">
        <v>2867</v>
      </c>
      <c r="D727" s="103" t="s">
        <v>2804</v>
      </c>
      <c r="E727" s="103" t="s">
        <v>2694</v>
      </c>
      <c r="F727" s="103" t="s">
        <v>2175</v>
      </c>
      <c r="G727" s="103">
        <v>10</v>
      </c>
      <c r="H727" s="103" t="s">
        <v>2152</v>
      </c>
      <c r="I727" s="103" t="s">
        <v>2153</v>
      </c>
      <c r="K727" s="103">
        <v>10</v>
      </c>
      <c r="N727" s="103" t="s">
        <v>2163</v>
      </c>
      <c r="O727" s="103">
        <v>10</v>
      </c>
      <c r="P727" s="103" t="s">
        <v>2549</v>
      </c>
      <c r="Q727" s="103" t="s">
        <v>2387</v>
      </c>
      <c r="R727" s="103" t="s">
        <v>2220</v>
      </c>
      <c r="S727" s="103" t="s">
        <v>2157</v>
      </c>
      <c r="U727" s="103">
        <v>5.13</v>
      </c>
      <c r="V727" s="103" t="s">
        <v>2158</v>
      </c>
      <c r="W727" s="103" t="s">
        <v>108</v>
      </c>
      <c r="X727" s="103" t="s">
        <v>1736</v>
      </c>
      <c r="Y727" s="103" t="s">
        <v>3848</v>
      </c>
      <c r="AA727" s="103" t="s">
        <v>2220</v>
      </c>
      <c r="AB727" s="103" t="s">
        <v>71</v>
      </c>
      <c r="AE727" s="103" t="s">
        <v>810</v>
      </c>
      <c r="AF727" s="103" t="b">
        <v>1</v>
      </c>
    </row>
    <row r="728" spans="1:32" hidden="1" x14ac:dyDescent="0.2">
      <c r="A728" s="103" t="s">
        <v>995</v>
      </c>
      <c r="B728" s="103" t="s">
        <v>994</v>
      </c>
      <c r="C728" s="103" t="s">
        <v>2805</v>
      </c>
      <c r="E728" s="103" t="s">
        <v>2366</v>
      </c>
      <c r="F728" s="103" t="s">
        <v>2175</v>
      </c>
      <c r="G728" s="103">
        <v>10</v>
      </c>
      <c r="H728" s="103" t="s">
        <v>2152</v>
      </c>
      <c r="I728" s="103" t="s">
        <v>2153</v>
      </c>
      <c r="L728" s="103">
        <v>10</v>
      </c>
      <c r="N728" s="103" t="s">
        <v>2154</v>
      </c>
      <c r="O728" s="103">
        <v>10</v>
      </c>
      <c r="P728" s="103" t="s">
        <v>2549</v>
      </c>
      <c r="Q728" s="103" t="s">
        <v>2155</v>
      </c>
      <c r="R728" s="103" t="s">
        <v>2220</v>
      </c>
      <c r="S728" s="103" t="s">
        <v>2157</v>
      </c>
      <c r="U728" s="103">
        <v>5.13</v>
      </c>
      <c r="V728" s="103" t="s">
        <v>2158</v>
      </c>
      <c r="W728" s="103" t="s">
        <v>108</v>
      </c>
      <c r="X728" s="103" t="s">
        <v>1736</v>
      </c>
      <c r="Y728" s="103" t="s">
        <v>3848</v>
      </c>
      <c r="AA728" s="103" t="s">
        <v>2220</v>
      </c>
      <c r="AB728" s="103" t="s">
        <v>71</v>
      </c>
      <c r="AE728" s="103" t="s">
        <v>810</v>
      </c>
      <c r="AF728" s="103" t="b">
        <v>1</v>
      </c>
    </row>
    <row r="729" spans="1:32" hidden="1" x14ac:dyDescent="0.2">
      <c r="A729" s="103" t="s">
        <v>995</v>
      </c>
      <c r="B729" s="103" t="s">
        <v>994</v>
      </c>
      <c r="C729" s="103" t="s">
        <v>2805</v>
      </c>
      <c r="E729" s="103" t="s">
        <v>2796</v>
      </c>
      <c r="F729" s="103" t="s">
        <v>2175</v>
      </c>
      <c r="G729" s="103">
        <v>10</v>
      </c>
      <c r="H729" s="103" t="s">
        <v>2152</v>
      </c>
      <c r="I729" s="103" t="s">
        <v>2153</v>
      </c>
      <c r="L729" s="103">
        <v>10</v>
      </c>
      <c r="N729" s="103" t="s">
        <v>2154</v>
      </c>
      <c r="O729" s="103">
        <v>10</v>
      </c>
      <c r="P729" s="103" t="s">
        <v>2549</v>
      </c>
      <c r="Q729" s="103" t="s">
        <v>2155</v>
      </c>
      <c r="R729" s="103" t="s">
        <v>2220</v>
      </c>
      <c r="S729" s="103" t="s">
        <v>2157</v>
      </c>
      <c r="U729" s="103">
        <v>5.13</v>
      </c>
      <c r="V729" s="103" t="s">
        <v>2158</v>
      </c>
      <c r="W729" s="103" t="s">
        <v>108</v>
      </c>
      <c r="X729" s="103" t="s">
        <v>1736</v>
      </c>
      <c r="Y729" s="103" t="s">
        <v>3848</v>
      </c>
      <c r="AA729" s="103" t="s">
        <v>2220</v>
      </c>
      <c r="AB729" s="103" t="s">
        <v>71</v>
      </c>
      <c r="AE729" s="103" t="s">
        <v>810</v>
      </c>
      <c r="AF729" s="103" t="b">
        <v>1</v>
      </c>
    </row>
    <row r="730" spans="1:32" hidden="1" x14ac:dyDescent="0.2">
      <c r="A730" s="103" t="s">
        <v>995</v>
      </c>
      <c r="B730" s="103" t="s">
        <v>994</v>
      </c>
      <c r="C730" s="103" t="s">
        <v>2805</v>
      </c>
      <c r="D730" s="103" t="s">
        <v>2913</v>
      </c>
      <c r="E730" s="103" t="s">
        <v>2315</v>
      </c>
      <c r="F730" s="103" t="s">
        <v>2175</v>
      </c>
      <c r="G730" s="103">
        <v>20</v>
      </c>
      <c r="H730" s="103" t="s">
        <v>2168</v>
      </c>
      <c r="I730" s="103" t="s">
        <v>2153</v>
      </c>
      <c r="L730" s="103">
        <v>20</v>
      </c>
      <c r="N730" s="103" t="s">
        <v>2163</v>
      </c>
      <c r="O730" s="103">
        <v>20</v>
      </c>
      <c r="P730" s="103" t="s">
        <v>2789</v>
      </c>
      <c r="Q730" s="103" t="s">
        <v>2236</v>
      </c>
      <c r="R730" s="103" t="s">
        <v>2220</v>
      </c>
      <c r="S730" s="103" t="s">
        <v>2157</v>
      </c>
      <c r="U730" s="103">
        <v>10.26</v>
      </c>
      <c r="V730" s="103" t="s">
        <v>2158</v>
      </c>
      <c r="W730" s="103" t="s">
        <v>108</v>
      </c>
      <c r="X730" s="103" t="s">
        <v>1736</v>
      </c>
      <c r="Y730" s="103" t="s">
        <v>3848</v>
      </c>
      <c r="AA730" s="103" t="s">
        <v>2220</v>
      </c>
      <c r="AB730" s="103" t="s">
        <v>71</v>
      </c>
      <c r="AE730" s="103" t="s">
        <v>810</v>
      </c>
      <c r="AF730" s="103" t="b">
        <v>1</v>
      </c>
    </row>
    <row r="731" spans="1:32" hidden="1" x14ac:dyDescent="0.2">
      <c r="A731" s="103" t="s">
        <v>995</v>
      </c>
      <c r="B731" s="103" t="s">
        <v>994</v>
      </c>
      <c r="C731" s="103" t="s">
        <v>2867</v>
      </c>
      <c r="D731" s="103" t="s">
        <v>2804</v>
      </c>
      <c r="E731" s="103" t="s">
        <v>2796</v>
      </c>
      <c r="F731" s="103" t="s">
        <v>2175</v>
      </c>
      <c r="G731" s="103">
        <v>10</v>
      </c>
      <c r="H731" s="103" t="s">
        <v>2152</v>
      </c>
      <c r="I731" s="103" t="s">
        <v>2153</v>
      </c>
      <c r="K731" s="103">
        <v>10</v>
      </c>
      <c r="N731" s="103" t="s">
        <v>2163</v>
      </c>
      <c r="O731" s="103">
        <v>10</v>
      </c>
      <c r="P731" s="103" t="s">
        <v>2549</v>
      </c>
      <c r="Q731" s="103" t="s">
        <v>2236</v>
      </c>
      <c r="R731" s="103" t="s">
        <v>2220</v>
      </c>
      <c r="S731" s="103" t="s">
        <v>2157</v>
      </c>
      <c r="U731" s="103">
        <v>5.13</v>
      </c>
      <c r="V731" s="103" t="s">
        <v>2158</v>
      </c>
      <c r="W731" s="103" t="s">
        <v>108</v>
      </c>
      <c r="X731" s="103" t="s">
        <v>1736</v>
      </c>
      <c r="Y731" s="103" t="s">
        <v>3848</v>
      </c>
      <c r="AA731" s="103" t="s">
        <v>2220</v>
      </c>
      <c r="AB731" s="103" t="s">
        <v>71</v>
      </c>
      <c r="AE731" s="103" t="s">
        <v>810</v>
      </c>
      <c r="AF731" s="103" t="b">
        <v>1</v>
      </c>
    </row>
    <row r="732" spans="1:32" hidden="1" x14ac:dyDescent="0.2">
      <c r="A732" s="103" t="s">
        <v>796</v>
      </c>
      <c r="B732" s="103" t="s">
        <v>795</v>
      </c>
      <c r="C732" s="103" t="s">
        <v>2914</v>
      </c>
      <c r="D732" s="103" t="s">
        <v>2915</v>
      </c>
      <c r="F732" s="103" t="s">
        <v>2151</v>
      </c>
      <c r="G732" s="103">
        <v>60</v>
      </c>
      <c r="H732" s="103" t="s">
        <v>2152</v>
      </c>
      <c r="I732" s="103" t="s">
        <v>2153</v>
      </c>
      <c r="M732" s="103">
        <v>60</v>
      </c>
      <c r="N732" s="103" t="s">
        <v>2163</v>
      </c>
      <c r="O732" s="103">
        <v>60</v>
      </c>
      <c r="P732" s="103" t="s">
        <v>811</v>
      </c>
      <c r="Q732" s="103" t="s">
        <v>2236</v>
      </c>
      <c r="R732" s="103">
        <v>0</v>
      </c>
      <c r="S732" s="103" t="s">
        <v>2422</v>
      </c>
      <c r="U732" s="103">
        <v>0</v>
      </c>
      <c r="V732" s="103" t="s">
        <v>2416</v>
      </c>
      <c r="W732" s="103">
        <v>0</v>
      </c>
      <c r="X732" s="103">
        <v>0</v>
      </c>
      <c r="Y732" s="103" t="s">
        <v>1685</v>
      </c>
      <c r="AA732" s="103">
        <v>0</v>
      </c>
      <c r="AB732" s="103" t="s">
        <v>71</v>
      </c>
      <c r="AE732" s="103" t="s">
        <v>810</v>
      </c>
      <c r="AF732" s="103" t="b">
        <v>1</v>
      </c>
    </row>
    <row r="733" spans="1:32" hidden="1" x14ac:dyDescent="0.2">
      <c r="A733" s="103" t="s">
        <v>809</v>
      </c>
      <c r="B733" s="103" t="s">
        <v>808</v>
      </c>
      <c r="C733" s="103" t="s">
        <v>2916</v>
      </c>
      <c r="E733" s="103" t="s">
        <v>126</v>
      </c>
      <c r="F733" s="103" t="s">
        <v>2202</v>
      </c>
      <c r="G733" s="103">
        <v>150</v>
      </c>
      <c r="H733" s="103" t="s">
        <v>2152</v>
      </c>
      <c r="I733" s="103" t="s">
        <v>2153</v>
      </c>
      <c r="J733" s="103">
        <v>37.5</v>
      </c>
      <c r="K733" s="103">
        <v>37.5</v>
      </c>
      <c r="L733" s="103">
        <v>37.5</v>
      </c>
      <c r="M733" s="103">
        <v>37.5</v>
      </c>
      <c r="N733" s="103" t="s">
        <v>2163</v>
      </c>
      <c r="O733" s="103">
        <v>150</v>
      </c>
      <c r="P733" s="103" t="s">
        <v>1706</v>
      </c>
      <c r="R733" s="103" t="s">
        <v>2729</v>
      </c>
      <c r="U733" s="103">
        <v>73.05</v>
      </c>
      <c r="V733" s="103" t="s">
        <v>2158</v>
      </c>
      <c r="W733" s="103" t="s">
        <v>126</v>
      </c>
      <c r="X733" s="103" t="s">
        <v>1597</v>
      </c>
      <c r="Y733" s="103" t="s">
        <v>1685</v>
      </c>
      <c r="AA733" s="103" t="s">
        <v>2729</v>
      </c>
      <c r="AB733" s="103" t="s">
        <v>71</v>
      </c>
      <c r="AE733" s="103" t="s">
        <v>810</v>
      </c>
      <c r="AF733" s="103" t="b">
        <v>1</v>
      </c>
    </row>
    <row r="734" spans="1:32" hidden="1" x14ac:dyDescent="0.2">
      <c r="A734" s="103" t="s">
        <v>809</v>
      </c>
      <c r="B734" s="103" t="s">
        <v>808</v>
      </c>
      <c r="C734" s="103" t="s">
        <v>2917</v>
      </c>
      <c r="E734" s="103" t="s">
        <v>126</v>
      </c>
      <c r="F734" s="103" t="s">
        <v>2162</v>
      </c>
      <c r="H734" s="103" t="s">
        <v>2152</v>
      </c>
      <c r="I734" s="103" t="s">
        <v>2153</v>
      </c>
      <c r="N734" s="103" t="s">
        <v>2163</v>
      </c>
      <c r="O734" s="103">
        <v>0</v>
      </c>
      <c r="P734" s="103" t="s">
        <v>1706</v>
      </c>
      <c r="R734" s="103" t="s">
        <v>2729</v>
      </c>
      <c r="U734" s="103">
        <v>0</v>
      </c>
      <c r="V734" s="103" t="s">
        <v>2158</v>
      </c>
      <c r="W734" s="103" t="s">
        <v>126</v>
      </c>
      <c r="X734" s="103" t="s">
        <v>1597</v>
      </c>
      <c r="Y734" s="103" t="s">
        <v>1685</v>
      </c>
      <c r="AA734" s="103" t="s">
        <v>2729</v>
      </c>
      <c r="AB734" s="103" t="s">
        <v>71</v>
      </c>
      <c r="AE734" s="103" t="s">
        <v>810</v>
      </c>
      <c r="AF734" s="103" t="b">
        <v>1</v>
      </c>
    </row>
    <row r="735" spans="1:32" hidden="1" x14ac:dyDescent="0.2">
      <c r="A735" s="103" t="s">
        <v>995</v>
      </c>
      <c r="B735" s="103" t="s">
        <v>994</v>
      </c>
      <c r="C735" s="103" t="s">
        <v>2805</v>
      </c>
      <c r="E735" s="103" t="s">
        <v>2285</v>
      </c>
      <c r="F735" s="103" t="s">
        <v>2175</v>
      </c>
      <c r="G735" s="103">
        <v>10</v>
      </c>
      <c r="H735" s="103" t="s">
        <v>2152</v>
      </c>
      <c r="I735" s="103" t="s">
        <v>2153</v>
      </c>
      <c r="L735" s="103">
        <v>10</v>
      </c>
      <c r="N735" s="103" t="s">
        <v>2163</v>
      </c>
      <c r="O735" s="103">
        <v>10</v>
      </c>
      <c r="P735" s="103" t="s">
        <v>2549</v>
      </c>
      <c r="Q735" s="103" t="s">
        <v>2236</v>
      </c>
      <c r="R735" s="103" t="s">
        <v>2220</v>
      </c>
      <c r="S735" s="103" t="s">
        <v>2157</v>
      </c>
      <c r="U735" s="103">
        <v>5.13</v>
      </c>
      <c r="V735" s="103" t="s">
        <v>2158</v>
      </c>
      <c r="W735" s="103" t="s">
        <v>108</v>
      </c>
      <c r="X735" s="103" t="s">
        <v>1736</v>
      </c>
      <c r="Y735" s="103" t="s">
        <v>3848</v>
      </c>
      <c r="AA735" s="103" t="s">
        <v>2220</v>
      </c>
      <c r="AB735" s="103" t="s">
        <v>71</v>
      </c>
      <c r="AE735" s="103" t="s">
        <v>810</v>
      </c>
      <c r="AF735" s="103" t="b">
        <v>1</v>
      </c>
    </row>
    <row r="736" spans="1:32" hidden="1" x14ac:dyDescent="0.2">
      <c r="A736" s="103" t="s">
        <v>1022</v>
      </c>
      <c r="B736" s="103" t="s">
        <v>1021</v>
      </c>
      <c r="C736" s="103" t="s">
        <v>2918</v>
      </c>
      <c r="D736" s="103" t="s">
        <v>2919</v>
      </c>
      <c r="E736" s="103" t="s">
        <v>2350</v>
      </c>
      <c r="F736" s="103" t="s">
        <v>2151</v>
      </c>
      <c r="G736" s="103">
        <v>100</v>
      </c>
      <c r="H736" s="103" t="s">
        <v>2168</v>
      </c>
      <c r="I736" s="103" t="s">
        <v>2153</v>
      </c>
      <c r="L736" s="103">
        <v>50</v>
      </c>
      <c r="M736" s="103">
        <v>50</v>
      </c>
      <c r="N736" s="103" t="s">
        <v>2163</v>
      </c>
      <c r="O736" s="103">
        <v>100</v>
      </c>
      <c r="P736" s="103" t="s">
        <v>820</v>
      </c>
      <c r="Q736" s="103" t="s">
        <v>2155</v>
      </c>
      <c r="R736" s="103" t="s">
        <v>2220</v>
      </c>
      <c r="S736" s="103" t="s">
        <v>2157</v>
      </c>
      <c r="U736" s="103">
        <v>51.3</v>
      </c>
      <c r="V736" s="103" t="s">
        <v>2158</v>
      </c>
      <c r="W736" s="103" t="s">
        <v>108</v>
      </c>
      <c r="X736" s="103">
        <v>0</v>
      </c>
      <c r="Y736" s="103" t="s">
        <v>1685</v>
      </c>
      <c r="AA736" s="103" t="s">
        <v>2220</v>
      </c>
      <c r="AB736" s="103" t="s">
        <v>71</v>
      </c>
      <c r="AE736" s="103" t="s">
        <v>810</v>
      </c>
      <c r="AF736" s="103" t="b">
        <v>1</v>
      </c>
    </row>
    <row r="737" spans="1:32" hidden="1" x14ac:dyDescent="0.2">
      <c r="A737" s="103" t="s">
        <v>350</v>
      </c>
      <c r="B737" s="103" t="s">
        <v>349</v>
      </c>
      <c r="C737" s="103" t="s">
        <v>2920</v>
      </c>
      <c r="E737" s="103" t="s">
        <v>2299</v>
      </c>
      <c r="F737" s="103" t="s">
        <v>2175</v>
      </c>
      <c r="G737" s="103">
        <v>20</v>
      </c>
      <c r="H737" s="103" t="s">
        <v>2168</v>
      </c>
      <c r="I737" s="103" t="s">
        <v>2153</v>
      </c>
      <c r="J737" s="103">
        <v>20</v>
      </c>
      <c r="N737" s="103" t="s">
        <v>2163</v>
      </c>
      <c r="O737" s="103">
        <v>20</v>
      </c>
      <c r="P737" s="103" t="s">
        <v>811</v>
      </c>
      <c r="Q737" s="103" t="s">
        <v>2155</v>
      </c>
      <c r="R737" s="103" t="s">
        <v>2220</v>
      </c>
      <c r="S737" s="103" t="s">
        <v>2251</v>
      </c>
      <c r="U737" s="103">
        <v>10.26</v>
      </c>
      <c r="V737" s="103" t="s">
        <v>2158</v>
      </c>
      <c r="W737" s="103" t="s">
        <v>108</v>
      </c>
      <c r="X737" s="103" t="s">
        <v>1597</v>
      </c>
      <c r="Y737" s="103" t="s">
        <v>1685</v>
      </c>
      <c r="AA737" s="103" t="s">
        <v>2220</v>
      </c>
      <c r="AB737" s="103" t="s">
        <v>71</v>
      </c>
      <c r="AE737" s="103" t="s">
        <v>810</v>
      </c>
      <c r="AF737" s="103" t="b">
        <v>1</v>
      </c>
    </row>
    <row r="738" spans="1:32" hidden="1" x14ac:dyDescent="0.2">
      <c r="A738" s="103" t="s">
        <v>357</v>
      </c>
      <c r="B738" s="103" t="s">
        <v>356</v>
      </c>
      <c r="C738" s="103" t="s">
        <v>2921</v>
      </c>
      <c r="E738" s="103" t="s">
        <v>2338</v>
      </c>
      <c r="F738" s="103" t="s">
        <v>2151</v>
      </c>
      <c r="G738" s="103">
        <v>100</v>
      </c>
      <c r="H738" s="103" t="s">
        <v>2168</v>
      </c>
      <c r="I738" s="103" t="s">
        <v>2153</v>
      </c>
      <c r="J738" s="103">
        <v>50</v>
      </c>
      <c r="K738" s="103">
        <v>50</v>
      </c>
      <c r="N738" s="103" t="s">
        <v>2163</v>
      </c>
      <c r="O738" s="103">
        <v>100</v>
      </c>
      <c r="P738" s="103" t="s">
        <v>811</v>
      </c>
      <c r="Q738" s="103" t="s">
        <v>2236</v>
      </c>
      <c r="R738" s="103" t="s">
        <v>2220</v>
      </c>
      <c r="S738" s="103" t="s">
        <v>2422</v>
      </c>
      <c r="U738" s="103">
        <v>51.3</v>
      </c>
      <c r="V738" s="103" t="s">
        <v>2158</v>
      </c>
      <c r="W738" s="103" t="s">
        <v>108</v>
      </c>
      <c r="X738" s="103" t="s">
        <v>1597</v>
      </c>
      <c r="Y738" s="103" t="s">
        <v>1685</v>
      </c>
      <c r="AA738" s="103" t="s">
        <v>2220</v>
      </c>
      <c r="AB738" s="103" t="s">
        <v>71</v>
      </c>
      <c r="AE738" s="103" t="s">
        <v>810</v>
      </c>
      <c r="AF738" s="103" t="b">
        <v>1</v>
      </c>
    </row>
    <row r="739" spans="1:32" hidden="1" x14ac:dyDescent="0.2">
      <c r="A739" s="103" t="s">
        <v>357</v>
      </c>
      <c r="B739" s="103" t="s">
        <v>356</v>
      </c>
      <c r="C739" s="103" t="s">
        <v>2922</v>
      </c>
      <c r="E739" s="103" t="s">
        <v>2272</v>
      </c>
      <c r="F739" s="103" t="s">
        <v>2226</v>
      </c>
      <c r="G739" s="103">
        <v>400</v>
      </c>
      <c r="H739" s="103" t="s">
        <v>2168</v>
      </c>
      <c r="I739" s="103" t="s">
        <v>2153</v>
      </c>
      <c r="L739" s="103">
        <v>200</v>
      </c>
      <c r="M739" s="103">
        <v>200</v>
      </c>
      <c r="N739" s="103" t="s">
        <v>2273</v>
      </c>
      <c r="O739" s="103">
        <v>400</v>
      </c>
      <c r="P739" s="103" t="s">
        <v>811</v>
      </c>
      <c r="Q739" s="103" t="s">
        <v>2236</v>
      </c>
      <c r="R739" s="103" t="s">
        <v>2220</v>
      </c>
      <c r="S739" s="103" t="s">
        <v>2422</v>
      </c>
      <c r="U739" s="103">
        <v>205.2</v>
      </c>
      <c r="V739" s="103" t="s">
        <v>2262</v>
      </c>
      <c r="W739" s="103" t="s">
        <v>108</v>
      </c>
      <c r="X739" s="103" t="s">
        <v>1597</v>
      </c>
      <c r="Y739" s="103" t="s">
        <v>1685</v>
      </c>
      <c r="AA739" s="103" t="s">
        <v>2220</v>
      </c>
      <c r="AB739" s="103" t="s">
        <v>71</v>
      </c>
      <c r="AE739" s="103" t="s">
        <v>810</v>
      </c>
      <c r="AF739" s="103" t="b">
        <v>1</v>
      </c>
    </row>
    <row r="740" spans="1:32" hidden="1" x14ac:dyDescent="0.2">
      <c r="A740" s="103" t="s">
        <v>357</v>
      </c>
      <c r="B740" s="103" t="s">
        <v>356</v>
      </c>
      <c r="C740" s="103" t="s">
        <v>2924</v>
      </c>
      <c r="D740" s="103" t="s">
        <v>2937</v>
      </c>
      <c r="E740" s="103" t="s">
        <v>2338</v>
      </c>
      <c r="F740" s="103" t="s">
        <v>2162</v>
      </c>
      <c r="G740" s="103">
        <v>50</v>
      </c>
      <c r="H740" s="103" t="s">
        <v>2168</v>
      </c>
      <c r="I740" s="103" t="s">
        <v>2153</v>
      </c>
      <c r="J740" s="103">
        <v>50</v>
      </c>
      <c r="N740" s="103" t="s">
        <v>2163</v>
      </c>
      <c r="O740" s="103">
        <v>50</v>
      </c>
      <c r="P740" s="103" t="s">
        <v>811</v>
      </c>
      <c r="Q740" s="103" t="s">
        <v>2155</v>
      </c>
      <c r="R740" s="103" t="s">
        <v>2220</v>
      </c>
      <c r="S740" s="103" t="s">
        <v>2251</v>
      </c>
      <c r="U740" s="103">
        <v>25.65</v>
      </c>
      <c r="V740" s="103" t="s">
        <v>2158</v>
      </c>
      <c r="W740" s="103" t="s">
        <v>108</v>
      </c>
      <c r="X740" s="103" t="s">
        <v>1597</v>
      </c>
      <c r="Y740" s="103" t="s">
        <v>1685</v>
      </c>
      <c r="AA740" s="103" t="s">
        <v>2220</v>
      </c>
      <c r="AB740" s="103" t="s">
        <v>71</v>
      </c>
      <c r="AE740" s="103" t="s">
        <v>810</v>
      </c>
      <c r="AF740" s="103" t="b">
        <v>1</v>
      </c>
    </row>
    <row r="741" spans="1:32" hidden="1" x14ac:dyDescent="0.2">
      <c r="A741" s="103" t="s">
        <v>357</v>
      </c>
      <c r="B741" s="103" t="s">
        <v>356</v>
      </c>
      <c r="C741" s="103" t="s">
        <v>2924</v>
      </c>
      <c r="E741" s="103" t="s">
        <v>2272</v>
      </c>
      <c r="F741" s="103" t="s">
        <v>2232</v>
      </c>
      <c r="G741" s="103">
        <v>300</v>
      </c>
      <c r="H741" s="103" t="s">
        <v>2168</v>
      </c>
      <c r="I741" s="103" t="s">
        <v>2153</v>
      </c>
      <c r="J741" s="103">
        <v>200</v>
      </c>
      <c r="K741" s="103">
        <v>100</v>
      </c>
      <c r="N741" s="103" t="s">
        <v>2163</v>
      </c>
      <c r="O741" s="103">
        <v>300</v>
      </c>
      <c r="P741" s="103" t="s">
        <v>811</v>
      </c>
      <c r="Q741" s="103" t="s">
        <v>2155</v>
      </c>
      <c r="R741" s="103" t="s">
        <v>2220</v>
      </c>
      <c r="S741" s="103" t="s">
        <v>2251</v>
      </c>
      <c r="U741" s="103">
        <v>153.9</v>
      </c>
      <c r="V741" s="103" t="s">
        <v>2158</v>
      </c>
      <c r="W741" s="103" t="s">
        <v>108</v>
      </c>
      <c r="X741" s="103" t="s">
        <v>1597</v>
      </c>
      <c r="Y741" s="103" t="s">
        <v>1685</v>
      </c>
      <c r="AA741" s="103" t="s">
        <v>2220</v>
      </c>
      <c r="AB741" s="103" t="s">
        <v>71</v>
      </c>
      <c r="AE741" s="103" t="s">
        <v>810</v>
      </c>
      <c r="AF741" s="103" t="b">
        <v>1</v>
      </c>
    </row>
    <row r="742" spans="1:32" hidden="1" x14ac:dyDescent="0.2">
      <c r="A742" s="103" t="s">
        <v>357</v>
      </c>
      <c r="B742" s="103" t="s">
        <v>356</v>
      </c>
      <c r="C742" s="103" t="s">
        <v>2925</v>
      </c>
      <c r="E742" s="103" t="s">
        <v>2926</v>
      </c>
      <c r="F742" s="103" t="s">
        <v>2232</v>
      </c>
      <c r="G742" s="103">
        <v>300</v>
      </c>
      <c r="H742" s="103" t="s">
        <v>2168</v>
      </c>
      <c r="I742" s="103" t="s">
        <v>2153</v>
      </c>
      <c r="J742" s="103">
        <v>50</v>
      </c>
      <c r="K742" s="103">
        <v>50</v>
      </c>
      <c r="L742" s="103">
        <v>100</v>
      </c>
      <c r="M742" s="103">
        <v>100</v>
      </c>
      <c r="N742" s="103" t="s">
        <v>2163</v>
      </c>
      <c r="O742" s="103">
        <v>300</v>
      </c>
      <c r="P742" s="103" t="s">
        <v>811</v>
      </c>
      <c r="Q742" s="103" t="s">
        <v>2155</v>
      </c>
      <c r="R742" s="103" t="s">
        <v>2220</v>
      </c>
      <c r="S742" s="103" t="s">
        <v>2251</v>
      </c>
      <c r="U742" s="103">
        <v>153.9</v>
      </c>
      <c r="V742" s="103" t="s">
        <v>2158</v>
      </c>
      <c r="W742" s="103" t="s">
        <v>108</v>
      </c>
      <c r="X742" s="103" t="s">
        <v>1597</v>
      </c>
      <c r="Y742" s="103" t="s">
        <v>1685</v>
      </c>
      <c r="AA742" s="103" t="s">
        <v>2220</v>
      </c>
      <c r="AB742" s="103" t="s">
        <v>71</v>
      </c>
      <c r="AE742" s="103" t="s">
        <v>810</v>
      </c>
      <c r="AF742" s="103" t="b">
        <v>1</v>
      </c>
    </row>
    <row r="743" spans="1:32" hidden="1" x14ac:dyDescent="0.2">
      <c r="A743" s="103" t="s">
        <v>357</v>
      </c>
      <c r="B743" s="103" t="s">
        <v>356</v>
      </c>
      <c r="C743" s="103" t="s">
        <v>2927</v>
      </c>
      <c r="E743" s="103" t="s">
        <v>2285</v>
      </c>
      <c r="F743" s="103" t="s">
        <v>2202</v>
      </c>
      <c r="G743" s="103">
        <v>200</v>
      </c>
      <c r="H743" s="103" t="s">
        <v>2168</v>
      </c>
      <c r="I743" s="103" t="s">
        <v>2153</v>
      </c>
      <c r="L743" s="103">
        <v>100</v>
      </c>
      <c r="M743" s="103">
        <v>100</v>
      </c>
      <c r="N743" s="103" t="s">
        <v>2163</v>
      </c>
      <c r="O743" s="103">
        <v>200</v>
      </c>
      <c r="P743" s="103" t="s">
        <v>811</v>
      </c>
      <c r="Q743" s="103" t="s">
        <v>2155</v>
      </c>
      <c r="R743" s="103" t="s">
        <v>2220</v>
      </c>
      <c r="S743" s="103" t="s">
        <v>2251</v>
      </c>
      <c r="U743" s="103">
        <v>102.6</v>
      </c>
      <c r="V743" s="103" t="s">
        <v>2158</v>
      </c>
      <c r="W743" s="103" t="s">
        <v>108</v>
      </c>
      <c r="X743" s="103" t="s">
        <v>1597</v>
      </c>
      <c r="Y743" s="103" t="s">
        <v>1685</v>
      </c>
      <c r="AA743" s="103" t="s">
        <v>2220</v>
      </c>
      <c r="AB743" s="103" t="s">
        <v>71</v>
      </c>
      <c r="AE743" s="103" t="s">
        <v>810</v>
      </c>
      <c r="AF743" s="103" t="b">
        <v>1</v>
      </c>
    </row>
    <row r="744" spans="1:32" hidden="1" x14ac:dyDescent="0.2">
      <c r="A744" s="103" t="s">
        <v>357</v>
      </c>
      <c r="B744" s="103" t="s">
        <v>356</v>
      </c>
      <c r="C744" s="103" t="s">
        <v>2928</v>
      </c>
      <c r="D744" s="103" t="s">
        <v>2929</v>
      </c>
      <c r="E744" s="103" t="s">
        <v>2299</v>
      </c>
      <c r="F744" s="103" t="s">
        <v>2202</v>
      </c>
      <c r="G744" s="103">
        <v>200</v>
      </c>
      <c r="H744" s="103" t="s">
        <v>2168</v>
      </c>
      <c r="I744" s="103" t="s">
        <v>2153</v>
      </c>
      <c r="K744" s="103">
        <v>100</v>
      </c>
      <c r="L744" s="103">
        <v>100</v>
      </c>
      <c r="N744" s="103" t="s">
        <v>2154</v>
      </c>
      <c r="O744" s="103">
        <v>200</v>
      </c>
      <c r="P744" s="103" t="s">
        <v>1609</v>
      </c>
      <c r="Q744" s="103" t="s">
        <v>2155</v>
      </c>
      <c r="R744" s="103" t="s">
        <v>2220</v>
      </c>
      <c r="S744" s="103" t="s">
        <v>2251</v>
      </c>
      <c r="U744" s="103">
        <v>102.6</v>
      </c>
      <c r="V744" s="103" t="s">
        <v>2158</v>
      </c>
      <c r="W744" s="103" t="s">
        <v>108</v>
      </c>
      <c r="X744" s="103" t="s">
        <v>1597</v>
      </c>
      <c r="Y744" s="103" t="s">
        <v>1685</v>
      </c>
      <c r="AA744" s="103" t="s">
        <v>2220</v>
      </c>
      <c r="AB744" s="103" t="s">
        <v>71</v>
      </c>
      <c r="AE744" s="103" t="s">
        <v>810</v>
      </c>
      <c r="AF744" s="103" t="b">
        <v>1</v>
      </c>
    </row>
    <row r="745" spans="1:32" hidden="1" x14ac:dyDescent="0.2">
      <c r="A745" s="103" t="s">
        <v>824</v>
      </c>
      <c r="B745" s="103" t="s">
        <v>823</v>
      </c>
      <c r="C745" s="103" t="s">
        <v>2597</v>
      </c>
      <c r="D745" s="103" t="s">
        <v>2930</v>
      </c>
      <c r="E745" s="103" t="s">
        <v>2562</v>
      </c>
      <c r="F745" s="103" t="s">
        <v>2151</v>
      </c>
      <c r="G745" s="103">
        <v>150</v>
      </c>
      <c r="H745" s="103" t="s">
        <v>2168</v>
      </c>
      <c r="I745" s="103" t="s">
        <v>2153</v>
      </c>
      <c r="J745" s="103">
        <v>150</v>
      </c>
      <c r="K745" s="103">
        <v>0</v>
      </c>
      <c r="L745" s="103">
        <v>0</v>
      </c>
      <c r="M745" s="103">
        <v>0</v>
      </c>
      <c r="N745" s="103" t="s">
        <v>2163</v>
      </c>
      <c r="O745" s="103">
        <v>150</v>
      </c>
      <c r="P745" s="103" t="s">
        <v>1617</v>
      </c>
      <c r="Q745" s="103" t="s">
        <v>2155</v>
      </c>
      <c r="R745" s="103" t="s">
        <v>2225</v>
      </c>
      <c r="S745" s="103" t="s">
        <v>2238</v>
      </c>
      <c r="U745" s="103">
        <v>72.45</v>
      </c>
      <c r="V745" s="103" t="s">
        <v>2158</v>
      </c>
      <c r="W745" s="103" t="s">
        <v>106</v>
      </c>
      <c r="X745" s="103" t="s">
        <v>1597</v>
      </c>
      <c r="Y745" s="103" t="s">
        <v>1685</v>
      </c>
      <c r="AA745" s="103" t="s">
        <v>2225</v>
      </c>
      <c r="AB745" s="103" t="s">
        <v>64</v>
      </c>
      <c r="AE745" s="103" t="s">
        <v>750</v>
      </c>
      <c r="AF745" s="103" t="b">
        <v>1</v>
      </c>
    </row>
    <row r="746" spans="1:32" hidden="1" x14ac:dyDescent="0.2">
      <c r="A746" s="103" t="s">
        <v>824</v>
      </c>
      <c r="B746" s="103" t="s">
        <v>823</v>
      </c>
      <c r="C746" s="103" t="s">
        <v>2597</v>
      </c>
      <c r="D746" s="103" t="s">
        <v>2428</v>
      </c>
      <c r="E746" s="103" t="s">
        <v>2586</v>
      </c>
      <c r="G746" s="103">
        <v>11.25</v>
      </c>
      <c r="H746" s="103" t="s">
        <v>2152</v>
      </c>
      <c r="I746" s="103" t="s">
        <v>2153</v>
      </c>
      <c r="J746" s="103">
        <v>11.25</v>
      </c>
      <c r="N746" s="103" t="s">
        <v>2163</v>
      </c>
      <c r="O746" s="103">
        <v>11.25</v>
      </c>
      <c r="P746" s="103" t="s">
        <v>1617</v>
      </c>
      <c r="Q746" s="103" t="s">
        <v>2155</v>
      </c>
      <c r="R746" s="103" t="s">
        <v>2164</v>
      </c>
      <c r="U746" s="103">
        <v>6.75</v>
      </c>
      <c r="V746" s="103" t="s">
        <v>2158</v>
      </c>
      <c r="W746" s="103" t="s">
        <v>132</v>
      </c>
      <c r="X746" s="103" t="s">
        <v>1597</v>
      </c>
      <c r="Y746" s="103" t="s">
        <v>1685</v>
      </c>
      <c r="AA746" s="103" t="s">
        <v>2164</v>
      </c>
      <c r="AB746" s="103" t="s">
        <v>64</v>
      </c>
      <c r="AE746" s="103" t="s">
        <v>750</v>
      </c>
      <c r="AF746" s="103" t="b">
        <v>1</v>
      </c>
    </row>
    <row r="747" spans="1:32" hidden="1" x14ac:dyDescent="0.2">
      <c r="A747" s="103" t="s">
        <v>854</v>
      </c>
      <c r="B747" s="103" t="s">
        <v>853</v>
      </c>
      <c r="C747" s="103" t="s">
        <v>2931</v>
      </c>
      <c r="D747" s="103" t="s">
        <v>2932</v>
      </c>
      <c r="E747" s="103" t="s">
        <v>2196</v>
      </c>
      <c r="F747" s="103" t="s">
        <v>2232</v>
      </c>
      <c r="G747" s="103">
        <v>300</v>
      </c>
      <c r="H747" s="103" t="s">
        <v>2168</v>
      </c>
      <c r="I747" s="103" t="s">
        <v>2153</v>
      </c>
      <c r="J747" s="103">
        <v>75</v>
      </c>
      <c r="K747" s="103">
        <v>75</v>
      </c>
      <c r="L747" s="103">
        <v>75</v>
      </c>
      <c r="M747" s="103">
        <v>75</v>
      </c>
      <c r="N747" s="103" t="s">
        <v>2402</v>
      </c>
      <c r="O747" s="103">
        <v>300</v>
      </c>
      <c r="P747" s="103" t="s">
        <v>1609</v>
      </c>
      <c r="Q747" s="103" t="s">
        <v>2236</v>
      </c>
      <c r="R747" s="103" t="s">
        <v>121</v>
      </c>
      <c r="S747" s="103" t="s">
        <v>2422</v>
      </c>
      <c r="U747" s="103">
        <v>153.9</v>
      </c>
      <c r="V747" s="103" t="s">
        <v>2262</v>
      </c>
      <c r="W747" s="103" t="s">
        <v>121</v>
      </c>
      <c r="X747" s="103" t="s">
        <v>1597</v>
      </c>
      <c r="Y747" s="103" t="s">
        <v>1685</v>
      </c>
      <c r="AA747" s="103" t="s">
        <v>121</v>
      </c>
      <c r="AB747" s="103" t="s">
        <v>71</v>
      </c>
      <c r="AE747" s="103" t="s">
        <v>810</v>
      </c>
      <c r="AF747" s="103" t="b">
        <v>1</v>
      </c>
    </row>
    <row r="748" spans="1:32" hidden="1" x14ac:dyDescent="0.2">
      <c r="A748" s="103" t="s">
        <v>357</v>
      </c>
      <c r="B748" s="103" t="s">
        <v>356</v>
      </c>
      <c r="C748" s="103" t="s">
        <v>2933</v>
      </c>
      <c r="E748" s="103" t="s">
        <v>2259</v>
      </c>
      <c r="F748" s="103" t="s">
        <v>2202</v>
      </c>
      <c r="G748" s="103">
        <v>200</v>
      </c>
      <c r="H748" s="103" t="s">
        <v>2168</v>
      </c>
      <c r="I748" s="103" t="s">
        <v>2153</v>
      </c>
      <c r="K748" s="103">
        <v>100</v>
      </c>
      <c r="L748" s="103">
        <v>100</v>
      </c>
      <c r="N748" s="103" t="s">
        <v>2163</v>
      </c>
      <c r="O748" s="103">
        <v>200</v>
      </c>
      <c r="P748" s="103" t="s">
        <v>811</v>
      </c>
      <c r="Q748" s="103" t="s">
        <v>2155</v>
      </c>
      <c r="R748" s="103" t="s">
        <v>2220</v>
      </c>
      <c r="S748" s="103" t="s">
        <v>2251</v>
      </c>
      <c r="U748" s="103">
        <v>102.6</v>
      </c>
      <c r="V748" s="103" t="s">
        <v>2158</v>
      </c>
      <c r="W748" s="103" t="s">
        <v>108</v>
      </c>
      <c r="X748" s="103" t="s">
        <v>1597</v>
      </c>
      <c r="Y748" s="103" t="s">
        <v>1685</v>
      </c>
      <c r="AA748" s="103" t="s">
        <v>2220</v>
      </c>
      <c r="AB748" s="103" t="s">
        <v>71</v>
      </c>
      <c r="AE748" s="103" t="s">
        <v>810</v>
      </c>
      <c r="AF748" s="103" t="b">
        <v>1</v>
      </c>
    </row>
    <row r="749" spans="1:32" hidden="1" x14ac:dyDescent="0.2">
      <c r="A749" s="103" t="s">
        <v>357</v>
      </c>
      <c r="B749" s="103" t="s">
        <v>356</v>
      </c>
      <c r="C749" s="103" t="s">
        <v>2934</v>
      </c>
      <c r="E749" s="103" t="s">
        <v>2259</v>
      </c>
      <c r="F749" s="103" t="s">
        <v>2162</v>
      </c>
      <c r="G749" s="103">
        <v>50</v>
      </c>
      <c r="H749" s="103" t="s">
        <v>2168</v>
      </c>
      <c r="I749" s="103" t="s">
        <v>2153</v>
      </c>
      <c r="K749" s="103">
        <v>50</v>
      </c>
      <c r="N749" s="103" t="s">
        <v>2163</v>
      </c>
      <c r="O749" s="103">
        <v>50</v>
      </c>
      <c r="P749" s="103" t="s">
        <v>811</v>
      </c>
      <c r="Q749" s="103" t="s">
        <v>2155</v>
      </c>
      <c r="R749" s="103" t="s">
        <v>2220</v>
      </c>
      <c r="S749" s="103" t="s">
        <v>2251</v>
      </c>
      <c r="U749" s="103">
        <v>25.65</v>
      </c>
      <c r="V749" s="103" t="s">
        <v>2158</v>
      </c>
      <c r="W749" s="103" t="s">
        <v>108</v>
      </c>
      <c r="X749" s="103" t="s">
        <v>1597</v>
      </c>
      <c r="Y749" s="103" t="s">
        <v>1685</v>
      </c>
      <c r="AA749" s="103" t="s">
        <v>2220</v>
      </c>
      <c r="AB749" s="103" t="s">
        <v>71</v>
      </c>
      <c r="AE749" s="103" t="s">
        <v>810</v>
      </c>
      <c r="AF749" s="103" t="b">
        <v>1</v>
      </c>
    </row>
    <row r="750" spans="1:32" hidden="1" x14ac:dyDescent="0.2">
      <c r="A750" s="103" t="s">
        <v>615</v>
      </c>
      <c r="B750" s="103" t="s">
        <v>614</v>
      </c>
      <c r="C750" s="103" t="s">
        <v>615</v>
      </c>
      <c r="D750" s="103" t="s">
        <v>2646</v>
      </c>
      <c r="E750" s="103" t="s">
        <v>2421</v>
      </c>
      <c r="F750" s="103" t="s">
        <v>2151</v>
      </c>
      <c r="G750" s="103">
        <v>100</v>
      </c>
      <c r="H750" s="103" t="s">
        <v>2168</v>
      </c>
      <c r="I750" s="103" t="s">
        <v>2153</v>
      </c>
      <c r="J750" s="103">
        <v>0</v>
      </c>
      <c r="K750" s="103">
        <v>50</v>
      </c>
      <c r="L750" s="103">
        <v>25</v>
      </c>
      <c r="M750" s="103">
        <v>25</v>
      </c>
      <c r="N750" s="103" t="s">
        <v>2154</v>
      </c>
      <c r="O750" s="103">
        <v>100</v>
      </c>
      <c r="P750" s="103" t="s">
        <v>1609</v>
      </c>
      <c r="Q750" s="103" t="s">
        <v>2155</v>
      </c>
      <c r="R750" s="103" t="s">
        <v>2225</v>
      </c>
      <c r="S750" s="103" t="s">
        <v>2422</v>
      </c>
      <c r="T750" s="103" t="s">
        <v>2647</v>
      </c>
      <c r="U750" s="103">
        <v>48.3</v>
      </c>
      <c r="V750" s="103" t="s">
        <v>2158</v>
      </c>
      <c r="W750" s="103" t="s">
        <v>106</v>
      </c>
      <c r="X750" s="103" t="s">
        <v>1597</v>
      </c>
      <c r="Y750" s="103" t="s">
        <v>1685</v>
      </c>
      <c r="AA750" s="103" t="s">
        <v>2225</v>
      </c>
      <c r="AB750" s="103" t="s">
        <v>74</v>
      </c>
      <c r="AE750" s="103" t="s">
        <v>750</v>
      </c>
      <c r="AF750" s="103" t="b">
        <v>1</v>
      </c>
    </row>
    <row r="751" spans="1:32" hidden="1" x14ac:dyDescent="0.2">
      <c r="A751" s="103" t="s">
        <v>357</v>
      </c>
      <c r="B751" s="103" t="s">
        <v>356</v>
      </c>
      <c r="C751" s="103" t="s">
        <v>2938</v>
      </c>
      <c r="E751" s="103" t="s">
        <v>2338</v>
      </c>
      <c r="F751" s="103" t="s">
        <v>2162</v>
      </c>
      <c r="G751" s="103">
        <v>50</v>
      </c>
      <c r="H751" s="103" t="s">
        <v>2168</v>
      </c>
      <c r="I751" s="103" t="s">
        <v>2153</v>
      </c>
      <c r="L751" s="103">
        <v>50</v>
      </c>
      <c r="N751" s="103" t="s">
        <v>2163</v>
      </c>
      <c r="O751" s="103">
        <v>50</v>
      </c>
      <c r="P751" s="103" t="s">
        <v>811</v>
      </c>
      <c r="Q751" s="103" t="s">
        <v>2155</v>
      </c>
      <c r="R751" s="103" t="s">
        <v>2220</v>
      </c>
      <c r="S751" s="103" t="s">
        <v>2251</v>
      </c>
      <c r="U751" s="103">
        <v>25.65</v>
      </c>
      <c r="V751" s="103" t="s">
        <v>2158</v>
      </c>
      <c r="W751" s="103" t="s">
        <v>108</v>
      </c>
      <c r="X751" s="103" t="s">
        <v>1597</v>
      </c>
      <c r="Y751" s="103" t="s">
        <v>1685</v>
      </c>
      <c r="AA751" s="103" t="s">
        <v>2220</v>
      </c>
      <c r="AB751" s="103" t="s">
        <v>71</v>
      </c>
      <c r="AE751" s="103" t="s">
        <v>810</v>
      </c>
      <c r="AF751" s="103" t="b">
        <v>1</v>
      </c>
    </row>
    <row r="752" spans="1:32" hidden="1" x14ac:dyDescent="0.2">
      <c r="A752" s="103" t="s">
        <v>357</v>
      </c>
      <c r="B752" s="103" t="s">
        <v>356</v>
      </c>
      <c r="C752" s="103" t="s">
        <v>2940</v>
      </c>
      <c r="D752" s="103" t="s">
        <v>2941</v>
      </c>
      <c r="E752" s="103" t="s">
        <v>2338</v>
      </c>
      <c r="F752" s="103" t="s">
        <v>2162</v>
      </c>
      <c r="G752" s="103">
        <v>50</v>
      </c>
      <c r="H752" s="103" t="s">
        <v>2168</v>
      </c>
      <c r="I752" s="103" t="s">
        <v>2153</v>
      </c>
      <c r="L752" s="103">
        <v>50</v>
      </c>
      <c r="N752" s="103" t="s">
        <v>2163</v>
      </c>
      <c r="O752" s="103">
        <v>50</v>
      </c>
      <c r="P752" s="103" t="s">
        <v>811</v>
      </c>
      <c r="Q752" s="103" t="s">
        <v>2155</v>
      </c>
      <c r="R752" s="103" t="s">
        <v>2220</v>
      </c>
      <c r="S752" s="103" t="s">
        <v>2251</v>
      </c>
      <c r="U752" s="103">
        <v>25.65</v>
      </c>
      <c r="V752" s="103" t="s">
        <v>2158</v>
      </c>
      <c r="W752" s="103" t="s">
        <v>108</v>
      </c>
      <c r="X752" s="103" t="s">
        <v>1597</v>
      </c>
      <c r="Y752" s="103" t="s">
        <v>1685</v>
      </c>
      <c r="AA752" s="103" t="s">
        <v>2220</v>
      </c>
      <c r="AB752" s="103" t="s">
        <v>71</v>
      </c>
      <c r="AE752" s="103" t="s">
        <v>810</v>
      </c>
      <c r="AF752" s="103" t="b">
        <v>1</v>
      </c>
    </row>
    <row r="753" spans="1:32" hidden="1" x14ac:dyDescent="0.2">
      <c r="A753" s="103" t="s">
        <v>357</v>
      </c>
      <c r="B753" s="103" t="s">
        <v>356</v>
      </c>
      <c r="C753" s="103" t="s">
        <v>2939</v>
      </c>
      <c r="E753" s="103" t="s">
        <v>2285</v>
      </c>
      <c r="F753" s="103" t="s">
        <v>2162</v>
      </c>
      <c r="G753" s="103">
        <v>50</v>
      </c>
      <c r="H753" s="103" t="s">
        <v>2168</v>
      </c>
      <c r="I753" s="103" t="s">
        <v>2153</v>
      </c>
      <c r="K753" s="103">
        <v>50</v>
      </c>
      <c r="N753" s="103" t="s">
        <v>2154</v>
      </c>
      <c r="O753" s="103">
        <v>50</v>
      </c>
      <c r="P753" s="103" t="s">
        <v>811</v>
      </c>
      <c r="Q753" s="103" t="s">
        <v>2155</v>
      </c>
      <c r="R753" s="103" t="s">
        <v>2220</v>
      </c>
      <c r="S753" s="103" t="s">
        <v>2251</v>
      </c>
      <c r="U753" s="103">
        <v>25.65</v>
      </c>
      <c r="V753" s="103" t="s">
        <v>2158</v>
      </c>
      <c r="W753" s="103" t="s">
        <v>108</v>
      </c>
      <c r="X753" s="103" t="s">
        <v>1597</v>
      </c>
      <c r="Y753" s="103" t="s">
        <v>1685</v>
      </c>
      <c r="AA753" s="103" t="s">
        <v>2220</v>
      </c>
      <c r="AB753" s="103" t="s">
        <v>71</v>
      </c>
      <c r="AE753" s="103" t="s">
        <v>810</v>
      </c>
      <c r="AF753" s="103" t="b">
        <v>1</v>
      </c>
    </row>
    <row r="754" spans="1:32" hidden="1" x14ac:dyDescent="0.2">
      <c r="A754" s="103" t="s">
        <v>363</v>
      </c>
      <c r="B754" s="103" t="s">
        <v>362</v>
      </c>
      <c r="C754" s="103" t="s">
        <v>2970</v>
      </c>
      <c r="E754" s="103" t="s">
        <v>2338</v>
      </c>
      <c r="F754" s="103" t="s">
        <v>2202</v>
      </c>
      <c r="G754" s="103">
        <v>200</v>
      </c>
      <c r="H754" s="103" t="s">
        <v>2168</v>
      </c>
      <c r="I754" s="103" t="s">
        <v>2153</v>
      </c>
      <c r="J754" s="103">
        <v>50</v>
      </c>
      <c r="K754" s="103">
        <v>50</v>
      </c>
      <c r="L754" s="103">
        <v>50</v>
      </c>
      <c r="M754" s="103">
        <v>50</v>
      </c>
      <c r="N754" s="103" t="s">
        <v>2163</v>
      </c>
      <c r="O754" s="103">
        <v>200</v>
      </c>
      <c r="P754" s="103" t="s">
        <v>811</v>
      </c>
      <c r="Q754" s="103" t="s">
        <v>2155</v>
      </c>
      <c r="R754" s="103" t="s">
        <v>2220</v>
      </c>
      <c r="S754" s="103" t="s">
        <v>2251</v>
      </c>
      <c r="U754" s="103">
        <v>102.6</v>
      </c>
      <c r="V754" s="103" t="s">
        <v>2158</v>
      </c>
      <c r="W754" s="103" t="s">
        <v>108</v>
      </c>
      <c r="X754" s="103" t="s">
        <v>1597</v>
      </c>
      <c r="Y754" s="103" t="s">
        <v>1685</v>
      </c>
      <c r="AA754" s="103" t="s">
        <v>2220</v>
      </c>
      <c r="AB754" s="103" t="s">
        <v>71</v>
      </c>
      <c r="AE754" s="103" t="s">
        <v>810</v>
      </c>
      <c r="AF754" s="103" t="b">
        <v>1</v>
      </c>
    </row>
    <row r="755" spans="1:32" hidden="1" x14ac:dyDescent="0.2">
      <c r="A755" s="103" t="s">
        <v>357</v>
      </c>
      <c r="B755" s="103" t="s">
        <v>356</v>
      </c>
      <c r="C755" s="103" t="s">
        <v>2942</v>
      </c>
      <c r="E755" s="103" t="s">
        <v>2272</v>
      </c>
      <c r="F755" s="103" t="s">
        <v>2175</v>
      </c>
      <c r="G755" s="103">
        <v>20</v>
      </c>
      <c r="H755" s="103" t="s">
        <v>2168</v>
      </c>
      <c r="I755" s="103" t="s">
        <v>2153</v>
      </c>
      <c r="J755" s="103">
        <v>20</v>
      </c>
      <c r="N755" s="103" t="s">
        <v>2163</v>
      </c>
      <c r="O755" s="103">
        <v>20</v>
      </c>
      <c r="P755" s="103" t="s">
        <v>811</v>
      </c>
      <c r="Q755" s="103" t="s">
        <v>2155</v>
      </c>
      <c r="R755" s="103" t="s">
        <v>2220</v>
      </c>
      <c r="S755" s="103" t="s">
        <v>2251</v>
      </c>
      <c r="U755" s="103">
        <v>10.26</v>
      </c>
      <c r="V755" s="103" t="s">
        <v>2158</v>
      </c>
      <c r="W755" s="103" t="s">
        <v>108</v>
      </c>
      <c r="X755" s="103" t="s">
        <v>1597</v>
      </c>
      <c r="Y755" s="103" t="s">
        <v>1685</v>
      </c>
      <c r="AA755" s="103" t="s">
        <v>2220</v>
      </c>
      <c r="AB755" s="103" t="s">
        <v>71</v>
      </c>
      <c r="AE755" s="103" t="s">
        <v>810</v>
      </c>
      <c r="AF755" s="103" t="b">
        <v>1</v>
      </c>
    </row>
    <row r="756" spans="1:32" hidden="1" x14ac:dyDescent="0.2">
      <c r="A756" s="103" t="s">
        <v>357</v>
      </c>
      <c r="B756" s="103" t="s">
        <v>356</v>
      </c>
      <c r="C756" s="103" t="s">
        <v>2943</v>
      </c>
      <c r="E756" s="103" t="s">
        <v>2266</v>
      </c>
      <c r="F756" s="103" t="s">
        <v>2175</v>
      </c>
      <c r="G756" s="103">
        <v>20</v>
      </c>
      <c r="H756" s="103" t="s">
        <v>2168</v>
      </c>
      <c r="I756" s="103" t="s">
        <v>2153</v>
      </c>
      <c r="J756" s="103">
        <v>20</v>
      </c>
      <c r="N756" s="103" t="s">
        <v>2163</v>
      </c>
      <c r="O756" s="103">
        <v>20</v>
      </c>
      <c r="P756" s="103" t="s">
        <v>811</v>
      </c>
      <c r="Q756" s="103" t="s">
        <v>2155</v>
      </c>
      <c r="R756" s="103" t="s">
        <v>2220</v>
      </c>
      <c r="S756" s="103" t="s">
        <v>2251</v>
      </c>
      <c r="U756" s="103">
        <v>10.26</v>
      </c>
      <c r="V756" s="103" t="s">
        <v>2158</v>
      </c>
      <c r="W756" s="103" t="s">
        <v>108</v>
      </c>
      <c r="X756" s="103" t="s">
        <v>1597</v>
      </c>
      <c r="Y756" s="103" t="s">
        <v>1685</v>
      </c>
      <c r="AA756" s="103" t="s">
        <v>2220</v>
      </c>
      <c r="AB756" s="103" t="s">
        <v>71</v>
      </c>
      <c r="AE756" s="103" t="s">
        <v>810</v>
      </c>
      <c r="AF756" s="103" t="b">
        <v>1</v>
      </c>
    </row>
    <row r="757" spans="1:32" hidden="1" x14ac:dyDescent="0.2">
      <c r="A757" s="103" t="s">
        <v>357</v>
      </c>
      <c r="B757" s="103" t="s">
        <v>356</v>
      </c>
      <c r="C757" s="103" t="s">
        <v>2944</v>
      </c>
      <c r="E757" s="103" t="s">
        <v>2272</v>
      </c>
      <c r="F757" s="103" t="s">
        <v>2232</v>
      </c>
      <c r="G757" s="103">
        <v>300</v>
      </c>
      <c r="H757" s="103" t="s">
        <v>2168</v>
      </c>
      <c r="I757" s="103" t="s">
        <v>2153</v>
      </c>
      <c r="M757" s="103">
        <v>300</v>
      </c>
      <c r="N757" s="103" t="s">
        <v>2273</v>
      </c>
      <c r="O757" s="103">
        <v>300</v>
      </c>
      <c r="P757" s="103" t="s">
        <v>811</v>
      </c>
      <c r="Q757" s="103" t="s">
        <v>2155</v>
      </c>
      <c r="R757" s="103" t="s">
        <v>2220</v>
      </c>
      <c r="S757" s="103" t="s">
        <v>2251</v>
      </c>
      <c r="U757" s="103">
        <v>153.9</v>
      </c>
      <c r="V757" s="103" t="s">
        <v>2262</v>
      </c>
      <c r="W757" s="103" t="s">
        <v>108</v>
      </c>
      <c r="X757" s="103" t="s">
        <v>1597</v>
      </c>
      <c r="Y757" s="103" t="s">
        <v>1685</v>
      </c>
      <c r="AA757" s="103" t="s">
        <v>2220</v>
      </c>
      <c r="AB757" s="103" t="s">
        <v>71</v>
      </c>
      <c r="AE757" s="103" t="s">
        <v>810</v>
      </c>
      <c r="AF757" s="103" t="b">
        <v>1</v>
      </c>
    </row>
    <row r="758" spans="1:32" hidden="1" x14ac:dyDescent="0.2">
      <c r="A758" s="103" t="s">
        <v>357</v>
      </c>
      <c r="B758" s="103" t="s">
        <v>356</v>
      </c>
      <c r="C758" s="103" t="s">
        <v>2945</v>
      </c>
      <c r="E758" s="103" t="s">
        <v>2259</v>
      </c>
      <c r="F758" s="103" t="s">
        <v>2202</v>
      </c>
      <c r="G758" s="103">
        <v>200</v>
      </c>
      <c r="H758" s="103" t="s">
        <v>2168</v>
      </c>
      <c r="I758" s="103" t="s">
        <v>2153</v>
      </c>
      <c r="M758" s="103">
        <v>200</v>
      </c>
      <c r="N758" s="103" t="s">
        <v>2260</v>
      </c>
      <c r="O758" s="103">
        <v>200</v>
      </c>
      <c r="P758" s="103" t="s">
        <v>811</v>
      </c>
      <c r="Q758" s="103" t="s">
        <v>2155</v>
      </c>
      <c r="R758" s="103" t="s">
        <v>2220</v>
      </c>
      <c r="S758" s="103" t="s">
        <v>2251</v>
      </c>
      <c r="U758" s="103">
        <v>102.6</v>
      </c>
      <c r="V758" s="103" t="s">
        <v>2262</v>
      </c>
      <c r="W758" s="103" t="s">
        <v>108</v>
      </c>
      <c r="X758" s="103" t="s">
        <v>1597</v>
      </c>
      <c r="Y758" s="103" t="s">
        <v>1685</v>
      </c>
      <c r="AA758" s="103" t="s">
        <v>2220</v>
      </c>
      <c r="AB758" s="103" t="s">
        <v>71</v>
      </c>
      <c r="AE758" s="103" t="s">
        <v>810</v>
      </c>
      <c r="AF758" s="103" t="b">
        <v>1</v>
      </c>
    </row>
    <row r="759" spans="1:32" hidden="1" x14ac:dyDescent="0.2">
      <c r="A759" s="103" t="s">
        <v>357</v>
      </c>
      <c r="B759" s="103" t="s">
        <v>356</v>
      </c>
      <c r="C759" s="103" t="s">
        <v>2946</v>
      </c>
      <c r="E759" s="103" t="s">
        <v>2272</v>
      </c>
      <c r="F759" s="103" t="s">
        <v>2151</v>
      </c>
      <c r="G759" s="103">
        <v>100</v>
      </c>
      <c r="H759" s="103" t="s">
        <v>2168</v>
      </c>
      <c r="I759" s="103" t="s">
        <v>2153</v>
      </c>
      <c r="L759" s="103">
        <v>100</v>
      </c>
      <c r="N759" s="103" t="s">
        <v>2260</v>
      </c>
      <c r="O759" s="103">
        <v>100</v>
      </c>
      <c r="P759" s="103" t="s">
        <v>811</v>
      </c>
      <c r="Q759" s="103" t="s">
        <v>2155</v>
      </c>
      <c r="R759" s="103" t="s">
        <v>2220</v>
      </c>
      <c r="S759" s="103" t="s">
        <v>2251</v>
      </c>
      <c r="U759" s="103">
        <v>51.3</v>
      </c>
      <c r="V759" s="103" t="s">
        <v>2262</v>
      </c>
      <c r="W759" s="103" t="s">
        <v>108</v>
      </c>
      <c r="X759" s="103" t="s">
        <v>1597</v>
      </c>
      <c r="Y759" s="103" t="s">
        <v>1685</v>
      </c>
      <c r="AA759" s="103" t="s">
        <v>2220</v>
      </c>
      <c r="AB759" s="103" t="s">
        <v>71</v>
      </c>
      <c r="AE759" s="103" t="s">
        <v>810</v>
      </c>
      <c r="AF759" s="103" t="b">
        <v>1</v>
      </c>
    </row>
    <row r="760" spans="1:32" hidden="1" x14ac:dyDescent="0.2">
      <c r="A760" s="103" t="s">
        <v>357</v>
      </c>
      <c r="B760" s="103" t="s">
        <v>356</v>
      </c>
      <c r="C760" s="103" t="s">
        <v>2947</v>
      </c>
      <c r="E760" s="103" t="s">
        <v>2285</v>
      </c>
      <c r="F760" s="103" t="s">
        <v>2151</v>
      </c>
      <c r="G760" s="103">
        <v>100</v>
      </c>
      <c r="H760" s="103" t="s">
        <v>2168</v>
      </c>
      <c r="I760" s="103" t="s">
        <v>2153</v>
      </c>
      <c r="M760" s="103">
        <v>100</v>
      </c>
      <c r="N760" s="103" t="s">
        <v>2273</v>
      </c>
      <c r="O760" s="103">
        <v>100</v>
      </c>
      <c r="P760" s="103" t="s">
        <v>811</v>
      </c>
      <c r="Q760" s="103" t="s">
        <v>2155</v>
      </c>
      <c r="R760" s="103" t="s">
        <v>2220</v>
      </c>
      <c r="S760" s="103" t="s">
        <v>2251</v>
      </c>
      <c r="U760" s="103">
        <v>51.3</v>
      </c>
      <c r="V760" s="103" t="s">
        <v>2262</v>
      </c>
      <c r="W760" s="103" t="s">
        <v>108</v>
      </c>
      <c r="X760" s="103" t="s">
        <v>1597</v>
      </c>
      <c r="Y760" s="103" t="s">
        <v>1685</v>
      </c>
      <c r="AA760" s="103" t="s">
        <v>2220</v>
      </c>
      <c r="AB760" s="103" t="s">
        <v>71</v>
      </c>
      <c r="AE760" s="103" t="s">
        <v>810</v>
      </c>
      <c r="AF760" s="103" t="b">
        <v>1</v>
      </c>
    </row>
    <row r="761" spans="1:32" hidden="1" x14ac:dyDescent="0.2">
      <c r="A761" s="103" t="s">
        <v>357</v>
      </c>
      <c r="B761" s="103" t="s">
        <v>356</v>
      </c>
      <c r="C761" s="103" t="s">
        <v>2948</v>
      </c>
      <c r="E761" s="103" t="s">
        <v>2266</v>
      </c>
      <c r="F761" s="103" t="s">
        <v>2151</v>
      </c>
      <c r="G761" s="103">
        <v>100</v>
      </c>
      <c r="H761" s="103" t="s">
        <v>2168</v>
      </c>
      <c r="I761" s="103" t="s">
        <v>2153</v>
      </c>
      <c r="K761" s="103">
        <v>50</v>
      </c>
      <c r="L761" s="103">
        <v>50</v>
      </c>
      <c r="N761" s="103" t="s">
        <v>2260</v>
      </c>
      <c r="O761" s="103">
        <v>100</v>
      </c>
      <c r="P761" s="103" t="s">
        <v>811</v>
      </c>
      <c r="Q761" s="103" t="s">
        <v>2155</v>
      </c>
      <c r="R761" s="103" t="s">
        <v>2220</v>
      </c>
      <c r="S761" s="103" t="s">
        <v>2251</v>
      </c>
      <c r="U761" s="103">
        <v>51.3</v>
      </c>
      <c r="V761" s="103" t="s">
        <v>2262</v>
      </c>
      <c r="W761" s="103" t="s">
        <v>108</v>
      </c>
      <c r="X761" s="103" t="s">
        <v>1597</v>
      </c>
      <c r="Y761" s="103" t="s">
        <v>1685</v>
      </c>
      <c r="AA761" s="103" t="s">
        <v>2220</v>
      </c>
      <c r="AB761" s="103" t="s">
        <v>71</v>
      </c>
      <c r="AE761" s="103" t="s">
        <v>810</v>
      </c>
      <c r="AF761" s="103" t="b">
        <v>1</v>
      </c>
    </row>
    <row r="762" spans="1:32" hidden="1" x14ac:dyDescent="0.2">
      <c r="A762" s="103" t="s">
        <v>357</v>
      </c>
      <c r="B762" s="103" t="s">
        <v>356</v>
      </c>
      <c r="C762" s="103" t="s">
        <v>2949</v>
      </c>
      <c r="E762" s="103" t="s">
        <v>2259</v>
      </c>
      <c r="F762" s="103" t="s">
        <v>2151</v>
      </c>
      <c r="G762" s="103">
        <v>100</v>
      </c>
      <c r="H762" s="103" t="s">
        <v>2168</v>
      </c>
      <c r="I762" s="103" t="s">
        <v>2153</v>
      </c>
      <c r="M762" s="103">
        <v>100</v>
      </c>
      <c r="N762" s="103" t="s">
        <v>2260</v>
      </c>
      <c r="O762" s="103">
        <v>100</v>
      </c>
      <c r="P762" s="103" t="s">
        <v>811</v>
      </c>
      <c r="Q762" s="103" t="s">
        <v>2155</v>
      </c>
      <c r="R762" s="103" t="s">
        <v>2220</v>
      </c>
      <c r="S762" s="103" t="s">
        <v>2251</v>
      </c>
      <c r="U762" s="103">
        <v>51.3</v>
      </c>
      <c r="V762" s="103" t="s">
        <v>2262</v>
      </c>
      <c r="W762" s="103" t="s">
        <v>108</v>
      </c>
      <c r="X762" s="103" t="s">
        <v>1597</v>
      </c>
      <c r="Y762" s="103" t="s">
        <v>1685</v>
      </c>
      <c r="AA762" s="103" t="s">
        <v>2220</v>
      </c>
      <c r="AB762" s="103" t="s">
        <v>71</v>
      </c>
      <c r="AE762" s="103" t="s">
        <v>810</v>
      </c>
      <c r="AF762" s="103" t="b">
        <v>1</v>
      </c>
    </row>
    <row r="763" spans="1:32" hidden="1" x14ac:dyDescent="0.2">
      <c r="A763" s="103" t="s">
        <v>357</v>
      </c>
      <c r="B763" s="103" t="s">
        <v>356</v>
      </c>
      <c r="C763" s="103" t="s">
        <v>2950</v>
      </c>
      <c r="E763" s="103" t="s">
        <v>2259</v>
      </c>
      <c r="F763" s="103" t="s">
        <v>2151</v>
      </c>
      <c r="G763" s="103">
        <v>100</v>
      </c>
      <c r="H763" s="103" t="s">
        <v>2168</v>
      </c>
      <c r="I763" s="103" t="s">
        <v>2153</v>
      </c>
      <c r="L763" s="103">
        <v>50</v>
      </c>
      <c r="M763" s="103">
        <v>50</v>
      </c>
      <c r="N763" s="103" t="s">
        <v>2260</v>
      </c>
      <c r="O763" s="103">
        <v>100</v>
      </c>
      <c r="P763" s="103" t="s">
        <v>811</v>
      </c>
      <c r="Q763" s="103" t="s">
        <v>2155</v>
      </c>
      <c r="R763" s="103" t="s">
        <v>2220</v>
      </c>
      <c r="S763" s="103" t="s">
        <v>2251</v>
      </c>
      <c r="U763" s="103">
        <v>51.3</v>
      </c>
      <c r="V763" s="103" t="s">
        <v>2262</v>
      </c>
      <c r="W763" s="103" t="s">
        <v>108</v>
      </c>
      <c r="X763" s="103" t="s">
        <v>1597</v>
      </c>
      <c r="Y763" s="103" t="s">
        <v>1685</v>
      </c>
      <c r="AA763" s="103" t="s">
        <v>2220</v>
      </c>
      <c r="AB763" s="103" t="s">
        <v>71</v>
      </c>
      <c r="AE763" s="103" t="s">
        <v>810</v>
      </c>
      <c r="AF763" s="103" t="b">
        <v>1</v>
      </c>
    </row>
    <row r="764" spans="1:32" hidden="1" x14ac:dyDescent="0.2">
      <c r="A764" s="103" t="s">
        <v>1180</v>
      </c>
      <c r="B764" s="103" t="s">
        <v>1179</v>
      </c>
      <c r="C764" s="103" t="s">
        <v>3027</v>
      </c>
      <c r="E764" s="103" t="s">
        <v>2338</v>
      </c>
      <c r="F764" s="103" t="s">
        <v>2162</v>
      </c>
      <c r="G764" s="103">
        <v>50</v>
      </c>
      <c r="H764" s="103" t="s">
        <v>2168</v>
      </c>
      <c r="I764" s="103" t="s">
        <v>2153</v>
      </c>
      <c r="J764" s="103">
        <v>10</v>
      </c>
      <c r="K764" s="103">
        <v>10</v>
      </c>
      <c r="L764" s="103">
        <v>10</v>
      </c>
      <c r="M764" s="103">
        <v>20</v>
      </c>
      <c r="N764" s="103" t="s">
        <v>2163</v>
      </c>
      <c r="O764" s="103">
        <v>50</v>
      </c>
      <c r="P764" s="103" t="s">
        <v>811</v>
      </c>
      <c r="Q764" s="103" t="s">
        <v>2236</v>
      </c>
      <c r="R764" s="103" t="s">
        <v>2220</v>
      </c>
      <c r="S764" s="103" t="s">
        <v>2870</v>
      </c>
      <c r="U764" s="103">
        <v>25.65</v>
      </c>
      <c r="V764" s="103" t="s">
        <v>2158</v>
      </c>
      <c r="W764" s="103" t="s">
        <v>108</v>
      </c>
      <c r="X764" s="103" t="s">
        <v>1597</v>
      </c>
      <c r="Y764" s="103" t="s">
        <v>1685</v>
      </c>
      <c r="AA764" s="103" t="s">
        <v>2220</v>
      </c>
      <c r="AB764" s="103" t="s">
        <v>71</v>
      </c>
      <c r="AE764" s="103" t="s">
        <v>810</v>
      </c>
      <c r="AF764" s="103" t="b">
        <v>1</v>
      </c>
    </row>
    <row r="765" spans="1:32" hidden="1" x14ac:dyDescent="0.2">
      <c r="A765" s="103" t="s">
        <v>361</v>
      </c>
      <c r="B765" s="103" t="s">
        <v>360</v>
      </c>
      <c r="C765" s="103" t="s">
        <v>2953</v>
      </c>
      <c r="E765" s="103" t="s">
        <v>2926</v>
      </c>
      <c r="F765" s="103" t="s">
        <v>2151</v>
      </c>
      <c r="G765" s="103">
        <v>100</v>
      </c>
      <c r="H765" s="103" t="s">
        <v>2168</v>
      </c>
      <c r="I765" s="103" t="s">
        <v>2153</v>
      </c>
      <c r="J765" s="103">
        <v>25</v>
      </c>
      <c r="K765" s="103">
        <v>25</v>
      </c>
      <c r="L765" s="103">
        <v>25</v>
      </c>
      <c r="M765" s="103">
        <v>25</v>
      </c>
      <c r="N765" s="103" t="s">
        <v>2163</v>
      </c>
      <c r="O765" s="103">
        <v>100</v>
      </c>
      <c r="P765" s="103" t="s">
        <v>1624</v>
      </c>
      <c r="Q765" s="103" t="s">
        <v>2387</v>
      </c>
      <c r="R765" s="103" t="s">
        <v>2220</v>
      </c>
      <c r="S765" s="103" t="s">
        <v>2251</v>
      </c>
      <c r="U765" s="103">
        <v>51.3</v>
      </c>
      <c r="V765" s="103" t="s">
        <v>2158</v>
      </c>
      <c r="W765" s="103" t="s">
        <v>108</v>
      </c>
      <c r="X765" s="103" t="s">
        <v>1597</v>
      </c>
      <c r="Y765" s="103" t="s">
        <v>1685</v>
      </c>
      <c r="AA765" s="103" t="s">
        <v>2220</v>
      </c>
      <c r="AB765" s="103" t="s">
        <v>71</v>
      </c>
      <c r="AE765" s="103" t="s">
        <v>810</v>
      </c>
      <c r="AF765" s="103" t="b">
        <v>1</v>
      </c>
    </row>
    <row r="766" spans="1:32" hidden="1" x14ac:dyDescent="0.2">
      <c r="A766" s="103" t="s">
        <v>615</v>
      </c>
      <c r="B766" s="103" t="s">
        <v>614</v>
      </c>
      <c r="C766" s="103" t="s">
        <v>615</v>
      </c>
      <c r="D766" s="103" t="s">
        <v>2648</v>
      </c>
      <c r="E766" s="103" t="s">
        <v>2421</v>
      </c>
      <c r="F766" s="103" t="s">
        <v>2151</v>
      </c>
      <c r="G766" s="103">
        <v>100</v>
      </c>
      <c r="H766" s="103" t="s">
        <v>2168</v>
      </c>
      <c r="I766" s="103" t="s">
        <v>2153</v>
      </c>
      <c r="L766" s="103">
        <v>50</v>
      </c>
      <c r="M766" s="103">
        <v>50</v>
      </c>
      <c r="N766" s="103" t="s">
        <v>2154</v>
      </c>
      <c r="O766" s="103">
        <v>100</v>
      </c>
      <c r="P766" s="103" t="s">
        <v>1609</v>
      </c>
      <c r="Q766" s="103" t="s">
        <v>2155</v>
      </c>
      <c r="R766" s="103" t="s">
        <v>2225</v>
      </c>
      <c r="S766" s="103" t="s">
        <v>2251</v>
      </c>
      <c r="T766" s="103" t="s">
        <v>2649</v>
      </c>
      <c r="U766" s="103">
        <v>48.3</v>
      </c>
      <c r="V766" s="103" t="s">
        <v>2158</v>
      </c>
      <c r="W766" s="103" t="s">
        <v>106</v>
      </c>
      <c r="X766" s="103" t="s">
        <v>1597</v>
      </c>
      <c r="Y766" s="103" t="s">
        <v>1685</v>
      </c>
      <c r="AA766" s="103" t="s">
        <v>2225</v>
      </c>
      <c r="AB766" s="103" t="s">
        <v>74</v>
      </c>
      <c r="AE766" s="103" t="s">
        <v>750</v>
      </c>
      <c r="AF766" s="103" t="b">
        <v>1</v>
      </c>
    </row>
    <row r="767" spans="1:32" hidden="1" x14ac:dyDescent="0.2">
      <c r="A767" s="103" t="s">
        <v>856</v>
      </c>
      <c r="B767" s="103" t="s">
        <v>855</v>
      </c>
      <c r="C767" s="103" t="s">
        <v>2955</v>
      </c>
      <c r="E767" s="103" t="s">
        <v>2334</v>
      </c>
      <c r="F767" s="103" t="s">
        <v>2162</v>
      </c>
      <c r="G767" s="103">
        <v>50</v>
      </c>
      <c r="H767" s="103" t="s">
        <v>2168</v>
      </c>
      <c r="I767" s="103" t="s">
        <v>2153</v>
      </c>
      <c r="K767" s="103">
        <v>25</v>
      </c>
      <c r="L767" s="103">
        <v>25</v>
      </c>
      <c r="N767" s="103" t="s">
        <v>2163</v>
      </c>
      <c r="O767" s="103">
        <v>50</v>
      </c>
      <c r="P767" s="103" t="s">
        <v>791</v>
      </c>
      <c r="Q767" s="103" t="s">
        <v>2155</v>
      </c>
      <c r="R767" s="103" t="s">
        <v>2220</v>
      </c>
      <c r="S767" s="103" t="s">
        <v>2870</v>
      </c>
      <c r="U767" s="103">
        <v>25.65</v>
      </c>
      <c r="V767" s="103" t="s">
        <v>2158</v>
      </c>
      <c r="W767" s="103" t="s">
        <v>116</v>
      </c>
      <c r="X767" s="103" t="s">
        <v>1597</v>
      </c>
      <c r="Y767" s="103" t="s">
        <v>1685</v>
      </c>
      <c r="AA767" s="103" t="s">
        <v>2220</v>
      </c>
      <c r="AB767" s="103" t="s">
        <v>71</v>
      </c>
      <c r="AE767" s="103" t="s">
        <v>898</v>
      </c>
      <c r="AF767" s="103" t="b">
        <v>1</v>
      </c>
    </row>
    <row r="768" spans="1:32" hidden="1" x14ac:dyDescent="0.2">
      <c r="A768" s="103" t="s">
        <v>856</v>
      </c>
      <c r="B768" s="103" t="s">
        <v>855</v>
      </c>
      <c r="C768" s="103" t="s">
        <v>2956</v>
      </c>
      <c r="E768" s="103" t="s">
        <v>2957</v>
      </c>
      <c r="F768" s="103" t="s">
        <v>2162</v>
      </c>
      <c r="G768" s="103">
        <v>50</v>
      </c>
      <c r="H768" s="103" t="s">
        <v>2168</v>
      </c>
      <c r="I768" s="103" t="s">
        <v>2153</v>
      </c>
      <c r="K768" s="103">
        <v>50</v>
      </c>
      <c r="N768" s="103" t="s">
        <v>2163</v>
      </c>
      <c r="O768" s="103">
        <v>50</v>
      </c>
      <c r="P768" s="103" t="s">
        <v>791</v>
      </c>
      <c r="Q768" s="103" t="s">
        <v>2155</v>
      </c>
      <c r="R768" s="103" t="s">
        <v>2220</v>
      </c>
      <c r="S768" s="103" t="s">
        <v>2870</v>
      </c>
      <c r="U768" s="103">
        <v>25.65</v>
      </c>
      <c r="V768" s="103" t="s">
        <v>2158</v>
      </c>
      <c r="W768" s="103" t="s">
        <v>116</v>
      </c>
      <c r="X768" s="103" t="s">
        <v>1597</v>
      </c>
      <c r="Y768" s="103" t="s">
        <v>1685</v>
      </c>
      <c r="AA768" s="103" t="s">
        <v>2220</v>
      </c>
      <c r="AB768" s="103" t="s">
        <v>71</v>
      </c>
      <c r="AE768" s="103" t="s">
        <v>898</v>
      </c>
      <c r="AF768" s="103" t="b">
        <v>1</v>
      </c>
    </row>
    <row r="769" spans="1:32" hidden="1" x14ac:dyDescent="0.2">
      <c r="A769" s="103" t="s">
        <v>856</v>
      </c>
      <c r="B769" s="103" t="s">
        <v>855</v>
      </c>
      <c r="C769" s="103" t="s">
        <v>2958</v>
      </c>
      <c r="E769" s="103" t="s">
        <v>2957</v>
      </c>
      <c r="F769" s="103" t="s">
        <v>2202</v>
      </c>
      <c r="G769" s="103">
        <v>250</v>
      </c>
      <c r="H769" s="103" t="s">
        <v>2152</v>
      </c>
      <c r="I769" s="103" t="s">
        <v>2153</v>
      </c>
      <c r="J769" s="103">
        <v>50</v>
      </c>
      <c r="K769" s="103">
        <v>50</v>
      </c>
      <c r="L769" s="103">
        <v>75</v>
      </c>
      <c r="M769" s="103">
        <v>75</v>
      </c>
      <c r="N769" s="103" t="s">
        <v>2163</v>
      </c>
      <c r="O769" s="103">
        <v>250</v>
      </c>
      <c r="P769" s="103" t="s">
        <v>791</v>
      </c>
      <c r="Q769" s="103" t="s">
        <v>2155</v>
      </c>
      <c r="R769" s="103" t="s">
        <v>2220</v>
      </c>
      <c r="S769" s="103" t="s">
        <v>2870</v>
      </c>
      <c r="U769" s="103">
        <v>128.25</v>
      </c>
      <c r="V769" s="103" t="s">
        <v>2158</v>
      </c>
      <c r="W769" s="103" t="s">
        <v>116</v>
      </c>
      <c r="X769" s="103" t="s">
        <v>1597</v>
      </c>
      <c r="Y769" s="103" t="s">
        <v>1685</v>
      </c>
      <c r="AA769" s="103" t="s">
        <v>2220</v>
      </c>
      <c r="AB769" s="103" t="s">
        <v>71</v>
      </c>
      <c r="AE769" s="103" t="s">
        <v>898</v>
      </c>
      <c r="AF769" s="103" t="b">
        <v>1</v>
      </c>
    </row>
    <row r="770" spans="1:32" hidden="1" x14ac:dyDescent="0.2">
      <c r="A770" s="103" t="s">
        <v>856</v>
      </c>
      <c r="B770" s="103" t="s">
        <v>855</v>
      </c>
      <c r="C770" s="103" t="s">
        <v>2959</v>
      </c>
      <c r="E770" s="103" t="s">
        <v>2957</v>
      </c>
      <c r="F770" s="103" t="s">
        <v>2175</v>
      </c>
      <c r="G770" s="103">
        <v>20</v>
      </c>
      <c r="H770" s="103" t="s">
        <v>2168</v>
      </c>
      <c r="I770" s="103" t="s">
        <v>2153</v>
      </c>
      <c r="K770" s="103">
        <v>15</v>
      </c>
      <c r="L770" s="103">
        <v>5</v>
      </c>
      <c r="N770" s="103" t="s">
        <v>2163</v>
      </c>
      <c r="O770" s="103">
        <v>20</v>
      </c>
      <c r="P770" s="103" t="s">
        <v>791</v>
      </c>
      <c r="Q770" s="103" t="s">
        <v>2155</v>
      </c>
      <c r="R770" s="103" t="s">
        <v>2220</v>
      </c>
      <c r="S770" s="103" t="s">
        <v>2870</v>
      </c>
      <c r="U770" s="103">
        <v>10.26</v>
      </c>
      <c r="V770" s="103" t="s">
        <v>2158</v>
      </c>
      <c r="W770" s="103" t="s">
        <v>116</v>
      </c>
      <c r="X770" s="103" t="s">
        <v>1597</v>
      </c>
      <c r="Y770" s="103" t="s">
        <v>1685</v>
      </c>
      <c r="AA770" s="103" t="s">
        <v>2220</v>
      </c>
      <c r="AB770" s="103" t="s">
        <v>71</v>
      </c>
      <c r="AE770" s="103" t="s">
        <v>898</v>
      </c>
      <c r="AF770" s="103" t="b">
        <v>1</v>
      </c>
    </row>
    <row r="771" spans="1:32" hidden="1" x14ac:dyDescent="0.2">
      <c r="A771" s="103" t="s">
        <v>856</v>
      </c>
      <c r="B771" s="103" t="s">
        <v>855</v>
      </c>
      <c r="C771" s="103" t="s">
        <v>2960</v>
      </c>
      <c r="E771" s="103" t="s">
        <v>2957</v>
      </c>
      <c r="F771" s="103" t="s">
        <v>2175</v>
      </c>
      <c r="G771" s="103">
        <v>20</v>
      </c>
      <c r="H771" s="103" t="s">
        <v>2168</v>
      </c>
      <c r="I771" s="103" t="s">
        <v>2153</v>
      </c>
      <c r="K771" s="103">
        <v>20</v>
      </c>
      <c r="N771" s="103" t="s">
        <v>2260</v>
      </c>
      <c r="O771" s="103">
        <v>20</v>
      </c>
      <c r="P771" s="103" t="s">
        <v>791</v>
      </c>
      <c r="Q771" s="103" t="s">
        <v>2155</v>
      </c>
      <c r="R771" s="103" t="s">
        <v>2220</v>
      </c>
      <c r="S771" s="103" t="s">
        <v>2870</v>
      </c>
      <c r="U771" s="103">
        <v>10.26</v>
      </c>
      <c r="V771" s="103" t="s">
        <v>2262</v>
      </c>
      <c r="W771" s="103" t="s">
        <v>116</v>
      </c>
      <c r="X771" s="103" t="s">
        <v>1597</v>
      </c>
      <c r="Y771" s="103" t="s">
        <v>1685</v>
      </c>
      <c r="AA771" s="103" t="s">
        <v>2220</v>
      </c>
      <c r="AB771" s="103" t="s">
        <v>71</v>
      </c>
      <c r="AE771" s="103" t="s">
        <v>898</v>
      </c>
      <c r="AF771" s="103" t="b">
        <v>1</v>
      </c>
    </row>
    <row r="772" spans="1:32" hidden="1" x14ac:dyDescent="0.2">
      <c r="A772" s="103" t="s">
        <v>856</v>
      </c>
      <c r="B772" s="103" t="s">
        <v>855</v>
      </c>
      <c r="C772" s="103" t="s">
        <v>2961</v>
      </c>
      <c r="E772" s="103" t="s">
        <v>2346</v>
      </c>
      <c r="F772" s="103" t="s">
        <v>2151</v>
      </c>
      <c r="G772" s="103">
        <v>100</v>
      </c>
      <c r="H772" s="103" t="s">
        <v>2168</v>
      </c>
      <c r="I772" s="103" t="s">
        <v>2153</v>
      </c>
      <c r="L772" s="103">
        <v>50</v>
      </c>
      <c r="M772" s="103">
        <v>50</v>
      </c>
      <c r="N772" s="103" t="s">
        <v>2260</v>
      </c>
      <c r="O772" s="103">
        <v>100</v>
      </c>
      <c r="P772" s="103" t="s">
        <v>791</v>
      </c>
      <c r="Q772" s="103" t="s">
        <v>2155</v>
      </c>
      <c r="R772" s="103" t="s">
        <v>2220</v>
      </c>
      <c r="S772" s="103" t="s">
        <v>2870</v>
      </c>
      <c r="U772" s="103">
        <v>51.3</v>
      </c>
      <c r="V772" s="103" t="s">
        <v>2262</v>
      </c>
      <c r="W772" s="103" t="s">
        <v>116</v>
      </c>
      <c r="X772" s="103" t="s">
        <v>1597</v>
      </c>
      <c r="Y772" s="103" t="s">
        <v>1685</v>
      </c>
      <c r="AA772" s="103" t="s">
        <v>2220</v>
      </c>
      <c r="AB772" s="103" t="s">
        <v>71</v>
      </c>
      <c r="AE772" s="103" t="s">
        <v>898</v>
      </c>
      <c r="AF772" s="103" t="b">
        <v>1</v>
      </c>
    </row>
    <row r="773" spans="1:32" hidden="1" x14ac:dyDescent="0.2">
      <c r="A773" s="103" t="s">
        <v>856</v>
      </c>
      <c r="B773" s="103" t="s">
        <v>855</v>
      </c>
      <c r="C773" s="103" t="s">
        <v>2962</v>
      </c>
      <c r="E773" s="103" t="s">
        <v>2957</v>
      </c>
      <c r="F773" s="103" t="s">
        <v>2226</v>
      </c>
      <c r="G773" s="103">
        <v>400</v>
      </c>
      <c r="H773" s="103" t="s">
        <v>2168</v>
      </c>
      <c r="I773" s="103" t="s">
        <v>2153</v>
      </c>
      <c r="J773" s="103">
        <v>100</v>
      </c>
      <c r="K773" s="103">
        <v>100</v>
      </c>
      <c r="L773" s="103">
        <v>100</v>
      </c>
      <c r="M773" s="103">
        <v>100</v>
      </c>
      <c r="N773" s="103" t="s">
        <v>2260</v>
      </c>
      <c r="O773" s="103">
        <v>400</v>
      </c>
      <c r="P773" s="103" t="s">
        <v>791</v>
      </c>
      <c r="Q773" s="103" t="s">
        <v>2155</v>
      </c>
      <c r="R773" s="103" t="s">
        <v>2220</v>
      </c>
      <c r="S773" s="103" t="s">
        <v>2870</v>
      </c>
      <c r="U773" s="103">
        <v>205.2</v>
      </c>
      <c r="V773" s="103" t="s">
        <v>2262</v>
      </c>
      <c r="W773" s="103" t="s">
        <v>116</v>
      </c>
      <c r="X773" s="103" t="s">
        <v>1597</v>
      </c>
      <c r="Y773" s="103" t="s">
        <v>1685</v>
      </c>
      <c r="AA773" s="103" t="s">
        <v>2220</v>
      </c>
      <c r="AB773" s="103" t="s">
        <v>71</v>
      </c>
      <c r="AE773" s="103" t="s">
        <v>898</v>
      </c>
      <c r="AF773" s="103" t="b">
        <v>1</v>
      </c>
    </row>
    <row r="774" spans="1:32" hidden="1" x14ac:dyDescent="0.2">
      <c r="A774" s="103" t="s">
        <v>361</v>
      </c>
      <c r="B774" s="103" t="s">
        <v>360</v>
      </c>
      <c r="C774" s="103" t="s">
        <v>2963</v>
      </c>
      <c r="D774" s="103" t="s">
        <v>2964</v>
      </c>
      <c r="E774" s="103" t="s">
        <v>2926</v>
      </c>
      <c r="F774" s="103" t="s">
        <v>2151</v>
      </c>
      <c r="G774" s="103">
        <v>100</v>
      </c>
      <c r="H774" s="103" t="s">
        <v>2168</v>
      </c>
      <c r="I774" s="103" t="s">
        <v>2153</v>
      </c>
      <c r="K774" s="103">
        <v>50</v>
      </c>
      <c r="L774" s="103">
        <v>50</v>
      </c>
      <c r="N774" s="103" t="s">
        <v>2154</v>
      </c>
      <c r="O774" s="103">
        <v>100</v>
      </c>
      <c r="P774" s="103" t="s">
        <v>811</v>
      </c>
      <c r="Q774" s="103" t="s">
        <v>2155</v>
      </c>
      <c r="R774" s="103" t="s">
        <v>2220</v>
      </c>
      <c r="S774" s="103" t="s">
        <v>2251</v>
      </c>
      <c r="U774" s="103">
        <v>51.3</v>
      </c>
      <c r="V774" s="103" t="s">
        <v>2158</v>
      </c>
      <c r="W774" s="103" t="s">
        <v>108</v>
      </c>
      <c r="X774" s="103" t="s">
        <v>1597</v>
      </c>
      <c r="Y774" s="103" t="s">
        <v>1685</v>
      </c>
      <c r="AA774" s="103" t="s">
        <v>2220</v>
      </c>
      <c r="AB774" s="103" t="s">
        <v>71</v>
      </c>
      <c r="AE774" s="103" t="s">
        <v>810</v>
      </c>
      <c r="AF774" s="103" t="b">
        <v>1</v>
      </c>
    </row>
    <row r="775" spans="1:32" hidden="1" x14ac:dyDescent="0.2">
      <c r="A775" s="103" t="s">
        <v>361</v>
      </c>
      <c r="B775" s="103" t="s">
        <v>360</v>
      </c>
      <c r="C775" s="103" t="s">
        <v>2965</v>
      </c>
      <c r="D775" s="103" t="s">
        <v>2964</v>
      </c>
      <c r="E775" s="103" t="s">
        <v>2285</v>
      </c>
      <c r="F775" s="103" t="s">
        <v>2151</v>
      </c>
      <c r="G775" s="103">
        <v>100</v>
      </c>
      <c r="H775" s="103" t="s">
        <v>2168</v>
      </c>
      <c r="I775" s="103" t="s">
        <v>2153</v>
      </c>
      <c r="K775" s="103">
        <v>50</v>
      </c>
      <c r="L775" s="103">
        <v>50</v>
      </c>
      <c r="N775" s="103" t="s">
        <v>2154</v>
      </c>
      <c r="O775" s="103">
        <v>100</v>
      </c>
      <c r="P775" s="103" t="s">
        <v>811</v>
      </c>
      <c r="Q775" s="103" t="s">
        <v>2155</v>
      </c>
      <c r="R775" s="103" t="s">
        <v>2220</v>
      </c>
      <c r="S775" s="103" t="s">
        <v>2251</v>
      </c>
      <c r="U775" s="103">
        <v>51.3</v>
      </c>
      <c r="V775" s="103" t="s">
        <v>2158</v>
      </c>
      <c r="W775" s="103" t="s">
        <v>108</v>
      </c>
      <c r="X775" s="103" t="s">
        <v>1597</v>
      </c>
      <c r="Y775" s="103" t="s">
        <v>1685</v>
      </c>
      <c r="AA775" s="103" t="s">
        <v>2220</v>
      </c>
      <c r="AB775" s="103" t="s">
        <v>71</v>
      </c>
      <c r="AE775" s="103" t="s">
        <v>810</v>
      </c>
      <c r="AF775" s="103" t="b">
        <v>1</v>
      </c>
    </row>
    <row r="776" spans="1:32" hidden="1" x14ac:dyDescent="0.2">
      <c r="A776" s="103" t="s">
        <v>361</v>
      </c>
      <c r="B776" s="103" t="s">
        <v>360</v>
      </c>
      <c r="C776" s="103" t="s">
        <v>2966</v>
      </c>
      <c r="E776" s="103" t="s">
        <v>2926</v>
      </c>
      <c r="F776" s="103" t="s">
        <v>2151</v>
      </c>
      <c r="G776" s="103">
        <v>100</v>
      </c>
      <c r="H776" s="103" t="s">
        <v>2168</v>
      </c>
      <c r="I776" s="103" t="s">
        <v>2153</v>
      </c>
      <c r="M776" s="103">
        <v>100</v>
      </c>
      <c r="N776" s="103" t="s">
        <v>2273</v>
      </c>
      <c r="O776" s="103">
        <v>100</v>
      </c>
      <c r="P776" s="103" t="s">
        <v>811</v>
      </c>
      <c r="Q776" s="103" t="s">
        <v>2155</v>
      </c>
      <c r="R776" s="103" t="s">
        <v>2220</v>
      </c>
      <c r="S776" s="103" t="s">
        <v>2251</v>
      </c>
      <c r="U776" s="103">
        <v>51.3</v>
      </c>
      <c r="V776" s="103" t="s">
        <v>2262</v>
      </c>
      <c r="W776" s="103" t="s">
        <v>108</v>
      </c>
      <c r="X776" s="103" t="s">
        <v>1597</v>
      </c>
      <c r="Y776" s="103" t="s">
        <v>1685</v>
      </c>
      <c r="AA776" s="103" t="s">
        <v>2220</v>
      </c>
      <c r="AB776" s="103" t="s">
        <v>71</v>
      </c>
      <c r="AE776" s="103" t="s">
        <v>810</v>
      </c>
      <c r="AF776" s="103" t="b">
        <v>1</v>
      </c>
    </row>
    <row r="777" spans="1:32" hidden="1" x14ac:dyDescent="0.2">
      <c r="A777" s="103" t="s">
        <v>361</v>
      </c>
      <c r="B777" s="103" t="s">
        <v>360</v>
      </c>
      <c r="C777" s="103" t="s">
        <v>2967</v>
      </c>
      <c r="E777" s="103" t="s">
        <v>2926</v>
      </c>
      <c r="F777" s="103" t="s">
        <v>2151</v>
      </c>
      <c r="G777" s="103">
        <v>100</v>
      </c>
      <c r="H777" s="103" t="s">
        <v>2168</v>
      </c>
      <c r="I777" s="103" t="s">
        <v>2153</v>
      </c>
      <c r="M777" s="103">
        <v>100</v>
      </c>
      <c r="N777" s="103" t="s">
        <v>2273</v>
      </c>
      <c r="O777" s="103">
        <v>100</v>
      </c>
      <c r="P777" s="103" t="s">
        <v>811</v>
      </c>
      <c r="Q777" s="103" t="s">
        <v>2155</v>
      </c>
      <c r="R777" s="103" t="s">
        <v>2220</v>
      </c>
      <c r="S777" s="103" t="s">
        <v>2251</v>
      </c>
      <c r="U777" s="103">
        <v>51.3</v>
      </c>
      <c r="V777" s="103" t="s">
        <v>2262</v>
      </c>
      <c r="W777" s="103" t="s">
        <v>108</v>
      </c>
      <c r="X777" s="103" t="s">
        <v>1597</v>
      </c>
      <c r="Y777" s="103" t="s">
        <v>1685</v>
      </c>
      <c r="AA777" s="103" t="s">
        <v>2220</v>
      </c>
      <c r="AB777" s="103" t="s">
        <v>71</v>
      </c>
      <c r="AE777" s="103" t="s">
        <v>810</v>
      </c>
      <c r="AF777" s="103" t="b">
        <v>1</v>
      </c>
    </row>
    <row r="778" spans="1:32" hidden="1" x14ac:dyDescent="0.2">
      <c r="A778" s="103" t="s">
        <v>361</v>
      </c>
      <c r="B778" s="103" t="s">
        <v>360</v>
      </c>
      <c r="C778" s="103" t="s">
        <v>2968</v>
      </c>
      <c r="D778" s="103" t="s">
        <v>2969</v>
      </c>
      <c r="E778" s="103" t="s">
        <v>2926</v>
      </c>
      <c r="F778" s="103" t="s">
        <v>2151</v>
      </c>
      <c r="G778" s="103">
        <v>100</v>
      </c>
      <c r="H778" s="103" t="s">
        <v>2168</v>
      </c>
      <c r="I778" s="103" t="s">
        <v>2153</v>
      </c>
      <c r="K778" s="103">
        <v>50</v>
      </c>
      <c r="L778" s="103">
        <v>50</v>
      </c>
      <c r="N778" s="103" t="s">
        <v>2260</v>
      </c>
      <c r="O778" s="103">
        <v>100</v>
      </c>
      <c r="P778" s="103" t="s">
        <v>811</v>
      </c>
      <c r="Q778" s="103" t="s">
        <v>2155</v>
      </c>
      <c r="R778" s="103" t="s">
        <v>2220</v>
      </c>
      <c r="S778" s="103" t="s">
        <v>2251</v>
      </c>
      <c r="U778" s="103">
        <v>51.3</v>
      </c>
      <c r="V778" s="103" t="s">
        <v>2262</v>
      </c>
      <c r="W778" s="103" t="s">
        <v>108</v>
      </c>
      <c r="X778" s="103" t="s">
        <v>1597</v>
      </c>
      <c r="Y778" s="103" t="s">
        <v>1685</v>
      </c>
      <c r="AA778" s="103" t="s">
        <v>2220</v>
      </c>
      <c r="AB778" s="103" t="s">
        <v>71</v>
      </c>
      <c r="AE778" s="103" t="s">
        <v>810</v>
      </c>
      <c r="AF778" s="103" t="b">
        <v>1</v>
      </c>
    </row>
    <row r="779" spans="1:32" hidden="1" x14ac:dyDescent="0.2">
      <c r="A779" s="103" t="s">
        <v>1574</v>
      </c>
      <c r="B779" s="103" t="s">
        <v>1776</v>
      </c>
      <c r="C779" s="103" t="s">
        <v>3092</v>
      </c>
      <c r="E779" s="103" t="s">
        <v>2338</v>
      </c>
      <c r="F779" s="103" t="s">
        <v>2202</v>
      </c>
      <c r="G779" s="103">
        <v>200</v>
      </c>
      <c r="H779" s="103" t="s">
        <v>2168</v>
      </c>
      <c r="I779" s="103" t="s">
        <v>2153</v>
      </c>
      <c r="J779" s="103">
        <v>50</v>
      </c>
      <c r="K779" s="103">
        <v>50</v>
      </c>
      <c r="L779" s="103">
        <v>50</v>
      </c>
      <c r="M779" s="103">
        <v>50</v>
      </c>
      <c r="N779" s="103" t="s">
        <v>2163</v>
      </c>
      <c r="O779" s="103">
        <v>200</v>
      </c>
      <c r="P779" s="103" t="s">
        <v>811</v>
      </c>
      <c r="Q779" s="103" t="s">
        <v>2387</v>
      </c>
      <c r="R779" s="103" t="s">
        <v>2220</v>
      </c>
      <c r="S779" s="103" t="s">
        <v>2422</v>
      </c>
      <c r="U779" s="103">
        <v>102.6</v>
      </c>
      <c r="V779" s="103" t="s">
        <v>2158</v>
      </c>
      <c r="W779" s="103" t="s">
        <v>108</v>
      </c>
      <c r="X779" s="103" t="s">
        <v>1736</v>
      </c>
      <c r="Y779" s="103" t="s">
        <v>3848</v>
      </c>
      <c r="AA779" s="103" t="s">
        <v>2220</v>
      </c>
      <c r="AB779" s="103" t="s">
        <v>71</v>
      </c>
      <c r="AE779" s="103" t="s">
        <v>810</v>
      </c>
      <c r="AF779" s="103" t="b">
        <v>1</v>
      </c>
    </row>
    <row r="780" spans="1:32" hidden="1" x14ac:dyDescent="0.2">
      <c r="A780" s="103" t="s">
        <v>381</v>
      </c>
      <c r="B780" s="103" t="s">
        <v>380</v>
      </c>
      <c r="C780" s="103" t="s">
        <v>2971</v>
      </c>
      <c r="D780" s="103" t="s">
        <v>2972</v>
      </c>
      <c r="E780" s="103" t="s">
        <v>2973</v>
      </c>
      <c r="F780" s="103" t="s">
        <v>2228</v>
      </c>
      <c r="G780" s="103">
        <v>790</v>
      </c>
      <c r="H780" s="103" t="s">
        <v>2152</v>
      </c>
      <c r="I780" s="103" t="s">
        <v>2153</v>
      </c>
      <c r="J780" s="103">
        <v>130</v>
      </c>
      <c r="K780" s="103">
        <v>180</v>
      </c>
      <c r="L780" s="103">
        <v>240</v>
      </c>
      <c r="M780" s="103">
        <v>240</v>
      </c>
      <c r="N780" s="103" t="s">
        <v>2163</v>
      </c>
      <c r="O780" s="103">
        <v>790</v>
      </c>
      <c r="P780" s="103" t="s">
        <v>811</v>
      </c>
      <c r="Q780" s="103" t="s">
        <v>2155</v>
      </c>
      <c r="R780" s="103" t="s">
        <v>2220</v>
      </c>
      <c r="S780" s="103" t="s">
        <v>2251</v>
      </c>
      <c r="U780" s="103">
        <v>405.27</v>
      </c>
      <c r="V780" s="103" t="s">
        <v>2158</v>
      </c>
      <c r="W780" s="103" t="s">
        <v>108</v>
      </c>
      <c r="X780" s="103" t="s">
        <v>1597</v>
      </c>
      <c r="Y780" s="103" t="s">
        <v>1685</v>
      </c>
      <c r="AA780" s="103" t="s">
        <v>2220</v>
      </c>
      <c r="AB780" s="103" t="s">
        <v>71</v>
      </c>
      <c r="AE780" s="103" t="s">
        <v>810</v>
      </c>
      <c r="AF780" s="103" t="b">
        <v>1</v>
      </c>
    </row>
    <row r="781" spans="1:32" hidden="1" x14ac:dyDescent="0.2">
      <c r="A781" s="103" t="s">
        <v>381</v>
      </c>
      <c r="B781" s="103" t="s">
        <v>380</v>
      </c>
      <c r="C781" s="103" t="s">
        <v>2971</v>
      </c>
      <c r="D781" s="103" t="s">
        <v>2974</v>
      </c>
      <c r="E781" s="103" t="s">
        <v>2264</v>
      </c>
      <c r="F781" s="103" t="s">
        <v>2151</v>
      </c>
      <c r="G781" s="103">
        <v>100</v>
      </c>
      <c r="H781" s="103" t="s">
        <v>2168</v>
      </c>
      <c r="I781" s="103" t="s">
        <v>2153</v>
      </c>
      <c r="J781" s="103">
        <v>50</v>
      </c>
      <c r="K781" s="103">
        <v>25</v>
      </c>
      <c r="L781" s="103">
        <v>25</v>
      </c>
      <c r="N781" s="103" t="s">
        <v>2163</v>
      </c>
      <c r="O781" s="103">
        <v>100</v>
      </c>
      <c r="P781" s="103" t="s">
        <v>1624</v>
      </c>
      <c r="Q781" s="103" t="s">
        <v>2155</v>
      </c>
      <c r="R781" s="103" t="s">
        <v>2220</v>
      </c>
      <c r="S781" s="103" t="s">
        <v>2251</v>
      </c>
      <c r="U781" s="103">
        <v>51.3</v>
      </c>
      <c r="V781" s="103" t="s">
        <v>2158</v>
      </c>
      <c r="W781" s="103" t="s">
        <v>108</v>
      </c>
      <c r="X781" s="103" t="s">
        <v>1597</v>
      </c>
      <c r="Y781" s="103" t="s">
        <v>1685</v>
      </c>
      <c r="AA781" s="103" t="s">
        <v>2220</v>
      </c>
      <c r="AB781" s="103" t="s">
        <v>71</v>
      </c>
      <c r="AE781" s="103" t="s">
        <v>810</v>
      </c>
      <c r="AF781" s="103" t="b">
        <v>1</v>
      </c>
    </row>
    <row r="782" spans="1:32" hidden="1" x14ac:dyDescent="0.2">
      <c r="A782" s="103" t="s">
        <v>540</v>
      </c>
      <c r="B782" s="103" t="s">
        <v>539</v>
      </c>
      <c r="C782" s="103" t="s">
        <v>2975</v>
      </c>
      <c r="E782" s="103" t="s">
        <v>2259</v>
      </c>
      <c r="F782" s="103" t="s">
        <v>2151</v>
      </c>
      <c r="G782" s="103">
        <v>100</v>
      </c>
      <c r="H782" s="103" t="s">
        <v>2168</v>
      </c>
      <c r="I782" s="103" t="s">
        <v>2153</v>
      </c>
      <c r="M782" s="103">
        <v>100</v>
      </c>
      <c r="N782" s="103" t="s">
        <v>2273</v>
      </c>
      <c r="O782" s="103">
        <v>100</v>
      </c>
      <c r="P782" s="103" t="s">
        <v>811</v>
      </c>
      <c r="Q782" s="103" t="s">
        <v>2155</v>
      </c>
      <c r="R782" s="103" t="s">
        <v>2220</v>
      </c>
      <c r="S782" s="103" t="s">
        <v>2251</v>
      </c>
      <c r="U782" s="103">
        <v>51.3</v>
      </c>
      <c r="V782" s="103" t="s">
        <v>2262</v>
      </c>
      <c r="W782" s="103" t="s">
        <v>108</v>
      </c>
      <c r="X782" s="103" t="s">
        <v>1597</v>
      </c>
      <c r="Y782" s="103" t="s">
        <v>1685</v>
      </c>
      <c r="AA782" s="103" t="s">
        <v>2220</v>
      </c>
      <c r="AB782" s="103" t="s">
        <v>71</v>
      </c>
      <c r="AE782" s="103" t="s">
        <v>810</v>
      </c>
      <c r="AF782" s="103" t="b">
        <v>1</v>
      </c>
    </row>
    <row r="783" spans="1:32" hidden="1" x14ac:dyDescent="0.2">
      <c r="A783" s="103" t="s">
        <v>357</v>
      </c>
      <c r="B783" s="103" t="s">
        <v>356</v>
      </c>
      <c r="C783" s="103" t="s">
        <v>2976</v>
      </c>
      <c r="E783" s="103" t="s">
        <v>2285</v>
      </c>
      <c r="F783" s="103" t="s">
        <v>2162</v>
      </c>
      <c r="G783" s="103">
        <v>50</v>
      </c>
      <c r="H783" s="103" t="s">
        <v>2168</v>
      </c>
      <c r="I783" s="103" t="s">
        <v>2153</v>
      </c>
      <c r="L783" s="103">
        <v>50</v>
      </c>
      <c r="N783" s="103" t="s">
        <v>2273</v>
      </c>
      <c r="O783" s="103">
        <v>50</v>
      </c>
      <c r="P783" s="103" t="s">
        <v>811</v>
      </c>
      <c r="Q783" s="103" t="s">
        <v>2155</v>
      </c>
      <c r="R783" s="103" t="s">
        <v>2220</v>
      </c>
      <c r="S783" s="103" t="s">
        <v>2251</v>
      </c>
      <c r="U783" s="103">
        <v>25.65</v>
      </c>
      <c r="V783" s="103" t="s">
        <v>2262</v>
      </c>
      <c r="W783" s="103" t="s">
        <v>108</v>
      </c>
      <c r="X783" s="103" t="s">
        <v>1597</v>
      </c>
      <c r="Y783" s="103" t="s">
        <v>1685</v>
      </c>
      <c r="AA783" s="103" t="s">
        <v>2220</v>
      </c>
      <c r="AB783" s="103" t="s">
        <v>71</v>
      </c>
      <c r="AE783" s="103" t="s">
        <v>810</v>
      </c>
      <c r="AF783" s="103" t="b">
        <v>1</v>
      </c>
    </row>
    <row r="784" spans="1:32" hidden="1" x14ac:dyDescent="0.2">
      <c r="A784" s="103" t="s">
        <v>872</v>
      </c>
      <c r="B784" s="103" t="s">
        <v>871</v>
      </c>
      <c r="C784" s="103" t="s">
        <v>2977</v>
      </c>
      <c r="D784" s="103" t="s">
        <v>2977</v>
      </c>
      <c r="E784" s="103" t="s">
        <v>2510</v>
      </c>
      <c r="F784" s="103" t="s">
        <v>2151</v>
      </c>
      <c r="G784" s="103">
        <v>100</v>
      </c>
      <c r="H784" s="103" t="s">
        <v>2168</v>
      </c>
      <c r="I784" s="103" t="s">
        <v>2153</v>
      </c>
      <c r="J784" s="103">
        <v>100</v>
      </c>
      <c r="N784" s="103" t="s">
        <v>2163</v>
      </c>
      <c r="O784" s="103">
        <v>100</v>
      </c>
      <c r="P784" s="103" t="s">
        <v>873</v>
      </c>
      <c r="Q784" s="103" t="s">
        <v>2155</v>
      </c>
      <c r="R784" s="103" t="s">
        <v>2156</v>
      </c>
      <c r="S784" s="103" t="s">
        <v>2209</v>
      </c>
      <c r="U784" s="103">
        <v>51.3</v>
      </c>
      <c r="V784" s="103" t="s">
        <v>2158</v>
      </c>
      <c r="W784" s="103" t="s">
        <v>114</v>
      </c>
      <c r="X784" s="103" t="s">
        <v>1597</v>
      </c>
      <c r="Y784" s="103" t="s">
        <v>1685</v>
      </c>
      <c r="AA784" s="103" t="s">
        <v>2156</v>
      </c>
      <c r="AB784" s="103" t="s">
        <v>68</v>
      </c>
      <c r="AC784" s="103" t="s">
        <v>2782</v>
      </c>
      <c r="AD784" s="103" t="s">
        <v>2391</v>
      </c>
      <c r="AE784" s="103" t="s">
        <v>766</v>
      </c>
      <c r="AF784" s="103" t="b">
        <v>1</v>
      </c>
    </row>
    <row r="785" spans="1:32" hidden="1" x14ac:dyDescent="0.2">
      <c r="A785" s="103" t="s">
        <v>872</v>
      </c>
      <c r="B785" s="103" t="s">
        <v>871</v>
      </c>
      <c r="C785" s="103" t="s">
        <v>2978</v>
      </c>
      <c r="D785" s="103" t="s">
        <v>2979</v>
      </c>
      <c r="E785" s="103" t="s">
        <v>2510</v>
      </c>
      <c r="F785" s="103" t="s">
        <v>2162</v>
      </c>
      <c r="G785" s="103">
        <v>50</v>
      </c>
      <c r="H785" s="103" t="s">
        <v>2168</v>
      </c>
      <c r="I785" s="103" t="s">
        <v>2153</v>
      </c>
      <c r="L785" s="103">
        <v>50</v>
      </c>
      <c r="N785" s="103" t="s">
        <v>2163</v>
      </c>
      <c r="O785" s="103">
        <v>50</v>
      </c>
      <c r="P785" s="103" t="s">
        <v>873</v>
      </c>
      <c r="Q785" s="103" t="s">
        <v>2155</v>
      </c>
      <c r="R785" s="103" t="s">
        <v>2156</v>
      </c>
      <c r="S785" s="103" t="s">
        <v>2192</v>
      </c>
      <c r="U785" s="103">
        <v>25.65</v>
      </c>
      <c r="V785" s="103" t="s">
        <v>2158</v>
      </c>
      <c r="W785" s="103" t="s">
        <v>114</v>
      </c>
      <c r="X785" s="103" t="s">
        <v>1597</v>
      </c>
      <c r="Y785" s="103" t="s">
        <v>1685</v>
      </c>
      <c r="AA785" s="103" t="s">
        <v>2156</v>
      </c>
      <c r="AB785" s="103" t="s">
        <v>68</v>
      </c>
      <c r="AC785" s="103" t="s">
        <v>2782</v>
      </c>
      <c r="AD785" s="103" t="s">
        <v>2391</v>
      </c>
      <c r="AE785" s="103" t="s">
        <v>766</v>
      </c>
      <c r="AF785" s="103" t="b">
        <v>1</v>
      </c>
    </row>
    <row r="786" spans="1:32" hidden="1" x14ac:dyDescent="0.2">
      <c r="A786" s="103" t="s">
        <v>872</v>
      </c>
      <c r="B786" s="103" t="s">
        <v>871</v>
      </c>
      <c r="C786" s="103" t="s">
        <v>2980</v>
      </c>
      <c r="D786" s="103" t="s">
        <v>2981</v>
      </c>
      <c r="E786" s="103" t="s">
        <v>2510</v>
      </c>
      <c r="F786" s="103" t="s">
        <v>2151</v>
      </c>
      <c r="G786" s="103">
        <v>100</v>
      </c>
      <c r="H786" s="103" t="s">
        <v>2168</v>
      </c>
      <c r="I786" s="103" t="s">
        <v>2153</v>
      </c>
      <c r="K786" s="103">
        <v>100</v>
      </c>
      <c r="N786" s="103" t="s">
        <v>2163</v>
      </c>
      <c r="O786" s="103">
        <v>100</v>
      </c>
      <c r="P786" s="103" t="s">
        <v>873</v>
      </c>
      <c r="Q786" s="103" t="s">
        <v>2155</v>
      </c>
      <c r="R786" s="103" t="s">
        <v>2156</v>
      </c>
      <c r="S786" s="103" t="s">
        <v>2209</v>
      </c>
      <c r="U786" s="103">
        <v>51.3</v>
      </c>
      <c r="V786" s="103" t="s">
        <v>2158</v>
      </c>
      <c r="W786" s="103" t="s">
        <v>114</v>
      </c>
      <c r="X786" s="103" t="s">
        <v>1597</v>
      </c>
      <c r="Y786" s="103" t="s">
        <v>1685</v>
      </c>
      <c r="AA786" s="103" t="s">
        <v>2156</v>
      </c>
      <c r="AB786" s="103" t="s">
        <v>68</v>
      </c>
      <c r="AC786" s="103" t="s">
        <v>2782</v>
      </c>
      <c r="AD786" s="103" t="s">
        <v>2391</v>
      </c>
      <c r="AE786" s="103" t="s">
        <v>766</v>
      </c>
      <c r="AF786" s="103" t="b">
        <v>1</v>
      </c>
    </row>
    <row r="787" spans="1:32" hidden="1" x14ac:dyDescent="0.2">
      <c r="A787" s="103" t="s">
        <v>872</v>
      </c>
      <c r="B787" s="103" t="s">
        <v>871</v>
      </c>
      <c r="C787" s="103" t="s">
        <v>2982</v>
      </c>
      <c r="D787" s="103" t="s">
        <v>2982</v>
      </c>
      <c r="E787" s="103" t="s">
        <v>2510</v>
      </c>
      <c r="F787" s="103" t="s">
        <v>2202</v>
      </c>
      <c r="G787" s="103">
        <v>200</v>
      </c>
      <c r="H787" s="103" t="s">
        <v>2168</v>
      </c>
      <c r="I787" s="103" t="s">
        <v>2153</v>
      </c>
      <c r="L787" s="103">
        <v>50</v>
      </c>
      <c r="M787" s="103">
        <v>150</v>
      </c>
      <c r="N787" s="103" t="s">
        <v>2163</v>
      </c>
      <c r="O787" s="103">
        <v>200</v>
      </c>
      <c r="P787" s="103" t="s">
        <v>873</v>
      </c>
      <c r="Q787" s="103" t="s">
        <v>2155</v>
      </c>
      <c r="R787" s="103" t="s">
        <v>2156</v>
      </c>
      <c r="S787" s="103" t="s">
        <v>2188</v>
      </c>
      <c r="U787" s="103">
        <v>102.6</v>
      </c>
      <c r="V787" s="103" t="s">
        <v>2158</v>
      </c>
      <c r="W787" s="103" t="s">
        <v>114</v>
      </c>
      <c r="X787" s="103" t="s">
        <v>1597</v>
      </c>
      <c r="Y787" s="103" t="s">
        <v>1685</v>
      </c>
      <c r="AA787" s="103" t="s">
        <v>2156</v>
      </c>
      <c r="AB787" s="103" t="s">
        <v>68</v>
      </c>
      <c r="AC787" s="103" t="s">
        <v>2782</v>
      </c>
      <c r="AD787" s="103" t="s">
        <v>2391</v>
      </c>
      <c r="AE787" s="103" t="s">
        <v>766</v>
      </c>
      <c r="AF787" s="103" t="b">
        <v>1</v>
      </c>
    </row>
    <row r="788" spans="1:32" hidden="1" x14ac:dyDescent="0.2">
      <c r="A788" s="103" t="s">
        <v>872</v>
      </c>
      <c r="B788" s="103" t="s">
        <v>871</v>
      </c>
      <c r="C788" s="103" t="s">
        <v>2978</v>
      </c>
      <c r="D788" s="103" t="s">
        <v>2983</v>
      </c>
      <c r="E788" s="103" t="s">
        <v>2510</v>
      </c>
      <c r="F788" s="103" t="s">
        <v>2162</v>
      </c>
      <c r="G788" s="103">
        <v>50</v>
      </c>
      <c r="H788" s="103" t="s">
        <v>2168</v>
      </c>
      <c r="I788" s="103" t="s">
        <v>2153</v>
      </c>
      <c r="L788" s="103">
        <v>50</v>
      </c>
      <c r="N788" s="103" t="s">
        <v>2163</v>
      </c>
      <c r="O788" s="103">
        <v>50</v>
      </c>
      <c r="P788" s="103" t="s">
        <v>873</v>
      </c>
      <c r="Q788" s="103" t="s">
        <v>2155</v>
      </c>
      <c r="R788" s="103" t="s">
        <v>2156</v>
      </c>
      <c r="S788" s="103" t="s">
        <v>2192</v>
      </c>
      <c r="U788" s="103">
        <v>25.65</v>
      </c>
      <c r="V788" s="103" t="s">
        <v>2158</v>
      </c>
      <c r="W788" s="103" t="s">
        <v>114</v>
      </c>
      <c r="X788" s="103" t="s">
        <v>1597</v>
      </c>
      <c r="Y788" s="103" t="s">
        <v>1685</v>
      </c>
      <c r="AA788" s="103" t="s">
        <v>2156</v>
      </c>
      <c r="AB788" s="103" t="s">
        <v>68</v>
      </c>
      <c r="AC788" s="103" t="s">
        <v>2782</v>
      </c>
      <c r="AD788" s="103" t="s">
        <v>2391</v>
      </c>
      <c r="AE788" s="103" t="s">
        <v>766</v>
      </c>
      <c r="AF788" s="103" t="b">
        <v>1</v>
      </c>
    </row>
    <row r="789" spans="1:32" hidden="1" x14ac:dyDescent="0.2">
      <c r="A789" s="103" t="s">
        <v>872</v>
      </c>
      <c r="B789" s="103" t="s">
        <v>871</v>
      </c>
      <c r="C789" s="103" t="s">
        <v>2984</v>
      </c>
      <c r="D789" s="103" t="s">
        <v>2985</v>
      </c>
      <c r="E789" s="103" t="s">
        <v>2510</v>
      </c>
      <c r="F789" s="103" t="s">
        <v>2151</v>
      </c>
      <c r="G789" s="103">
        <v>100</v>
      </c>
      <c r="H789" s="103" t="s">
        <v>2168</v>
      </c>
      <c r="I789" s="103" t="s">
        <v>2153</v>
      </c>
      <c r="J789" s="103">
        <v>25</v>
      </c>
      <c r="K789" s="103">
        <v>25</v>
      </c>
      <c r="L789" s="103">
        <v>25</v>
      </c>
      <c r="M789" s="103">
        <v>25</v>
      </c>
      <c r="N789" s="103" t="s">
        <v>2163</v>
      </c>
      <c r="O789" s="103">
        <v>100</v>
      </c>
      <c r="P789" s="103" t="s">
        <v>873</v>
      </c>
      <c r="Q789" s="103" t="s">
        <v>2155</v>
      </c>
      <c r="R789" s="103" t="s">
        <v>2156</v>
      </c>
      <c r="S789" s="103" t="s">
        <v>2396</v>
      </c>
      <c r="U789" s="103">
        <v>51.3</v>
      </c>
      <c r="V789" s="103" t="s">
        <v>2158</v>
      </c>
      <c r="W789" s="103" t="s">
        <v>114</v>
      </c>
      <c r="X789" s="103" t="s">
        <v>1597</v>
      </c>
      <c r="Y789" s="103" t="s">
        <v>1685</v>
      </c>
      <c r="AA789" s="103" t="s">
        <v>2156</v>
      </c>
      <c r="AB789" s="103" t="s">
        <v>68</v>
      </c>
      <c r="AC789" s="103" t="s">
        <v>2782</v>
      </c>
      <c r="AD789" s="103" t="s">
        <v>2391</v>
      </c>
      <c r="AE789" s="103" t="s">
        <v>766</v>
      </c>
      <c r="AF789" s="103" t="b">
        <v>1</v>
      </c>
    </row>
    <row r="790" spans="1:32" hidden="1" x14ac:dyDescent="0.2">
      <c r="A790" s="103" t="s">
        <v>2017</v>
      </c>
      <c r="B790" s="103" t="s">
        <v>876</v>
      </c>
      <c r="C790" s="103" t="s">
        <v>2986</v>
      </c>
      <c r="D790" s="103" t="s">
        <v>2986</v>
      </c>
      <c r="E790" s="103" t="s">
        <v>2195</v>
      </c>
      <c r="F790" s="103" t="s">
        <v>2162</v>
      </c>
      <c r="G790" s="103">
        <v>240</v>
      </c>
      <c r="H790" s="103" t="s">
        <v>2168</v>
      </c>
      <c r="I790" s="103" t="s">
        <v>2153</v>
      </c>
      <c r="J790" s="103">
        <v>240</v>
      </c>
      <c r="K790" s="103">
        <v>0</v>
      </c>
      <c r="L790" s="103">
        <v>0</v>
      </c>
      <c r="M790" s="103">
        <v>0</v>
      </c>
      <c r="N790" s="103" t="s">
        <v>2163</v>
      </c>
      <c r="O790" s="103">
        <v>240</v>
      </c>
      <c r="P790" s="103" t="s">
        <v>771</v>
      </c>
      <c r="Q790" s="103" t="s">
        <v>2155</v>
      </c>
      <c r="R790" s="103" t="s">
        <v>2156</v>
      </c>
      <c r="S790" s="103" t="s">
        <v>2987</v>
      </c>
      <c r="U790" s="103">
        <v>123.12</v>
      </c>
      <c r="V790" s="103" t="s">
        <v>2158</v>
      </c>
      <c r="W790" s="103" t="s">
        <v>114</v>
      </c>
      <c r="X790" s="103" t="s">
        <v>1597</v>
      </c>
      <c r="Y790" s="103" t="s">
        <v>1685</v>
      </c>
      <c r="AA790" s="103" t="s">
        <v>2156</v>
      </c>
      <c r="AB790" s="103" t="s">
        <v>68</v>
      </c>
      <c r="AC790" s="103" t="s">
        <v>2159</v>
      </c>
      <c r="AD790" s="103" t="s">
        <v>2203</v>
      </c>
      <c r="AE790" s="103" t="s">
        <v>766</v>
      </c>
      <c r="AF790" s="103" t="b">
        <v>1</v>
      </c>
    </row>
    <row r="791" spans="1:32" hidden="1" x14ac:dyDescent="0.2">
      <c r="A791" s="103" t="s">
        <v>854</v>
      </c>
      <c r="B791" s="103" t="s">
        <v>853</v>
      </c>
      <c r="C791" s="103" t="s">
        <v>2988</v>
      </c>
      <c r="E791" s="103" t="s">
        <v>2292</v>
      </c>
      <c r="F791" s="103" t="s">
        <v>2162</v>
      </c>
      <c r="G791" s="103">
        <v>50</v>
      </c>
      <c r="H791" s="103" t="s">
        <v>2168</v>
      </c>
      <c r="I791" s="103" t="s">
        <v>2153</v>
      </c>
      <c r="J791" s="103">
        <v>15</v>
      </c>
      <c r="K791" s="103">
        <v>15</v>
      </c>
      <c r="L791" s="103">
        <v>10</v>
      </c>
      <c r="M791" s="103">
        <v>10</v>
      </c>
      <c r="N791" s="103" t="s">
        <v>2154</v>
      </c>
      <c r="O791" s="103">
        <v>50</v>
      </c>
      <c r="P791" s="103" t="s">
        <v>2293</v>
      </c>
      <c r="Q791" s="103" t="s">
        <v>2155</v>
      </c>
      <c r="R791" s="103" t="s">
        <v>2220</v>
      </c>
      <c r="S791" s="103" t="s">
        <v>2251</v>
      </c>
      <c r="U791" s="103">
        <v>25.65</v>
      </c>
      <c r="V791" s="103" t="s">
        <v>2158</v>
      </c>
      <c r="W791" s="103" t="s">
        <v>108</v>
      </c>
      <c r="X791" s="103" t="s">
        <v>1597</v>
      </c>
      <c r="Y791" s="103" t="s">
        <v>1685</v>
      </c>
      <c r="AA791" s="103" t="s">
        <v>2220</v>
      </c>
      <c r="AB791" s="103" t="s">
        <v>71</v>
      </c>
      <c r="AE791" s="103" t="s">
        <v>810</v>
      </c>
      <c r="AF791" s="103" t="b">
        <v>1</v>
      </c>
    </row>
    <row r="792" spans="1:32" hidden="1" x14ac:dyDescent="0.2">
      <c r="A792" s="103" t="s">
        <v>911</v>
      </c>
      <c r="B792" s="103" t="s">
        <v>910</v>
      </c>
      <c r="C792" s="103" t="s">
        <v>2989</v>
      </c>
      <c r="E792" s="103" t="s">
        <v>2315</v>
      </c>
      <c r="F792" s="103" t="s">
        <v>2232</v>
      </c>
      <c r="G792" s="103">
        <v>300</v>
      </c>
      <c r="H792" s="103" t="s">
        <v>2168</v>
      </c>
      <c r="I792" s="103" t="s">
        <v>2153</v>
      </c>
      <c r="M792" s="103">
        <v>300</v>
      </c>
      <c r="N792" s="103" t="s">
        <v>2273</v>
      </c>
      <c r="O792" s="103">
        <v>300</v>
      </c>
      <c r="P792" s="103" t="s">
        <v>811</v>
      </c>
      <c r="Q792" s="103" t="s">
        <v>2296</v>
      </c>
      <c r="R792" s="103" t="s">
        <v>2220</v>
      </c>
      <c r="S792" s="103" t="s">
        <v>2251</v>
      </c>
      <c r="U792" s="103">
        <v>153.9</v>
      </c>
      <c r="V792" s="103" t="s">
        <v>2262</v>
      </c>
      <c r="W792" s="103" t="s">
        <v>108</v>
      </c>
      <c r="X792" s="103" t="s">
        <v>1597</v>
      </c>
      <c r="Y792" s="103" t="s">
        <v>1685</v>
      </c>
      <c r="AA792" s="103" t="s">
        <v>2220</v>
      </c>
      <c r="AB792" s="103" t="s">
        <v>71</v>
      </c>
      <c r="AE792" s="103" t="s">
        <v>810</v>
      </c>
      <c r="AF792" s="103" t="b">
        <v>1</v>
      </c>
    </row>
    <row r="793" spans="1:32" hidden="1" x14ac:dyDescent="0.2">
      <c r="A793" s="103" t="s">
        <v>995</v>
      </c>
      <c r="B793" s="103" t="s">
        <v>994</v>
      </c>
      <c r="C793" s="103" t="s">
        <v>2990</v>
      </c>
      <c r="E793" s="103" t="s">
        <v>2926</v>
      </c>
      <c r="F793" s="103" t="s">
        <v>2151</v>
      </c>
      <c r="G793" s="103">
        <v>100</v>
      </c>
      <c r="H793" s="103" t="s">
        <v>2168</v>
      </c>
      <c r="I793" s="103" t="s">
        <v>2153</v>
      </c>
      <c r="J793" s="103">
        <v>50</v>
      </c>
      <c r="K793" s="103">
        <v>50</v>
      </c>
      <c r="N793" s="103" t="s">
        <v>2260</v>
      </c>
      <c r="O793" s="103">
        <v>100</v>
      </c>
      <c r="P793" s="103" t="s">
        <v>811</v>
      </c>
      <c r="Q793" s="103" t="s">
        <v>2236</v>
      </c>
      <c r="R793" s="103" t="s">
        <v>2220</v>
      </c>
      <c r="S793" s="103" t="s">
        <v>2251</v>
      </c>
      <c r="U793" s="103">
        <v>51.3</v>
      </c>
      <c r="V793" s="103" t="s">
        <v>2262</v>
      </c>
      <c r="W793" s="103" t="s">
        <v>108</v>
      </c>
      <c r="X793" s="103" t="s">
        <v>1736</v>
      </c>
      <c r="Y793" s="103" t="s">
        <v>3848</v>
      </c>
      <c r="AA793" s="103" t="s">
        <v>2220</v>
      </c>
      <c r="AB793" s="103" t="s">
        <v>71</v>
      </c>
      <c r="AE793" s="103" t="s">
        <v>810</v>
      </c>
      <c r="AF793" s="103" t="b">
        <v>1</v>
      </c>
    </row>
    <row r="794" spans="1:32" hidden="1" x14ac:dyDescent="0.2">
      <c r="A794" s="103" t="s">
        <v>882</v>
      </c>
      <c r="B794" s="103" t="s">
        <v>881</v>
      </c>
      <c r="C794" s="103" t="s">
        <v>2991</v>
      </c>
      <c r="D794" s="103" t="s">
        <v>2992</v>
      </c>
      <c r="E794" s="103" t="s">
        <v>2993</v>
      </c>
      <c r="F794" s="103" t="s">
        <v>2151</v>
      </c>
      <c r="G794" s="103">
        <v>100</v>
      </c>
      <c r="H794" s="103" t="s">
        <v>2168</v>
      </c>
      <c r="I794" s="103" t="s">
        <v>2153</v>
      </c>
      <c r="J794" s="103">
        <v>50</v>
      </c>
      <c r="K794" s="103">
        <v>50</v>
      </c>
      <c r="N794" s="103" t="s">
        <v>2163</v>
      </c>
      <c r="O794" s="103">
        <v>100</v>
      </c>
      <c r="P794" s="103" t="s">
        <v>820</v>
      </c>
      <c r="Q794" s="103" t="s">
        <v>2155</v>
      </c>
      <c r="R794" s="103" t="s">
        <v>2220</v>
      </c>
      <c r="S794" s="103" t="s">
        <v>2209</v>
      </c>
      <c r="U794" s="103">
        <v>51.3</v>
      </c>
      <c r="V794" s="103" t="s">
        <v>2158</v>
      </c>
      <c r="W794" s="103" t="s">
        <v>116</v>
      </c>
      <c r="X794" s="103">
        <v>0</v>
      </c>
      <c r="Y794" s="103" t="s">
        <v>1685</v>
      </c>
      <c r="AA794" s="103" t="s">
        <v>2220</v>
      </c>
      <c r="AB794" s="103" t="s">
        <v>71</v>
      </c>
      <c r="AE794" s="103" t="s">
        <v>810</v>
      </c>
      <c r="AF794" s="103" t="b">
        <v>1</v>
      </c>
    </row>
    <row r="795" spans="1:32" hidden="1" x14ac:dyDescent="0.2">
      <c r="A795" s="103" t="s">
        <v>1415</v>
      </c>
      <c r="B795" s="103" t="s">
        <v>1414</v>
      </c>
      <c r="C795" s="103" t="s">
        <v>2994</v>
      </c>
      <c r="D795" s="103" t="s">
        <v>2995</v>
      </c>
      <c r="E795" s="103" t="s">
        <v>2266</v>
      </c>
      <c r="F795" s="103" t="s">
        <v>2151</v>
      </c>
      <c r="G795" s="103">
        <v>85</v>
      </c>
      <c r="H795" s="103" t="s">
        <v>2152</v>
      </c>
      <c r="I795" s="103" t="s">
        <v>2153</v>
      </c>
      <c r="J795" s="103">
        <v>85</v>
      </c>
      <c r="N795" s="103" t="s">
        <v>2154</v>
      </c>
      <c r="O795" s="103">
        <v>85</v>
      </c>
      <c r="P795" s="103" t="s">
        <v>811</v>
      </c>
      <c r="Q795" s="103" t="s">
        <v>1393</v>
      </c>
      <c r="R795" s="103" t="s">
        <v>2220</v>
      </c>
      <c r="S795" s="103" t="s">
        <v>2251</v>
      </c>
      <c r="U795" s="103">
        <v>43.604999999999997</v>
      </c>
      <c r="V795" s="103" t="s">
        <v>2158</v>
      </c>
      <c r="W795" s="103" t="s">
        <v>108</v>
      </c>
      <c r="X795" s="103" t="s">
        <v>345</v>
      </c>
      <c r="Y795" s="103" t="s">
        <v>2240</v>
      </c>
      <c r="AA795" s="103" t="s">
        <v>2220</v>
      </c>
      <c r="AB795" s="103" t="s">
        <v>71</v>
      </c>
      <c r="AE795" s="103" t="s">
        <v>810</v>
      </c>
      <c r="AF795" s="103" t="b">
        <v>1</v>
      </c>
    </row>
    <row r="796" spans="1:32" hidden="1" x14ac:dyDescent="0.2">
      <c r="A796" s="103" t="s">
        <v>1415</v>
      </c>
      <c r="B796" s="103" t="s">
        <v>1414</v>
      </c>
      <c r="C796" s="103" t="s">
        <v>2994</v>
      </c>
      <c r="D796" s="103" t="s">
        <v>2996</v>
      </c>
      <c r="E796" s="103" t="s">
        <v>2366</v>
      </c>
      <c r="F796" s="103" t="s">
        <v>2162</v>
      </c>
      <c r="G796" s="103">
        <v>50</v>
      </c>
      <c r="H796" s="103" t="s">
        <v>2168</v>
      </c>
      <c r="I796" s="103" t="s">
        <v>2153</v>
      </c>
      <c r="J796" s="103">
        <v>50</v>
      </c>
      <c r="N796" s="103" t="s">
        <v>2163</v>
      </c>
      <c r="O796" s="103">
        <v>50</v>
      </c>
      <c r="P796" s="103" t="s">
        <v>811</v>
      </c>
      <c r="Q796" s="103" t="s">
        <v>1393</v>
      </c>
      <c r="R796" s="103" t="s">
        <v>2220</v>
      </c>
      <c r="S796" s="103" t="s">
        <v>2251</v>
      </c>
      <c r="U796" s="103">
        <v>25.65</v>
      </c>
      <c r="V796" s="103" t="s">
        <v>2158</v>
      </c>
      <c r="W796" s="103" t="s">
        <v>108</v>
      </c>
      <c r="X796" s="103" t="s">
        <v>345</v>
      </c>
      <c r="Y796" s="103" t="s">
        <v>2240</v>
      </c>
      <c r="AA796" s="103" t="s">
        <v>2220</v>
      </c>
      <c r="AB796" s="103" t="s">
        <v>71</v>
      </c>
      <c r="AE796" s="103" t="s">
        <v>810</v>
      </c>
      <c r="AF796" s="103" t="b">
        <v>1</v>
      </c>
    </row>
    <row r="797" spans="1:32" hidden="1" x14ac:dyDescent="0.2">
      <c r="A797" s="103" t="s">
        <v>1415</v>
      </c>
      <c r="B797" s="103" t="s">
        <v>1414</v>
      </c>
      <c r="C797" s="103" t="s">
        <v>2994</v>
      </c>
      <c r="D797" s="103" t="s">
        <v>2997</v>
      </c>
      <c r="E797" s="103" t="s">
        <v>2315</v>
      </c>
      <c r="F797" s="103" t="s">
        <v>2162</v>
      </c>
      <c r="G797" s="103">
        <v>50</v>
      </c>
      <c r="H797" s="103" t="s">
        <v>2168</v>
      </c>
      <c r="I797" s="103" t="s">
        <v>2153</v>
      </c>
      <c r="J797" s="103">
        <v>50</v>
      </c>
      <c r="N797" s="103" t="s">
        <v>2154</v>
      </c>
      <c r="O797" s="103">
        <v>50</v>
      </c>
      <c r="P797" s="103" t="s">
        <v>811</v>
      </c>
      <c r="Q797" s="103" t="s">
        <v>1393</v>
      </c>
      <c r="R797" s="103" t="s">
        <v>2220</v>
      </c>
      <c r="S797" s="103" t="s">
        <v>2251</v>
      </c>
      <c r="U797" s="103">
        <v>25.65</v>
      </c>
      <c r="V797" s="103" t="s">
        <v>2158</v>
      </c>
      <c r="W797" s="103" t="s">
        <v>108</v>
      </c>
      <c r="X797" s="103" t="s">
        <v>345</v>
      </c>
      <c r="Y797" s="103" t="s">
        <v>2240</v>
      </c>
      <c r="AA797" s="103" t="s">
        <v>2220</v>
      </c>
      <c r="AB797" s="103" t="s">
        <v>71</v>
      </c>
      <c r="AE797" s="103" t="s">
        <v>810</v>
      </c>
      <c r="AF797" s="103" t="b">
        <v>1</v>
      </c>
    </row>
    <row r="798" spans="1:32" hidden="1" x14ac:dyDescent="0.2">
      <c r="A798" s="103" t="s">
        <v>882</v>
      </c>
      <c r="B798" s="103" t="s">
        <v>881</v>
      </c>
      <c r="C798" s="103" t="s">
        <v>2998</v>
      </c>
      <c r="D798" s="103" t="s">
        <v>2999</v>
      </c>
      <c r="E798" s="103" t="s">
        <v>2993</v>
      </c>
      <c r="F798" s="103" t="s">
        <v>2162</v>
      </c>
      <c r="G798" s="103">
        <v>50</v>
      </c>
      <c r="H798" s="103" t="s">
        <v>2168</v>
      </c>
      <c r="I798" s="103" t="s">
        <v>2153</v>
      </c>
      <c r="J798" s="103">
        <v>25</v>
      </c>
      <c r="K798" s="103">
        <v>25</v>
      </c>
      <c r="N798" s="103" t="s">
        <v>2260</v>
      </c>
      <c r="O798" s="103">
        <v>50</v>
      </c>
      <c r="P798" s="103" t="s">
        <v>820</v>
      </c>
      <c r="Q798" s="103" t="s">
        <v>2155</v>
      </c>
      <c r="R798" s="103" t="s">
        <v>2220</v>
      </c>
      <c r="S798" s="103" t="s">
        <v>2192</v>
      </c>
      <c r="T798" s="103" t="s">
        <v>3000</v>
      </c>
      <c r="U798" s="103">
        <v>25.65</v>
      </c>
      <c r="V798" s="103" t="s">
        <v>2262</v>
      </c>
      <c r="W798" s="103" t="s">
        <v>116</v>
      </c>
      <c r="X798" s="103">
        <v>0</v>
      </c>
      <c r="Y798" s="103" t="s">
        <v>1685</v>
      </c>
      <c r="AA798" s="103" t="s">
        <v>2220</v>
      </c>
      <c r="AB798" s="103" t="s">
        <v>71</v>
      </c>
      <c r="AE798" s="103" t="s">
        <v>810</v>
      </c>
      <c r="AF798" s="103" t="b">
        <v>1</v>
      </c>
    </row>
    <row r="799" spans="1:32" hidden="1" x14ac:dyDescent="0.2">
      <c r="A799" s="103" t="s">
        <v>540</v>
      </c>
      <c r="B799" s="103" t="s">
        <v>539</v>
      </c>
      <c r="C799" s="103" t="s">
        <v>3001</v>
      </c>
      <c r="E799" s="103" t="s">
        <v>2266</v>
      </c>
      <c r="F799" s="103" t="s">
        <v>2162</v>
      </c>
      <c r="G799" s="103">
        <v>50</v>
      </c>
      <c r="H799" s="103" t="s">
        <v>2168</v>
      </c>
      <c r="I799" s="103" t="s">
        <v>2153</v>
      </c>
      <c r="J799" s="103">
        <v>50</v>
      </c>
      <c r="N799" s="103" t="s">
        <v>2154</v>
      </c>
      <c r="O799" s="103">
        <v>50</v>
      </c>
      <c r="P799" s="103" t="s">
        <v>811</v>
      </c>
      <c r="Q799" s="103" t="s">
        <v>2155</v>
      </c>
      <c r="R799" s="103" t="s">
        <v>2220</v>
      </c>
      <c r="S799" s="103" t="s">
        <v>2870</v>
      </c>
      <c r="U799" s="103">
        <v>25.65</v>
      </c>
      <c r="V799" s="103" t="s">
        <v>2158</v>
      </c>
      <c r="W799" s="103" t="s">
        <v>108</v>
      </c>
      <c r="X799" s="103" t="s">
        <v>1597</v>
      </c>
      <c r="Y799" s="103" t="s">
        <v>1685</v>
      </c>
      <c r="AA799" s="103" t="s">
        <v>2220</v>
      </c>
      <c r="AB799" s="103" t="s">
        <v>71</v>
      </c>
      <c r="AE799" s="103" t="s">
        <v>810</v>
      </c>
      <c r="AF799" s="103" t="b">
        <v>1</v>
      </c>
    </row>
    <row r="800" spans="1:32" hidden="1" x14ac:dyDescent="0.2">
      <c r="A800" s="103" t="s">
        <v>542</v>
      </c>
      <c r="B800" s="103" t="s">
        <v>541</v>
      </c>
      <c r="C800" s="103" t="s">
        <v>3002</v>
      </c>
      <c r="D800" s="103" t="s">
        <v>3003</v>
      </c>
      <c r="E800" s="103" t="s">
        <v>2366</v>
      </c>
      <c r="F800" s="103" t="s">
        <v>2202</v>
      </c>
      <c r="G800" s="103">
        <v>200</v>
      </c>
      <c r="H800" s="103" t="s">
        <v>2168</v>
      </c>
      <c r="I800" s="103" t="s">
        <v>2153</v>
      </c>
      <c r="K800" s="103">
        <v>50</v>
      </c>
      <c r="L800" s="103">
        <v>100</v>
      </c>
      <c r="M800" s="103">
        <v>50</v>
      </c>
      <c r="N800" s="103" t="s">
        <v>2163</v>
      </c>
      <c r="O800" s="103">
        <v>200</v>
      </c>
      <c r="P800" s="103" t="s">
        <v>811</v>
      </c>
      <c r="Q800" s="103" t="s">
        <v>2155</v>
      </c>
      <c r="R800" s="103" t="s">
        <v>2220</v>
      </c>
      <c r="S800" s="103" t="s">
        <v>2870</v>
      </c>
      <c r="U800" s="103">
        <v>102.6</v>
      </c>
      <c r="V800" s="103" t="s">
        <v>2158</v>
      </c>
      <c r="W800" s="103" t="s">
        <v>108</v>
      </c>
      <c r="X800" s="103" t="s">
        <v>1597</v>
      </c>
      <c r="Y800" s="103" t="s">
        <v>1685</v>
      </c>
      <c r="AA800" s="103" t="s">
        <v>2220</v>
      </c>
      <c r="AB800" s="103" t="s">
        <v>71</v>
      </c>
      <c r="AE800" s="103" t="s">
        <v>810</v>
      </c>
      <c r="AF800" s="103" t="b">
        <v>1</v>
      </c>
    </row>
    <row r="801" spans="1:32" hidden="1" x14ac:dyDescent="0.2">
      <c r="A801" s="103" t="s">
        <v>542</v>
      </c>
      <c r="B801" s="103" t="s">
        <v>541</v>
      </c>
      <c r="C801" s="103" t="s">
        <v>3004</v>
      </c>
      <c r="E801" s="103" t="s">
        <v>2366</v>
      </c>
      <c r="F801" s="103" t="s">
        <v>2151</v>
      </c>
      <c r="G801" s="103">
        <v>100</v>
      </c>
      <c r="H801" s="103" t="s">
        <v>2168</v>
      </c>
      <c r="I801" s="103" t="s">
        <v>2153</v>
      </c>
      <c r="L801" s="103">
        <v>50</v>
      </c>
      <c r="M801" s="103">
        <v>50</v>
      </c>
      <c r="N801" s="103" t="s">
        <v>2260</v>
      </c>
      <c r="O801" s="103">
        <v>100</v>
      </c>
      <c r="P801" s="103" t="s">
        <v>811</v>
      </c>
      <c r="Q801" s="103" t="s">
        <v>2155</v>
      </c>
      <c r="R801" s="103" t="s">
        <v>2220</v>
      </c>
      <c r="S801" s="103" t="s">
        <v>2870</v>
      </c>
      <c r="U801" s="103">
        <v>51.3</v>
      </c>
      <c r="V801" s="103" t="s">
        <v>2262</v>
      </c>
      <c r="W801" s="103" t="s">
        <v>108</v>
      </c>
      <c r="X801" s="103" t="s">
        <v>1597</v>
      </c>
      <c r="Y801" s="103" t="s">
        <v>1685</v>
      </c>
      <c r="AA801" s="103" t="s">
        <v>2220</v>
      </c>
      <c r="AB801" s="103" t="s">
        <v>71</v>
      </c>
      <c r="AE801" s="103" t="s">
        <v>810</v>
      </c>
      <c r="AF801" s="103" t="b">
        <v>1</v>
      </c>
    </row>
    <row r="802" spans="1:32" hidden="1" x14ac:dyDescent="0.2">
      <c r="A802" s="103" t="s">
        <v>785</v>
      </c>
      <c r="B802" s="103" t="s">
        <v>784</v>
      </c>
      <c r="C802" s="103" t="s">
        <v>3005</v>
      </c>
      <c r="D802" s="103" t="s">
        <v>3006</v>
      </c>
      <c r="E802" s="103" t="s">
        <v>2366</v>
      </c>
      <c r="F802" s="103" t="s">
        <v>2151</v>
      </c>
      <c r="G802" s="103">
        <v>100</v>
      </c>
      <c r="H802" s="103" t="s">
        <v>2168</v>
      </c>
      <c r="I802" s="103" t="s">
        <v>2153</v>
      </c>
      <c r="J802" s="103">
        <v>50</v>
      </c>
      <c r="K802" s="103">
        <v>50</v>
      </c>
      <c r="N802" s="103" t="s">
        <v>2154</v>
      </c>
      <c r="O802" s="103">
        <v>100</v>
      </c>
      <c r="P802" s="103" t="s">
        <v>1609</v>
      </c>
      <c r="Q802" s="103" t="s">
        <v>2155</v>
      </c>
      <c r="R802" s="103" t="s">
        <v>2220</v>
      </c>
      <c r="S802" s="103" t="s">
        <v>2870</v>
      </c>
      <c r="U802" s="103">
        <v>51.3</v>
      </c>
      <c r="V802" s="103" t="s">
        <v>2158</v>
      </c>
      <c r="W802" s="103" t="s">
        <v>108</v>
      </c>
      <c r="X802" s="103" t="s">
        <v>1597</v>
      </c>
      <c r="Y802" s="103" t="s">
        <v>1685</v>
      </c>
      <c r="AA802" s="103" t="s">
        <v>2220</v>
      </c>
      <c r="AB802" s="103" t="s">
        <v>71</v>
      </c>
      <c r="AE802" s="103" t="s">
        <v>898</v>
      </c>
      <c r="AF802" s="103" t="b">
        <v>1</v>
      </c>
    </row>
    <row r="803" spans="1:32" hidden="1" x14ac:dyDescent="0.2">
      <c r="A803" s="103" t="s">
        <v>785</v>
      </c>
      <c r="B803" s="103" t="s">
        <v>784</v>
      </c>
      <c r="C803" s="103" t="s">
        <v>3007</v>
      </c>
      <c r="E803" s="103" t="s">
        <v>2366</v>
      </c>
      <c r="F803" s="103" t="s">
        <v>2232</v>
      </c>
      <c r="G803" s="103">
        <v>250</v>
      </c>
      <c r="H803" s="103" t="s">
        <v>2152</v>
      </c>
      <c r="I803" s="103" t="s">
        <v>2153</v>
      </c>
      <c r="J803" s="103">
        <v>150</v>
      </c>
      <c r="K803" s="103">
        <v>100</v>
      </c>
      <c r="N803" s="103" t="s">
        <v>2163</v>
      </c>
      <c r="O803" s="103">
        <v>250</v>
      </c>
      <c r="P803" s="103" t="s">
        <v>811</v>
      </c>
      <c r="Q803" s="103" t="s">
        <v>2155</v>
      </c>
      <c r="R803" s="103" t="s">
        <v>2220</v>
      </c>
      <c r="S803" s="103" t="s">
        <v>2870</v>
      </c>
      <c r="U803" s="103">
        <v>128.25</v>
      </c>
      <c r="V803" s="103" t="s">
        <v>2158</v>
      </c>
      <c r="W803" s="103" t="s">
        <v>108</v>
      </c>
      <c r="X803" s="103" t="s">
        <v>1597</v>
      </c>
      <c r="Y803" s="103" t="s">
        <v>1685</v>
      </c>
      <c r="AA803" s="103" t="s">
        <v>2220</v>
      </c>
      <c r="AB803" s="103" t="s">
        <v>71</v>
      </c>
      <c r="AE803" s="103" t="s">
        <v>898</v>
      </c>
      <c r="AF803" s="103" t="b">
        <v>1</v>
      </c>
    </row>
    <row r="804" spans="1:32" hidden="1" x14ac:dyDescent="0.2">
      <c r="A804" s="103" t="s">
        <v>785</v>
      </c>
      <c r="B804" s="103" t="s">
        <v>784</v>
      </c>
      <c r="C804" s="103" t="s">
        <v>3008</v>
      </c>
      <c r="D804" s="103" t="s">
        <v>2298</v>
      </c>
      <c r="E804" s="103" t="s">
        <v>2299</v>
      </c>
      <c r="F804" s="103" t="s">
        <v>2162</v>
      </c>
      <c r="G804" s="103">
        <v>50</v>
      </c>
      <c r="H804" s="103" t="s">
        <v>2168</v>
      </c>
      <c r="I804" s="103" t="s">
        <v>2153</v>
      </c>
      <c r="J804" s="103">
        <v>40</v>
      </c>
      <c r="K804" s="103">
        <v>10</v>
      </c>
      <c r="N804" s="103" t="s">
        <v>2163</v>
      </c>
      <c r="O804" s="103">
        <v>50</v>
      </c>
      <c r="P804" s="103" t="s">
        <v>1609</v>
      </c>
      <c r="Q804" s="103" t="s">
        <v>2155</v>
      </c>
      <c r="R804" s="103" t="s">
        <v>2220</v>
      </c>
      <c r="S804" s="103" t="s">
        <v>2870</v>
      </c>
      <c r="U804" s="103">
        <v>25.65</v>
      </c>
      <c r="V804" s="103" t="s">
        <v>2158</v>
      </c>
      <c r="W804" s="103" t="s">
        <v>108</v>
      </c>
      <c r="X804" s="103" t="s">
        <v>1597</v>
      </c>
      <c r="Y804" s="103" t="s">
        <v>1685</v>
      </c>
      <c r="AA804" s="103" t="s">
        <v>2220</v>
      </c>
      <c r="AB804" s="103" t="s">
        <v>71</v>
      </c>
      <c r="AE804" s="103" t="s">
        <v>898</v>
      </c>
      <c r="AF804" s="103" t="b">
        <v>1</v>
      </c>
    </row>
    <row r="805" spans="1:32" hidden="1" x14ac:dyDescent="0.2">
      <c r="A805" s="103" t="s">
        <v>785</v>
      </c>
      <c r="B805" s="103" t="s">
        <v>784</v>
      </c>
      <c r="C805" s="103" t="s">
        <v>3009</v>
      </c>
      <c r="D805" s="103" t="s">
        <v>2298</v>
      </c>
      <c r="E805" s="103" t="s">
        <v>2299</v>
      </c>
      <c r="F805" s="103" t="s">
        <v>2162</v>
      </c>
      <c r="G805" s="103">
        <v>50</v>
      </c>
      <c r="H805" s="103" t="s">
        <v>2168</v>
      </c>
      <c r="I805" s="103" t="s">
        <v>2153</v>
      </c>
      <c r="J805" s="103">
        <v>40</v>
      </c>
      <c r="K805" s="103">
        <v>10</v>
      </c>
      <c r="L805" s="103">
        <v>0</v>
      </c>
      <c r="N805" s="103" t="s">
        <v>2163</v>
      </c>
      <c r="O805" s="103">
        <v>50</v>
      </c>
      <c r="P805" s="103" t="s">
        <v>1609</v>
      </c>
      <c r="Q805" s="103" t="s">
        <v>2155</v>
      </c>
      <c r="R805" s="103" t="s">
        <v>2220</v>
      </c>
      <c r="S805" s="103" t="s">
        <v>2870</v>
      </c>
      <c r="U805" s="103">
        <v>25.65</v>
      </c>
      <c r="V805" s="103" t="s">
        <v>2158</v>
      </c>
      <c r="W805" s="103" t="s">
        <v>108</v>
      </c>
      <c r="X805" s="103" t="s">
        <v>1597</v>
      </c>
      <c r="Y805" s="103" t="s">
        <v>1685</v>
      </c>
      <c r="AA805" s="103" t="s">
        <v>2220</v>
      </c>
      <c r="AB805" s="103" t="s">
        <v>71</v>
      </c>
      <c r="AE805" s="103" t="s">
        <v>898</v>
      </c>
      <c r="AF805" s="103" t="b">
        <v>1</v>
      </c>
    </row>
    <row r="806" spans="1:32" hidden="1" x14ac:dyDescent="0.2">
      <c r="A806" s="103" t="s">
        <v>785</v>
      </c>
      <c r="B806" s="103" t="s">
        <v>784</v>
      </c>
      <c r="C806" s="103" t="s">
        <v>3010</v>
      </c>
      <c r="E806" s="103" t="s">
        <v>2299</v>
      </c>
      <c r="F806" s="103" t="s">
        <v>2175</v>
      </c>
      <c r="G806" s="103">
        <v>10</v>
      </c>
      <c r="H806" s="103" t="s">
        <v>2152</v>
      </c>
      <c r="I806" s="103" t="s">
        <v>2153</v>
      </c>
      <c r="J806" s="103">
        <v>10</v>
      </c>
      <c r="N806" s="103" t="s">
        <v>2163</v>
      </c>
      <c r="O806" s="103">
        <v>10</v>
      </c>
      <c r="P806" s="103" t="s">
        <v>1609</v>
      </c>
      <c r="Q806" s="103" t="s">
        <v>2155</v>
      </c>
      <c r="R806" s="103" t="s">
        <v>2220</v>
      </c>
      <c r="S806" s="103" t="s">
        <v>2870</v>
      </c>
      <c r="T806" s="103" t="s">
        <v>3011</v>
      </c>
      <c r="U806" s="103">
        <v>5.13</v>
      </c>
      <c r="V806" s="103" t="s">
        <v>2158</v>
      </c>
      <c r="W806" s="103" t="s">
        <v>108</v>
      </c>
      <c r="X806" s="103" t="s">
        <v>1597</v>
      </c>
      <c r="Y806" s="103" t="s">
        <v>1685</v>
      </c>
      <c r="AA806" s="103" t="s">
        <v>2220</v>
      </c>
      <c r="AB806" s="103" t="s">
        <v>71</v>
      </c>
      <c r="AE806" s="103" t="s">
        <v>898</v>
      </c>
      <c r="AF806" s="103" t="b">
        <v>1</v>
      </c>
    </row>
    <row r="807" spans="1:32" hidden="1" x14ac:dyDescent="0.2">
      <c r="A807" s="103" t="s">
        <v>785</v>
      </c>
      <c r="B807" s="103" t="s">
        <v>784</v>
      </c>
      <c r="C807" s="103" t="s">
        <v>3012</v>
      </c>
      <c r="E807" s="103" t="s">
        <v>2299</v>
      </c>
      <c r="F807" s="103" t="s">
        <v>2162</v>
      </c>
      <c r="G807" s="103">
        <v>50</v>
      </c>
      <c r="H807" s="103" t="s">
        <v>2168</v>
      </c>
      <c r="I807" s="103" t="s">
        <v>2153</v>
      </c>
      <c r="J807" s="103">
        <v>25</v>
      </c>
      <c r="K807" s="103">
        <v>25</v>
      </c>
      <c r="N807" s="103" t="s">
        <v>2163</v>
      </c>
      <c r="O807" s="103">
        <v>50</v>
      </c>
      <c r="P807" s="103" t="s">
        <v>811</v>
      </c>
      <c r="Q807" s="103" t="s">
        <v>2155</v>
      </c>
      <c r="R807" s="103" t="s">
        <v>2220</v>
      </c>
      <c r="S807" s="103" t="s">
        <v>2870</v>
      </c>
      <c r="U807" s="103">
        <v>25.65</v>
      </c>
      <c r="V807" s="103" t="s">
        <v>2158</v>
      </c>
      <c r="W807" s="103" t="s">
        <v>108</v>
      </c>
      <c r="X807" s="103" t="s">
        <v>1597</v>
      </c>
      <c r="Y807" s="103" t="s">
        <v>1685</v>
      </c>
      <c r="AA807" s="103" t="s">
        <v>2220</v>
      </c>
      <c r="AB807" s="103" t="s">
        <v>71</v>
      </c>
      <c r="AE807" s="103" t="s">
        <v>898</v>
      </c>
      <c r="AF807" s="103" t="b">
        <v>1</v>
      </c>
    </row>
    <row r="808" spans="1:32" hidden="1" x14ac:dyDescent="0.2">
      <c r="A808" s="103" t="s">
        <v>854</v>
      </c>
      <c r="B808" s="103" t="s">
        <v>853</v>
      </c>
      <c r="C808" s="103" t="s">
        <v>3013</v>
      </c>
      <c r="E808" s="103" t="s">
        <v>2292</v>
      </c>
      <c r="F808" s="103" t="s">
        <v>2232</v>
      </c>
      <c r="G808" s="103">
        <v>300</v>
      </c>
      <c r="H808" s="103" t="s">
        <v>2168</v>
      </c>
      <c r="I808" s="103" t="s">
        <v>2153</v>
      </c>
      <c r="J808" s="103">
        <v>75</v>
      </c>
      <c r="K808" s="103">
        <v>75</v>
      </c>
      <c r="L808" s="103">
        <v>75</v>
      </c>
      <c r="M808" s="103">
        <v>75</v>
      </c>
      <c r="N808" s="103" t="s">
        <v>2163</v>
      </c>
      <c r="O808" s="103">
        <v>300</v>
      </c>
      <c r="P808" s="103" t="s">
        <v>2293</v>
      </c>
      <c r="Q808" s="103" t="s">
        <v>2155</v>
      </c>
      <c r="R808" s="103" t="s">
        <v>2220</v>
      </c>
      <c r="S808" s="103" t="s">
        <v>2870</v>
      </c>
      <c r="U808" s="103">
        <v>153.9</v>
      </c>
      <c r="V808" s="103" t="s">
        <v>2158</v>
      </c>
      <c r="W808" s="103" t="s">
        <v>108</v>
      </c>
      <c r="X808" s="103" t="s">
        <v>1597</v>
      </c>
      <c r="Y808" s="103" t="s">
        <v>1685</v>
      </c>
      <c r="AA808" s="103" t="s">
        <v>2220</v>
      </c>
      <c r="AB808" s="103" t="s">
        <v>71</v>
      </c>
      <c r="AE808" s="103" t="s">
        <v>810</v>
      </c>
      <c r="AF808" s="103" t="b">
        <v>1</v>
      </c>
    </row>
    <row r="809" spans="1:32" hidden="1" x14ac:dyDescent="0.2">
      <c r="A809" s="103" t="s">
        <v>854</v>
      </c>
      <c r="B809" s="103" t="s">
        <v>853</v>
      </c>
      <c r="C809" s="103" t="s">
        <v>3014</v>
      </c>
      <c r="E809" s="103" t="s">
        <v>2694</v>
      </c>
      <c r="F809" s="103" t="s">
        <v>2232</v>
      </c>
      <c r="G809" s="103">
        <v>300</v>
      </c>
      <c r="H809" s="103" t="s">
        <v>2168</v>
      </c>
      <c r="I809" s="103" t="s">
        <v>2153</v>
      </c>
      <c r="J809" s="103">
        <v>75</v>
      </c>
      <c r="K809" s="103">
        <v>75</v>
      </c>
      <c r="L809" s="103">
        <v>75</v>
      </c>
      <c r="M809" s="103">
        <v>75</v>
      </c>
      <c r="N809" s="103" t="s">
        <v>2163</v>
      </c>
      <c r="O809" s="103">
        <v>300</v>
      </c>
      <c r="P809" s="103" t="s">
        <v>2293</v>
      </c>
      <c r="Q809" s="103" t="s">
        <v>2155</v>
      </c>
      <c r="R809" s="103" t="s">
        <v>2220</v>
      </c>
      <c r="S809" s="103" t="s">
        <v>2870</v>
      </c>
      <c r="U809" s="103">
        <v>153.9</v>
      </c>
      <c r="V809" s="103" t="s">
        <v>2158</v>
      </c>
      <c r="W809" s="103" t="s">
        <v>108</v>
      </c>
      <c r="X809" s="103" t="s">
        <v>1597</v>
      </c>
      <c r="Y809" s="103" t="s">
        <v>1685</v>
      </c>
      <c r="AA809" s="103" t="s">
        <v>2220</v>
      </c>
      <c r="AB809" s="103" t="s">
        <v>71</v>
      </c>
      <c r="AE809" s="103" t="s">
        <v>810</v>
      </c>
      <c r="AF809" s="103" t="b">
        <v>1</v>
      </c>
    </row>
    <row r="810" spans="1:32" hidden="1" x14ac:dyDescent="0.2">
      <c r="A810" s="103" t="s">
        <v>854</v>
      </c>
      <c r="B810" s="103" t="s">
        <v>853</v>
      </c>
      <c r="C810" s="103" t="s">
        <v>3015</v>
      </c>
      <c r="E810" s="103" t="s">
        <v>2292</v>
      </c>
      <c r="F810" s="103" t="s">
        <v>2151</v>
      </c>
      <c r="G810" s="103">
        <v>100</v>
      </c>
      <c r="H810" s="103" t="s">
        <v>2168</v>
      </c>
      <c r="I810" s="103" t="s">
        <v>2153</v>
      </c>
      <c r="J810" s="103">
        <v>25</v>
      </c>
      <c r="K810" s="103">
        <v>25</v>
      </c>
      <c r="L810" s="103">
        <v>25</v>
      </c>
      <c r="M810" s="103">
        <v>25</v>
      </c>
      <c r="N810" s="103" t="s">
        <v>2163</v>
      </c>
      <c r="O810" s="103">
        <v>100</v>
      </c>
      <c r="P810" s="103" t="s">
        <v>2293</v>
      </c>
      <c r="Q810" s="103" t="s">
        <v>2155</v>
      </c>
      <c r="R810" s="103" t="s">
        <v>2220</v>
      </c>
      <c r="S810" s="103" t="s">
        <v>2870</v>
      </c>
      <c r="U810" s="103">
        <v>51.3</v>
      </c>
      <c r="V810" s="103" t="s">
        <v>2158</v>
      </c>
      <c r="W810" s="103" t="s">
        <v>108</v>
      </c>
      <c r="X810" s="103" t="s">
        <v>1597</v>
      </c>
      <c r="Y810" s="103" t="s">
        <v>1685</v>
      </c>
      <c r="AA810" s="103" t="s">
        <v>2220</v>
      </c>
      <c r="AB810" s="103" t="s">
        <v>71</v>
      </c>
      <c r="AE810" s="103" t="s">
        <v>810</v>
      </c>
      <c r="AF810" s="103" t="b">
        <v>1</v>
      </c>
    </row>
    <row r="811" spans="1:32" hidden="1" x14ac:dyDescent="0.2">
      <c r="A811" s="103" t="s">
        <v>854</v>
      </c>
      <c r="B811" s="103" t="s">
        <v>853</v>
      </c>
      <c r="C811" s="103" t="s">
        <v>3016</v>
      </c>
      <c r="E811" s="103" t="s">
        <v>2292</v>
      </c>
      <c r="F811" s="103" t="s">
        <v>2151</v>
      </c>
      <c r="G811" s="103">
        <v>100</v>
      </c>
      <c r="H811" s="103" t="s">
        <v>2168</v>
      </c>
      <c r="I811" s="103" t="s">
        <v>2153</v>
      </c>
      <c r="J811" s="103">
        <v>25</v>
      </c>
      <c r="K811" s="103">
        <v>25</v>
      </c>
      <c r="L811" s="103">
        <v>25</v>
      </c>
      <c r="M811" s="103">
        <v>25</v>
      </c>
      <c r="N811" s="103" t="s">
        <v>2154</v>
      </c>
      <c r="O811" s="103">
        <v>100</v>
      </c>
      <c r="P811" s="103" t="s">
        <v>2293</v>
      </c>
      <c r="Q811" s="103" t="s">
        <v>2155</v>
      </c>
      <c r="R811" s="103" t="s">
        <v>2220</v>
      </c>
      <c r="S811" s="103" t="s">
        <v>2870</v>
      </c>
      <c r="U811" s="103">
        <v>51.3</v>
      </c>
      <c r="V811" s="103" t="s">
        <v>2158</v>
      </c>
      <c r="W811" s="103" t="s">
        <v>108</v>
      </c>
      <c r="X811" s="103" t="s">
        <v>1597</v>
      </c>
      <c r="Y811" s="103" t="s">
        <v>1685</v>
      </c>
      <c r="AA811" s="103" t="s">
        <v>2220</v>
      </c>
      <c r="AB811" s="103" t="s">
        <v>71</v>
      </c>
      <c r="AE811" s="103" t="s">
        <v>810</v>
      </c>
      <c r="AF811" s="103" t="b">
        <v>1</v>
      </c>
    </row>
    <row r="812" spans="1:32" hidden="1" x14ac:dyDescent="0.2">
      <c r="A812" s="103" t="s">
        <v>858</v>
      </c>
      <c r="B812" s="103" t="s">
        <v>857</v>
      </c>
      <c r="C812" s="103" t="s">
        <v>3017</v>
      </c>
      <c r="E812" s="103" t="s">
        <v>2366</v>
      </c>
      <c r="F812" s="103" t="s">
        <v>2202</v>
      </c>
      <c r="G812" s="103">
        <v>200</v>
      </c>
      <c r="H812" s="103" t="s">
        <v>2168</v>
      </c>
      <c r="I812" s="103" t="s">
        <v>2153</v>
      </c>
      <c r="J812" s="103">
        <v>50</v>
      </c>
      <c r="K812" s="103">
        <v>50</v>
      </c>
      <c r="L812" s="103">
        <v>50</v>
      </c>
      <c r="M812" s="103">
        <v>50</v>
      </c>
      <c r="N812" s="103" t="s">
        <v>2163</v>
      </c>
      <c r="O812" s="103">
        <v>200</v>
      </c>
      <c r="P812" s="103" t="s">
        <v>811</v>
      </c>
      <c r="Q812" s="103" t="s">
        <v>2155</v>
      </c>
      <c r="R812" s="103" t="s">
        <v>2220</v>
      </c>
      <c r="S812" s="103" t="s">
        <v>2870</v>
      </c>
      <c r="U812" s="103">
        <v>102.6</v>
      </c>
      <c r="V812" s="103" t="s">
        <v>2158</v>
      </c>
      <c r="W812" s="103" t="s">
        <v>108</v>
      </c>
      <c r="X812" s="103" t="s">
        <v>1597</v>
      </c>
      <c r="Y812" s="103" t="s">
        <v>1685</v>
      </c>
      <c r="AA812" s="103" t="s">
        <v>2220</v>
      </c>
      <c r="AB812" s="103" t="s">
        <v>71</v>
      </c>
      <c r="AE812" s="103" t="s">
        <v>810</v>
      </c>
      <c r="AF812" s="103" t="b">
        <v>1</v>
      </c>
    </row>
    <row r="813" spans="1:32" hidden="1" x14ac:dyDescent="0.2">
      <c r="A813" s="103" t="s">
        <v>860</v>
      </c>
      <c r="B813" s="103" t="s">
        <v>859</v>
      </c>
      <c r="C813" s="103" t="s">
        <v>3018</v>
      </c>
      <c r="E813" s="103" t="s">
        <v>2366</v>
      </c>
      <c r="F813" s="103" t="s">
        <v>2151</v>
      </c>
      <c r="G813" s="103">
        <v>100</v>
      </c>
      <c r="H813" s="103" t="s">
        <v>2168</v>
      </c>
      <c r="I813" s="103" t="s">
        <v>2153</v>
      </c>
      <c r="L813" s="103">
        <v>50</v>
      </c>
      <c r="M813" s="103">
        <v>50</v>
      </c>
      <c r="N813" s="103" t="s">
        <v>2260</v>
      </c>
      <c r="O813" s="103">
        <v>100</v>
      </c>
      <c r="P813" s="103" t="s">
        <v>811</v>
      </c>
      <c r="Q813" s="103" t="s">
        <v>2155</v>
      </c>
      <c r="R813" s="103" t="s">
        <v>2220</v>
      </c>
      <c r="S813" s="103" t="s">
        <v>2870</v>
      </c>
      <c r="U813" s="103">
        <v>51.3</v>
      </c>
      <c r="V813" s="103" t="s">
        <v>2262</v>
      </c>
      <c r="W813" s="103" t="s">
        <v>108</v>
      </c>
      <c r="X813" s="103" t="s">
        <v>1597</v>
      </c>
      <c r="Y813" s="103" t="s">
        <v>1685</v>
      </c>
      <c r="AA813" s="103" t="s">
        <v>2220</v>
      </c>
      <c r="AB813" s="103" t="s">
        <v>71</v>
      </c>
      <c r="AE813" s="103" t="s">
        <v>810</v>
      </c>
      <c r="AF813" s="103" t="b">
        <v>1</v>
      </c>
    </row>
    <row r="814" spans="1:32" hidden="1" x14ac:dyDescent="0.2">
      <c r="A814" s="103" t="s">
        <v>860</v>
      </c>
      <c r="B814" s="103" t="s">
        <v>859</v>
      </c>
      <c r="C814" s="103" t="s">
        <v>3019</v>
      </c>
      <c r="E814" s="103" t="s">
        <v>2366</v>
      </c>
      <c r="F814" s="103" t="s">
        <v>2232</v>
      </c>
      <c r="G814" s="103">
        <v>300</v>
      </c>
      <c r="H814" s="103" t="s">
        <v>2168</v>
      </c>
      <c r="I814" s="103" t="s">
        <v>2153</v>
      </c>
      <c r="J814" s="103">
        <v>150</v>
      </c>
      <c r="K814" s="103">
        <v>100</v>
      </c>
      <c r="L814" s="103">
        <v>50</v>
      </c>
      <c r="N814" s="103" t="s">
        <v>2163</v>
      </c>
      <c r="O814" s="103">
        <v>300</v>
      </c>
      <c r="P814" s="103" t="s">
        <v>811</v>
      </c>
      <c r="Q814" s="103" t="s">
        <v>2155</v>
      </c>
      <c r="R814" s="103" t="s">
        <v>2220</v>
      </c>
      <c r="S814" s="103" t="s">
        <v>2870</v>
      </c>
      <c r="U814" s="103">
        <v>153.9</v>
      </c>
      <c r="V814" s="103" t="s">
        <v>2158</v>
      </c>
      <c r="W814" s="103" t="s">
        <v>108</v>
      </c>
      <c r="X814" s="103" t="s">
        <v>1597</v>
      </c>
      <c r="Y814" s="103" t="s">
        <v>1685</v>
      </c>
      <c r="AA814" s="103" t="s">
        <v>2220</v>
      </c>
      <c r="AB814" s="103" t="s">
        <v>71</v>
      </c>
      <c r="AE814" s="103" t="s">
        <v>810</v>
      </c>
      <c r="AF814" s="103" t="b">
        <v>1</v>
      </c>
    </row>
    <row r="815" spans="1:32" hidden="1" x14ac:dyDescent="0.2">
      <c r="A815" s="103" t="s">
        <v>862</v>
      </c>
      <c r="B815" s="103" t="s">
        <v>861</v>
      </c>
      <c r="C815" s="103" t="s">
        <v>3020</v>
      </c>
      <c r="E815" s="103" t="s">
        <v>2285</v>
      </c>
      <c r="F815" s="103" t="s">
        <v>2151</v>
      </c>
      <c r="G815" s="103">
        <v>100</v>
      </c>
      <c r="H815" s="103" t="s">
        <v>2168</v>
      </c>
      <c r="I815" s="103" t="s">
        <v>2153</v>
      </c>
      <c r="J815" s="103">
        <v>50</v>
      </c>
      <c r="K815" s="103">
        <v>20</v>
      </c>
      <c r="L815" s="103">
        <v>20</v>
      </c>
      <c r="M815" s="103">
        <v>10</v>
      </c>
      <c r="N815" s="103" t="s">
        <v>2260</v>
      </c>
      <c r="O815" s="103">
        <v>100</v>
      </c>
      <c r="P815" s="103" t="s">
        <v>811</v>
      </c>
      <c r="Q815" s="103" t="s">
        <v>2155</v>
      </c>
      <c r="R815" s="103" t="s">
        <v>2220</v>
      </c>
      <c r="S815" s="103" t="s">
        <v>2870</v>
      </c>
      <c r="U815" s="103">
        <v>51.3</v>
      </c>
      <c r="V815" s="103" t="s">
        <v>2262</v>
      </c>
      <c r="W815" s="103" t="s">
        <v>108</v>
      </c>
      <c r="X815" s="103" t="s">
        <v>1597</v>
      </c>
      <c r="Y815" s="103" t="s">
        <v>1685</v>
      </c>
      <c r="AA815" s="103" t="s">
        <v>2220</v>
      </c>
      <c r="AB815" s="103" t="s">
        <v>71</v>
      </c>
      <c r="AE815" s="103" t="s">
        <v>810</v>
      </c>
      <c r="AF815" s="103" t="b">
        <v>1</v>
      </c>
    </row>
    <row r="816" spans="1:32" hidden="1" x14ac:dyDescent="0.2">
      <c r="A816" s="103" t="s">
        <v>862</v>
      </c>
      <c r="B816" s="103" t="s">
        <v>861</v>
      </c>
      <c r="C816" s="103" t="s">
        <v>3021</v>
      </c>
      <c r="E816" s="103" t="s">
        <v>2285</v>
      </c>
      <c r="F816" s="103" t="s">
        <v>2226</v>
      </c>
      <c r="G816" s="103">
        <v>400</v>
      </c>
      <c r="H816" s="103" t="s">
        <v>2168</v>
      </c>
      <c r="I816" s="103" t="s">
        <v>2153</v>
      </c>
      <c r="J816" s="103">
        <v>100</v>
      </c>
      <c r="K816" s="103">
        <v>100</v>
      </c>
      <c r="L816" s="103">
        <v>100</v>
      </c>
      <c r="M816" s="103">
        <v>100</v>
      </c>
      <c r="N816" s="103" t="s">
        <v>2163</v>
      </c>
      <c r="O816" s="103">
        <v>400</v>
      </c>
      <c r="P816" s="103" t="s">
        <v>811</v>
      </c>
      <c r="Q816" s="103" t="s">
        <v>2155</v>
      </c>
      <c r="R816" s="103" t="s">
        <v>2220</v>
      </c>
      <c r="S816" s="103" t="s">
        <v>2870</v>
      </c>
      <c r="U816" s="103">
        <v>205.2</v>
      </c>
      <c r="V816" s="103" t="s">
        <v>2158</v>
      </c>
      <c r="W816" s="103" t="s">
        <v>108</v>
      </c>
      <c r="X816" s="103" t="s">
        <v>1597</v>
      </c>
      <c r="Y816" s="103" t="s">
        <v>1685</v>
      </c>
      <c r="AA816" s="103" t="s">
        <v>2220</v>
      </c>
      <c r="AB816" s="103" t="s">
        <v>71</v>
      </c>
      <c r="AE816" s="103" t="s">
        <v>810</v>
      </c>
      <c r="AF816" s="103" t="b">
        <v>1</v>
      </c>
    </row>
    <row r="817" spans="1:32" hidden="1" x14ac:dyDescent="0.2">
      <c r="A817" s="103" t="s">
        <v>862</v>
      </c>
      <c r="B817" s="103" t="s">
        <v>861</v>
      </c>
      <c r="C817" s="103" t="s">
        <v>3022</v>
      </c>
      <c r="E817" s="103" t="s">
        <v>2285</v>
      </c>
      <c r="F817" s="103" t="s">
        <v>2202</v>
      </c>
      <c r="G817" s="103">
        <v>200</v>
      </c>
      <c r="H817" s="103" t="s">
        <v>2168</v>
      </c>
      <c r="I817" s="103" t="s">
        <v>2153</v>
      </c>
      <c r="J817" s="103">
        <v>100</v>
      </c>
      <c r="K817" s="103">
        <v>100</v>
      </c>
      <c r="N817" s="103" t="s">
        <v>2163</v>
      </c>
      <c r="O817" s="103">
        <v>200</v>
      </c>
      <c r="P817" s="103" t="s">
        <v>811</v>
      </c>
      <c r="Q817" s="103" t="s">
        <v>2155</v>
      </c>
      <c r="R817" s="103" t="s">
        <v>2220</v>
      </c>
      <c r="S817" s="103" t="s">
        <v>2870</v>
      </c>
      <c r="U817" s="103">
        <v>102.6</v>
      </c>
      <c r="V817" s="103" t="s">
        <v>2158</v>
      </c>
      <c r="W817" s="103" t="s">
        <v>108</v>
      </c>
      <c r="X817" s="103" t="s">
        <v>1597</v>
      </c>
      <c r="Y817" s="103" t="s">
        <v>1685</v>
      </c>
      <c r="AA817" s="103" t="s">
        <v>2220</v>
      </c>
      <c r="AB817" s="103" t="s">
        <v>71</v>
      </c>
      <c r="AE817" s="103" t="s">
        <v>810</v>
      </c>
      <c r="AF817" s="103" t="b">
        <v>1</v>
      </c>
    </row>
    <row r="818" spans="1:32" hidden="1" x14ac:dyDescent="0.2">
      <c r="A818" s="103" t="s">
        <v>862</v>
      </c>
      <c r="B818" s="103" t="s">
        <v>861</v>
      </c>
      <c r="C818" s="103" t="s">
        <v>3023</v>
      </c>
      <c r="E818" s="103" t="s">
        <v>2285</v>
      </c>
      <c r="F818" s="103" t="s">
        <v>2162</v>
      </c>
      <c r="G818" s="103">
        <v>50</v>
      </c>
      <c r="H818" s="103" t="s">
        <v>2168</v>
      </c>
      <c r="I818" s="103" t="s">
        <v>2153</v>
      </c>
      <c r="J818" s="103">
        <v>50</v>
      </c>
      <c r="N818" s="103" t="s">
        <v>2163</v>
      </c>
      <c r="O818" s="103">
        <v>50</v>
      </c>
      <c r="P818" s="103" t="s">
        <v>811</v>
      </c>
      <c r="Q818" s="103" t="s">
        <v>2155</v>
      </c>
      <c r="R818" s="103" t="s">
        <v>2220</v>
      </c>
      <c r="S818" s="103" t="s">
        <v>2870</v>
      </c>
      <c r="U818" s="103">
        <v>25.65</v>
      </c>
      <c r="V818" s="103" t="s">
        <v>2158</v>
      </c>
      <c r="W818" s="103" t="s">
        <v>108</v>
      </c>
      <c r="X818" s="103" t="s">
        <v>1597</v>
      </c>
      <c r="Y818" s="103" t="s">
        <v>1685</v>
      </c>
      <c r="AA818" s="103" t="s">
        <v>2220</v>
      </c>
      <c r="AB818" s="103" t="s">
        <v>71</v>
      </c>
      <c r="AE818" s="103" t="s">
        <v>810</v>
      </c>
      <c r="AF818" s="103" t="b">
        <v>1</v>
      </c>
    </row>
    <row r="819" spans="1:32" hidden="1" x14ac:dyDescent="0.2">
      <c r="A819" s="103" t="s">
        <v>864</v>
      </c>
      <c r="B819" s="103" t="s">
        <v>863</v>
      </c>
      <c r="C819" s="103" t="s">
        <v>3024</v>
      </c>
      <c r="E819" s="103" t="s">
        <v>2285</v>
      </c>
      <c r="F819" s="103" t="s">
        <v>2162</v>
      </c>
      <c r="G819" s="103">
        <v>50</v>
      </c>
      <c r="H819" s="103" t="s">
        <v>2168</v>
      </c>
      <c r="I819" s="103" t="s">
        <v>2153</v>
      </c>
      <c r="K819" s="103">
        <v>50</v>
      </c>
      <c r="N819" s="103" t="s">
        <v>2402</v>
      </c>
      <c r="O819" s="103">
        <v>50</v>
      </c>
      <c r="P819" s="103" t="s">
        <v>811</v>
      </c>
      <c r="Q819" s="103" t="s">
        <v>2155</v>
      </c>
      <c r="R819" s="103" t="s">
        <v>2220</v>
      </c>
      <c r="S819" s="103" t="s">
        <v>2870</v>
      </c>
      <c r="U819" s="103">
        <v>25.65</v>
      </c>
      <c r="V819" s="103" t="s">
        <v>2262</v>
      </c>
      <c r="W819" s="103" t="s">
        <v>108</v>
      </c>
      <c r="X819" s="103" t="s">
        <v>1597</v>
      </c>
      <c r="Y819" s="103" t="s">
        <v>1685</v>
      </c>
      <c r="AA819" s="103" t="s">
        <v>2220</v>
      </c>
      <c r="AB819" s="103" t="s">
        <v>71</v>
      </c>
      <c r="AE819" s="103" t="s">
        <v>810</v>
      </c>
      <c r="AF819" s="103" t="b">
        <v>1</v>
      </c>
    </row>
    <row r="820" spans="1:32" hidden="1" x14ac:dyDescent="0.2">
      <c r="A820" s="103" t="s">
        <v>864</v>
      </c>
      <c r="B820" s="103" t="s">
        <v>863</v>
      </c>
      <c r="C820" s="103" t="s">
        <v>3025</v>
      </c>
      <c r="E820" s="103" t="s">
        <v>2259</v>
      </c>
      <c r="F820" s="103" t="s">
        <v>2151</v>
      </c>
      <c r="G820" s="103">
        <v>100</v>
      </c>
      <c r="H820" s="103" t="s">
        <v>2168</v>
      </c>
      <c r="I820" s="103" t="s">
        <v>2153</v>
      </c>
      <c r="J820" s="103">
        <v>25</v>
      </c>
      <c r="K820" s="103">
        <v>25</v>
      </c>
      <c r="L820" s="103">
        <v>25</v>
      </c>
      <c r="M820" s="103">
        <v>25</v>
      </c>
      <c r="N820" s="103" t="s">
        <v>2273</v>
      </c>
      <c r="O820" s="103">
        <v>100</v>
      </c>
      <c r="P820" s="103" t="s">
        <v>811</v>
      </c>
      <c r="Q820" s="103" t="s">
        <v>2155</v>
      </c>
      <c r="R820" s="103" t="s">
        <v>2220</v>
      </c>
      <c r="S820" s="103" t="s">
        <v>2870</v>
      </c>
      <c r="U820" s="103">
        <v>51.3</v>
      </c>
      <c r="V820" s="103" t="s">
        <v>2262</v>
      </c>
      <c r="W820" s="103" t="s">
        <v>108</v>
      </c>
      <c r="X820" s="103" t="s">
        <v>1597</v>
      </c>
      <c r="Y820" s="103" t="s">
        <v>1685</v>
      </c>
      <c r="AA820" s="103" t="s">
        <v>2220</v>
      </c>
      <c r="AB820" s="103" t="s">
        <v>71</v>
      </c>
      <c r="AE820" s="103" t="s">
        <v>810</v>
      </c>
      <c r="AF820" s="103" t="b">
        <v>1</v>
      </c>
    </row>
    <row r="821" spans="1:32" hidden="1" x14ac:dyDescent="0.2">
      <c r="A821" s="103" t="s">
        <v>864</v>
      </c>
      <c r="B821" s="103" t="s">
        <v>863</v>
      </c>
      <c r="C821" s="103" t="s">
        <v>3026</v>
      </c>
      <c r="E821" s="103" t="s">
        <v>2259</v>
      </c>
      <c r="F821" s="103" t="s">
        <v>2151</v>
      </c>
      <c r="G821" s="103">
        <v>100</v>
      </c>
      <c r="H821" s="103" t="s">
        <v>2168</v>
      </c>
      <c r="I821" s="103" t="s">
        <v>2153</v>
      </c>
      <c r="K821" s="103">
        <v>100</v>
      </c>
      <c r="N821" s="103" t="s">
        <v>2154</v>
      </c>
      <c r="O821" s="103">
        <v>100</v>
      </c>
      <c r="P821" s="103" t="s">
        <v>811</v>
      </c>
      <c r="Q821" s="103" t="s">
        <v>2155</v>
      </c>
      <c r="R821" s="103" t="s">
        <v>2220</v>
      </c>
      <c r="S821" s="103" t="s">
        <v>2870</v>
      </c>
      <c r="U821" s="103">
        <v>51.3</v>
      </c>
      <c r="V821" s="103" t="s">
        <v>2158</v>
      </c>
      <c r="W821" s="103" t="s">
        <v>108</v>
      </c>
      <c r="X821" s="103" t="s">
        <v>1597</v>
      </c>
      <c r="Y821" s="103" t="s">
        <v>1685</v>
      </c>
      <c r="AA821" s="103" t="s">
        <v>2220</v>
      </c>
      <c r="AB821" s="103" t="s">
        <v>71</v>
      </c>
      <c r="AE821" s="103" t="s">
        <v>810</v>
      </c>
      <c r="AF821" s="103" t="b">
        <v>1</v>
      </c>
    </row>
    <row r="822" spans="1:32" hidden="1" x14ac:dyDescent="0.2">
      <c r="A822" s="103" t="s">
        <v>1180</v>
      </c>
      <c r="B822" s="103" t="s">
        <v>1179</v>
      </c>
      <c r="C822" s="103" t="s">
        <v>3027</v>
      </c>
      <c r="D822" s="103" t="s">
        <v>3028</v>
      </c>
      <c r="E822" s="103" t="s">
        <v>2259</v>
      </c>
      <c r="F822" s="103" t="s">
        <v>2162</v>
      </c>
      <c r="G822" s="103">
        <v>50</v>
      </c>
      <c r="H822" s="103" t="s">
        <v>2168</v>
      </c>
      <c r="I822" s="103" t="s">
        <v>2153</v>
      </c>
      <c r="J822" s="103">
        <v>50</v>
      </c>
      <c r="N822" s="103" t="s">
        <v>2163</v>
      </c>
      <c r="O822" s="103">
        <v>50</v>
      </c>
      <c r="P822" s="103" t="s">
        <v>811</v>
      </c>
      <c r="Q822" s="103" t="s">
        <v>2236</v>
      </c>
      <c r="R822" s="103" t="s">
        <v>2220</v>
      </c>
      <c r="S822" s="103" t="s">
        <v>2870</v>
      </c>
      <c r="U822" s="103">
        <v>25.65</v>
      </c>
      <c r="V822" s="103" t="s">
        <v>2158</v>
      </c>
      <c r="W822" s="103" t="s">
        <v>108</v>
      </c>
      <c r="X822" s="103" t="s">
        <v>1597</v>
      </c>
      <c r="Y822" s="103" t="s">
        <v>1685</v>
      </c>
      <c r="AA822" s="103" t="s">
        <v>2220</v>
      </c>
      <c r="AB822" s="103" t="s">
        <v>71</v>
      </c>
      <c r="AE822" s="103" t="s">
        <v>810</v>
      </c>
      <c r="AF822" s="103" t="b">
        <v>1</v>
      </c>
    </row>
    <row r="823" spans="1:32" hidden="1" x14ac:dyDescent="0.2">
      <c r="A823" s="103" t="s">
        <v>1180</v>
      </c>
      <c r="B823" s="103" t="s">
        <v>1179</v>
      </c>
      <c r="C823" s="103" t="s">
        <v>3027</v>
      </c>
      <c r="E823" s="103" t="s">
        <v>2366</v>
      </c>
      <c r="F823" s="103" t="s">
        <v>2162</v>
      </c>
      <c r="G823" s="103">
        <v>50</v>
      </c>
      <c r="H823" s="103" t="s">
        <v>2168</v>
      </c>
      <c r="I823" s="103" t="s">
        <v>2153</v>
      </c>
      <c r="J823" s="103">
        <v>10</v>
      </c>
      <c r="K823" s="103">
        <v>10</v>
      </c>
      <c r="L823" s="103">
        <v>10</v>
      </c>
      <c r="M823" s="103">
        <v>20</v>
      </c>
      <c r="N823" s="103" t="s">
        <v>2163</v>
      </c>
      <c r="O823" s="103">
        <v>50</v>
      </c>
      <c r="P823" s="103" t="s">
        <v>811</v>
      </c>
      <c r="Q823" s="103" t="s">
        <v>2236</v>
      </c>
      <c r="R823" s="103" t="s">
        <v>2220</v>
      </c>
      <c r="S823" s="103" t="s">
        <v>2870</v>
      </c>
      <c r="U823" s="103">
        <v>25.65</v>
      </c>
      <c r="V823" s="103" t="s">
        <v>2158</v>
      </c>
      <c r="W823" s="103" t="s">
        <v>108</v>
      </c>
      <c r="X823" s="103" t="s">
        <v>1597</v>
      </c>
      <c r="Y823" s="103" t="s">
        <v>1685</v>
      </c>
      <c r="AA823" s="103" t="s">
        <v>2220</v>
      </c>
      <c r="AB823" s="103" t="s">
        <v>71</v>
      </c>
      <c r="AE823" s="103" t="s">
        <v>810</v>
      </c>
      <c r="AF823" s="103" t="b">
        <v>1</v>
      </c>
    </row>
    <row r="824" spans="1:32" hidden="1" x14ac:dyDescent="0.2">
      <c r="A824" s="103" t="s">
        <v>1180</v>
      </c>
      <c r="B824" s="103" t="s">
        <v>1179</v>
      </c>
      <c r="C824" s="103" t="s">
        <v>3027</v>
      </c>
      <c r="E824" s="103" t="s">
        <v>2285</v>
      </c>
      <c r="F824" s="103" t="s">
        <v>2162</v>
      </c>
      <c r="G824" s="103">
        <v>50</v>
      </c>
      <c r="H824" s="103" t="s">
        <v>2168</v>
      </c>
      <c r="I824" s="103" t="s">
        <v>2153</v>
      </c>
      <c r="J824" s="103">
        <v>10</v>
      </c>
      <c r="K824" s="103">
        <v>10</v>
      </c>
      <c r="L824" s="103">
        <v>10</v>
      </c>
      <c r="M824" s="103">
        <v>20</v>
      </c>
      <c r="N824" s="103" t="s">
        <v>2163</v>
      </c>
      <c r="O824" s="103">
        <v>50</v>
      </c>
      <c r="P824" s="103" t="s">
        <v>811</v>
      </c>
      <c r="Q824" s="103" t="s">
        <v>2236</v>
      </c>
      <c r="R824" s="103" t="s">
        <v>2220</v>
      </c>
      <c r="S824" s="103" t="s">
        <v>2870</v>
      </c>
      <c r="U824" s="103">
        <v>25.65</v>
      </c>
      <c r="V824" s="103" t="s">
        <v>2158</v>
      </c>
      <c r="W824" s="103" t="s">
        <v>108</v>
      </c>
      <c r="X824" s="103" t="s">
        <v>1597</v>
      </c>
      <c r="Y824" s="103" t="s">
        <v>1685</v>
      </c>
      <c r="AA824" s="103" t="s">
        <v>2220</v>
      </c>
      <c r="AB824" s="103" t="s">
        <v>71</v>
      </c>
      <c r="AE824" s="103" t="s">
        <v>810</v>
      </c>
      <c r="AF824" s="103" t="b">
        <v>1</v>
      </c>
    </row>
    <row r="825" spans="1:32" hidden="1" x14ac:dyDescent="0.2">
      <c r="A825" s="103" t="s">
        <v>1180</v>
      </c>
      <c r="B825" s="103" t="s">
        <v>1179</v>
      </c>
      <c r="C825" s="103" t="s">
        <v>3027</v>
      </c>
      <c r="E825" s="103" t="s">
        <v>2266</v>
      </c>
      <c r="F825" s="103" t="s">
        <v>2162</v>
      </c>
      <c r="G825" s="103">
        <v>50</v>
      </c>
      <c r="H825" s="103" t="s">
        <v>2168</v>
      </c>
      <c r="I825" s="103" t="s">
        <v>2153</v>
      </c>
      <c r="J825" s="103">
        <v>10</v>
      </c>
      <c r="K825" s="103">
        <v>10</v>
      </c>
      <c r="L825" s="103">
        <v>10</v>
      </c>
      <c r="M825" s="103">
        <v>20</v>
      </c>
      <c r="N825" s="103" t="s">
        <v>2163</v>
      </c>
      <c r="O825" s="103">
        <v>50</v>
      </c>
      <c r="P825" s="103" t="s">
        <v>811</v>
      </c>
      <c r="Q825" s="103" t="s">
        <v>2236</v>
      </c>
      <c r="R825" s="103" t="s">
        <v>2220</v>
      </c>
      <c r="S825" s="103" t="s">
        <v>2870</v>
      </c>
      <c r="U825" s="103">
        <v>25.65</v>
      </c>
      <c r="V825" s="103" t="s">
        <v>2158</v>
      </c>
      <c r="W825" s="103" t="s">
        <v>108</v>
      </c>
      <c r="X825" s="103" t="s">
        <v>1597</v>
      </c>
      <c r="Y825" s="103" t="s">
        <v>1685</v>
      </c>
      <c r="AA825" s="103" t="s">
        <v>2220</v>
      </c>
      <c r="AB825" s="103" t="s">
        <v>71</v>
      </c>
      <c r="AE825" s="103" t="s">
        <v>810</v>
      </c>
      <c r="AF825" s="103" t="b">
        <v>1</v>
      </c>
    </row>
    <row r="826" spans="1:32" hidden="1" x14ac:dyDescent="0.2">
      <c r="A826" s="103" t="s">
        <v>1574</v>
      </c>
      <c r="B826" s="103" t="s">
        <v>1776</v>
      </c>
      <c r="C826" s="103" t="s">
        <v>3080</v>
      </c>
      <c r="E826" s="103" t="s">
        <v>2338</v>
      </c>
      <c r="F826" s="103" t="s">
        <v>2202</v>
      </c>
      <c r="G826" s="103">
        <v>200</v>
      </c>
      <c r="H826" s="103" t="s">
        <v>2168</v>
      </c>
      <c r="I826" s="103" t="s">
        <v>2153</v>
      </c>
      <c r="J826" s="103">
        <v>50</v>
      </c>
      <c r="K826" s="103">
        <v>50</v>
      </c>
      <c r="L826" s="103">
        <v>50</v>
      </c>
      <c r="M826" s="103">
        <v>50</v>
      </c>
      <c r="N826" s="103" t="s">
        <v>2163</v>
      </c>
      <c r="O826" s="103">
        <v>200</v>
      </c>
      <c r="P826" s="103" t="s">
        <v>811</v>
      </c>
      <c r="Q826" s="103" t="s">
        <v>2387</v>
      </c>
      <c r="R826" s="103" t="s">
        <v>2220</v>
      </c>
      <c r="S826" s="103" t="s">
        <v>2422</v>
      </c>
      <c r="U826" s="103">
        <v>102.6</v>
      </c>
      <c r="V826" s="103" t="s">
        <v>2158</v>
      </c>
      <c r="W826" s="103" t="s">
        <v>108</v>
      </c>
      <c r="X826" s="103" t="s">
        <v>1736</v>
      </c>
      <c r="Y826" s="103" t="s">
        <v>3848</v>
      </c>
      <c r="AA826" s="103" t="s">
        <v>2220</v>
      </c>
      <c r="AB826" s="103" t="s">
        <v>71</v>
      </c>
      <c r="AE826" s="103" t="s">
        <v>810</v>
      </c>
      <c r="AF826" s="103" t="b">
        <v>1</v>
      </c>
    </row>
    <row r="827" spans="1:32" hidden="1" x14ac:dyDescent="0.2">
      <c r="A827" s="103" t="s">
        <v>1180</v>
      </c>
      <c r="B827" s="103" t="s">
        <v>1179</v>
      </c>
      <c r="C827" s="103" t="s">
        <v>3027</v>
      </c>
      <c r="E827" s="103" t="s">
        <v>2299</v>
      </c>
      <c r="F827" s="103" t="s">
        <v>2162</v>
      </c>
      <c r="G827" s="103">
        <v>50</v>
      </c>
      <c r="H827" s="103" t="s">
        <v>2168</v>
      </c>
      <c r="I827" s="103" t="s">
        <v>2153</v>
      </c>
      <c r="J827" s="103">
        <v>10</v>
      </c>
      <c r="K827" s="103">
        <v>10</v>
      </c>
      <c r="L827" s="103">
        <v>10</v>
      </c>
      <c r="M827" s="103">
        <v>20</v>
      </c>
      <c r="N827" s="103" t="s">
        <v>2163</v>
      </c>
      <c r="O827" s="103">
        <v>50</v>
      </c>
      <c r="P827" s="103" t="s">
        <v>811</v>
      </c>
      <c r="Q827" s="103" t="s">
        <v>2236</v>
      </c>
      <c r="R827" s="103" t="s">
        <v>2220</v>
      </c>
      <c r="S827" s="103" t="s">
        <v>2870</v>
      </c>
      <c r="U827" s="103">
        <v>25.65</v>
      </c>
      <c r="V827" s="103" t="s">
        <v>2158</v>
      </c>
      <c r="W827" s="103" t="s">
        <v>108</v>
      </c>
      <c r="X827" s="103" t="s">
        <v>1597</v>
      </c>
      <c r="Y827" s="103" t="s">
        <v>1685</v>
      </c>
      <c r="AA827" s="103" t="s">
        <v>2220</v>
      </c>
      <c r="AB827" s="103" t="s">
        <v>71</v>
      </c>
      <c r="AE827" s="103" t="s">
        <v>810</v>
      </c>
      <c r="AF827" s="103" t="b">
        <v>1</v>
      </c>
    </row>
    <row r="828" spans="1:32" hidden="1" x14ac:dyDescent="0.2">
      <c r="A828" s="103" t="s">
        <v>1180</v>
      </c>
      <c r="B828" s="103" t="s">
        <v>1179</v>
      </c>
      <c r="C828" s="103" t="s">
        <v>3027</v>
      </c>
      <c r="E828" s="103" t="s">
        <v>2264</v>
      </c>
      <c r="F828" s="103" t="s">
        <v>2162</v>
      </c>
      <c r="G828" s="103">
        <v>50</v>
      </c>
      <c r="H828" s="103" t="s">
        <v>2168</v>
      </c>
      <c r="I828" s="103" t="s">
        <v>2153</v>
      </c>
      <c r="J828" s="103">
        <v>10</v>
      </c>
      <c r="K828" s="103">
        <v>10</v>
      </c>
      <c r="L828" s="103">
        <v>10</v>
      </c>
      <c r="M828" s="103">
        <v>20</v>
      </c>
      <c r="N828" s="103" t="s">
        <v>2163</v>
      </c>
      <c r="O828" s="103">
        <v>50</v>
      </c>
      <c r="P828" s="103" t="s">
        <v>811</v>
      </c>
      <c r="Q828" s="103" t="s">
        <v>2236</v>
      </c>
      <c r="R828" s="103" t="s">
        <v>2220</v>
      </c>
      <c r="S828" s="103" t="s">
        <v>2870</v>
      </c>
      <c r="U828" s="103">
        <v>25.65</v>
      </c>
      <c r="V828" s="103" t="s">
        <v>2158</v>
      </c>
      <c r="W828" s="103" t="s">
        <v>108</v>
      </c>
      <c r="X828" s="103" t="s">
        <v>1597</v>
      </c>
      <c r="Y828" s="103" t="s">
        <v>1685</v>
      </c>
      <c r="AA828" s="103" t="s">
        <v>2220</v>
      </c>
      <c r="AB828" s="103" t="s">
        <v>71</v>
      </c>
      <c r="AE828" s="103" t="s">
        <v>810</v>
      </c>
      <c r="AF828" s="103" t="b">
        <v>1</v>
      </c>
    </row>
    <row r="829" spans="1:32" hidden="1" x14ac:dyDescent="0.2">
      <c r="A829" s="103" t="s">
        <v>915</v>
      </c>
      <c r="B829" s="103" t="s">
        <v>914</v>
      </c>
      <c r="C829" s="103" t="s">
        <v>3027</v>
      </c>
      <c r="E829" s="103" t="s">
        <v>2315</v>
      </c>
      <c r="F829" s="103" t="s">
        <v>2162</v>
      </c>
      <c r="G829" s="103">
        <v>50</v>
      </c>
      <c r="H829" s="103" t="s">
        <v>2168</v>
      </c>
      <c r="I829" s="103" t="s">
        <v>2153</v>
      </c>
      <c r="J829" s="103">
        <v>10</v>
      </c>
      <c r="K829" s="103">
        <v>10</v>
      </c>
      <c r="L829" s="103">
        <v>10</v>
      </c>
      <c r="M829" s="103">
        <v>20</v>
      </c>
      <c r="N829" s="103" t="s">
        <v>2273</v>
      </c>
      <c r="O829" s="103">
        <v>50</v>
      </c>
      <c r="P829" s="103" t="s">
        <v>811</v>
      </c>
      <c r="Q829" s="103" t="s">
        <v>2236</v>
      </c>
      <c r="R829" s="103" t="s">
        <v>2220</v>
      </c>
      <c r="S829" s="103" t="s">
        <v>2870</v>
      </c>
      <c r="U829" s="103">
        <v>25.65</v>
      </c>
      <c r="V829" s="103" t="s">
        <v>2262</v>
      </c>
      <c r="W829" s="103" t="s">
        <v>108</v>
      </c>
      <c r="X829" s="103" t="s">
        <v>1736</v>
      </c>
      <c r="Y829" s="103" t="s">
        <v>3848</v>
      </c>
      <c r="AA829" s="103" t="s">
        <v>2220</v>
      </c>
      <c r="AB829" s="103" t="s">
        <v>71</v>
      </c>
      <c r="AE829" s="103" t="s">
        <v>810</v>
      </c>
      <c r="AF829" s="103" t="b">
        <v>1</v>
      </c>
    </row>
    <row r="830" spans="1:32" hidden="1" x14ac:dyDescent="0.2">
      <c r="A830" s="103" t="s">
        <v>1160</v>
      </c>
      <c r="B830" s="103" t="s">
        <v>1159</v>
      </c>
      <c r="C830" s="103" t="s">
        <v>3025</v>
      </c>
      <c r="E830" s="103" t="s">
        <v>2796</v>
      </c>
      <c r="F830" s="103" t="s">
        <v>2162</v>
      </c>
      <c r="G830" s="103">
        <v>50</v>
      </c>
      <c r="H830" s="103" t="s">
        <v>2168</v>
      </c>
      <c r="I830" s="103" t="s">
        <v>2153</v>
      </c>
      <c r="J830" s="103">
        <v>25</v>
      </c>
      <c r="K830" s="103">
        <v>25</v>
      </c>
      <c r="N830" s="103" t="s">
        <v>2154</v>
      </c>
      <c r="O830" s="103">
        <v>50</v>
      </c>
      <c r="P830" s="103" t="s">
        <v>811</v>
      </c>
      <c r="Q830" s="103" t="s">
        <v>2155</v>
      </c>
      <c r="R830" s="103" t="s">
        <v>2220</v>
      </c>
      <c r="S830" s="103" t="s">
        <v>2870</v>
      </c>
      <c r="U830" s="103">
        <v>25.65</v>
      </c>
      <c r="V830" s="103" t="s">
        <v>2158</v>
      </c>
      <c r="W830" s="103" t="s">
        <v>108</v>
      </c>
      <c r="X830" s="103" t="s">
        <v>1597</v>
      </c>
      <c r="Y830" s="103" t="s">
        <v>1685</v>
      </c>
      <c r="AA830" s="103" t="s">
        <v>2220</v>
      </c>
      <c r="AB830" s="103" t="s">
        <v>71</v>
      </c>
      <c r="AE830" s="103" t="s">
        <v>810</v>
      </c>
      <c r="AF830" s="103" t="b">
        <v>1</v>
      </c>
    </row>
    <row r="831" spans="1:32" hidden="1" x14ac:dyDescent="0.2">
      <c r="A831" s="103" t="s">
        <v>1174</v>
      </c>
      <c r="B831" s="103" t="s">
        <v>1173</v>
      </c>
      <c r="C831" s="103" t="s">
        <v>3025</v>
      </c>
      <c r="D831" s="103" t="s">
        <v>3029</v>
      </c>
      <c r="E831" s="103" t="s">
        <v>2259</v>
      </c>
      <c r="F831" s="103" t="s">
        <v>2162</v>
      </c>
      <c r="G831" s="103">
        <v>50</v>
      </c>
      <c r="H831" s="103" t="s">
        <v>2168</v>
      </c>
      <c r="I831" s="103" t="s">
        <v>2153</v>
      </c>
      <c r="L831" s="103">
        <v>50</v>
      </c>
      <c r="N831" s="103" t="s">
        <v>2163</v>
      </c>
      <c r="O831" s="103">
        <v>50</v>
      </c>
      <c r="P831" s="103" t="s">
        <v>811</v>
      </c>
      <c r="Q831" s="103" t="s">
        <v>2155</v>
      </c>
      <c r="R831" s="103" t="s">
        <v>2220</v>
      </c>
      <c r="S831" s="103" t="s">
        <v>2870</v>
      </c>
      <c r="U831" s="103">
        <v>25.65</v>
      </c>
      <c r="V831" s="103" t="s">
        <v>2158</v>
      </c>
      <c r="W831" s="103" t="s">
        <v>108</v>
      </c>
      <c r="X831" s="103" t="s">
        <v>1597</v>
      </c>
      <c r="Y831" s="103" t="s">
        <v>1685</v>
      </c>
      <c r="AA831" s="103" t="s">
        <v>2220</v>
      </c>
      <c r="AB831" s="103" t="s">
        <v>71</v>
      </c>
      <c r="AE831" s="103" t="s">
        <v>810</v>
      </c>
      <c r="AF831" s="103" t="b">
        <v>1</v>
      </c>
    </row>
    <row r="832" spans="1:32" hidden="1" x14ac:dyDescent="0.2">
      <c r="A832" s="103" t="s">
        <v>1176</v>
      </c>
      <c r="B832" s="103" t="s">
        <v>1175</v>
      </c>
      <c r="C832" s="103" t="s">
        <v>3025</v>
      </c>
      <c r="E832" s="103" t="s">
        <v>2264</v>
      </c>
      <c r="F832" s="103" t="s">
        <v>2151</v>
      </c>
      <c r="G832" s="103">
        <v>100</v>
      </c>
      <c r="H832" s="103" t="s">
        <v>2168</v>
      </c>
      <c r="I832" s="103" t="s">
        <v>2153</v>
      </c>
      <c r="J832" s="103">
        <v>50</v>
      </c>
      <c r="K832" s="103">
        <v>50</v>
      </c>
      <c r="N832" s="103" t="s">
        <v>2163</v>
      </c>
      <c r="O832" s="103">
        <v>100</v>
      </c>
      <c r="P832" s="103" t="s">
        <v>811</v>
      </c>
      <c r="Q832" s="103" t="s">
        <v>2155</v>
      </c>
      <c r="R832" s="103" t="s">
        <v>2220</v>
      </c>
      <c r="S832" s="103" t="s">
        <v>2870</v>
      </c>
      <c r="U832" s="103">
        <v>51.3</v>
      </c>
      <c r="V832" s="103" t="s">
        <v>2158</v>
      </c>
      <c r="W832" s="103" t="s">
        <v>108</v>
      </c>
      <c r="X832" s="103" t="s">
        <v>1597</v>
      </c>
      <c r="Y832" s="103" t="s">
        <v>1685</v>
      </c>
      <c r="AA832" s="103" t="s">
        <v>2220</v>
      </c>
      <c r="AB832" s="103" t="s">
        <v>71</v>
      </c>
      <c r="AE832" s="103" t="s">
        <v>810</v>
      </c>
      <c r="AF832" s="103" t="b">
        <v>1</v>
      </c>
    </row>
    <row r="833" spans="1:32" hidden="1" x14ac:dyDescent="0.2">
      <c r="A833" s="103" t="s">
        <v>1178</v>
      </c>
      <c r="B833" s="103" t="s">
        <v>1177</v>
      </c>
      <c r="C833" s="103" t="s">
        <v>3025</v>
      </c>
      <c r="E833" s="103" t="s">
        <v>2299</v>
      </c>
      <c r="F833" s="103" t="s">
        <v>2151</v>
      </c>
      <c r="G833" s="103">
        <v>100</v>
      </c>
      <c r="H833" s="103" t="s">
        <v>2168</v>
      </c>
      <c r="I833" s="103" t="s">
        <v>2153</v>
      </c>
      <c r="J833" s="103">
        <v>25</v>
      </c>
      <c r="K833" s="103">
        <v>25</v>
      </c>
      <c r="L833" s="103">
        <v>25</v>
      </c>
      <c r="M833" s="103">
        <v>25</v>
      </c>
      <c r="N833" s="103" t="s">
        <v>2163</v>
      </c>
      <c r="O833" s="103">
        <v>100</v>
      </c>
      <c r="P833" s="103" t="s">
        <v>811</v>
      </c>
      <c r="Q833" s="103" t="s">
        <v>2155</v>
      </c>
      <c r="R833" s="103" t="s">
        <v>2220</v>
      </c>
      <c r="S833" s="103" t="s">
        <v>2870</v>
      </c>
      <c r="U833" s="103">
        <v>51.3</v>
      </c>
      <c r="V833" s="103" t="s">
        <v>2158</v>
      </c>
      <c r="W833" s="103" t="s">
        <v>108</v>
      </c>
      <c r="X833" s="103" t="s">
        <v>1597</v>
      </c>
      <c r="Y833" s="103" t="s">
        <v>1685</v>
      </c>
      <c r="AA833" s="103" t="s">
        <v>2220</v>
      </c>
      <c r="AB833" s="103" t="s">
        <v>71</v>
      </c>
      <c r="AE833" s="103" t="s">
        <v>810</v>
      </c>
      <c r="AF833" s="103" t="b">
        <v>1</v>
      </c>
    </row>
    <row r="834" spans="1:32" hidden="1" x14ac:dyDescent="0.2">
      <c r="A834" s="103" t="s">
        <v>3849</v>
      </c>
      <c r="B834" s="103" t="s">
        <v>1179</v>
      </c>
      <c r="C834" s="103" t="s">
        <v>3030</v>
      </c>
      <c r="E834" s="103" t="s">
        <v>2272</v>
      </c>
      <c r="F834" s="103" t="s">
        <v>2232</v>
      </c>
      <c r="G834" s="103">
        <v>300</v>
      </c>
      <c r="H834" s="103" t="s">
        <v>2168</v>
      </c>
      <c r="I834" s="103" t="s">
        <v>2153</v>
      </c>
      <c r="J834" s="103">
        <v>50</v>
      </c>
      <c r="K834" s="103">
        <v>50</v>
      </c>
      <c r="L834" s="103">
        <v>100</v>
      </c>
      <c r="M834" s="103">
        <v>100</v>
      </c>
      <c r="N834" s="103" t="s">
        <v>2273</v>
      </c>
      <c r="O834" s="103">
        <v>300</v>
      </c>
      <c r="P834" s="103" t="s">
        <v>811</v>
      </c>
      <c r="Q834" s="103" t="s">
        <v>2155</v>
      </c>
      <c r="R834" s="103" t="s">
        <v>2220</v>
      </c>
      <c r="S834" s="103" t="s">
        <v>2870</v>
      </c>
      <c r="U834" s="103">
        <v>153.9</v>
      </c>
      <c r="V834" s="103" t="s">
        <v>2262</v>
      </c>
      <c r="W834" s="103" t="s">
        <v>108</v>
      </c>
      <c r="X834" s="103" t="s">
        <v>1597</v>
      </c>
      <c r="Y834" s="103" t="s">
        <v>1685</v>
      </c>
      <c r="AA834" s="103" t="s">
        <v>2220</v>
      </c>
      <c r="AB834" s="103" t="s">
        <v>71</v>
      </c>
      <c r="AE834" s="103" t="s">
        <v>810</v>
      </c>
      <c r="AF834" s="103" t="b">
        <v>1</v>
      </c>
    </row>
    <row r="835" spans="1:32" hidden="1" x14ac:dyDescent="0.2">
      <c r="A835" s="103" t="s">
        <v>3849</v>
      </c>
      <c r="B835" s="103" t="s">
        <v>1179</v>
      </c>
      <c r="C835" s="103" t="s">
        <v>3031</v>
      </c>
      <c r="E835" s="103" t="s">
        <v>2272</v>
      </c>
      <c r="F835" s="103" t="s">
        <v>2202</v>
      </c>
      <c r="G835" s="103">
        <v>200</v>
      </c>
      <c r="H835" s="103" t="s">
        <v>2168</v>
      </c>
      <c r="I835" s="103" t="s">
        <v>2153</v>
      </c>
      <c r="J835" s="103">
        <v>50</v>
      </c>
      <c r="K835" s="103">
        <v>50</v>
      </c>
      <c r="L835" s="103">
        <v>50</v>
      </c>
      <c r="M835" s="103">
        <v>50</v>
      </c>
      <c r="N835" s="103" t="s">
        <v>2273</v>
      </c>
      <c r="O835" s="103">
        <v>200</v>
      </c>
      <c r="P835" s="103" t="s">
        <v>811</v>
      </c>
      <c r="Q835" s="103" t="s">
        <v>2155</v>
      </c>
      <c r="R835" s="103" t="s">
        <v>2220</v>
      </c>
      <c r="S835" s="103" t="s">
        <v>2870</v>
      </c>
      <c r="U835" s="103">
        <v>102.6</v>
      </c>
      <c r="V835" s="103" t="s">
        <v>2262</v>
      </c>
      <c r="W835" s="103" t="s">
        <v>108</v>
      </c>
      <c r="X835" s="103" t="s">
        <v>1597</v>
      </c>
      <c r="Y835" s="103" t="s">
        <v>1685</v>
      </c>
      <c r="AA835" s="103" t="s">
        <v>2220</v>
      </c>
      <c r="AB835" s="103" t="s">
        <v>71</v>
      </c>
      <c r="AE835" s="103" t="s">
        <v>810</v>
      </c>
      <c r="AF835" s="103" t="b">
        <v>1</v>
      </c>
    </row>
    <row r="836" spans="1:32" hidden="1" x14ac:dyDescent="0.2">
      <c r="A836" s="103" t="s">
        <v>3849</v>
      </c>
      <c r="B836" s="103" t="s">
        <v>1179</v>
      </c>
      <c r="C836" s="103" t="s">
        <v>3032</v>
      </c>
      <c r="E836" s="103" t="s">
        <v>2285</v>
      </c>
      <c r="F836" s="103" t="s">
        <v>2151</v>
      </c>
      <c r="G836" s="103">
        <v>100</v>
      </c>
      <c r="H836" s="103" t="s">
        <v>2168</v>
      </c>
      <c r="I836" s="103" t="s">
        <v>2153</v>
      </c>
      <c r="L836" s="103">
        <v>100</v>
      </c>
      <c r="N836" s="103" t="s">
        <v>2273</v>
      </c>
      <c r="O836" s="103">
        <v>100</v>
      </c>
      <c r="P836" s="103" t="s">
        <v>811</v>
      </c>
      <c r="Q836" s="103" t="s">
        <v>2155</v>
      </c>
      <c r="R836" s="103" t="s">
        <v>2220</v>
      </c>
      <c r="S836" s="103" t="s">
        <v>2870</v>
      </c>
      <c r="U836" s="103">
        <v>51.3</v>
      </c>
      <c r="V836" s="103" t="s">
        <v>2262</v>
      </c>
      <c r="W836" s="103" t="s">
        <v>108</v>
      </c>
      <c r="X836" s="103" t="s">
        <v>1597</v>
      </c>
      <c r="Y836" s="103" t="s">
        <v>1685</v>
      </c>
      <c r="AA836" s="103" t="s">
        <v>2220</v>
      </c>
      <c r="AB836" s="103" t="s">
        <v>71</v>
      </c>
      <c r="AE836" s="103" t="s">
        <v>810</v>
      </c>
      <c r="AF836" s="103" t="b">
        <v>1</v>
      </c>
    </row>
    <row r="837" spans="1:32" hidden="1" x14ac:dyDescent="0.2">
      <c r="A837" s="103" t="s">
        <v>915</v>
      </c>
      <c r="B837" s="103" t="s">
        <v>914</v>
      </c>
      <c r="C837" s="103" t="s">
        <v>3136</v>
      </c>
      <c r="E837" s="103" t="s">
        <v>2338</v>
      </c>
      <c r="F837" s="103" t="s">
        <v>2202</v>
      </c>
      <c r="G837" s="103">
        <v>160</v>
      </c>
      <c r="H837" s="103" t="s">
        <v>2152</v>
      </c>
      <c r="I837" s="103" t="s">
        <v>2153</v>
      </c>
      <c r="J837" s="103">
        <v>40</v>
      </c>
      <c r="K837" s="103">
        <v>40</v>
      </c>
      <c r="L837" s="103">
        <v>40</v>
      </c>
      <c r="M837" s="103">
        <v>40</v>
      </c>
      <c r="N837" s="103" t="s">
        <v>2163</v>
      </c>
      <c r="O837" s="103">
        <v>160</v>
      </c>
      <c r="P837" s="103" t="s">
        <v>811</v>
      </c>
      <c r="Q837" s="103" t="s">
        <v>2236</v>
      </c>
      <c r="R837" s="103" t="s">
        <v>2220</v>
      </c>
      <c r="S837" s="103" t="s">
        <v>2422</v>
      </c>
      <c r="U837" s="103">
        <v>82.08</v>
      </c>
      <c r="V837" s="103" t="s">
        <v>2158</v>
      </c>
      <c r="W837" s="103" t="s">
        <v>108</v>
      </c>
      <c r="X837" s="103" t="s">
        <v>1736</v>
      </c>
      <c r="Y837" s="103" t="s">
        <v>3848</v>
      </c>
      <c r="AA837" s="103" t="s">
        <v>2220</v>
      </c>
      <c r="AB837" s="103" t="s">
        <v>71</v>
      </c>
      <c r="AE837" s="103" t="s">
        <v>810</v>
      </c>
      <c r="AF837" s="103" t="b">
        <v>1</v>
      </c>
    </row>
    <row r="838" spans="1:32" hidden="1" x14ac:dyDescent="0.2">
      <c r="A838" s="103" t="s">
        <v>3849</v>
      </c>
      <c r="B838" s="103" t="s">
        <v>1179</v>
      </c>
      <c r="C838" s="103" t="s">
        <v>3034</v>
      </c>
      <c r="E838" s="103" t="s">
        <v>2299</v>
      </c>
      <c r="F838" s="103" t="s">
        <v>2162</v>
      </c>
      <c r="G838" s="103">
        <v>50</v>
      </c>
      <c r="H838" s="103" t="s">
        <v>2168</v>
      </c>
      <c r="I838" s="103" t="s">
        <v>2153</v>
      </c>
      <c r="L838" s="103">
        <v>50</v>
      </c>
      <c r="N838" s="103" t="s">
        <v>2273</v>
      </c>
      <c r="O838" s="103">
        <v>50</v>
      </c>
      <c r="P838" s="103" t="s">
        <v>811</v>
      </c>
      <c r="Q838" s="103" t="s">
        <v>2155</v>
      </c>
      <c r="R838" s="103" t="s">
        <v>2220</v>
      </c>
      <c r="S838" s="103" t="s">
        <v>2870</v>
      </c>
      <c r="U838" s="103">
        <v>25.65</v>
      </c>
      <c r="V838" s="103" t="s">
        <v>2262</v>
      </c>
      <c r="W838" s="103" t="s">
        <v>108</v>
      </c>
      <c r="X838" s="103" t="s">
        <v>1597</v>
      </c>
      <c r="Y838" s="103" t="s">
        <v>1685</v>
      </c>
      <c r="AA838" s="103" t="s">
        <v>2220</v>
      </c>
      <c r="AB838" s="103" t="s">
        <v>71</v>
      </c>
      <c r="AE838" s="103" t="s">
        <v>810</v>
      </c>
      <c r="AF838" s="103" t="b">
        <v>1</v>
      </c>
    </row>
    <row r="839" spans="1:32" hidden="1" x14ac:dyDescent="0.2">
      <c r="A839" s="103" t="s">
        <v>3849</v>
      </c>
      <c r="B839" s="103" t="s">
        <v>1179</v>
      </c>
      <c r="C839" s="103" t="s">
        <v>3035</v>
      </c>
      <c r="E839" s="103" t="s">
        <v>2266</v>
      </c>
      <c r="F839" s="103" t="s">
        <v>2151</v>
      </c>
      <c r="G839" s="103">
        <v>100</v>
      </c>
      <c r="H839" s="103" t="s">
        <v>2168</v>
      </c>
      <c r="I839" s="103" t="s">
        <v>2153</v>
      </c>
      <c r="J839" s="103">
        <v>50</v>
      </c>
      <c r="K839" s="103">
        <v>50</v>
      </c>
      <c r="N839" s="103" t="s">
        <v>2154</v>
      </c>
      <c r="O839" s="103">
        <v>100</v>
      </c>
      <c r="P839" s="103" t="s">
        <v>811</v>
      </c>
      <c r="Q839" s="103" t="s">
        <v>2155</v>
      </c>
      <c r="R839" s="103" t="s">
        <v>2220</v>
      </c>
      <c r="S839" s="103" t="s">
        <v>2870</v>
      </c>
      <c r="U839" s="103">
        <v>51.3</v>
      </c>
      <c r="V839" s="103" t="s">
        <v>2158</v>
      </c>
      <c r="W839" s="103" t="s">
        <v>108</v>
      </c>
      <c r="X839" s="103" t="s">
        <v>1597</v>
      </c>
      <c r="Y839" s="103" t="s">
        <v>1685</v>
      </c>
      <c r="AA839" s="103" t="s">
        <v>2220</v>
      </c>
      <c r="AB839" s="103" t="s">
        <v>71</v>
      </c>
      <c r="AE839" s="103" t="s">
        <v>810</v>
      </c>
      <c r="AF839" s="103" t="b">
        <v>1</v>
      </c>
    </row>
    <row r="840" spans="1:32" hidden="1" x14ac:dyDescent="0.2">
      <c r="A840" s="103" t="s">
        <v>3849</v>
      </c>
      <c r="B840" s="103" t="s">
        <v>1179</v>
      </c>
      <c r="C840" s="103" t="s">
        <v>3036</v>
      </c>
      <c r="E840" s="103" t="s">
        <v>2285</v>
      </c>
      <c r="F840" s="103" t="s">
        <v>2175</v>
      </c>
      <c r="G840" s="103">
        <v>20</v>
      </c>
      <c r="H840" s="103" t="s">
        <v>2168</v>
      </c>
      <c r="I840" s="103" t="s">
        <v>2153</v>
      </c>
      <c r="J840" s="103">
        <v>20</v>
      </c>
      <c r="N840" s="103" t="s">
        <v>2163</v>
      </c>
      <c r="O840" s="103">
        <v>20</v>
      </c>
      <c r="P840" s="103" t="s">
        <v>811</v>
      </c>
      <c r="Q840" s="103" t="s">
        <v>2155</v>
      </c>
      <c r="R840" s="103" t="s">
        <v>2220</v>
      </c>
      <c r="S840" s="103" t="s">
        <v>2870</v>
      </c>
      <c r="U840" s="103">
        <v>10.26</v>
      </c>
      <c r="V840" s="103" t="s">
        <v>2158</v>
      </c>
      <c r="W840" s="103" t="s">
        <v>108</v>
      </c>
      <c r="X840" s="103" t="s">
        <v>1597</v>
      </c>
      <c r="Y840" s="103" t="s">
        <v>1685</v>
      </c>
      <c r="AA840" s="103" t="s">
        <v>2220</v>
      </c>
      <c r="AB840" s="103" t="s">
        <v>71</v>
      </c>
      <c r="AE840" s="103" t="s">
        <v>810</v>
      </c>
      <c r="AF840" s="103" t="b">
        <v>1</v>
      </c>
    </row>
    <row r="841" spans="1:32" hidden="1" x14ac:dyDescent="0.2">
      <c r="A841" s="103" t="s">
        <v>3849</v>
      </c>
      <c r="B841" s="103" t="s">
        <v>1179</v>
      </c>
      <c r="C841" s="103" t="s">
        <v>3037</v>
      </c>
      <c r="E841" s="103" t="s">
        <v>2285</v>
      </c>
      <c r="F841" s="103" t="s">
        <v>2175</v>
      </c>
      <c r="G841" s="103">
        <v>20</v>
      </c>
      <c r="H841" s="103" t="s">
        <v>2168</v>
      </c>
      <c r="I841" s="103" t="s">
        <v>2153</v>
      </c>
      <c r="M841" s="103">
        <v>20</v>
      </c>
      <c r="N841" s="103" t="s">
        <v>2163</v>
      </c>
      <c r="O841" s="103">
        <v>20</v>
      </c>
      <c r="P841" s="103" t="s">
        <v>820</v>
      </c>
      <c r="Q841" s="103" t="s">
        <v>2155</v>
      </c>
      <c r="R841" s="103" t="s">
        <v>2220</v>
      </c>
      <c r="S841" s="103" t="s">
        <v>2870</v>
      </c>
      <c r="U841" s="103">
        <v>10.26</v>
      </c>
      <c r="V841" s="103" t="s">
        <v>2158</v>
      </c>
      <c r="W841" s="103" t="s">
        <v>108</v>
      </c>
      <c r="X841" s="103" t="s">
        <v>1597</v>
      </c>
      <c r="Y841" s="103" t="s">
        <v>1685</v>
      </c>
      <c r="AA841" s="103" t="s">
        <v>2220</v>
      </c>
      <c r="AB841" s="103" t="s">
        <v>71</v>
      </c>
      <c r="AE841" s="103" t="s">
        <v>810</v>
      </c>
      <c r="AF841" s="103" t="b">
        <v>1</v>
      </c>
    </row>
    <row r="842" spans="1:32" hidden="1" x14ac:dyDescent="0.2">
      <c r="A842" s="103" t="s">
        <v>2081</v>
      </c>
      <c r="B842" s="103" t="s">
        <v>1367</v>
      </c>
      <c r="C842" s="103" t="s">
        <v>3025</v>
      </c>
      <c r="E842" s="103" t="s">
        <v>2272</v>
      </c>
      <c r="F842" s="103" t="s">
        <v>2151</v>
      </c>
      <c r="G842" s="103">
        <v>100</v>
      </c>
      <c r="H842" s="103" t="s">
        <v>2168</v>
      </c>
      <c r="I842" s="103" t="s">
        <v>2153</v>
      </c>
      <c r="J842" s="103">
        <v>25</v>
      </c>
      <c r="K842" s="103">
        <v>25</v>
      </c>
      <c r="L842" s="103">
        <v>25</v>
      </c>
      <c r="M842" s="103">
        <v>25</v>
      </c>
      <c r="N842" s="103" t="s">
        <v>2163</v>
      </c>
      <c r="O842" s="103">
        <v>100</v>
      </c>
      <c r="P842" s="103" t="s">
        <v>811</v>
      </c>
      <c r="Q842" s="103" t="s">
        <v>2155</v>
      </c>
      <c r="R842" s="103" t="s">
        <v>2220</v>
      </c>
      <c r="S842" s="103" t="s">
        <v>2870</v>
      </c>
      <c r="U842" s="103">
        <v>51.3</v>
      </c>
      <c r="V842" s="103" t="s">
        <v>2158</v>
      </c>
      <c r="W842" s="103" t="s">
        <v>108</v>
      </c>
      <c r="X842" s="103" t="s">
        <v>1597</v>
      </c>
      <c r="Y842" s="103" t="s">
        <v>1685</v>
      </c>
      <c r="AA842" s="103" t="s">
        <v>2220</v>
      </c>
      <c r="AB842" s="103" t="s">
        <v>71</v>
      </c>
      <c r="AE842" s="103" t="s">
        <v>810</v>
      </c>
      <c r="AF842" s="103" t="b">
        <v>1</v>
      </c>
    </row>
    <row r="843" spans="1:32" hidden="1" x14ac:dyDescent="0.2">
      <c r="A843" s="103" t="s">
        <v>1415</v>
      </c>
      <c r="B843" s="103" t="s">
        <v>1414</v>
      </c>
      <c r="C843" s="103" t="s">
        <v>3038</v>
      </c>
      <c r="E843" s="103" t="s">
        <v>2259</v>
      </c>
      <c r="F843" s="103" t="s">
        <v>2202</v>
      </c>
      <c r="G843" s="103">
        <v>200</v>
      </c>
      <c r="H843" s="103" t="s">
        <v>2168</v>
      </c>
      <c r="I843" s="103" t="s">
        <v>2153</v>
      </c>
      <c r="J843" s="103">
        <v>100</v>
      </c>
      <c r="K843" s="103">
        <v>100</v>
      </c>
      <c r="N843" s="103" t="s">
        <v>2273</v>
      </c>
      <c r="O843" s="103">
        <v>200</v>
      </c>
      <c r="P843" s="103" t="s">
        <v>811</v>
      </c>
      <c r="Q843" s="103" t="s">
        <v>1393</v>
      </c>
      <c r="R843" s="103" t="s">
        <v>2220</v>
      </c>
      <c r="S843" s="103" t="s">
        <v>2870</v>
      </c>
      <c r="U843" s="103">
        <v>102.6</v>
      </c>
      <c r="V843" s="103" t="s">
        <v>2262</v>
      </c>
      <c r="W843" s="103" t="s">
        <v>108</v>
      </c>
      <c r="X843" s="103" t="s">
        <v>345</v>
      </c>
      <c r="Y843" s="103" t="s">
        <v>2240</v>
      </c>
      <c r="AA843" s="103" t="s">
        <v>2220</v>
      </c>
      <c r="AB843" s="103" t="s">
        <v>71</v>
      </c>
      <c r="AE843" s="103" t="s">
        <v>810</v>
      </c>
      <c r="AF843" s="103" t="b">
        <v>1</v>
      </c>
    </row>
    <row r="844" spans="1:32" hidden="1" x14ac:dyDescent="0.2">
      <c r="A844" s="103" t="s">
        <v>884</v>
      </c>
      <c r="B844" s="103" t="s">
        <v>883</v>
      </c>
      <c r="C844" s="103" t="s">
        <v>3039</v>
      </c>
      <c r="D844" s="103" t="s">
        <v>3040</v>
      </c>
      <c r="E844" s="103" t="s">
        <v>2957</v>
      </c>
      <c r="F844" s="103" t="s">
        <v>2151</v>
      </c>
      <c r="G844" s="103">
        <v>100</v>
      </c>
      <c r="H844" s="103" t="s">
        <v>2168</v>
      </c>
      <c r="I844" s="103" t="s">
        <v>2153</v>
      </c>
      <c r="M844" s="103">
        <v>100</v>
      </c>
      <c r="N844" s="103" t="s">
        <v>2273</v>
      </c>
      <c r="O844" s="103">
        <v>100</v>
      </c>
      <c r="P844" s="103" t="s">
        <v>820</v>
      </c>
      <c r="Q844" s="103" t="s">
        <v>2155</v>
      </c>
      <c r="R844" s="103" t="s">
        <v>2220</v>
      </c>
      <c r="S844" s="103" t="s">
        <v>2192</v>
      </c>
      <c r="U844" s="103">
        <v>51.3</v>
      </c>
      <c r="V844" s="103" t="s">
        <v>2262</v>
      </c>
      <c r="W844" s="103" t="s">
        <v>116</v>
      </c>
      <c r="X844" s="103">
        <v>0</v>
      </c>
      <c r="Y844" s="103" t="s">
        <v>1685</v>
      </c>
      <c r="AA844" s="103" t="s">
        <v>2220</v>
      </c>
      <c r="AB844" s="103" t="s">
        <v>71</v>
      </c>
      <c r="AE844" s="103" t="s">
        <v>810</v>
      </c>
      <c r="AF844" s="103" t="b">
        <v>1</v>
      </c>
    </row>
    <row r="845" spans="1:32" hidden="1" x14ac:dyDescent="0.2">
      <c r="A845" s="103" t="s">
        <v>884</v>
      </c>
      <c r="B845" s="103" t="s">
        <v>883</v>
      </c>
      <c r="C845" s="103" t="s">
        <v>3041</v>
      </c>
      <c r="D845" s="103" t="s">
        <v>3042</v>
      </c>
      <c r="E845" s="103" t="s">
        <v>2993</v>
      </c>
      <c r="F845" s="103" t="s">
        <v>2151</v>
      </c>
      <c r="G845" s="103">
        <v>100</v>
      </c>
      <c r="H845" s="103" t="s">
        <v>2168</v>
      </c>
      <c r="I845" s="103" t="s">
        <v>2153</v>
      </c>
      <c r="L845" s="103">
        <v>50</v>
      </c>
      <c r="M845" s="103">
        <v>50</v>
      </c>
      <c r="N845" s="103" t="s">
        <v>2260</v>
      </c>
      <c r="O845" s="103">
        <v>100</v>
      </c>
      <c r="P845" s="103" t="s">
        <v>820</v>
      </c>
      <c r="Q845" s="103" t="s">
        <v>2155</v>
      </c>
      <c r="R845" s="103" t="s">
        <v>2220</v>
      </c>
      <c r="S845" s="103" t="s">
        <v>2238</v>
      </c>
      <c r="T845" s="103" t="s">
        <v>3043</v>
      </c>
      <c r="U845" s="103">
        <v>51.3</v>
      </c>
      <c r="V845" s="103" t="s">
        <v>2262</v>
      </c>
      <c r="W845" s="103" t="s">
        <v>116</v>
      </c>
      <c r="X845" s="103">
        <v>0</v>
      </c>
      <c r="Y845" s="103" t="s">
        <v>1685</v>
      </c>
      <c r="AA845" s="103" t="s">
        <v>2220</v>
      </c>
      <c r="AB845" s="103" t="s">
        <v>71</v>
      </c>
      <c r="AE845" s="103" t="s">
        <v>810</v>
      </c>
      <c r="AF845" s="103" t="b">
        <v>1</v>
      </c>
    </row>
    <row r="846" spans="1:32" hidden="1" x14ac:dyDescent="0.2">
      <c r="A846" s="103" t="s">
        <v>886</v>
      </c>
      <c r="B846" s="103" t="s">
        <v>885</v>
      </c>
      <c r="C846" s="103" t="s">
        <v>3044</v>
      </c>
      <c r="D846" s="103" t="s">
        <v>3044</v>
      </c>
      <c r="E846" s="103" t="s">
        <v>2510</v>
      </c>
      <c r="F846" s="103" t="s">
        <v>2151</v>
      </c>
      <c r="G846" s="103">
        <v>100</v>
      </c>
      <c r="H846" s="103" t="s">
        <v>2168</v>
      </c>
      <c r="I846" s="103" t="s">
        <v>2153</v>
      </c>
      <c r="K846" s="103">
        <v>25</v>
      </c>
      <c r="L846" s="103">
        <v>75</v>
      </c>
      <c r="N846" s="103" t="s">
        <v>2163</v>
      </c>
      <c r="O846" s="103">
        <v>100</v>
      </c>
      <c r="P846" s="103" t="s">
        <v>873</v>
      </c>
      <c r="Q846" s="103" t="s">
        <v>2155</v>
      </c>
      <c r="R846" s="103" t="s">
        <v>2156</v>
      </c>
      <c r="S846" s="103" t="s">
        <v>2209</v>
      </c>
      <c r="U846" s="103">
        <v>51.3</v>
      </c>
      <c r="V846" s="103" t="s">
        <v>2158</v>
      </c>
      <c r="W846" s="103" t="s">
        <v>114</v>
      </c>
      <c r="X846" s="103" t="s">
        <v>1597</v>
      </c>
      <c r="Y846" s="103" t="s">
        <v>1685</v>
      </c>
      <c r="AA846" s="103" t="s">
        <v>2156</v>
      </c>
      <c r="AB846" s="103" t="s">
        <v>68</v>
      </c>
      <c r="AC846" s="103" t="s">
        <v>2782</v>
      </c>
      <c r="AD846" s="103" t="s">
        <v>2391</v>
      </c>
      <c r="AE846" s="103" t="s">
        <v>766</v>
      </c>
      <c r="AF846" s="103" t="b">
        <v>1</v>
      </c>
    </row>
    <row r="847" spans="1:32" hidden="1" x14ac:dyDescent="0.2">
      <c r="A847" s="103" t="s">
        <v>886</v>
      </c>
      <c r="B847" s="103" t="s">
        <v>885</v>
      </c>
      <c r="C847" s="103" t="s">
        <v>3045</v>
      </c>
      <c r="D847" s="103" t="s">
        <v>3045</v>
      </c>
      <c r="E847" s="103" t="s">
        <v>2510</v>
      </c>
      <c r="F847" s="103" t="s">
        <v>2151</v>
      </c>
      <c r="G847" s="103">
        <v>100</v>
      </c>
      <c r="H847" s="103" t="s">
        <v>2168</v>
      </c>
      <c r="I847" s="103" t="s">
        <v>2153</v>
      </c>
      <c r="L847" s="103">
        <v>25</v>
      </c>
      <c r="M847" s="103">
        <v>75</v>
      </c>
      <c r="N847" s="103" t="s">
        <v>2163</v>
      </c>
      <c r="O847" s="103">
        <v>100</v>
      </c>
      <c r="P847" s="103" t="s">
        <v>873</v>
      </c>
      <c r="Q847" s="103" t="s">
        <v>2155</v>
      </c>
      <c r="R847" s="103" t="s">
        <v>2156</v>
      </c>
      <c r="S847" s="103" t="s">
        <v>2251</v>
      </c>
      <c r="U847" s="103">
        <v>51.3</v>
      </c>
      <c r="V847" s="103" t="s">
        <v>2158</v>
      </c>
      <c r="W847" s="103" t="s">
        <v>114</v>
      </c>
      <c r="X847" s="103" t="s">
        <v>1597</v>
      </c>
      <c r="Y847" s="103" t="s">
        <v>1685</v>
      </c>
      <c r="AA847" s="103" t="s">
        <v>2156</v>
      </c>
      <c r="AB847" s="103" t="s">
        <v>68</v>
      </c>
      <c r="AC847" s="103" t="s">
        <v>2782</v>
      </c>
      <c r="AD847" s="103" t="s">
        <v>2391</v>
      </c>
      <c r="AE847" s="103" t="s">
        <v>766</v>
      </c>
      <c r="AF847" s="103" t="b">
        <v>1</v>
      </c>
    </row>
    <row r="848" spans="1:32" hidden="1" x14ac:dyDescent="0.2">
      <c r="A848" s="103" t="s">
        <v>886</v>
      </c>
      <c r="B848" s="103" t="s">
        <v>885</v>
      </c>
      <c r="C848" s="103" t="s">
        <v>3046</v>
      </c>
      <c r="D848" s="103" t="s">
        <v>3046</v>
      </c>
      <c r="E848" s="103" t="s">
        <v>2510</v>
      </c>
      <c r="F848" s="103" t="s">
        <v>2162</v>
      </c>
      <c r="G848" s="103">
        <v>50</v>
      </c>
      <c r="H848" s="103" t="s">
        <v>2168</v>
      </c>
      <c r="I848" s="103" t="s">
        <v>2153</v>
      </c>
      <c r="J848" s="103">
        <v>50</v>
      </c>
      <c r="N848" s="103" t="s">
        <v>2163</v>
      </c>
      <c r="O848" s="103">
        <v>50</v>
      </c>
      <c r="P848" s="103" t="s">
        <v>873</v>
      </c>
      <c r="Q848" s="103" t="s">
        <v>2155</v>
      </c>
      <c r="R848" s="103" t="s">
        <v>2156</v>
      </c>
      <c r="S848" s="103" t="s">
        <v>2251</v>
      </c>
      <c r="U848" s="103">
        <v>25.65</v>
      </c>
      <c r="V848" s="103" t="s">
        <v>2158</v>
      </c>
      <c r="W848" s="103" t="s">
        <v>114</v>
      </c>
      <c r="X848" s="103" t="s">
        <v>1597</v>
      </c>
      <c r="Y848" s="103" t="s">
        <v>1685</v>
      </c>
      <c r="AA848" s="103" t="s">
        <v>2156</v>
      </c>
      <c r="AB848" s="103" t="s">
        <v>68</v>
      </c>
      <c r="AC848" s="103" t="s">
        <v>2782</v>
      </c>
      <c r="AD848" s="103" t="s">
        <v>2391</v>
      </c>
      <c r="AE848" s="103" t="s">
        <v>766</v>
      </c>
      <c r="AF848" s="103" t="b">
        <v>1</v>
      </c>
    </row>
    <row r="849" spans="1:32" hidden="1" x14ac:dyDescent="0.2">
      <c r="A849" s="103" t="s">
        <v>886</v>
      </c>
      <c r="B849" s="103" t="s">
        <v>885</v>
      </c>
      <c r="C849" s="103" t="s">
        <v>3047</v>
      </c>
      <c r="D849" s="103" t="s">
        <v>3047</v>
      </c>
      <c r="E849" s="103" t="s">
        <v>2510</v>
      </c>
      <c r="F849" s="103" t="s">
        <v>2162</v>
      </c>
      <c r="G849" s="103">
        <v>50</v>
      </c>
      <c r="H849" s="103" t="s">
        <v>2168</v>
      </c>
      <c r="I849" s="103" t="s">
        <v>2153</v>
      </c>
      <c r="K849" s="103">
        <v>50</v>
      </c>
      <c r="N849" s="103" t="s">
        <v>2163</v>
      </c>
      <c r="O849" s="103">
        <v>50</v>
      </c>
      <c r="P849" s="103" t="s">
        <v>873</v>
      </c>
      <c r="Q849" s="103" t="s">
        <v>2155</v>
      </c>
      <c r="R849" s="103" t="s">
        <v>2156</v>
      </c>
      <c r="S849" s="103" t="s">
        <v>2209</v>
      </c>
      <c r="U849" s="103">
        <v>25.65</v>
      </c>
      <c r="V849" s="103" t="s">
        <v>2158</v>
      </c>
      <c r="W849" s="103" t="s">
        <v>114</v>
      </c>
      <c r="X849" s="103" t="s">
        <v>1597</v>
      </c>
      <c r="Y849" s="103" t="s">
        <v>1685</v>
      </c>
      <c r="AA849" s="103" t="s">
        <v>2156</v>
      </c>
      <c r="AB849" s="103" t="s">
        <v>68</v>
      </c>
      <c r="AC849" s="103" t="s">
        <v>2782</v>
      </c>
      <c r="AD849" s="103" t="s">
        <v>2391</v>
      </c>
      <c r="AE849" s="103" t="s">
        <v>766</v>
      </c>
      <c r="AF849" s="103" t="b">
        <v>1</v>
      </c>
    </row>
    <row r="850" spans="1:32" hidden="1" x14ac:dyDescent="0.2">
      <c r="A850" s="103" t="s">
        <v>897</v>
      </c>
      <c r="B850" s="103" t="s">
        <v>896</v>
      </c>
      <c r="C850" s="103" t="s">
        <v>3048</v>
      </c>
      <c r="D850" s="103" t="s">
        <v>3049</v>
      </c>
      <c r="E850" s="103" t="s">
        <v>2219</v>
      </c>
      <c r="F850" s="103" t="s">
        <v>2162</v>
      </c>
      <c r="G850" s="103">
        <v>50</v>
      </c>
      <c r="H850" s="103" t="s">
        <v>2168</v>
      </c>
      <c r="I850" s="103" t="s">
        <v>2153</v>
      </c>
      <c r="J850" s="103">
        <v>14</v>
      </c>
      <c r="K850" s="103">
        <v>12</v>
      </c>
      <c r="L850" s="103">
        <v>12</v>
      </c>
      <c r="M850" s="103">
        <v>12</v>
      </c>
      <c r="N850" s="103" t="s">
        <v>2163</v>
      </c>
      <c r="O850" s="103">
        <v>50</v>
      </c>
      <c r="P850" s="103" t="s">
        <v>1609</v>
      </c>
      <c r="Q850" s="103" t="s">
        <v>2155</v>
      </c>
      <c r="R850" s="103" t="s">
        <v>2220</v>
      </c>
      <c r="S850" s="103" t="s">
        <v>2157</v>
      </c>
      <c r="U850" s="103">
        <v>25.65</v>
      </c>
      <c r="V850" s="103" t="s">
        <v>2158</v>
      </c>
      <c r="W850" s="103" t="s">
        <v>116</v>
      </c>
      <c r="X850" s="103" t="s">
        <v>1597</v>
      </c>
      <c r="Y850" s="103" t="s">
        <v>1685</v>
      </c>
      <c r="AA850" s="103" t="s">
        <v>2220</v>
      </c>
      <c r="AB850" s="103" t="s">
        <v>71</v>
      </c>
      <c r="AE850" s="103" t="s">
        <v>898</v>
      </c>
      <c r="AF850" s="103" t="b">
        <v>1</v>
      </c>
    </row>
    <row r="851" spans="1:32" hidden="1" x14ac:dyDescent="0.2">
      <c r="A851" s="103" t="s">
        <v>897</v>
      </c>
      <c r="B851" s="103" t="s">
        <v>896</v>
      </c>
      <c r="C851" s="103" t="s">
        <v>3050</v>
      </c>
      <c r="D851" s="103" t="s">
        <v>3051</v>
      </c>
      <c r="E851" s="103" t="s">
        <v>2219</v>
      </c>
      <c r="F851" s="103" t="s">
        <v>2175</v>
      </c>
      <c r="G851" s="103">
        <v>0</v>
      </c>
      <c r="H851" s="103" t="s">
        <v>2168</v>
      </c>
      <c r="I851" s="103" t="s">
        <v>2153</v>
      </c>
      <c r="J851" s="103">
        <v>0</v>
      </c>
      <c r="K851" s="103">
        <v>0</v>
      </c>
      <c r="L851" s="103">
        <v>0</v>
      </c>
      <c r="M851" s="103">
        <v>0</v>
      </c>
      <c r="N851" s="103" t="s">
        <v>2163</v>
      </c>
      <c r="O851" s="103">
        <v>0</v>
      </c>
      <c r="P851" s="103" t="s">
        <v>1609</v>
      </c>
      <c r="Q851" s="103" t="s">
        <v>2155</v>
      </c>
      <c r="R851" s="103" t="s">
        <v>2220</v>
      </c>
      <c r="S851" s="103" t="s">
        <v>2157</v>
      </c>
      <c r="T851" s="103" t="s">
        <v>3052</v>
      </c>
      <c r="U851" s="103">
        <v>0</v>
      </c>
      <c r="V851" s="103" t="s">
        <v>2158</v>
      </c>
      <c r="W851" s="103" t="s">
        <v>116</v>
      </c>
      <c r="X851" s="103" t="s">
        <v>1597</v>
      </c>
      <c r="Y851" s="103" t="s">
        <v>1685</v>
      </c>
      <c r="AA851" s="103" t="s">
        <v>2220</v>
      </c>
      <c r="AB851" s="103" t="s">
        <v>71</v>
      </c>
      <c r="AE851" s="103" t="s">
        <v>898</v>
      </c>
      <c r="AF851" s="103" t="b">
        <v>1</v>
      </c>
    </row>
    <row r="852" spans="1:32" hidden="1" x14ac:dyDescent="0.2">
      <c r="A852" s="103" t="s">
        <v>897</v>
      </c>
      <c r="B852" s="103" t="s">
        <v>896</v>
      </c>
      <c r="C852" s="103" t="s">
        <v>3048</v>
      </c>
      <c r="D852" s="103" t="s">
        <v>3053</v>
      </c>
      <c r="E852" s="103" t="s">
        <v>2785</v>
      </c>
      <c r="F852" s="103" t="s">
        <v>2162</v>
      </c>
      <c r="G852" s="103">
        <v>50</v>
      </c>
      <c r="H852" s="103" t="s">
        <v>2168</v>
      </c>
      <c r="I852" s="103" t="s">
        <v>2153</v>
      </c>
      <c r="J852" s="103">
        <v>14</v>
      </c>
      <c r="K852" s="103">
        <v>12</v>
      </c>
      <c r="L852" s="103">
        <v>12</v>
      </c>
      <c r="M852" s="103">
        <v>12</v>
      </c>
      <c r="N852" s="103" t="s">
        <v>2163</v>
      </c>
      <c r="O852" s="103">
        <v>50</v>
      </c>
      <c r="P852" s="103" t="s">
        <v>1609</v>
      </c>
      <c r="Q852" s="103" t="s">
        <v>2155</v>
      </c>
      <c r="R852" s="103" t="s">
        <v>2220</v>
      </c>
      <c r="S852" s="103" t="s">
        <v>2157</v>
      </c>
      <c r="U852" s="103">
        <v>25.65</v>
      </c>
      <c r="V852" s="103" t="s">
        <v>2158</v>
      </c>
      <c r="W852" s="103" t="s">
        <v>115</v>
      </c>
      <c r="X852" s="103" t="s">
        <v>1597</v>
      </c>
      <c r="Y852" s="103" t="s">
        <v>1685</v>
      </c>
      <c r="AA852" s="103" t="s">
        <v>2220</v>
      </c>
      <c r="AB852" s="103" t="s">
        <v>71</v>
      </c>
      <c r="AE852" s="103" t="s">
        <v>898</v>
      </c>
      <c r="AF852" s="103" t="b">
        <v>1</v>
      </c>
    </row>
    <row r="853" spans="1:32" hidden="1" x14ac:dyDescent="0.2">
      <c r="A853" s="103" t="s">
        <v>897</v>
      </c>
      <c r="B853" s="103" t="s">
        <v>896</v>
      </c>
      <c r="C853" s="103" t="s">
        <v>3050</v>
      </c>
      <c r="D853" s="103" t="s">
        <v>3054</v>
      </c>
      <c r="E853" s="103" t="s">
        <v>2785</v>
      </c>
      <c r="F853" s="103" t="s">
        <v>2202</v>
      </c>
      <c r="G853" s="103">
        <v>200</v>
      </c>
      <c r="H853" s="103" t="s">
        <v>2168</v>
      </c>
      <c r="I853" s="103" t="s">
        <v>2153</v>
      </c>
      <c r="J853" s="103">
        <v>100</v>
      </c>
      <c r="K853" s="103">
        <v>100</v>
      </c>
      <c r="N853" s="103" t="s">
        <v>2163</v>
      </c>
      <c r="O853" s="103">
        <v>200</v>
      </c>
      <c r="P853" s="103" t="s">
        <v>1609</v>
      </c>
      <c r="Q853" s="103" t="s">
        <v>2155</v>
      </c>
      <c r="R853" s="103" t="s">
        <v>2220</v>
      </c>
      <c r="S853" s="103" t="s">
        <v>2157</v>
      </c>
      <c r="T853" s="103" t="s">
        <v>3055</v>
      </c>
      <c r="U853" s="103">
        <v>102.6</v>
      </c>
      <c r="V853" s="103" t="s">
        <v>2158</v>
      </c>
      <c r="W853" s="103" t="s">
        <v>115</v>
      </c>
      <c r="X853" s="103" t="s">
        <v>1597</v>
      </c>
      <c r="Y853" s="103" t="s">
        <v>1685</v>
      </c>
      <c r="AA853" s="103" t="s">
        <v>2220</v>
      </c>
      <c r="AB853" s="103" t="s">
        <v>71</v>
      </c>
      <c r="AE853" s="103" t="s">
        <v>898</v>
      </c>
      <c r="AF853" s="103" t="b">
        <v>1</v>
      </c>
    </row>
    <row r="854" spans="1:32" hidden="1" x14ac:dyDescent="0.2">
      <c r="A854" s="103" t="s">
        <v>897</v>
      </c>
      <c r="B854" s="103" t="s">
        <v>896</v>
      </c>
      <c r="C854" s="103" t="s">
        <v>3056</v>
      </c>
      <c r="E854" s="103" t="s">
        <v>2288</v>
      </c>
      <c r="F854" s="103" t="s">
        <v>2175</v>
      </c>
      <c r="G854" s="103">
        <v>5</v>
      </c>
      <c r="H854" s="103" t="s">
        <v>2168</v>
      </c>
      <c r="I854" s="103" t="s">
        <v>2153</v>
      </c>
      <c r="J854" s="103">
        <v>5</v>
      </c>
      <c r="N854" s="103" t="s">
        <v>2163</v>
      </c>
      <c r="O854" s="103">
        <v>5</v>
      </c>
      <c r="P854" s="103" t="s">
        <v>1609</v>
      </c>
      <c r="Q854" s="103" t="s">
        <v>2155</v>
      </c>
      <c r="R854" s="103" t="s">
        <v>2220</v>
      </c>
      <c r="S854" s="103" t="s">
        <v>2157</v>
      </c>
      <c r="U854" s="103">
        <v>2.5649999999999999</v>
      </c>
      <c r="V854" s="103" t="s">
        <v>2158</v>
      </c>
      <c r="W854" s="103" t="s">
        <v>116</v>
      </c>
      <c r="X854" s="103" t="s">
        <v>1597</v>
      </c>
      <c r="Y854" s="103" t="s">
        <v>1685</v>
      </c>
      <c r="AA854" s="103" t="s">
        <v>2220</v>
      </c>
      <c r="AB854" s="103" t="s">
        <v>71</v>
      </c>
      <c r="AE854" s="103" t="s">
        <v>898</v>
      </c>
      <c r="AF854" s="103" t="b">
        <v>1</v>
      </c>
    </row>
    <row r="855" spans="1:32" hidden="1" x14ac:dyDescent="0.2">
      <c r="A855" s="103" t="s">
        <v>900</v>
      </c>
      <c r="B855" s="103" t="s">
        <v>899</v>
      </c>
      <c r="C855" s="103" t="s">
        <v>3057</v>
      </c>
      <c r="D855" s="103" t="s">
        <v>3058</v>
      </c>
      <c r="E855" s="103" t="s">
        <v>2334</v>
      </c>
      <c r="F855" s="103" t="s">
        <v>2175</v>
      </c>
      <c r="G855" s="103">
        <v>20</v>
      </c>
      <c r="H855" s="103" t="s">
        <v>2168</v>
      </c>
      <c r="I855" s="103" t="s">
        <v>2153</v>
      </c>
      <c r="L855" s="103">
        <v>10</v>
      </c>
      <c r="M855" s="103">
        <v>10</v>
      </c>
      <c r="N855" s="103" t="s">
        <v>2260</v>
      </c>
      <c r="O855" s="103">
        <v>20</v>
      </c>
      <c r="P855" s="103" t="s">
        <v>791</v>
      </c>
      <c r="Q855" s="103" t="s">
        <v>2155</v>
      </c>
      <c r="R855" s="103" t="s">
        <v>2220</v>
      </c>
      <c r="S855" s="103" t="s">
        <v>2157</v>
      </c>
      <c r="T855" s="103" t="s">
        <v>3059</v>
      </c>
      <c r="U855" s="103">
        <v>10.26</v>
      </c>
      <c r="V855" s="103" t="s">
        <v>2262</v>
      </c>
      <c r="W855" s="103" t="s">
        <v>116</v>
      </c>
      <c r="X855" s="103" t="s">
        <v>1597</v>
      </c>
      <c r="Y855" s="103" t="s">
        <v>1685</v>
      </c>
      <c r="AA855" s="103" t="s">
        <v>2220</v>
      </c>
      <c r="AB855" s="103" t="s">
        <v>71</v>
      </c>
      <c r="AE855" s="103" t="s">
        <v>898</v>
      </c>
      <c r="AF855" s="103" t="b">
        <v>1</v>
      </c>
    </row>
    <row r="856" spans="1:32" hidden="1" x14ac:dyDescent="0.2">
      <c r="A856" s="103" t="s">
        <v>900</v>
      </c>
      <c r="B856" s="103" t="s">
        <v>899</v>
      </c>
      <c r="C856" s="103" t="s">
        <v>3060</v>
      </c>
      <c r="D856" s="103" t="s">
        <v>3061</v>
      </c>
      <c r="E856" s="103" t="s">
        <v>2334</v>
      </c>
      <c r="F856" s="103" t="s">
        <v>2162</v>
      </c>
      <c r="G856" s="103">
        <v>60</v>
      </c>
      <c r="H856" s="103" t="s">
        <v>2152</v>
      </c>
      <c r="I856" s="103" t="s">
        <v>2153</v>
      </c>
      <c r="J856" s="103">
        <v>25</v>
      </c>
      <c r="K856" s="103">
        <v>35</v>
      </c>
      <c r="N856" s="103" t="s">
        <v>2163</v>
      </c>
      <c r="O856" s="103">
        <v>60</v>
      </c>
      <c r="P856" s="103" t="s">
        <v>791</v>
      </c>
      <c r="Q856" s="103" t="s">
        <v>2155</v>
      </c>
      <c r="R856" s="103" t="s">
        <v>2220</v>
      </c>
      <c r="S856" s="103" t="s">
        <v>2157</v>
      </c>
      <c r="U856" s="103">
        <v>30.78</v>
      </c>
      <c r="V856" s="103" t="s">
        <v>2158</v>
      </c>
      <c r="W856" s="103" t="s">
        <v>116</v>
      </c>
      <c r="X856" s="103" t="s">
        <v>1597</v>
      </c>
      <c r="Y856" s="103" t="s">
        <v>1685</v>
      </c>
      <c r="AA856" s="103" t="s">
        <v>2220</v>
      </c>
      <c r="AB856" s="103" t="s">
        <v>71</v>
      </c>
      <c r="AE856" s="103" t="s">
        <v>898</v>
      </c>
      <c r="AF856" s="103" t="b">
        <v>1</v>
      </c>
    </row>
    <row r="857" spans="1:32" hidden="1" x14ac:dyDescent="0.2">
      <c r="A857" s="103" t="s">
        <v>900</v>
      </c>
      <c r="B857" s="103" t="s">
        <v>899</v>
      </c>
      <c r="C857" s="103" t="s">
        <v>3060</v>
      </c>
      <c r="D857" s="103" t="s">
        <v>3062</v>
      </c>
      <c r="E857" s="103" t="s">
        <v>2346</v>
      </c>
      <c r="F857" s="103" t="s">
        <v>2175</v>
      </c>
      <c r="G857" s="103">
        <v>20</v>
      </c>
      <c r="H857" s="103" t="s">
        <v>2168</v>
      </c>
      <c r="I857" s="103" t="s">
        <v>2153</v>
      </c>
      <c r="J857" s="103">
        <v>20</v>
      </c>
      <c r="N857" s="103" t="s">
        <v>2163</v>
      </c>
      <c r="O857" s="103">
        <v>20</v>
      </c>
      <c r="P857" s="103" t="s">
        <v>791</v>
      </c>
      <c r="Q857" s="103" t="s">
        <v>2155</v>
      </c>
      <c r="R857" s="103" t="s">
        <v>2220</v>
      </c>
      <c r="S857" s="103" t="s">
        <v>2157</v>
      </c>
      <c r="U857" s="103">
        <v>10.26</v>
      </c>
      <c r="V857" s="103" t="s">
        <v>2158</v>
      </c>
      <c r="W857" s="103" t="s">
        <v>116</v>
      </c>
      <c r="X857" s="103" t="s">
        <v>1597</v>
      </c>
      <c r="Y857" s="103" t="s">
        <v>1685</v>
      </c>
      <c r="AA857" s="103" t="s">
        <v>2220</v>
      </c>
      <c r="AB857" s="103" t="s">
        <v>71</v>
      </c>
      <c r="AE857" s="103" t="s">
        <v>898</v>
      </c>
      <c r="AF857" s="103" t="b">
        <v>1</v>
      </c>
    </row>
    <row r="858" spans="1:32" hidden="1" x14ac:dyDescent="0.2">
      <c r="A858" s="103" t="s">
        <v>900</v>
      </c>
      <c r="B858" s="103" t="s">
        <v>899</v>
      </c>
      <c r="C858" s="103" t="s">
        <v>3063</v>
      </c>
      <c r="E858" s="103" t="s">
        <v>2346</v>
      </c>
      <c r="F858" s="103" t="s">
        <v>2175</v>
      </c>
      <c r="G858" s="103">
        <v>20</v>
      </c>
      <c r="H858" s="103" t="s">
        <v>2168</v>
      </c>
      <c r="I858" s="103" t="s">
        <v>2153</v>
      </c>
      <c r="J858" s="103">
        <v>20</v>
      </c>
      <c r="N858" s="103" t="s">
        <v>2163</v>
      </c>
      <c r="O858" s="103">
        <v>20</v>
      </c>
      <c r="P858" s="103" t="s">
        <v>791</v>
      </c>
      <c r="Q858" s="103" t="s">
        <v>2155</v>
      </c>
      <c r="R858" s="103" t="s">
        <v>2220</v>
      </c>
      <c r="S858" s="103" t="s">
        <v>2251</v>
      </c>
      <c r="U858" s="103">
        <v>10.26</v>
      </c>
      <c r="V858" s="103" t="s">
        <v>2158</v>
      </c>
      <c r="W858" s="103" t="s">
        <v>116</v>
      </c>
      <c r="X858" s="103" t="s">
        <v>1597</v>
      </c>
      <c r="Y858" s="103" t="s">
        <v>1685</v>
      </c>
      <c r="AA858" s="103" t="s">
        <v>2220</v>
      </c>
      <c r="AB858" s="103" t="s">
        <v>71</v>
      </c>
      <c r="AE858" s="103" t="s">
        <v>898</v>
      </c>
      <c r="AF858" s="103" t="b">
        <v>1</v>
      </c>
    </row>
    <row r="859" spans="1:32" hidden="1" x14ac:dyDescent="0.2">
      <c r="A859" s="103" t="s">
        <v>900</v>
      </c>
      <c r="B859" s="103" t="s">
        <v>899</v>
      </c>
      <c r="C859" s="103" t="s">
        <v>3057</v>
      </c>
      <c r="D859" s="103" t="s">
        <v>3058</v>
      </c>
      <c r="E859" s="103" t="s">
        <v>2346</v>
      </c>
      <c r="F859" s="103" t="s">
        <v>2162</v>
      </c>
      <c r="G859" s="103">
        <v>50</v>
      </c>
      <c r="H859" s="103" t="s">
        <v>2168</v>
      </c>
      <c r="I859" s="103" t="s">
        <v>2153</v>
      </c>
      <c r="K859" s="103">
        <v>10</v>
      </c>
      <c r="L859" s="103">
        <v>20</v>
      </c>
      <c r="M859" s="103">
        <v>20</v>
      </c>
      <c r="N859" s="103" t="s">
        <v>2260</v>
      </c>
      <c r="O859" s="103">
        <v>50</v>
      </c>
      <c r="P859" s="103" t="s">
        <v>791</v>
      </c>
      <c r="Q859" s="103" t="s">
        <v>2155</v>
      </c>
      <c r="R859" s="103" t="s">
        <v>2220</v>
      </c>
      <c r="S859" s="103" t="s">
        <v>2157</v>
      </c>
      <c r="T859" s="103" t="s">
        <v>3059</v>
      </c>
      <c r="U859" s="103">
        <v>25.65</v>
      </c>
      <c r="V859" s="103" t="s">
        <v>2262</v>
      </c>
      <c r="W859" s="103" t="s">
        <v>116</v>
      </c>
      <c r="X859" s="103" t="s">
        <v>1597</v>
      </c>
      <c r="Y859" s="103" t="s">
        <v>1685</v>
      </c>
      <c r="AA859" s="103" t="s">
        <v>2220</v>
      </c>
      <c r="AB859" s="103" t="s">
        <v>71</v>
      </c>
      <c r="AE859" s="103" t="s">
        <v>898</v>
      </c>
      <c r="AF859" s="103" t="b">
        <v>1</v>
      </c>
    </row>
    <row r="860" spans="1:32" hidden="1" x14ac:dyDescent="0.2">
      <c r="A860" s="103" t="s">
        <v>2024</v>
      </c>
      <c r="B860" s="103" t="s">
        <v>901</v>
      </c>
      <c r="C860" s="103" t="s">
        <v>3064</v>
      </c>
      <c r="D860" s="103" t="s">
        <v>3065</v>
      </c>
      <c r="E860" s="103" t="s">
        <v>2811</v>
      </c>
      <c r="F860" s="103" t="s">
        <v>2202</v>
      </c>
      <c r="G860" s="103">
        <v>200</v>
      </c>
      <c r="H860" s="103" t="s">
        <v>2168</v>
      </c>
      <c r="I860" s="103" t="s">
        <v>2153</v>
      </c>
      <c r="J860" s="103">
        <v>50</v>
      </c>
      <c r="K860" s="103">
        <v>50</v>
      </c>
      <c r="L860" s="103">
        <v>50</v>
      </c>
      <c r="M860" s="103">
        <v>50</v>
      </c>
      <c r="N860" s="103" t="s">
        <v>2163</v>
      </c>
      <c r="O860" s="103">
        <v>200</v>
      </c>
      <c r="P860" s="103" t="s">
        <v>1624</v>
      </c>
      <c r="Q860" s="103" t="s">
        <v>2236</v>
      </c>
      <c r="R860" s="103" t="s">
        <v>2220</v>
      </c>
      <c r="S860" s="103" t="s">
        <v>2422</v>
      </c>
      <c r="U860" s="103">
        <v>102.6</v>
      </c>
      <c r="V860" s="103" t="s">
        <v>2158</v>
      </c>
      <c r="W860" s="103" t="s">
        <v>110</v>
      </c>
      <c r="X860" s="103" t="s">
        <v>1736</v>
      </c>
      <c r="Y860" s="103" t="s">
        <v>3848</v>
      </c>
      <c r="AA860" s="103" t="s">
        <v>2220</v>
      </c>
      <c r="AB860" s="103" t="s">
        <v>71</v>
      </c>
      <c r="AE860" s="103" t="s">
        <v>810</v>
      </c>
      <c r="AF860" s="103" t="b">
        <v>1</v>
      </c>
    </row>
    <row r="861" spans="1:32" hidden="1" x14ac:dyDescent="0.2">
      <c r="A861" s="103" t="s">
        <v>2024</v>
      </c>
      <c r="B861" s="103" t="s">
        <v>901</v>
      </c>
      <c r="C861" s="103" t="s">
        <v>3064</v>
      </c>
      <c r="D861" s="103" t="s">
        <v>3065</v>
      </c>
      <c r="E861" s="103" t="s">
        <v>2814</v>
      </c>
      <c r="F861" s="103" t="s">
        <v>2202</v>
      </c>
      <c r="G861" s="103">
        <v>200</v>
      </c>
      <c r="H861" s="103" t="s">
        <v>2168</v>
      </c>
      <c r="I861" s="103" t="s">
        <v>2153</v>
      </c>
      <c r="J861" s="103">
        <v>50</v>
      </c>
      <c r="K861" s="103">
        <v>50</v>
      </c>
      <c r="L861" s="103">
        <v>50</v>
      </c>
      <c r="M861" s="103">
        <v>50</v>
      </c>
      <c r="N861" s="103" t="s">
        <v>2163</v>
      </c>
      <c r="O861" s="103">
        <v>200</v>
      </c>
      <c r="P861" s="103" t="s">
        <v>1624</v>
      </c>
      <c r="Q861" s="103" t="s">
        <v>2236</v>
      </c>
      <c r="R861" s="103" t="s">
        <v>2220</v>
      </c>
      <c r="S861" s="103" t="s">
        <v>2422</v>
      </c>
      <c r="U861" s="103">
        <v>102.6</v>
      </c>
      <c r="V861" s="103" t="s">
        <v>2158</v>
      </c>
      <c r="W861" s="103" t="s">
        <v>110</v>
      </c>
      <c r="X861" s="103" t="s">
        <v>1736</v>
      </c>
      <c r="Y861" s="103" t="s">
        <v>3848</v>
      </c>
      <c r="AA861" s="103" t="s">
        <v>2220</v>
      </c>
      <c r="AB861" s="103" t="s">
        <v>71</v>
      </c>
      <c r="AE861" s="103" t="s">
        <v>810</v>
      </c>
      <c r="AF861" s="103" t="b">
        <v>1</v>
      </c>
    </row>
    <row r="862" spans="1:32" hidden="1" x14ac:dyDescent="0.2">
      <c r="A862" s="103" t="s">
        <v>1415</v>
      </c>
      <c r="B862" s="103" t="s">
        <v>1414</v>
      </c>
      <c r="C862" s="103" t="s">
        <v>3066</v>
      </c>
      <c r="E862" s="103" t="s">
        <v>2796</v>
      </c>
      <c r="F862" s="103" t="s">
        <v>2232</v>
      </c>
      <c r="G862" s="103">
        <v>350</v>
      </c>
      <c r="H862" s="103" t="s">
        <v>2152</v>
      </c>
      <c r="I862" s="103" t="s">
        <v>2153</v>
      </c>
      <c r="J862" s="103">
        <v>50</v>
      </c>
      <c r="K862" s="103">
        <v>100</v>
      </c>
      <c r="L862" s="103">
        <v>100</v>
      </c>
      <c r="M862" s="103">
        <v>100</v>
      </c>
      <c r="N862" s="103" t="s">
        <v>2163</v>
      </c>
      <c r="O862" s="103">
        <v>350</v>
      </c>
      <c r="P862" s="103" t="s">
        <v>811</v>
      </c>
      <c r="Q862" s="103" t="s">
        <v>1393</v>
      </c>
      <c r="R862" s="103" t="s">
        <v>2220</v>
      </c>
      <c r="S862" s="103" t="s">
        <v>2870</v>
      </c>
      <c r="U862" s="103">
        <v>179.55</v>
      </c>
      <c r="V862" s="103" t="s">
        <v>2158</v>
      </c>
      <c r="W862" s="103" t="s">
        <v>108</v>
      </c>
      <c r="X862" s="103" t="s">
        <v>345</v>
      </c>
      <c r="Y862" s="103" t="s">
        <v>2240</v>
      </c>
      <c r="AA862" s="103" t="s">
        <v>2220</v>
      </c>
      <c r="AB862" s="103" t="s">
        <v>71</v>
      </c>
      <c r="AE862" s="103" t="s">
        <v>810</v>
      </c>
      <c r="AF862" s="103" t="b">
        <v>1</v>
      </c>
    </row>
    <row r="863" spans="1:32" hidden="1" x14ac:dyDescent="0.2">
      <c r="A863" s="103" t="s">
        <v>1415</v>
      </c>
      <c r="B863" s="103" t="s">
        <v>1414</v>
      </c>
      <c r="C863" s="103" t="s">
        <v>3067</v>
      </c>
      <c r="E863" s="103" t="s">
        <v>3068</v>
      </c>
      <c r="F863" s="103" t="s">
        <v>2151</v>
      </c>
      <c r="G863" s="103">
        <v>100</v>
      </c>
      <c r="H863" s="103" t="s">
        <v>2168</v>
      </c>
      <c r="I863" s="103" t="s">
        <v>2153</v>
      </c>
      <c r="L863" s="103">
        <v>100</v>
      </c>
      <c r="N863" s="103" t="s">
        <v>2163</v>
      </c>
      <c r="O863" s="103">
        <v>100</v>
      </c>
      <c r="P863" s="103" t="s">
        <v>811</v>
      </c>
      <c r="Q863" s="103" t="s">
        <v>1393</v>
      </c>
      <c r="R863" s="103" t="s">
        <v>2220</v>
      </c>
      <c r="S863" s="103" t="s">
        <v>2870</v>
      </c>
      <c r="U863" s="103">
        <v>51.3</v>
      </c>
      <c r="V863" s="103" t="s">
        <v>2158</v>
      </c>
      <c r="W863" s="103" t="s">
        <v>108</v>
      </c>
      <c r="X863" s="103" t="s">
        <v>345</v>
      </c>
      <c r="Y863" s="103" t="s">
        <v>2240</v>
      </c>
      <c r="AA863" s="103" t="s">
        <v>2220</v>
      </c>
      <c r="AB863" s="103" t="s">
        <v>71</v>
      </c>
      <c r="AE863" s="103" t="s">
        <v>810</v>
      </c>
      <c r="AF863" s="103" t="b">
        <v>1</v>
      </c>
    </row>
    <row r="864" spans="1:32" hidden="1" x14ac:dyDescent="0.2">
      <c r="A864" s="103" t="s">
        <v>1415</v>
      </c>
      <c r="B864" s="103" t="s">
        <v>1414</v>
      </c>
      <c r="C864" s="103" t="s">
        <v>3069</v>
      </c>
      <c r="E864" s="103" t="s">
        <v>3068</v>
      </c>
      <c r="F864" s="103" t="s">
        <v>2151</v>
      </c>
      <c r="G864" s="103">
        <v>100</v>
      </c>
      <c r="H864" s="103" t="s">
        <v>2168</v>
      </c>
      <c r="I864" s="103" t="s">
        <v>2153</v>
      </c>
      <c r="L864" s="103">
        <v>100</v>
      </c>
      <c r="N864" s="103" t="s">
        <v>2163</v>
      </c>
      <c r="O864" s="103">
        <v>100</v>
      </c>
      <c r="P864" s="103" t="s">
        <v>811</v>
      </c>
      <c r="Q864" s="103" t="s">
        <v>1393</v>
      </c>
      <c r="R864" s="103" t="s">
        <v>2220</v>
      </c>
      <c r="S864" s="103" t="s">
        <v>2870</v>
      </c>
      <c r="U864" s="103">
        <v>51.3</v>
      </c>
      <c r="V864" s="103" t="s">
        <v>2158</v>
      </c>
      <c r="W864" s="103" t="s">
        <v>108</v>
      </c>
      <c r="X864" s="103" t="s">
        <v>345</v>
      </c>
      <c r="Y864" s="103" t="s">
        <v>2240</v>
      </c>
      <c r="AA864" s="103" t="s">
        <v>2220</v>
      </c>
      <c r="AB864" s="103" t="s">
        <v>71</v>
      </c>
      <c r="AE864" s="103" t="s">
        <v>810</v>
      </c>
      <c r="AF864" s="103" t="b">
        <v>1</v>
      </c>
    </row>
    <row r="865" spans="1:32" hidden="1" x14ac:dyDescent="0.2">
      <c r="A865" s="103" t="s">
        <v>1415</v>
      </c>
      <c r="B865" s="103" t="s">
        <v>1414</v>
      </c>
      <c r="C865" s="103" t="s">
        <v>3070</v>
      </c>
      <c r="E865" s="103" t="s">
        <v>2272</v>
      </c>
      <c r="F865" s="103" t="s">
        <v>2151</v>
      </c>
      <c r="G865" s="103">
        <v>100</v>
      </c>
      <c r="H865" s="103" t="s">
        <v>2168</v>
      </c>
      <c r="I865" s="103" t="s">
        <v>2153</v>
      </c>
      <c r="K865" s="103">
        <v>100</v>
      </c>
      <c r="N865" s="103" t="s">
        <v>2163</v>
      </c>
      <c r="O865" s="103">
        <v>100</v>
      </c>
      <c r="P865" s="103" t="s">
        <v>811</v>
      </c>
      <c r="Q865" s="103" t="s">
        <v>1393</v>
      </c>
      <c r="R865" s="103" t="s">
        <v>2220</v>
      </c>
      <c r="S865" s="103" t="s">
        <v>2870</v>
      </c>
      <c r="U865" s="103">
        <v>51.3</v>
      </c>
      <c r="V865" s="103" t="s">
        <v>2158</v>
      </c>
      <c r="W865" s="103" t="s">
        <v>108</v>
      </c>
      <c r="X865" s="103" t="s">
        <v>345</v>
      </c>
      <c r="Y865" s="103" t="s">
        <v>2240</v>
      </c>
      <c r="AA865" s="103" t="s">
        <v>2220</v>
      </c>
      <c r="AB865" s="103" t="s">
        <v>71</v>
      </c>
      <c r="AE865" s="103" t="s">
        <v>810</v>
      </c>
      <c r="AF865" s="103" t="b">
        <v>1</v>
      </c>
    </row>
    <row r="866" spans="1:32" hidden="1" x14ac:dyDescent="0.2">
      <c r="A866" s="103" t="s">
        <v>906</v>
      </c>
      <c r="B866" s="103" t="s">
        <v>905</v>
      </c>
      <c r="C866" s="103" t="s">
        <v>3071</v>
      </c>
      <c r="E866" s="103" t="s">
        <v>2811</v>
      </c>
      <c r="F866" s="103" t="s">
        <v>2175</v>
      </c>
      <c r="G866" s="103">
        <v>20</v>
      </c>
      <c r="H866" s="103" t="s">
        <v>2168</v>
      </c>
      <c r="I866" s="103" t="s">
        <v>2153</v>
      </c>
      <c r="J866" s="103">
        <v>5</v>
      </c>
      <c r="K866" s="103">
        <v>5</v>
      </c>
      <c r="L866" s="103">
        <v>5</v>
      </c>
      <c r="M866" s="103">
        <v>5</v>
      </c>
      <c r="N866" s="103" t="s">
        <v>2163</v>
      </c>
      <c r="O866" s="103">
        <v>20</v>
      </c>
      <c r="P866" s="103" t="s">
        <v>811</v>
      </c>
      <c r="Q866" s="103" t="s">
        <v>2155</v>
      </c>
      <c r="R866" s="103" t="s">
        <v>2220</v>
      </c>
      <c r="S866" s="103" t="s">
        <v>2157</v>
      </c>
      <c r="U866" s="103">
        <v>10.26</v>
      </c>
      <c r="V866" s="103" t="s">
        <v>2158</v>
      </c>
      <c r="W866" s="103" t="s">
        <v>110</v>
      </c>
      <c r="X866" s="103" t="s">
        <v>1597</v>
      </c>
      <c r="Y866" s="103" t="s">
        <v>1685</v>
      </c>
      <c r="AA866" s="103" t="s">
        <v>2220</v>
      </c>
      <c r="AB866" s="103" t="s">
        <v>71</v>
      </c>
      <c r="AE866" s="103" t="s">
        <v>810</v>
      </c>
      <c r="AF866" s="103" t="b">
        <v>1</v>
      </c>
    </row>
    <row r="867" spans="1:32" hidden="1" x14ac:dyDescent="0.2">
      <c r="A867" s="103" t="s">
        <v>1415</v>
      </c>
      <c r="B867" s="103" t="s">
        <v>1414</v>
      </c>
      <c r="C867" s="103" t="s">
        <v>3072</v>
      </c>
      <c r="E867" s="103" t="s">
        <v>2272</v>
      </c>
      <c r="F867" s="103" t="s">
        <v>2151</v>
      </c>
      <c r="G867" s="103">
        <v>100</v>
      </c>
      <c r="H867" s="103" t="s">
        <v>2168</v>
      </c>
      <c r="I867" s="103" t="s">
        <v>2153</v>
      </c>
      <c r="L867" s="103">
        <v>100</v>
      </c>
      <c r="N867" s="103" t="s">
        <v>2163</v>
      </c>
      <c r="O867" s="103">
        <v>100</v>
      </c>
      <c r="P867" s="103" t="s">
        <v>811</v>
      </c>
      <c r="Q867" s="103" t="s">
        <v>1393</v>
      </c>
      <c r="R867" s="103" t="s">
        <v>2220</v>
      </c>
      <c r="S867" s="103" t="s">
        <v>2870</v>
      </c>
      <c r="U867" s="103">
        <v>51.3</v>
      </c>
      <c r="V867" s="103" t="s">
        <v>2158</v>
      </c>
      <c r="W867" s="103" t="s">
        <v>108</v>
      </c>
      <c r="X867" s="103" t="s">
        <v>345</v>
      </c>
      <c r="Y867" s="103" t="s">
        <v>2240</v>
      </c>
      <c r="AA867" s="103" t="s">
        <v>2220</v>
      </c>
      <c r="AB867" s="103" t="s">
        <v>71</v>
      </c>
      <c r="AE867" s="103" t="s">
        <v>810</v>
      </c>
      <c r="AF867" s="103" t="b">
        <v>1</v>
      </c>
    </row>
    <row r="868" spans="1:32" hidden="1" x14ac:dyDescent="0.2">
      <c r="A868" s="103" t="s">
        <v>1415</v>
      </c>
      <c r="B868" s="103" t="s">
        <v>1414</v>
      </c>
      <c r="C868" s="103" t="s">
        <v>3073</v>
      </c>
      <c r="E868" s="103" t="s">
        <v>2796</v>
      </c>
      <c r="F868" s="103" t="s">
        <v>2151</v>
      </c>
      <c r="G868" s="103">
        <v>100</v>
      </c>
      <c r="H868" s="103" t="s">
        <v>2152</v>
      </c>
      <c r="I868" s="103" t="s">
        <v>2153</v>
      </c>
      <c r="K868" s="103">
        <v>50</v>
      </c>
      <c r="L868" s="103">
        <v>50</v>
      </c>
      <c r="N868" s="103" t="s">
        <v>2154</v>
      </c>
      <c r="O868" s="103">
        <v>100</v>
      </c>
      <c r="P868" s="103" t="s">
        <v>811</v>
      </c>
      <c r="Q868" s="103" t="s">
        <v>1393</v>
      </c>
      <c r="R868" s="103" t="s">
        <v>2220</v>
      </c>
      <c r="S868" s="103" t="s">
        <v>2870</v>
      </c>
      <c r="U868" s="103">
        <v>51.3</v>
      </c>
      <c r="V868" s="103" t="s">
        <v>2158</v>
      </c>
      <c r="W868" s="103" t="s">
        <v>108</v>
      </c>
      <c r="X868" s="103" t="s">
        <v>345</v>
      </c>
      <c r="Y868" s="103" t="s">
        <v>2240</v>
      </c>
      <c r="AA868" s="103" t="s">
        <v>2220</v>
      </c>
      <c r="AB868" s="103" t="s">
        <v>71</v>
      </c>
      <c r="AE868" s="103" t="s">
        <v>810</v>
      </c>
      <c r="AF868" s="103" t="b">
        <v>1</v>
      </c>
    </row>
    <row r="869" spans="1:32" hidden="1" x14ac:dyDescent="0.2">
      <c r="A869" s="103" t="s">
        <v>1415</v>
      </c>
      <c r="B869" s="103" t="s">
        <v>1414</v>
      </c>
      <c r="C869" s="103" t="s">
        <v>3074</v>
      </c>
      <c r="E869" s="103" t="s">
        <v>2272</v>
      </c>
      <c r="F869" s="103" t="s">
        <v>2162</v>
      </c>
      <c r="G869" s="103">
        <v>50</v>
      </c>
      <c r="H869" s="103" t="s">
        <v>2168</v>
      </c>
      <c r="I869" s="103" t="s">
        <v>2153</v>
      </c>
      <c r="K869" s="103">
        <v>25</v>
      </c>
      <c r="L869" s="103">
        <v>25</v>
      </c>
      <c r="N869" s="103" t="s">
        <v>2163</v>
      </c>
      <c r="O869" s="103">
        <v>50</v>
      </c>
      <c r="P869" s="103" t="s">
        <v>811</v>
      </c>
      <c r="Q869" s="103" t="s">
        <v>1393</v>
      </c>
      <c r="R869" s="103" t="s">
        <v>2220</v>
      </c>
      <c r="S869" s="103" t="s">
        <v>2870</v>
      </c>
      <c r="U869" s="103">
        <v>25.65</v>
      </c>
      <c r="V869" s="103" t="s">
        <v>2158</v>
      </c>
      <c r="W869" s="103" t="s">
        <v>108</v>
      </c>
      <c r="X869" s="103" t="s">
        <v>345</v>
      </c>
      <c r="Y869" s="103" t="s">
        <v>2240</v>
      </c>
      <c r="AA869" s="103" t="s">
        <v>2220</v>
      </c>
      <c r="AB869" s="103" t="s">
        <v>71</v>
      </c>
      <c r="AE869" s="103" t="s">
        <v>810</v>
      </c>
      <c r="AF869" s="103" t="b">
        <v>1</v>
      </c>
    </row>
    <row r="870" spans="1:32" hidden="1" x14ac:dyDescent="0.2">
      <c r="A870" s="103" t="s">
        <v>1415</v>
      </c>
      <c r="B870" s="103" t="s">
        <v>1414</v>
      </c>
      <c r="C870" s="103" t="s">
        <v>3075</v>
      </c>
      <c r="E870" s="103" t="s">
        <v>2285</v>
      </c>
      <c r="F870" s="103" t="s">
        <v>2175</v>
      </c>
      <c r="G870" s="103">
        <v>30</v>
      </c>
      <c r="H870" s="103" t="s">
        <v>2152</v>
      </c>
      <c r="I870" s="103" t="s">
        <v>2153</v>
      </c>
      <c r="K870" s="103">
        <v>30</v>
      </c>
      <c r="N870" s="103" t="s">
        <v>2163</v>
      </c>
      <c r="O870" s="103">
        <v>30</v>
      </c>
      <c r="P870" s="103" t="s">
        <v>811</v>
      </c>
      <c r="Q870" s="103" t="s">
        <v>1393</v>
      </c>
      <c r="R870" s="103" t="s">
        <v>2220</v>
      </c>
      <c r="S870" s="103" t="s">
        <v>2870</v>
      </c>
      <c r="U870" s="103">
        <v>15.39</v>
      </c>
      <c r="V870" s="103" t="s">
        <v>2158</v>
      </c>
      <c r="W870" s="103" t="s">
        <v>108</v>
      </c>
      <c r="X870" s="103" t="s">
        <v>345</v>
      </c>
      <c r="Y870" s="103" t="s">
        <v>2240</v>
      </c>
      <c r="AA870" s="103" t="s">
        <v>2220</v>
      </c>
      <c r="AB870" s="103" t="s">
        <v>71</v>
      </c>
      <c r="AE870" s="103" t="s">
        <v>810</v>
      </c>
      <c r="AF870" s="103" t="b">
        <v>1</v>
      </c>
    </row>
    <row r="871" spans="1:32" hidden="1" x14ac:dyDescent="0.2">
      <c r="A871" s="103" t="s">
        <v>357</v>
      </c>
      <c r="B871" s="103" t="s">
        <v>356</v>
      </c>
      <c r="C871" s="103" t="s">
        <v>3076</v>
      </c>
      <c r="E871" s="103" t="s">
        <v>2285</v>
      </c>
      <c r="F871" s="103" t="s">
        <v>2162</v>
      </c>
      <c r="G871" s="103">
        <v>50</v>
      </c>
      <c r="H871" s="103" t="s">
        <v>2168</v>
      </c>
      <c r="I871" s="103" t="s">
        <v>2153</v>
      </c>
      <c r="K871" s="103">
        <v>50</v>
      </c>
      <c r="N871" s="103" t="s">
        <v>2273</v>
      </c>
      <c r="O871" s="103">
        <v>50</v>
      </c>
      <c r="P871" s="103" t="s">
        <v>811</v>
      </c>
      <c r="Q871" s="103" t="s">
        <v>2155</v>
      </c>
      <c r="R871" s="103" t="s">
        <v>2220</v>
      </c>
      <c r="S871" s="103" t="s">
        <v>2251</v>
      </c>
      <c r="U871" s="103">
        <v>25.65</v>
      </c>
      <c r="V871" s="103" t="s">
        <v>2262</v>
      </c>
      <c r="W871" s="103" t="s">
        <v>108</v>
      </c>
      <c r="X871" s="103" t="s">
        <v>1597</v>
      </c>
      <c r="Y871" s="103" t="s">
        <v>1685</v>
      </c>
      <c r="AA871" s="103" t="s">
        <v>2220</v>
      </c>
      <c r="AB871" s="103" t="s">
        <v>71</v>
      </c>
      <c r="AE871" s="103" t="s">
        <v>810</v>
      </c>
      <c r="AF871" s="103" t="b">
        <v>1</v>
      </c>
    </row>
    <row r="872" spans="1:32" hidden="1" x14ac:dyDescent="0.2">
      <c r="A872" s="103" t="s">
        <v>915</v>
      </c>
      <c r="B872" s="103" t="s">
        <v>914</v>
      </c>
      <c r="C872" s="103" t="s">
        <v>3140</v>
      </c>
      <c r="D872" s="103" t="s">
        <v>3141</v>
      </c>
      <c r="E872" s="103" t="s">
        <v>2338</v>
      </c>
      <c r="F872" s="103" t="s">
        <v>2151</v>
      </c>
      <c r="G872" s="103">
        <v>100</v>
      </c>
      <c r="H872" s="103" t="s">
        <v>2168</v>
      </c>
      <c r="I872" s="103" t="s">
        <v>2153</v>
      </c>
      <c r="J872" s="103">
        <v>25</v>
      </c>
      <c r="K872" s="103">
        <v>25</v>
      </c>
      <c r="L872" s="103">
        <v>25</v>
      </c>
      <c r="M872" s="103">
        <v>25</v>
      </c>
      <c r="N872" s="103" t="s">
        <v>2163</v>
      </c>
      <c r="O872" s="103">
        <v>100</v>
      </c>
      <c r="P872" s="103" t="s">
        <v>1624</v>
      </c>
      <c r="Q872" s="103" t="s">
        <v>2236</v>
      </c>
      <c r="R872" s="103" t="s">
        <v>2220</v>
      </c>
      <c r="S872" s="103" t="s">
        <v>2422</v>
      </c>
      <c r="U872" s="103">
        <v>51.3</v>
      </c>
      <c r="V872" s="103" t="s">
        <v>2158</v>
      </c>
      <c r="W872" s="103" t="s">
        <v>108</v>
      </c>
      <c r="X872" s="103" t="s">
        <v>1736</v>
      </c>
      <c r="Y872" s="103" t="s">
        <v>3848</v>
      </c>
      <c r="AA872" s="103" t="s">
        <v>2220</v>
      </c>
      <c r="AB872" s="103" t="s">
        <v>71</v>
      </c>
      <c r="AE872" s="103" t="s">
        <v>810</v>
      </c>
      <c r="AF872" s="103" t="b">
        <v>1</v>
      </c>
    </row>
    <row r="873" spans="1:32" hidden="1" x14ac:dyDescent="0.2">
      <c r="A873" s="103" t="s">
        <v>615</v>
      </c>
      <c r="B873" s="103" t="s">
        <v>614</v>
      </c>
      <c r="C873" s="103" t="s">
        <v>615</v>
      </c>
      <c r="D873" s="103" t="s">
        <v>2650</v>
      </c>
      <c r="E873" s="103" t="s">
        <v>2421</v>
      </c>
      <c r="F873" s="103" t="s">
        <v>2151</v>
      </c>
      <c r="G873" s="103">
        <v>150</v>
      </c>
      <c r="H873" s="103" t="s">
        <v>2152</v>
      </c>
      <c r="I873" s="103" t="s">
        <v>2153</v>
      </c>
      <c r="L873" s="103">
        <v>75</v>
      </c>
      <c r="M873" s="103">
        <v>75</v>
      </c>
      <c r="N873" s="103" t="s">
        <v>2154</v>
      </c>
      <c r="O873" s="103">
        <v>150</v>
      </c>
      <c r="P873" s="103" t="s">
        <v>1609</v>
      </c>
      <c r="Q873" s="103" t="s">
        <v>2155</v>
      </c>
      <c r="R873" s="103" t="s">
        <v>2225</v>
      </c>
      <c r="S873" s="103" t="s">
        <v>2157</v>
      </c>
      <c r="T873" s="103" t="s">
        <v>2651</v>
      </c>
      <c r="U873" s="103">
        <v>72.45</v>
      </c>
      <c r="V873" s="103" t="s">
        <v>2158</v>
      </c>
      <c r="W873" s="103" t="s">
        <v>106</v>
      </c>
      <c r="X873" s="103" t="s">
        <v>1597</v>
      </c>
      <c r="Y873" s="103" t="s">
        <v>1685</v>
      </c>
      <c r="AA873" s="103" t="s">
        <v>2225</v>
      </c>
      <c r="AB873" s="103" t="s">
        <v>74</v>
      </c>
      <c r="AE873" s="103" t="s">
        <v>750</v>
      </c>
      <c r="AF873" s="103" t="b">
        <v>1</v>
      </c>
    </row>
    <row r="874" spans="1:32" hidden="1" x14ac:dyDescent="0.2">
      <c r="A874" s="103" t="s">
        <v>357</v>
      </c>
      <c r="B874" s="103" t="s">
        <v>356</v>
      </c>
      <c r="C874" s="103" t="s">
        <v>2994</v>
      </c>
      <c r="D874" s="103" t="s">
        <v>3079</v>
      </c>
      <c r="E874" s="103" t="s">
        <v>2264</v>
      </c>
      <c r="F874" s="103" t="s">
        <v>2162</v>
      </c>
      <c r="G874" s="103">
        <v>50</v>
      </c>
      <c r="H874" s="103" t="s">
        <v>2168</v>
      </c>
      <c r="I874" s="103" t="s">
        <v>2153</v>
      </c>
      <c r="K874" s="103">
        <v>50</v>
      </c>
      <c r="N874" s="103" t="s">
        <v>2260</v>
      </c>
      <c r="O874" s="103">
        <v>50</v>
      </c>
      <c r="P874" s="103" t="s">
        <v>811</v>
      </c>
      <c r="Q874" s="103" t="s">
        <v>1393</v>
      </c>
      <c r="R874" s="103" t="s">
        <v>2220</v>
      </c>
      <c r="S874" s="103" t="s">
        <v>2251</v>
      </c>
      <c r="U874" s="103">
        <v>25.65</v>
      </c>
      <c r="V874" s="103" t="s">
        <v>2262</v>
      </c>
      <c r="W874" s="103" t="s">
        <v>108</v>
      </c>
      <c r="X874" s="103" t="s">
        <v>1597</v>
      </c>
      <c r="Y874" s="103" t="s">
        <v>1685</v>
      </c>
      <c r="AA874" s="103" t="s">
        <v>2220</v>
      </c>
      <c r="AB874" s="103" t="s">
        <v>71</v>
      </c>
      <c r="AE874" s="103" t="s">
        <v>810</v>
      </c>
      <c r="AF874" s="103" t="b">
        <v>1</v>
      </c>
    </row>
    <row r="875" spans="1:32" hidden="1" x14ac:dyDescent="0.2">
      <c r="A875" s="103" t="s">
        <v>1574</v>
      </c>
      <c r="B875" s="103" t="s">
        <v>1776</v>
      </c>
      <c r="C875" s="103" t="s">
        <v>3080</v>
      </c>
      <c r="E875" s="103" t="s">
        <v>2366</v>
      </c>
      <c r="F875" s="103" t="s">
        <v>2232</v>
      </c>
      <c r="G875" s="103">
        <v>300</v>
      </c>
      <c r="H875" s="103" t="s">
        <v>2168</v>
      </c>
      <c r="I875" s="103" t="s">
        <v>2153</v>
      </c>
      <c r="J875" s="103">
        <v>75</v>
      </c>
      <c r="K875" s="103">
        <v>75</v>
      </c>
      <c r="L875" s="103">
        <v>75</v>
      </c>
      <c r="M875" s="103">
        <v>75</v>
      </c>
      <c r="N875" s="103" t="s">
        <v>2163</v>
      </c>
      <c r="O875" s="103">
        <v>300</v>
      </c>
      <c r="P875" s="103" t="s">
        <v>811</v>
      </c>
      <c r="Q875" s="103" t="s">
        <v>2387</v>
      </c>
      <c r="R875" s="103" t="s">
        <v>2220</v>
      </c>
      <c r="S875" s="103" t="s">
        <v>2422</v>
      </c>
      <c r="U875" s="103">
        <v>153.9</v>
      </c>
      <c r="V875" s="103" t="s">
        <v>2158</v>
      </c>
      <c r="W875" s="103" t="s">
        <v>108</v>
      </c>
      <c r="X875" s="103" t="s">
        <v>1736</v>
      </c>
      <c r="Y875" s="103" t="s">
        <v>3848</v>
      </c>
      <c r="AA875" s="103" t="s">
        <v>2220</v>
      </c>
      <c r="AB875" s="103" t="s">
        <v>71</v>
      </c>
      <c r="AE875" s="103" t="s">
        <v>810</v>
      </c>
      <c r="AF875" s="103" t="b">
        <v>1</v>
      </c>
    </row>
    <row r="876" spans="1:32" hidden="1" x14ac:dyDescent="0.2">
      <c r="A876" s="103" t="s">
        <v>1574</v>
      </c>
      <c r="B876" s="103" t="s">
        <v>1776</v>
      </c>
      <c r="C876" s="103" t="s">
        <v>3080</v>
      </c>
      <c r="E876" s="103" t="s">
        <v>2285</v>
      </c>
      <c r="F876" s="103" t="s">
        <v>2232</v>
      </c>
      <c r="G876" s="103">
        <v>300</v>
      </c>
      <c r="H876" s="103" t="s">
        <v>2168</v>
      </c>
      <c r="I876" s="103" t="s">
        <v>2153</v>
      </c>
      <c r="J876" s="103">
        <v>75</v>
      </c>
      <c r="K876" s="103">
        <v>75</v>
      </c>
      <c r="L876" s="103">
        <v>75</v>
      </c>
      <c r="M876" s="103">
        <v>75</v>
      </c>
      <c r="N876" s="103" t="s">
        <v>2163</v>
      </c>
      <c r="O876" s="103">
        <v>300</v>
      </c>
      <c r="P876" s="103" t="s">
        <v>811</v>
      </c>
      <c r="Q876" s="103" t="s">
        <v>2387</v>
      </c>
      <c r="R876" s="103" t="s">
        <v>2220</v>
      </c>
      <c r="S876" s="103" t="s">
        <v>2422</v>
      </c>
      <c r="U876" s="103">
        <v>153.9</v>
      </c>
      <c r="V876" s="103" t="s">
        <v>2158</v>
      </c>
      <c r="W876" s="103" t="s">
        <v>108</v>
      </c>
      <c r="X876" s="103" t="s">
        <v>1736</v>
      </c>
      <c r="Y876" s="103" t="s">
        <v>3848</v>
      </c>
      <c r="AA876" s="103" t="s">
        <v>2220</v>
      </c>
      <c r="AB876" s="103" t="s">
        <v>71</v>
      </c>
      <c r="AE876" s="103" t="s">
        <v>810</v>
      </c>
      <c r="AF876" s="103" t="b">
        <v>1</v>
      </c>
    </row>
    <row r="877" spans="1:32" hidden="1" x14ac:dyDescent="0.2">
      <c r="A877" s="103" t="s">
        <v>1574</v>
      </c>
      <c r="B877" s="103" t="s">
        <v>1776</v>
      </c>
      <c r="C877" s="103" t="s">
        <v>3080</v>
      </c>
      <c r="E877" s="103" t="s">
        <v>2266</v>
      </c>
      <c r="F877" s="103" t="s">
        <v>2232</v>
      </c>
      <c r="G877" s="103">
        <v>250</v>
      </c>
      <c r="H877" s="103" t="s">
        <v>2152</v>
      </c>
      <c r="I877" s="103" t="s">
        <v>2153</v>
      </c>
      <c r="J877" s="103">
        <v>75</v>
      </c>
      <c r="K877" s="103">
        <v>75</v>
      </c>
      <c r="L877" s="103">
        <v>50</v>
      </c>
      <c r="M877" s="103">
        <v>50</v>
      </c>
      <c r="N877" s="103" t="s">
        <v>2163</v>
      </c>
      <c r="O877" s="103">
        <v>250</v>
      </c>
      <c r="P877" s="103" t="s">
        <v>811</v>
      </c>
      <c r="Q877" s="103" t="s">
        <v>2387</v>
      </c>
      <c r="R877" s="103" t="s">
        <v>2220</v>
      </c>
      <c r="S877" s="103" t="s">
        <v>2422</v>
      </c>
      <c r="U877" s="103">
        <v>128.25</v>
      </c>
      <c r="V877" s="103" t="s">
        <v>2158</v>
      </c>
      <c r="W877" s="103" t="s">
        <v>108</v>
      </c>
      <c r="X877" s="103" t="s">
        <v>1736</v>
      </c>
      <c r="Y877" s="103" t="s">
        <v>3848</v>
      </c>
      <c r="AA877" s="103" t="s">
        <v>2220</v>
      </c>
      <c r="AB877" s="103" t="s">
        <v>71</v>
      </c>
      <c r="AE877" s="103" t="s">
        <v>810</v>
      </c>
      <c r="AF877" s="103" t="b">
        <v>1</v>
      </c>
    </row>
    <row r="878" spans="1:32" hidden="1" x14ac:dyDescent="0.2">
      <c r="A878" s="103" t="s">
        <v>913</v>
      </c>
      <c r="B878" s="103" t="s">
        <v>912</v>
      </c>
      <c r="C878" s="103" t="s">
        <v>3081</v>
      </c>
      <c r="E878" s="103" t="s">
        <v>2334</v>
      </c>
      <c r="F878" s="103" t="s">
        <v>2175</v>
      </c>
      <c r="G878" s="103">
        <v>20</v>
      </c>
      <c r="H878" s="103" t="s">
        <v>2168</v>
      </c>
      <c r="I878" s="103" t="s">
        <v>2153</v>
      </c>
      <c r="M878" s="103">
        <v>20</v>
      </c>
      <c r="N878" s="103" t="s">
        <v>2273</v>
      </c>
      <c r="O878" s="103">
        <v>20</v>
      </c>
      <c r="P878" s="103" t="s">
        <v>791</v>
      </c>
      <c r="Q878" s="103" t="s">
        <v>2155</v>
      </c>
      <c r="R878" s="103" t="s">
        <v>2220</v>
      </c>
      <c r="S878" s="103" t="s">
        <v>2238</v>
      </c>
      <c r="T878" s="103" t="s">
        <v>3082</v>
      </c>
      <c r="U878" s="103">
        <v>10.26</v>
      </c>
      <c r="V878" s="103" t="s">
        <v>2262</v>
      </c>
      <c r="W878" s="103" t="s">
        <v>116</v>
      </c>
      <c r="X878" s="103" t="s">
        <v>1597</v>
      </c>
      <c r="Y878" s="103" t="s">
        <v>1685</v>
      </c>
      <c r="AA878" s="103" t="s">
        <v>2220</v>
      </c>
      <c r="AB878" s="103" t="s">
        <v>71</v>
      </c>
      <c r="AE878" s="103" t="s">
        <v>898</v>
      </c>
      <c r="AF878" s="103" t="b">
        <v>1</v>
      </c>
    </row>
    <row r="879" spans="1:32" hidden="1" x14ac:dyDescent="0.2">
      <c r="A879" s="103" t="s">
        <v>913</v>
      </c>
      <c r="B879" s="103" t="s">
        <v>912</v>
      </c>
      <c r="C879" s="103" t="s">
        <v>3083</v>
      </c>
      <c r="E879" s="103" t="s">
        <v>2334</v>
      </c>
      <c r="F879" s="103" t="s">
        <v>2175</v>
      </c>
      <c r="G879" s="103">
        <v>20</v>
      </c>
      <c r="H879" s="103" t="s">
        <v>2168</v>
      </c>
      <c r="I879" s="103" t="s">
        <v>2153</v>
      </c>
      <c r="M879" s="103">
        <v>20</v>
      </c>
      <c r="N879" s="103" t="s">
        <v>2273</v>
      </c>
      <c r="O879" s="103">
        <v>20</v>
      </c>
      <c r="P879" s="103" t="s">
        <v>791</v>
      </c>
      <c r="Q879" s="103" t="s">
        <v>2155</v>
      </c>
      <c r="R879" s="103" t="s">
        <v>2220</v>
      </c>
      <c r="S879" s="103" t="s">
        <v>2238</v>
      </c>
      <c r="T879" s="103" t="s">
        <v>3082</v>
      </c>
      <c r="U879" s="103">
        <v>10.26</v>
      </c>
      <c r="V879" s="103" t="s">
        <v>2262</v>
      </c>
      <c r="W879" s="103" t="s">
        <v>116</v>
      </c>
      <c r="X879" s="103" t="s">
        <v>1597</v>
      </c>
      <c r="Y879" s="103" t="s">
        <v>1685</v>
      </c>
      <c r="AA879" s="103" t="s">
        <v>2220</v>
      </c>
      <c r="AB879" s="103" t="s">
        <v>71</v>
      </c>
      <c r="AE879" s="103" t="s">
        <v>898</v>
      </c>
      <c r="AF879" s="103" t="b">
        <v>1</v>
      </c>
    </row>
    <row r="880" spans="1:32" hidden="1" x14ac:dyDescent="0.2">
      <c r="A880" s="103" t="s">
        <v>913</v>
      </c>
      <c r="B880" s="103" t="s">
        <v>912</v>
      </c>
      <c r="C880" s="103" t="s">
        <v>3084</v>
      </c>
      <c r="D880" s="103" t="s">
        <v>3085</v>
      </c>
      <c r="E880" s="103" t="s">
        <v>2334</v>
      </c>
      <c r="F880" s="103" t="s">
        <v>2162</v>
      </c>
      <c r="G880" s="103">
        <v>50</v>
      </c>
      <c r="H880" s="103" t="s">
        <v>2168</v>
      </c>
      <c r="I880" s="103" t="s">
        <v>2153</v>
      </c>
      <c r="K880" s="103">
        <v>15</v>
      </c>
      <c r="L880" s="103">
        <v>15</v>
      </c>
      <c r="M880" s="103">
        <v>20</v>
      </c>
      <c r="N880" s="103" t="s">
        <v>2163</v>
      </c>
      <c r="O880" s="103">
        <v>50</v>
      </c>
      <c r="P880" s="103" t="s">
        <v>791</v>
      </c>
      <c r="Q880" s="103" t="s">
        <v>2155</v>
      </c>
      <c r="R880" s="103" t="s">
        <v>2220</v>
      </c>
      <c r="S880" s="103" t="s">
        <v>2238</v>
      </c>
      <c r="U880" s="103">
        <v>25.65</v>
      </c>
      <c r="V880" s="103" t="s">
        <v>2158</v>
      </c>
      <c r="W880" s="103" t="s">
        <v>116</v>
      </c>
      <c r="X880" s="103" t="s">
        <v>1597</v>
      </c>
      <c r="Y880" s="103" t="s">
        <v>1685</v>
      </c>
      <c r="AA880" s="103" t="s">
        <v>2220</v>
      </c>
      <c r="AB880" s="103" t="s">
        <v>71</v>
      </c>
      <c r="AE880" s="103" t="s">
        <v>898</v>
      </c>
      <c r="AF880" s="103" t="b">
        <v>1</v>
      </c>
    </row>
    <row r="881" spans="1:32" hidden="1" x14ac:dyDescent="0.2">
      <c r="A881" s="103" t="s">
        <v>913</v>
      </c>
      <c r="B881" s="103" t="s">
        <v>912</v>
      </c>
      <c r="C881" s="103" t="s">
        <v>3086</v>
      </c>
      <c r="E881" s="103" t="s">
        <v>2346</v>
      </c>
      <c r="F881" s="103" t="s">
        <v>2151</v>
      </c>
      <c r="G881" s="103">
        <v>100</v>
      </c>
      <c r="H881" s="103" t="s">
        <v>2168</v>
      </c>
      <c r="I881" s="103" t="s">
        <v>2153</v>
      </c>
      <c r="J881" s="103">
        <v>30</v>
      </c>
      <c r="K881" s="103">
        <v>30</v>
      </c>
      <c r="L881" s="103">
        <v>40</v>
      </c>
      <c r="N881" s="103" t="s">
        <v>2260</v>
      </c>
      <c r="O881" s="103">
        <v>100</v>
      </c>
      <c r="P881" s="103" t="s">
        <v>791</v>
      </c>
      <c r="Q881" s="103" t="s">
        <v>2155</v>
      </c>
      <c r="R881" s="103" t="s">
        <v>2220</v>
      </c>
      <c r="S881" s="103" t="s">
        <v>2238</v>
      </c>
      <c r="U881" s="103">
        <v>51.3</v>
      </c>
      <c r="V881" s="103" t="s">
        <v>2262</v>
      </c>
      <c r="W881" s="103" t="s">
        <v>116</v>
      </c>
      <c r="X881" s="103" t="s">
        <v>1597</v>
      </c>
      <c r="Y881" s="103" t="s">
        <v>1685</v>
      </c>
      <c r="AA881" s="103" t="s">
        <v>2220</v>
      </c>
      <c r="AB881" s="103" t="s">
        <v>71</v>
      </c>
      <c r="AE881" s="103" t="s">
        <v>898</v>
      </c>
      <c r="AF881" s="103" t="b">
        <v>1</v>
      </c>
    </row>
    <row r="882" spans="1:32" hidden="1" x14ac:dyDescent="0.2">
      <c r="A882" s="103" t="s">
        <v>913</v>
      </c>
      <c r="B882" s="103" t="s">
        <v>912</v>
      </c>
      <c r="C882" s="103" t="s">
        <v>3087</v>
      </c>
      <c r="D882" s="103" t="s">
        <v>3088</v>
      </c>
      <c r="E882" s="103" t="s">
        <v>2334</v>
      </c>
      <c r="F882" s="103" t="s">
        <v>2175</v>
      </c>
      <c r="G882" s="103">
        <v>20</v>
      </c>
      <c r="H882" s="103" t="s">
        <v>2168</v>
      </c>
      <c r="I882" s="103" t="s">
        <v>2153</v>
      </c>
      <c r="J882" s="103">
        <v>20</v>
      </c>
      <c r="N882" s="103" t="s">
        <v>2163</v>
      </c>
      <c r="O882" s="103">
        <v>20</v>
      </c>
      <c r="P882" s="103" t="s">
        <v>791</v>
      </c>
      <c r="Q882" s="103" t="s">
        <v>1393</v>
      </c>
      <c r="R882" s="103" t="s">
        <v>2220</v>
      </c>
      <c r="S882" s="103" t="s">
        <v>2209</v>
      </c>
      <c r="U882" s="103">
        <v>10.26</v>
      </c>
      <c r="V882" s="103" t="s">
        <v>2158</v>
      </c>
      <c r="W882" s="103" t="s">
        <v>116</v>
      </c>
      <c r="X882" s="103" t="s">
        <v>1597</v>
      </c>
      <c r="Y882" s="103" t="s">
        <v>1685</v>
      </c>
      <c r="AA882" s="103" t="s">
        <v>2220</v>
      </c>
      <c r="AB882" s="103" t="s">
        <v>71</v>
      </c>
      <c r="AE882" s="103" t="s">
        <v>898</v>
      </c>
      <c r="AF882" s="103" t="b">
        <v>1</v>
      </c>
    </row>
    <row r="883" spans="1:32" hidden="1" x14ac:dyDescent="0.2">
      <c r="A883" s="103" t="s">
        <v>913</v>
      </c>
      <c r="B883" s="103" t="s">
        <v>912</v>
      </c>
      <c r="C883" s="103" t="s">
        <v>3089</v>
      </c>
      <c r="D883" s="103" t="s">
        <v>3088</v>
      </c>
      <c r="E883" s="103" t="s">
        <v>2957</v>
      </c>
      <c r="F883" s="103" t="s">
        <v>2175</v>
      </c>
      <c r="G883" s="103">
        <v>20</v>
      </c>
      <c r="H883" s="103" t="s">
        <v>2168</v>
      </c>
      <c r="I883" s="103" t="s">
        <v>2153</v>
      </c>
      <c r="J883" s="103">
        <v>20</v>
      </c>
      <c r="N883" s="103" t="s">
        <v>2163</v>
      </c>
      <c r="O883" s="103">
        <v>20</v>
      </c>
      <c r="P883" s="103" t="s">
        <v>791</v>
      </c>
      <c r="Q883" s="103" t="s">
        <v>1393</v>
      </c>
      <c r="R883" s="103" t="s">
        <v>2220</v>
      </c>
      <c r="S883" s="103" t="s">
        <v>2209</v>
      </c>
      <c r="U883" s="103">
        <v>10.26</v>
      </c>
      <c r="V883" s="103" t="s">
        <v>2158</v>
      </c>
      <c r="W883" s="103" t="s">
        <v>116</v>
      </c>
      <c r="X883" s="103" t="s">
        <v>1597</v>
      </c>
      <c r="Y883" s="103" t="s">
        <v>1685</v>
      </c>
      <c r="AA883" s="103" t="s">
        <v>2220</v>
      </c>
      <c r="AB883" s="103" t="s">
        <v>71</v>
      </c>
      <c r="AE883" s="103" t="s">
        <v>898</v>
      </c>
      <c r="AF883" s="103" t="b">
        <v>1</v>
      </c>
    </row>
    <row r="884" spans="1:32" hidden="1" x14ac:dyDescent="0.2">
      <c r="A884" s="103" t="s">
        <v>913</v>
      </c>
      <c r="B884" s="103" t="s">
        <v>912</v>
      </c>
      <c r="C884" s="103" t="s">
        <v>3090</v>
      </c>
      <c r="E884" s="103" t="s">
        <v>2957</v>
      </c>
      <c r="F884" s="103" t="s">
        <v>2162</v>
      </c>
      <c r="G884" s="103">
        <v>50</v>
      </c>
      <c r="H884" s="103" t="s">
        <v>2168</v>
      </c>
      <c r="I884" s="103" t="s">
        <v>2153</v>
      </c>
      <c r="J884" s="103">
        <v>50</v>
      </c>
      <c r="N884" s="103" t="s">
        <v>2163</v>
      </c>
      <c r="O884" s="103">
        <v>50</v>
      </c>
      <c r="P884" s="103" t="s">
        <v>791</v>
      </c>
      <c r="Q884" s="103" t="s">
        <v>2155</v>
      </c>
      <c r="R884" s="103" t="s">
        <v>2220</v>
      </c>
      <c r="S884" s="103" t="s">
        <v>2238</v>
      </c>
      <c r="U884" s="103">
        <v>25.65</v>
      </c>
      <c r="V884" s="103" t="s">
        <v>2158</v>
      </c>
      <c r="W884" s="103" t="s">
        <v>116</v>
      </c>
      <c r="X884" s="103" t="s">
        <v>1597</v>
      </c>
      <c r="Y884" s="103" t="s">
        <v>1685</v>
      </c>
      <c r="AA884" s="103" t="s">
        <v>2220</v>
      </c>
      <c r="AB884" s="103" t="s">
        <v>71</v>
      </c>
      <c r="AE884" s="103" t="s">
        <v>898</v>
      </c>
      <c r="AF884" s="103" t="b">
        <v>1</v>
      </c>
    </row>
    <row r="885" spans="1:32" hidden="1" x14ac:dyDescent="0.2">
      <c r="A885" s="103" t="s">
        <v>913</v>
      </c>
      <c r="B885" s="103" t="s">
        <v>912</v>
      </c>
      <c r="C885" s="103" t="s">
        <v>3091</v>
      </c>
      <c r="E885" s="103" t="s">
        <v>2957</v>
      </c>
      <c r="F885" s="103" t="s">
        <v>2175</v>
      </c>
      <c r="G885" s="103">
        <v>20</v>
      </c>
      <c r="H885" s="103" t="s">
        <v>2168</v>
      </c>
      <c r="I885" s="103" t="s">
        <v>2153</v>
      </c>
      <c r="J885" s="103">
        <v>20</v>
      </c>
      <c r="N885" s="103" t="s">
        <v>2163</v>
      </c>
      <c r="O885" s="103">
        <v>20</v>
      </c>
      <c r="P885" s="103" t="s">
        <v>791</v>
      </c>
      <c r="Q885" s="103" t="s">
        <v>2155</v>
      </c>
      <c r="R885" s="103" t="s">
        <v>2220</v>
      </c>
      <c r="S885" s="103" t="s">
        <v>2238</v>
      </c>
      <c r="U885" s="103">
        <v>10.26</v>
      </c>
      <c r="V885" s="103" t="s">
        <v>2158</v>
      </c>
      <c r="W885" s="103" t="s">
        <v>116</v>
      </c>
      <c r="X885" s="103" t="s">
        <v>1597</v>
      </c>
      <c r="Y885" s="103" t="s">
        <v>1685</v>
      </c>
      <c r="AA885" s="103" t="s">
        <v>2220</v>
      </c>
      <c r="AB885" s="103" t="s">
        <v>71</v>
      </c>
      <c r="AE885" s="103" t="s">
        <v>898</v>
      </c>
      <c r="AF885" s="103" t="b">
        <v>1</v>
      </c>
    </row>
    <row r="886" spans="1:32" hidden="1" x14ac:dyDescent="0.2">
      <c r="A886" s="103" t="s">
        <v>913</v>
      </c>
      <c r="B886" s="103" t="s">
        <v>912</v>
      </c>
      <c r="C886" s="103" t="s">
        <v>3081</v>
      </c>
      <c r="E886" s="103" t="s">
        <v>2346</v>
      </c>
      <c r="F886" s="103" t="s">
        <v>2162</v>
      </c>
      <c r="G886" s="103">
        <v>50</v>
      </c>
      <c r="H886" s="103" t="s">
        <v>2168</v>
      </c>
      <c r="I886" s="103" t="s">
        <v>2153</v>
      </c>
      <c r="M886" s="103">
        <v>50</v>
      </c>
      <c r="N886" s="103" t="s">
        <v>2273</v>
      </c>
      <c r="O886" s="103">
        <v>50</v>
      </c>
      <c r="P886" s="103" t="s">
        <v>791</v>
      </c>
      <c r="Q886" s="103" t="s">
        <v>2155</v>
      </c>
      <c r="R886" s="103" t="s">
        <v>2220</v>
      </c>
      <c r="S886" s="103" t="s">
        <v>2238</v>
      </c>
      <c r="T886" s="103" t="s">
        <v>3082</v>
      </c>
      <c r="U886" s="103">
        <v>25.65</v>
      </c>
      <c r="V886" s="103" t="s">
        <v>2262</v>
      </c>
      <c r="W886" s="103" t="s">
        <v>116</v>
      </c>
      <c r="X886" s="103" t="s">
        <v>1597</v>
      </c>
      <c r="Y886" s="103" t="s">
        <v>1685</v>
      </c>
      <c r="AA886" s="103" t="s">
        <v>2220</v>
      </c>
      <c r="AB886" s="103" t="s">
        <v>71</v>
      </c>
      <c r="AE886" s="103" t="s">
        <v>898</v>
      </c>
      <c r="AF886" s="103" t="b">
        <v>1</v>
      </c>
    </row>
    <row r="887" spans="1:32" hidden="1" x14ac:dyDescent="0.2">
      <c r="A887" s="103" t="s">
        <v>913</v>
      </c>
      <c r="B887" s="103" t="s">
        <v>912</v>
      </c>
      <c r="C887" s="103" t="s">
        <v>3083</v>
      </c>
      <c r="E887" s="103" t="s">
        <v>2346</v>
      </c>
      <c r="F887" s="103" t="s">
        <v>2162</v>
      </c>
      <c r="G887" s="103">
        <v>50</v>
      </c>
      <c r="H887" s="103" t="s">
        <v>2168</v>
      </c>
      <c r="I887" s="103" t="s">
        <v>2153</v>
      </c>
      <c r="L887" s="103">
        <v>50</v>
      </c>
      <c r="N887" s="103" t="s">
        <v>2273</v>
      </c>
      <c r="O887" s="103">
        <v>50</v>
      </c>
      <c r="P887" s="103" t="s">
        <v>791</v>
      </c>
      <c r="Q887" s="103" t="s">
        <v>2155</v>
      </c>
      <c r="R887" s="103" t="s">
        <v>2220</v>
      </c>
      <c r="S887" s="103" t="s">
        <v>2238</v>
      </c>
      <c r="T887" s="103" t="s">
        <v>3082</v>
      </c>
      <c r="U887" s="103">
        <v>25.65</v>
      </c>
      <c r="V887" s="103" t="s">
        <v>2262</v>
      </c>
      <c r="W887" s="103" t="s">
        <v>116</v>
      </c>
      <c r="X887" s="103" t="s">
        <v>1597</v>
      </c>
      <c r="Y887" s="103" t="s">
        <v>1685</v>
      </c>
      <c r="AA887" s="103" t="s">
        <v>2220</v>
      </c>
      <c r="AB887" s="103" t="s">
        <v>71</v>
      </c>
      <c r="AE887" s="103" t="s">
        <v>898</v>
      </c>
      <c r="AF887" s="103" t="b">
        <v>1</v>
      </c>
    </row>
    <row r="888" spans="1:32" hidden="1" x14ac:dyDescent="0.2">
      <c r="A888" s="103" t="s">
        <v>915</v>
      </c>
      <c r="B888" s="103" t="s">
        <v>914</v>
      </c>
      <c r="C888" s="103" t="s">
        <v>3140</v>
      </c>
      <c r="D888" s="103" t="s">
        <v>3148</v>
      </c>
      <c r="E888" s="103" t="s">
        <v>2338</v>
      </c>
      <c r="F888" s="103" t="s">
        <v>2162</v>
      </c>
      <c r="G888" s="103">
        <v>50</v>
      </c>
      <c r="H888" s="103" t="s">
        <v>2168</v>
      </c>
      <c r="I888" s="103" t="s">
        <v>2153</v>
      </c>
      <c r="K888" s="103">
        <v>50</v>
      </c>
      <c r="N888" s="103" t="s">
        <v>2163</v>
      </c>
      <c r="O888" s="103">
        <v>50</v>
      </c>
      <c r="P888" s="103" t="s">
        <v>1624</v>
      </c>
      <c r="Q888" s="103" t="s">
        <v>2236</v>
      </c>
      <c r="R888" s="103" t="s">
        <v>2220</v>
      </c>
      <c r="S888" s="103" t="s">
        <v>2422</v>
      </c>
      <c r="U888" s="103">
        <v>25.65</v>
      </c>
      <c r="V888" s="103" t="s">
        <v>2158</v>
      </c>
      <c r="W888" s="103" t="s">
        <v>108</v>
      </c>
      <c r="X888" s="103" t="s">
        <v>1736</v>
      </c>
      <c r="Y888" s="103" t="s">
        <v>3848</v>
      </c>
      <c r="AA888" s="103" t="s">
        <v>2220</v>
      </c>
      <c r="AB888" s="103" t="s">
        <v>71</v>
      </c>
      <c r="AE888" s="103" t="s">
        <v>810</v>
      </c>
      <c r="AF888" s="103" t="b">
        <v>1</v>
      </c>
    </row>
    <row r="889" spans="1:32" hidden="1" x14ac:dyDescent="0.2">
      <c r="A889" s="103" t="s">
        <v>1574</v>
      </c>
      <c r="B889" s="103" t="s">
        <v>1776</v>
      </c>
      <c r="C889" s="103" t="s">
        <v>3093</v>
      </c>
      <c r="E889" s="103" t="s">
        <v>2292</v>
      </c>
      <c r="F889" s="103" t="s">
        <v>2202</v>
      </c>
      <c r="G889" s="103">
        <v>200</v>
      </c>
      <c r="H889" s="103" t="s">
        <v>2168</v>
      </c>
      <c r="I889" s="103" t="s">
        <v>2153</v>
      </c>
      <c r="J889" s="103">
        <v>50</v>
      </c>
      <c r="K889" s="103">
        <v>50</v>
      </c>
      <c r="L889" s="103">
        <v>50</v>
      </c>
      <c r="M889" s="103">
        <v>50</v>
      </c>
      <c r="N889" s="103" t="s">
        <v>2163</v>
      </c>
      <c r="O889" s="103">
        <v>200</v>
      </c>
      <c r="P889" s="103" t="s">
        <v>2293</v>
      </c>
      <c r="Q889" s="103" t="s">
        <v>2387</v>
      </c>
      <c r="R889" s="103" t="s">
        <v>2220</v>
      </c>
      <c r="S889" s="103" t="s">
        <v>2422</v>
      </c>
      <c r="U889" s="103">
        <v>102.6</v>
      </c>
      <c r="V889" s="103" t="s">
        <v>2158</v>
      </c>
      <c r="W889" s="103" t="s">
        <v>108</v>
      </c>
      <c r="X889" s="103" t="s">
        <v>1736</v>
      </c>
      <c r="Y889" s="103" t="s">
        <v>3848</v>
      </c>
      <c r="AA889" s="103" t="s">
        <v>2220</v>
      </c>
      <c r="AB889" s="103" t="s">
        <v>71</v>
      </c>
      <c r="AE889" s="103" t="s">
        <v>810</v>
      </c>
      <c r="AF889" s="103" t="b">
        <v>1</v>
      </c>
    </row>
    <row r="890" spans="1:32" hidden="1" x14ac:dyDescent="0.2">
      <c r="A890" s="103" t="s">
        <v>915</v>
      </c>
      <c r="B890" s="103" t="s">
        <v>914</v>
      </c>
      <c r="C890" s="103" t="s">
        <v>3122</v>
      </c>
      <c r="D890" s="103" t="s">
        <v>3155</v>
      </c>
      <c r="E890" s="103" t="s">
        <v>2338</v>
      </c>
      <c r="F890" s="103" t="s">
        <v>2175</v>
      </c>
      <c r="G890" s="103">
        <v>10</v>
      </c>
      <c r="H890" s="103" t="s">
        <v>2152</v>
      </c>
      <c r="I890" s="103" t="s">
        <v>2153</v>
      </c>
      <c r="J890" s="103">
        <v>10</v>
      </c>
      <c r="N890" s="103" t="s">
        <v>2163</v>
      </c>
      <c r="O890" s="103">
        <v>10</v>
      </c>
      <c r="P890" s="103" t="s">
        <v>1624</v>
      </c>
      <c r="Q890" s="103" t="s">
        <v>2236</v>
      </c>
      <c r="R890" s="103" t="s">
        <v>2220</v>
      </c>
      <c r="S890" s="103" t="s">
        <v>2422</v>
      </c>
      <c r="U890" s="103">
        <v>5.13</v>
      </c>
      <c r="V890" s="103" t="s">
        <v>2158</v>
      </c>
      <c r="W890" s="103" t="s">
        <v>108</v>
      </c>
      <c r="X890" s="103" t="s">
        <v>1736</v>
      </c>
      <c r="Y890" s="103" t="s">
        <v>3848</v>
      </c>
      <c r="AA890" s="103" t="s">
        <v>2220</v>
      </c>
      <c r="AB890" s="103" t="s">
        <v>71</v>
      </c>
      <c r="AE890" s="103" t="s">
        <v>810</v>
      </c>
      <c r="AF890" s="103" t="b">
        <v>1</v>
      </c>
    </row>
    <row r="891" spans="1:32" hidden="1" x14ac:dyDescent="0.2">
      <c r="A891" s="103" t="s">
        <v>1574</v>
      </c>
      <c r="B891" s="103" t="s">
        <v>1776</v>
      </c>
      <c r="C891" s="103" t="s">
        <v>3080</v>
      </c>
      <c r="E891" s="103" t="s">
        <v>2315</v>
      </c>
      <c r="F891" s="103" t="s">
        <v>2202</v>
      </c>
      <c r="G891" s="103">
        <v>200</v>
      </c>
      <c r="H891" s="103" t="s">
        <v>2168</v>
      </c>
      <c r="I891" s="103" t="s">
        <v>2153</v>
      </c>
      <c r="J891" s="103">
        <v>50</v>
      </c>
      <c r="K891" s="103">
        <v>50</v>
      </c>
      <c r="L891" s="103">
        <v>50</v>
      </c>
      <c r="M891" s="103">
        <v>50</v>
      </c>
      <c r="N891" s="103" t="s">
        <v>2163</v>
      </c>
      <c r="O891" s="103">
        <v>200</v>
      </c>
      <c r="P891" s="103" t="s">
        <v>811</v>
      </c>
      <c r="Q891" s="103" t="s">
        <v>2387</v>
      </c>
      <c r="R891" s="103" t="s">
        <v>2220</v>
      </c>
      <c r="S891" s="103" t="s">
        <v>2422</v>
      </c>
      <c r="U891" s="103">
        <v>102.6</v>
      </c>
      <c r="V891" s="103" t="s">
        <v>2158</v>
      </c>
      <c r="W891" s="103" t="s">
        <v>108</v>
      </c>
      <c r="X891" s="103" t="s">
        <v>1736</v>
      </c>
      <c r="Y891" s="103" t="s">
        <v>3848</v>
      </c>
      <c r="AA891" s="103" t="s">
        <v>2220</v>
      </c>
      <c r="AB891" s="103" t="s">
        <v>71</v>
      </c>
      <c r="AE891" s="103" t="s">
        <v>810</v>
      </c>
      <c r="AF891" s="103" t="b">
        <v>1</v>
      </c>
    </row>
    <row r="892" spans="1:32" hidden="1" x14ac:dyDescent="0.2">
      <c r="A892" s="103" t="s">
        <v>1574</v>
      </c>
      <c r="B892" s="103" t="s">
        <v>1776</v>
      </c>
      <c r="C892" s="103" t="s">
        <v>3080</v>
      </c>
      <c r="E892" s="103" t="s">
        <v>2299</v>
      </c>
      <c r="F892" s="103" t="s">
        <v>2202</v>
      </c>
      <c r="G892" s="103">
        <v>200</v>
      </c>
      <c r="H892" s="103" t="s">
        <v>2168</v>
      </c>
      <c r="I892" s="103" t="s">
        <v>2153</v>
      </c>
      <c r="J892" s="103">
        <v>50</v>
      </c>
      <c r="K892" s="103">
        <v>50</v>
      </c>
      <c r="L892" s="103">
        <v>50</v>
      </c>
      <c r="M892" s="103">
        <v>50</v>
      </c>
      <c r="N892" s="103" t="s">
        <v>2163</v>
      </c>
      <c r="O892" s="103">
        <v>200</v>
      </c>
      <c r="P892" s="103" t="s">
        <v>811</v>
      </c>
      <c r="Q892" s="103" t="s">
        <v>2387</v>
      </c>
      <c r="R892" s="103" t="s">
        <v>2220</v>
      </c>
      <c r="S892" s="103" t="s">
        <v>2422</v>
      </c>
      <c r="U892" s="103">
        <v>102.6</v>
      </c>
      <c r="V892" s="103" t="s">
        <v>2158</v>
      </c>
      <c r="W892" s="103" t="s">
        <v>108</v>
      </c>
      <c r="X892" s="103" t="s">
        <v>1736</v>
      </c>
      <c r="Y892" s="103" t="s">
        <v>3848</v>
      </c>
      <c r="AA892" s="103" t="s">
        <v>2220</v>
      </c>
      <c r="AB892" s="103" t="s">
        <v>71</v>
      </c>
      <c r="AE892" s="103" t="s">
        <v>810</v>
      </c>
      <c r="AF892" s="103" t="b">
        <v>1</v>
      </c>
    </row>
    <row r="893" spans="1:32" hidden="1" x14ac:dyDescent="0.2">
      <c r="A893" s="103" t="s">
        <v>915</v>
      </c>
      <c r="B893" s="103" t="s">
        <v>914</v>
      </c>
      <c r="C893" s="103" t="s">
        <v>3094</v>
      </c>
      <c r="E893" s="103" t="s">
        <v>2219</v>
      </c>
      <c r="F893" s="103" t="s">
        <v>2162</v>
      </c>
      <c r="G893" s="103">
        <v>50</v>
      </c>
      <c r="H893" s="103" t="s">
        <v>2168</v>
      </c>
      <c r="I893" s="103" t="s">
        <v>2153</v>
      </c>
      <c r="J893" s="103">
        <v>14</v>
      </c>
      <c r="K893" s="103">
        <v>12</v>
      </c>
      <c r="L893" s="103">
        <v>12</v>
      </c>
      <c r="M893" s="103">
        <v>12</v>
      </c>
      <c r="N893" s="103" t="s">
        <v>2163</v>
      </c>
      <c r="O893" s="103">
        <v>50</v>
      </c>
      <c r="P893" s="103" t="s">
        <v>1609</v>
      </c>
      <c r="Q893" s="103" t="s">
        <v>2236</v>
      </c>
      <c r="R893" s="103" t="s">
        <v>2220</v>
      </c>
      <c r="S893" s="103" t="s">
        <v>2422</v>
      </c>
      <c r="U893" s="103">
        <v>25.65</v>
      </c>
      <c r="V893" s="103" t="s">
        <v>2158</v>
      </c>
      <c r="W893" s="103" t="s">
        <v>116</v>
      </c>
      <c r="X893" s="103" t="s">
        <v>1736</v>
      </c>
      <c r="Y893" s="103" t="s">
        <v>3848</v>
      </c>
      <c r="AA893" s="103" t="s">
        <v>2220</v>
      </c>
      <c r="AB893" s="103" t="s">
        <v>71</v>
      </c>
      <c r="AE893" s="103" t="s">
        <v>810</v>
      </c>
      <c r="AF893" s="103" t="b">
        <v>1</v>
      </c>
    </row>
    <row r="894" spans="1:32" hidden="1" x14ac:dyDescent="0.2">
      <c r="A894" s="103" t="s">
        <v>915</v>
      </c>
      <c r="B894" s="103" t="s">
        <v>914</v>
      </c>
      <c r="C894" s="103" t="s">
        <v>3095</v>
      </c>
      <c r="E894" s="103" t="s">
        <v>2219</v>
      </c>
      <c r="F894" s="103" t="s">
        <v>2162</v>
      </c>
      <c r="G894" s="103">
        <v>50</v>
      </c>
      <c r="H894" s="103" t="s">
        <v>2168</v>
      </c>
      <c r="I894" s="103" t="s">
        <v>2153</v>
      </c>
      <c r="J894" s="103">
        <v>14</v>
      </c>
      <c r="K894" s="103">
        <v>12</v>
      </c>
      <c r="L894" s="103">
        <v>12</v>
      </c>
      <c r="M894" s="103">
        <v>12</v>
      </c>
      <c r="N894" s="103" t="s">
        <v>2163</v>
      </c>
      <c r="O894" s="103">
        <v>50</v>
      </c>
      <c r="P894" s="103" t="s">
        <v>1609</v>
      </c>
      <c r="Q894" s="103" t="s">
        <v>2236</v>
      </c>
      <c r="R894" s="103" t="s">
        <v>2220</v>
      </c>
      <c r="S894" s="103" t="s">
        <v>2422</v>
      </c>
      <c r="U894" s="103">
        <v>25.65</v>
      </c>
      <c r="V894" s="103" t="s">
        <v>2158</v>
      </c>
      <c r="W894" s="103" t="s">
        <v>116</v>
      </c>
      <c r="X894" s="103" t="s">
        <v>1736</v>
      </c>
      <c r="Y894" s="103" t="s">
        <v>3848</v>
      </c>
      <c r="AA894" s="103" t="s">
        <v>2220</v>
      </c>
      <c r="AB894" s="103" t="s">
        <v>71</v>
      </c>
      <c r="AE894" s="103" t="s">
        <v>810</v>
      </c>
      <c r="AF894" s="103" t="b">
        <v>1</v>
      </c>
    </row>
    <row r="895" spans="1:32" hidden="1" x14ac:dyDescent="0.2">
      <c r="A895" s="103" t="s">
        <v>1574</v>
      </c>
      <c r="B895" s="103" t="s">
        <v>1776</v>
      </c>
      <c r="C895" s="103" t="s">
        <v>3080</v>
      </c>
      <c r="E895" s="103" t="s">
        <v>2796</v>
      </c>
      <c r="F895" s="103" t="s">
        <v>2202</v>
      </c>
      <c r="G895" s="103">
        <v>150</v>
      </c>
      <c r="H895" s="103" t="s">
        <v>2152</v>
      </c>
      <c r="I895" s="103" t="s">
        <v>2153</v>
      </c>
      <c r="J895" s="103">
        <v>25</v>
      </c>
      <c r="K895" s="103">
        <v>50</v>
      </c>
      <c r="L895" s="103">
        <v>50</v>
      </c>
      <c r="M895" s="103">
        <v>25</v>
      </c>
      <c r="N895" s="103" t="s">
        <v>2163</v>
      </c>
      <c r="O895" s="103">
        <v>150</v>
      </c>
      <c r="P895" s="103" t="s">
        <v>811</v>
      </c>
      <c r="Q895" s="103" t="s">
        <v>2387</v>
      </c>
      <c r="R895" s="103" t="s">
        <v>2220</v>
      </c>
      <c r="S895" s="103" t="s">
        <v>2422</v>
      </c>
      <c r="U895" s="103">
        <v>76.95</v>
      </c>
      <c r="V895" s="103" t="s">
        <v>2158</v>
      </c>
      <c r="W895" s="103" t="s">
        <v>108</v>
      </c>
      <c r="X895" s="103" t="s">
        <v>1736</v>
      </c>
      <c r="Y895" s="103" t="s">
        <v>3848</v>
      </c>
      <c r="AA895" s="103" t="s">
        <v>2220</v>
      </c>
      <c r="AB895" s="103" t="s">
        <v>71</v>
      </c>
      <c r="AE895" s="103" t="s">
        <v>810</v>
      </c>
      <c r="AF895" s="103" t="b">
        <v>1</v>
      </c>
    </row>
    <row r="896" spans="1:32" hidden="1" x14ac:dyDescent="0.2">
      <c r="A896" s="103" t="s">
        <v>1574</v>
      </c>
      <c r="B896" s="103" t="s">
        <v>1776</v>
      </c>
      <c r="C896" s="103" t="s">
        <v>3080</v>
      </c>
      <c r="E896" s="103" t="s">
        <v>2350</v>
      </c>
      <c r="F896" s="103" t="s">
        <v>2202</v>
      </c>
      <c r="G896" s="103">
        <v>120</v>
      </c>
      <c r="H896" s="103" t="s">
        <v>2152</v>
      </c>
      <c r="I896" s="103" t="s">
        <v>2153</v>
      </c>
      <c r="J896" s="103">
        <v>30</v>
      </c>
      <c r="K896" s="103">
        <v>30</v>
      </c>
      <c r="L896" s="103">
        <v>30</v>
      </c>
      <c r="M896" s="103">
        <v>30</v>
      </c>
      <c r="N896" s="103" t="s">
        <v>2163</v>
      </c>
      <c r="O896" s="103">
        <v>120</v>
      </c>
      <c r="P896" s="103" t="s">
        <v>811</v>
      </c>
      <c r="Q896" s="103" t="s">
        <v>2387</v>
      </c>
      <c r="R896" s="103" t="s">
        <v>2220</v>
      </c>
      <c r="S896" s="103" t="s">
        <v>2422</v>
      </c>
      <c r="U896" s="103">
        <v>61.56</v>
      </c>
      <c r="V896" s="103" t="s">
        <v>2158</v>
      </c>
      <c r="W896" s="103" t="s">
        <v>108</v>
      </c>
      <c r="X896" s="103" t="s">
        <v>1736</v>
      </c>
      <c r="Y896" s="103" t="s">
        <v>3848</v>
      </c>
      <c r="AA896" s="103" t="s">
        <v>2220</v>
      </c>
      <c r="AB896" s="103" t="s">
        <v>71</v>
      </c>
      <c r="AE896" s="103" t="s">
        <v>810</v>
      </c>
      <c r="AF896" s="103" t="b">
        <v>1</v>
      </c>
    </row>
    <row r="897" spans="1:32" hidden="1" x14ac:dyDescent="0.2">
      <c r="A897" s="103" t="s">
        <v>1574</v>
      </c>
      <c r="B897" s="103" t="s">
        <v>1776</v>
      </c>
      <c r="C897" s="103" t="s">
        <v>3080</v>
      </c>
      <c r="E897" s="103" t="s">
        <v>2256</v>
      </c>
      <c r="F897" s="103" t="s">
        <v>2151</v>
      </c>
      <c r="G897" s="103">
        <v>100</v>
      </c>
      <c r="H897" s="103" t="s">
        <v>2168</v>
      </c>
      <c r="I897" s="103" t="s">
        <v>2153</v>
      </c>
      <c r="J897" s="103">
        <v>25</v>
      </c>
      <c r="K897" s="103">
        <v>25</v>
      </c>
      <c r="L897" s="103">
        <v>25</v>
      </c>
      <c r="M897" s="103">
        <v>25</v>
      </c>
      <c r="N897" s="103" t="s">
        <v>2163</v>
      </c>
      <c r="O897" s="103">
        <v>100</v>
      </c>
      <c r="P897" s="103" t="s">
        <v>880</v>
      </c>
      <c r="Q897" s="103" t="s">
        <v>2387</v>
      </c>
      <c r="R897" s="103" t="s">
        <v>2220</v>
      </c>
      <c r="S897" s="103" t="s">
        <v>2422</v>
      </c>
      <c r="U897" s="103">
        <v>51.3</v>
      </c>
      <c r="V897" s="103" t="s">
        <v>2158</v>
      </c>
      <c r="W897" s="103" t="s">
        <v>108</v>
      </c>
      <c r="X897" s="103" t="s">
        <v>1736</v>
      </c>
      <c r="Y897" s="103" t="s">
        <v>3848</v>
      </c>
      <c r="AA897" s="103" t="s">
        <v>2220</v>
      </c>
      <c r="AB897" s="103" t="s">
        <v>71</v>
      </c>
      <c r="AE897" s="103" t="s">
        <v>810</v>
      </c>
      <c r="AF897" s="103" t="b">
        <v>1</v>
      </c>
    </row>
    <row r="898" spans="1:32" hidden="1" x14ac:dyDescent="0.2">
      <c r="A898" s="103" t="s">
        <v>1574</v>
      </c>
      <c r="B898" s="103" t="s">
        <v>1776</v>
      </c>
      <c r="C898" s="103" t="s">
        <v>3080</v>
      </c>
      <c r="E898" s="103" t="s">
        <v>2272</v>
      </c>
      <c r="F898" s="103" t="s">
        <v>2151</v>
      </c>
      <c r="G898" s="103">
        <v>100</v>
      </c>
      <c r="H898" s="103" t="s">
        <v>2168</v>
      </c>
      <c r="I898" s="103" t="s">
        <v>2153</v>
      </c>
      <c r="J898" s="103">
        <v>25</v>
      </c>
      <c r="K898" s="103">
        <v>25</v>
      </c>
      <c r="L898" s="103">
        <v>25</v>
      </c>
      <c r="M898" s="103">
        <v>25</v>
      </c>
      <c r="N898" s="103" t="s">
        <v>2163</v>
      </c>
      <c r="O898" s="103">
        <v>100</v>
      </c>
      <c r="P898" s="103" t="s">
        <v>2789</v>
      </c>
      <c r="Q898" s="103" t="s">
        <v>2387</v>
      </c>
      <c r="R898" s="103" t="s">
        <v>2220</v>
      </c>
      <c r="S898" s="103" t="s">
        <v>2422</v>
      </c>
      <c r="U898" s="103">
        <v>51.3</v>
      </c>
      <c r="V898" s="103" t="s">
        <v>2158</v>
      </c>
      <c r="W898" s="103" t="s">
        <v>108</v>
      </c>
      <c r="X898" s="103" t="s">
        <v>1736</v>
      </c>
      <c r="Y898" s="103" t="s">
        <v>3848</v>
      </c>
      <c r="AA898" s="103" t="s">
        <v>2220</v>
      </c>
      <c r="AB898" s="103" t="s">
        <v>71</v>
      </c>
      <c r="AE898" s="103" t="s">
        <v>810</v>
      </c>
      <c r="AF898" s="103" t="b">
        <v>1</v>
      </c>
    </row>
    <row r="899" spans="1:32" hidden="1" x14ac:dyDescent="0.2">
      <c r="A899" s="103" t="s">
        <v>1574</v>
      </c>
      <c r="B899" s="103" t="s">
        <v>1776</v>
      </c>
      <c r="C899" s="103" t="s">
        <v>3080</v>
      </c>
      <c r="E899" s="103" t="s">
        <v>2694</v>
      </c>
      <c r="F899" s="103" t="s">
        <v>2151</v>
      </c>
      <c r="G899" s="103">
        <v>100</v>
      </c>
      <c r="H899" s="103" t="s">
        <v>2168</v>
      </c>
      <c r="I899" s="103" t="s">
        <v>2153</v>
      </c>
      <c r="J899" s="103">
        <v>25</v>
      </c>
      <c r="K899" s="103">
        <v>25</v>
      </c>
      <c r="L899" s="103">
        <v>25</v>
      </c>
      <c r="M899" s="103">
        <v>25</v>
      </c>
      <c r="N899" s="103" t="s">
        <v>2163</v>
      </c>
      <c r="O899" s="103">
        <v>100</v>
      </c>
      <c r="P899" s="103" t="s">
        <v>2293</v>
      </c>
      <c r="Q899" s="103" t="s">
        <v>2387</v>
      </c>
      <c r="R899" s="103" t="s">
        <v>2220</v>
      </c>
      <c r="S899" s="103" t="s">
        <v>2422</v>
      </c>
      <c r="U899" s="103">
        <v>51.3</v>
      </c>
      <c r="V899" s="103" t="s">
        <v>2158</v>
      </c>
      <c r="W899" s="103" t="s">
        <v>108</v>
      </c>
      <c r="X899" s="103" t="s">
        <v>1736</v>
      </c>
      <c r="Y899" s="103" t="s">
        <v>3848</v>
      </c>
      <c r="AA899" s="103" t="s">
        <v>2220</v>
      </c>
      <c r="AB899" s="103" t="s">
        <v>71</v>
      </c>
      <c r="AE899" s="103" t="s">
        <v>810</v>
      </c>
      <c r="AF899" s="103" t="b">
        <v>1</v>
      </c>
    </row>
    <row r="900" spans="1:32" hidden="1" x14ac:dyDescent="0.2">
      <c r="A900" s="103" t="s">
        <v>1574</v>
      </c>
      <c r="B900" s="103" t="s">
        <v>1776</v>
      </c>
      <c r="C900" s="103" t="s">
        <v>3080</v>
      </c>
      <c r="E900" s="103" t="s">
        <v>2926</v>
      </c>
      <c r="F900" s="103" t="s">
        <v>2151</v>
      </c>
      <c r="G900" s="103">
        <v>80</v>
      </c>
      <c r="H900" s="103" t="s">
        <v>2152</v>
      </c>
      <c r="I900" s="103" t="s">
        <v>2153</v>
      </c>
      <c r="J900" s="103">
        <v>20</v>
      </c>
      <c r="K900" s="103">
        <v>20</v>
      </c>
      <c r="L900" s="103">
        <v>20</v>
      </c>
      <c r="M900" s="103">
        <v>20</v>
      </c>
      <c r="N900" s="103" t="s">
        <v>2163</v>
      </c>
      <c r="O900" s="103">
        <v>80</v>
      </c>
      <c r="P900" s="103" t="s">
        <v>811</v>
      </c>
      <c r="Q900" s="103" t="s">
        <v>2387</v>
      </c>
      <c r="R900" s="103" t="s">
        <v>2220</v>
      </c>
      <c r="S900" s="103" t="s">
        <v>2422</v>
      </c>
      <c r="U900" s="103">
        <v>41.04</v>
      </c>
      <c r="V900" s="103" t="s">
        <v>2158</v>
      </c>
      <c r="W900" s="103" t="s">
        <v>108</v>
      </c>
      <c r="X900" s="103" t="s">
        <v>1736</v>
      </c>
      <c r="Y900" s="103" t="s">
        <v>3848</v>
      </c>
      <c r="AA900" s="103" t="s">
        <v>2220</v>
      </c>
      <c r="AB900" s="103" t="s">
        <v>71</v>
      </c>
      <c r="AE900" s="103" t="s">
        <v>810</v>
      </c>
      <c r="AF900" s="103" t="b">
        <v>1</v>
      </c>
    </row>
    <row r="901" spans="1:32" hidden="1" x14ac:dyDescent="0.2">
      <c r="A901" s="103" t="s">
        <v>1574</v>
      </c>
      <c r="B901" s="103" t="s">
        <v>1776</v>
      </c>
      <c r="C901" s="103" t="s">
        <v>3080</v>
      </c>
      <c r="E901" s="103" t="s">
        <v>2264</v>
      </c>
      <c r="F901" s="103" t="s">
        <v>2162</v>
      </c>
      <c r="G901" s="103">
        <v>50</v>
      </c>
      <c r="H901" s="103" t="s">
        <v>2168</v>
      </c>
      <c r="I901" s="103" t="s">
        <v>2153</v>
      </c>
      <c r="J901" s="103">
        <v>10</v>
      </c>
      <c r="K901" s="103">
        <v>10</v>
      </c>
      <c r="L901" s="103">
        <v>10</v>
      </c>
      <c r="M901" s="103">
        <v>20</v>
      </c>
      <c r="N901" s="103" t="s">
        <v>2163</v>
      </c>
      <c r="O901" s="103">
        <v>50</v>
      </c>
      <c r="P901" s="103" t="s">
        <v>811</v>
      </c>
      <c r="Q901" s="103" t="s">
        <v>2387</v>
      </c>
      <c r="R901" s="103" t="s">
        <v>2220</v>
      </c>
      <c r="S901" s="103" t="s">
        <v>2422</v>
      </c>
      <c r="U901" s="103">
        <v>25.65</v>
      </c>
      <c r="V901" s="103" t="s">
        <v>2158</v>
      </c>
      <c r="W901" s="103" t="s">
        <v>108</v>
      </c>
      <c r="X901" s="103" t="s">
        <v>1736</v>
      </c>
      <c r="Y901" s="103" t="s">
        <v>3848</v>
      </c>
      <c r="AA901" s="103" t="s">
        <v>2220</v>
      </c>
      <c r="AB901" s="103" t="s">
        <v>71</v>
      </c>
      <c r="AE901" s="103" t="s">
        <v>810</v>
      </c>
      <c r="AF901" s="103" t="b">
        <v>1</v>
      </c>
    </row>
    <row r="902" spans="1:32" hidden="1" x14ac:dyDescent="0.2">
      <c r="A902" s="103" t="s">
        <v>1574</v>
      </c>
      <c r="B902" s="103" t="s">
        <v>1776</v>
      </c>
      <c r="C902" s="103" t="s">
        <v>3080</v>
      </c>
      <c r="E902" s="103" t="s">
        <v>3068</v>
      </c>
      <c r="F902" s="103" t="s">
        <v>2162</v>
      </c>
      <c r="G902" s="103">
        <v>50</v>
      </c>
      <c r="H902" s="103" t="s">
        <v>2168</v>
      </c>
      <c r="I902" s="103" t="s">
        <v>2153</v>
      </c>
      <c r="J902" s="103">
        <v>10</v>
      </c>
      <c r="K902" s="103">
        <v>10</v>
      </c>
      <c r="L902" s="103">
        <v>10</v>
      </c>
      <c r="M902" s="103">
        <v>20</v>
      </c>
      <c r="N902" s="103" t="s">
        <v>2163</v>
      </c>
      <c r="O902" s="103">
        <v>50</v>
      </c>
      <c r="P902" s="103" t="s">
        <v>811</v>
      </c>
      <c r="Q902" s="103" t="s">
        <v>2387</v>
      </c>
      <c r="R902" s="103" t="s">
        <v>2220</v>
      </c>
      <c r="S902" s="103" t="s">
        <v>2422</v>
      </c>
      <c r="U902" s="103">
        <v>25.65</v>
      </c>
      <c r="V902" s="103" t="s">
        <v>2158</v>
      </c>
      <c r="W902" s="103" t="s">
        <v>108</v>
      </c>
      <c r="X902" s="103" t="s">
        <v>1736</v>
      </c>
      <c r="Y902" s="103" t="s">
        <v>3848</v>
      </c>
      <c r="AA902" s="103" t="s">
        <v>2220</v>
      </c>
      <c r="AB902" s="103" t="s">
        <v>71</v>
      </c>
      <c r="AE902" s="103" t="s">
        <v>810</v>
      </c>
      <c r="AF902" s="103" t="b">
        <v>1</v>
      </c>
    </row>
    <row r="903" spans="1:32" hidden="1" x14ac:dyDescent="0.2">
      <c r="A903" s="103" t="s">
        <v>1574</v>
      </c>
      <c r="B903" s="103" t="s">
        <v>1776</v>
      </c>
      <c r="C903" s="103" t="s">
        <v>3096</v>
      </c>
      <c r="E903" s="103" t="s">
        <v>2694</v>
      </c>
      <c r="F903" s="103" t="s">
        <v>2162</v>
      </c>
      <c r="G903" s="103">
        <v>50</v>
      </c>
      <c r="H903" s="103" t="s">
        <v>2168</v>
      </c>
      <c r="I903" s="103" t="s">
        <v>2153</v>
      </c>
      <c r="J903" s="103">
        <v>15</v>
      </c>
      <c r="K903" s="103">
        <v>10</v>
      </c>
      <c r="L903" s="103">
        <v>15</v>
      </c>
      <c r="M903" s="103">
        <v>10</v>
      </c>
      <c r="N903" s="103" t="s">
        <v>2163</v>
      </c>
      <c r="O903" s="103">
        <v>50</v>
      </c>
      <c r="P903" s="103" t="s">
        <v>2293</v>
      </c>
      <c r="Q903" s="103" t="s">
        <v>2387</v>
      </c>
      <c r="R903" s="103" t="s">
        <v>2220</v>
      </c>
      <c r="S903" s="103" t="s">
        <v>2422</v>
      </c>
      <c r="U903" s="103">
        <v>25.65</v>
      </c>
      <c r="V903" s="103" t="s">
        <v>2158</v>
      </c>
      <c r="W903" s="103" t="s">
        <v>108</v>
      </c>
      <c r="X903" s="103" t="s">
        <v>1736</v>
      </c>
      <c r="Y903" s="103" t="s">
        <v>3848</v>
      </c>
      <c r="AA903" s="103" t="s">
        <v>2220</v>
      </c>
      <c r="AB903" s="103" t="s">
        <v>71</v>
      </c>
      <c r="AE903" s="103" t="s">
        <v>810</v>
      </c>
      <c r="AF903" s="103" t="b">
        <v>1</v>
      </c>
    </row>
    <row r="904" spans="1:32" hidden="1" x14ac:dyDescent="0.2">
      <c r="A904" s="103" t="s">
        <v>1574</v>
      </c>
      <c r="B904" s="103" t="s">
        <v>1776</v>
      </c>
      <c r="C904" s="103" t="s">
        <v>3080</v>
      </c>
      <c r="E904" s="103" t="s">
        <v>2259</v>
      </c>
      <c r="F904" s="103" t="s">
        <v>2232</v>
      </c>
      <c r="G904" s="103">
        <v>250</v>
      </c>
      <c r="H904" s="103" t="s">
        <v>2152</v>
      </c>
      <c r="I904" s="103" t="s">
        <v>2153</v>
      </c>
      <c r="J904" s="103">
        <v>75</v>
      </c>
      <c r="K904" s="103">
        <v>75</v>
      </c>
      <c r="L904" s="103">
        <v>50</v>
      </c>
      <c r="M904" s="103">
        <v>50</v>
      </c>
      <c r="N904" s="103" t="s">
        <v>2163</v>
      </c>
      <c r="O904" s="103">
        <v>250</v>
      </c>
      <c r="P904" s="103" t="s">
        <v>811</v>
      </c>
      <c r="Q904" s="103" t="s">
        <v>2387</v>
      </c>
      <c r="R904" s="103" t="s">
        <v>2220</v>
      </c>
      <c r="S904" s="103" t="s">
        <v>2422</v>
      </c>
      <c r="U904" s="103">
        <v>128.25</v>
      </c>
      <c r="V904" s="103" t="s">
        <v>2158</v>
      </c>
      <c r="W904" s="103" t="s">
        <v>108</v>
      </c>
      <c r="X904" s="103" t="s">
        <v>1736</v>
      </c>
      <c r="Y904" s="103" t="s">
        <v>3848</v>
      </c>
      <c r="AA904" s="103" t="s">
        <v>2220</v>
      </c>
      <c r="AB904" s="103" t="s">
        <v>71</v>
      </c>
      <c r="AE904" s="103" t="s">
        <v>810</v>
      </c>
      <c r="AF904" s="103" t="b">
        <v>1</v>
      </c>
    </row>
    <row r="905" spans="1:32" hidden="1" x14ac:dyDescent="0.2">
      <c r="A905" s="103" t="s">
        <v>796</v>
      </c>
      <c r="B905" s="103" t="s">
        <v>795</v>
      </c>
      <c r="C905" s="103" t="s">
        <v>3097</v>
      </c>
      <c r="D905" s="103" t="s">
        <v>3098</v>
      </c>
      <c r="E905" s="103" t="s">
        <v>2264</v>
      </c>
      <c r="F905" s="103" t="s">
        <v>2202</v>
      </c>
      <c r="G905" s="103">
        <v>200</v>
      </c>
      <c r="H905" s="103" t="s">
        <v>2168</v>
      </c>
      <c r="I905" s="103" t="s">
        <v>2153</v>
      </c>
      <c r="J905" s="103">
        <v>100</v>
      </c>
      <c r="K905" s="103">
        <v>100</v>
      </c>
      <c r="N905" s="103" t="s">
        <v>2163</v>
      </c>
      <c r="O905" s="103">
        <v>200</v>
      </c>
      <c r="P905" s="103" t="s">
        <v>811</v>
      </c>
      <c r="Q905" s="103" t="s">
        <v>2236</v>
      </c>
      <c r="R905" s="103" t="s">
        <v>2220</v>
      </c>
      <c r="S905" s="103" t="s">
        <v>2422</v>
      </c>
      <c r="U905" s="103">
        <v>102.6</v>
      </c>
      <c r="V905" s="103" t="s">
        <v>2158</v>
      </c>
      <c r="W905" s="103" t="s">
        <v>108</v>
      </c>
      <c r="X905" s="103">
        <v>0</v>
      </c>
      <c r="Y905" s="103" t="s">
        <v>1685</v>
      </c>
      <c r="AA905" s="103" t="s">
        <v>2220</v>
      </c>
      <c r="AB905" s="103" t="s">
        <v>71</v>
      </c>
      <c r="AE905" s="103" t="s">
        <v>810</v>
      </c>
      <c r="AF905" s="103" t="b">
        <v>1</v>
      </c>
    </row>
    <row r="906" spans="1:32" hidden="1" x14ac:dyDescent="0.2">
      <c r="A906" s="103" t="s">
        <v>915</v>
      </c>
      <c r="B906" s="103" t="s">
        <v>914</v>
      </c>
      <c r="C906" s="103" t="s">
        <v>336</v>
      </c>
      <c r="D906" s="103" t="s">
        <v>3099</v>
      </c>
      <c r="E906" s="103" t="s">
        <v>2495</v>
      </c>
      <c r="F906" s="103" t="s">
        <v>2162</v>
      </c>
      <c r="G906" s="103">
        <v>50</v>
      </c>
      <c r="H906" s="103" t="s">
        <v>2168</v>
      </c>
      <c r="I906" s="103" t="s">
        <v>2153</v>
      </c>
      <c r="K906" s="103">
        <v>50</v>
      </c>
      <c r="N906" s="103" t="s">
        <v>2154</v>
      </c>
      <c r="O906" s="103">
        <v>50</v>
      </c>
      <c r="P906" s="103" t="s">
        <v>3100</v>
      </c>
      <c r="Q906" s="103" t="s">
        <v>2236</v>
      </c>
      <c r="R906" s="103" t="s">
        <v>2225</v>
      </c>
      <c r="S906" s="103" t="s">
        <v>2422</v>
      </c>
      <c r="U906" s="103">
        <v>25.65</v>
      </c>
      <c r="V906" s="103" t="s">
        <v>2158</v>
      </c>
      <c r="W906" s="103" t="s">
        <v>117</v>
      </c>
      <c r="X906" s="103" t="s">
        <v>1685</v>
      </c>
      <c r="Y906" s="103" t="s">
        <v>1685</v>
      </c>
      <c r="AA906" s="103" t="s">
        <v>2225</v>
      </c>
      <c r="AB906" s="103" t="s">
        <v>71</v>
      </c>
      <c r="AE906" s="103" t="s">
        <v>810</v>
      </c>
      <c r="AF906" s="103" t="b">
        <v>1</v>
      </c>
    </row>
    <row r="907" spans="1:32" hidden="1" x14ac:dyDescent="0.2">
      <c r="A907" s="103" t="s">
        <v>915</v>
      </c>
      <c r="B907" s="103" t="s">
        <v>914</v>
      </c>
      <c r="C907" s="103" t="s">
        <v>3101</v>
      </c>
      <c r="D907" s="103" t="s">
        <v>3102</v>
      </c>
      <c r="E907" s="103" t="s">
        <v>2495</v>
      </c>
      <c r="F907" s="103" t="s">
        <v>2151</v>
      </c>
      <c r="G907" s="103">
        <v>100</v>
      </c>
      <c r="H907" s="103" t="s">
        <v>2168</v>
      </c>
      <c r="I907" s="103" t="s">
        <v>2153</v>
      </c>
      <c r="J907" s="103">
        <v>80</v>
      </c>
      <c r="K907" s="103">
        <v>20</v>
      </c>
      <c r="N907" s="103" t="s">
        <v>2163</v>
      </c>
      <c r="O907" s="103">
        <v>100</v>
      </c>
      <c r="P907" s="103" t="s">
        <v>3100</v>
      </c>
      <c r="Q907" s="103" t="s">
        <v>2236</v>
      </c>
      <c r="R907" s="103" t="s">
        <v>2225</v>
      </c>
      <c r="S907" s="103" t="s">
        <v>2422</v>
      </c>
      <c r="U907" s="103">
        <v>51.3</v>
      </c>
      <c r="V907" s="103" t="s">
        <v>2158</v>
      </c>
      <c r="W907" s="103" t="s">
        <v>117</v>
      </c>
      <c r="X907" s="103" t="s">
        <v>1685</v>
      </c>
      <c r="Y907" s="103" t="s">
        <v>1685</v>
      </c>
      <c r="AA907" s="103" t="s">
        <v>2225</v>
      </c>
      <c r="AB907" s="103" t="s">
        <v>71</v>
      </c>
      <c r="AE907" s="103" t="s">
        <v>810</v>
      </c>
      <c r="AF907" s="103" t="b">
        <v>1</v>
      </c>
    </row>
    <row r="908" spans="1:32" hidden="1" x14ac:dyDescent="0.2">
      <c r="A908" s="103" t="s">
        <v>796</v>
      </c>
      <c r="B908" s="103" t="s">
        <v>795</v>
      </c>
      <c r="C908" s="103" t="s">
        <v>3097</v>
      </c>
      <c r="D908" s="103" t="s">
        <v>3103</v>
      </c>
      <c r="E908" s="103" t="s">
        <v>2285</v>
      </c>
      <c r="F908" s="103" t="s">
        <v>2151</v>
      </c>
      <c r="G908" s="103">
        <v>100</v>
      </c>
      <c r="H908" s="103" t="s">
        <v>2168</v>
      </c>
      <c r="I908" s="103" t="s">
        <v>2153</v>
      </c>
      <c r="K908" s="103">
        <v>50</v>
      </c>
      <c r="L908" s="103">
        <v>50</v>
      </c>
      <c r="N908" s="103" t="s">
        <v>2163</v>
      </c>
      <c r="O908" s="103">
        <v>100</v>
      </c>
      <c r="P908" s="103" t="s">
        <v>811</v>
      </c>
      <c r="Q908" s="103" t="s">
        <v>2236</v>
      </c>
      <c r="R908" s="103" t="s">
        <v>2220</v>
      </c>
      <c r="S908" s="103" t="s">
        <v>2422</v>
      </c>
      <c r="U908" s="103">
        <v>51.3</v>
      </c>
      <c r="V908" s="103" t="s">
        <v>2158</v>
      </c>
      <c r="W908" s="103" t="s">
        <v>108</v>
      </c>
      <c r="X908" s="103">
        <v>0</v>
      </c>
      <c r="Y908" s="103" t="s">
        <v>1685</v>
      </c>
      <c r="AA908" s="103" t="s">
        <v>2220</v>
      </c>
      <c r="AB908" s="103" t="s">
        <v>71</v>
      </c>
      <c r="AE908" s="103" t="s">
        <v>810</v>
      </c>
      <c r="AF908" s="103" t="b">
        <v>1</v>
      </c>
    </row>
    <row r="909" spans="1:32" hidden="1" x14ac:dyDescent="0.2">
      <c r="A909" s="103" t="s">
        <v>796</v>
      </c>
      <c r="B909" s="103" t="s">
        <v>795</v>
      </c>
      <c r="C909" s="103" t="s">
        <v>2914</v>
      </c>
      <c r="D909" s="103" t="s">
        <v>3104</v>
      </c>
      <c r="E909" s="103" t="s">
        <v>3068</v>
      </c>
      <c r="F909" s="103" t="s">
        <v>2151</v>
      </c>
      <c r="G909" s="103">
        <v>70</v>
      </c>
      <c r="H909" s="103" t="s">
        <v>2152</v>
      </c>
      <c r="I909" s="103" t="s">
        <v>2153</v>
      </c>
      <c r="J909" s="103">
        <v>30</v>
      </c>
      <c r="K909" s="103">
        <v>30</v>
      </c>
      <c r="L909" s="103">
        <v>10</v>
      </c>
      <c r="N909" s="103" t="s">
        <v>2163</v>
      </c>
      <c r="O909" s="103">
        <v>70</v>
      </c>
      <c r="P909" s="103" t="s">
        <v>811</v>
      </c>
      <c r="Q909" s="103" t="s">
        <v>2236</v>
      </c>
      <c r="R909" s="103" t="s">
        <v>2220</v>
      </c>
      <c r="S909" s="103" t="s">
        <v>2422</v>
      </c>
      <c r="U909" s="103">
        <v>35.909999999999997</v>
      </c>
      <c r="V909" s="103" t="s">
        <v>2158</v>
      </c>
      <c r="W909" s="103" t="s">
        <v>108</v>
      </c>
      <c r="X909" s="103">
        <v>0</v>
      </c>
      <c r="Y909" s="103" t="s">
        <v>1685</v>
      </c>
      <c r="AA909" s="103" t="s">
        <v>2220</v>
      </c>
      <c r="AB909" s="103" t="s">
        <v>71</v>
      </c>
      <c r="AE909" s="103" t="s">
        <v>810</v>
      </c>
      <c r="AF909" s="103" t="b">
        <v>1</v>
      </c>
    </row>
    <row r="910" spans="1:32" hidden="1" x14ac:dyDescent="0.2">
      <c r="A910" s="103" t="s">
        <v>796</v>
      </c>
      <c r="B910" s="103" t="s">
        <v>795</v>
      </c>
      <c r="C910" s="103" t="s">
        <v>2914</v>
      </c>
      <c r="D910" s="103" t="s">
        <v>3105</v>
      </c>
      <c r="E910" s="103" t="s">
        <v>2264</v>
      </c>
      <c r="F910" s="103" t="s">
        <v>2162</v>
      </c>
      <c r="G910" s="103">
        <v>50</v>
      </c>
      <c r="H910" s="103" t="s">
        <v>2168</v>
      </c>
      <c r="I910" s="103" t="s">
        <v>2153</v>
      </c>
      <c r="L910" s="103">
        <v>50</v>
      </c>
      <c r="N910" s="103" t="s">
        <v>2163</v>
      </c>
      <c r="O910" s="103">
        <v>50</v>
      </c>
      <c r="P910" s="103" t="s">
        <v>811</v>
      </c>
      <c r="Q910" s="103" t="s">
        <v>2236</v>
      </c>
      <c r="R910" s="103" t="s">
        <v>2220</v>
      </c>
      <c r="S910" s="103" t="s">
        <v>2422</v>
      </c>
      <c r="U910" s="103">
        <v>25.65</v>
      </c>
      <c r="V910" s="103" t="s">
        <v>2158</v>
      </c>
      <c r="W910" s="103" t="s">
        <v>108</v>
      </c>
      <c r="X910" s="103">
        <v>0</v>
      </c>
      <c r="Y910" s="103" t="s">
        <v>1685</v>
      </c>
      <c r="AA910" s="103" t="s">
        <v>2220</v>
      </c>
      <c r="AB910" s="103" t="s">
        <v>71</v>
      </c>
      <c r="AE910" s="103" t="s">
        <v>810</v>
      </c>
      <c r="AF910" s="103" t="b">
        <v>1</v>
      </c>
    </row>
    <row r="911" spans="1:32" hidden="1" x14ac:dyDescent="0.2">
      <c r="A911" s="103" t="s">
        <v>796</v>
      </c>
      <c r="B911" s="103" t="s">
        <v>795</v>
      </c>
      <c r="C911" s="103" t="s">
        <v>2914</v>
      </c>
      <c r="E911" s="103" t="s">
        <v>2259</v>
      </c>
      <c r="F911" s="103" t="s">
        <v>2162</v>
      </c>
      <c r="G911" s="103">
        <v>50</v>
      </c>
      <c r="H911" s="103" t="s">
        <v>2168</v>
      </c>
      <c r="I911" s="103" t="s">
        <v>2153</v>
      </c>
      <c r="L911" s="103">
        <v>50</v>
      </c>
      <c r="N911" s="103" t="s">
        <v>2163</v>
      </c>
      <c r="O911" s="103">
        <v>50</v>
      </c>
      <c r="P911" s="103" t="s">
        <v>811</v>
      </c>
      <c r="Q911" s="103" t="s">
        <v>2236</v>
      </c>
      <c r="R911" s="103" t="s">
        <v>2220</v>
      </c>
      <c r="S911" s="103" t="s">
        <v>2422</v>
      </c>
      <c r="U911" s="103">
        <v>25.65</v>
      </c>
      <c r="V911" s="103" t="s">
        <v>2158</v>
      </c>
      <c r="W911" s="103" t="s">
        <v>108</v>
      </c>
      <c r="X911" s="103">
        <v>0</v>
      </c>
      <c r="Y911" s="103" t="s">
        <v>1685</v>
      </c>
      <c r="AA911" s="103" t="s">
        <v>2220</v>
      </c>
      <c r="AB911" s="103" t="s">
        <v>71</v>
      </c>
      <c r="AE911" s="103" t="s">
        <v>810</v>
      </c>
      <c r="AF911" s="103" t="b">
        <v>1</v>
      </c>
    </row>
    <row r="912" spans="1:32" hidden="1" x14ac:dyDescent="0.2">
      <c r="A912" s="103" t="s">
        <v>796</v>
      </c>
      <c r="B912" s="103" t="s">
        <v>795</v>
      </c>
      <c r="C912" s="103" t="s">
        <v>2914</v>
      </c>
      <c r="D912" s="103" t="s">
        <v>3105</v>
      </c>
      <c r="E912" s="103" t="s">
        <v>2266</v>
      </c>
      <c r="F912" s="103" t="s">
        <v>2175</v>
      </c>
      <c r="G912" s="103">
        <v>30</v>
      </c>
      <c r="H912" s="103" t="s">
        <v>2152</v>
      </c>
      <c r="I912" s="103" t="s">
        <v>2153</v>
      </c>
      <c r="L912" s="103">
        <v>30</v>
      </c>
      <c r="N912" s="103" t="s">
        <v>2163</v>
      </c>
      <c r="O912" s="103">
        <v>30</v>
      </c>
      <c r="P912" s="103" t="s">
        <v>811</v>
      </c>
      <c r="Q912" s="103" t="s">
        <v>2236</v>
      </c>
      <c r="R912" s="103" t="s">
        <v>2220</v>
      </c>
      <c r="S912" s="103" t="s">
        <v>2422</v>
      </c>
      <c r="U912" s="103">
        <v>15.39</v>
      </c>
      <c r="V912" s="103" t="s">
        <v>2158</v>
      </c>
      <c r="W912" s="103" t="s">
        <v>108</v>
      </c>
      <c r="X912" s="103">
        <v>0</v>
      </c>
      <c r="Y912" s="103" t="s">
        <v>1685</v>
      </c>
      <c r="AA912" s="103" t="s">
        <v>2220</v>
      </c>
      <c r="AB912" s="103" t="s">
        <v>71</v>
      </c>
      <c r="AE912" s="103" t="s">
        <v>810</v>
      </c>
      <c r="AF912" s="103" t="b">
        <v>1</v>
      </c>
    </row>
    <row r="913" spans="1:32" hidden="1" x14ac:dyDescent="0.2">
      <c r="A913" s="103" t="s">
        <v>796</v>
      </c>
      <c r="B913" s="103" t="s">
        <v>795</v>
      </c>
      <c r="C913" s="103" t="s">
        <v>2914</v>
      </c>
      <c r="D913" s="103" t="s">
        <v>3105</v>
      </c>
      <c r="E913" s="103" t="s">
        <v>2299</v>
      </c>
      <c r="F913" s="103" t="s">
        <v>2175</v>
      </c>
      <c r="G913" s="103">
        <v>20</v>
      </c>
      <c r="H913" s="103" t="s">
        <v>2168</v>
      </c>
      <c r="I913" s="103" t="s">
        <v>2153</v>
      </c>
      <c r="L913" s="103">
        <v>20</v>
      </c>
      <c r="N913" s="103" t="s">
        <v>2163</v>
      </c>
      <c r="O913" s="103">
        <v>20</v>
      </c>
      <c r="P913" s="103" t="s">
        <v>811</v>
      </c>
      <c r="Q913" s="103" t="s">
        <v>2236</v>
      </c>
      <c r="R913" s="103" t="s">
        <v>2220</v>
      </c>
      <c r="S913" s="103" t="s">
        <v>2422</v>
      </c>
      <c r="U913" s="103">
        <v>10.26</v>
      </c>
      <c r="V913" s="103" t="s">
        <v>2158</v>
      </c>
      <c r="W913" s="103" t="s">
        <v>108</v>
      </c>
      <c r="X913" s="103">
        <v>0</v>
      </c>
      <c r="Y913" s="103" t="s">
        <v>1685</v>
      </c>
      <c r="AA913" s="103" t="s">
        <v>2220</v>
      </c>
      <c r="AB913" s="103" t="s">
        <v>71</v>
      </c>
      <c r="AE913" s="103" t="s">
        <v>810</v>
      </c>
      <c r="AF913" s="103" t="b">
        <v>1</v>
      </c>
    </row>
    <row r="914" spans="1:32" hidden="1" x14ac:dyDescent="0.2">
      <c r="A914" s="103" t="s">
        <v>915</v>
      </c>
      <c r="B914" s="103" t="s">
        <v>914</v>
      </c>
      <c r="C914" s="103" t="s">
        <v>3106</v>
      </c>
      <c r="D914" s="103" t="s">
        <v>3107</v>
      </c>
      <c r="E914" s="103" t="s">
        <v>2495</v>
      </c>
      <c r="F914" s="103" t="s">
        <v>2232</v>
      </c>
      <c r="G914" s="103">
        <v>300</v>
      </c>
      <c r="H914" s="103" t="s">
        <v>2168</v>
      </c>
      <c r="I914" s="103" t="s">
        <v>2153</v>
      </c>
      <c r="J914" s="103">
        <v>125</v>
      </c>
      <c r="K914" s="103">
        <v>50</v>
      </c>
      <c r="L914" s="103">
        <v>25</v>
      </c>
      <c r="M914" s="103">
        <v>100</v>
      </c>
      <c r="N914" s="103" t="s">
        <v>2163</v>
      </c>
      <c r="O914" s="103">
        <v>300</v>
      </c>
      <c r="P914" s="103" t="s">
        <v>3100</v>
      </c>
      <c r="Q914" s="103" t="s">
        <v>2236</v>
      </c>
      <c r="R914" s="103" t="s">
        <v>2225</v>
      </c>
      <c r="S914" s="103" t="s">
        <v>2422</v>
      </c>
      <c r="U914" s="103">
        <v>153.9</v>
      </c>
      <c r="V914" s="103" t="s">
        <v>2158</v>
      </c>
      <c r="W914" s="103" t="s">
        <v>117</v>
      </c>
      <c r="X914" s="103" t="s">
        <v>1685</v>
      </c>
      <c r="Y914" s="103" t="s">
        <v>1685</v>
      </c>
      <c r="AA914" s="103" t="s">
        <v>2225</v>
      </c>
      <c r="AB914" s="103" t="s">
        <v>71</v>
      </c>
      <c r="AE914" s="103" t="s">
        <v>810</v>
      </c>
      <c r="AF914" s="103" t="b">
        <v>1</v>
      </c>
    </row>
    <row r="915" spans="1:32" hidden="1" x14ac:dyDescent="0.2">
      <c r="A915" s="103" t="s">
        <v>915</v>
      </c>
      <c r="B915" s="103" t="s">
        <v>914</v>
      </c>
      <c r="C915" s="103" t="s">
        <v>3108</v>
      </c>
      <c r="D915" s="103" t="s">
        <v>3109</v>
      </c>
      <c r="E915" s="103" t="s">
        <v>2495</v>
      </c>
      <c r="F915" s="103" t="s">
        <v>2162</v>
      </c>
      <c r="G915" s="103">
        <v>50</v>
      </c>
      <c r="H915" s="103" t="s">
        <v>2168</v>
      </c>
      <c r="I915" s="103" t="s">
        <v>2153</v>
      </c>
      <c r="K915" s="103">
        <v>50</v>
      </c>
      <c r="N915" s="103" t="s">
        <v>2163</v>
      </c>
      <c r="O915" s="103">
        <v>50</v>
      </c>
      <c r="P915" s="103" t="s">
        <v>3100</v>
      </c>
      <c r="Q915" s="103" t="s">
        <v>2236</v>
      </c>
      <c r="R915" s="103" t="s">
        <v>2225</v>
      </c>
      <c r="S915" s="103" t="s">
        <v>2422</v>
      </c>
      <c r="U915" s="103">
        <v>25.65</v>
      </c>
      <c r="V915" s="103" t="s">
        <v>2158</v>
      </c>
      <c r="W915" s="103" t="s">
        <v>117</v>
      </c>
      <c r="X915" s="103" t="s">
        <v>1685</v>
      </c>
      <c r="Y915" s="103" t="s">
        <v>1685</v>
      </c>
      <c r="AA915" s="103" t="s">
        <v>2225</v>
      </c>
      <c r="AB915" s="103" t="s">
        <v>71</v>
      </c>
      <c r="AE915" s="103" t="s">
        <v>810</v>
      </c>
      <c r="AF915" s="103" t="b">
        <v>1</v>
      </c>
    </row>
    <row r="916" spans="1:32" hidden="1" x14ac:dyDescent="0.2">
      <c r="A916" s="103" t="s">
        <v>3846</v>
      </c>
      <c r="B916" s="103" t="s">
        <v>818</v>
      </c>
      <c r="C916" s="103" t="s">
        <v>3110</v>
      </c>
      <c r="D916" s="103" t="s">
        <v>3111</v>
      </c>
      <c r="E916" s="103" t="s">
        <v>2302</v>
      </c>
      <c r="F916" s="103" t="s">
        <v>2175</v>
      </c>
      <c r="G916" s="103">
        <v>20</v>
      </c>
      <c r="H916" s="103" t="s">
        <v>2168</v>
      </c>
      <c r="I916" s="103" t="s">
        <v>2153</v>
      </c>
      <c r="J916" s="103">
        <v>5</v>
      </c>
      <c r="K916" s="103">
        <v>5</v>
      </c>
      <c r="L916" s="103">
        <v>5</v>
      </c>
      <c r="M916" s="103">
        <v>5</v>
      </c>
      <c r="N916" s="103" t="s">
        <v>2163</v>
      </c>
      <c r="O916" s="103">
        <v>20</v>
      </c>
      <c r="P916" s="103" t="s">
        <v>2798</v>
      </c>
      <c r="Q916" s="103" t="s">
        <v>2236</v>
      </c>
      <c r="R916" s="103" t="s">
        <v>2220</v>
      </c>
      <c r="S916" s="103" t="s">
        <v>2422</v>
      </c>
      <c r="U916" s="103">
        <v>10.26</v>
      </c>
      <c r="V916" s="103" t="s">
        <v>2158</v>
      </c>
      <c r="W916" s="103" t="s">
        <v>108</v>
      </c>
      <c r="X916" s="103">
        <v>0</v>
      </c>
      <c r="Y916" s="103" t="s">
        <v>1685</v>
      </c>
      <c r="AA916" s="103" t="s">
        <v>2220</v>
      </c>
      <c r="AB916" s="103" t="s">
        <v>71</v>
      </c>
      <c r="AE916" s="103" t="s">
        <v>810</v>
      </c>
      <c r="AF916" s="103" t="b">
        <v>1</v>
      </c>
    </row>
    <row r="917" spans="1:32" hidden="1" x14ac:dyDescent="0.2">
      <c r="A917" s="103" t="s">
        <v>854</v>
      </c>
      <c r="B917" s="103" t="s">
        <v>853</v>
      </c>
      <c r="C917" s="103" t="s">
        <v>3112</v>
      </c>
      <c r="E917" s="103" t="s">
        <v>2694</v>
      </c>
      <c r="F917" s="103" t="s">
        <v>2151</v>
      </c>
      <c r="G917" s="103">
        <v>100</v>
      </c>
      <c r="H917" s="103" t="s">
        <v>2168</v>
      </c>
      <c r="I917" s="103" t="s">
        <v>2153</v>
      </c>
      <c r="J917" s="103">
        <v>25</v>
      </c>
      <c r="K917" s="103">
        <v>25</v>
      </c>
      <c r="L917" s="103">
        <v>25</v>
      </c>
      <c r="M917" s="103">
        <v>25</v>
      </c>
      <c r="N917" s="103" t="s">
        <v>2260</v>
      </c>
      <c r="O917" s="103">
        <v>100</v>
      </c>
      <c r="P917" s="103" t="s">
        <v>2293</v>
      </c>
      <c r="Q917" s="103" t="s">
        <v>2155</v>
      </c>
      <c r="R917" s="103" t="s">
        <v>2220</v>
      </c>
      <c r="S917" s="103" t="s">
        <v>2422</v>
      </c>
      <c r="U917" s="103">
        <v>51.3</v>
      </c>
      <c r="V917" s="103" t="s">
        <v>2262</v>
      </c>
      <c r="W917" s="103" t="s">
        <v>108</v>
      </c>
      <c r="X917" s="103" t="s">
        <v>1597</v>
      </c>
      <c r="Y917" s="103" t="s">
        <v>1685</v>
      </c>
      <c r="AA917" s="103" t="s">
        <v>2220</v>
      </c>
      <c r="AB917" s="103" t="s">
        <v>71</v>
      </c>
      <c r="AE917" s="103" t="s">
        <v>810</v>
      </c>
      <c r="AF917" s="103" t="b">
        <v>1</v>
      </c>
    </row>
    <row r="918" spans="1:32" hidden="1" x14ac:dyDescent="0.2">
      <c r="A918" s="103" t="s">
        <v>854</v>
      </c>
      <c r="B918" s="103" t="s">
        <v>853</v>
      </c>
      <c r="C918" s="103" t="s">
        <v>3113</v>
      </c>
      <c r="E918" s="103" t="s">
        <v>2694</v>
      </c>
      <c r="F918" s="103" t="s">
        <v>2162</v>
      </c>
      <c r="G918" s="103">
        <v>50</v>
      </c>
      <c r="H918" s="103" t="s">
        <v>2168</v>
      </c>
      <c r="I918" s="103" t="s">
        <v>2153</v>
      </c>
      <c r="J918" s="103">
        <v>15</v>
      </c>
      <c r="K918" s="103">
        <v>10</v>
      </c>
      <c r="L918" s="103">
        <v>15</v>
      </c>
      <c r="M918" s="103">
        <v>10</v>
      </c>
      <c r="N918" s="103" t="s">
        <v>2260</v>
      </c>
      <c r="O918" s="103">
        <v>50</v>
      </c>
      <c r="P918" s="103" t="s">
        <v>2293</v>
      </c>
      <c r="Q918" s="103" t="s">
        <v>2155</v>
      </c>
      <c r="R918" s="103" t="s">
        <v>2220</v>
      </c>
      <c r="S918" s="103" t="s">
        <v>2422</v>
      </c>
      <c r="U918" s="103">
        <v>25.65</v>
      </c>
      <c r="V918" s="103" t="s">
        <v>2262</v>
      </c>
      <c r="W918" s="103" t="s">
        <v>108</v>
      </c>
      <c r="X918" s="103" t="s">
        <v>1597</v>
      </c>
      <c r="Y918" s="103" t="s">
        <v>1685</v>
      </c>
      <c r="AA918" s="103" t="s">
        <v>2220</v>
      </c>
      <c r="AB918" s="103" t="s">
        <v>71</v>
      </c>
      <c r="AE918" s="103" t="s">
        <v>810</v>
      </c>
      <c r="AF918" s="103" t="b">
        <v>1</v>
      </c>
    </row>
    <row r="919" spans="1:32" hidden="1" x14ac:dyDescent="0.2">
      <c r="A919" s="103" t="s">
        <v>915</v>
      </c>
      <c r="B919" s="103" t="s">
        <v>914</v>
      </c>
      <c r="C919" s="103" t="s">
        <v>3114</v>
      </c>
      <c r="D919" s="103" t="s">
        <v>3115</v>
      </c>
      <c r="E919" s="103" t="s">
        <v>2495</v>
      </c>
      <c r="F919" s="103" t="s">
        <v>2151</v>
      </c>
      <c r="G919" s="103">
        <v>100</v>
      </c>
      <c r="H919" s="103" t="s">
        <v>2168</v>
      </c>
      <c r="I919" s="103" t="s">
        <v>2153</v>
      </c>
      <c r="L919" s="103">
        <v>60</v>
      </c>
      <c r="M919" s="103">
        <v>40</v>
      </c>
      <c r="N919" s="103" t="s">
        <v>2163</v>
      </c>
      <c r="O919" s="103">
        <v>100</v>
      </c>
      <c r="P919" s="103" t="s">
        <v>3100</v>
      </c>
      <c r="Q919" s="103" t="s">
        <v>2236</v>
      </c>
      <c r="R919" s="103" t="s">
        <v>2225</v>
      </c>
      <c r="S919" s="103" t="s">
        <v>2422</v>
      </c>
      <c r="U919" s="103">
        <v>51.3</v>
      </c>
      <c r="V919" s="103" t="s">
        <v>2158</v>
      </c>
      <c r="W919" s="103" t="s">
        <v>117</v>
      </c>
      <c r="X919" s="103" t="s">
        <v>1685</v>
      </c>
      <c r="Y919" s="103" t="s">
        <v>1685</v>
      </c>
      <c r="AA919" s="103" t="s">
        <v>2225</v>
      </c>
      <c r="AB919" s="103" t="s">
        <v>71</v>
      </c>
      <c r="AE919" s="103" t="s">
        <v>810</v>
      </c>
      <c r="AF919" s="103" t="b">
        <v>1</v>
      </c>
    </row>
    <row r="920" spans="1:32" hidden="1" x14ac:dyDescent="0.2">
      <c r="A920" s="103" t="s">
        <v>854</v>
      </c>
      <c r="B920" s="103" t="s">
        <v>853</v>
      </c>
      <c r="C920" s="103" t="s">
        <v>3116</v>
      </c>
      <c r="E920" s="103" t="s">
        <v>2694</v>
      </c>
      <c r="F920" s="103" t="s">
        <v>2162</v>
      </c>
      <c r="G920" s="103">
        <v>50</v>
      </c>
      <c r="H920" s="103" t="s">
        <v>2168</v>
      </c>
      <c r="I920" s="103" t="s">
        <v>2153</v>
      </c>
      <c r="K920" s="103">
        <v>25</v>
      </c>
      <c r="L920" s="103">
        <v>25</v>
      </c>
      <c r="N920" s="103" t="s">
        <v>2154</v>
      </c>
      <c r="O920" s="103">
        <v>50</v>
      </c>
      <c r="P920" s="103" t="s">
        <v>2293</v>
      </c>
      <c r="Q920" s="103" t="s">
        <v>2155</v>
      </c>
      <c r="R920" s="103" t="s">
        <v>2220</v>
      </c>
      <c r="S920" s="103" t="s">
        <v>2422</v>
      </c>
      <c r="U920" s="103">
        <v>25.65</v>
      </c>
      <c r="V920" s="103" t="s">
        <v>2158</v>
      </c>
      <c r="W920" s="103" t="s">
        <v>108</v>
      </c>
      <c r="X920" s="103" t="s">
        <v>1597</v>
      </c>
      <c r="Y920" s="103" t="s">
        <v>1685</v>
      </c>
      <c r="AA920" s="103" t="s">
        <v>2220</v>
      </c>
      <c r="AB920" s="103" t="s">
        <v>71</v>
      </c>
      <c r="AE920" s="103" t="s">
        <v>810</v>
      </c>
      <c r="AF920" s="103" t="b">
        <v>1</v>
      </c>
    </row>
    <row r="921" spans="1:32" hidden="1" x14ac:dyDescent="0.2">
      <c r="A921" s="103" t="s">
        <v>854</v>
      </c>
      <c r="B921" s="103" t="s">
        <v>853</v>
      </c>
      <c r="C921" s="103" t="s">
        <v>3117</v>
      </c>
      <c r="E921" s="103" t="s">
        <v>2292</v>
      </c>
      <c r="F921" s="103" t="s">
        <v>2162</v>
      </c>
      <c r="G921" s="103">
        <v>50</v>
      </c>
      <c r="H921" s="103" t="s">
        <v>2168</v>
      </c>
      <c r="I921" s="103" t="s">
        <v>2153</v>
      </c>
      <c r="J921" s="103">
        <v>25</v>
      </c>
      <c r="K921" s="103">
        <v>25</v>
      </c>
      <c r="N921" s="103" t="s">
        <v>2163</v>
      </c>
      <c r="O921" s="103">
        <v>50</v>
      </c>
      <c r="P921" s="103" t="s">
        <v>2293</v>
      </c>
      <c r="Q921" s="103" t="s">
        <v>2155</v>
      </c>
      <c r="R921" s="103" t="s">
        <v>2220</v>
      </c>
      <c r="S921" s="103" t="s">
        <v>2422</v>
      </c>
      <c r="U921" s="103">
        <v>25.65</v>
      </c>
      <c r="V921" s="103" t="s">
        <v>2158</v>
      </c>
      <c r="W921" s="103" t="s">
        <v>108</v>
      </c>
      <c r="X921" s="103" t="s">
        <v>1597</v>
      </c>
      <c r="Y921" s="103" t="s">
        <v>1685</v>
      </c>
      <c r="AA921" s="103" t="s">
        <v>2220</v>
      </c>
      <c r="AB921" s="103" t="s">
        <v>71</v>
      </c>
      <c r="AE921" s="103" t="s">
        <v>810</v>
      </c>
      <c r="AF921" s="103" t="b">
        <v>1</v>
      </c>
    </row>
    <row r="922" spans="1:32" hidden="1" x14ac:dyDescent="0.2">
      <c r="A922" s="103" t="s">
        <v>854</v>
      </c>
      <c r="B922" s="103" t="s">
        <v>853</v>
      </c>
      <c r="C922" s="103" t="s">
        <v>3118</v>
      </c>
      <c r="E922" s="103" t="s">
        <v>2694</v>
      </c>
      <c r="F922" s="103" t="s">
        <v>2162</v>
      </c>
      <c r="G922" s="103">
        <v>50</v>
      </c>
      <c r="H922" s="103" t="s">
        <v>2168</v>
      </c>
      <c r="I922" s="103" t="s">
        <v>2153</v>
      </c>
      <c r="J922" s="103">
        <v>15</v>
      </c>
      <c r="K922" s="103">
        <v>10</v>
      </c>
      <c r="L922" s="103">
        <v>15</v>
      </c>
      <c r="M922" s="103">
        <v>10</v>
      </c>
      <c r="N922" s="103" t="s">
        <v>2163</v>
      </c>
      <c r="O922" s="103">
        <v>50</v>
      </c>
      <c r="P922" s="103" t="s">
        <v>2293</v>
      </c>
      <c r="Q922" s="103" t="s">
        <v>2155</v>
      </c>
      <c r="R922" s="103" t="s">
        <v>2220</v>
      </c>
      <c r="S922" s="103" t="s">
        <v>2422</v>
      </c>
      <c r="U922" s="103">
        <v>25.65</v>
      </c>
      <c r="V922" s="103" t="s">
        <v>2158</v>
      </c>
      <c r="W922" s="103" t="s">
        <v>108</v>
      </c>
      <c r="X922" s="103" t="s">
        <v>1597</v>
      </c>
      <c r="Y922" s="103" t="s">
        <v>1685</v>
      </c>
      <c r="AA922" s="103" t="s">
        <v>2220</v>
      </c>
      <c r="AB922" s="103" t="s">
        <v>71</v>
      </c>
      <c r="AE922" s="103" t="s">
        <v>810</v>
      </c>
      <c r="AF922" s="103" t="b">
        <v>1</v>
      </c>
    </row>
    <row r="923" spans="1:32" hidden="1" x14ac:dyDescent="0.2">
      <c r="A923" s="103" t="s">
        <v>854</v>
      </c>
      <c r="B923" s="103" t="s">
        <v>853</v>
      </c>
      <c r="C923" s="103" t="s">
        <v>2748</v>
      </c>
      <c r="E923" s="103" t="s">
        <v>3119</v>
      </c>
      <c r="F923" s="103" t="s">
        <v>2232</v>
      </c>
      <c r="G923" s="103">
        <v>300</v>
      </c>
      <c r="H923" s="103" t="s">
        <v>2168</v>
      </c>
      <c r="I923" s="103" t="s">
        <v>2153</v>
      </c>
      <c r="J923" s="103">
        <v>75</v>
      </c>
      <c r="K923" s="103">
        <v>75</v>
      </c>
      <c r="L923" s="103">
        <v>75</v>
      </c>
      <c r="M923" s="103">
        <v>75</v>
      </c>
      <c r="N923" s="103" t="s">
        <v>2163</v>
      </c>
      <c r="O923" s="103">
        <v>300</v>
      </c>
      <c r="P923" s="103" t="s">
        <v>2293</v>
      </c>
      <c r="Q923" s="103" t="s">
        <v>2236</v>
      </c>
      <c r="R923" s="103" t="s">
        <v>2220</v>
      </c>
      <c r="S923" s="103" t="s">
        <v>2422</v>
      </c>
      <c r="U923" s="103">
        <v>153.9</v>
      </c>
      <c r="V923" s="103" t="s">
        <v>2158</v>
      </c>
      <c r="W923" s="103" t="s">
        <v>108</v>
      </c>
      <c r="X923" s="103" t="s">
        <v>1597</v>
      </c>
      <c r="Y923" s="103" t="s">
        <v>1685</v>
      </c>
      <c r="AA923" s="103" t="s">
        <v>2220</v>
      </c>
      <c r="AB923" s="103" t="s">
        <v>71</v>
      </c>
      <c r="AE923" s="103" t="s">
        <v>810</v>
      </c>
      <c r="AF923" s="103" t="b">
        <v>1</v>
      </c>
    </row>
    <row r="924" spans="1:32" hidden="1" x14ac:dyDescent="0.2">
      <c r="A924" s="103" t="s">
        <v>854</v>
      </c>
      <c r="B924" s="103" t="s">
        <v>853</v>
      </c>
      <c r="C924" s="103" t="s">
        <v>3120</v>
      </c>
      <c r="E924" s="103" t="s">
        <v>3119</v>
      </c>
      <c r="F924" s="103" t="s">
        <v>2202</v>
      </c>
      <c r="G924" s="103">
        <v>200</v>
      </c>
      <c r="H924" s="103" t="s">
        <v>2168</v>
      </c>
      <c r="I924" s="103" t="s">
        <v>2153</v>
      </c>
      <c r="J924" s="103">
        <v>50</v>
      </c>
      <c r="K924" s="103">
        <v>50</v>
      </c>
      <c r="L924" s="103">
        <v>50</v>
      </c>
      <c r="M924" s="103">
        <v>50</v>
      </c>
      <c r="N924" s="103" t="s">
        <v>2163</v>
      </c>
      <c r="O924" s="103">
        <v>200</v>
      </c>
      <c r="P924" s="103" t="s">
        <v>2293</v>
      </c>
      <c r="Q924" s="103" t="s">
        <v>2236</v>
      </c>
      <c r="R924" s="103" t="s">
        <v>2220</v>
      </c>
      <c r="S924" s="103" t="s">
        <v>2422</v>
      </c>
      <c r="U924" s="103">
        <v>102.6</v>
      </c>
      <c r="V924" s="103" t="s">
        <v>2158</v>
      </c>
      <c r="W924" s="103" t="s">
        <v>108</v>
      </c>
      <c r="X924" s="103" t="s">
        <v>1597</v>
      </c>
      <c r="Y924" s="103" t="s">
        <v>1685</v>
      </c>
      <c r="AA924" s="103" t="s">
        <v>2220</v>
      </c>
      <c r="AB924" s="103" t="s">
        <v>71</v>
      </c>
      <c r="AE924" s="103" t="s">
        <v>810</v>
      </c>
      <c r="AF924" s="103" t="b">
        <v>1</v>
      </c>
    </row>
    <row r="925" spans="1:32" hidden="1" x14ac:dyDescent="0.2">
      <c r="A925" s="103" t="s">
        <v>854</v>
      </c>
      <c r="B925" s="103" t="s">
        <v>853</v>
      </c>
      <c r="C925" s="103" t="s">
        <v>3121</v>
      </c>
      <c r="E925" s="103" t="s">
        <v>2292</v>
      </c>
      <c r="F925" s="103" t="s">
        <v>2202</v>
      </c>
      <c r="G925" s="103">
        <v>200</v>
      </c>
      <c r="H925" s="103" t="s">
        <v>2168</v>
      </c>
      <c r="I925" s="103" t="s">
        <v>2153</v>
      </c>
      <c r="J925" s="103">
        <v>50</v>
      </c>
      <c r="K925" s="103">
        <v>50</v>
      </c>
      <c r="L925" s="103">
        <v>50</v>
      </c>
      <c r="M925" s="103">
        <v>50</v>
      </c>
      <c r="N925" s="103" t="s">
        <v>2260</v>
      </c>
      <c r="O925" s="103">
        <v>200</v>
      </c>
      <c r="P925" s="103" t="s">
        <v>2293</v>
      </c>
      <c r="Q925" s="103" t="s">
        <v>2236</v>
      </c>
      <c r="R925" s="103" t="s">
        <v>2220</v>
      </c>
      <c r="S925" s="103" t="s">
        <v>2422</v>
      </c>
      <c r="U925" s="103">
        <v>102.6</v>
      </c>
      <c r="V925" s="103" t="s">
        <v>2262</v>
      </c>
      <c r="W925" s="103" t="s">
        <v>108</v>
      </c>
      <c r="X925" s="103" t="s">
        <v>1597</v>
      </c>
      <c r="Y925" s="103" t="s">
        <v>1685</v>
      </c>
      <c r="AA925" s="103" t="s">
        <v>2220</v>
      </c>
      <c r="AB925" s="103" t="s">
        <v>71</v>
      </c>
      <c r="AE925" s="103" t="s">
        <v>810</v>
      </c>
      <c r="AF925" s="103" t="b">
        <v>1</v>
      </c>
    </row>
    <row r="926" spans="1:32" hidden="1" x14ac:dyDescent="0.2">
      <c r="A926" s="103" t="s">
        <v>915</v>
      </c>
      <c r="B926" s="103" t="s">
        <v>914</v>
      </c>
      <c r="C926" s="103" t="s">
        <v>2787</v>
      </c>
      <c r="D926" s="103" t="s">
        <v>2790</v>
      </c>
      <c r="E926" s="103" t="s">
        <v>2315</v>
      </c>
      <c r="F926" s="103" t="s">
        <v>2151</v>
      </c>
      <c r="G926" s="103">
        <v>100</v>
      </c>
      <c r="H926" s="103" t="s">
        <v>2168</v>
      </c>
      <c r="I926" s="103" t="s">
        <v>2153</v>
      </c>
      <c r="J926" s="103">
        <v>25</v>
      </c>
      <c r="K926" s="103">
        <v>25</v>
      </c>
      <c r="L926" s="103">
        <v>25</v>
      </c>
      <c r="M926" s="103">
        <v>25</v>
      </c>
      <c r="N926" s="103" t="s">
        <v>2273</v>
      </c>
      <c r="O926" s="103">
        <v>100</v>
      </c>
      <c r="P926" s="103" t="s">
        <v>2789</v>
      </c>
      <c r="Q926" s="103" t="s">
        <v>2387</v>
      </c>
      <c r="R926" s="103" t="s">
        <v>2220</v>
      </c>
      <c r="S926" s="103" t="s">
        <v>2422</v>
      </c>
      <c r="U926" s="103">
        <v>51.3</v>
      </c>
      <c r="V926" s="103" t="s">
        <v>2262</v>
      </c>
      <c r="W926" s="103" t="s">
        <v>108</v>
      </c>
      <c r="X926" s="103" t="s">
        <v>1736</v>
      </c>
      <c r="Y926" s="103" t="s">
        <v>3848</v>
      </c>
      <c r="AA926" s="103" t="s">
        <v>2220</v>
      </c>
      <c r="AB926" s="103" t="s">
        <v>71</v>
      </c>
      <c r="AE926" s="103" t="s">
        <v>810</v>
      </c>
      <c r="AF926" s="103" t="b">
        <v>1</v>
      </c>
    </row>
    <row r="927" spans="1:32" hidden="1" x14ac:dyDescent="0.2">
      <c r="A927" s="103" t="s">
        <v>915</v>
      </c>
      <c r="B927" s="103" t="s">
        <v>914</v>
      </c>
      <c r="C927" s="103" t="s">
        <v>3122</v>
      </c>
      <c r="D927" s="103" t="s">
        <v>3123</v>
      </c>
      <c r="E927" s="103" t="s">
        <v>2366</v>
      </c>
      <c r="F927" s="103" t="s">
        <v>2175</v>
      </c>
      <c r="G927" s="103">
        <v>20</v>
      </c>
      <c r="H927" s="103" t="s">
        <v>2168</v>
      </c>
      <c r="I927" s="103" t="s">
        <v>2153</v>
      </c>
      <c r="J927" s="103">
        <v>5</v>
      </c>
      <c r="K927" s="103">
        <v>5</v>
      </c>
      <c r="L927" s="103">
        <v>5</v>
      </c>
      <c r="M927" s="103">
        <v>5</v>
      </c>
      <c r="N927" s="103" t="s">
        <v>2260</v>
      </c>
      <c r="O927" s="103">
        <v>20</v>
      </c>
      <c r="P927" s="103" t="s">
        <v>2549</v>
      </c>
      <c r="Q927" s="103" t="s">
        <v>2155</v>
      </c>
      <c r="R927" s="103" t="s">
        <v>2220</v>
      </c>
      <c r="S927" s="103" t="s">
        <v>2422</v>
      </c>
      <c r="U927" s="103">
        <v>10.26</v>
      </c>
      <c r="V927" s="103" t="s">
        <v>2262</v>
      </c>
      <c r="W927" s="103" t="s">
        <v>108</v>
      </c>
      <c r="X927" s="103" t="s">
        <v>1736</v>
      </c>
      <c r="Y927" s="103" t="s">
        <v>3848</v>
      </c>
      <c r="AA927" s="103" t="s">
        <v>2220</v>
      </c>
      <c r="AB927" s="103" t="s">
        <v>71</v>
      </c>
      <c r="AE927" s="103" t="s">
        <v>810</v>
      </c>
      <c r="AF927" s="103" t="b">
        <v>1</v>
      </c>
    </row>
    <row r="928" spans="1:32" hidden="1" x14ac:dyDescent="0.2">
      <c r="A928" s="103" t="s">
        <v>915</v>
      </c>
      <c r="B928" s="103" t="s">
        <v>914</v>
      </c>
      <c r="C928" s="103" t="s">
        <v>3122</v>
      </c>
      <c r="D928" s="103" t="s">
        <v>3123</v>
      </c>
      <c r="E928" s="103" t="s">
        <v>2796</v>
      </c>
      <c r="F928" s="103" t="s">
        <v>2175</v>
      </c>
      <c r="G928" s="103">
        <v>20</v>
      </c>
      <c r="H928" s="103" t="s">
        <v>2168</v>
      </c>
      <c r="I928" s="103" t="s">
        <v>2153</v>
      </c>
      <c r="J928" s="103">
        <v>5</v>
      </c>
      <c r="K928" s="103">
        <v>5</v>
      </c>
      <c r="L928" s="103">
        <v>5</v>
      </c>
      <c r="M928" s="103">
        <v>5</v>
      </c>
      <c r="N928" s="103" t="s">
        <v>2260</v>
      </c>
      <c r="O928" s="103">
        <v>20</v>
      </c>
      <c r="P928" s="103" t="s">
        <v>2549</v>
      </c>
      <c r="Q928" s="103" t="s">
        <v>2155</v>
      </c>
      <c r="R928" s="103" t="s">
        <v>2220</v>
      </c>
      <c r="S928" s="103" t="s">
        <v>2422</v>
      </c>
      <c r="U928" s="103">
        <v>10.26</v>
      </c>
      <c r="V928" s="103" t="s">
        <v>2262</v>
      </c>
      <c r="W928" s="103" t="s">
        <v>108</v>
      </c>
      <c r="X928" s="103" t="s">
        <v>1736</v>
      </c>
      <c r="Y928" s="103" t="s">
        <v>3848</v>
      </c>
      <c r="AA928" s="103" t="s">
        <v>2220</v>
      </c>
      <c r="AB928" s="103" t="s">
        <v>71</v>
      </c>
      <c r="AE928" s="103" t="s">
        <v>810</v>
      </c>
      <c r="AF928" s="103" t="b">
        <v>1</v>
      </c>
    </row>
    <row r="929" spans="1:32" hidden="1" x14ac:dyDescent="0.2">
      <c r="A929" s="103" t="s">
        <v>915</v>
      </c>
      <c r="B929" s="103" t="s">
        <v>914</v>
      </c>
      <c r="C929" s="103" t="s">
        <v>1574</v>
      </c>
      <c r="D929" s="103" t="s">
        <v>3124</v>
      </c>
      <c r="E929" s="103" t="s">
        <v>2302</v>
      </c>
      <c r="F929" s="103" t="s">
        <v>2151</v>
      </c>
      <c r="G929" s="103">
        <v>100</v>
      </c>
      <c r="H929" s="103" t="s">
        <v>2168</v>
      </c>
      <c r="I929" s="103" t="s">
        <v>2153</v>
      </c>
      <c r="J929" s="103">
        <v>25</v>
      </c>
      <c r="K929" s="103">
        <v>25</v>
      </c>
      <c r="L929" s="103">
        <v>25</v>
      </c>
      <c r="M929" s="103">
        <v>25</v>
      </c>
      <c r="N929" s="103" t="s">
        <v>2163</v>
      </c>
      <c r="O929" s="103">
        <v>100</v>
      </c>
      <c r="P929" s="103" t="s">
        <v>2798</v>
      </c>
      <c r="Q929" s="103" t="s">
        <v>2387</v>
      </c>
      <c r="R929" s="103" t="s">
        <v>2220</v>
      </c>
      <c r="S929" s="103" t="s">
        <v>2422</v>
      </c>
      <c r="U929" s="103">
        <v>51.3</v>
      </c>
      <c r="V929" s="103" t="s">
        <v>2158</v>
      </c>
      <c r="W929" s="103" t="s">
        <v>108</v>
      </c>
      <c r="X929" s="103" t="s">
        <v>1736</v>
      </c>
      <c r="Y929" s="103" t="s">
        <v>3848</v>
      </c>
      <c r="AA929" s="103" t="s">
        <v>2220</v>
      </c>
      <c r="AB929" s="103" t="s">
        <v>71</v>
      </c>
      <c r="AE929" s="103" t="s">
        <v>810</v>
      </c>
      <c r="AF929" s="103" t="b">
        <v>1</v>
      </c>
    </row>
    <row r="930" spans="1:32" hidden="1" x14ac:dyDescent="0.2">
      <c r="A930" s="103" t="s">
        <v>915</v>
      </c>
      <c r="B930" s="103" t="s">
        <v>914</v>
      </c>
      <c r="C930" s="103" t="s">
        <v>1574</v>
      </c>
      <c r="D930" s="103" t="s">
        <v>3124</v>
      </c>
      <c r="E930" s="103" t="s">
        <v>2311</v>
      </c>
      <c r="F930" s="103" t="s">
        <v>2151</v>
      </c>
      <c r="G930" s="103">
        <v>100</v>
      </c>
      <c r="H930" s="103" t="s">
        <v>2168</v>
      </c>
      <c r="I930" s="103" t="s">
        <v>2153</v>
      </c>
      <c r="J930" s="103">
        <v>25</v>
      </c>
      <c r="K930" s="103">
        <v>25</v>
      </c>
      <c r="L930" s="103">
        <v>25</v>
      </c>
      <c r="M930" s="103">
        <v>25</v>
      </c>
      <c r="N930" s="103" t="s">
        <v>2163</v>
      </c>
      <c r="O930" s="103">
        <v>100</v>
      </c>
      <c r="P930" s="103" t="s">
        <v>2798</v>
      </c>
      <c r="Q930" s="103" t="s">
        <v>2387</v>
      </c>
      <c r="R930" s="103" t="s">
        <v>2220</v>
      </c>
      <c r="S930" s="103" t="s">
        <v>2422</v>
      </c>
      <c r="U930" s="103">
        <v>51.3</v>
      </c>
      <c r="V930" s="103" t="s">
        <v>2158</v>
      </c>
      <c r="W930" s="103" t="s">
        <v>108</v>
      </c>
      <c r="X930" s="103" t="s">
        <v>1736</v>
      </c>
      <c r="Y930" s="103" t="s">
        <v>3848</v>
      </c>
      <c r="AA930" s="103" t="s">
        <v>2220</v>
      </c>
      <c r="AB930" s="103" t="s">
        <v>71</v>
      </c>
      <c r="AE930" s="103" t="s">
        <v>810</v>
      </c>
      <c r="AF930" s="103" t="b">
        <v>1</v>
      </c>
    </row>
    <row r="931" spans="1:32" hidden="1" x14ac:dyDescent="0.2">
      <c r="A931" s="103" t="s">
        <v>915</v>
      </c>
      <c r="B931" s="103" t="s">
        <v>914</v>
      </c>
      <c r="C931" s="103" t="s">
        <v>3122</v>
      </c>
      <c r="D931" s="103" t="s">
        <v>3125</v>
      </c>
      <c r="E931" s="103" t="s">
        <v>2302</v>
      </c>
      <c r="F931" s="103" t="s">
        <v>2175</v>
      </c>
      <c r="G931" s="103">
        <v>20</v>
      </c>
      <c r="H931" s="103" t="s">
        <v>2168</v>
      </c>
      <c r="I931" s="103" t="s">
        <v>2153</v>
      </c>
      <c r="J931" s="103">
        <v>5</v>
      </c>
      <c r="K931" s="103">
        <v>5</v>
      </c>
      <c r="L931" s="103">
        <v>5</v>
      </c>
      <c r="M931" s="103">
        <v>5</v>
      </c>
      <c r="N931" s="103" t="s">
        <v>2163</v>
      </c>
      <c r="O931" s="103">
        <v>20</v>
      </c>
      <c r="P931" s="103" t="s">
        <v>820</v>
      </c>
      <c r="Q931" s="103" t="s">
        <v>2155</v>
      </c>
      <c r="R931" s="103" t="s">
        <v>2220</v>
      </c>
      <c r="S931" s="103" t="s">
        <v>2422</v>
      </c>
      <c r="U931" s="103">
        <v>10.26</v>
      </c>
      <c r="V931" s="103" t="s">
        <v>2158</v>
      </c>
      <c r="W931" s="103" t="s">
        <v>108</v>
      </c>
      <c r="X931" s="103" t="s">
        <v>1736</v>
      </c>
      <c r="Y931" s="103" t="s">
        <v>3848</v>
      </c>
      <c r="AA931" s="103" t="s">
        <v>2220</v>
      </c>
      <c r="AB931" s="103" t="s">
        <v>71</v>
      </c>
      <c r="AE931" s="103" t="s">
        <v>810</v>
      </c>
      <c r="AF931" s="103" t="b">
        <v>1</v>
      </c>
    </row>
    <row r="932" spans="1:32" hidden="1" x14ac:dyDescent="0.2">
      <c r="A932" s="103" t="s">
        <v>915</v>
      </c>
      <c r="B932" s="103" t="s">
        <v>914</v>
      </c>
      <c r="C932" s="103" t="s">
        <v>3122</v>
      </c>
      <c r="D932" s="103" t="s">
        <v>3123</v>
      </c>
      <c r="E932" s="103" t="s">
        <v>2285</v>
      </c>
      <c r="F932" s="103" t="s">
        <v>2175</v>
      </c>
      <c r="G932" s="103">
        <v>20</v>
      </c>
      <c r="H932" s="103" t="s">
        <v>2168</v>
      </c>
      <c r="I932" s="103" t="s">
        <v>2153</v>
      </c>
      <c r="J932" s="103">
        <v>5</v>
      </c>
      <c r="K932" s="103">
        <v>5</v>
      </c>
      <c r="L932" s="103">
        <v>5</v>
      </c>
      <c r="M932" s="103">
        <v>5</v>
      </c>
      <c r="N932" s="103" t="s">
        <v>2154</v>
      </c>
      <c r="O932" s="103">
        <v>20</v>
      </c>
      <c r="P932" s="103" t="s">
        <v>2549</v>
      </c>
      <c r="Q932" s="103" t="s">
        <v>2155</v>
      </c>
      <c r="R932" s="103" t="s">
        <v>2220</v>
      </c>
      <c r="S932" s="103" t="s">
        <v>2422</v>
      </c>
      <c r="U932" s="103">
        <v>10.26</v>
      </c>
      <c r="V932" s="103" t="s">
        <v>2158</v>
      </c>
      <c r="W932" s="103" t="s">
        <v>108</v>
      </c>
      <c r="X932" s="103" t="s">
        <v>1736</v>
      </c>
      <c r="Y932" s="103" t="s">
        <v>3848</v>
      </c>
      <c r="AA932" s="103" t="s">
        <v>2220</v>
      </c>
      <c r="AB932" s="103" t="s">
        <v>71</v>
      </c>
      <c r="AE932" s="103" t="s">
        <v>810</v>
      </c>
      <c r="AF932" s="103" t="b">
        <v>1</v>
      </c>
    </row>
    <row r="933" spans="1:32" hidden="1" x14ac:dyDescent="0.2">
      <c r="A933" s="103" t="s">
        <v>915</v>
      </c>
      <c r="B933" s="103" t="s">
        <v>914</v>
      </c>
      <c r="C933" s="103" t="s">
        <v>3126</v>
      </c>
      <c r="D933" s="103" t="s">
        <v>3127</v>
      </c>
      <c r="E933" s="103" t="s">
        <v>2350</v>
      </c>
      <c r="F933" s="103" t="s">
        <v>2202</v>
      </c>
      <c r="G933" s="103">
        <v>200</v>
      </c>
      <c r="H933" s="103" t="s">
        <v>2152</v>
      </c>
      <c r="I933" s="103" t="s">
        <v>2153</v>
      </c>
      <c r="K933" s="103">
        <v>100</v>
      </c>
      <c r="L933" s="103">
        <v>100</v>
      </c>
      <c r="N933" s="103" t="s">
        <v>2154</v>
      </c>
      <c r="O933" s="103">
        <v>200</v>
      </c>
      <c r="P933" s="103" t="s">
        <v>1624</v>
      </c>
      <c r="Q933" s="103" t="s">
        <v>2236</v>
      </c>
      <c r="R933" s="103" t="s">
        <v>2220</v>
      </c>
      <c r="S933" s="103" t="s">
        <v>2422</v>
      </c>
      <c r="U933" s="103">
        <v>102.6</v>
      </c>
      <c r="V933" s="103" t="s">
        <v>2158</v>
      </c>
      <c r="W933" s="103" t="s">
        <v>108</v>
      </c>
      <c r="X933" s="103" t="s">
        <v>1736</v>
      </c>
      <c r="Y933" s="103" t="s">
        <v>3848</v>
      </c>
      <c r="AA933" s="103" t="s">
        <v>2220</v>
      </c>
      <c r="AB933" s="103" t="s">
        <v>71</v>
      </c>
      <c r="AE933" s="103" t="s">
        <v>810</v>
      </c>
      <c r="AF933" s="103" t="b">
        <v>1</v>
      </c>
    </row>
    <row r="934" spans="1:32" hidden="1" x14ac:dyDescent="0.2">
      <c r="A934" s="103" t="s">
        <v>915</v>
      </c>
      <c r="B934" s="103" t="s">
        <v>914</v>
      </c>
      <c r="C934" s="103" t="s">
        <v>3128</v>
      </c>
      <c r="E934" s="103" t="s">
        <v>2264</v>
      </c>
      <c r="F934" s="103" t="s">
        <v>2202</v>
      </c>
      <c r="G934" s="103">
        <v>200</v>
      </c>
      <c r="H934" s="103" t="s">
        <v>2168</v>
      </c>
      <c r="I934" s="103" t="s">
        <v>2153</v>
      </c>
      <c r="J934" s="103">
        <v>50</v>
      </c>
      <c r="K934" s="103">
        <v>50</v>
      </c>
      <c r="L934" s="103">
        <v>50</v>
      </c>
      <c r="M934" s="103">
        <v>50</v>
      </c>
      <c r="N934" s="103" t="s">
        <v>2163</v>
      </c>
      <c r="O934" s="103">
        <v>200</v>
      </c>
      <c r="P934" s="103" t="s">
        <v>811</v>
      </c>
      <c r="Q934" s="103" t="s">
        <v>2236</v>
      </c>
      <c r="R934" s="103" t="s">
        <v>2220</v>
      </c>
      <c r="S934" s="103" t="s">
        <v>2422</v>
      </c>
      <c r="U934" s="103">
        <v>102.6</v>
      </c>
      <c r="V934" s="103" t="s">
        <v>2158</v>
      </c>
      <c r="W934" s="103" t="s">
        <v>108</v>
      </c>
      <c r="X934" s="103" t="s">
        <v>1736</v>
      </c>
      <c r="Y934" s="103" t="s">
        <v>3848</v>
      </c>
      <c r="AA934" s="103" t="s">
        <v>2220</v>
      </c>
      <c r="AB934" s="103" t="s">
        <v>71</v>
      </c>
      <c r="AE934" s="103" t="s">
        <v>810</v>
      </c>
      <c r="AF934" s="103" t="b">
        <v>1</v>
      </c>
    </row>
    <row r="935" spans="1:32" hidden="1" x14ac:dyDescent="0.2">
      <c r="A935" s="103" t="s">
        <v>915</v>
      </c>
      <c r="B935" s="103" t="s">
        <v>914</v>
      </c>
      <c r="C935" s="103" t="s">
        <v>3126</v>
      </c>
      <c r="D935" s="103" t="s">
        <v>3129</v>
      </c>
      <c r="E935" s="103" t="s">
        <v>2811</v>
      </c>
      <c r="F935" s="103" t="s">
        <v>2175</v>
      </c>
      <c r="G935" s="103">
        <v>20</v>
      </c>
      <c r="H935" s="103" t="s">
        <v>2168</v>
      </c>
      <c r="I935" s="103" t="s">
        <v>2153</v>
      </c>
      <c r="J935" s="103">
        <v>5</v>
      </c>
      <c r="K935" s="103">
        <v>5</v>
      </c>
      <c r="L935" s="103">
        <v>5</v>
      </c>
      <c r="M935" s="103">
        <v>5</v>
      </c>
      <c r="N935" s="103" t="s">
        <v>2163</v>
      </c>
      <c r="O935" s="103">
        <v>20</v>
      </c>
      <c r="P935" s="103" t="s">
        <v>1624</v>
      </c>
      <c r="Q935" s="103" t="s">
        <v>2236</v>
      </c>
      <c r="R935" s="103" t="s">
        <v>2220</v>
      </c>
      <c r="S935" s="103" t="s">
        <v>2422</v>
      </c>
      <c r="U935" s="103">
        <v>10.26</v>
      </c>
      <c r="V935" s="103" t="s">
        <v>2158</v>
      </c>
      <c r="W935" s="103" t="s">
        <v>110</v>
      </c>
      <c r="X935" s="103" t="s">
        <v>1736</v>
      </c>
      <c r="Y935" s="103" t="s">
        <v>3848</v>
      </c>
      <c r="AA935" s="103" t="s">
        <v>2220</v>
      </c>
      <c r="AB935" s="103" t="s">
        <v>71</v>
      </c>
      <c r="AE935" s="103" t="s">
        <v>810</v>
      </c>
      <c r="AF935" s="103" t="b">
        <v>1</v>
      </c>
    </row>
    <row r="936" spans="1:32" hidden="1" x14ac:dyDescent="0.2">
      <c r="A936" s="103" t="s">
        <v>915</v>
      </c>
      <c r="B936" s="103" t="s">
        <v>914</v>
      </c>
      <c r="C936" s="103" t="s">
        <v>3126</v>
      </c>
      <c r="D936" s="103" t="s">
        <v>3129</v>
      </c>
      <c r="E936" s="103" t="s">
        <v>2814</v>
      </c>
      <c r="F936" s="103" t="s">
        <v>2175</v>
      </c>
      <c r="G936" s="103">
        <v>20</v>
      </c>
      <c r="H936" s="103" t="s">
        <v>2168</v>
      </c>
      <c r="I936" s="103" t="s">
        <v>2153</v>
      </c>
      <c r="J936" s="103">
        <v>5</v>
      </c>
      <c r="K936" s="103">
        <v>5</v>
      </c>
      <c r="L936" s="103">
        <v>5</v>
      </c>
      <c r="M936" s="103">
        <v>5</v>
      </c>
      <c r="N936" s="103" t="s">
        <v>2163</v>
      </c>
      <c r="O936" s="103">
        <v>20</v>
      </c>
      <c r="P936" s="103" t="s">
        <v>1624</v>
      </c>
      <c r="Q936" s="103" t="s">
        <v>2236</v>
      </c>
      <c r="R936" s="103" t="s">
        <v>2220</v>
      </c>
      <c r="S936" s="103" t="s">
        <v>2422</v>
      </c>
      <c r="U936" s="103">
        <v>10.26</v>
      </c>
      <c r="V936" s="103" t="s">
        <v>2158</v>
      </c>
      <c r="W936" s="103" t="s">
        <v>110</v>
      </c>
      <c r="X936" s="103" t="s">
        <v>1736</v>
      </c>
      <c r="Y936" s="103" t="s">
        <v>3848</v>
      </c>
      <c r="AA936" s="103" t="s">
        <v>2220</v>
      </c>
      <c r="AB936" s="103" t="s">
        <v>71</v>
      </c>
      <c r="AE936" s="103" t="s">
        <v>810</v>
      </c>
      <c r="AF936" s="103" t="b">
        <v>1</v>
      </c>
    </row>
    <row r="937" spans="1:32" hidden="1" x14ac:dyDescent="0.2">
      <c r="A937" s="103" t="s">
        <v>915</v>
      </c>
      <c r="B937" s="103" t="s">
        <v>914</v>
      </c>
      <c r="C937" s="103" t="s">
        <v>3126</v>
      </c>
      <c r="D937" s="103" t="s">
        <v>3130</v>
      </c>
      <c r="E937" s="103" t="s">
        <v>2814</v>
      </c>
      <c r="F937" s="103" t="s">
        <v>2175</v>
      </c>
      <c r="G937" s="103">
        <v>20</v>
      </c>
      <c r="H937" s="103" t="s">
        <v>2168</v>
      </c>
      <c r="I937" s="103" t="s">
        <v>2153</v>
      </c>
      <c r="J937" s="103">
        <v>5</v>
      </c>
      <c r="K937" s="103">
        <v>5</v>
      </c>
      <c r="L937" s="103">
        <v>5</v>
      </c>
      <c r="M937" s="103">
        <v>5</v>
      </c>
      <c r="N937" s="103" t="s">
        <v>2163</v>
      </c>
      <c r="O937" s="103">
        <v>20</v>
      </c>
      <c r="P937" s="103" t="s">
        <v>1624</v>
      </c>
      <c r="Q937" s="103" t="s">
        <v>2236</v>
      </c>
      <c r="R937" s="103" t="s">
        <v>2220</v>
      </c>
      <c r="S937" s="103" t="s">
        <v>2422</v>
      </c>
      <c r="U937" s="103">
        <v>10.26</v>
      </c>
      <c r="V937" s="103" t="s">
        <v>2158</v>
      </c>
      <c r="W937" s="103" t="s">
        <v>110</v>
      </c>
      <c r="X937" s="103" t="s">
        <v>1736</v>
      </c>
      <c r="Y937" s="103" t="s">
        <v>3848</v>
      </c>
      <c r="AA937" s="103" t="s">
        <v>2220</v>
      </c>
      <c r="AB937" s="103" t="s">
        <v>71</v>
      </c>
      <c r="AE937" s="103" t="s">
        <v>810</v>
      </c>
      <c r="AF937" s="103" t="b">
        <v>1</v>
      </c>
    </row>
    <row r="938" spans="1:32" hidden="1" x14ac:dyDescent="0.2">
      <c r="A938" s="103" t="s">
        <v>915</v>
      </c>
      <c r="B938" s="103" t="s">
        <v>914</v>
      </c>
      <c r="C938" s="103" t="s">
        <v>3126</v>
      </c>
      <c r="D938" s="103" t="s">
        <v>3130</v>
      </c>
      <c r="E938" s="103" t="s">
        <v>2811</v>
      </c>
      <c r="F938" s="103" t="s">
        <v>2175</v>
      </c>
      <c r="G938" s="103">
        <v>20</v>
      </c>
      <c r="H938" s="103" t="s">
        <v>2168</v>
      </c>
      <c r="I938" s="103" t="s">
        <v>2153</v>
      </c>
      <c r="J938" s="103">
        <v>5</v>
      </c>
      <c r="K938" s="103">
        <v>5</v>
      </c>
      <c r="L938" s="103">
        <v>5</v>
      </c>
      <c r="M938" s="103">
        <v>5</v>
      </c>
      <c r="N938" s="103" t="s">
        <v>2163</v>
      </c>
      <c r="O938" s="103">
        <v>20</v>
      </c>
      <c r="P938" s="103" t="s">
        <v>1624</v>
      </c>
      <c r="Q938" s="103" t="s">
        <v>2236</v>
      </c>
      <c r="R938" s="103" t="s">
        <v>2220</v>
      </c>
      <c r="S938" s="103" t="s">
        <v>2422</v>
      </c>
      <c r="U938" s="103">
        <v>10.26</v>
      </c>
      <c r="V938" s="103" t="s">
        <v>2158</v>
      </c>
      <c r="W938" s="103" t="s">
        <v>110</v>
      </c>
      <c r="X938" s="103" t="s">
        <v>1736</v>
      </c>
      <c r="Y938" s="103" t="s">
        <v>3848</v>
      </c>
      <c r="AA938" s="103" t="s">
        <v>2220</v>
      </c>
      <c r="AB938" s="103" t="s">
        <v>71</v>
      </c>
      <c r="AE938" s="103" t="s">
        <v>810</v>
      </c>
      <c r="AF938" s="103" t="b">
        <v>1</v>
      </c>
    </row>
    <row r="939" spans="1:32" hidden="1" x14ac:dyDescent="0.2">
      <c r="A939" s="103" t="s">
        <v>915</v>
      </c>
      <c r="B939" s="103" t="s">
        <v>914</v>
      </c>
      <c r="C939" s="103" t="s">
        <v>3126</v>
      </c>
      <c r="D939" s="103" t="s">
        <v>3131</v>
      </c>
      <c r="E939" s="103" t="s">
        <v>2814</v>
      </c>
      <c r="F939" s="103" t="s">
        <v>2151</v>
      </c>
      <c r="G939" s="103">
        <v>100</v>
      </c>
      <c r="H939" s="103" t="s">
        <v>2168</v>
      </c>
      <c r="I939" s="103" t="s">
        <v>2153</v>
      </c>
      <c r="J939" s="103">
        <v>25</v>
      </c>
      <c r="K939" s="103">
        <v>25</v>
      </c>
      <c r="L939" s="103">
        <v>25</v>
      </c>
      <c r="M939" s="103">
        <v>25</v>
      </c>
      <c r="N939" s="103" t="s">
        <v>2163</v>
      </c>
      <c r="O939" s="103">
        <v>100</v>
      </c>
      <c r="P939" s="103" t="s">
        <v>1624</v>
      </c>
      <c r="Q939" s="103" t="s">
        <v>2236</v>
      </c>
      <c r="R939" s="103" t="s">
        <v>2220</v>
      </c>
      <c r="S939" s="103" t="s">
        <v>2422</v>
      </c>
      <c r="U939" s="103">
        <v>51.3</v>
      </c>
      <c r="V939" s="103" t="s">
        <v>2158</v>
      </c>
      <c r="W939" s="103" t="s">
        <v>110</v>
      </c>
      <c r="X939" s="103" t="s">
        <v>1736</v>
      </c>
      <c r="Y939" s="103" t="s">
        <v>3848</v>
      </c>
      <c r="AA939" s="103" t="s">
        <v>2220</v>
      </c>
      <c r="AB939" s="103" t="s">
        <v>71</v>
      </c>
      <c r="AE939" s="103" t="s">
        <v>810</v>
      </c>
      <c r="AF939" s="103" t="b">
        <v>1</v>
      </c>
    </row>
    <row r="940" spans="1:32" hidden="1" x14ac:dyDescent="0.2">
      <c r="A940" s="103" t="s">
        <v>915</v>
      </c>
      <c r="B940" s="103" t="s">
        <v>914</v>
      </c>
      <c r="C940" s="103" t="s">
        <v>3132</v>
      </c>
      <c r="D940" s="103" t="s">
        <v>3133</v>
      </c>
      <c r="E940" s="103" t="s">
        <v>2811</v>
      </c>
      <c r="F940" s="103" t="s">
        <v>2151</v>
      </c>
      <c r="G940" s="103">
        <v>100</v>
      </c>
      <c r="H940" s="103" t="s">
        <v>2168</v>
      </c>
      <c r="I940" s="103" t="s">
        <v>2153</v>
      </c>
      <c r="J940" s="103">
        <v>25</v>
      </c>
      <c r="K940" s="103">
        <v>25</v>
      </c>
      <c r="L940" s="103">
        <v>25</v>
      </c>
      <c r="M940" s="103">
        <v>25</v>
      </c>
      <c r="N940" s="103" t="s">
        <v>2163</v>
      </c>
      <c r="O940" s="103">
        <v>100</v>
      </c>
      <c r="P940" s="103" t="s">
        <v>1624</v>
      </c>
      <c r="Q940" s="103" t="s">
        <v>2236</v>
      </c>
      <c r="R940" s="103" t="s">
        <v>2220</v>
      </c>
      <c r="S940" s="103" t="s">
        <v>2422</v>
      </c>
      <c r="U940" s="103">
        <v>51.3</v>
      </c>
      <c r="V940" s="103" t="s">
        <v>2158</v>
      </c>
      <c r="W940" s="103" t="s">
        <v>110</v>
      </c>
      <c r="X940" s="103" t="s">
        <v>1736</v>
      </c>
      <c r="Y940" s="103" t="s">
        <v>3848</v>
      </c>
      <c r="AA940" s="103" t="s">
        <v>2220</v>
      </c>
      <c r="AB940" s="103" t="s">
        <v>71</v>
      </c>
      <c r="AE940" s="103" t="s">
        <v>810</v>
      </c>
      <c r="AF940" s="103" t="b">
        <v>1</v>
      </c>
    </row>
    <row r="941" spans="1:32" hidden="1" x14ac:dyDescent="0.2">
      <c r="A941" s="103" t="s">
        <v>915</v>
      </c>
      <c r="B941" s="103" t="s">
        <v>914</v>
      </c>
      <c r="C941" s="103" t="s">
        <v>3126</v>
      </c>
      <c r="D941" s="103" t="s">
        <v>3134</v>
      </c>
      <c r="E941" s="103" t="s">
        <v>2811</v>
      </c>
      <c r="F941" s="103" t="s">
        <v>2202</v>
      </c>
      <c r="G941" s="103">
        <v>200</v>
      </c>
      <c r="H941" s="103" t="s">
        <v>2168</v>
      </c>
      <c r="I941" s="103" t="s">
        <v>2153</v>
      </c>
      <c r="J941" s="103">
        <v>50</v>
      </c>
      <c r="K941" s="103">
        <v>50</v>
      </c>
      <c r="L941" s="103">
        <v>50</v>
      </c>
      <c r="M941" s="103">
        <v>50</v>
      </c>
      <c r="N941" s="103" t="s">
        <v>2163</v>
      </c>
      <c r="O941" s="103">
        <v>200</v>
      </c>
      <c r="P941" s="103" t="s">
        <v>1624</v>
      </c>
      <c r="Q941" s="103" t="s">
        <v>2236</v>
      </c>
      <c r="R941" s="103" t="s">
        <v>2220</v>
      </c>
      <c r="S941" s="103" t="s">
        <v>2422</v>
      </c>
      <c r="U941" s="103">
        <v>102.6</v>
      </c>
      <c r="V941" s="103" t="s">
        <v>2158</v>
      </c>
      <c r="W941" s="103" t="s">
        <v>110</v>
      </c>
      <c r="X941" s="103" t="s">
        <v>1736</v>
      </c>
      <c r="Y941" s="103" t="s">
        <v>3848</v>
      </c>
      <c r="AA941" s="103" t="s">
        <v>2220</v>
      </c>
      <c r="AB941" s="103" t="s">
        <v>71</v>
      </c>
      <c r="AE941" s="103" t="s">
        <v>810</v>
      </c>
      <c r="AF941" s="103" t="b">
        <v>1</v>
      </c>
    </row>
    <row r="942" spans="1:32" hidden="1" x14ac:dyDescent="0.2">
      <c r="A942" s="103" t="s">
        <v>915</v>
      </c>
      <c r="B942" s="103" t="s">
        <v>914</v>
      </c>
      <c r="C942" s="103" t="s">
        <v>3126</v>
      </c>
      <c r="D942" s="103" t="s">
        <v>3135</v>
      </c>
      <c r="E942" s="103" t="s">
        <v>2814</v>
      </c>
      <c r="F942" s="103" t="s">
        <v>2151</v>
      </c>
      <c r="G942" s="103">
        <v>150</v>
      </c>
      <c r="H942" s="103" t="s">
        <v>2152</v>
      </c>
      <c r="I942" s="103" t="s">
        <v>2153</v>
      </c>
      <c r="J942" s="103">
        <v>37</v>
      </c>
      <c r="K942" s="103">
        <v>37</v>
      </c>
      <c r="L942" s="103">
        <v>37</v>
      </c>
      <c r="M942" s="103">
        <v>39</v>
      </c>
      <c r="N942" s="103" t="s">
        <v>2163</v>
      </c>
      <c r="O942" s="103">
        <v>150</v>
      </c>
      <c r="P942" s="103" t="s">
        <v>1624</v>
      </c>
      <c r="Q942" s="103" t="s">
        <v>2236</v>
      </c>
      <c r="R942" s="103" t="s">
        <v>2220</v>
      </c>
      <c r="S942" s="103" t="s">
        <v>2422</v>
      </c>
      <c r="U942" s="103">
        <v>76.95</v>
      </c>
      <c r="V942" s="103" t="s">
        <v>2158</v>
      </c>
      <c r="W942" s="103" t="s">
        <v>110</v>
      </c>
      <c r="X942" s="103" t="s">
        <v>1736</v>
      </c>
      <c r="Y942" s="103" t="s">
        <v>3848</v>
      </c>
      <c r="AA942" s="103" t="s">
        <v>2220</v>
      </c>
      <c r="AB942" s="103" t="s">
        <v>71</v>
      </c>
      <c r="AE942" s="103" t="s">
        <v>810</v>
      </c>
      <c r="AF942" s="103" t="b">
        <v>1</v>
      </c>
    </row>
    <row r="943" spans="1:32" hidden="1" x14ac:dyDescent="0.2">
      <c r="A943" s="103" t="s">
        <v>915</v>
      </c>
      <c r="B943" s="103" t="s">
        <v>914</v>
      </c>
      <c r="C943" s="103" t="s">
        <v>3126</v>
      </c>
      <c r="D943" s="103" t="s">
        <v>3135</v>
      </c>
      <c r="E943" s="103" t="s">
        <v>2811</v>
      </c>
      <c r="F943" s="103" t="s">
        <v>2151</v>
      </c>
      <c r="G943" s="103">
        <v>150</v>
      </c>
      <c r="H943" s="103" t="s">
        <v>2152</v>
      </c>
      <c r="I943" s="103" t="s">
        <v>2153</v>
      </c>
      <c r="J943" s="103">
        <v>25</v>
      </c>
      <c r="K943" s="103">
        <v>25</v>
      </c>
      <c r="L943" s="103">
        <v>50</v>
      </c>
      <c r="M943" s="103">
        <v>50</v>
      </c>
      <c r="N943" s="103" t="s">
        <v>2163</v>
      </c>
      <c r="O943" s="103">
        <v>150</v>
      </c>
      <c r="P943" s="103" t="s">
        <v>1624</v>
      </c>
      <c r="Q943" s="103" t="s">
        <v>2236</v>
      </c>
      <c r="R943" s="103" t="s">
        <v>2220</v>
      </c>
      <c r="S943" s="103" t="s">
        <v>2422</v>
      </c>
      <c r="U943" s="103">
        <v>76.95</v>
      </c>
      <c r="V943" s="103" t="s">
        <v>2158</v>
      </c>
      <c r="W943" s="103" t="s">
        <v>110</v>
      </c>
      <c r="X943" s="103" t="s">
        <v>1736</v>
      </c>
      <c r="Y943" s="103" t="s">
        <v>3848</v>
      </c>
      <c r="AA943" s="103" t="s">
        <v>2220</v>
      </c>
      <c r="AB943" s="103" t="s">
        <v>71</v>
      </c>
      <c r="AE943" s="103" t="s">
        <v>810</v>
      </c>
      <c r="AF943" s="103" t="b">
        <v>1</v>
      </c>
    </row>
    <row r="944" spans="1:32" hidden="1" x14ac:dyDescent="0.2">
      <c r="A944" s="103" t="s">
        <v>2032</v>
      </c>
      <c r="B944" s="103" t="s">
        <v>918</v>
      </c>
      <c r="C944" s="103" t="s">
        <v>3173</v>
      </c>
      <c r="D944" s="103" t="s">
        <v>2338</v>
      </c>
      <c r="E944" s="103" t="s">
        <v>2338</v>
      </c>
      <c r="F944" s="103" t="s">
        <v>2175</v>
      </c>
      <c r="G944" s="103">
        <v>20</v>
      </c>
      <c r="H944" s="103" t="s">
        <v>2168</v>
      </c>
      <c r="I944" s="103" t="s">
        <v>2153</v>
      </c>
      <c r="J944" s="103">
        <v>20</v>
      </c>
      <c r="N944" s="103" t="s">
        <v>2163</v>
      </c>
      <c r="O944" s="103">
        <v>20</v>
      </c>
      <c r="P944" s="103" t="s">
        <v>1624</v>
      </c>
      <c r="Q944" s="103" t="s">
        <v>2236</v>
      </c>
      <c r="R944" s="103" t="s">
        <v>2220</v>
      </c>
      <c r="S944" s="103" t="s">
        <v>2422</v>
      </c>
      <c r="U944" s="103">
        <v>10.26</v>
      </c>
      <c r="V944" s="103" t="s">
        <v>2158</v>
      </c>
      <c r="W944" s="103" t="s">
        <v>108</v>
      </c>
      <c r="X944" s="103" t="s">
        <v>1736</v>
      </c>
      <c r="Y944" s="103" t="s">
        <v>3848</v>
      </c>
      <c r="AA944" s="103" t="s">
        <v>2220</v>
      </c>
      <c r="AB944" s="103" t="s">
        <v>71</v>
      </c>
      <c r="AE944" s="103" t="s">
        <v>810</v>
      </c>
      <c r="AF944" s="103" t="b">
        <v>1</v>
      </c>
    </row>
    <row r="945" spans="1:32" hidden="1" x14ac:dyDescent="0.2">
      <c r="A945" s="103" t="s">
        <v>915</v>
      </c>
      <c r="B945" s="103" t="s">
        <v>914</v>
      </c>
      <c r="C945" s="103" t="s">
        <v>3122</v>
      </c>
      <c r="D945" s="103" t="s">
        <v>3137</v>
      </c>
      <c r="E945" s="103" t="s">
        <v>2299</v>
      </c>
      <c r="F945" s="103" t="s">
        <v>2151</v>
      </c>
      <c r="G945" s="103">
        <v>100</v>
      </c>
      <c r="H945" s="103" t="s">
        <v>2168</v>
      </c>
      <c r="I945" s="103" t="s">
        <v>2153</v>
      </c>
      <c r="K945" s="103">
        <v>50</v>
      </c>
      <c r="L945" s="103">
        <v>50</v>
      </c>
      <c r="N945" s="103" t="s">
        <v>2154</v>
      </c>
      <c r="O945" s="103">
        <v>100</v>
      </c>
      <c r="P945" s="103" t="s">
        <v>1624</v>
      </c>
      <c r="Q945" s="103" t="s">
        <v>2236</v>
      </c>
      <c r="R945" s="103" t="s">
        <v>2220</v>
      </c>
      <c r="S945" s="103" t="s">
        <v>2422</v>
      </c>
      <c r="U945" s="103">
        <v>51.3</v>
      </c>
      <c r="V945" s="103" t="s">
        <v>2158</v>
      </c>
      <c r="W945" s="103" t="s">
        <v>108</v>
      </c>
      <c r="X945" s="103" t="s">
        <v>1736</v>
      </c>
      <c r="Y945" s="103" t="s">
        <v>3848</v>
      </c>
      <c r="AA945" s="103" t="s">
        <v>2220</v>
      </c>
      <c r="AB945" s="103" t="s">
        <v>71</v>
      </c>
      <c r="AE945" s="103" t="s">
        <v>810</v>
      </c>
      <c r="AF945" s="103" t="b">
        <v>1</v>
      </c>
    </row>
    <row r="946" spans="1:32" hidden="1" x14ac:dyDescent="0.2">
      <c r="A946" s="103" t="s">
        <v>915</v>
      </c>
      <c r="B946" s="103" t="s">
        <v>914</v>
      </c>
      <c r="C946" s="103" t="s">
        <v>3126</v>
      </c>
      <c r="D946" s="103" t="s">
        <v>3138</v>
      </c>
      <c r="E946" s="103" t="s">
        <v>3068</v>
      </c>
      <c r="F946" s="103" t="s">
        <v>2151</v>
      </c>
      <c r="G946" s="103">
        <v>100</v>
      </c>
      <c r="H946" s="103" t="s">
        <v>2168</v>
      </c>
      <c r="I946" s="103" t="s">
        <v>2153</v>
      </c>
      <c r="J946" s="103">
        <v>30</v>
      </c>
      <c r="K946" s="103">
        <v>30</v>
      </c>
      <c r="L946" s="103">
        <v>30</v>
      </c>
      <c r="M946" s="103">
        <v>10</v>
      </c>
      <c r="N946" s="103" t="s">
        <v>2163</v>
      </c>
      <c r="O946" s="103">
        <v>100</v>
      </c>
      <c r="P946" s="103" t="s">
        <v>1624</v>
      </c>
      <c r="Q946" s="103" t="s">
        <v>2236</v>
      </c>
      <c r="R946" s="103" t="s">
        <v>2220</v>
      </c>
      <c r="S946" s="103" t="s">
        <v>2422</v>
      </c>
      <c r="U946" s="103">
        <v>51.3</v>
      </c>
      <c r="V946" s="103" t="s">
        <v>2158</v>
      </c>
      <c r="W946" s="103" t="s">
        <v>108</v>
      </c>
      <c r="X946" s="103" t="s">
        <v>1736</v>
      </c>
      <c r="Y946" s="103" t="s">
        <v>3848</v>
      </c>
      <c r="AA946" s="103" t="s">
        <v>2220</v>
      </c>
      <c r="AB946" s="103" t="s">
        <v>71</v>
      </c>
      <c r="AE946" s="103" t="s">
        <v>810</v>
      </c>
      <c r="AF946" s="103" t="b">
        <v>1</v>
      </c>
    </row>
    <row r="947" spans="1:32" hidden="1" x14ac:dyDescent="0.2">
      <c r="A947" s="103" t="s">
        <v>915</v>
      </c>
      <c r="B947" s="103" t="s">
        <v>914</v>
      </c>
      <c r="C947" s="103" t="s">
        <v>3126</v>
      </c>
      <c r="D947" s="103" t="s">
        <v>3139</v>
      </c>
      <c r="E947" s="103" t="s">
        <v>2302</v>
      </c>
      <c r="F947" s="103" t="s">
        <v>2151</v>
      </c>
      <c r="G947" s="103">
        <v>100</v>
      </c>
      <c r="H947" s="103" t="s">
        <v>2168</v>
      </c>
      <c r="I947" s="103" t="s">
        <v>2153</v>
      </c>
      <c r="J947" s="103">
        <v>25</v>
      </c>
      <c r="K947" s="103">
        <v>25</v>
      </c>
      <c r="L947" s="103">
        <v>25</v>
      </c>
      <c r="M947" s="103">
        <v>25</v>
      </c>
      <c r="N947" s="103" t="s">
        <v>2154</v>
      </c>
      <c r="O947" s="103">
        <v>100</v>
      </c>
      <c r="P947" s="103" t="s">
        <v>2798</v>
      </c>
      <c r="Q947" s="103" t="s">
        <v>2236</v>
      </c>
      <c r="R947" s="103" t="s">
        <v>2220</v>
      </c>
      <c r="S947" s="103" t="s">
        <v>2422</v>
      </c>
      <c r="U947" s="103">
        <v>51.3</v>
      </c>
      <c r="V947" s="103" t="s">
        <v>2158</v>
      </c>
      <c r="W947" s="103" t="s">
        <v>108</v>
      </c>
      <c r="X947" s="103" t="s">
        <v>1736</v>
      </c>
      <c r="Y947" s="103" t="s">
        <v>3848</v>
      </c>
      <c r="AA947" s="103" t="s">
        <v>2220</v>
      </c>
      <c r="AB947" s="103" t="s">
        <v>71</v>
      </c>
      <c r="AE947" s="103" t="s">
        <v>810</v>
      </c>
      <c r="AF947" s="103" t="b">
        <v>1</v>
      </c>
    </row>
    <row r="948" spans="1:32" hidden="1" x14ac:dyDescent="0.2">
      <c r="A948" s="103" t="s">
        <v>2032</v>
      </c>
      <c r="B948" s="103" t="s">
        <v>918</v>
      </c>
      <c r="C948" s="103" t="s">
        <v>3174</v>
      </c>
      <c r="D948" s="103" t="s">
        <v>2338</v>
      </c>
      <c r="E948" s="103" t="s">
        <v>2338</v>
      </c>
      <c r="F948" s="103" t="s">
        <v>2175</v>
      </c>
      <c r="G948" s="103">
        <v>20</v>
      </c>
      <c r="H948" s="103" t="s">
        <v>2168</v>
      </c>
      <c r="I948" s="103" t="s">
        <v>2153</v>
      </c>
      <c r="J948" s="103">
        <v>20</v>
      </c>
      <c r="N948" s="103" t="s">
        <v>2163</v>
      </c>
      <c r="O948" s="103">
        <v>20</v>
      </c>
      <c r="P948" s="103" t="s">
        <v>1624</v>
      </c>
      <c r="Q948" s="103" t="s">
        <v>2236</v>
      </c>
      <c r="R948" s="103" t="s">
        <v>2220</v>
      </c>
      <c r="S948" s="103" t="s">
        <v>2422</v>
      </c>
      <c r="U948" s="103">
        <v>10.26</v>
      </c>
      <c r="V948" s="103" t="s">
        <v>2158</v>
      </c>
      <c r="W948" s="103" t="s">
        <v>108</v>
      </c>
      <c r="X948" s="103" t="s">
        <v>1736</v>
      </c>
      <c r="Y948" s="103" t="s">
        <v>3848</v>
      </c>
      <c r="AA948" s="103" t="s">
        <v>2220</v>
      </c>
      <c r="AB948" s="103" t="s">
        <v>71</v>
      </c>
      <c r="AE948" s="103" t="s">
        <v>810</v>
      </c>
      <c r="AF948" s="103" t="b">
        <v>1</v>
      </c>
    </row>
    <row r="949" spans="1:32" hidden="1" x14ac:dyDescent="0.2">
      <c r="A949" s="103" t="s">
        <v>915</v>
      </c>
      <c r="B949" s="103" t="s">
        <v>914</v>
      </c>
      <c r="C949" s="103" t="s">
        <v>2803</v>
      </c>
      <c r="D949" s="103" t="s">
        <v>3142</v>
      </c>
      <c r="E949" s="103" t="s">
        <v>2350</v>
      </c>
      <c r="F949" s="103" t="s">
        <v>2151</v>
      </c>
      <c r="G949" s="103">
        <v>70</v>
      </c>
      <c r="H949" s="103" t="s">
        <v>2152</v>
      </c>
      <c r="I949" s="103" t="s">
        <v>2153</v>
      </c>
      <c r="J949" s="103">
        <v>35</v>
      </c>
      <c r="K949" s="103">
        <v>35</v>
      </c>
      <c r="N949" s="103" t="s">
        <v>2154</v>
      </c>
      <c r="O949" s="103">
        <v>70</v>
      </c>
      <c r="P949" s="103" t="s">
        <v>1624</v>
      </c>
      <c r="Q949" s="103" t="s">
        <v>2236</v>
      </c>
      <c r="R949" s="103" t="s">
        <v>2220</v>
      </c>
      <c r="S949" s="103" t="s">
        <v>2422</v>
      </c>
      <c r="U949" s="103">
        <v>35.909999999999997</v>
      </c>
      <c r="V949" s="103" t="s">
        <v>2158</v>
      </c>
      <c r="W949" s="103" t="s">
        <v>108</v>
      </c>
      <c r="X949" s="103" t="s">
        <v>1736</v>
      </c>
      <c r="Y949" s="103" t="s">
        <v>3848</v>
      </c>
      <c r="AA949" s="103" t="s">
        <v>2220</v>
      </c>
      <c r="AB949" s="103" t="s">
        <v>71</v>
      </c>
      <c r="AE949" s="103" t="s">
        <v>810</v>
      </c>
      <c r="AF949" s="103" t="b">
        <v>1</v>
      </c>
    </row>
    <row r="950" spans="1:32" hidden="1" x14ac:dyDescent="0.2">
      <c r="A950" s="103" t="s">
        <v>915</v>
      </c>
      <c r="B950" s="103" t="s">
        <v>914</v>
      </c>
      <c r="C950" s="103" t="s">
        <v>3143</v>
      </c>
      <c r="E950" s="103" t="s">
        <v>3068</v>
      </c>
      <c r="F950" s="103" t="s">
        <v>2162</v>
      </c>
      <c r="G950" s="103">
        <v>50</v>
      </c>
      <c r="H950" s="103" t="s">
        <v>2168</v>
      </c>
      <c r="I950" s="103" t="s">
        <v>2153</v>
      </c>
      <c r="J950" s="103">
        <v>25</v>
      </c>
      <c r="K950" s="103">
        <v>25</v>
      </c>
      <c r="N950" s="103" t="s">
        <v>2163</v>
      </c>
      <c r="O950" s="103">
        <v>50</v>
      </c>
      <c r="P950" s="103" t="s">
        <v>811</v>
      </c>
      <c r="Q950" s="103" t="s">
        <v>2236</v>
      </c>
      <c r="R950" s="103" t="s">
        <v>2220</v>
      </c>
      <c r="S950" s="103" t="s">
        <v>2422</v>
      </c>
      <c r="U950" s="103">
        <v>25.65</v>
      </c>
      <c r="V950" s="103" t="s">
        <v>2158</v>
      </c>
      <c r="W950" s="103" t="s">
        <v>108</v>
      </c>
      <c r="X950" s="103" t="s">
        <v>1736</v>
      </c>
      <c r="Y950" s="103" t="s">
        <v>3848</v>
      </c>
      <c r="AA950" s="103" t="s">
        <v>2220</v>
      </c>
      <c r="AB950" s="103" t="s">
        <v>71</v>
      </c>
      <c r="AE950" s="103" t="s">
        <v>810</v>
      </c>
      <c r="AF950" s="103" t="b">
        <v>1</v>
      </c>
    </row>
    <row r="951" spans="1:32" hidden="1" x14ac:dyDescent="0.2">
      <c r="A951" s="103" t="s">
        <v>915</v>
      </c>
      <c r="B951" s="103" t="s">
        <v>914</v>
      </c>
      <c r="C951" s="103" t="s">
        <v>3126</v>
      </c>
      <c r="D951" s="103" t="s">
        <v>3129</v>
      </c>
      <c r="E951" s="103" t="s">
        <v>2350</v>
      </c>
      <c r="F951" s="103" t="s">
        <v>2162</v>
      </c>
      <c r="G951" s="103">
        <v>50</v>
      </c>
      <c r="H951" s="103" t="s">
        <v>2168</v>
      </c>
      <c r="I951" s="103" t="s">
        <v>2153</v>
      </c>
      <c r="L951" s="103">
        <v>50</v>
      </c>
      <c r="N951" s="103" t="s">
        <v>2163</v>
      </c>
      <c r="O951" s="103">
        <v>50</v>
      </c>
      <c r="P951" s="103" t="s">
        <v>1624</v>
      </c>
      <c r="Q951" s="103" t="s">
        <v>2236</v>
      </c>
      <c r="R951" s="103" t="s">
        <v>2220</v>
      </c>
      <c r="S951" s="103" t="s">
        <v>2422</v>
      </c>
      <c r="U951" s="103">
        <v>25.65</v>
      </c>
      <c r="V951" s="103" t="s">
        <v>2158</v>
      </c>
      <c r="W951" s="103" t="s">
        <v>108</v>
      </c>
      <c r="X951" s="103" t="s">
        <v>1736</v>
      </c>
      <c r="Y951" s="103" t="s">
        <v>3848</v>
      </c>
      <c r="AA951" s="103" t="s">
        <v>2220</v>
      </c>
      <c r="AB951" s="103" t="s">
        <v>71</v>
      </c>
      <c r="AE951" s="103" t="s">
        <v>810</v>
      </c>
      <c r="AF951" s="103" t="b">
        <v>1</v>
      </c>
    </row>
    <row r="952" spans="1:32" hidden="1" x14ac:dyDescent="0.2">
      <c r="A952" s="103" t="s">
        <v>915</v>
      </c>
      <c r="B952" s="103" t="s">
        <v>914</v>
      </c>
      <c r="C952" s="103" t="s">
        <v>3126</v>
      </c>
      <c r="D952" s="103" t="s">
        <v>3144</v>
      </c>
      <c r="E952" s="103" t="s">
        <v>2264</v>
      </c>
      <c r="F952" s="103" t="s">
        <v>2162</v>
      </c>
      <c r="G952" s="103">
        <v>50</v>
      </c>
      <c r="H952" s="103" t="s">
        <v>2168</v>
      </c>
      <c r="I952" s="103" t="s">
        <v>2153</v>
      </c>
      <c r="J952" s="103">
        <v>50</v>
      </c>
      <c r="N952" s="103" t="s">
        <v>2163</v>
      </c>
      <c r="O952" s="103">
        <v>50</v>
      </c>
      <c r="P952" s="103" t="s">
        <v>1624</v>
      </c>
      <c r="Q952" s="103" t="s">
        <v>2236</v>
      </c>
      <c r="R952" s="103" t="s">
        <v>2220</v>
      </c>
      <c r="S952" s="103" t="s">
        <v>2422</v>
      </c>
      <c r="U952" s="103">
        <v>25.65</v>
      </c>
      <c r="V952" s="103" t="s">
        <v>2158</v>
      </c>
      <c r="W952" s="103" t="s">
        <v>108</v>
      </c>
      <c r="X952" s="103" t="s">
        <v>1736</v>
      </c>
      <c r="Y952" s="103" t="s">
        <v>3848</v>
      </c>
      <c r="AA952" s="103" t="s">
        <v>2220</v>
      </c>
      <c r="AB952" s="103" t="s">
        <v>71</v>
      </c>
      <c r="AE952" s="103" t="s">
        <v>810</v>
      </c>
      <c r="AF952" s="103" t="b">
        <v>1</v>
      </c>
    </row>
    <row r="953" spans="1:32" hidden="1" x14ac:dyDescent="0.2">
      <c r="A953" s="103" t="s">
        <v>915</v>
      </c>
      <c r="B953" s="103" t="s">
        <v>914</v>
      </c>
      <c r="C953" s="103" t="s">
        <v>3140</v>
      </c>
      <c r="D953" s="103" t="s">
        <v>3145</v>
      </c>
      <c r="E953" s="103" t="s">
        <v>2366</v>
      </c>
      <c r="F953" s="103" t="s">
        <v>2162</v>
      </c>
      <c r="G953" s="103">
        <v>50</v>
      </c>
      <c r="H953" s="103" t="s">
        <v>2168</v>
      </c>
      <c r="I953" s="103" t="s">
        <v>2153</v>
      </c>
      <c r="J953" s="103">
        <v>10</v>
      </c>
      <c r="K953" s="103">
        <v>10</v>
      </c>
      <c r="L953" s="103">
        <v>15</v>
      </c>
      <c r="M953" s="103">
        <v>15</v>
      </c>
      <c r="N953" s="103" t="s">
        <v>2163</v>
      </c>
      <c r="O953" s="103">
        <v>50</v>
      </c>
      <c r="P953" s="103" t="s">
        <v>2549</v>
      </c>
      <c r="Q953" s="103" t="s">
        <v>2236</v>
      </c>
      <c r="R953" s="103" t="s">
        <v>2220</v>
      </c>
      <c r="S953" s="103" t="s">
        <v>2422</v>
      </c>
      <c r="U953" s="103">
        <v>25.65</v>
      </c>
      <c r="V953" s="103" t="s">
        <v>2158</v>
      </c>
      <c r="W953" s="103" t="s">
        <v>108</v>
      </c>
      <c r="X953" s="103" t="s">
        <v>1736</v>
      </c>
      <c r="Y953" s="103" t="s">
        <v>3848</v>
      </c>
      <c r="AA953" s="103" t="s">
        <v>2220</v>
      </c>
      <c r="AB953" s="103" t="s">
        <v>71</v>
      </c>
      <c r="AE953" s="103" t="s">
        <v>810</v>
      </c>
      <c r="AF953" s="103" t="b">
        <v>1</v>
      </c>
    </row>
    <row r="954" spans="1:32" hidden="1" x14ac:dyDescent="0.2">
      <c r="A954" s="103" t="s">
        <v>915</v>
      </c>
      <c r="B954" s="103" t="s">
        <v>914</v>
      </c>
      <c r="C954" s="103" t="s">
        <v>3140</v>
      </c>
      <c r="D954" s="103" t="s">
        <v>3146</v>
      </c>
      <c r="E954" s="103" t="s">
        <v>2266</v>
      </c>
      <c r="F954" s="103" t="s">
        <v>2162</v>
      </c>
      <c r="G954" s="103">
        <v>50</v>
      </c>
      <c r="H954" s="103" t="s">
        <v>2168</v>
      </c>
      <c r="I954" s="103" t="s">
        <v>2153</v>
      </c>
      <c r="J954" s="103">
        <v>50</v>
      </c>
      <c r="N954" s="103" t="s">
        <v>2163</v>
      </c>
      <c r="O954" s="103">
        <v>50</v>
      </c>
      <c r="P954" s="103" t="s">
        <v>1624</v>
      </c>
      <c r="Q954" s="103" t="s">
        <v>2236</v>
      </c>
      <c r="R954" s="103" t="s">
        <v>2220</v>
      </c>
      <c r="S954" s="103" t="s">
        <v>2422</v>
      </c>
      <c r="U954" s="103">
        <v>25.65</v>
      </c>
      <c r="V954" s="103" t="s">
        <v>2158</v>
      </c>
      <c r="W954" s="103" t="s">
        <v>108</v>
      </c>
      <c r="X954" s="103" t="s">
        <v>1736</v>
      </c>
      <c r="Y954" s="103" t="s">
        <v>3848</v>
      </c>
      <c r="AA954" s="103" t="s">
        <v>2220</v>
      </c>
      <c r="AB954" s="103" t="s">
        <v>71</v>
      </c>
      <c r="AE954" s="103" t="s">
        <v>810</v>
      </c>
      <c r="AF954" s="103" t="b">
        <v>1</v>
      </c>
    </row>
    <row r="955" spans="1:32" hidden="1" x14ac:dyDescent="0.2">
      <c r="A955" s="103" t="s">
        <v>915</v>
      </c>
      <c r="B955" s="103" t="s">
        <v>914</v>
      </c>
      <c r="C955" s="103" t="s">
        <v>3140</v>
      </c>
      <c r="D955" s="103" t="s">
        <v>3145</v>
      </c>
      <c r="E955" s="103" t="s">
        <v>2266</v>
      </c>
      <c r="F955" s="103" t="s">
        <v>2162</v>
      </c>
      <c r="G955" s="103">
        <v>50</v>
      </c>
      <c r="H955" s="103" t="s">
        <v>2168</v>
      </c>
      <c r="I955" s="103" t="s">
        <v>2153</v>
      </c>
      <c r="J955" s="103">
        <v>10</v>
      </c>
      <c r="K955" s="103">
        <v>10</v>
      </c>
      <c r="L955" s="103">
        <v>10</v>
      </c>
      <c r="M955" s="103">
        <v>20</v>
      </c>
      <c r="N955" s="103" t="s">
        <v>2163</v>
      </c>
      <c r="O955" s="103">
        <v>50</v>
      </c>
      <c r="P955" s="103" t="s">
        <v>1624</v>
      </c>
      <c r="Q955" s="103" t="s">
        <v>2236</v>
      </c>
      <c r="R955" s="103" t="s">
        <v>2220</v>
      </c>
      <c r="S955" s="103" t="s">
        <v>2422</v>
      </c>
      <c r="U955" s="103">
        <v>25.65</v>
      </c>
      <c r="V955" s="103" t="s">
        <v>2158</v>
      </c>
      <c r="W955" s="103" t="s">
        <v>108</v>
      </c>
      <c r="X955" s="103" t="s">
        <v>1736</v>
      </c>
      <c r="Y955" s="103" t="s">
        <v>3848</v>
      </c>
      <c r="AA955" s="103" t="s">
        <v>2220</v>
      </c>
      <c r="AB955" s="103" t="s">
        <v>71</v>
      </c>
      <c r="AE955" s="103" t="s">
        <v>810</v>
      </c>
      <c r="AF955" s="103" t="b">
        <v>1</v>
      </c>
    </row>
    <row r="956" spans="1:32" hidden="1" x14ac:dyDescent="0.2">
      <c r="A956" s="103" t="s">
        <v>915</v>
      </c>
      <c r="B956" s="103" t="s">
        <v>914</v>
      </c>
      <c r="C956" s="103" t="s">
        <v>3140</v>
      </c>
      <c r="D956" s="103" t="s">
        <v>3147</v>
      </c>
      <c r="E956" s="103" t="s">
        <v>2266</v>
      </c>
      <c r="F956" s="103" t="s">
        <v>2162</v>
      </c>
      <c r="G956" s="103">
        <v>50</v>
      </c>
      <c r="H956" s="103" t="s">
        <v>2168</v>
      </c>
      <c r="I956" s="103" t="s">
        <v>2153</v>
      </c>
      <c r="K956" s="103">
        <v>50</v>
      </c>
      <c r="N956" s="103" t="s">
        <v>2163</v>
      </c>
      <c r="O956" s="103">
        <v>50</v>
      </c>
      <c r="P956" s="103" t="s">
        <v>1624</v>
      </c>
      <c r="Q956" s="103" t="s">
        <v>2236</v>
      </c>
      <c r="R956" s="103" t="s">
        <v>2220</v>
      </c>
      <c r="S956" s="103" t="s">
        <v>2422</v>
      </c>
      <c r="U956" s="103">
        <v>25.65</v>
      </c>
      <c r="V956" s="103" t="s">
        <v>2158</v>
      </c>
      <c r="W956" s="103" t="s">
        <v>108</v>
      </c>
      <c r="X956" s="103" t="s">
        <v>1736</v>
      </c>
      <c r="Y956" s="103" t="s">
        <v>3848</v>
      </c>
      <c r="AA956" s="103" t="s">
        <v>2220</v>
      </c>
      <c r="AB956" s="103" t="s">
        <v>71</v>
      </c>
      <c r="AE956" s="103" t="s">
        <v>810</v>
      </c>
      <c r="AF956" s="103" t="b">
        <v>1</v>
      </c>
    </row>
    <row r="957" spans="1:32" hidden="1" x14ac:dyDescent="0.2">
      <c r="A957" s="103" t="s">
        <v>915</v>
      </c>
      <c r="B957" s="103" t="s">
        <v>914</v>
      </c>
      <c r="C957" s="103" t="s">
        <v>3140</v>
      </c>
      <c r="D957" s="103" t="s">
        <v>3145</v>
      </c>
      <c r="E957" s="103" t="s">
        <v>2272</v>
      </c>
      <c r="F957" s="103" t="s">
        <v>2162</v>
      </c>
      <c r="G957" s="103">
        <v>50</v>
      </c>
      <c r="H957" s="103" t="s">
        <v>2168</v>
      </c>
      <c r="I957" s="103" t="s">
        <v>2153</v>
      </c>
      <c r="J957" s="103">
        <v>20</v>
      </c>
      <c r="K957" s="103">
        <v>20</v>
      </c>
      <c r="L957" s="103">
        <v>10</v>
      </c>
      <c r="N957" s="103" t="s">
        <v>2163</v>
      </c>
      <c r="O957" s="103">
        <v>50</v>
      </c>
      <c r="P957" s="103" t="s">
        <v>2789</v>
      </c>
      <c r="Q957" s="103" t="s">
        <v>2236</v>
      </c>
      <c r="R957" s="103" t="s">
        <v>2220</v>
      </c>
      <c r="S957" s="103" t="s">
        <v>2422</v>
      </c>
      <c r="U957" s="103">
        <v>25.65</v>
      </c>
      <c r="V957" s="103" t="s">
        <v>2158</v>
      </c>
      <c r="W957" s="103" t="s">
        <v>108</v>
      </c>
      <c r="X957" s="103" t="s">
        <v>1736</v>
      </c>
      <c r="Y957" s="103" t="s">
        <v>3848</v>
      </c>
      <c r="AA957" s="103" t="s">
        <v>2220</v>
      </c>
      <c r="AB957" s="103" t="s">
        <v>71</v>
      </c>
      <c r="AE957" s="103" t="s">
        <v>810</v>
      </c>
      <c r="AF957" s="103" t="b">
        <v>1</v>
      </c>
    </row>
    <row r="958" spans="1:32" hidden="1" x14ac:dyDescent="0.2">
      <c r="A958" s="103" t="s">
        <v>995</v>
      </c>
      <c r="B958" s="103" t="s">
        <v>994</v>
      </c>
      <c r="C958" s="103" t="s">
        <v>3232</v>
      </c>
      <c r="E958" s="103" t="s">
        <v>2338</v>
      </c>
      <c r="F958" s="103" t="s">
        <v>2151</v>
      </c>
      <c r="G958" s="103">
        <v>100</v>
      </c>
      <c r="H958" s="103" t="s">
        <v>2168</v>
      </c>
      <c r="I958" s="103" t="s">
        <v>2153</v>
      </c>
      <c r="J958" s="103">
        <v>50</v>
      </c>
      <c r="K958" s="103">
        <v>50</v>
      </c>
      <c r="N958" s="103" t="s">
        <v>2163</v>
      </c>
      <c r="O958" s="103">
        <v>100</v>
      </c>
      <c r="P958" s="103" t="s">
        <v>811</v>
      </c>
      <c r="Q958" s="103" t="s">
        <v>2236</v>
      </c>
      <c r="R958" s="103" t="s">
        <v>2220</v>
      </c>
      <c r="S958" s="103" t="s">
        <v>2422</v>
      </c>
      <c r="U958" s="103">
        <v>51.3</v>
      </c>
      <c r="V958" s="103" t="s">
        <v>2158</v>
      </c>
      <c r="W958" s="103" t="s">
        <v>108</v>
      </c>
      <c r="X958" s="103" t="s">
        <v>1736</v>
      </c>
      <c r="Y958" s="103" t="s">
        <v>3848</v>
      </c>
      <c r="AA958" s="103" t="s">
        <v>2220</v>
      </c>
      <c r="AB958" s="103" t="s">
        <v>71</v>
      </c>
      <c r="AE958" s="103" t="s">
        <v>810</v>
      </c>
      <c r="AF958" s="103" t="b">
        <v>1</v>
      </c>
    </row>
    <row r="959" spans="1:32" hidden="1" x14ac:dyDescent="0.2">
      <c r="A959" s="103" t="s">
        <v>915</v>
      </c>
      <c r="B959" s="103" t="s">
        <v>914</v>
      </c>
      <c r="C959" s="103" t="s">
        <v>3140</v>
      </c>
      <c r="D959" s="103" t="s">
        <v>3145</v>
      </c>
      <c r="E959" s="103" t="s">
        <v>2315</v>
      </c>
      <c r="F959" s="103" t="s">
        <v>2162</v>
      </c>
      <c r="G959" s="103">
        <v>50</v>
      </c>
      <c r="H959" s="103" t="s">
        <v>2168</v>
      </c>
      <c r="I959" s="103" t="s">
        <v>2153</v>
      </c>
      <c r="J959" s="103">
        <v>20</v>
      </c>
      <c r="K959" s="103">
        <v>20</v>
      </c>
      <c r="L959" s="103">
        <v>10</v>
      </c>
      <c r="N959" s="103" t="s">
        <v>2163</v>
      </c>
      <c r="O959" s="103">
        <v>50</v>
      </c>
      <c r="P959" s="103" t="s">
        <v>2789</v>
      </c>
      <c r="Q959" s="103" t="s">
        <v>2236</v>
      </c>
      <c r="R959" s="103" t="s">
        <v>2220</v>
      </c>
      <c r="S959" s="103" t="s">
        <v>2422</v>
      </c>
      <c r="U959" s="103">
        <v>25.65</v>
      </c>
      <c r="V959" s="103" t="s">
        <v>2158</v>
      </c>
      <c r="W959" s="103" t="s">
        <v>108</v>
      </c>
      <c r="X959" s="103" t="s">
        <v>1736</v>
      </c>
      <c r="Y959" s="103" t="s">
        <v>3848</v>
      </c>
      <c r="AA959" s="103" t="s">
        <v>2220</v>
      </c>
      <c r="AB959" s="103" t="s">
        <v>71</v>
      </c>
      <c r="AE959" s="103" t="s">
        <v>810</v>
      </c>
      <c r="AF959" s="103" t="b">
        <v>1</v>
      </c>
    </row>
    <row r="960" spans="1:32" hidden="1" x14ac:dyDescent="0.2">
      <c r="A960" s="103" t="s">
        <v>915</v>
      </c>
      <c r="B960" s="103" t="s">
        <v>914</v>
      </c>
      <c r="C960" s="103" t="s">
        <v>3140</v>
      </c>
      <c r="D960" s="103" t="s">
        <v>3145</v>
      </c>
      <c r="E960" s="103" t="s">
        <v>2350</v>
      </c>
      <c r="F960" s="103" t="s">
        <v>2162</v>
      </c>
      <c r="G960" s="103">
        <v>50</v>
      </c>
      <c r="H960" s="103" t="s">
        <v>2168</v>
      </c>
      <c r="I960" s="103" t="s">
        <v>2153</v>
      </c>
      <c r="J960" s="103">
        <v>10</v>
      </c>
      <c r="K960" s="103">
        <v>10</v>
      </c>
      <c r="L960" s="103">
        <v>10</v>
      </c>
      <c r="M960" s="103">
        <v>20</v>
      </c>
      <c r="N960" s="103" t="s">
        <v>2163</v>
      </c>
      <c r="O960" s="103">
        <v>50</v>
      </c>
      <c r="P960" s="103" t="s">
        <v>1624</v>
      </c>
      <c r="Q960" s="103" t="s">
        <v>2236</v>
      </c>
      <c r="R960" s="103" t="s">
        <v>2220</v>
      </c>
      <c r="S960" s="103" t="s">
        <v>2422</v>
      </c>
      <c r="U960" s="103">
        <v>25.65</v>
      </c>
      <c r="V960" s="103" t="s">
        <v>2158</v>
      </c>
      <c r="W960" s="103" t="s">
        <v>108</v>
      </c>
      <c r="X960" s="103" t="s">
        <v>1736</v>
      </c>
      <c r="Y960" s="103" t="s">
        <v>3848</v>
      </c>
      <c r="AA960" s="103" t="s">
        <v>2220</v>
      </c>
      <c r="AB960" s="103" t="s">
        <v>71</v>
      </c>
      <c r="AE960" s="103" t="s">
        <v>810</v>
      </c>
      <c r="AF960" s="103" t="b">
        <v>1</v>
      </c>
    </row>
    <row r="961" spans="1:32" hidden="1" x14ac:dyDescent="0.2">
      <c r="A961" s="103" t="s">
        <v>915</v>
      </c>
      <c r="B961" s="103" t="s">
        <v>914</v>
      </c>
      <c r="C961" s="103" t="s">
        <v>3140</v>
      </c>
      <c r="D961" s="103" t="s">
        <v>3149</v>
      </c>
      <c r="E961" s="103" t="s">
        <v>2264</v>
      </c>
      <c r="F961" s="103" t="s">
        <v>2162</v>
      </c>
      <c r="G961" s="103">
        <v>50</v>
      </c>
      <c r="H961" s="103" t="s">
        <v>2168</v>
      </c>
      <c r="I961" s="103" t="s">
        <v>2153</v>
      </c>
      <c r="J961" s="103">
        <v>50</v>
      </c>
      <c r="N961" s="103" t="s">
        <v>2163</v>
      </c>
      <c r="O961" s="103">
        <v>50</v>
      </c>
      <c r="P961" s="103" t="s">
        <v>1624</v>
      </c>
      <c r="Q961" s="103" t="s">
        <v>2236</v>
      </c>
      <c r="R961" s="103" t="s">
        <v>2220</v>
      </c>
      <c r="S961" s="103" t="s">
        <v>2422</v>
      </c>
      <c r="U961" s="103">
        <v>25.65</v>
      </c>
      <c r="V961" s="103" t="s">
        <v>2158</v>
      </c>
      <c r="W961" s="103" t="s">
        <v>108</v>
      </c>
      <c r="X961" s="103" t="s">
        <v>1736</v>
      </c>
      <c r="Y961" s="103" t="s">
        <v>3848</v>
      </c>
      <c r="AA961" s="103" t="s">
        <v>2220</v>
      </c>
      <c r="AB961" s="103" t="s">
        <v>71</v>
      </c>
      <c r="AE961" s="103" t="s">
        <v>810</v>
      </c>
      <c r="AF961" s="103" t="b">
        <v>1</v>
      </c>
    </row>
    <row r="962" spans="1:32" hidden="1" x14ac:dyDescent="0.2">
      <c r="A962" s="103" t="s">
        <v>915</v>
      </c>
      <c r="B962" s="103" t="s">
        <v>914</v>
      </c>
      <c r="C962" s="103" t="s">
        <v>3140</v>
      </c>
      <c r="D962" s="103" t="s">
        <v>3145</v>
      </c>
      <c r="E962" s="103" t="s">
        <v>2264</v>
      </c>
      <c r="F962" s="103" t="s">
        <v>2162</v>
      </c>
      <c r="G962" s="103">
        <v>50</v>
      </c>
      <c r="H962" s="103" t="s">
        <v>2168</v>
      </c>
      <c r="I962" s="103" t="s">
        <v>2153</v>
      </c>
      <c r="J962" s="103">
        <v>10</v>
      </c>
      <c r="K962" s="103">
        <v>10</v>
      </c>
      <c r="L962" s="103">
        <v>10</v>
      </c>
      <c r="M962" s="103">
        <v>20</v>
      </c>
      <c r="N962" s="103" t="s">
        <v>2163</v>
      </c>
      <c r="O962" s="103">
        <v>50</v>
      </c>
      <c r="P962" s="103" t="s">
        <v>1624</v>
      </c>
      <c r="Q962" s="103" t="s">
        <v>2236</v>
      </c>
      <c r="R962" s="103" t="s">
        <v>2220</v>
      </c>
      <c r="S962" s="103" t="s">
        <v>2422</v>
      </c>
      <c r="U962" s="103">
        <v>25.65</v>
      </c>
      <c r="V962" s="103" t="s">
        <v>2158</v>
      </c>
      <c r="W962" s="103" t="s">
        <v>108</v>
      </c>
      <c r="X962" s="103" t="s">
        <v>1736</v>
      </c>
      <c r="Y962" s="103" t="s">
        <v>3848</v>
      </c>
      <c r="AA962" s="103" t="s">
        <v>2220</v>
      </c>
      <c r="AB962" s="103" t="s">
        <v>71</v>
      </c>
      <c r="AE962" s="103" t="s">
        <v>810</v>
      </c>
      <c r="AF962" s="103" t="b">
        <v>1</v>
      </c>
    </row>
    <row r="963" spans="1:32" hidden="1" x14ac:dyDescent="0.2">
      <c r="A963" s="103" t="s">
        <v>915</v>
      </c>
      <c r="B963" s="103" t="s">
        <v>914</v>
      </c>
      <c r="C963" s="103" t="s">
        <v>3140</v>
      </c>
      <c r="D963" s="103" t="s">
        <v>3150</v>
      </c>
      <c r="E963" s="103" t="s">
        <v>2264</v>
      </c>
      <c r="F963" s="103" t="s">
        <v>2162</v>
      </c>
      <c r="G963" s="103">
        <v>50</v>
      </c>
      <c r="H963" s="103" t="s">
        <v>2168</v>
      </c>
      <c r="I963" s="103" t="s">
        <v>2153</v>
      </c>
      <c r="K963" s="103">
        <v>50</v>
      </c>
      <c r="N963" s="103" t="s">
        <v>2163</v>
      </c>
      <c r="O963" s="103">
        <v>50</v>
      </c>
      <c r="P963" s="103" t="s">
        <v>1624</v>
      </c>
      <c r="Q963" s="103" t="s">
        <v>2236</v>
      </c>
      <c r="R963" s="103" t="s">
        <v>2220</v>
      </c>
      <c r="S963" s="103" t="s">
        <v>2422</v>
      </c>
      <c r="U963" s="103">
        <v>25.65</v>
      </c>
      <c r="V963" s="103" t="s">
        <v>2158</v>
      </c>
      <c r="W963" s="103" t="s">
        <v>108</v>
      </c>
      <c r="X963" s="103" t="s">
        <v>1736</v>
      </c>
      <c r="Y963" s="103" t="s">
        <v>3848</v>
      </c>
      <c r="AA963" s="103" t="s">
        <v>2220</v>
      </c>
      <c r="AB963" s="103" t="s">
        <v>71</v>
      </c>
      <c r="AE963" s="103" t="s">
        <v>810</v>
      </c>
      <c r="AF963" s="103" t="b">
        <v>1</v>
      </c>
    </row>
    <row r="964" spans="1:32" hidden="1" x14ac:dyDescent="0.2">
      <c r="A964" s="103" t="s">
        <v>915</v>
      </c>
      <c r="B964" s="103" t="s">
        <v>914</v>
      </c>
      <c r="C964" s="103" t="s">
        <v>3140</v>
      </c>
      <c r="D964" s="103" t="s">
        <v>3145</v>
      </c>
      <c r="E964" s="103" t="s">
        <v>2302</v>
      </c>
      <c r="F964" s="103" t="s">
        <v>2162</v>
      </c>
      <c r="G964" s="103">
        <v>50</v>
      </c>
      <c r="H964" s="103" t="s">
        <v>2168</v>
      </c>
      <c r="I964" s="103" t="s">
        <v>2153</v>
      </c>
      <c r="J964" s="103">
        <v>15</v>
      </c>
      <c r="K964" s="103">
        <v>10</v>
      </c>
      <c r="L964" s="103">
        <v>15</v>
      </c>
      <c r="M964" s="103">
        <v>10</v>
      </c>
      <c r="N964" s="103" t="s">
        <v>2163</v>
      </c>
      <c r="O964" s="103">
        <v>50</v>
      </c>
      <c r="P964" s="103" t="s">
        <v>820</v>
      </c>
      <c r="Q964" s="103" t="s">
        <v>2236</v>
      </c>
      <c r="R964" s="103" t="s">
        <v>2220</v>
      </c>
      <c r="S964" s="103" t="s">
        <v>2422</v>
      </c>
      <c r="U964" s="103">
        <v>25.65</v>
      </c>
      <c r="V964" s="103" t="s">
        <v>2158</v>
      </c>
      <c r="W964" s="103" t="s">
        <v>108</v>
      </c>
      <c r="X964" s="103" t="s">
        <v>1736</v>
      </c>
      <c r="Y964" s="103" t="s">
        <v>3848</v>
      </c>
      <c r="AA964" s="103" t="s">
        <v>2220</v>
      </c>
      <c r="AB964" s="103" t="s">
        <v>71</v>
      </c>
      <c r="AE964" s="103" t="s">
        <v>810</v>
      </c>
      <c r="AF964" s="103" t="b">
        <v>1</v>
      </c>
    </row>
    <row r="965" spans="1:32" hidden="1" x14ac:dyDescent="0.2">
      <c r="A965" s="103" t="s">
        <v>915</v>
      </c>
      <c r="B965" s="103" t="s">
        <v>914</v>
      </c>
      <c r="C965" s="103" t="s">
        <v>3140</v>
      </c>
      <c r="D965" s="103" t="s">
        <v>3145</v>
      </c>
      <c r="E965" s="103" t="s">
        <v>2259</v>
      </c>
      <c r="F965" s="103" t="s">
        <v>2162</v>
      </c>
      <c r="G965" s="103">
        <v>50</v>
      </c>
      <c r="H965" s="103" t="s">
        <v>2168</v>
      </c>
      <c r="I965" s="103" t="s">
        <v>2153</v>
      </c>
      <c r="J965" s="103">
        <v>10</v>
      </c>
      <c r="K965" s="103">
        <v>10</v>
      </c>
      <c r="L965" s="103">
        <v>10</v>
      </c>
      <c r="M965" s="103">
        <v>20</v>
      </c>
      <c r="N965" s="103" t="s">
        <v>2163</v>
      </c>
      <c r="O965" s="103">
        <v>50</v>
      </c>
      <c r="P965" s="103" t="s">
        <v>1624</v>
      </c>
      <c r="Q965" s="103" t="s">
        <v>2236</v>
      </c>
      <c r="R965" s="103" t="s">
        <v>2220</v>
      </c>
      <c r="S965" s="103" t="s">
        <v>2422</v>
      </c>
      <c r="U965" s="103">
        <v>25.65</v>
      </c>
      <c r="V965" s="103" t="s">
        <v>2158</v>
      </c>
      <c r="W965" s="103" t="s">
        <v>108</v>
      </c>
      <c r="X965" s="103" t="s">
        <v>1736</v>
      </c>
      <c r="Y965" s="103" t="s">
        <v>3848</v>
      </c>
      <c r="AA965" s="103" t="s">
        <v>2220</v>
      </c>
      <c r="AB965" s="103" t="s">
        <v>71</v>
      </c>
      <c r="AE965" s="103" t="s">
        <v>810</v>
      </c>
      <c r="AF965" s="103" t="b">
        <v>1</v>
      </c>
    </row>
    <row r="966" spans="1:32" hidden="1" x14ac:dyDescent="0.2">
      <c r="A966" s="103" t="s">
        <v>915</v>
      </c>
      <c r="B966" s="103" t="s">
        <v>914</v>
      </c>
      <c r="C966" s="103" t="s">
        <v>3151</v>
      </c>
      <c r="E966" s="103" t="s">
        <v>2495</v>
      </c>
      <c r="F966" s="103" t="s">
        <v>2151</v>
      </c>
      <c r="G966" s="103">
        <v>100</v>
      </c>
      <c r="H966" s="103" t="s">
        <v>2168</v>
      </c>
      <c r="I966" s="103" t="s">
        <v>2153</v>
      </c>
      <c r="J966" s="103">
        <v>40</v>
      </c>
      <c r="K966" s="103">
        <v>30</v>
      </c>
      <c r="L966" s="103">
        <v>25</v>
      </c>
      <c r="M966" s="103">
        <v>5</v>
      </c>
      <c r="N966" s="103" t="s">
        <v>2154</v>
      </c>
      <c r="O966" s="103">
        <v>100</v>
      </c>
      <c r="P966" s="103" t="s">
        <v>3100</v>
      </c>
      <c r="Q966" s="103" t="s">
        <v>2236</v>
      </c>
      <c r="R966" s="103" t="s">
        <v>2225</v>
      </c>
      <c r="S966" s="103" t="s">
        <v>2422</v>
      </c>
      <c r="U966" s="103">
        <v>51.3</v>
      </c>
      <c r="V966" s="103" t="s">
        <v>2158</v>
      </c>
      <c r="W966" s="103" t="s">
        <v>117</v>
      </c>
      <c r="X966" s="103" t="s">
        <v>1685</v>
      </c>
      <c r="Y966" s="103" t="s">
        <v>1685</v>
      </c>
      <c r="AA966" s="103" t="s">
        <v>2225</v>
      </c>
      <c r="AB966" s="103" t="s">
        <v>71</v>
      </c>
      <c r="AE966" s="103" t="s">
        <v>810</v>
      </c>
      <c r="AF966" s="103" t="b">
        <v>1</v>
      </c>
    </row>
    <row r="967" spans="1:32" hidden="1" x14ac:dyDescent="0.2">
      <c r="A967" s="103" t="s">
        <v>915</v>
      </c>
      <c r="B967" s="103" t="s">
        <v>914</v>
      </c>
      <c r="C967" s="103" t="s">
        <v>3152</v>
      </c>
      <c r="E967" s="103" t="s">
        <v>2495</v>
      </c>
      <c r="F967" s="103" t="s">
        <v>2202</v>
      </c>
      <c r="G967" s="103">
        <v>200</v>
      </c>
      <c r="H967" s="103" t="s">
        <v>2168</v>
      </c>
      <c r="I967" s="103" t="s">
        <v>2153</v>
      </c>
      <c r="J967" s="103">
        <v>30</v>
      </c>
      <c r="K967" s="103">
        <v>25</v>
      </c>
      <c r="L967" s="103">
        <v>40</v>
      </c>
      <c r="M967" s="103">
        <v>105</v>
      </c>
      <c r="N967" s="103" t="s">
        <v>2163</v>
      </c>
      <c r="O967" s="103">
        <v>200</v>
      </c>
      <c r="P967" s="103" t="s">
        <v>3100</v>
      </c>
      <c r="Q967" s="103" t="s">
        <v>2236</v>
      </c>
      <c r="R967" s="103" t="s">
        <v>2225</v>
      </c>
      <c r="S967" s="103" t="s">
        <v>2422</v>
      </c>
      <c r="U967" s="103">
        <v>102.6</v>
      </c>
      <c r="V967" s="103" t="s">
        <v>2158</v>
      </c>
      <c r="W967" s="103" t="s">
        <v>117</v>
      </c>
      <c r="X967" s="103" t="s">
        <v>1685</v>
      </c>
      <c r="Y967" s="103" t="s">
        <v>1685</v>
      </c>
      <c r="AA967" s="103" t="s">
        <v>2225</v>
      </c>
      <c r="AB967" s="103" t="s">
        <v>71</v>
      </c>
      <c r="AE967" s="103" t="s">
        <v>810</v>
      </c>
      <c r="AF967" s="103" t="b">
        <v>1</v>
      </c>
    </row>
    <row r="968" spans="1:32" hidden="1" x14ac:dyDescent="0.2">
      <c r="A968" s="103" t="s">
        <v>915</v>
      </c>
      <c r="B968" s="103" t="s">
        <v>914</v>
      </c>
      <c r="C968" s="103" t="s">
        <v>3153</v>
      </c>
      <c r="E968" s="103" t="s">
        <v>2495</v>
      </c>
      <c r="F968" s="103" t="s">
        <v>2232</v>
      </c>
      <c r="G968" s="103">
        <v>300</v>
      </c>
      <c r="H968" s="103" t="s">
        <v>2168</v>
      </c>
      <c r="I968" s="103" t="s">
        <v>2153</v>
      </c>
      <c r="J968" s="103">
        <v>105</v>
      </c>
      <c r="K968" s="103">
        <v>70</v>
      </c>
      <c r="L968" s="103">
        <v>40</v>
      </c>
      <c r="M968" s="103">
        <v>85</v>
      </c>
      <c r="N968" s="103" t="s">
        <v>2163</v>
      </c>
      <c r="O968" s="103">
        <v>300</v>
      </c>
      <c r="P968" s="103" t="s">
        <v>3100</v>
      </c>
      <c r="Q968" s="103" t="s">
        <v>2236</v>
      </c>
      <c r="R968" s="103" t="s">
        <v>2225</v>
      </c>
      <c r="S968" s="103" t="s">
        <v>2422</v>
      </c>
      <c r="U968" s="103">
        <v>153.9</v>
      </c>
      <c r="V968" s="103" t="s">
        <v>2158</v>
      </c>
      <c r="W968" s="103" t="s">
        <v>117</v>
      </c>
      <c r="X968" s="103" t="s">
        <v>1685</v>
      </c>
      <c r="Y968" s="103" t="s">
        <v>1685</v>
      </c>
      <c r="AA968" s="103" t="s">
        <v>2225</v>
      </c>
      <c r="AB968" s="103" t="s">
        <v>71</v>
      </c>
      <c r="AE968" s="103" t="s">
        <v>810</v>
      </c>
      <c r="AF968" s="103" t="b">
        <v>1</v>
      </c>
    </row>
    <row r="969" spans="1:32" hidden="1" x14ac:dyDescent="0.2">
      <c r="A969" s="103" t="s">
        <v>915</v>
      </c>
      <c r="B969" s="103" t="s">
        <v>914</v>
      </c>
      <c r="C969" s="103" t="s">
        <v>3140</v>
      </c>
      <c r="D969" s="103" t="s">
        <v>3145</v>
      </c>
      <c r="E969" s="103" t="s">
        <v>2299</v>
      </c>
      <c r="F969" s="103" t="s">
        <v>2162</v>
      </c>
      <c r="G969" s="103">
        <v>50</v>
      </c>
      <c r="H969" s="103" t="s">
        <v>2168</v>
      </c>
      <c r="I969" s="103" t="s">
        <v>2153</v>
      </c>
      <c r="J969" s="103">
        <v>10</v>
      </c>
      <c r="K969" s="103">
        <v>10</v>
      </c>
      <c r="L969" s="103">
        <v>10</v>
      </c>
      <c r="M969" s="103">
        <v>20</v>
      </c>
      <c r="N969" s="103" t="s">
        <v>2154</v>
      </c>
      <c r="O969" s="103">
        <v>50</v>
      </c>
      <c r="P969" s="103" t="s">
        <v>1624</v>
      </c>
      <c r="Q969" s="103" t="s">
        <v>2236</v>
      </c>
      <c r="R969" s="103" t="s">
        <v>2220</v>
      </c>
      <c r="S969" s="103" t="s">
        <v>2422</v>
      </c>
      <c r="U969" s="103">
        <v>25.65</v>
      </c>
      <c r="V969" s="103" t="s">
        <v>2158</v>
      </c>
      <c r="W969" s="103" t="s">
        <v>108</v>
      </c>
      <c r="X969" s="103" t="s">
        <v>1736</v>
      </c>
      <c r="Y969" s="103" t="s">
        <v>3848</v>
      </c>
      <c r="AA969" s="103" t="s">
        <v>2220</v>
      </c>
      <c r="AB969" s="103" t="s">
        <v>71</v>
      </c>
      <c r="AE969" s="103" t="s">
        <v>810</v>
      </c>
      <c r="AF969" s="103" t="b">
        <v>1</v>
      </c>
    </row>
    <row r="970" spans="1:32" hidden="1" x14ac:dyDescent="0.2">
      <c r="A970" s="103" t="s">
        <v>915</v>
      </c>
      <c r="B970" s="103" t="s">
        <v>914</v>
      </c>
      <c r="C970" s="103" t="s">
        <v>3140</v>
      </c>
      <c r="D970" s="103" t="s">
        <v>3154</v>
      </c>
      <c r="E970" s="103" t="s">
        <v>3068</v>
      </c>
      <c r="F970" s="103" t="s">
        <v>2162</v>
      </c>
      <c r="G970" s="103">
        <v>50</v>
      </c>
      <c r="H970" s="103" t="s">
        <v>2168</v>
      </c>
      <c r="I970" s="103" t="s">
        <v>2153</v>
      </c>
      <c r="J970" s="103">
        <v>25</v>
      </c>
      <c r="K970" s="103">
        <v>25</v>
      </c>
      <c r="N970" s="103" t="s">
        <v>2154</v>
      </c>
      <c r="O970" s="103">
        <v>50</v>
      </c>
      <c r="P970" s="103" t="s">
        <v>1624</v>
      </c>
      <c r="Q970" s="103" t="s">
        <v>2236</v>
      </c>
      <c r="R970" s="103" t="s">
        <v>2220</v>
      </c>
      <c r="S970" s="103" t="s">
        <v>2422</v>
      </c>
      <c r="U970" s="103">
        <v>25.65</v>
      </c>
      <c r="V970" s="103" t="s">
        <v>2158</v>
      </c>
      <c r="W970" s="103" t="s">
        <v>108</v>
      </c>
      <c r="X970" s="103" t="s">
        <v>1736</v>
      </c>
      <c r="Y970" s="103" t="s">
        <v>3848</v>
      </c>
      <c r="AA970" s="103" t="s">
        <v>2220</v>
      </c>
      <c r="AB970" s="103" t="s">
        <v>71</v>
      </c>
      <c r="AE970" s="103" t="s">
        <v>810</v>
      </c>
      <c r="AF970" s="103" t="b">
        <v>1</v>
      </c>
    </row>
    <row r="971" spans="1:32" hidden="1" x14ac:dyDescent="0.2">
      <c r="A971" s="103" t="s">
        <v>915</v>
      </c>
      <c r="B971" s="103" t="s">
        <v>914</v>
      </c>
      <c r="C971" s="103" t="s">
        <v>3122</v>
      </c>
      <c r="D971" s="103" t="s">
        <v>3155</v>
      </c>
      <c r="E971" s="103" t="s">
        <v>2259</v>
      </c>
      <c r="F971" s="103" t="s">
        <v>2175</v>
      </c>
      <c r="G971" s="103">
        <v>20</v>
      </c>
      <c r="H971" s="103" t="s">
        <v>2168</v>
      </c>
      <c r="I971" s="103" t="s">
        <v>2153</v>
      </c>
      <c r="K971" s="103">
        <v>20</v>
      </c>
      <c r="N971" s="103" t="s">
        <v>2163</v>
      </c>
      <c r="O971" s="103">
        <v>20</v>
      </c>
      <c r="P971" s="103" t="s">
        <v>1624</v>
      </c>
      <c r="Q971" s="103" t="s">
        <v>2236</v>
      </c>
      <c r="R971" s="103" t="s">
        <v>2220</v>
      </c>
      <c r="S971" s="103" t="s">
        <v>2422</v>
      </c>
      <c r="U971" s="103">
        <v>10.26</v>
      </c>
      <c r="V971" s="103" t="s">
        <v>2158</v>
      </c>
      <c r="W971" s="103" t="s">
        <v>108</v>
      </c>
      <c r="X971" s="103" t="s">
        <v>1736</v>
      </c>
      <c r="Y971" s="103" t="s">
        <v>3848</v>
      </c>
      <c r="AA971" s="103" t="s">
        <v>2220</v>
      </c>
      <c r="AB971" s="103" t="s">
        <v>71</v>
      </c>
      <c r="AE971" s="103" t="s">
        <v>810</v>
      </c>
      <c r="AF971" s="103" t="b">
        <v>1</v>
      </c>
    </row>
    <row r="972" spans="1:32" hidden="1" x14ac:dyDescent="0.2">
      <c r="A972" s="103" t="s">
        <v>915</v>
      </c>
      <c r="B972" s="103" t="s">
        <v>914</v>
      </c>
      <c r="C972" s="103" t="s">
        <v>3122</v>
      </c>
      <c r="D972" s="103" t="s">
        <v>3155</v>
      </c>
      <c r="E972" s="103" t="s">
        <v>2366</v>
      </c>
      <c r="F972" s="103" t="s">
        <v>2175</v>
      </c>
      <c r="G972" s="103">
        <v>20</v>
      </c>
      <c r="H972" s="103" t="s">
        <v>2168</v>
      </c>
      <c r="I972" s="103" t="s">
        <v>2153</v>
      </c>
      <c r="J972" s="103">
        <v>5</v>
      </c>
      <c r="K972" s="103">
        <v>5</v>
      </c>
      <c r="L972" s="103">
        <v>5</v>
      </c>
      <c r="M972" s="103">
        <v>5</v>
      </c>
      <c r="N972" s="103" t="s">
        <v>2163</v>
      </c>
      <c r="O972" s="103">
        <v>20</v>
      </c>
      <c r="P972" s="103" t="s">
        <v>2549</v>
      </c>
      <c r="Q972" s="103" t="s">
        <v>2236</v>
      </c>
      <c r="R972" s="103" t="s">
        <v>2220</v>
      </c>
      <c r="S972" s="103" t="s">
        <v>2422</v>
      </c>
      <c r="U972" s="103">
        <v>10.26</v>
      </c>
      <c r="V972" s="103" t="s">
        <v>2158</v>
      </c>
      <c r="W972" s="103" t="s">
        <v>108</v>
      </c>
      <c r="X972" s="103" t="s">
        <v>1736</v>
      </c>
      <c r="Y972" s="103" t="s">
        <v>3848</v>
      </c>
      <c r="AA972" s="103" t="s">
        <v>2220</v>
      </c>
      <c r="AB972" s="103" t="s">
        <v>71</v>
      </c>
      <c r="AE972" s="103" t="s">
        <v>810</v>
      </c>
      <c r="AF972" s="103" t="b">
        <v>1</v>
      </c>
    </row>
    <row r="973" spans="1:32" hidden="1" x14ac:dyDescent="0.2">
      <c r="A973" s="103" t="s">
        <v>915</v>
      </c>
      <c r="B973" s="103" t="s">
        <v>914</v>
      </c>
      <c r="C973" s="103" t="s">
        <v>3122</v>
      </c>
      <c r="D973" s="103" t="s">
        <v>3155</v>
      </c>
      <c r="E973" s="103" t="s">
        <v>2285</v>
      </c>
      <c r="F973" s="103" t="s">
        <v>2175</v>
      </c>
      <c r="G973" s="103">
        <v>20</v>
      </c>
      <c r="H973" s="103" t="s">
        <v>2168</v>
      </c>
      <c r="I973" s="103" t="s">
        <v>2153</v>
      </c>
      <c r="J973" s="103">
        <v>5</v>
      </c>
      <c r="K973" s="103">
        <v>5</v>
      </c>
      <c r="L973" s="103">
        <v>5</v>
      </c>
      <c r="M973" s="103">
        <v>5</v>
      </c>
      <c r="N973" s="103" t="s">
        <v>2163</v>
      </c>
      <c r="O973" s="103">
        <v>20</v>
      </c>
      <c r="P973" s="103" t="s">
        <v>2549</v>
      </c>
      <c r="Q973" s="103" t="s">
        <v>2236</v>
      </c>
      <c r="R973" s="103" t="s">
        <v>2220</v>
      </c>
      <c r="S973" s="103" t="s">
        <v>2422</v>
      </c>
      <c r="U973" s="103">
        <v>10.26</v>
      </c>
      <c r="V973" s="103" t="s">
        <v>2158</v>
      </c>
      <c r="W973" s="103" t="s">
        <v>108</v>
      </c>
      <c r="X973" s="103" t="s">
        <v>1736</v>
      </c>
      <c r="Y973" s="103" t="s">
        <v>3848</v>
      </c>
      <c r="AA973" s="103" t="s">
        <v>2220</v>
      </c>
      <c r="AB973" s="103" t="s">
        <v>71</v>
      </c>
      <c r="AE973" s="103" t="s">
        <v>810</v>
      </c>
      <c r="AF973" s="103" t="b">
        <v>1</v>
      </c>
    </row>
    <row r="974" spans="1:32" hidden="1" x14ac:dyDescent="0.2">
      <c r="A974" s="103" t="s">
        <v>915</v>
      </c>
      <c r="B974" s="103" t="s">
        <v>914</v>
      </c>
      <c r="C974" s="103" t="s">
        <v>3122</v>
      </c>
      <c r="D974" s="103" t="s">
        <v>3155</v>
      </c>
      <c r="E974" s="103" t="s">
        <v>2266</v>
      </c>
      <c r="F974" s="103" t="s">
        <v>2175</v>
      </c>
      <c r="G974" s="103">
        <v>20</v>
      </c>
      <c r="H974" s="103" t="s">
        <v>2168</v>
      </c>
      <c r="I974" s="103" t="s">
        <v>2153</v>
      </c>
      <c r="K974" s="103">
        <v>20</v>
      </c>
      <c r="N974" s="103" t="s">
        <v>2163</v>
      </c>
      <c r="O974" s="103">
        <v>20</v>
      </c>
      <c r="P974" s="103" t="s">
        <v>1624</v>
      </c>
      <c r="Q974" s="103" t="s">
        <v>2236</v>
      </c>
      <c r="R974" s="103" t="s">
        <v>2220</v>
      </c>
      <c r="S974" s="103" t="s">
        <v>2422</v>
      </c>
      <c r="U974" s="103">
        <v>10.26</v>
      </c>
      <c r="V974" s="103" t="s">
        <v>2158</v>
      </c>
      <c r="W974" s="103" t="s">
        <v>108</v>
      </c>
      <c r="X974" s="103" t="s">
        <v>1736</v>
      </c>
      <c r="Y974" s="103" t="s">
        <v>3848</v>
      </c>
      <c r="AA974" s="103" t="s">
        <v>2220</v>
      </c>
      <c r="AB974" s="103" t="s">
        <v>71</v>
      </c>
      <c r="AE974" s="103" t="s">
        <v>810</v>
      </c>
      <c r="AF974" s="103" t="b">
        <v>1</v>
      </c>
    </row>
    <row r="975" spans="1:32" hidden="1" x14ac:dyDescent="0.2">
      <c r="A975" s="103" t="s">
        <v>915</v>
      </c>
      <c r="B975" s="103" t="s">
        <v>914</v>
      </c>
      <c r="C975" s="103" t="s">
        <v>3122</v>
      </c>
      <c r="D975" s="103" t="s">
        <v>3156</v>
      </c>
      <c r="E975" s="103" t="s">
        <v>2272</v>
      </c>
      <c r="F975" s="103" t="s">
        <v>2175</v>
      </c>
      <c r="G975" s="103">
        <v>20</v>
      </c>
      <c r="H975" s="103" t="s">
        <v>2168</v>
      </c>
      <c r="I975" s="103" t="s">
        <v>2153</v>
      </c>
      <c r="K975" s="103">
        <v>20</v>
      </c>
      <c r="N975" s="103" t="s">
        <v>2163</v>
      </c>
      <c r="O975" s="103">
        <v>20</v>
      </c>
      <c r="P975" s="103" t="s">
        <v>2789</v>
      </c>
      <c r="Q975" s="103" t="s">
        <v>2236</v>
      </c>
      <c r="R975" s="103" t="s">
        <v>2220</v>
      </c>
      <c r="S975" s="103" t="s">
        <v>2422</v>
      </c>
      <c r="U975" s="103">
        <v>10.26</v>
      </c>
      <c r="V975" s="103" t="s">
        <v>2158</v>
      </c>
      <c r="W975" s="103" t="s">
        <v>108</v>
      </c>
      <c r="X975" s="103" t="s">
        <v>1736</v>
      </c>
      <c r="Y975" s="103" t="s">
        <v>3848</v>
      </c>
      <c r="AA975" s="103" t="s">
        <v>2220</v>
      </c>
      <c r="AB975" s="103" t="s">
        <v>71</v>
      </c>
      <c r="AE975" s="103" t="s">
        <v>810</v>
      </c>
      <c r="AF975" s="103" t="b">
        <v>1</v>
      </c>
    </row>
    <row r="976" spans="1:32" hidden="1" x14ac:dyDescent="0.2">
      <c r="A976" s="103" t="s">
        <v>915</v>
      </c>
      <c r="B976" s="103" t="s">
        <v>914</v>
      </c>
      <c r="C976" s="103" t="s">
        <v>3122</v>
      </c>
      <c r="D976" s="103" t="s">
        <v>3125</v>
      </c>
      <c r="E976" s="103" t="s">
        <v>2272</v>
      </c>
      <c r="F976" s="103" t="s">
        <v>2175</v>
      </c>
      <c r="G976" s="103">
        <v>20</v>
      </c>
      <c r="H976" s="103" t="s">
        <v>2168</v>
      </c>
      <c r="I976" s="103" t="s">
        <v>2153</v>
      </c>
      <c r="J976" s="103">
        <v>20</v>
      </c>
      <c r="N976" s="103" t="s">
        <v>2163</v>
      </c>
      <c r="O976" s="103">
        <v>20</v>
      </c>
      <c r="P976" s="103" t="s">
        <v>2789</v>
      </c>
      <c r="Q976" s="103" t="s">
        <v>2236</v>
      </c>
      <c r="R976" s="103" t="s">
        <v>2220</v>
      </c>
      <c r="S976" s="103" t="s">
        <v>2422</v>
      </c>
      <c r="U976" s="103">
        <v>10.26</v>
      </c>
      <c r="V976" s="103" t="s">
        <v>2158</v>
      </c>
      <c r="W976" s="103" t="s">
        <v>108</v>
      </c>
      <c r="X976" s="103" t="s">
        <v>1736</v>
      </c>
      <c r="Y976" s="103" t="s">
        <v>3848</v>
      </c>
      <c r="AA976" s="103" t="s">
        <v>2220</v>
      </c>
      <c r="AB976" s="103" t="s">
        <v>71</v>
      </c>
      <c r="AE976" s="103" t="s">
        <v>810</v>
      </c>
      <c r="AF976" s="103" t="b">
        <v>1</v>
      </c>
    </row>
    <row r="977" spans="1:32" hidden="1" x14ac:dyDescent="0.2">
      <c r="A977" s="103" t="s">
        <v>915</v>
      </c>
      <c r="B977" s="103" t="s">
        <v>914</v>
      </c>
      <c r="C977" s="103" t="s">
        <v>3122</v>
      </c>
      <c r="D977" s="103" t="s">
        <v>3155</v>
      </c>
      <c r="E977" s="103" t="s">
        <v>2292</v>
      </c>
      <c r="F977" s="103" t="s">
        <v>2175</v>
      </c>
      <c r="G977" s="103">
        <v>20</v>
      </c>
      <c r="H977" s="103" t="s">
        <v>2168</v>
      </c>
      <c r="I977" s="103" t="s">
        <v>2153</v>
      </c>
      <c r="J977" s="103">
        <v>5</v>
      </c>
      <c r="K977" s="103">
        <v>5</v>
      </c>
      <c r="L977" s="103">
        <v>5</v>
      </c>
      <c r="M977" s="103">
        <v>5</v>
      </c>
      <c r="N977" s="103" t="s">
        <v>2163</v>
      </c>
      <c r="O977" s="103">
        <v>20</v>
      </c>
      <c r="P977" s="103" t="s">
        <v>2549</v>
      </c>
      <c r="Q977" s="103" t="s">
        <v>2236</v>
      </c>
      <c r="R977" s="103" t="s">
        <v>2220</v>
      </c>
      <c r="S977" s="103" t="s">
        <v>2422</v>
      </c>
      <c r="U977" s="103">
        <v>10.26</v>
      </c>
      <c r="V977" s="103" t="s">
        <v>2158</v>
      </c>
      <c r="W977" s="103" t="s">
        <v>108</v>
      </c>
      <c r="X977" s="103" t="s">
        <v>1736</v>
      </c>
      <c r="Y977" s="103" t="s">
        <v>3848</v>
      </c>
      <c r="AA977" s="103" t="s">
        <v>2220</v>
      </c>
      <c r="AB977" s="103" t="s">
        <v>71</v>
      </c>
      <c r="AE977" s="103" t="s">
        <v>810</v>
      </c>
      <c r="AF977" s="103" t="b">
        <v>1</v>
      </c>
    </row>
    <row r="978" spans="1:32" hidden="1" x14ac:dyDescent="0.2">
      <c r="A978" s="103" t="s">
        <v>915</v>
      </c>
      <c r="B978" s="103" t="s">
        <v>914</v>
      </c>
      <c r="C978" s="103" t="s">
        <v>3122</v>
      </c>
      <c r="D978" s="103" t="s">
        <v>3155</v>
      </c>
      <c r="E978" s="103" t="s">
        <v>2694</v>
      </c>
      <c r="F978" s="103" t="s">
        <v>2175</v>
      </c>
      <c r="G978" s="103">
        <v>20</v>
      </c>
      <c r="H978" s="103" t="s">
        <v>2168</v>
      </c>
      <c r="I978" s="103" t="s">
        <v>2153</v>
      </c>
      <c r="J978" s="103">
        <v>5</v>
      </c>
      <c r="K978" s="103">
        <v>5</v>
      </c>
      <c r="L978" s="103">
        <v>5</v>
      </c>
      <c r="M978" s="103">
        <v>5</v>
      </c>
      <c r="N978" s="103" t="s">
        <v>2163</v>
      </c>
      <c r="O978" s="103">
        <v>20</v>
      </c>
      <c r="P978" s="103" t="s">
        <v>2549</v>
      </c>
      <c r="Q978" s="103" t="s">
        <v>2236</v>
      </c>
      <c r="R978" s="103" t="s">
        <v>2220</v>
      </c>
      <c r="S978" s="103" t="s">
        <v>2422</v>
      </c>
      <c r="U978" s="103">
        <v>10.26</v>
      </c>
      <c r="V978" s="103" t="s">
        <v>2158</v>
      </c>
      <c r="W978" s="103" t="s">
        <v>108</v>
      </c>
      <c r="X978" s="103" t="s">
        <v>1736</v>
      </c>
      <c r="Y978" s="103" t="s">
        <v>3848</v>
      </c>
      <c r="AA978" s="103" t="s">
        <v>2220</v>
      </c>
      <c r="AB978" s="103" t="s">
        <v>71</v>
      </c>
      <c r="AE978" s="103" t="s">
        <v>810</v>
      </c>
      <c r="AF978" s="103" t="b">
        <v>1</v>
      </c>
    </row>
    <row r="979" spans="1:32" hidden="1" x14ac:dyDescent="0.2">
      <c r="A979" s="103" t="s">
        <v>915</v>
      </c>
      <c r="B979" s="103" t="s">
        <v>914</v>
      </c>
      <c r="C979" s="103" t="s">
        <v>3122</v>
      </c>
      <c r="D979" s="103" t="s">
        <v>3155</v>
      </c>
      <c r="E979" s="103" t="s">
        <v>2796</v>
      </c>
      <c r="F979" s="103" t="s">
        <v>2175</v>
      </c>
      <c r="G979" s="103">
        <v>20</v>
      </c>
      <c r="H979" s="103" t="s">
        <v>2168</v>
      </c>
      <c r="I979" s="103" t="s">
        <v>2153</v>
      </c>
      <c r="J979" s="103">
        <v>5</v>
      </c>
      <c r="K979" s="103">
        <v>5</v>
      </c>
      <c r="L979" s="103">
        <v>5</v>
      </c>
      <c r="M979" s="103">
        <v>5</v>
      </c>
      <c r="N979" s="103" t="s">
        <v>2163</v>
      </c>
      <c r="O979" s="103">
        <v>20</v>
      </c>
      <c r="P979" s="103" t="s">
        <v>2549</v>
      </c>
      <c r="Q979" s="103" t="s">
        <v>2236</v>
      </c>
      <c r="R979" s="103" t="s">
        <v>2220</v>
      </c>
      <c r="S979" s="103" t="s">
        <v>2422</v>
      </c>
      <c r="U979" s="103">
        <v>10.26</v>
      </c>
      <c r="V979" s="103" t="s">
        <v>2158</v>
      </c>
      <c r="W979" s="103" t="s">
        <v>108</v>
      </c>
      <c r="X979" s="103" t="s">
        <v>1736</v>
      </c>
      <c r="Y979" s="103" t="s">
        <v>3848</v>
      </c>
      <c r="AA979" s="103" t="s">
        <v>2220</v>
      </c>
      <c r="AB979" s="103" t="s">
        <v>71</v>
      </c>
      <c r="AE979" s="103" t="s">
        <v>810</v>
      </c>
      <c r="AF979" s="103" t="b">
        <v>1</v>
      </c>
    </row>
    <row r="980" spans="1:32" hidden="1" x14ac:dyDescent="0.2">
      <c r="A980" s="103" t="s">
        <v>915</v>
      </c>
      <c r="B980" s="103" t="s">
        <v>914</v>
      </c>
      <c r="C980" s="103" t="s">
        <v>3122</v>
      </c>
      <c r="D980" s="103" t="s">
        <v>3156</v>
      </c>
      <c r="E980" s="103" t="s">
        <v>2315</v>
      </c>
      <c r="F980" s="103" t="s">
        <v>2175</v>
      </c>
      <c r="G980" s="103">
        <v>20</v>
      </c>
      <c r="H980" s="103" t="s">
        <v>2168</v>
      </c>
      <c r="I980" s="103" t="s">
        <v>2153</v>
      </c>
      <c r="L980" s="103">
        <v>20</v>
      </c>
      <c r="N980" s="103" t="s">
        <v>2163</v>
      </c>
      <c r="O980" s="103">
        <v>20</v>
      </c>
      <c r="P980" s="103" t="s">
        <v>2789</v>
      </c>
      <c r="Q980" s="103" t="s">
        <v>2236</v>
      </c>
      <c r="R980" s="103" t="s">
        <v>2220</v>
      </c>
      <c r="S980" s="103" t="s">
        <v>2422</v>
      </c>
      <c r="U980" s="103">
        <v>10.26</v>
      </c>
      <c r="V980" s="103" t="s">
        <v>2158</v>
      </c>
      <c r="W980" s="103" t="s">
        <v>108</v>
      </c>
      <c r="X980" s="103" t="s">
        <v>1736</v>
      </c>
      <c r="Y980" s="103" t="s">
        <v>3848</v>
      </c>
      <c r="AA980" s="103" t="s">
        <v>2220</v>
      </c>
      <c r="AB980" s="103" t="s">
        <v>71</v>
      </c>
      <c r="AE980" s="103" t="s">
        <v>810</v>
      </c>
      <c r="AF980" s="103" t="b">
        <v>1</v>
      </c>
    </row>
    <row r="981" spans="1:32" hidden="1" x14ac:dyDescent="0.2">
      <c r="A981" s="103" t="s">
        <v>915</v>
      </c>
      <c r="B981" s="103" t="s">
        <v>914</v>
      </c>
      <c r="C981" s="103" t="s">
        <v>3122</v>
      </c>
      <c r="D981" s="103" t="s">
        <v>3125</v>
      </c>
      <c r="E981" s="103" t="s">
        <v>2315</v>
      </c>
      <c r="F981" s="103" t="s">
        <v>2175</v>
      </c>
      <c r="G981" s="103">
        <v>20</v>
      </c>
      <c r="H981" s="103" t="s">
        <v>2168</v>
      </c>
      <c r="I981" s="103" t="s">
        <v>2153</v>
      </c>
      <c r="K981" s="103">
        <v>20</v>
      </c>
      <c r="N981" s="103" t="s">
        <v>2163</v>
      </c>
      <c r="O981" s="103">
        <v>20</v>
      </c>
      <c r="P981" s="103" t="s">
        <v>2789</v>
      </c>
      <c r="Q981" s="103" t="s">
        <v>2236</v>
      </c>
      <c r="R981" s="103" t="s">
        <v>2220</v>
      </c>
      <c r="S981" s="103" t="s">
        <v>2422</v>
      </c>
      <c r="U981" s="103">
        <v>10.26</v>
      </c>
      <c r="V981" s="103" t="s">
        <v>2158</v>
      </c>
      <c r="W981" s="103" t="s">
        <v>108</v>
      </c>
      <c r="X981" s="103" t="s">
        <v>1736</v>
      </c>
      <c r="Y981" s="103" t="s">
        <v>3848</v>
      </c>
      <c r="AA981" s="103" t="s">
        <v>2220</v>
      </c>
      <c r="AB981" s="103" t="s">
        <v>71</v>
      </c>
      <c r="AE981" s="103" t="s">
        <v>810</v>
      </c>
      <c r="AF981" s="103" t="b">
        <v>1</v>
      </c>
    </row>
    <row r="982" spans="1:32" hidden="1" x14ac:dyDescent="0.2">
      <c r="A982" s="103" t="s">
        <v>915</v>
      </c>
      <c r="B982" s="103" t="s">
        <v>914</v>
      </c>
      <c r="C982" s="103" t="s">
        <v>3122</v>
      </c>
      <c r="D982" s="103" t="s">
        <v>3155</v>
      </c>
      <c r="E982" s="103" t="s">
        <v>2299</v>
      </c>
      <c r="F982" s="103" t="s">
        <v>2175</v>
      </c>
      <c r="G982" s="103">
        <v>20</v>
      </c>
      <c r="H982" s="103" t="s">
        <v>2168</v>
      </c>
      <c r="I982" s="103" t="s">
        <v>2153</v>
      </c>
      <c r="K982" s="103">
        <v>20</v>
      </c>
      <c r="N982" s="103" t="s">
        <v>2163</v>
      </c>
      <c r="O982" s="103">
        <v>20</v>
      </c>
      <c r="P982" s="103" t="s">
        <v>1624</v>
      </c>
      <c r="Q982" s="103" t="s">
        <v>2236</v>
      </c>
      <c r="R982" s="103" t="s">
        <v>2220</v>
      </c>
      <c r="S982" s="103" t="s">
        <v>2422</v>
      </c>
      <c r="U982" s="103">
        <v>10.26</v>
      </c>
      <c r="V982" s="103" t="s">
        <v>2158</v>
      </c>
      <c r="W982" s="103" t="s">
        <v>108</v>
      </c>
      <c r="X982" s="103" t="s">
        <v>1736</v>
      </c>
      <c r="Y982" s="103" t="s">
        <v>3848</v>
      </c>
      <c r="AA982" s="103" t="s">
        <v>2220</v>
      </c>
      <c r="AB982" s="103" t="s">
        <v>71</v>
      </c>
      <c r="AE982" s="103" t="s">
        <v>810</v>
      </c>
      <c r="AF982" s="103" t="b">
        <v>1</v>
      </c>
    </row>
    <row r="983" spans="1:32" hidden="1" x14ac:dyDescent="0.2">
      <c r="A983" s="103" t="s">
        <v>915</v>
      </c>
      <c r="B983" s="103" t="s">
        <v>914</v>
      </c>
      <c r="C983" s="103" t="s">
        <v>3122</v>
      </c>
      <c r="D983" s="103" t="s">
        <v>3155</v>
      </c>
      <c r="E983" s="103" t="s">
        <v>2926</v>
      </c>
      <c r="F983" s="103" t="s">
        <v>2175</v>
      </c>
      <c r="G983" s="103">
        <v>20</v>
      </c>
      <c r="H983" s="103" t="s">
        <v>2168</v>
      </c>
      <c r="I983" s="103" t="s">
        <v>2153</v>
      </c>
      <c r="K983" s="103">
        <v>20</v>
      </c>
      <c r="N983" s="103" t="s">
        <v>2163</v>
      </c>
      <c r="O983" s="103">
        <v>20</v>
      </c>
      <c r="P983" s="103" t="s">
        <v>1624</v>
      </c>
      <c r="Q983" s="103" t="s">
        <v>2236</v>
      </c>
      <c r="R983" s="103" t="s">
        <v>2220</v>
      </c>
      <c r="S983" s="103" t="s">
        <v>2422</v>
      </c>
      <c r="U983" s="103">
        <v>10.26</v>
      </c>
      <c r="V983" s="103" t="s">
        <v>2158</v>
      </c>
      <c r="W983" s="103" t="s">
        <v>108</v>
      </c>
      <c r="X983" s="103" t="s">
        <v>1736</v>
      </c>
      <c r="Y983" s="103" t="s">
        <v>3848</v>
      </c>
      <c r="AA983" s="103" t="s">
        <v>2220</v>
      </c>
      <c r="AB983" s="103" t="s">
        <v>71</v>
      </c>
      <c r="AE983" s="103" t="s">
        <v>810</v>
      </c>
      <c r="AF983" s="103" t="b">
        <v>1</v>
      </c>
    </row>
    <row r="984" spans="1:32" hidden="1" x14ac:dyDescent="0.2">
      <c r="A984" s="103" t="s">
        <v>915</v>
      </c>
      <c r="B984" s="103" t="s">
        <v>914</v>
      </c>
      <c r="C984" s="103" t="s">
        <v>3122</v>
      </c>
      <c r="D984" s="103" t="s">
        <v>3155</v>
      </c>
      <c r="E984" s="103" t="s">
        <v>2264</v>
      </c>
      <c r="F984" s="103" t="s">
        <v>2175</v>
      </c>
      <c r="G984" s="103">
        <v>20</v>
      </c>
      <c r="H984" s="103" t="s">
        <v>2168</v>
      </c>
      <c r="I984" s="103" t="s">
        <v>2153</v>
      </c>
      <c r="K984" s="103">
        <v>20</v>
      </c>
      <c r="N984" s="103" t="s">
        <v>2163</v>
      </c>
      <c r="O984" s="103">
        <v>20</v>
      </c>
      <c r="P984" s="103" t="s">
        <v>1624</v>
      </c>
      <c r="Q984" s="103" t="s">
        <v>2236</v>
      </c>
      <c r="R984" s="103" t="s">
        <v>2220</v>
      </c>
      <c r="S984" s="103" t="s">
        <v>2422</v>
      </c>
      <c r="U984" s="103">
        <v>10.26</v>
      </c>
      <c r="V984" s="103" t="s">
        <v>2158</v>
      </c>
      <c r="W984" s="103" t="s">
        <v>108</v>
      </c>
      <c r="X984" s="103" t="s">
        <v>1736</v>
      </c>
      <c r="Y984" s="103" t="s">
        <v>3848</v>
      </c>
      <c r="AA984" s="103" t="s">
        <v>2220</v>
      </c>
      <c r="AB984" s="103" t="s">
        <v>71</v>
      </c>
      <c r="AE984" s="103" t="s">
        <v>810</v>
      </c>
      <c r="AF984" s="103" t="b">
        <v>1</v>
      </c>
    </row>
    <row r="985" spans="1:32" hidden="1" x14ac:dyDescent="0.2">
      <c r="A985" s="103" t="s">
        <v>915</v>
      </c>
      <c r="B985" s="103" t="s">
        <v>914</v>
      </c>
      <c r="C985" s="103" t="s">
        <v>3122</v>
      </c>
      <c r="D985" s="103" t="s">
        <v>3155</v>
      </c>
      <c r="E985" s="103" t="s">
        <v>2302</v>
      </c>
      <c r="F985" s="103" t="s">
        <v>2175</v>
      </c>
      <c r="G985" s="103">
        <v>20</v>
      </c>
      <c r="H985" s="103" t="s">
        <v>2168</v>
      </c>
      <c r="I985" s="103" t="s">
        <v>2153</v>
      </c>
      <c r="J985" s="103">
        <v>5</v>
      </c>
      <c r="K985" s="103">
        <v>5</v>
      </c>
      <c r="L985" s="103">
        <v>5</v>
      </c>
      <c r="M985" s="103">
        <v>5</v>
      </c>
      <c r="N985" s="103" t="s">
        <v>2163</v>
      </c>
      <c r="O985" s="103">
        <v>20</v>
      </c>
      <c r="P985" s="103" t="s">
        <v>2798</v>
      </c>
      <c r="Q985" s="103" t="s">
        <v>2236</v>
      </c>
      <c r="R985" s="103" t="s">
        <v>2220</v>
      </c>
      <c r="S985" s="103" t="s">
        <v>2422</v>
      </c>
      <c r="U985" s="103">
        <v>10.26</v>
      </c>
      <c r="V985" s="103" t="s">
        <v>2158</v>
      </c>
      <c r="W985" s="103" t="s">
        <v>108</v>
      </c>
      <c r="X985" s="103" t="s">
        <v>1736</v>
      </c>
      <c r="Y985" s="103" t="s">
        <v>3848</v>
      </c>
      <c r="AA985" s="103" t="s">
        <v>2220</v>
      </c>
      <c r="AB985" s="103" t="s">
        <v>71</v>
      </c>
      <c r="AE985" s="103" t="s">
        <v>810</v>
      </c>
      <c r="AF985" s="103" t="b">
        <v>1</v>
      </c>
    </row>
    <row r="986" spans="1:32" hidden="1" x14ac:dyDescent="0.2">
      <c r="A986" s="103" t="s">
        <v>3829</v>
      </c>
      <c r="B986" s="103" t="s">
        <v>1455</v>
      </c>
      <c r="C986" s="103" t="s">
        <v>3122</v>
      </c>
      <c r="D986" s="103" t="s">
        <v>3155</v>
      </c>
      <c r="E986" s="103" t="s">
        <v>2378</v>
      </c>
      <c r="F986" s="103" t="s">
        <v>2175</v>
      </c>
      <c r="G986" s="103">
        <v>20</v>
      </c>
      <c r="H986" s="103" t="s">
        <v>2168</v>
      </c>
      <c r="I986" s="103" t="s">
        <v>2153</v>
      </c>
      <c r="K986" s="103">
        <v>20</v>
      </c>
      <c r="N986" s="103" t="s">
        <v>2163</v>
      </c>
      <c r="O986" s="103">
        <v>20</v>
      </c>
      <c r="P986" s="103" t="s">
        <v>1624</v>
      </c>
      <c r="Q986" s="103" t="s">
        <v>2236</v>
      </c>
      <c r="R986" s="103" t="s">
        <v>2220</v>
      </c>
      <c r="S986" s="103" t="s">
        <v>2422</v>
      </c>
      <c r="U986" s="103">
        <v>10.26</v>
      </c>
      <c r="V986" s="103" t="s">
        <v>2158</v>
      </c>
      <c r="W986" s="103" t="s">
        <v>108</v>
      </c>
      <c r="X986" s="103" t="s">
        <v>345</v>
      </c>
      <c r="Y986" s="103" t="s">
        <v>2240</v>
      </c>
      <c r="AA986" s="103" t="s">
        <v>2220</v>
      </c>
      <c r="AB986" s="103" t="s">
        <v>71</v>
      </c>
      <c r="AE986" s="103" t="s">
        <v>810</v>
      </c>
      <c r="AF986" s="103" t="b">
        <v>1</v>
      </c>
    </row>
    <row r="987" spans="1:32" hidden="1" x14ac:dyDescent="0.2">
      <c r="A987" s="103" t="s">
        <v>915</v>
      </c>
      <c r="B987" s="103" t="s">
        <v>914</v>
      </c>
      <c r="C987" s="103" t="s">
        <v>3122</v>
      </c>
      <c r="D987" s="103" t="s">
        <v>3123</v>
      </c>
      <c r="E987" s="103" t="s">
        <v>2378</v>
      </c>
      <c r="F987" s="103" t="s">
        <v>2175</v>
      </c>
      <c r="G987" s="103">
        <v>20</v>
      </c>
      <c r="H987" s="103" t="s">
        <v>2168</v>
      </c>
      <c r="I987" s="103" t="s">
        <v>2153</v>
      </c>
      <c r="L987" s="103">
        <v>10</v>
      </c>
      <c r="M987" s="103">
        <v>10</v>
      </c>
      <c r="N987" s="103" t="s">
        <v>2154</v>
      </c>
      <c r="O987" s="103">
        <v>20</v>
      </c>
      <c r="P987" s="103" t="s">
        <v>1624</v>
      </c>
      <c r="Q987" s="103" t="s">
        <v>2236</v>
      </c>
      <c r="R987" s="103" t="s">
        <v>2220</v>
      </c>
      <c r="S987" s="103" t="s">
        <v>2422</v>
      </c>
      <c r="U987" s="103">
        <v>10.26</v>
      </c>
      <c r="V987" s="103" t="s">
        <v>2158</v>
      </c>
      <c r="W987" s="103" t="s">
        <v>108</v>
      </c>
      <c r="X987" s="103" t="s">
        <v>1736</v>
      </c>
      <c r="Y987" s="103" t="s">
        <v>3848</v>
      </c>
      <c r="AA987" s="103" t="s">
        <v>2220</v>
      </c>
      <c r="AB987" s="103" t="s">
        <v>71</v>
      </c>
      <c r="AE987" s="103" t="s">
        <v>810</v>
      </c>
      <c r="AF987" s="103" t="b">
        <v>1</v>
      </c>
    </row>
    <row r="988" spans="1:32" hidden="1" x14ac:dyDescent="0.2">
      <c r="A988" s="103" t="s">
        <v>915</v>
      </c>
      <c r="B988" s="103" t="s">
        <v>914</v>
      </c>
      <c r="C988" s="103" t="s">
        <v>3122</v>
      </c>
      <c r="D988" s="103" t="s">
        <v>3123</v>
      </c>
      <c r="E988" s="103" t="s">
        <v>2299</v>
      </c>
      <c r="F988" s="103" t="s">
        <v>2175</v>
      </c>
      <c r="G988" s="103">
        <v>20</v>
      </c>
      <c r="H988" s="103" t="s">
        <v>2168</v>
      </c>
      <c r="I988" s="103" t="s">
        <v>2153</v>
      </c>
      <c r="L988" s="103">
        <v>10</v>
      </c>
      <c r="M988" s="103">
        <v>10</v>
      </c>
      <c r="N988" s="103" t="s">
        <v>2154</v>
      </c>
      <c r="O988" s="103">
        <v>20</v>
      </c>
      <c r="P988" s="103" t="s">
        <v>1624</v>
      </c>
      <c r="Q988" s="103" t="s">
        <v>2236</v>
      </c>
      <c r="R988" s="103" t="s">
        <v>2220</v>
      </c>
      <c r="S988" s="103" t="s">
        <v>2422</v>
      </c>
      <c r="U988" s="103">
        <v>10.26</v>
      </c>
      <c r="V988" s="103" t="s">
        <v>2158</v>
      </c>
      <c r="W988" s="103" t="s">
        <v>108</v>
      </c>
      <c r="X988" s="103" t="s">
        <v>1736</v>
      </c>
      <c r="Y988" s="103" t="s">
        <v>3848</v>
      </c>
      <c r="AA988" s="103" t="s">
        <v>2220</v>
      </c>
      <c r="AB988" s="103" t="s">
        <v>71</v>
      </c>
      <c r="AE988" s="103" t="s">
        <v>810</v>
      </c>
      <c r="AF988" s="103" t="b">
        <v>1</v>
      </c>
    </row>
    <row r="989" spans="1:32" hidden="1" x14ac:dyDescent="0.2">
      <c r="A989" s="103" t="s">
        <v>915</v>
      </c>
      <c r="B989" s="103" t="s">
        <v>914</v>
      </c>
      <c r="C989" s="103" t="s">
        <v>3126</v>
      </c>
      <c r="D989" s="103" t="s">
        <v>3130</v>
      </c>
      <c r="E989" s="103" t="s">
        <v>2259</v>
      </c>
      <c r="F989" s="103" t="s">
        <v>2175</v>
      </c>
      <c r="G989" s="103">
        <v>20</v>
      </c>
      <c r="H989" s="103" t="s">
        <v>2168</v>
      </c>
      <c r="I989" s="103" t="s">
        <v>2153</v>
      </c>
      <c r="K989" s="103">
        <v>20</v>
      </c>
      <c r="N989" s="103" t="s">
        <v>2163</v>
      </c>
      <c r="O989" s="103">
        <v>20</v>
      </c>
      <c r="P989" s="103" t="s">
        <v>1624</v>
      </c>
      <c r="Q989" s="103" t="s">
        <v>2236</v>
      </c>
      <c r="R989" s="103" t="s">
        <v>2220</v>
      </c>
      <c r="S989" s="103" t="s">
        <v>2422</v>
      </c>
      <c r="U989" s="103">
        <v>10.26</v>
      </c>
      <c r="V989" s="103" t="s">
        <v>2158</v>
      </c>
      <c r="W989" s="103" t="s">
        <v>108</v>
      </c>
      <c r="X989" s="103" t="s">
        <v>1736</v>
      </c>
      <c r="Y989" s="103" t="s">
        <v>3848</v>
      </c>
      <c r="AA989" s="103" t="s">
        <v>2220</v>
      </c>
      <c r="AB989" s="103" t="s">
        <v>71</v>
      </c>
      <c r="AE989" s="103" t="s">
        <v>810</v>
      </c>
      <c r="AF989" s="103" t="b">
        <v>1</v>
      </c>
    </row>
    <row r="990" spans="1:32" hidden="1" x14ac:dyDescent="0.2">
      <c r="A990" s="103" t="s">
        <v>915</v>
      </c>
      <c r="B990" s="103" t="s">
        <v>914</v>
      </c>
      <c r="C990" s="103" t="s">
        <v>3126</v>
      </c>
      <c r="D990" s="103" t="s">
        <v>3130</v>
      </c>
      <c r="E990" s="103" t="s">
        <v>2366</v>
      </c>
      <c r="F990" s="103" t="s">
        <v>2175</v>
      </c>
      <c r="G990" s="103">
        <v>20</v>
      </c>
      <c r="H990" s="103" t="s">
        <v>2168</v>
      </c>
      <c r="I990" s="103" t="s">
        <v>2153</v>
      </c>
      <c r="K990" s="103">
        <v>10</v>
      </c>
      <c r="L990" s="103">
        <v>10</v>
      </c>
      <c r="N990" s="103" t="s">
        <v>2163</v>
      </c>
      <c r="O990" s="103">
        <v>20</v>
      </c>
      <c r="P990" s="103" t="s">
        <v>2549</v>
      </c>
      <c r="Q990" s="103" t="s">
        <v>2236</v>
      </c>
      <c r="R990" s="103" t="s">
        <v>2220</v>
      </c>
      <c r="S990" s="103" t="s">
        <v>2422</v>
      </c>
      <c r="U990" s="103">
        <v>10.26</v>
      </c>
      <c r="V990" s="103" t="s">
        <v>2158</v>
      </c>
      <c r="W990" s="103" t="s">
        <v>108</v>
      </c>
      <c r="X990" s="103" t="s">
        <v>1736</v>
      </c>
      <c r="Y990" s="103" t="s">
        <v>3848</v>
      </c>
      <c r="AA990" s="103" t="s">
        <v>2220</v>
      </c>
      <c r="AB990" s="103" t="s">
        <v>71</v>
      </c>
      <c r="AE990" s="103" t="s">
        <v>810</v>
      </c>
      <c r="AF990" s="103" t="b">
        <v>1</v>
      </c>
    </row>
    <row r="991" spans="1:32" hidden="1" x14ac:dyDescent="0.2">
      <c r="A991" s="103" t="s">
        <v>915</v>
      </c>
      <c r="B991" s="103" t="s">
        <v>914</v>
      </c>
      <c r="C991" s="103" t="s">
        <v>3126</v>
      </c>
      <c r="D991" s="103" t="s">
        <v>3130</v>
      </c>
      <c r="E991" s="103" t="s">
        <v>2285</v>
      </c>
      <c r="F991" s="103" t="s">
        <v>2175</v>
      </c>
      <c r="G991" s="103">
        <v>20</v>
      </c>
      <c r="H991" s="103" t="s">
        <v>2168</v>
      </c>
      <c r="I991" s="103" t="s">
        <v>2153</v>
      </c>
      <c r="K991" s="103">
        <v>10</v>
      </c>
      <c r="L991" s="103">
        <v>10</v>
      </c>
      <c r="N991" s="103" t="s">
        <v>2163</v>
      </c>
      <c r="O991" s="103">
        <v>20</v>
      </c>
      <c r="P991" s="103" t="s">
        <v>2549</v>
      </c>
      <c r="Q991" s="103" t="s">
        <v>2236</v>
      </c>
      <c r="R991" s="103" t="s">
        <v>2220</v>
      </c>
      <c r="S991" s="103" t="s">
        <v>2422</v>
      </c>
      <c r="U991" s="103">
        <v>10.26</v>
      </c>
      <c r="V991" s="103" t="s">
        <v>2158</v>
      </c>
      <c r="W991" s="103" t="s">
        <v>108</v>
      </c>
      <c r="X991" s="103" t="s">
        <v>1736</v>
      </c>
      <c r="Y991" s="103" t="s">
        <v>3848</v>
      </c>
      <c r="AA991" s="103" t="s">
        <v>2220</v>
      </c>
      <c r="AB991" s="103" t="s">
        <v>71</v>
      </c>
      <c r="AE991" s="103" t="s">
        <v>810</v>
      </c>
      <c r="AF991" s="103" t="b">
        <v>1</v>
      </c>
    </row>
    <row r="992" spans="1:32" hidden="1" x14ac:dyDescent="0.2">
      <c r="A992" s="103" t="s">
        <v>915</v>
      </c>
      <c r="B992" s="103" t="s">
        <v>914</v>
      </c>
      <c r="C992" s="103" t="s">
        <v>3126</v>
      </c>
      <c r="D992" s="103" t="s">
        <v>3130</v>
      </c>
      <c r="E992" s="103" t="s">
        <v>2266</v>
      </c>
      <c r="F992" s="103" t="s">
        <v>2175</v>
      </c>
      <c r="G992" s="103">
        <v>20</v>
      </c>
      <c r="H992" s="103" t="s">
        <v>2168</v>
      </c>
      <c r="I992" s="103" t="s">
        <v>2153</v>
      </c>
      <c r="K992" s="103">
        <v>20</v>
      </c>
      <c r="N992" s="103" t="s">
        <v>2163</v>
      </c>
      <c r="O992" s="103">
        <v>20</v>
      </c>
      <c r="P992" s="103" t="s">
        <v>1624</v>
      </c>
      <c r="Q992" s="103" t="s">
        <v>2236</v>
      </c>
      <c r="R992" s="103" t="s">
        <v>2220</v>
      </c>
      <c r="S992" s="103" t="s">
        <v>2422</v>
      </c>
      <c r="U992" s="103">
        <v>10.26</v>
      </c>
      <c r="V992" s="103" t="s">
        <v>2158</v>
      </c>
      <c r="W992" s="103" t="s">
        <v>108</v>
      </c>
      <c r="X992" s="103" t="s">
        <v>1736</v>
      </c>
      <c r="Y992" s="103" t="s">
        <v>3848</v>
      </c>
      <c r="AA992" s="103" t="s">
        <v>2220</v>
      </c>
      <c r="AB992" s="103" t="s">
        <v>71</v>
      </c>
      <c r="AE992" s="103" t="s">
        <v>810</v>
      </c>
      <c r="AF992" s="103" t="b">
        <v>1</v>
      </c>
    </row>
    <row r="993" spans="1:32" hidden="1" x14ac:dyDescent="0.2">
      <c r="A993" s="103" t="s">
        <v>915</v>
      </c>
      <c r="B993" s="103" t="s">
        <v>914</v>
      </c>
      <c r="C993" s="103" t="s">
        <v>3126</v>
      </c>
      <c r="D993" s="103" t="s">
        <v>3130</v>
      </c>
      <c r="E993" s="103" t="s">
        <v>2272</v>
      </c>
      <c r="F993" s="103" t="s">
        <v>2175</v>
      </c>
      <c r="G993" s="103">
        <v>20</v>
      </c>
      <c r="H993" s="103" t="s">
        <v>2168</v>
      </c>
      <c r="I993" s="103" t="s">
        <v>2153</v>
      </c>
      <c r="L993" s="103">
        <v>20</v>
      </c>
      <c r="N993" s="103" t="s">
        <v>2163</v>
      </c>
      <c r="O993" s="103">
        <v>20</v>
      </c>
      <c r="P993" s="103" t="s">
        <v>2789</v>
      </c>
      <c r="Q993" s="103" t="s">
        <v>2236</v>
      </c>
      <c r="R993" s="103" t="s">
        <v>2220</v>
      </c>
      <c r="S993" s="103" t="s">
        <v>2422</v>
      </c>
      <c r="U993" s="103">
        <v>10.26</v>
      </c>
      <c r="V993" s="103" t="s">
        <v>2158</v>
      </c>
      <c r="W993" s="103" t="s">
        <v>108</v>
      </c>
      <c r="X993" s="103" t="s">
        <v>1736</v>
      </c>
      <c r="Y993" s="103" t="s">
        <v>3848</v>
      </c>
      <c r="AA993" s="103" t="s">
        <v>2220</v>
      </c>
      <c r="AB993" s="103" t="s">
        <v>71</v>
      </c>
      <c r="AE993" s="103" t="s">
        <v>810</v>
      </c>
      <c r="AF993" s="103" t="b">
        <v>1</v>
      </c>
    </row>
    <row r="994" spans="1:32" hidden="1" x14ac:dyDescent="0.2">
      <c r="A994" s="103" t="s">
        <v>915</v>
      </c>
      <c r="B994" s="103" t="s">
        <v>914</v>
      </c>
      <c r="C994" s="103" t="s">
        <v>3126</v>
      </c>
      <c r="D994" s="103" t="s">
        <v>3130</v>
      </c>
      <c r="E994" s="103" t="s">
        <v>2292</v>
      </c>
      <c r="F994" s="103" t="s">
        <v>2175</v>
      </c>
      <c r="G994" s="103">
        <v>20</v>
      </c>
      <c r="H994" s="103" t="s">
        <v>2168</v>
      </c>
      <c r="I994" s="103" t="s">
        <v>2153</v>
      </c>
      <c r="K994" s="103">
        <v>10</v>
      </c>
      <c r="L994" s="103">
        <v>10</v>
      </c>
      <c r="N994" s="103" t="s">
        <v>2163</v>
      </c>
      <c r="O994" s="103">
        <v>20</v>
      </c>
      <c r="P994" s="103" t="s">
        <v>2549</v>
      </c>
      <c r="Q994" s="103" t="s">
        <v>2236</v>
      </c>
      <c r="R994" s="103" t="s">
        <v>2220</v>
      </c>
      <c r="S994" s="103" t="s">
        <v>2422</v>
      </c>
      <c r="U994" s="103">
        <v>10.26</v>
      </c>
      <c r="V994" s="103" t="s">
        <v>2158</v>
      </c>
      <c r="W994" s="103" t="s">
        <v>108</v>
      </c>
      <c r="X994" s="103" t="s">
        <v>1736</v>
      </c>
      <c r="Y994" s="103" t="s">
        <v>3848</v>
      </c>
      <c r="AA994" s="103" t="s">
        <v>2220</v>
      </c>
      <c r="AB994" s="103" t="s">
        <v>71</v>
      </c>
      <c r="AE994" s="103" t="s">
        <v>810</v>
      </c>
      <c r="AF994" s="103" t="b">
        <v>1</v>
      </c>
    </row>
    <row r="995" spans="1:32" hidden="1" x14ac:dyDescent="0.2">
      <c r="A995" s="103" t="s">
        <v>915</v>
      </c>
      <c r="B995" s="103" t="s">
        <v>914</v>
      </c>
      <c r="C995" s="103" t="s">
        <v>3126</v>
      </c>
      <c r="D995" s="103" t="s">
        <v>3130</v>
      </c>
      <c r="E995" s="103" t="s">
        <v>2694</v>
      </c>
      <c r="F995" s="103" t="s">
        <v>2175</v>
      </c>
      <c r="G995" s="103">
        <v>20</v>
      </c>
      <c r="H995" s="103" t="s">
        <v>2168</v>
      </c>
      <c r="I995" s="103" t="s">
        <v>2153</v>
      </c>
      <c r="K995" s="103">
        <v>10</v>
      </c>
      <c r="L995" s="103">
        <v>10</v>
      </c>
      <c r="N995" s="103" t="s">
        <v>2163</v>
      </c>
      <c r="O995" s="103">
        <v>20</v>
      </c>
      <c r="P995" s="103" t="s">
        <v>2549</v>
      </c>
      <c r="Q995" s="103" t="s">
        <v>2236</v>
      </c>
      <c r="R995" s="103" t="s">
        <v>2220</v>
      </c>
      <c r="S995" s="103" t="s">
        <v>2422</v>
      </c>
      <c r="U995" s="103">
        <v>10.26</v>
      </c>
      <c r="V995" s="103" t="s">
        <v>2158</v>
      </c>
      <c r="W995" s="103" t="s">
        <v>108</v>
      </c>
      <c r="X995" s="103" t="s">
        <v>1736</v>
      </c>
      <c r="Y995" s="103" t="s">
        <v>3848</v>
      </c>
      <c r="AA995" s="103" t="s">
        <v>2220</v>
      </c>
      <c r="AB995" s="103" t="s">
        <v>71</v>
      </c>
      <c r="AE995" s="103" t="s">
        <v>810</v>
      </c>
      <c r="AF995" s="103" t="b">
        <v>1</v>
      </c>
    </row>
    <row r="996" spans="1:32" hidden="1" x14ac:dyDescent="0.2">
      <c r="A996" s="103" t="s">
        <v>915</v>
      </c>
      <c r="B996" s="103" t="s">
        <v>914</v>
      </c>
      <c r="C996" s="103" t="s">
        <v>3126</v>
      </c>
      <c r="D996" s="103" t="s">
        <v>3130</v>
      </c>
      <c r="E996" s="103" t="s">
        <v>2796</v>
      </c>
      <c r="F996" s="103" t="s">
        <v>2175</v>
      </c>
      <c r="G996" s="103">
        <v>20</v>
      </c>
      <c r="H996" s="103" t="s">
        <v>2168</v>
      </c>
      <c r="I996" s="103" t="s">
        <v>2153</v>
      </c>
      <c r="K996" s="103">
        <v>10</v>
      </c>
      <c r="L996" s="103">
        <v>10</v>
      </c>
      <c r="N996" s="103" t="s">
        <v>2163</v>
      </c>
      <c r="O996" s="103">
        <v>20</v>
      </c>
      <c r="P996" s="103" t="s">
        <v>2549</v>
      </c>
      <c r="Q996" s="103" t="s">
        <v>2236</v>
      </c>
      <c r="R996" s="103" t="s">
        <v>2220</v>
      </c>
      <c r="S996" s="103" t="s">
        <v>2422</v>
      </c>
      <c r="U996" s="103">
        <v>10.26</v>
      </c>
      <c r="V996" s="103" t="s">
        <v>2158</v>
      </c>
      <c r="W996" s="103" t="s">
        <v>108</v>
      </c>
      <c r="X996" s="103" t="s">
        <v>1736</v>
      </c>
      <c r="Y996" s="103" t="s">
        <v>3848</v>
      </c>
      <c r="AA996" s="103" t="s">
        <v>2220</v>
      </c>
      <c r="AB996" s="103" t="s">
        <v>71</v>
      </c>
      <c r="AE996" s="103" t="s">
        <v>810</v>
      </c>
      <c r="AF996" s="103" t="b">
        <v>1</v>
      </c>
    </row>
    <row r="997" spans="1:32" hidden="1" x14ac:dyDescent="0.2">
      <c r="A997" s="103" t="s">
        <v>915</v>
      </c>
      <c r="B997" s="103" t="s">
        <v>914</v>
      </c>
      <c r="C997" s="103" t="s">
        <v>3126</v>
      </c>
      <c r="D997" s="103" t="s">
        <v>3130</v>
      </c>
      <c r="E997" s="103" t="s">
        <v>2315</v>
      </c>
      <c r="F997" s="103" t="s">
        <v>2175</v>
      </c>
      <c r="G997" s="103">
        <v>20</v>
      </c>
      <c r="H997" s="103" t="s">
        <v>2168</v>
      </c>
      <c r="I997" s="103" t="s">
        <v>2153</v>
      </c>
      <c r="M997" s="103">
        <v>20</v>
      </c>
      <c r="N997" s="103" t="s">
        <v>2163</v>
      </c>
      <c r="O997" s="103">
        <v>20</v>
      </c>
      <c r="P997" s="103" t="s">
        <v>2789</v>
      </c>
      <c r="Q997" s="103" t="s">
        <v>2236</v>
      </c>
      <c r="R997" s="103" t="s">
        <v>2220</v>
      </c>
      <c r="S997" s="103" t="s">
        <v>2422</v>
      </c>
      <c r="U997" s="103">
        <v>10.26</v>
      </c>
      <c r="V997" s="103" t="s">
        <v>2158</v>
      </c>
      <c r="W997" s="103" t="s">
        <v>108</v>
      </c>
      <c r="X997" s="103" t="s">
        <v>1736</v>
      </c>
      <c r="Y997" s="103" t="s">
        <v>3848</v>
      </c>
      <c r="AA997" s="103" t="s">
        <v>2220</v>
      </c>
      <c r="AB997" s="103" t="s">
        <v>71</v>
      </c>
      <c r="AE997" s="103" t="s">
        <v>810</v>
      </c>
      <c r="AF997" s="103" t="b">
        <v>1</v>
      </c>
    </row>
    <row r="998" spans="1:32" hidden="1" x14ac:dyDescent="0.2">
      <c r="A998" s="103" t="s">
        <v>915</v>
      </c>
      <c r="B998" s="103" t="s">
        <v>914</v>
      </c>
      <c r="C998" s="103" t="s">
        <v>3126</v>
      </c>
      <c r="D998" s="103" t="s">
        <v>3157</v>
      </c>
      <c r="E998" s="103" t="s">
        <v>2350</v>
      </c>
      <c r="F998" s="103" t="s">
        <v>2175</v>
      </c>
      <c r="G998" s="103">
        <v>20</v>
      </c>
      <c r="H998" s="103" t="s">
        <v>2168</v>
      </c>
      <c r="I998" s="103" t="s">
        <v>2153</v>
      </c>
      <c r="J998" s="103">
        <v>20</v>
      </c>
      <c r="N998" s="103" t="s">
        <v>2163</v>
      </c>
      <c r="O998" s="103">
        <v>20</v>
      </c>
      <c r="P998" s="103" t="s">
        <v>1624</v>
      </c>
      <c r="Q998" s="103" t="s">
        <v>2236</v>
      </c>
      <c r="R998" s="103" t="s">
        <v>2220</v>
      </c>
      <c r="S998" s="103" t="s">
        <v>2422</v>
      </c>
      <c r="U998" s="103">
        <v>10.26</v>
      </c>
      <c r="V998" s="103" t="s">
        <v>2158</v>
      </c>
      <c r="W998" s="103" t="s">
        <v>108</v>
      </c>
      <c r="X998" s="103" t="s">
        <v>1736</v>
      </c>
      <c r="Y998" s="103" t="s">
        <v>3848</v>
      </c>
      <c r="AA998" s="103" t="s">
        <v>2220</v>
      </c>
      <c r="AB998" s="103" t="s">
        <v>71</v>
      </c>
      <c r="AE998" s="103" t="s">
        <v>810</v>
      </c>
      <c r="AF998" s="103" t="b">
        <v>1</v>
      </c>
    </row>
    <row r="999" spans="1:32" hidden="1" x14ac:dyDescent="0.2">
      <c r="A999" s="103" t="s">
        <v>915</v>
      </c>
      <c r="B999" s="103" t="s">
        <v>914</v>
      </c>
      <c r="C999" s="103" t="s">
        <v>3126</v>
      </c>
      <c r="D999" s="103" t="s">
        <v>3158</v>
      </c>
      <c r="E999" s="103" t="s">
        <v>2350</v>
      </c>
      <c r="F999" s="103" t="s">
        <v>2175</v>
      </c>
      <c r="G999" s="103">
        <v>20</v>
      </c>
      <c r="H999" s="103" t="s">
        <v>2168</v>
      </c>
      <c r="I999" s="103" t="s">
        <v>2153</v>
      </c>
      <c r="J999" s="103">
        <v>20</v>
      </c>
      <c r="N999" s="103" t="s">
        <v>2163</v>
      </c>
      <c r="O999" s="103">
        <v>20</v>
      </c>
      <c r="P999" s="103" t="s">
        <v>1624</v>
      </c>
      <c r="Q999" s="103" t="s">
        <v>2236</v>
      </c>
      <c r="R999" s="103" t="s">
        <v>2220</v>
      </c>
      <c r="S999" s="103" t="s">
        <v>2422</v>
      </c>
      <c r="U999" s="103">
        <v>10.26</v>
      </c>
      <c r="V999" s="103" t="s">
        <v>2158</v>
      </c>
      <c r="W999" s="103" t="s">
        <v>108</v>
      </c>
      <c r="X999" s="103" t="s">
        <v>1736</v>
      </c>
      <c r="Y999" s="103" t="s">
        <v>3848</v>
      </c>
      <c r="AA999" s="103" t="s">
        <v>2220</v>
      </c>
      <c r="AB999" s="103" t="s">
        <v>71</v>
      </c>
      <c r="AE999" s="103" t="s">
        <v>810</v>
      </c>
      <c r="AF999" s="103" t="b">
        <v>1</v>
      </c>
    </row>
    <row r="1000" spans="1:32" hidden="1" x14ac:dyDescent="0.2">
      <c r="A1000" s="103" t="s">
        <v>915</v>
      </c>
      <c r="B1000" s="103" t="s">
        <v>914</v>
      </c>
      <c r="C1000" s="103" t="s">
        <v>3126</v>
      </c>
      <c r="D1000" s="103" t="s">
        <v>3130</v>
      </c>
      <c r="E1000" s="103" t="s">
        <v>2299</v>
      </c>
      <c r="F1000" s="103" t="s">
        <v>2175</v>
      </c>
      <c r="G1000" s="103">
        <v>20</v>
      </c>
      <c r="H1000" s="103" t="s">
        <v>2168</v>
      </c>
      <c r="I1000" s="103" t="s">
        <v>2153</v>
      </c>
      <c r="K1000" s="103">
        <v>20</v>
      </c>
      <c r="N1000" s="103" t="s">
        <v>2163</v>
      </c>
      <c r="O1000" s="103">
        <v>20</v>
      </c>
      <c r="P1000" s="103" t="s">
        <v>1624</v>
      </c>
      <c r="Q1000" s="103" t="s">
        <v>2236</v>
      </c>
      <c r="R1000" s="103" t="s">
        <v>2220</v>
      </c>
      <c r="S1000" s="103" t="s">
        <v>2422</v>
      </c>
      <c r="U1000" s="103">
        <v>10.26</v>
      </c>
      <c r="V1000" s="103" t="s">
        <v>2158</v>
      </c>
      <c r="W1000" s="103" t="s">
        <v>108</v>
      </c>
      <c r="X1000" s="103" t="s">
        <v>1736</v>
      </c>
      <c r="Y1000" s="103" t="s">
        <v>3848</v>
      </c>
      <c r="AA1000" s="103" t="s">
        <v>2220</v>
      </c>
      <c r="AB1000" s="103" t="s">
        <v>71</v>
      </c>
      <c r="AE1000" s="103" t="s">
        <v>810</v>
      </c>
      <c r="AF1000" s="103" t="b">
        <v>1</v>
      </c>
    </row>
    <row r="1001" spans="1:32" hidden="1" x14ac:dyDescent="0.2">
      <c r="A1001" s="103" t="s">
        <v>915</v>
      </c>
      <c r="B1001" s="103" t="s">
        <v>914</v>
      </c>
      <c r="C1001" s="103" t="s">
        <v>3126</v>
      </c>
      <c r="D1001" s="103" t="s">
        <v>3130</v>
      </c>
      <c r="E1001" s="103" t="s">
        <v>2264</v>
      </c>
      <c r="F1001" s="103" t="s">
        <v>2175</v>
      </c>
      <c r="G1001" s="103">
        <v>20</v>
      </c>
      <c r="H1001" s="103" t="s">
        <v>2168</v>
      </c>
      <c r="I1001" s="103" t="s">
        <v>2153</v>
      </c>
      <c r="K1001" s="103">
        <v>20</v>
      </c>
      <c r="N1001" s="103" t="s">
        <v>2163</v>
      </c>
      <c r="O1001" s="103">
        <v>20</v>
      </c>
      <c r="P1001" s="103" t="s">
        <v>1624</v>
      </c>
      <c r="Q1001" s="103" t="s">
        <v>2236</v>
      </c>
      <c r="R1001" s="103" t="s">
        <v>2220</v>
      </c>
      <c r="S1001" s="103" t="s">
        <v>2422</v>
      </c>
      <c r="U1001" s="103">
        <v>10.26</v>
      </c>
      <c r="V1001" s="103" t="s">
        <v>2158</v>
      </c>
      <c r="W1001" s="103" t="s">
        <v>108</v>
      </c>
      <c r="X1001" s="103" t="s">
        <v>1736</v>
      </c>
      <c r="Y1001" s="103" t="s">
        <v>3848</v>
      </c>
      <c r="AA1001" s="103" t="s">
        <v>2220</v>
      </c>
      <c r="AB1001" s="103" t="s">
        <v>71</v>
      </c>
      <c r="AE1001" s="103" t="s">
        <v>810</v>
      </c>
      <c r="AF1001" s="103" t="b">
        <v>1</v>
      </c>
    </row>
    <row r="1002" spans="1:32" hidden="1" x14ac:dyDescent="0.2">
      <c r="A1002" s="103" t="s">
        <v>915</v>
      </c>
      <c r="B1002" s="103" t="s">
        <v>914</v>
      </c>
      <c r="C1002" s="103" t="s">
        <v>3126</v>
      </c>
      <c r="D1002" s="103" t="s">
        <v>3159</v>
      </c>
      <c r="E1002" s="103" t="s">
        <v>2302</v>
      </c>
      <c r="F1002" s="103" t="s">
        <v>2175</v>
      </c>
      <c r="G1002" s="103">
        <v>20</v>
      </c>
      <c r="H1002" s="103" t="s">
        <v>2168</v>
      </c>
      <c r="I1002" s="103" t="s">
        <v>2153</v>
      </c>
      <c r="J1002" s="103">
        <v>5</v>
      </c>
      <c r="K1002" s="103">
        <v>5</v>
      </c>
      <c r="L1002" s="103">
        <v>5</v>
      </c>
      <c r="M1002" s="103">
        <v>5</v>
      </c>
      <c r="N1002" s="103" t="s">
        <v>2163</v>
      </c>
      <c r="O1002" s="103">
        <v>20</v>
      </c>
      <c r="P1002" s="103" t="s">
        <v>2798</v>
      </c>
      <c r="Q1002" s="103" t="s">
        <v>2236</v>
      </c>
      <c r="R1002" s="103" t="s">
        <v>2220</v>
      </c>
      <c r="S1002" s="103" t="s">
        <v>2422</v>
      </c>
      <c r="U1002" s="103">
        <v>10.26</v>
      </c>
      <c r="V1002" s="103" t="s">
        <v>2158</v>
      </c>
      <c r="W1002" s="103" t="s">
        <v>108</v>
      </c>
      <c r="X1002" s="103" t="s">
        <v>1736</v>
      </c>
      <c r="Y1002" s="103" t="s">
        <v>3848</v>
      </c>
      <c r="AA1002" s="103" t="s">
        <v>2220</v>
      </c>
      <c r="AB1002" s="103" t="s">
        <v>71</v>
      </c>
      <c r="AE1002" s="103" t="s">
        <v>810</v>
      </c>
      <c r="AF1002" s="103" t="b">
        <v>1</v>
      </c>
    </row>
    <row r="1003" spans="1:32" hidden="1" x14ac:dyDescent="0.2">
      <c r="A1003" s="103" t="s">
        <v>915</v>
      </c>
      <c r="B1003" s="103" t="s">
        <v>914</v>
      </c>
      <c r="C1003" s="103" t="s">
        <v>3110</v>
      </c>
      <c r="D1003" s="103" t="s">
        <v>3160</v>
      </c>
      <c r="E1003" s="103" t="s">
        <v>2993</v>
      </c>
      <c r="F1003" s="103" t="s">
        <v>2162</v>
      </c>
      <c r="G1003" s="103">
        <v>50</v>
      </c>
      <c r="H1003" s="103" t="s">
        <v>2168</v>
      </c>
      <c r="I1003" s="103" t="s">
        <v>2153</v>
      </c>
      <c r="J1003" s="103">
        <v>15</v>
      </c>
      <c r="K1003" s="103">
        <v>10</v>
      </c>
      <c r="L1003" s="103">
        <v>15</v>
      </c>
      <c r="M1003" s="103">
        <v>10</v>
      </c>
      <c r="N1003" s="103" t="s">
        <v>2163</v>
      </c>
      <c r="O1003" s="103">
        <v>50</v>
      </c>
      <c r="P1003" s="103" t="s">
        <v>2798</v>
      </c>
      <c r="Q1003" s="103" t="s">
        <v>2236</v>
      </c>
      <c r="R1003" s="103" t="s">
        <v>2220</v>
      </c>
      <c r="S1003" s="103" t="s">
        <v>2422</v>
      </c>
      <c r="U1003" s="103">
        <v>25.65</v>
      </c>
      <c r="V1003" s="103" t="s">
        <v>2158</v>
      </c>
      <c r="W1003" s="103" t="s">
        <v>116</v>
      </c>
      <c r="X1003" s="103" t="s">
        <v>1736</v>
      </c>
      <c r="Y1003" s="103" t="s">
        <v>3848</v>
      </c>
      <c r="AA1003" s="103" t="s">
        <v>2220</v>
      </c>
      <c r="AB1003" s="103" t="s">
        <v>71</v>
      </c>
      <c r="AE1003" s="103" t="s">
        <v>810</v>
      </c>
      <c r="AF1003" s="103" t="b">
        <v>1</v>
      </c>
    </row>
    <row r="1004" spans="1:32" hidden="1" x14ac:dyDescent="0.2">
      <c r="A1004" s="103" t="s">
        <v>915</v>
      </c>
      <c r="B1004" s="103" t="s">
        <v>914</v>
      </c>
      <c r="C1004" s="103" t="s">
        <v>1574</v>
      </c>
      <c r="D1004" s="103" t="s">
        <v>3124</v>
      </c>
      <c r="E1004" s="103" t="s">
        <v>2993</v>
      </c>
      <c r="F1004" s="103" t="s">
        <v>2151</v>
      </c>
      <c r="G1004" s="103">
        <v>100</v>
      </c>
      <c r="H1004" s="103" t="s">
        <v>2168</v>
      </c>
      <c r="I1004" s="103" t="s">
        <v>2153</v>
      </c>
      <c r="J1004" s="103">
        <v>25</v>
      </c>
      <c r="K1004" s="103">
        <v>25</v>
      </c>
      <c r="L1004" s="103">
        <v>25</v>
      </c>
      <c r="M1004" s="103">
        <v>25</v>
      </c>
      <c r="N1004" s="103" t="s">
        <v>2163</v>
      </c>
      <c r="O1004" s="103">
        <v>100</v>
      </c>
      <c r="P1004" s="103" t="s">
        <v>2798</v>
      </c>
      <c r="Q1004" s="103" t="s">
        <v>2387</v>
      </c>
      <c r="R1004" s="103" t="s">
        <v>2220</v>
      </c>
      <c r="S1004" s="103" t="s">
        <v>2422</v>
      </c>
      <c r="U1004" s="103">
        <v>51.3</v>
      </c>
      <c r="V1004" s="103" t="s">
        <v>2158</v>
      </c>
      <c r="W1004" s="103" t="s">
        <v>116</v>
      </c>
      <c r="X1004" s="103" t="s">
        <v>1736</v>
      </c>
      <c r="Y1004" s="103" t="s">
        <v>3848</v>
      </c>
      <c r="AA1004" s="103" t="s">
        <v>2220</v>
      </c>
      <c r="AB1004" s="103" t="s">
        <v>71</v>
      </c>
      <c r="AE1004" s="103" t="s">
        <v>810</v>
      </c>
      <c r="AF1004" s="103" t="b">
        <v>1</v>
      </c>
    </row>
    <row r="1005" spans="1:32" hidden="1" x14ac:dyDescent="0.2">
      <c r="A1005" s="103" t="s">
        <v>915</v>
      </c>
      <c r="B1005" s="103" t="s">
        <v>914</v>
      </c>
      <c r="C1005" s="103" t="s">
        <v>3126</v>
      </c>
      <c r="D1005" s="103" t="s">
        <v>3130</v>
      </c>
      <c r="E1005" s="103" t="s">
        <v>2378</v>
      </c>
      <c r="F1005" s="103" t="s">
        <v>2175</v>
      </c>
      <c r="G1005" s="103">
        <v>20</v>
      </c>
      <c r="H1005" s="103" t="s">
        <v>2168</v>
      </c>
      <c r="I1005" s="103" t="s">
        <v>2153</v>
      </c>
      <c r="K1005" s="103">
        <v>20</v>
      </c>
      <c r="N1005" s="103" t="s">
        <v>2163</v>
      </c>
      <c r="O1005" s="103">
        <v>20</v>
      </c>
      <c r="P1005" s="103" t="s">
        <v>1624</v>
      </c>
      <c r="Q1005" s="103" t="s">
        <v>2236</v>
      </c>
      <c r="R1005" s="103" t="s">
        <v>2220</v>
      </c>
      <c r="S1005" s="103" t="s">
        <v>2422</v>
      </c>
      <c r="U1005" s="103">
        <v>10.26</v>
      </c>
      <c r="V1005" s="103" t="s">
        <v>2158</v>
      </c>
      <c r="W1005" s="103" t="s">
        <v>108</v>
      </c>
      <c r="X1005" s="103" t="s">
        <v>1736</v>
      </c>
      <c r="Y1005" s="103" t="s">
        <v>3848</v>
      </c>
      <c r="AA1005" s="103" t="s">
        <v>2220</v>
      </c>
      <c r="AB1005" s="103" t="s">
        <v>71</v>
      </c>
      <c r="AE1005" s="103" t="s">
        <v>810</v>
      </c>
      <c r="AF1005" s="103" t="b">
        <v>1</v>
      </c>
    </row>
    <row r="1006" spans="1:32" hidden="1" x14ac:dyDescent="0.2">
      <c r="A1006" s="103" t="s">
        <v>915</v>
      </c>
      <c r="B1006" s="103" t="s">
        <v>914</v>
      </c>
      <c r="C1006" s="103" t="s">
        <v>3126</v>
      </c>
      <c r="D1006" s="103" t="s">
        <v>3138</v>
      </c>
      <c r="E1006" s="103" t="s">
        <v>2259</v>
      </c>
      <c r="F1006" s="103" t="s">
        <v>2175</v>
      </c>
      <c r="G1006" s="103">
        <v>15</v>
      </c>
      <c r="H1006" s="103" t="s">
        <v>2152</v>
      </c>
      <c r="I1006" s="103" t="s">
        <v>2153</v>
      </c>
      <c r="L1006" s="103">
        <v>15</v>
      </c>
      <c r="N1006" s="103" t="s">
        <v>2154</v>
      </c>
      <c r="O1006" s="103">
        <v>15</v>
      </c>
      <c r="P1006" s="103" t="s">
        <v>1624</v>
      </c>
      <c r="Q1006" s="103" t="s">
        <v>2236</v>
      </c>
      <c r="R1006" s="103" t="s">
        <v>2220</v>
      </c>
      <c r="S1006" s="103" t="s">
        <v>2422</v>
      </c>
      <c r="U1006" s="103">
        <v>7.6950000000000003</v>
      </c>
      <c r="V1006" s="103" t="s">
        <v>2158</v>
      </c>
      <c r="W1006" s="103" t="s">
        <v>108</v>
      </c>
      <c r="X1006" s="103" t="s">
        <v>1736</v>
      </c>
      <c r="Y1006" s="103" t="s">
        <v>3848</v>
      </c>
      <c r="AA1006" s="103" t="s">
        <v>2220</v>
      </c>
      <c r="AB1006" s="103" t="s">
        <v>71</v>
      </c>
      <c r="AE1006" s="103" t="s">
        <v>810</v>
      </c>
      <c r="AF1006" s="103" t="b">
        <v>1</v>
      </c>
    </row>
    <row r="1007" spans="1:32" hidden="1" x14ac:dyDescent="0.2">
      <c r="A1007" s="103" t="s">
        <v>915</v>
      </c>
      <c r="B1007" s="103" t="s">
        <v>914</v>
      </c>
      <c r="C1007" s="103" t="s">
        <v>3126</v>
      </c>
      <c r="D1007" s="103" t="s">
        <v>3161</v>
      </c>
      <c r="E1007" s="103" t="s">
        <v>2285</v>
      </c>
      <c r="F1007" s="103" t="s">
        <v>2175</v>
      </c>
      <c r="G1007" s="103">
        <v>20</v>
      </c>
      <c r="H1007" s="103" t="s">
        <v>2168</v>
      </c>
      <c r="I1007" s="103" t="s">
        <v>2153</v>
      </c>
      <c r="J1007" s="103">
        <v>5</v>
      </c>
      <c r="K1007" s="103">
        <v>5</v>
      </c>
      <c r="L1007" s="103">
        <v>5</v>
      </c>
      <c r="M1007" s="103">
        <v>5</v>
      </c>
      <c r="N1007" s="103" t="s">
        <v>2154</v>
      </c>
      <c r="O1007" s="103">
        <v>20</v>
      </c>
      <c r="P1007" s="103" t="s">
        <v>2549</v>
      </c>
      <c r="Q1007" s="103" t="s">
        <v>2236</v>
      </c>
      <c r="R1007" s="103" t="s">
        <v>2220</v>
      </c>
      <c r="S1007" s="103" t="s">
        <v>2422</v>
      </c>
      <c r="U1007" s="103">
        <v>10.26</v>
      </c>
      <c r="V1007" s="103" t="s">
        <v>2158</v>
      </c>
      <c r="W1007" s="103" t="s">
        <v>108</v>
      </c>
      <c r="X1007" s="103" t="s">
        <v>1736</v>
      </c>
      <c r="Y1007" s="103" t="s">
        <v>3848</v>
      </c>
      <c r="AA1007" s="103" t="s">
        <v>2220</v>
      </c>
      <c r="AB1007" s="103" t="s">
        <v>71</v>
      </c>
      <c r="AE1007" s="103" t="s">
        <v>810</v>
      </c>
      <c r="AF1007" s="103" t="b">
        <v>1</v>
      </c>
    </row>
    <row r="1008" spans="1:32" hidden="1" x14ac:dyDescent="0.2">
      <c r="A1008" s="103" t="s">
        <v>915</v>
      </c>
      <c r="B1008" s="103" t="s">
        <v>914</v>
      </c>
      <c r="C1008" s="103" t="s">
        <v>3162</v>
      </c>
      <c r="D1008" s="103" t="s">
        <v>3163</v>
      </c>
      <c r="E1008" s="103" t="s">
        <v>2350</v>
      </c>
      <c r="F1008" s="103" t="s">
        <v>2202</v>
      </c>
      <c r="G1008" s="103">
        <v>200</v>
      </c>
      <c r="H1008" s="103" t="s">
        <v>2168</v>
      </c>
      <c r="I1008" s="103" t="s">
        <v>2153</v>
      </c>
      <c r="K1008" s="103">
        <v>70</v>
      </c>
      <c r="L1008" s="103">
        <v>70</v>
      </c>
      <c r="M1008" s="103">
        <v>60</v>
      </c>
      <c r="N1008" s="103" t="s">
        <v>2260</v>
      </c>
      <c r="O1008" s="103">
        <v>200</v>
      </c>
      <c r="P1008" s="103" t="s">
        <v>1624</v>
      </c>
      <c r="Q1008" s="103" t="s">
        <v>2236</v>
      </c>
      <c r="R1008" s="103" t="s">
        <v>2220</v>
      </c>
      <c r="S1008" s="103" t="s">
        <v>2422</v>
      </c>
      <c r="U1008" s="103">
        <v>102.6</v>
      </c>
      <c r="V1008" s="103" t="s">
        <v>2262</v>
      </c>
      <c r="W1008" s="103" t="s">
        <v>108</v>
      </c>
      <c r="X1008" s="103" t="s">
        <v>1736</v>
      </c>
      <c r="Y1008" s="103" t="s">
        <v>3848</v>
      </c>
      <c r="AA1008" s="103" t="s">
        <v>2220</v>
      </c>
      <c r="AB1008" s="103" t="s">
        <v>71</v>
      </c>
      <c r="AE1008" s="103" t="s">
        <v>810</v>
      </c>
      <c r="AF1008" s="103" t="b">
        <v>1</v>
      </c>
    </row>
    <row r="1009" spans="1:32" hidden="1" x14ac:dyDescent="0.2">
      <c r="A1009" s="103" t="s">
        <v>915</v>
      </c>
      <c r="B1009" s="103" t="s">
        <v>914</v>
      </c>
      <c r="C1009" s="103" t="s">
        <v>3126</v>
      </c>
      <c r="D1009" s="103" t="s">
        <v>3139</v>
      </c>
      <c r="E1009" s="103" t="s">
        <v>2272</v>
      </c>
      <c r="F1009" s="103" t="s">
        <v>2175</v>
      </c>
      <c r="G1009" s="103">
        <v>20</v>
      </c>
      <c r="H1009" s="103" t="s">
        <v>2168</v>
      </c>
      <c r="I1009" s="103" t="s">
        <v>2153</v>
      </c>
      <c r="M1009" s="103">
        <v>20</v>
      </c>
      <c r="N1009" s="103" t="s">
        <v>2154</v>
      </c>
      <c r="O1009" s="103">
        <v>20</v>
      </c>
      <c r="P1009" s="103" t="s">
        <v>2789</v>
      </c>
      <c r="Q1009" s="103" t="s">
        <v>2236</v>
      </c>
      <c r="R1009" s="103" t="s">
        <v>2220</v>
      </c>
      <c r="S1009" s="103" t="s">
        <v>2422</v>
      </c>
      <c r="U1009" s="103">
        <v>10.26</v>
      </c>
      <c r="V1009" s="103" t="s">
        <v>2158</v>
      </c>
      <c r="W1009" s="103" t="s">
        <v>108</v>
      </c>
      <c r="X1009" s="103" t="s">
        <v>1736</v>
      </c>
      <c r="Y1009" s="103" t="s">
        <v>3848</v>
      </c>
      <c r="AA1009" s="103" t="s">
        <v>2220</v>
      </c>
      <c r="AB1009" s="103" t="s">
        <v>71</v>
      </c>
      <c r="AE1009" s="103" t="s">
        <v>810</v>
      </c>
      <c r="AF1009" s="103" t="b">
        <v>1</v>
      </c>
    </row>
    <row r="1010" spans="1:32" hidden="1" x14ac:dyDescent="0.2">
      <c r="A1010" s="103" t="s">
        <v>915</v>
      </c>
      <c r="B1010" s="103" t="s">
        <v>914</v>
      </c>
      <c r="C1010" s="103" t="s">
        <v>3126</v>
      </c>
      <c r="D1010" s="103" t="s">
        <v>3139</v>
      </c>
      <c r="E1010" s="103" t="s">
        <v>2315</v>
      </c>
      <c r="F1010" s="103" t="s">
        <v>2175</v>
      </c>
      <c r="G1010" s="103">
        <v>20</v>
      </c>
      <c r="H1010" s="103" t="s">
        <v>2168</v>
      </c>
      <c r="I1010" s="103" t="s">
        <v>2153</v>
      </c>
      <c r="M1010" s="103">
        <v>20</v>
      </c>
      <c r="N1010" s="103" t="s">
        <v>2154</v>
      </c>
      <c r="O1010" s="103">
        <v>20</v>
      </c>
      <c r="P1010" s="103" t="s">
        <v>2789</v>
      </c>
      <c r="Q1010" s="103" t="s">
        <v>2236</v>
      </c>
      <c r="R1010" s="103" t="s">
        <v>2220</v>
      </c>
      <c r="S1010" s="103" t="s">
        <v>2422</v>
      </c>
      <c r="U1010" s="103">
        <v>10.26</v>
      </c>
      <c r="V1010" s="103" t="s">
        <v>2158</v>
      </c>
      <c r="W1010" s="103" t="s">
        <v>108</v>
      </c>
      <c r="X1010" s="103" t="s">
        <v>1736</v>
      </c>
      <c r="Y1010" s="103" t="s">
        <v>3848</v>
      </c>
      <c r="AA1010" s="103" t="s">
        <v>2220</v>
      </c>
      <c r="AB1010" s="103" t="s">
        <v>71</v>
      </c>
      <c r="AE1010" s="103" t="s">
        <v>810</v>
      </c>
      <c r="AF1010" s="103" t="b">
        <v>1</v>
      </c>
    </row>
    <row r="1011" spans="1:32" hidden="1" x14ac:dyDescent="0.2">
      <c r="A1011" s="103" t="s">
        <v>915</v>
      </c>
      <c r="B1011" s="103" t="s">
        <v>914</v>
      </c>
      <c r="C1011" s="103" t="s">
        <v>3140</v>
      </c>
      <c r="D1011" s="103" t="s">
        <v>3164</v>
      </c>
      <c r="E1011" s="103" t="s">
        <v>2366</v>
      </c>
      <c r="F1011" s="103" t="s">
        <v>2175</v>
      </c>
      <c r="G1011" s="103">
        <v>20</v>
      </c>
      <c r="H1011" s="103" t="s">
        <v>2168</v>
      </c>
      <c r="I1011" s="103" t="s">
        <v>2153</v>
      </c>
      <c r="J1011" s="103">
        <v>5</v>
      </c>
      <c r="K1011" s="103">
        <v>5</v>
      </c>
      <c r="L1011" s="103">
        <v>5</v>
      </c>
      <c r="M1011" s="103">
        <v>5</v>
      </c>
      <c r="N1011" s="103" t="s">
        <v>2163</v>
      </c>
      <c r="O1011" s="103">
        <v>20</v>
      </c>
      <c r="P1011" s="103" t="s">
        <v>2549</v>
      </c>
      <c r="Q1011" s="103" t="s">
        <v>2236</v>
      </c>
      <c r="R1011" s="103" t="s">
        <v>2220</v>
      </c>
      <c r="S1011" s="103" t="s">
        <v>2422</v>
      </c>
      <c r="U1011" s="103">
        <v>10.26</v>
      </c>
      <c r="V1011" s="103" t="s">
        <v>2158</v>
      </c>
      <c r="W1011" s="103" t="s">
        <v>108</v>
      </c>
      <c r="X1011" s="103" t="s">
        <v>1736</v>
      </c>
      <c r="Y1011" s="103" t="s">
        <v>3848</v>
      </c>
      <c r="AA1011" s="103" t="s">
        <v>2220</v>
      </c>
      <c r="AB1011" s="103" t="s">
        <v>71</v>
      </c>
      <c r="AE1011" s="103" t="s">
        <v>810</v>
      </c>
      <c r="AF1011" s="103" t="b">
        <v>1</v>
      </c>
    </row>
    <row r="1012" spans="1:32" hidden="1" x14ac:dyDescent="0.2">
      <c r="A1012" s="103" t="s">
        <v>915</v>
      </c>
      <c r="B1012" s="103" t="s">
        <v>914</v>
      </c>
      <c r="C1012" s="103" t="s">
        <v>3140</v>
      </c>
      <c r="D1012" s="103" t="s">
        <v>3164</v>
      </c>
      <c r="E1012" s="103" t="s">
        <v>2272</v>
      </c>
      <c r="F1012" s="103" t="s">
        <v>2175</v>
      </c>
      <c r="G1012" s="103">
        <v>20</v>
      </c>
      <c r="H1012" s="103" t="s">
        <v>2168</v>
      </c>
      <c r="I1012" s="103" t="s">
        <v>2153</v>
      </c>
      <c r="K1012" s="103">
        <v>20</v>
      </c>
      <c r="N1012" s="103" t="s">
        <v>2163</v>
      </c>
      <c r="O1012" s="103">
        <v>20</v>
      </c>
      <c r="P1012" s="103" t="s">
        <v>2789</v>
      </c>
      <c r="Q1012" s="103" t="s">
        <v>2236</v>
      </c>
      <c r="R1012" s="103" t="s">
        <v>2220</v>
      </c>
      <c r="S1012" s="103" t="s">
        <v>2422</v>
      </c>
      <c r="U1012" s="103">
        <v>10.26</v>
      </c>
      <c r="V1012" s="103" t="s">
        <v>2158</v>
      </c>
      <c r="W1012" s="103" t="s">
        <v>108</v>
      </c>
      <c r="X1012" s="103" t="s">
        <v>1736</v>
      </c>
      <c r="Y1012" s="103" t="s">
        <v>3848</v>
      </c>
      <c r="AA1012" s="103" t="s">
        <v>2220</v>
      </c>
      <c r="AB1012" s="103" t="s">
        <v>71</v>
      </c>
      <c r="AE1012" s="103" t="s">
        <v>810</v>
      </c>
      <c r="AF1012" s="103" t="b">
        <v>1</v>
      </c>
    </row>
    <row r="1013" spans="1:32" hidden="1" x14ac:dyDescent="0.2">
      <c r="A1013" s="103" t="s">
        <v>915</v>
      </c>
      <c r="B1013" s="103" t="s">
        <v>914</v>
      </c>
      <c r="C1013" s="103" t="s">
        <v>3140</v>
      </c>
      <c r="D1013" s="103" t="s">
        <v>3165</v>
      </c>
      <c r="E1013" s="103" t="s">
        <v>2272</v>
      </c>
      <c r="F1013" s="103" t="s">
        <v>2175</v>
      </c>
      <c r="G1013" s="103">
        <v>20</v>
      </c>
      <c r="H1013" s="103" t="s">
        <v>2168</v>
      </c>
      <c r="I1013" s="103" t="s">
        <v>2153</v>
      </c>
      <c r="L1013" s="103">
        <v>20</v>
      </c>
      <c r="N1013" s="103" t="s">
        <v>2163</v>
      </c>
      <c r="O1013" s="103">
        <v>20</v>
      </c>
      <c r="P1013" s="103" t="s">
        <v>2789</v>
      </c>
      <c r="Q1013" s="103" t="s">
        <v>2236</v>
      </c>
      <c r="R1013" s="103" t="s">
        <v>2220</v>
      </c>
      <c r="S1013" s="103" t="s">
        <v>2422</v>
      </c>
      <c r="U1013" s="103">
        <v>10.26</v>
      </c>
      <c r="V1013" s="103" t="s">
        <v>2158</v>
      </c>
      <c r="W1013" s="103" t="s">
        <v>108</v>
      </c>
      <c r="X1013" s="103" t="s">
        <v>1736</v>
      </c>
      <c r="Y1013" s="103" t="s">
        <v>3848</v>
      </c>
      <c r="AA1013" s="103" t="s">
        <v>2220</v>
      </c>
      <c r="AB1013" s="103" t="s">
        <v>71</v>
      </c>
      <c r="AE1013" s="103" t="s">
        <v>810</v>
      </c>
      <c r="AF1013" s="103" t="b">
        <v>1</v>
      </c>
    </row>
    <row r="1014" spans="1:32" hidden="1" x14ac:dyDescent="0.2">
      <c r="A1014" s="103" t="s">
        <v>915</v>
      </c>
      <c r="B1014" s="103" t="s">
        <v>914</v>
      </c>
      <c r="C1014" s="103" t="s">
        <v>3126</v>
      </c>
      <c r="D1014" s="103" t="s">
        <v>3166</v>
      </c>
      <c r="F1014" s="103" t="s">
        <v>2202</v>
      </c>
      <c r="G1014" s="103">
        <v>70</v>
      </c>
      <c r="H1014" s="103" t="s">
        <v>2152</v>
      </c>
      <c r="I1014" s="103" t="s">
        <v>2153</v>
      </c>
      <c r="M1014" s="103">
        <v>70</v>
      </c>
      <c r="N1014" s="103" t="s">
        <v>2154</v>
      </c>
      <c r="O1014" s="103">
        <v>70</v>
      </c>
      <c r="P1014" s="103" t="s">
        <v>1624</v>
      </c>
      <c r="Q1014" s="103" t="s">
        <v>2236</v>
      </c>
      <c r="R1014" s="103">
        <v>0</v>
      </c>
      <c r="S1014" s="103" t="s">
        <v>2422</v>
      </c>
      <c r="U1014" s="103">
        <v>0</v>
      </c>
      <c r="V1014" s="103" t="s">
        <v>2416</v>
      </c>
      <c r="W1014" s="103">
        <v>0</v>
      </c>
      <c r="X1014" s="103" t="s">
        <v>1736</v>
      </c>
      <c r="Y1014" s="103" t="s">
        <v>3848</v>
      </c>
      <c r="AA1014" s="103">
        <v>0</v>
      </c>
      <c r="AB1014" s="103" t="s">
        <v>71</v>
      </c>
      <c r="AE1014" s="103" t="s">
        <v>810</v>
      </c>
      <c r="AF1014" s="103" t="b">
        <v>1</v>
      </c>
    </row>
    <row r="1015" spans="1:32" hidden="1" x14ac:dyDescent="0.2">
      <c r="A1015" s="103" t="s">
        <v>915</v>
      </c>
      <c r="B1015" s="103" t="s">
        <v>914</v>
      </c>
      <c r="C1015" s="103" t="s">
        <v>3126</v>
      </c>
      <c r="D1015" s="103" t="s">
        <v>3139</v>
      </c>
      <c r="F1015" s="103" t="s">
        <v>2226</v>
      </c>
      <c r="G1015" s="103">
        <v>400</v>
      </c>
      <c r="H1015" s="103" t="s">
        <v>2168</v>
      </c>
      <c r="I1015" s="103" t="s">
        <v>2153</v>
      </c>
      <c r="J1015" s="103">
        <v>400</v>
      </c>
      <c r="N1015" s="103" t="s">
        <v>2154</v>
      </c>
      <c r="O1015" s="103">
        <v>400</v>
      </c>
      <c r="P1015" s="103" t="s">
        <v>1624</v>
      </c>
      <c r="Q1015" s="103" t="s">
        <v>2236</v>
      </c>
      <c r="R1015" s="103">
        <v>0</v>
      </c>
      <c r="S1015" s="103" t="s">
        <v>2422</v>
      </c>
      <c r="U1015" s="103">
        <v>0</v>
      </c>
      <c r="V1015" s="103" t="s">
        <v>2416</v>
      </c>
      <c r="W1015" s="103">
        <v>0</v>
      </c>
      <c r="X1015" s="103" t="s">
        <v>1736</v>
      </c>
      <c r="Y1015" s="103" t="s">
        <v>3848</v>
      </c>
      <c r="AA1015" s="103">
        <v>0</v>
      </c>
      <c r="AB1015" s="103" t="s">
        <v>71</v>
      </c>
      <c r="AE1015" s="103" t="s">
        <v>810</v>
      </c>
      <c r="AF1015" s="103" t="b">
        <v>1</v>
      </c>
    </row>
    <row r="1016" spans="1:32" hidden="1" x14ac:dyDescent="0.2">
      <c r="A1016" s="103" t="s">
        <v>915</v>
      </c>
      <c r="B1016" s="103" t="s">
        <v>914</v>
      </c>
      <c r="C1016" s="103" t="s">
        <v>3140</v>
      </c>
      <c r="D1016" s="103" t="s">
        <v>3145</v>
      </c>
      <c r="F1016" s="103" t="s">
        <v>2232</v>
      </c>
      <c r="G1016" s="103">
        <v>300</v>
      </c>
      <c r="H1016" s="103" t="s">
        <v>2168</v>
      </c>
      <c r="I1016" s="103" t="s">
        <v>2153</v>
      </c>
      <c r="J1016" s="103">
        <v>60</v>
      </c>
      <c r="K1016" s="103">
        <v>80</v>
      </c>
      <c r="L1016" s="103">
        <v>80</v>
      </c>
      <c r="M1016" s="103">
        <v>80</v>
      </c>
      <c r="N1016" s="103" t="s">
        <v>2163</v>
      </c>
      <c r="O1016" s="103">
        <v>300</v>
      </c>
      <c r="P1016" s="103" t="s">
        <v>1624</v>
      </c>
      <c r="Q1016" s="103" t="s">
        <v>2236</v>
      </c>
      <c r="R1016" s="103">
        <v>0</v>
      </c>
      <c r="S1016" s="103" t="s">
        <v>2422</v>
      </c>
      <c r="U1016" s="103">
        <v>0</v>
      </c>
      <c r="V1016" s="103" t="s">
        <v>2416</v>
      </c>
      <c r="W1016" s="103">
        <v>0</v>
      </c>
      <c r="X1016" s="103" t="s">
        <v>1736</v>
      </c>
      <c r="Y1016" s="103" t="s">
        <v>3848</v>
      </c>
      <c r="AA1016" s="103">
        <v>0</v>
      </c>
      <c r="AB1016" s="103" t="s">
        <v>71</v>
      </c>
      <c r="AE1016" s="103" t="s">
        <v>810</v>
      </c>
      <c r="AF1016" s="103" t="b">
        <v>1</v>
      </c>
    </row>
    <row r="1017" spans="1:32" hidden="1" x14ac:dyDescent="0.2">
      <c r="A1017" s="103" t="s">
        <v>915</v>
      </c>
      <c r="B1017" s="103" t="s">
        <v>914</v>
      </c>
      <c r="C1017" s="103" t="s">
        <v>3167</v>
      </c>
      <c r="D1017" s="103" t="s">
        <v>3168</v>
      </c>
      <c r="G1017" s="103">
        <v>0</v>
      </c>
      <c r="H1017" s="103" t="s">
        <v>2168</v>
      </c>
      <c r="I1017" s="103" t="s">
        <v>2153</v>
      </c>
      <c r="N1017" s="103" t="s">
        <v>2163</v>
      </c>
      <c r="O1017" s="103">
        <v>0</v>
      </c>
      <c r="P1017" s="103" t="s">
        <v>1624</v>
      </c>
      <c r="Q1017" s="103" t="s">
        <v>2236</v>
      </c>
      <c r="R1017" s="103">
        <v>0</v>
      </c>
      <c r="S1017" s="103" t="s">
        <v>2422</v>
      </c>
      <c r="U1017" s="103">
        <v>0</v>
      </c>
      <c r="V1017" s="103" t="s">
        <v>2416</v>
      </c>
      <c r="W1017" s="103">
        <v>0</v>
      </c>
      <c r="X1017" s="103" t="s">
        <v>1736</v>
      </c>
      <c r="Y1017" s="103" t="s">
        <v>3848</v>
      </c>
      <c r="AA1017" s="103">
        <v>0</v>
      </c>
      <c r="AB1017" s="103" t="s">
        <v>71</v>
      </c>
      <c r="AE1017" s="103" t="s">
        <v>810</v>
      </c>
      <c r="AF1017" s="103" t="b">
        <v>1</v>
      </c>
    </row>
    <row r="1018" spans="1:32" hidden="1" x14ac:dyDescent="0.2">
      <c r="A1018" s="103" t="s">
        <v>915</v>
      </c>
      <c r="B1018" s="103" t="s">
        <v>914</v>
      </c>
      <c r="C1018" s="103" t="s">
        <v>3126</v>
      </c>
      <c r="D1018" s="103" t="s">
        <v>3169</v>
      </c>
      <c r="F1018" s="103" t="s">
        <v>2151</v>
      </c>
      <c r="G1018" s="103">
        <v>100</v>
      </c>
      <c r="H1018" s="103" t="s">
        <v>2168</v>
      </c>
      <c r="I1018" s="103" t="s">
        <v>2153</v>
      </c>
      <c r="J1018" s="103">
        <v>100</v>
      </c>
      <c r="N1018" s="103" t="s">
        <v>2163</v>
      </c>
      <c r="O1018" s="103">
        <v>100</v>
      </c>
      <c r="P1018" s="103" t="s">
        <v>1624</v>
      </c>
      <c r="Q1018" s="103" t="s">
        <v>2236</v>
      </c>
      <c r="R1018" s="103">
        <v>0</v>
      </c>
      <c r="S1018" s="103" t="s">
        <v>2422</v>
      </c>
      <c r="U1018" s="103">
        <v>0</v>
      </c>
      <c r="V1018" s="103" t="s">
        <v>2416</v>
      </c>
      <c r="W1018" s="103">
        <v>0</v>
      </c>
      <c r="X1018" s="103" t="s">
        <v>1736</v>
      </c>
      <c r="Y1018" s="103" t="s">
        <v>3848</v>
      </c>
      <c r="AA1018" s="103">
        <v>0</v>
      </c>
      <c r="AB1018" s="103" t="s">
        <v>71</v>
      </c>
      <c r="AE1018" s="103" t="s">
        <v>810</v>
      </c>
      <c r="AF1018" s="103" t="b">
        <v>1</v>
      </c>
    </row>
    <row r="1019" spans="1:32" hidden="1" x14ac:dyDescent="0.2">
      <c r="A1019" s="103" t="s">
        <v>915</v>
      </c>
      <c r="B1019" s="103" t="s">
        <v>914</v>
      </c>
      <c r="D1019" s="103" t="s">
        <v>3170</v>
      </c>
      <c r="F1019" s="103" t="s">
        <v>2202</v>
      </c>
      <c r="G1019" s="103">
        <v>200</v>
      </c>
      <c r="H1019" s="103" t="s">
        <v>2168</v>
      </c>
      <c r="I1019" s="103" t="s">
        <v>2153</v>
      </c>
      <c r="K1019" s="103">
        <v>100</v>
      </c>
      <c r="L1019" s="103">
        <v>100</v>
      </c>
      <c r="N1019" s="103" t="s">
        <v>2163</v>
      </c>
      <c r="O1019" s="103">
        <v>200</v>
      </c>
      <c r="P1019" s="103" t="s">
        <v>1624</v>
      </c>
      <c r="Q1019" s="103" t="s">
        <v>2236</v>
      </c>
      <c r="R1019" s="103">
        <v>0</v>
      </c>
      <c r="S1019" s="103" t="s">
        <v>2422</v>
      </c>
      <c r="U1019" s="103">
        <v>0</v>
      </c>
      <c r="V1019" s="103" t="s">
        <v>2416</v>
      </c>
      <c r="W1019" s="103">
        <v>0</v>
      </c>
      <c r="X1019" s="103" t="s">
        <v>1736</v>
      </c>
      <c r="Y1019" s="103" t="s">
        <v>3848</v>
      </c>
      <c r="AA1019" s="103">
        <v>0</v>
      </c>
      <c r="AB1019" s="103" t="s">
        <v>71</v>
      </c>
      <c r="AE1019" s="103" t="s">
        <v>810</v>
      </c>
      <c r="AF1019" s="103" t="b">
        <v>1</v>
      </c>
    </row>
    <row r="1020" spans="1:32" hidden="1" x14ac:dyDescent="0.2">
      <c r="A1020" s="103" t="s">
        <v>915</v>
      </c>
      <c r="B1020" s="103" t="s">
        <v>914</v>
      </c>
      <c r="C1020" s="103" t="s">
        <v>3122</v>
      </c>
      <c r="D1020" s="103" t="s">
        <v>3171</v>
      </c>
      <c r="F1020" s="103" t="s">
        <v>2226</v>
      </c>
      <c r="G1020" s="103">
        <v>400</v>
      </c>
      <c r="H1020" s="103" t="s">
        <v>2168</v>
      </c>
      <c r="I1020" s="103" t="s">
        <v>2153</v>
      </c>
      <c r="J1020" s="103">
        <v>50</v>
      </c>
      <c r="K1020" s="103">
        <v>50</v>
      </c>
      <c r="L1020" s="103">
        <v>100</v>
      </c>
      <c r="M1020" s="103">
        <v>200</v>
      </c>
      <c r="N1020" s="103" t="s">
        <v>2154</v>
      </c>
      <c r="O1020" s="103">
        <v>400</v>
      </c>
      <c r="P1020" s="103" t="s">
        <v>1624</v>
      </c>
      <c r="Q1020" s="103" t="s">
        <v>2236</v>
      </c>
      <c r="R1020" s="103">
        <v>0</v>
      </c>
      <c r="S1020" s="103" t="s">
        <v>2422</v>
      </c>
      <c r="U1020" s="103">
        <v>0</v>
      </c>
      <c r="V1020" s="103" t="s">
        <v>2416</v>
      </c>
      <c r="W1020" s="103">
        <v>0</v>
      </c>
      <c r="X1020" s="103" t="s">
        <v>1736</v>
      </c>
      <c r="Y1020" s="103" t="s">
        <v>3848</v>
      </c>
      <c r="AA1020" s="103">
        <v>0</v>
      </c>
      <c r="AB1020" s="103" t="s">
        <v>71</v>
      </c>
      <c r="AE1020" s="103" t="s">
        <v>810</v>
      </c>
      <c r="AF1020" s="103" t="b">
        <v>1</v>
      </c>
    </row>
    <row r="1021" spans="1:32" hidden="1" x14ac:dyDescent="0.2">
      <c r="A1021" s="103" t="s">
        <v>915</v>
      </c>
      <c r="B1021" s="103" t="s">
        <v>914</v>
      </c>
      <c r="C1021" s="103" t="s">
        <v>3140</v>
      </c>
      <c r="D1021" s="103" t="s">
        <v>3172</v>
      </c>
      <c r="F1021" s="103" t="s">
        <v>2162</v>
      </c>
      <c r="G1021" s="103">
        <v>50</v>
      </c>
      <c r="H1021" s="103" t="s">
        <v>2168</v>
      </c>
      <c r="I1021" s="103" t="s">
        <v>2153</v>
      </c>
      <c r="J1021" s="103">
        <v>14</v>
      </c>
      <c r="K1021" s="103">
        <v>12</v>
      </c>
      <c r="L1021" s="103">
        <v>12</v>
      </c>
      <c r="M1021" s="103">
        <v>12</v>
      </c>
      <c r="N1021" s="103" t="s">
        <v>2163</v>
      </c>
      <c r="O1021" s="103">
        <v>50</v>
      </c>
      <c r="P1021" s="103" t="s">
        <v>1624</v>
      </c>
      <c r="Q1021" s="103" t="s">
        <v>2236</v>
      </c>
      <c r="R1021" s="103">
        <v>0</v>
      </c>
      <c r="S1021" s="103" t="s">
        <v>2422</v>
      </c>
      <c r="U1021" s="103">
        <v>0</v>
      </c>
      <c r="V1021" s="103" t="s">
        <v>2416</v>
      </c>
      <c r="W1021" s="103">
        <v>0</v>
      </c>
      <c r="X1021" s="103" t="s">
        <v>1736</v>
      </c>
      <c r="Y1021" s="103" t="s">
        <v>3848</v>
      </c>
      <c r="AA1021" s="103">
        <v>0</v>
      </c>
      <c r="AB1021" s="103" t="s">
        <v>71</v>
      </c>
      <c r="AE1021" s="103" t="s">
        <v>810</v>
      </c>
      <c r="AF1021" s="103" t="b">
        <v>1</v>
      </c>
    </row>
    <row r="1022" spans="1:32" hidden="1" x14ac:dyDescent="0.2">
      <c r="A1022" s="103" t="s">
        <v>915</v>
      </c>
      <c r="B1022" s="103" t="s">
        <v>914</v>
      </c>
      <c r="C1022" s="103" t="s">
        <v>3140</v>
      </c>
      <c r="D1022" s="103" t="s">
        <v>3164</v>
      </c>
      <c r="E1022" s="103" t="s">
        <v>2292</v>
      </c>
      <c r="F1022" s="103" t="s">
        <v>2175</v>
      </c>
      <c r="G1022" s="103">
        <v>20</v>
      </c>
      <c r="H1022" s="103" t="s">
        <v>2168</v>
      </c>
      <c r="I1022" s="103" t="s">
        <v>2153</v>
      </c>
      <c r="J1022" s="103">
        <v>5</v>
      </c>
      <c r="K1022" s="103">
        <v>5</v>
      </c>
      <c r="L1022" s="103">
        <v>5</v>
      </c>
      <c r="M1022" s="103">
        <v>5</v>
      </c>
      <c r="N1022" s="103" t="s">
        <v>2163</v>
      </c>
      <c r="O1022" s="103">
        <v>20</v>
      </c>
      <c r="P1022" s="103" t="s">
        <v>2549</v>
      </c>
      <c r="Q1022" s="103" t="s">
        <v>2236</v>
      </c>
      <c r="R1022" s="103" t="s">
        <v>2220</v>
      </c>
      <c r="S1022" s="103" t="s">
        <v>2422</v>
      </c>
      <c r="U1022" s="103">
        <v>10.26</v>
      </c>
      <c r="V1022" s="103" t="s">
        <v>2158</v>
      </c>
      <c r="W1022" s="103" t="s">
        <v>108</v>
      </c>
      <c r="X1022" s="103" t="s">
        <v>1736</v>
      </c>
      <c r="Y1022" s="103" t="s">
        <v>3848</v>
      </c>
      <c r="AA1022" s="103" t="s">
        <v>2220</v>
      </c>
      <c r="AB1022" s="103" t="s">
        <v>71</v>
      </c>
      <c r="AE1022" s="103" t="s">
        <v>810</v>
      </c>
      <c r="AF1022" s="103" t="b">
        <v>1</v>
      </c>
    </row>
    <row r="1023" spans="1:32" hidden="1" x14ac:dyDescent="0.2">
      <c r="A1023" s="103" t="s">
        <v>915</v>
      </c>
      <c r="B1023" s="103" t="s">
        <v>914</v>
      </c>
      <c r="C1023" s="103" t="s">
        <v>3140</v>
      </c>
      <c r="D1023" s="103" t="s">
        <v>3164</v>
      </c>
      <c r="E1023" s="103" t="s">
        <v>2694</v>
      </c>
      <c r="F1023" s="103" t="s">
        <v>2175</v>
      </c>
      <c r="G1023" s="103">
        <v>20</v>
      </c>
      <c r="H1023" s="103" t="s">
        <v>2168</v>
      </c>
      <c r="I1023" s="103" t="s">
        <v>2153</v>
      </c>
      <c r="J1023" s="103">
        <v>5</v>
      </c>
      <c r="K1023" s="103">
        <v>5</v>
      </c>
      <c r="L1023" s="103">
        <v>5</v>
      </c>
      <c r="M1023" s="103">
        <v>5</v>
      </c>
      <c r="N1023" s="103" t="s">
        <v>2163</v>
      </c>
      <c r="O1023" s="103">
        <v>20</v>
      </c>
      <c r="P1023" s="103" t="s">
        <v>2549</v>
      </c>
      <c r="Q1023" s="103" t="s">
        <v>2236</v>
      </c>
      <c r="R1023" s="103" t="s">
        <v>2220</v>
      </c>
      <c r="S1023" s="103" t="s">
        <v>2422</v>
      </c>
      <c r="U1023" s="103">
        <v>10.26</v>
      </c>
      <c r="V1023" s="103" t="s">
        <v>2158</v>
      </c>
      <c r="W1023" s="103" t="s">
        <v>108</v>
      </c>
      <c r="X1023" s="103" t="s">
        <v>1736</v>
      </c>
      <c r="Y1023" s="103" t="s">
        <v>3848</v>
      </c>
      <c r="AA1023" s="103" t="s">
        <v>2220</v>
      </c>
      <c r="AB1023" s="103" t="s">
        <v>71</v>
      </c>
      <c r="AE1023" s="103" t="s">
        <v>810</v>
      </c>
      <c r="AF1023" s="103" t="b">
        <v>1</v>
      </c>
    </row>
    <row r="1024" spans="1:32" hidden="1" x14ac:dyDescent="0.2">
      <c r="A1024" s="103" t="s">
        <v>915</v>
      </c>
      <c r="B1024" s="103" t="s">
        <v>914</v>
      </c>
      <c r="C1024" s="103" t="s">
        <v>3140</v>
      </c>
      <c r="D1024" s="103" t="s">
        <v>3164</v>
      </c>
      <c r="E1024" s="103" t="s">
        <v>2796</v>
      </c>
      <c r="F1024" s="103" t="s">
        <v>2175</v>
      </c>
      <c r="G1024" s="103">
        <v>20</v>
      </c>
      <c r="H1024" s="103" t="s">
        <v>2168</v>
      </c>
      <c r="I1024" s="103" t="s">
        <v>2153</v>
      </c>
      <c r="J1024" s="103">
        <v>5</v>
      </c>
      <c r="K1024" s="103">
        <v>5</v>
      </c>
      <c r="L1024" s="103">
        <v>5</v>
      </c>
      <c r="M1024" s="103">
        <v>5</v>
      </c>
      <c r="N1024" s="103" t="s">
        <v>2163</v>
      </c>
      <c r="O1024" s="103">
        <v>20</v>
      </c>
      <c r="P1024" s="103" t="s">
        <v>2549</v>
      </c>
      <c r="Q1024" s="103" t="s">
        <v>2236</v>
      </c>
      <c r="R1024" s="103" t="s">
        <v>2220</v>
      </c>
      <c r="S1024" s="103" t="s">
        <v>2422</v>
      </c>
      <c r="U1024" s="103">
        <v>10.26</v>
      </c>
      <c r="V1024" s="103" t="s">
        <v>2158</v>
      </c>
      <c r="W1024" s="103" t="s">
        <v>108</v>
      </c>
      <c r="X1024" s="103" t="s">
        <v>1736</v>
      </c>
      <c r="Y1024" s="103" t="s">
        <v>3848</v>
      </c>
      <c r="AA1024" s="103" t="s">
        <v>2220</v>
      </c>
      <c r="AB1024" s="103" t="s">
        <v>71</v>
      </c>
      <c r="AE1024" s="103" t="s">
        <v>810</v>
      </c>
      <c r="AF1024" s="103" t="b">
        <v>1</v>
      </c>
    </row>
    <row r="1025" spans="1:32" hidden="1" x14ac:dyDescent="0.2">
      <c r="A1025" s="103" t="s">
        <v>915</v>
      </c>
      <c r="B1025" s="103" t="s">
        <v>914</v>
      </c>
      <c r="C1025" s="103" t="s">
        <v>3140</v>
      </c>
      <c r="D1025" s="103" t="s">
        <v>3164</v>
      </c>
      <c r="E1025" s="103" t="s">
        <v>2315</v>
      </c>
      <c r="F1025" s="103" t="s">
        <v>2175</v>
      </c>
      <c r="G1025" s="103">
        <v>20</v>
      </c>
      <c r="H1025" s="103" t="s">
        <v>2168</v>
      </c>
      <c r="I1025" s="103" t="s">
        <v>2153</v>
      </c>
      <c r="L1025" s="103">
        <v>20</v>
      </c>
      <c r="N1025" s="103" t="s">
        <v>2163</v>
      </c>
      <c r="O1025" s="103">
        <v>20</v>
      </c>
      <c r="P1025" s="103" t="s">
        <v>2789</v>
      </c>
      <c r="Q1025" s="103" t="s">
        <v>2236</v>
      </c>
      <c r="R1025" s="103" t="s">
        <v>2220</v>
      </c>
      <c r="S1025" s="103" t="s">
        <v>2422</v>
      </c>
      <c r="U1025" s="103">
        <v>10.26</v>
      </c>
      <c r="V1025" s="103" t="s">
        <v>2158</v>
      </c>
      <c r="W1025" s="103" t="s">
        <v>108</v>
      </c>
      <c r="X1025" s="103" t="s">
        <v>1736</v>
      </c>
      <c r="Y1025" s="103" t="s">
        <v>3848</v>
      </c>
      <c r="AA1025" s="103" t="s">
        <v>2220</v>
      </c>
      <c r="AB1025" s="103" t="s">
        <v>71</v>
      </c>
      <c r="AE1025" s="103" t="s">
        <v>810</v>
      </c>
      <c r="AF1025" s="103" t="b">
        <v>1</v>
      </c>
    </row>
    <row r="1026" spans="1:32" hidden="1" x14ac:dyDescent="0.2">
      <c r="A1026" s="103" t="s">
        <v>915</v>
      </c>
      <c r="B1026" s="103" t="s">
        <v>914</v>
      </c>
      <c r="C1026" s="103" t="s">
        <v>3140</v>
      </c>
      <c r="D1026" s="103" t="s">
        <v>3165</v>
      </c>
      <c r="E1026" s="103" t="s">
        <v>2315</v>
      </c>
      <c r="F1026" s="103" t="s">
        <v>2175</v>
      </c>
      <c r="G1026" s="103">
        <v>20</v>
      </c>
      <c r="H1026" s="103" t="s">
        <v>2168</v>
      </c>
      <c r="I1026" s="103" t="s">
        <v>2153</v>
      </c>
      <c r="L1026" s="103">
        <v>20</v>
      </c>
      <c r="N1026" s="103" t="s">
        <v>2163</v>
      </c>
      <c r="O1026" s="103">
        <v>20</v>
      </c>
      <c r="P1026" s="103" t="s">
        <v>2789</v>
      </c>
      <c r="Q1026" s="103" t="s">
        <v>2236</v>
      </c>
      <c r="R1026" s="103" t="s">
        <v>2220</v>
      </c>
      <c r="S1026" s="103" t="s">
        <v>2422</v>
      </c>
      <c r="U1026" s="103">
        <v>10.26</v>
      </c>
      <c r="V1026" s="103" t="s">
        <v>2158</v>
      </c>
      <c r="W1026" s="103" t="s">
        <v>108</v>
      </c>
      <c r="X1026" s="103" t="s">
        <v>1736</v>
      </c>
      <c r="Y1026" s="103" t="s">
        <v>3848</v>
      </c>
      <c r="AA1026" s="103" t="s">
        <v>2220</v>
      </c>
      <c r="AB1026" s="103" t="s">
        <v>71</v>
      </c>
      <c r="AE1026" s="103" t="s">
        <v>810</v>
      </c>
      <c r="AF1026" s="103" t="b">
        <v>1</v>
      </c>
    </row>
    <row r="1027" spans="1:32" hidden="1" x14ac:dyDescent="0.2">
      <c r="A1027" s="103" t="s">
        <v>915</v>
      </c>
      <c r="B1027" s="103" t="s">
        <v>914</v>
      </c>
      <c r="C1027" s="103" t="s">
        <v>3140</v>
      </c>
      <c r="D1027" s="103" t="s">
        <v>3164</v>
      </c>
      <c r="E1027" s="103" t="s">
        <v>2285</v>
      </c>
      <c r="F1027" s="103" t="s">
        <v>2175</v>
      </c>
      <c r="G1027" s="103">
        <v>20</v>
      </c>
      <c r="H1027" s="103" t="s">
        <v>2168</v>
      </c>
      <c r="I1027" s="103" t="s">
        <v>2153</v>
      </c>
      <c r="J1027" s="103">
        <v>5</v>
      </c>
      <c r="K1027" s="103">
        <v>5</v>
      </c>
      <c r="L1027" s="103">
        <v>5</v>
      </c>
      <c r="M1027" s="103">
        <v>5</v>
      </c>
      <c r="N1027" s="103" t="s">
        <v>2154</v>
      </c>
      <c r="O1027" s="103">
        <v>20</v>
      </c>
      <c r="P1027" s="103" t="s">
        <v>2549</v>
      </c>
      <c r="Q1027" s="103" t="s">
        <v>2236</v>
      </c>
      <c r="R1027" s="103" t="s">
        <v>2220</v>
      </c>
      <c r="S1027" s="103" t="s">
        <v>2422</v>
      </c>
      <c r="U1027" s="103">
        <v>10.26</v>
      </c>
      <c r="V1027" s="103" t="s">
        <v>2158</v>
      </c>
      <c r="W1027" s="103" t="s">
        <v>108</v>
      </c>
      <c r="X1027" s="103" t="s">
        <v>1736</v>
      </c>
      <c r="Y1027" s="103" t="s">
        <v>3848</v>
      </c>
      <c r="AA1027" s="103" t="s">
        <v>2220</v>
      </c>
      <c r="AB1027" s="103" t="s">
        <v>71</v>
      </c>
      <c r="AE1027" s="103" t="s">
        <v>810</v>
      </c>
      <c r="AF1027" s="103" t="b">
        <v>1</v>
      </c>
    </row>
    <row r="1028" spans="1:32" hidden="1" x14ac:dyDescent="0.2">
      <c r="A1028" s="103" t="s">
        <v>915</v>
      </c>
      <c r="B1028" s="103" t="s">
        <v>914</v>
      </c>
      <c r="C1028" s="103" t="s">
        <v>3173</v>
      </c>
      <c r="D1028" s="103" t="s">
        <v>2272</v>
      </c>
      <c r="E1028" s="103" t="s">
        <v>2272</v>
      </c>
      <c r="F1028" s="103" t="s">
        <v>2175</v>
      </c>
      <c r="G1028" s="103">
        <v>20</v>
      </c>
      <c r="H1028" s="103" t="s">
        <v>2168</v>
      </c>
      <c r="I1028" s="103" t="s">
        <v>2153</v>
      </c>
      <c r="J1028" s="103">
        <v>20</v>
      </c>
      <c r="N1028" s="103" t="s">
        <v>2163</v>
      </c>
      <c r="O1028" s="103">
        <v>20</v>
      </c>
      <c r="P1028" s="103" t="s">
        <v>2789</v>
      </c>
      <c r="Q1028" s="103" t="s">
        <v>2236</v>
      </c>
      <c r="R1028" s="103" t="s">
        <v>2220</v>
      </c>
      <c r="S1028" s="103" t="s">
        <v>2422</v>
      </c>
      <c r="U1028" s="103">
        <v>10.26</v>
      </c>
      <c r="V1028" s="103" t="s">
        <v>2158</v>
      </c>
      <c r="W1028" s="103" t="s">
        <v>108</v>
      </c>
      <c r="X1028" s="103" t="s">
        <v>1736</v>
      </c>
      <c r="Y1028" s="103" t="s">
        <v>3848</v>
      </c>
      <c r="AA1028" s="103" t="s">
        <v>2220</v>
      </c>
      <c r="AB1028" s="103" t="s">
        <v>71</v>
      </c>
      <c r="AE1028" s="103" t="s">
        <v>810</v>
      </c>
      <c r="AF1028" s="103" t="b">
        <v>1</v>
      </c>
    </row>
    <row r="1029" spans="1:32" hidden="1" x14ac:dyDescent="0.2">
      <c r="A1029" s="103" t="s">
        <v>915</v>
      </c>
      <c r="B1029" s="103" t="s">
        <v>914</v>
      </c>
      <c r="C1029" s="103" t="s">
        <v>3173</v>
      </c>
      <c r="D1029" s="103" t="s">
        <v>2315</v>
      </c>
      <c r="E1029" s="103" t="s">
        <v>2315</v>
      </c>
      <c r="F1029" s="103" t="s">
        <v>2175</v>
      </c>
      <c r="G1029" s="103">
        <v>20</v>
      </c>
      <c r="H1029" s="103" t="s">
        <v>2168</v>
      </c>
      <c r="I1029" s="103" t="s">
        <v>2153</v>
      </c>
      <c r="J1029" s="103">
        <v>20</v>
      </c>
      <c r="N1029" s="103" t="s">
        <v>2163</v>
      </c>
      <c r="O1029" s="103">
        <v>20</v>
      </c>
      <c r="P1029" s="103" t="s">
        <v>2789</v>
      </c>
      <c r="Q1029" s="103" t="s">
        <v>2236</v>
      </c>
      <c r="R1029" s="103" t="s">
        <v>2220</v>
      </c>
      <c r="S1029" s="103" t="s">
        <v>2422</v>
      </c>
      <c r="U1029" s="103">
        <v>10.26</v>
      </c>
      <c r="V1029" s="103" t="s">
        <v>2158</v>
      </c>
      <c r="W1029" s="103" t="s">
        <v>108</v>
      </c>
      <c r="X1029" s="103" t="s">
        <v>1736</v>
      </c>
      <c r="Y1029" s="103" t="s">
        <v>3848</v>
      </c>
      <c r="AA1029" s="103" t="s">
        <v>2220</v>
      </c>
      <c r="AB1029" s="103" t="s">
        <v>71</v>
      </c>
      <c r="AE1029" s="103" t="s">
        <v>810</v>
      </c>
      <c r="AF1029" s="103" t="b">
        <v>1</v>
      </c>
    </row>
    <row r="1030" spans="1:32" hidden="1" x14ac:dyDescent="0.2">
      <c r="A1030" s="103" t="s">
        <v>915</v>
      </c>
      <c r="B1030" s="103" t="s">
        <v>914</v>
      </c>
      <c r="C1030" s="103" t="s">
        <v>3174</v>
      </c>
      <c r="D1030" s="103" t="s">
        <v>2272</v>
      </c>
      <c r="E1030" s="103" t="s">
        <v>2272</v>
      </c>
      <c r="F1030" s="103" t="s">
        <v>2175</v>
      </c>
      <c r="G1030" s="103">
        <v>20</v>
      </c>
      <c r="H1030" s="103" t="s">
        <v>2168</v>
      </c>
      <c r="I1030" s="103" t="s">
        <v>2153</v>
      </c>
      <c r="J1030" s="103">
        <v>20</v>
      </c>
      <c r="N1030" s="103" t="s">
        <v>2163</v>
      </c>
      <c r="O1030" s="103">
        <v>20</v>
      </c>
      <c r="P1030" s="103" t="s">
        <v>2789</v>
      </c>
      <c r="Q1030" s="103" t="s">
        <v>2236</v>
      </c>
      <c r="R1030" s="103" t="s">
        <v>2220</v>
      </c>
      <c r="S1030" s="103" t="s">
        <v>2422</v>
      </c>
      <c r="U1030" s="103">
        <v>10.26</v>
      </c>
      <c r="V1030" s="103" t="s">
        <v>2158</v>
      </c>
      <c r="W1030" s="103" t="s">
        <v>108</v>
      </c>
      <c r="X1030" s="103" t="s">
        <v>1736</v>
      </c>
      <c r="Y1030" s="103" t="s">
        <v>3848</v>
      </c>
      <c r="AA1030" s="103" t="s">
        <v>2220</v>
      </c>
      <c r="AB1030" s="103" t="s">
        <v>71</v>
      </c>
      <c r="AE1030" s="103" t="s">
        <v>810</v>
      </c>
      <c r="AF1030" s="103" t="b">
        <v>1</v>
      </c>
    </row>
    <row r="1031" spans="1:32" hidden="1" x14ac:dyDescent="0.2">
      <c r="A1031" s="103" t="s">
        <v>357</v>
      </c>
      <c r="B1031" s="103" t="s">
        <v>356</v>
      </c>
      <c r="C1031" s="103" t="s">
        <v>2923</v>
      </c>
      <c r="E1031" s="103" t="s">
        <v>2338</v>
      </c>
      <c r="F1031" s="103" t="s">
        <v>2162</v>
      </c>
      <c r="G1031" s="103">
        <v>50</v>
      </c>
      <c r="H1031" s="103" t="s">
        <v>2168</v>
      </c>
      <c r="I1031" s="103" t="s">
        <v>2153</v>
      </c>
      <c r="L1031" s="103">
        <v>25</v>
      </c>
      <c r="M1031" s="103">
        <v>25</v>
      </c>
      <c r="N1031" s="103" t="s">
        <v>2260</v>
      </c>
      <c r="O1031" s="103">
        <v>50</v>
      </c>
      <c r="P1031" s="103" t="s">
        <v>811</v>
      </c>
      <c r="Q1031" s="103" t="s">
        <v>2236</v>
      </c>
      <c r="R1031" s="103" t="s">
        <v>2220</v>
      </c>
      <c r="S1031" s="103" t="s">
        <v>2422</v>
      </c>
      <c r="U1031" s="103">
        <v>25.65</v>
      </c>
      <c r="V1031" s="103" t="s">
        <v>2262</v>
      </c>
      <c r="W1031" s="103" t="s">
        <v>108</v>
      </c>
      <c r="X1031" s="103" t="s">
        <v>1597</v>
      </c>
      <c r="Y1031" s="103" t="s">
        <v>1685</v>
      </c>
      <c r="AA1031" s="103" t="s">
        <v>2220</v>
      </c>
      <c r="AB1031" s="103" t="s">
        <v>71</v>
      </c>
      <c r="AE1031" s="103" t="s">
        <v>810</v>
      </c>
      <c r="AF1031" s="103" t="b">
        <v>1</v>
      </c>
    </row>
    <row r="1032" spans="1:32" hidden="1" x14ac:dyDescent="0.2">
      <c r="A1032" s="103" t="s">
        <v>915</v>
      </c>
      <c r="B1032" s="103" t="s">
        <v>914</v>
      </c>
      <c r="C1032" s="103" t="s">
        <v>3122</v>
      </c>
      <c r="D1032" s="103" t="s">
        <v>3123</v>
      </c>
      <c r="E1032" s="103" t="s">
        <v>2338</v>
      </c>
      <c r="F1032" s="103" t="s">
        <v>2151</v>
      </c>
      <c r="G1032" s="103">
        <v>100</v>
      </c>
      <c r="H1032" s="103" t="s">
        <v>2168</v>
      </c>
      <c r="I1032" s="103" t="s">
        <v>2153</v>
      </c>
      <c r="K1032" s="103">
        <v>40</v>
      </c>
      <c r="L1032" s="103">
        <v>25</v>
      </c>
      <c r="M1032" s="103">
        <v>35</v>
      </c>
      <c r="N1032" s="103" t="s">
        <v>2260</v>
      </c>
      <c r="O1032" s="103">
        <v>100</v>
      </c>
      <c r="P1032" s="103" t="s">
        <v>1624</v>
      </c>
      <c r="Q1032" s="103" t="s">
        <v>2236</v>
      </c>
      <c r="R1032" s="103" t="s">
        <v>2220</v>
      </c>
      <c r="S1032" s="103" t="s">
        <v>2422</v>
      </c>
      <c r="U1032" s="103">
        <v>51.3</v>
      </c>
      <c r="V1032" s="103" t="s">
        <v>2262</v>
      </c>
      <c r="W1032" s="103" t="s">
        <v>108</v>
      </c>
      <c r="X1032" s="103" t="s">
        <v>1736</v>
      </c>
      <c r="Y1032" s="103" t="s">
        <v>3848</v>
      </c>
      <c r="AA1032" s="103" t="s">
        <v>2220</v>
      </c>
      <c r="AB1032" s="103" t="s">
        <v>71</v>
      </c>
      <c r="AE1032" s="103" t="s">
        <v>810</v>
      </c>
      <c r="AF1032" s="103" t="b">
        <v>1</v>
      </c>
    </row>
    <row r="1033" spans="1:32" hidden="1" x14ac:dyDescent="0.2">
      <c r="A1033" s="103" t="s">
        <v>915</v>
      </c>
      <c r="B1033" s="103" t="s">
        <v>914</v>
      </c>
      <c r="C1033" s="103" t="s">
        <v>3174</v>
      </c>
      <c r="D1033" s="103" t="s">
        <v>2315</v>
      </c>
      <c r="E1033" s="103" t="s">
        <v>2315</v>
      </c>
      <c r="F1033" s="103" t="s">
        <v>2175</v>
      </c>
      <c r="G1033" s="103">
        <v>20</v>
      </c>
      <c r="H1033" s="103" t="s">
        <v>2168</v>
      </c>
      <c r="I1033" s="103" t="s">
        <v>2153</v>
      </c>
      <c r="J1033" s="103">
        <v>20</v>
      </c>
      <c r="N1033" s="103" t="s">
        <v>2163</v>
      </c>
      <c r="O1033" s="103">
        <v>20</v>
      </c>
      <c r="P1033" s="103" t="s">
        <v>2789</v>
      </c>
      <c r="Q1033" s="103" t="s">
        <v>2236</v>
      </c>
      <c r="R1033" s="103" t="s">
        <v>2220</v>
      </c>
      <c r="S1033" s="103" t="s">
        <v>2422</v>
      </c>
      <c r="U1033" s="103">
        <v>10.26</v>
      </c>
      <c r="V1033" s="103" t="s">
        <v>2158</v>
      </c>
      <c r="W1033" s="103" t="s">
        <v>108</v>
      </c>
      <c r="X1033" s="103" t="s">
        <v>1736</v>
      </c>
      <c r="Y1033" s="103" t="s">
        <v>3848</v>
      </c>
      <c r="AA1033" s="103" t="s">
        <v>2220</v>
      </c>
      <c r="AB1033" s="103" t="s">
        <v>71</v>
      </c>
      <c r="AE1033" s="103" t="s">
        <v>810</v>
      </c>
      <c r="AF1033" s="103" t="b">
        <v>1</v>
      </c>
    </row>
    <row r="1034" spans="1:32" hidden="1" x14ac:dyDescent="0.2">
      <c r="A1034" s="103" t="s">
        <v>915</v>
      </c>
      <c r="B1034" s="103" t="s">
        <v>914</v>
      </c>
      <c r="C1034" s="103" t="s">
        <v>3126</v>
      </c>
      <c r="D1034" s="103" t="s">
        <v>3138</v>
      </c>
      <c r="E1034" s="103" t="s">
        <v>2266</v>
      </c>
      <c r="F1034" s="103" t="s">
        <v>2175</v>
      </c>
      <c r="G1034" s="103">
        <v>15</v>
      </c>
      <c r="H1034" s="103" t="s">
        <v>2152</v>
      </c>
      <c r="I1034" s="103" t="s">
        <v>2153</v>
      </c>
      <c r="L1034" s="103">
        <v>15</v>
      </c>
      <c r="N1034" s="103" t="s">
        <v>2163</v>
      </c>
      <c r="O1034" s="103">
        <v>15</v>
      </c>
      <c r="P1034" s="103" t="s">
        <v>1624</v>
      </c>
      <c r="Q1034" s="103" t="s">
        <v>2236</v>
      </c>
      <c r="R1034" s="103" t="s">
        <v>2220</v>
      </c>
      <c r="S1034" s="103" t="s">
        <v>2422</v>
      </c>
      <c r="U1034" s="103">
        <v>7.6950000000000003</v>
      </c>
      <c r="V1034" s="103" t="s">
        <v>2158</v>
      </c>
      <c r="W1034" s="103" t="s">
        <v>108</v>
      </c>
      <c r="X1034" s="103" t="s">
        <v>1736</v>
      </c>
      <c r="Y1034" s="103" t="s">
        <v>3848</v>
      </c>
      <c r="AA1034" s="103" t="s">
        <v>2220</v>
      </c>
      <c r="AB1034" s="103" t="s">
        <v>71</v>
      </c>
      <c r="AE1034" s="103" t="s">
        <v>810</v>
      </c>
      <c r="AF1034" s="103" t="b">
        <v>1</v>
      </c>
    </row>
    <row r="1035" spans="1:32" hidden="1" x14ac:dyDescent="0.2">
      <c r="A1035" s="103" t="s">
        <v>915</v>
      </c>
      <c r="B1035" s="103" t="s">
        <v>914</v>
      </c>
      <c r="C1035" s="103" t="s">
        <v>3126</v>
      </c>
      <c r="D1035" s="103" t="s">
        <v>3138</v>
      </c>
      <c r="E1035" s="103" t="s">
        <v>2264</v>
      </c>
      <c r="F1035" s="103" t="s">
        <v>2175</v>
      </c>
      <c r="G1035" s="103">
        <v>15</v>
      </c>
      <c r="H1035" s="103" t="s">
        <v>2152</v>
      </c>
      <c r="I1035" s="103" t="s">
        <v>2153</v>
      </c>
      <c r="L1035" s="103">
        <v>15</v>
      </c>
      <c r="N1035" s="103" t="s">
        <v>2163</v>
      </c>
      <c r="O1035" s="103">
        <v>15</v>
      </c>
      <c r="P1035" s="103" t="s">
        <v>1624</v>
      </c>
      <c r="Q1035" s="103" t="s">
        <v>2236</v>
      </c>
      <c r="R1035" s="103" t="s">
        <v>2220</v>
      </c>
      <c r="S1035" s="103" t="s">
        <v>2422</v>
      </c>
      <c r="U1035" s="103">
        <v>7.6950000000000003</v>
      </c>
      <c r="V1035" s="103" t="s">
        <v>2158</v>
      </c>
      <c r="W1035" s="103" t="s">
        <v>108</v>
      </c>
      <c r="X1035" s="103" t="s">
        <v>1736</v>
      </c>
      <c r="Y1035" s="103" t="s">
        <v>3848</v>
      </c>
      <c r="AA1035" s="103" t="s">
        <v>2220</v>
      </c>
      <c r="AB1035" s="103" t="s">
        <v>71</v>
      </c>
      <c r="AE1035" s="103" t="s">
        <v>810</v>
      </c>
      <c r="AF1035" s="103" t="b">
        <v>1</v>
      </c>
    </row>
    <row r="1036" spans="1:32" hidden="1" x14ac:dyDescent="0.2">
      <c r="A1036" s="103" t="s">
        <v>915</v>
      </c>
      <c r="B1036" s="103" t="s">
        <v>914</v>
      </c>
      <c r="C1036" s="103" t="s">
        <v>3126</v>
      </c>
      <c r="D1036" s="103" t="s">
        <v>3138</v>
      </c>
      <c r="E1036" s="103" t="s">
        <v>2299</v>
      </c>
      <c r="F1036" s="103" t="s">
        <v>2175</v>
      </c>
      <c r="G1036" s="103">
        <v>15</v>
      </c>
      <c r="H1036" s="103" t="s">
        <v>2152</v>
      </c>
      <c r="I1036" s="103" t="s">
        <v>2153</v>
      </c>
      <c r="L1036" s="103">
        <v>15</v>
      </c>
      <c r="N1036" s="103" t="s">
        <v>2154</v>
      </c>
      <c r="O1036" s="103">
        <v>15</v>
      </c>
      <c r="P1036" s="103" t="s">
        <v>1624</v>
      </c>
      <c r="Q1036" s="103" t="s">
        <v>2236</v>
      </c>
      <c r="R1036" s="103" t="s">
        <v>2220</v>
      </c>
      <c r="S1036" s="103" t="s">
        <v>2422</v>
      </c>
      <c r="U1036" s="103">
        <v>7.6950000000000003</v>
      </c>
      <c r="V1036" s="103" t="s">
        <v>2158</v>
      </c>
      <c r="W1036" s="103" t="s">
        <v>108</v>
      </c>
      <c r="X1036" s="103" t="s">
        <v>1736</v>
      </c>
      <c r="Y1036" s="103" t="s">
        <v>3848</v>
      </c>
      <c r="AA1036" s="103" t="s">
        <v>2220</v>
      </c>
      <c r="AB1036" s="103" t="s">
        <v>71</v>
      </c>
      <c r="AE1036" s="103" t="s">
        <v>810</v>
      </c>
      <c r="AF1036" s="103" t="b">
        <v>1</v>
      </c>
    </row>
    <row r="1037" spans="1:32" hidden="1" x14ac:dyDescent="0.2">
      <c r="A1037" s="103" t="s">
        <v>915</v>
      </c>
      <c r="B1037" s="103" t="s">
        <v>914</v>
      </c>
      <c r="C1037" s="103" t="s">
        <v>3175</v>
      </c>
      <c r="E1037" s="103" t="s">
        <v>2338</v>
      </c>
      <c r="F1037" s="103" t="s">
        <v>2151</v>
      </c>
      <c r="G1037" s="103">
        <v>100</v>
      </c>
      <c r="H1037" s="103" t="s">
        <v>2168</v>
      </c>
      <c r="I1037" s="103" t="s">
        <v>2153</v>
      </c>
      <c r="J1037" s="103">
        <v>25</v>
      </c>
      <c r="K1037" s="103">
        <v>25</v>
      </c>
      <c r="L1037" s="103">
        <v>25</v>
      </c>
      <c r="M1037" s="103">
        <v>25</v>
      </c>
      <c r="N1037" s="103" t="s">
        <v>2260</v>
      </c>
      <c r="O1037" s="103">
        <v>100</v>
      </c>
      <c r="P1037" s="103" t="s">
        <v>811</v>
      </c>
      <c r="Q1037" s="103" t="s">
        <v>2236</v>
      </c>
      <c r="R1037" s="103" t="s">
        <v>2220</v>
      </c>
      <c r="S1037" s="103" t="s">
        <v>2422</v>
      </c>
      <c r="U1037" s="103">
        <v>51.3</v>
      </c>
      <c r="V1037" s="103" t="s">
        <v>2262</v>
      </c>
      <c r="W1037" s="103" t="s">
        <v>108</v>
      </c>
      <c r="X1037" s="103" t="s">
        <v>1736</v>
      </c>
      <c r="Y1037" s="103" t="s">
        <v>3848</v>
      </c>
      <c r="AA1037" s="103" t="s">
        <v>2220</v>
      </c>
      <c r="AB1037" s="103" t="s">
        <v>71</v>
      </c>
      <c r="AE1037" s="103" t="s">
        <v>810</v>
      </c>
      <c r="AF1037" s="103" t="b">
        <v>1</v>
      </c>
    </row>
    <row r="1038" spans="1:32" hidden="1" x14ac:dyDescent="0.2">
      <c r="A1038" s="103" t="s">
        <v>915</v>
      </c>
      <c r="B1038" s="103" t="s">
        <v>914</v>
      </c>
      <c r="C1038" s="103" t="s">
        <v>3126</v>
      </c>
      <c r="D1038" s="103" t="s">
        <v>3161</v>
      </c>
      <c r="E1038" s="103" t="s">
        <v>2366</v>
      </c>
      <c r="G1038" s="103">
        <v>0</v>
      </c>
      <c r="H1038" s="103" t="s">
        <v>2168</v>
      </c>
      <c r="I1038" s="103" t="s">
        <v>2153</v>
      </c>
      <c r="N1038" s="103" t="s">
        <v>2163</v>
      </c>
      <c r="O1038" s="103">
        <v>0</v>
      </c>
      <c r="P1038" s="103" t="s">
        <v>2549</v>
      </c>
      <c r="Q1038" s="103" t="s">
        <v>2236</v>
      </c>
      <c r="R1038" s="103" t="s">
        <v>2220</v>
      </c>
      <c r="S1038" s="103" t="s">
        <v>2422</v>
      </c>
      <c r="U1038" s="103">
        <v>0</v>
      </c>
      <c r="V1038" s="103" t="s">
        <v>2158</v>
      </c>
      <c r="W1038" s="103" t="s">
        <v>108</v>
      </c>
      <c r="X1038" s="103" t="s">
        <v>1736</v>
      </c>
      <c r="Y1038" s="103" t="s">
        <v>3848</v>
      </c>
      <c r="AA1038" s="103" t="s">
        <v>2220</v>
      </c>
      <c r="AB1038" s="103" t="s">
        <v>71</v>
      </c>
      <c r="AE1038" s="103" t="s">
        <v>810</v>
      </c>
      <c r="AF1038" s="103" t="b">
        <v>1</v>
      </c>
    </row>
    <row r="1039" spans="1:32" hidden="1" x14ac:dyDescent="0.2">
      <c r="A1039" s="103" t="s">
        <v>915</v>
      </c>
      <c r="B1039" s="103" t="s">
        <v>914</v>
      </c>
      <c r="C1039" s="103" t="s">
        <v>3126</v>
      </c>
      <c r="D1039" s="103" t="s">
        <v>3161</v>
      </c>
      <c r="E1039" s="103" t="s">
        <v>2292</v>
      </c>
      <c r="G1039" s="103">
        <v>0</v>
      </c>
      <c r="H1039" s="103" t="s">
        <v>2168</v>
      </c>
      <c r="I1039" s="103" t="s">
        <v>2153</v>
      </c>
      <c r="N1039" s="103" t="s">
        <v>2163</v>
      </c>
      <c r="O1039" s="103">
        <v>0</v>
      </c>
      <c r="P1039" s="103" t="s">
        <v>2549</v>
      </c>
      <c r="Q1039" s="103" t="s">
        <v>2236</v>
      </c>
      <c r="R1039" s="103" t="s">
        <v>2220</v>
      </c>
      <c r="S1039" s="103" t="s">
        <v>2422</v>
      </c>
      <c r="U1039" s="103">
        <v>0</v>
      </c>
      <c r="V1039" s="103" t="s">
        <v>2158</v>
      </c>
      <c r="W1039" s="103" t="s">
        <v>108</v>
      </c>
      <c r="X1039" s="103" t="s">
        <v>1736</v>
      </c>
      <c r="Y1039" s="103" t="s">
        <v>3848</v>
      </c>
      <c r="AA1039" s="103" t="s">
        <v>2220</v>
      </c>
      <c r="AB1039" s="103" t="s">
        <v>71</v>
      </c>
      <c r="AE1039" s="103" t="s">
        <v>810</v>
      </c>
      <c r="AF1039" s="103" t="b">
        <v>1</v>
      </c>
    </row>
    <row r="1040" spans="1:32" hidden="1" x14ac:dyDescent="0.2">
      <c r="A1040" s="103" t="s">
        <v>915</v>
      </c>
      <c r="B1040" s="103" t="s">
        <v>914</v>
      </c>
      <c r="C1040" s="103" t="s">
        <v>3126</v>
      </c>
      <c r="D1040" s="103" t="s">
        <v>3161</v>
      </c>
      <c r="E1040" s="103" t="s">
        <v>2694</v>
      </c>
      <c r="G1040" s="103">
        <v>0</v>
      </c>
      <c r="H1040" s="103" t="s">
        <v>2168</v>
      </c>
      <c r="I1040" s="103" t="s">
        <v>2153</v>
      </c>
      <c r="N1040" s="103" t="s">
        <v>2163</v>
      </c>
      <c r="O1040" s="103">
        <v>0</v>
      </c>
      <c r="P1040" s="103" t="s">
        <v>2549</v>
      </c>
      <c r="Q1040" s="103" t="s">
        <v>2236</v>
      </c>
      <c r="R1040" s="103" t="s">
        <v>2220</v>
      </c>
      <c r="S1040" s="103" t="s">
        <v>2422</v>
      </c>
      <c r="U1040" s="103">
        <v>0</v>
      </c>
      <c r="V1040" s="103" t="s">
        <v>2158</v>
      </c>
      <c r="W1040" s="103" t="s">
        <v>108</v>
      </c>
      <c r="X1040" s="103" t="s">
        <v>1736</v>
      </c>
      <c r="Y1040" s="103" t="s">
        <v>3848</v>
      </c>
      <c r="AA1040" s="103" t="s">
        <v>2220</v>
      </c>
      <c r="AB1040" s="103" t="s">
        <v>71</v>
      </c>
      <c r="AE1040" s="103" t="s">
        <v>810</v>
      </c>
      <c r="AF1040" s="103" t="b">
        <v>1</v>
      </c>
    </row>
    <row r="1041" spans="1:32" hidden="1" x14ac:dyDescent="0.2">
      <c r="A1041" s="103" t="s">
        <v>2030</v>
      </c>
      <c r="B1041" s="103" t="s">
        <v>916</v>
      </c>
      <c r="C1041" s="103" t="s">
        <v>3176</v>
      </c>
      <c r="E1041" s="103" t="s">
        <v>2334</v>
      </c>
      <c r="F1041" s="103" t="s">
        <v>2151</v>
      </c>
      <c r="G1041" s="103">
        <v>100</v>
      </c>
      <c r="H1041" s="103" t="s">
        <v>2168</v>
      </c>
      <c r="I1041" s="103" t="s">
        <v>2153</v>
      </c>
      <c r="L1041" s="103">
        <v>50</v>
      </c>
      <c r="M1041" s="103">
        <v>50</v>
      </c>
      <c r="N1041" s="103" t="s">
        <v>2260</v>
      </c>
      <c r="O1041" s="103">
        <v>100</v>
      </c>
      <c r="P1041" s="103" t="s">
        <v>791</v>
      </c>
      <c r="Q1041" s="103" t="s">
        <v>2155</v>
      </c>
      <c r="R1041" s="103" t="s">
        <v>2220</v>
      </c>
      <c r="S1041" s="103" t="s">
        <v>2192</v>
      </c>
      <c r="U1041" s="103">
        <v>51.3</v>
      </c>
      <c r="V1041" s="103" t="s">
        <v>2262</v>
      </c>
      <c r="W1041" s="103" t="s">
        <v>116</v>
      </c>
      <c r="X1041" s="103" t="s">
        <v>1597</v>
      </c>
      <c r="Y1041" s="103" t="s">
        <v>1685</v>
      </c>
      <c r="AA1041" s="103" t="s">
        <v>2220</v>
      </c>
      <c r="AB1041" s="103" t="s">
        <v>71</v>
      </c>
      <c r="AE1041" s="103" t="s">
        <v>898</v>
      </c>
      <c r="AF1041" s="103" t="b">
        <v>1</v>
      </c>
    </row>
    <row r="1042" spans="1:32" hidden="1" x14ac:dyDescent="0.2">
      <c r="A1042" s="103" t="s">
        <v>2030</v>
      </c>
      <c r="B1042" s="103" t="s">
        <v>916</v>
      </c>
      <c r="C1042" s="103" t="s">
        <v>3177</v>
      </c>
      <c r="E1042" s="103" t="s">
        <v>2334</v>
      </c>
      <c r="F1042" s="103" t="s">
        <v>2162</v>
      </c>
      <c r="G1042" s="103">
        <v>50</v>
      </c>
      <c r="H1042" s="103" t="s">
        <v>2168</v>
      </c>
      <c r="I1042" s="103" t="s">
        <v>2153</v>
      </c>
      <c r="J1042" s="103">
        <v>20</v>
      </c>
      <c r="K1042" s="103">
        <v>30</v>
      </c>
      <c r="N1042" s="103" t="s">
        <v>2163</v>
      </c>
      <c r="O1042" s="103">
        <v>50</v>
      </c>
      <c r="P1042" s="103" t="s">
        <v>791</v>
      </c>
      <c r="Q1042" s="103" t="s">
        <v>1393</v>
      </c>
      <c r="R1042" s="103" t="s">
        <v>2220</v>
      </c>
      <c r="S1042" s="103" t="s">
        <v>2209</v>
      </c>
      <c r="U1042" s="103">
        <v>25.65</v>
      </c>
      <c r="V1042" s="103" t="s">
        <v>2158</v>
      </c>
      <c r="W1042" s="103" t="s">
        <v>116</v>
      </c>
      <c r="X1042" s="103" t="s">
        <v>1597</v>
      </c>
      <c r="Y1042" s="103" t="s">
        <v>1685</v>
      </c>
      <c r="AA1042" s="103" t="s">
        <v>2220</v>
      </c>
      <c r="AB1042" s="103" t="s">
        <v>71</v>
      </c>
      <c r="AE1042" s="103" t="s">
        <v>898</v>
      </c>
      <c r="AF1042" s="103" t="b">
        <v>1</v>
      </c>
    </row>
    <row r="1043" spans="1:32" hidden="1" x14ac:dyDescent="0.2">
      <c r="A1043" s="103" t="s">
        <v>2030</v>
      </c>
      <c r="B1043" s="103" t="s">
        <v>916</v>
      </c>
      <c r="C1043" s="103" t="s">
        <v>3177</v>
      </c>
      <c r="E1043" s="103" t="s">
        <v>2957</v>
      </c>
      <c r="F1043" s="103" t="s">
        <v>2162</v>
      </c>
      <c r="G1043" s="103">
        <v>50</v>
      </c>
      <c r="H1043" s="103" t="s">
        <v>2168</v>
      </c>
      <c r="I1043" s="103" t="s">
        <v>2153</v>
      </c>
      <c r="J1043" s="103">
        <v>25</v>
      </c>
      <c r="K1043" s="103">
        <v>25</v>
      </c>
      <c r="N1043" s="103" t="s">
        <v>2163</v>
      </c>
      <c r="O1043" s="103">
        <v>50</v>
      </c>
      <c r="P1043" s="103" t="s">
        <v>791</v>
      </c>
      <c r="Q1043" s="103" t="s">
        <v>1393</v>
      </c>
      <c r="R1043" s="103" t="s">
        <v>2220</v>
      </c>
      <c r="S1043" s="103" t="s">
        <v>2209</v>
      </c>
      <c r="U1043" s="103">
        <v>25.65</v>
      </c>
      <c r="V1043" s="103" t="s">
        <v>2158</v>
      </c>
      <c r="W1043" s="103" t="s">
        <v>116</v>
      </c>
      <c r="X1043" s="103" t="s">
        <v>1597</v>
      </c>
      <c r="Y1043" s="103" t="s">
        <v>1685</v>
      </c>
      <c r="AA1043" s="103" t="s">
        <v>2220</v>
      </c>
      <c r="AB1043" s="103" t="s">
        <v>71</v>
      </c>
      <c r="AE1043" s="103" t="s">
        <v>898</v>
      </c>
      <c r="AF1043" s="103" t="b">
        <v>1</v>
      </c>
    </row>
    <row r="1044" spans="1:32" hidden="1" x14ac:dyDescent="0.2">
      <c r="A1044" s="103" t="s">
        <v>2030</v>
      </c>
      <c r="B1044" s="103" t="s">
        <v>916</v>
      </c>
      <c r="C1044" s="103" t="s">
        <v>3178</v>
      </c>
      <c r="E1044" s="103" t="s">
        <v>2957</v>
      </c>
      <c r="F1044" s="103" t="s">
        <v>2202</v>
      </c>
      <c r="G1044" s="103">
        <v>150</v>
      </c>
      <c r="H1044" s="103" t="s">
        <v>2152</v>
      </c>
      <c r="I1044" s="103" t="s">
        <v>2153</v>
      </c>
      <c r="J1044" s="103">
        <v>0</v>
      </c>
      <c r="K1044" s="103">
        <v>25</v>
      </c>
      <c r="L1044" s="103">
        <v>50</v>
      </c>
      <c r="M1044" s="103">
        <v>75</v>
      </c>
      <c r="N1044" s="103" t="s">
        <v>2163</v>
      </c>
      <c r="O1044" s="103">
        <v>150</v>
      </c>
      <c r="P1044" s="103" t="s">
        <v>791</v>
      </c>
      <c r="Q1044" s="103" t="s">
        <v>2155</v>
      </c>
      <c r="R1044" s="103" t="s">
        <v>2220</v>
      </c>
      <c r="S1044" s="103" t="s">
        <v>2192</v>
      </c>
      <c r="U1044" s="103">
        <v>76.95</v>
      </c>
      <c r="V1044" s="103" t="s">
        <v>2158</v>
      </c>
      <c r="W1044" s="103" t="s">
        <v>116</v>
      </c>
      <c r="X1044" s="103" t="s">
        <v>1597</v>
      </c>
      <c r="Y1044" s="103" t="s">
        <v>1685</v>
      </c>
      <c r="AA1044" s="103" t="s">
        <v>2220</v>
      </c>
      <c r="AB1044" s="103" t="s">
        <v>71</v>
      </c>
      <c r="AE1044" s="103" t="s">
        <v>898</v>
      </c>
      <c r="AF1044" s="103" t="b">
        <v>1</v>
      </c>
    </row>
    <row r="1045" spans="1:32" hidden="1" x14ac:dyDescent="0.2">
      <c r="A1045" s="103" t="s">
        <v>2030</v>
      </c>
      <c r="B1045" s="103" t="s">
        <v>916</v>
      </c>
      <c r="C1045" s="103" t="s">
        <v>3176</v>
      </c>
      <c r="E1045" s="103" t="s">
        <v>2346</v>
      </c>
      <c r="F1045" s="103" t="s">
        <v>2202</v>
      </c>
      <c r="G1045" s="103">
        <v>200</v>
      </c>
      <c r="H1045" s="103" t="s">
        <v>2168</v>
      </c>
      <c r="I1045" s="103" t="s">
        <v>2153</v>
      </c>
      <c r="K1045" s="103">
        <v>50</v>
      </c>
      <c r="L1045" s="103">
        <v>75</v>
      </c>
      <c r="M1045" s="103">
        <v>75</v>
      </c>
      <c r="N1045" s="103" t="s">
        <v>2260</v>
      </c>
      <c r="O1045" s="103">
        <v>200</v>
      </c>
      <c r="P1045" s="103" t="s">
        <v>791</v>
      </c>
      <c r="Q1045" s="103" t="s">
        <v>2155</v>
      </c>
      <c r="R1045" s="103" t="s">
        <v>2220</v>
      </c>
      <c r="S1045" s="103" t="s">
        <v>2192</v>
      </c>
      <c r="U1045" s="103">
        <v>102.6</v>
      </c>
      <c r="V1045" s="103" t="s">
        <v>2262</v>
      </c>
      <c r="W1045" s="103" t="s">
        <v>116</v>
      </c>
      <c r="X1045" s="103" t="s">
        <v>1597</v>
      </c>
      <c r="Y1045" s="103" t="s">
        <v>1685</v>
      </c>
      <c r="AA1045" s="103" t="s">
        <v>2220</v>
      </c>
      <c r="AB1045" s="103" t="s">
        <v>71</v>
      </c>
      <c r="AE1045" s="103" t="s">
        <v>898</v>
      </c>
      <c r="AF1045" s="103" t="b">
        <v>1</v>
      </c>
    </row>
    <row r="1046" spans="1:32" hidden="1" x14ac:dyDescent="0.2">
      <c r="A1046" s="103" t="s">
        <v>915</v>
      </c>
      <c r="B1046" s="103" t="s">
        <v>914</v>
      </c>
      <c r="C1046" s="103" t="s">
        <v>3126</v>
      </c>
      <c r="D1046" s="103" t="s">
        <v>3161</v>
      </c>
      <c r="E1046" s="103" t="s">
        <v>2796</v>
      </c>
      <c r="G1046" s="103">
        <v>0</v>
      </c>
      <c r="H1046" s="103" t="s">
        <v>2168</v>
      </c>
      <c r="I1046" s="103" t="s">
        <v>2153</v>
      </c>
      <c r="N1046" s="103" t="s">
        <v>2163</v>
      </c>
      <c r="O1046" s="103">
        <v>0</v>
      </c>
      <c r="P1046" s="103" t="s">
        <v>2549</v>
      </c>
      <c r="Q1046" s="103" t="s">
        <v>2236</v>
      </c>
      <c r="R1046" s="103" t="s">
        <v>2220</v>
      </c>
      <c r="S1046" s="103" t="s">
        <v>2422</v>
      </c>
      <c r="U1046" s="103">
        <v>0</v>
      </c>
      <c r="V1046" s="103" t="s">
        <v>2158</v>
      </c>
      <c r="W1046" s="103" t="s">
        <v>108</v>
      </c>
      <c r="X1046" s="103" t="s">
        <v>1736</v>
      </c>
      <c r="Y1046" s="103" t="s">
        <v>3848</v>
      </c>
      <c r="AA1046" s="103" t="s">
        <v>2220</v>
      </c>
      <c r="AB1046" s="103" t="s">
        <v>71</v>
      </c>
      <c r="AE1046" s="103" t="s">
        <v>810</v>
      </c>
      <c r="AF1046" s="103" t="b">
        <v>1</v>
      </c>
    </row>
    <row r="1047" spans="1:32" hidden="1" x14ac:dyDescent="0.2">
      <c r="A1047" s="103" t="s">
        <v>915</v>
      </c>
      <c r="B1047" s="103" t="s">
        <v>914</v>
      </c>
      <c r="C1047" s="103" t="s">
        <v>3122</v>
      </c>
      <c r="D1047" s="103" t="s">
        <v>3123</v>
      </c>
      <c r="E1047" s="103" t="s">
        <v>2264</v>
      </c>
      <c r="F1047" s="103" t="s">
        <v>2162</v>
      </c>
      <c r="G1047" s="103">
        <v>50</v>
      </c>
      <c r="H1047" s="103" t="s">
        <v>2168</v>
      </c>
      <c r="I1047" s="103" t="s">
        <v>2153</v>
      </c>
      <c r="L1047" s="103">
        <v>25</v>
      </c>
      <c r="M1047" s="103">
        <v>25</v>
      </c>
      <c r="N1047" s="103" t="s">
        <v>2260</v>
      </c>
      <c r="O1047" s="103">
        <v>50</v>
      </c>
      <c r="P1047" s="103" t="s">
        <v>1624</v>
      </c>
      <c r="Q1047" s="103" t="s">
        <v>2236</v>
      </c>
      <c r="R1047" s="103" t="s">
        <v>2220</v>
      </c>
      <c r="S1047" s="103" t="s">
        <v>2422</v>
      </c>
      <c r="U1047" s="103">
        <v>25.65</v>
      </c>
      <c r="V1047" s="103" t="s">
        <v>2262</v>
      </c>
      <c r="W1047" s="103" t="s">
        <v>108</v>
      </c>
      <c r="X1047" s="103" t="s">
        <v>1736</v>
      </c>
      <c r="Y1047" s="103" t="s">
        <v>3848</v>
      </c>
      <c r="AA1047" s="103" t="s">
        <v>2220</v>
      </c>
      <c r="AB1047" s="103" t="s">
        <v>71</v>
      </c>
      <c r="AE1047" s="103" t="s">
        <v>810</v>
      </c>
      <c r="AF1047" s="103" t="b">
        <v>1</v>
      </c>
    </row>
    <row r="1048" spans="1:32" hidden="1" x14ac:dyDescent="0.2">
      <c r="A1048" s="103" t="s">
        <v>915</v>
      </c>
      <c r="B1048" s="103" t="s">
        <v>914</v>
      </c>
      <c r="C1048" s="103" t="s">
        <v>3122</v>
      </c>
      <c r="D1048" s="103" t="s">
        <v>3123</v>
      </c>
      <c r="E1048" s="103" t="s">
        <v>2259</v>
      </c>
      <c r="F1048" s="103" t="s">
        <v>2162</v>
      </c>
      <c r="G1048" s="103">
        <v>50</v>
      </c>
      <c r="H1048" s="103" t="s">
        <v>2168</v>
      </c>
      <c r="I1048" s="103" t="s">
        <v>2153</v>
      </c>
      <c r="L1048" s="103">
        <v>25</v>
      </c>
      <c r="M1048" s="103">
        <v>25</v>
      </c>
      <c r="N1048" s="103" t="s">
        <v>2260</v>
      </c>
      <c r="O1048" s="103">
        <v>50</v>
      </c>
      <c r="P1048" s="103" t="s">
        <v>1624</v>
      </c>
      <c r="Q1048" s="103" t="s">
        <v>2236</v>
      </c>
      <c r="R1048" s="103" t="s">
        <v>2220</v>
      </c>
      <c r="S1048" s="103" t="s">
        <v>2422</v>
      </c>
      <c r="U1048" s="103">
        <v>25.65</v>
      </c>
      <c r="V1048" s="103" t="s">
        <v>2262</v>
      </c>
      <c r="W1048" s="103" t="s">
        <v>108</v>
      </c>
      <c r="X1048" s="103" t="s">
        <v>1736</v>
      </c>
      <c r="Y1048" s="103" t="s">
        <v>3848</v>
      </c>
      <c r="AA1048" s="103" t="s">
        <v>2220</v>
      </c>
      <c r="AB1048" s="103" t="s">
        <v>71</v>
      </c>
      <c r="AE1048" s="103" t="s">
        <v>810</v>
      </c>
      <c r="AF1048" s="103" t="b">
        <v>1</v>
      </c>
    </row>
    <row r="1049" spans="1:32" hidden="1" x14ac:dyDescent="0.2">
      <c r="A1049" s="103" t="s">
        <v>915</v>
      </c>
      <c r="B1049" s="103" t="s">
        <v>914</v>
      </c>
      <c r="C1049" s="103" t="s">
        <v>3122</v>
      </c>
      <c r="D1049" s="103" t="s">
        <v>3123</v>
      </c>
      <c r="E1049" s="103" t="s">
        <v>2266</v>
      </c>
      <c r="F1049" s="103" t="s">
        <v>2162</v>
      </c>
      <c r="G1049" s="103">
        <v>50</v>
      </c>
      <c r="H1049" s="103" t="s">
        <v>2168</v>
      </c>
      <c r="I1049" s="103" t="s">
        <v>2153</v>
      </c>
      <c r="L1049" s="103">
        <v>25</v>
      </c>
      <c r="M1049" s="103">
        <v>25</v>
      </c>
      <c r="N1049" s="103" t="s">
        <v>2273</v>
      </c>
      <c r="O1049" s="103">
        <v>50</v>
      </c>
      <c r="P1049" s="103" t="s">
        <v>1624</v>
      </c>
      <c r="Q1049" s="103" t="s">
        <v>2236</v>
      </c>
      <c r="R1049" s="103" t="s">
        <v>2220</v>
      </c>
      <c r="S1049" s="103" t="s">
        <v>2422</v>
      </c>
      <c r="U1049" s="103">
        <v>25.65</v>
      </c>
      <c r="V1049" s="103" t="s">
        <v>2262</v>
      </c>
      <c r="W1049" s="103" t="s">
        <v>108</v>
      </c>
      <c r="X1049" s="103" t="s">
        <v>1736</v>
      </c>
      <c r="Y1049" s="103" t="s">
        <v>3848</v>
      </c>
      <c r="AA1049" s="103" t="s">
        <v>2220</v>
      </c>
      <c r="AB1049" s="103" t="s">
        <v>71</v>
      </c>
      <c r="AE1049" s="103" t="s">
        <v>810</v>
      </c>
      <c r="AF1049" s="103" t="b">
        <v>1</v>
      </c>
    </row>
    <row r="1050" spans="1:32" hidden="1" x14ac:dyDescent="0.2">
      <c r="A1050" s="103" t="s">
        <v>915</v>
      </c>
      <c r="B1050" s="103" t="s">
        <v>914</v>
      </c>
      <c r="C1050" s="103" t="s">
        <v>3122</v>
      </c>
      <c r="D1050" s="103" t="s">
        <v>3123</v>
      </c>
      <c r="E1050" s="103" t="s">
        <v>2292</v>
      </c>
      <c r="F1050" s="103" t="s">
        <v>2175</v>
      </c>
      <c r="G1050" s="103">
        <v>20</v>
      </c>
      <c r="H1050" s="103" t="s">
        <v>2168</v>
      </c>
      <c r="I1050" s="103" t="s">
        <v>2153</v>
      </c>
      <c r="J1050" s="103">
        <v>5</v>
      </c>
      <c r="K1050" s="103">
        <v>5</v>
      </c>
      <c r="L1050" s="103">
        <v>5</v>
      </c>
      <c r="M1050" s="103">
        <v>5</v>
      </c>
      <c r="N1050" s="103" t="s">
        <v>2260</v>
      </c>
      <c r="O1050" s="103">
        <v>0</v>
      </c>
      <c r="P1050" s="103" t="s">
        <v>2549</v>
      </c>
      <c r="Q1050" s="103" t="s">
        <v>2236</v>
      </c>
      <c r="R1050" s="103" t="s">
        <v>2220</v>
      </c>
      <c r="S1050" s="103" t="s">
        <v>2422</v>
      </c>
      <c r="U1050" s="103">
        <v>10.26</v>
      </c>
      <c r="V1050" s="103" t="s">
        <v>2262</v>
      </c>
      <c r="W1050" s="103" t="s">
        <v>108</v>
      </c>
      <c r="X1050" s="103" t="s">
        <v>1736</v>
      </c>
      <c r="Y1050" s="103" t="s">
        <v>3848</v>
      </c>
      <c r="AA1050" s="103" t="s">
        <v>2220</v>
      </c>
      <c r="AB1050" s="103" t="s">
        <v>71</v>
      </c>
      <c r="AE1050" s="103" t="s">
        <v>810</v>
      </c>
      <c r="AF1050" s="103" t="b">
        <v>1</v>
      </c>
    </row>
    <row r="1051" spans="1:32" hidden="1" x14ac:dyDescent="0.2">
      <c r="A1051" s="103" t="s">
        <v>915</v>
      </c>
      <c r="B1051" s="103" t="s">
        <v>914</v>
      </c>
      <c r="C1051" s="103" t="s">
        <v>3122</v>
      </c>
      <c r="D1051" s="103" t="s">
        <v>3123</v>
      </c>
      <c r="E1051" s="103" t="s">
        <v>2694</v>
      </c>
      <c r="F1051" s="103" t="s">
        <v>2175</v>
      </c>
      <c r="G1051" s="103">
        <v>20</v>
      </c>
      <c r="H1051" s="103" t="s">
        <v>2168</v>
      </c>
      <c r="I1051" s="103" t="s">
        <v>2153</v>
      </c>
      <c r="J1051" s="103">
        <v>5</v>
      </c>
      <c r="K1051" s="103">
        <v>5</v>
      </c>
      <c r="L1051" s="103">
        <v>5</v>
      </c>
      <c r="M1051" s="103">
        <v>5</v>
      </c>
      <c r="N1051" s="103" t="s">
        <v>2260</v>
      </c>
      <c r="O1051" s="103">
        <v>20</v>
      </c>
      <c r="P1051" s="103" t="s">
        <v>2549</v>
      </c>
      <c r="Q1051" s="103" t="s">
        <v>2236</v>
      </c>
      <c r="R1051" s="103" t="s">
        <v>2220</v>
      </c>
      <c r="S1051" s="103" t="s">
        <v>2422</v>
      </c>
      <c r="U1051" s="103">
        <v>10.26</v>
      </c>
      <c r="V1051" s="103" t="s">
        <v>2262</v>
      </c>
      <c r="W1051" s="103" t="s">
        <v>108</v>
      </c>
      <c r="X1051" s="103" t="s">
        <v>1736</v>
      </c>
      <c r="Y1051" s="103" t="s">
        <v>3848</v>
      </c>
      <c r="AA1051" s="103" t="s">
        <v>2220</v>
      </c>
      <c r="AB1051" s="103" t="s">
        <v>71</v>
      </c>
      <c r="AE1051" s="103" t="s">
        <v>810</v>
      </c>
      <c r="AF1051" s="103" t="b">
        <v>1</v>
      </c>
    </row>
    <row r="1052" spans="1:32" hidden="1" x14ac:dyDescent="0.2">
      <c r="A1052" s="103" t="s">
        <v>915</v>
      </c>
      <c r="B1052" s="103" t="s">
        <v>914</v>
      </c>
      <c r="C1052" s="103" t="s">
        <v>3179</v>
      </c>
      <c r="E1052" s="103" t="s">
        <v>2266</v>
      </c>
      <c r="G1052" s="103">
        <v>0</v>
      </c>
      <c r="H1052" s="103" t="s">
        <v>2168</v>
      </c>
      <c r="I1052" s="103" t="s">
        <v>2153</v>
      </c>
      <c r="N1052" s="103" t="s">
        <v>2273</v>
      </c>
      <c r="O1052" s="103">
        <v>0</v>
      </c>
      <c r="P1052" s="103" t="s">
        <v>811</v>
      </c>
      <c r="Q1052" s="103" t="s">
        <v>2236</v>
      </c>
      <c r="R1052" s="103" t="s">
        <v>2220</v>
      </c>
      <c r="S1052" s="103" t="s">
        <v>2422</v>
      </c>
      <c r="U1052" s="103">
        <v>0</v>
      </c>
      <c r="V1052" s="103" t="s">
        <v>2262</v>
      </c>
      <c r="W1052" s="103" t="s">
        <v>108</v>
      </c>
      <c r="X1052" s="103" t="s">
        <v>1736</v>
      </c>
      <c r="Y1052" s="103" t="s">
        <v>3848</v>
      </c>
      <c r="AA1052" s="103" t="s">
        <v>2220</v>
      </c>
      <c r="AB1052" s="103" t="s">
        <v>71</v>
      </c>
      <c r="AE1052" s="103" t="s">
        <v>810</v>
      </c>
      <c r="AF1052" s="103" t="b">
        <v>1</v>
      </c>
    </row>
    <row r="1053" spans="1:32" hidden="1" x14ac:dyDescent="0.2">
      <c r="A1053" s="103" t="s">
        <v>2032</v>
      </c>
      <c r="B1053" s="103" t="s">
        <v>918</v>
      </c>
      <c r="C1053" s="103" t="s">
        <v>3180</v>
      </c>
      <c r="D1053" s="103" t="s">
        <v>3181</v>
      </c>
      <c r="E1053" s="103" t="s">
        <v>2266</v>
      </c>
      <c r="F1053" s="103" t="s">
        <v>2151</v>
      </c>
      <c r="G1053" s="103">
        <v>100</v>
      </c>
      <c r="H1053" s="103" t="s">
        <v>2168</v>
      </c>
      <c r="I1053" s="103" t="s">
        <v>2153</v>
      </c>
      <c r="J1053" s="103">
        <v>25</v>
      </c>
      <c r="K1053" s="103">
        <v>25</v>
      </c>
      <c r="L1053" s="103">
        <v>25</v>
      </c>
      <c r="M1053" s="103">
        <v>25</v>
      </c>
      <c r="N1053" s="103" t="s">
        <v>2163</v>
      </c>
      <c r="O1053" s="103">
        <v>100</v>
      </c>
      <c r="P1053" s="103" t="s">
        <v>1624</v>
      </c>
      <c r="Q1053" s="103" t="s">
        <v>2236</v>
      </c>
      <c r="R1053" s="103" t="s">
        <v>2220</v>
      </c>
      <c r="S1053" s="103" t="s">
        <v>2422</v>
      </c>
      <c r="U1053" s="103">
        <v>51.3</v>
      </c>
      <c r="V1053" s="103" t="s">
        <v>2158</v>
      </c>
      <c r="W1053" s="103" t="s">
        <v>108</v>
      </c>
      <c r="X1053" s="103" t="s">
        <v>1736</v>
      </c>
      <c r="Y1053" s="103" t="s">
        <v>3848</v>
      </c>
      <c r="AA1053" s="103" t="s">
        <v>2220</v>
      </c>
      <c r="AB1053" s="103" t="s">
        <v>71</v>
      </c>
      <c r="AE1053" s="103" t="s">
        <v>810</v>
      </c>
      <c r="AF1053" s="103" t="b">
        <v>1</v>
      </c>
    </row>
    <row r="1054" spans="1:32" hidden="1" x14ac:dyDescent="0.2">
      <c r="A1054" s="103" t="s">
        <v>2032</v>
      </c>
      <c r="B1054" s="103" t="s">
        <v>918</v>
      </c>
      <c r="C1054" s="103" t="s">
        <v>3180</v>
      </c>
      <c r="D1054" s="103" t="s">
        <v>3181</v>
      </c>
      <c r="E1054" s="103" t="s">
        <v>2264</v>
      </c>
      <c r="F1054" s="103" t="s">
        <v>2151</v>
      </c>
      <c r="G1054" s="103">
        <v>100</v>
      </c>
      <c r="H1054" s="103" t="s">
        <v>2168</v>
      </c>
      <c r="I1054" s="103" t="s">
        <v>2153</v>
      </c>
      <c r="J1054" s="103">
        <v>25</v>
      </c>
      <c r="K1054" s="103">
        <v>25</v>
      </c>
      <c r="L1054" s="103">
        <v>25</v>
      </c>
      <c r="M1054" s="103">
        <v>25</v>
      </c>
      <c r="N1054" s="103" t="s">
        <v>2163</v>
      </c>
      <c r="O1054" s="103">
        <v>100</v>
      </c>
      <c r="P1054" s="103" t="s">
        <v>1624</v>
      </c>
      <c r="Q1054" s="103" t="s">
        <v>2236</v>
      </c>
      <c r="R1054" s="103" t="s">
        <v>2220</v>
      </c>
      <c r="S1054" s="103" t="s">
        <v>2422</v>
      </c>
      <c r="U1054" s="103">
        <v>51.3</v>
      </c>
      <c r="V1054" s="103" t="s">
        <v>2158</v>
      </c>
      <c r="W1054" s="103" t="s">
        <v>108</v>
      </c>
      <c r="X1054" s="103" t="s">
        <v>1736</v>
      </c>
      <c r="Y1054" s="103" t="s">
        <v>3848</v>
      </c>
      <c r="AA1054" s="103" t="s">
        <v>2220</v>
      </c>
      <c r="AB1054" s="103" t="s">
        <v>71</v>
      </c>
      <c r="AE1054" s="103" t="s">
        <v>810</v>
      </c>
      <c r="AF1054" s="103" t="b">
        <v>1</v>
      </c>
    </row>
    <row r="1055" spans="1:32" hidden="1" x14ac:dyDescent="0.2">
      <c r="A1055" s="103" t="s">
        <v>2032</v>
      </c>
      <c r="B1055" s="103" t="s">
        <v>918</v>
      </c>
      <c r="C1055" s="103" t="s">
        <v>3180</v>
      </c>
      <c r="D1055" s="103" t="s">
        <v>3181</v>
      </c>
      <c r="E1055" s="103" t="s">
        <v>2259</v>
      </c>
      <c r="F1055" s="103" t="s">
        <v>2151</v>
      </c>
      <c r="G1055" s="103">
        <v>100</v>
      </c>
      <c r="H1055" s="103" t="s">
        <v>2168</v>
      </c>
      <c r="I1055" s="103" t="s">
        <v>2153</v>
      </c>
      <c r="J1055" s="103">
        <v>25</v>
      </c>
      <c r="K1055" s="103">
        <v>25</v>
      </c>
      <c r="L1055" s="103">
        <v>25</v>
      </c>
      <c r="M1055" s="103">
        <v>25</v>
      </c>
      <c r="N1055" s="103" t="s">
        <v>2163</v>
      </c>
      <c r="O1055" s="103">
        <v>100</v>
      </c>
      <c r="P1055" s="103" t="s">
        <v>1624</v>
      </c>
      <c r="Q1055" s="103" t="s">
        <v>2236</v>
      </c>
      <c r="R1055" s="103" t="s">
        <v>2220</v>
      </c>
      <c r="S1055" s="103" t="s">
        <v>2422</v>
      </c>
      <c r="U1055" s="103">
        <v>51.3</v>
      </c>
      <c r="V1055" s="103" t="s">
        <v>2158</v>
      </c>
      <c r="W1055" s="103" t="s">
        <v>108</v>
      </c>
      <c r="X1055" s="103" t="s">
        <v>1736</v>
      </c>
      <c r="Y1055" s="103" t="s">
        <v>3848</v>
      </c>
      <c r="AA1055" s="103" t="s">
        <v>2220</v>
      </c>
      <c r="AB1055" s="103" t="s">
        <v>71</v>
      </c>
      <c r="AE1055" s="103" t="s">
        <v>810</v>
      </c>
      <c r="AF1055" s="103" t="b">
        <v>1</v>
      </c>
    </row>
    <row r="1056" spans="1:32" hidden="1" x14ac:dyDescent="0.2">
      <c r="A1056" s="103" t="s">
        <v>2032</v>
      </c>
      <c r="B1056" s="103" t="s">
        <v>918</v>
      </c>
      <c r="C1056" s="103" t="s">
        <v>3180</v>
      </c>
      <c r="D1056" s="103" t="s">
        <v>3181</v>
      </c>
      <c r="E1056" s="103" t="s">
        <v>2299</v>
      </c>
      <c r="F1056" s="103" t="s">
        <v>2162</v>
      </c>
      <c r="G1056" s="103">
        <v>50</v>
      </c>
      <c r="H1056" s="103" t="s">
        <v>2168</v>
      </c>
      <c r="I1056" s="103" t="s">
        <v>2153</v>
      </c>
      <c r="J1056" s="103">
        <v>10</v>
      </c>
      <c r="K1056" s="103">
        <v>10</v>
      </c>
      <c r="L1056" s="103">
        <v>10</v>
      </c>
      <c r="M1056" s="103">
        <v>20</v>
      </c>
      <c r="N1056" s="103" t="s">
        <v>2163</v>
      </c>
      <c r="O1056" s="103">
        <v>50</v>
      </c>
      <c r="P1056" s="103" t="s">
        <v>1624</v>
      </c>
      <c r="Q1056" s="103" t="s">
        <v>2236</v>
      </c>
      <c r="R1056" s="103" t="s">
        <v>2220</v>
      </c>
      <c r="S1056" s="103" t="s">
        <v>2422</v>
      </c>
      <c r="U1056" s="103">
        <v>25.65</v>
      </c>
      <c r="V1056" s="103" t="s">
        <v>2158</v>
      </c>
      <c r="W1056" s="103" t="s">
        <v>108</v>
      </c>
      <c r="X1056" s="103" t="s">
        <v>1736</v>
      </c>
      <c r="Y1056" s="103" t="s">
        <v>3848</v>
      </c>
      <c r="AA1056" s="103" t="s">
        <v>2220</v>
      </c>
      <c r="AB1056" s="103" t="s">
        <v>71</v>
      </c>
      <c r="AE1056" s="103" t="s">
        <v>810</v>
      </c>
      <c r="AF1056" s="103" t="b">
        <v>1</v>
      </c>
    </row>
    <row r="1057" spans="1:32" hidden="1" x14ac:dyDescent="0.2">
      <c r="A1057" s="103" t="s">
        <v>3850</v>
      </c>
      <c r="B1057" s="103" t="s">
        <v>918</v>
      </c>
      <c r="C1057" s="103" t="s">
        <v>3173</v>
      </c>
      <c r="D1057" s="103" t="s">
        <v>3182</v>
      </c>
      <c r="E1057" s="103" t="s">
        <v>2694</v>
      </c>
      <c r="F1057" s="103" t="s">
        <v>2162</v>
      </c>
      <c r="G1057" s="103">
        <v>50</v>
      </c>
      <c r="H1057" s="103" t="s">
        <v>2168</v>
      </c>
      <c r="I1057" s="103" t="s">
        <v>2153</v>
      </c>
      <c r="J1057" s="103">
        <v>10</v>
      </c>
      <c r="K1057" s="103">
        <v>15</v>
      </c>
      <c r="L1057" s="103">
        <v>15</v>
      </c>
      <c r="M1057" s="103">
        <v>10</v>
      </c>
      <c r="N1057" s="103" t="s">
        <v>2163</v>
      </c>
      <c r="O1057" s="103">
        <v>50</v>
      </c>
      <c r="P1057" s="103" t="s">
        <v>2549</v>
      </c>
      <c r="Q1057" s="103" t="s">
        <v>2236</v>
      </c>
      <c r="R1057" s="103" t="s">
        <v>2220</v>
      </c>
      <c r="S1057" s="103" t="s">
        <v>2422</v>
      </c>
      <c r="U1057" s="103">
        <v>25.65</v>
      </c>
      <c r="V1057" s="103" t="s">
        <v>2158</v>
      </c>
      <c r="W1057" s="103" t="s">
        <v>108</v>
      </c>
      <c r="X1057" s="103" t="s">
        <v>1736</v>
      </c>
      <c r="Y1057" s="103" t="s">
        <v>3848</v>
      </c>
      <c r="AA1057" s="103" t="s">
        <v>2220</v>
      </c>
      <c r="AB1057" s="103" t="s">
        <v>71</v>
      </c>
      <c r="AE1057" s="103" t="s">
        <v>810</v>
      </c>
      <c r="AF1057" s="103" t="b">
        <v>1</v>
      </c>
    </row>
    <row r="1058" spans="1:32" hidden="1" x14ac:dyDescent="0.2">
      <c r="A1058" s="103" t="s">
        <v>2032</v>
      </c>
      <c r="B1058" s="103" t="s">
        <v>918</v>
      </c>
      <c r="C1058" s="103" t="s">
        <v>3173</v>
      </c>
      <c r="D1058" s="103" t="s">
        <v>2259</v>
      </c>
      <c r="E1058" s="103" t="s">
        <v>2259</v>
      </c>
      <c r="F1058" s="103" t="s">
        <v>2175</v>
      </c>
      <c r="G1058" s="103">
        <v>20</v>
      </c>
      <c r="H1058" s="103" t="s">
        <v>2168</v>
      </c>
      <c r="I1058" s="103" t="s">
        <v>2153</v>
      </c>
      <c r="J1058" s="103">
        <v>20</v>
      </c>
      <c r="N1058" s="103" t="s">
        <v>2163</v>
      </c>
      <c r="O1058" s="103">
        <v>20</v>
      </c>
      <c r="P1058" s="103" t="s">
        <v>1624</v>
      </c>
      <c r="Q1058" s="103" t="s">
        <v>2236</v>
      </c>
      <c r="R1058" s="103" t="s">
        <v>2220</v>
      </c>
      <c r="S1058" s="103" t="s">
        <v>2422</v>
      </c>
      <c r="U1058" s="103">
        <v>10.26</v>
      </c>
      <c r="V1058" s="103" t="s">
        <v>2158</v>
      </c>
      <c r="W1058" s="103" t="s">
        <v>108</v>
      </c>
      <c r="X1058" s="103" t="s">
        <v>1736</v>
      </c>
      <c r="Y1058" s="103" t="s">
        <v>3848</v>
      </c>
      <c r="AA1058" s="103" t="s">
        <v>2220</v>
      </c>
      <c r="AB1058" s="103" t="s">
        <v>71</v>
      </c>
      <c r="AE1058" s="103" t="s">
        <v>810</v>
      </c>
      <c r="AF1058" s="103" t="b">
        <v>1</v>
      </c>
    </row>
    <row r="1059" spans="1:32" hidden="1" x14ac:dyDescent="0.2">
      <c r="A1059" s="103" t="s">
        <v>2032</v>
      </c>
      <c r="B1059" s="103" t="s">
        <v>918</v>
      </c>
      <c r="C1059" s="103" t="s">
        <v>3173</v>
      </c>
      <c r="D1059" s="103" t="s">
        <v>2350</v>
      </c>
      <c r="E1059" s="103" t="s">
        <v>2350</v>
      </c>
      <c r="F1059" s="103" t="s">
        <v>2175</v>
      </c>
      <c r="G1059" s="103">
        <v>40</v>
      </c>
      <c r="H1059" s="103" t="s">
        <v>2152</v>
      </c>
      <c r="I1059" s="103" t="s">
        <v>2153</v>
      </c>
      <c r="J1059" s="103">
        <v>40</v>
      </c>
      <c r="N1059" s="103" t="s">
        <v>2163</v>
      </c>
      <c r="O1059" s="103">
        <v>40</v>
      </c>
      <c r="P1059" s="103" t="s">
        <v>1624</v>
      </c>
      <c r="Q1059" s="103" t="s">
        <v>2236</v>
      </c>
      <c r="R1059" s="103" t="s">
        <v>2220</v>
      </c>
      <c r="S1059" s="103" t="s">
        <v>2422</v>
      </c>
      <c r="U1059" s="103">
        <v>20.52</v>
      </c>
      <c r="V1059" s="103" t="s">
        <v>2158</v>
      </c>
      <c r="W1059" s="103" t="s">
        <v>108</v>
      </c>
      <c r="X1059" s="103" t="s">
        <v>1736</v>
      </c>
      <c r="Y1059" s="103" t="s">
        <v>3848</v>
      </c>
      <c r="AA1059" s="103" t="s">
        <v>2220</v>
      </c>
      <c r="AB1059" s="103" t="s">
        <v>71</v>
      </c>
      <c r="AE1059" s="103" t="s">
        <v>810</v>
      </c>
      <c r="AF1059" s="103" t="b">
        <v>1</v>
      </c>
    </row>
    <row r="1060" spans="1:32" hidden="1" x14ac:dyDescent="0.2">
      <c r="A1060" s="103" t="s">
        <v>3850</v>
      </c>
      <c r="B1060" s="103" t="s">
        <v>918</v>
      </c>
      <c r="C1060" s="103" t="s">
        <v>3173</v>
      </c>
      <c r="D1060" s="103" t="s">
        <v>3182</v>
      </c>
      <c r="E1060" s="103" t="s">
        <v>2366</v>
      </c>
      <c r="F1060" s="103" t="s">
        <v>2175</v>
      </c>
      <c r="G1060" s="103">
        <v>20</v>
      </c>
      <c r="H1060" s="103" t="s">
        <v>2168</v>
      </c>
      <c r="I1060" s="103" t="s">
        <v>2153</v>
      </c>
      <c r="J1060" s="103">
        <v>10</v>
      </c>
      <c r="K1060" s="103">
        <v>10</v>
      </c>
      <c r="N1060" s="103" t="s">
        <v>2163</v>
      </c>
      <c r="O1060" s="103">
        <v>20</v>
      </c>
      <c r="P1060" s="103" t="s">
        <v>2549</v>
      </c>
      <c r="Q1060" s="103" t="s">
        <v>2236</v>
      </c>
      <c r="R1060" s="103" t="s">
        <v>2220</v>
      </c>
      <c r="S1060" s="103" t="s">
        <v>2422</v>
      </c>
      <c r="U1060" s="103">
        <v>10.26</v>
      </c>
      <c r="V1060" s="103" t="s">
        <v>2158</v>
      </c>
      <c r="W1060" s="103" t="s">
        <v>108</v>
      </c>
      <c r="X1060" s="103" t="s">
        <v>1736</v>
      </c>
      <c r="Y1060" s="103" t="s">
        <v>3848</v>
      </c>
      <c r="AA1060" s="103" t="s">
        <v>2220</v>
      </c>
      <c r="AB1060" s="103" t="s">
        <v>71</v>
      </c>
      <c r="AE1060" s="103" t="s">
        <v>810</v>
      </c>
      <c r="AF1060" s="103" t="b">
        <v>1</v>
      </c>
    </row>
    <row r="1061" spans="1:32" hidden="1" x14ac:dyDescent="0.2">
      <c r="A1061" s="103" t="s">
        <v>3850</v>
      </c>
      <c r="B1061" s="103" t="s">
        <v>918</v>
      </c>
      <c r="C1061" s="103" t="s">
        <v>3173</v>
      </c>
      <c r="D1061" s="103" t="s">
        <v>3182</v>
      </c>
      <c r="E1061" s="103" t="s">
        <v>2285</v>
      </c>
      <c r="F1061" s="103" t="s">
        <v>2175</v>
      </c>
      <c r="G1061" s="103">
        <v>20</v>
      </c>
      <c r="H1061" s="103" t="s">
        <v>2168</v>
      </c>
      <c r="I1061" s="103" t="s">
        <v>2153</v>
      </c>
      <c r="J1061" s="103">
        <v>5</v>
      </c>
      <c r="K1061" s="103">
        <v>5</v>
      </c>
      <c r="L1061" s="103">
        <v>5</v>
      </c>
      <c r="M1061" s="103">
        <v>5</v>
      </c>
      <c r="N1061" s="103" t="s">
        <v>2163</v>
      </c>
      <c r="O1061" s="103">
        <v>20</v>
      </c>
      <c r="P1061" s="103" t="s">
        <v>2549</v>
      </c>
      <c r="Q1061" s="103" t="s">
        <v>2236</v>
      </c>
      <c r="R1061" s="103" t="s">
        <v>2220</v>
      </c>
      <c r="S1061" s="103" t="s">
        <v>2422</v>
      </c>
      <c r="U1061" s="103">
        <v>10.26</v>
      </c>
      <c r="V1061" s="103" t="s">
        <v>2158</v>
      </c>
      <c r="W1061" s="103" t="s">
        <v>108</v>
      </c>
      <c r="X1061" s="103" t="s">
        <v>1736</v>
      </c>
      <c r="Y1061" s="103" t="s">
        <v>3848</v>
      </c>
      <c r="AA1061" s="103" t="s">
        <v>2220</v>
      </c>
      <c r="AB1061" s="103" t="s">
        <v>71</v>
      </c>
      <c r="AE1061" s="103" t="s">
        <v>810</v>
      </c>
      <c r="AF1061" s="103" t="b">
        <v>1</v>
      </c>
    </row>
    <row r="1062" spans="1:32" hidden="1" x14ac:dyDescent="0.2">
      <c r="A1062" s="103" t="s">
        <v>2032</v>
      </c>
      <c r="B1062" s="103" t="s">
        <v>918</v>
      </c>
      <c r="C1062" s="103" t="s">
        <v>3173</v>
      </c>
      <c r="D1062" s="103" t="s">
        <v>2266</v>
      </c>
      <c r="E1062" s="103" t="s">
        <v>2266</v>
      </c>
      <c r="F1062" s="103" t="s">
        <v>2175</v>
      </c>
      <c r="G1062" s="103">
        <v>20</v>
      </c>
      <c r="H1062" s="103" t="s">
        <v>2168</v>
      </c>
      <c r="I1062" s="103" t="s">
        <v>2153</v>
      </c>
      <c r="J1062" s="103">
        <v>20</v>
      </c>
      <c r="N1062" s="103" t="s">
        <v>2163</v>
      </c>
      <c r="O1062" s="103">
        <v>20</v>
      </c>
      <c r="P1062" s="103" t="s">
        <v>1624</v>
      </c>
      <c r="Q1062" s="103" t="s">
        <v>2236</v>
      </c>
      <c r="R1062" s="103" t="s">
        <v>2220</v>
      </c>
      <c r="S1062" s="103" t="s">
        <v>2422</v>
      </c>
      <c r="U1062" s="103">
        <v>10.26</v>
      </c>
      <c r="V1062" s="103" t="s">
        <v>2158</v>
      </c>
      <c r="W1062" s="103" t="s">
        <v>108</v>
      </c>
      <c r="X1062" s="103" t="s">
        <v>1736</v>
      </c>
      <c r="Y1062" s="103" t="s">
        <v>3848</v>
      </c>
      <c r="AA1062" s="103" t="s">
        <v>2220</v>
      </c>
      <c r="AB1062" s="103" t="s">
        <v>71</v>
      </c>
      <c r="AE1062" s="103" t="s">
        <v>810</v>
      </c>
      <c r="AF1062" s="103" t="b">
        <v>1</v>
      </c>
    </row>
    <row r="1063" spans="1:32" hidden="1" x14ac:dyDescent="0.2">
      <c r="A1063" s="103" t="s">
        <v>357</v>
      </c>
      <c r="B1063" s="103" t="s">
        <v>356</v>
      </c>
      <c r="C1063" s="103" t="s">
        <v>2951</v>
      </c>
      <c r="D1063" s="103" t="s">
        <v>2952</v>
      </c>
      <c r="E1063" s="103" t="s">
        <v>2338</v>
      </c>
      <c r="F1063" s="103" t="s">
        <v>2162</v>
      </c>
      <c r="G1063" s="103">
        <v>50</v>
      </c>
      <c r="H1063" s="103" t="s">
        <v>2168</v>
      </c>
      <c r="I1063" s="103" t="s">
        <v>2153</v>
      </c>
      <c r="K1063" s="103">
        <v>50</v>
      </c>
      <c r="N1063" s="103" t="s">
        <v>2273</v>
      </c>
      <c r="O1063" s="103">
        <v>50</v>
      </c>
      <c r="P1063" s="103" t="s">
        <v>811</v>
      </c>
      <c r="Q1063" s="103" t="s">
        <v>2155</v>
      </c>
      <c r="R1063" s="103" t="s">
        <v>2220</v>
      </c>
      <c r="S1063" s="103" t="s">
        <v>2251</v>
      </c>
      <c r="U1063" s="103">
        <v>25.65</v>
      </c>
      <c r="V1063" s="103" t="s">
        <v>2262</v>
      </c>
      <c r="W1063" s="103" t="s">
        <v>108</v>
      </c>
      <c r="X1063" s="103" t="s">
        <v>1597</v>
      </c>
      <c r="Y1063" s="103" t="s">
        <v>1685</v>
      </c>
      <c r="AA1063" s="103" t="s">
        <v>2220</v>
      </c>
      <c r="AB1063" s="103" t="s">
        <v>71</v>
      </c>
      <c r="AE1063" s="103" t="s">
        <v>810</v>
      </c>
      <c r="AF1063" s="103" t="b">
        <v>1</v>
      </c>
    </row>
    <row r="1064" spans="1:32" hidden="1" x14ac:dyDescent="0.2">
      <c r="A1064" s="103" t="s">
        <v>3850</v>
      </c>
      <c r="B1064" s="103" t="s">
        <v>918</v>
      </c>
      <c r="C1064" s="103" t="s">
        <v>3173</v>
      </c>
      <c r="D1064" s="103" t="s">
        <v>3182</v>
      </c>
      <c r="E1064" s="103" t="s">
        <v>2292</v>
      </c>
      <c r="F1064" s="103" t="s">
        <v>2175</v>
      </c>
      <c r="G1064" s="103">
        <v>20</v>
      </c>
      <c r="H1064" s="103" t="s">
        <v>2168</v>
      </c>
      <c r="I1064" s="103" t="s">
        <v>2153</v>
      </c>
      <c r="J1064" s="103">
        <v>5</v>
      </c>
      <c r="K1064" s="103">
        <v>5</v>
      </c>
      <c r="L1064" s="103">
        <v>5</v>
      </c>
      <c r="M1064" s="103">
        <v>5</v>
      </c>
      <c r="N1064" s="103" t="s">
        <v>2163</v>
      </c>
      <c r="O1064" s="103">
        <v>20</v>
      </c>
      <c r="P1064" s="103" t="s">
        <v>2549</v>
      </c>
      <c r="Q1064" s="103" t="s">
        <v>2236</v>
      </c>
      <c r="R1064" s="103" t="s">
        <v>2220</v>
      </c>
      <c r="S1064" s="103" t="s">
        <v>2422</v>
      </c>
      <c r="U1064" s="103">
        <v>10.26</v>
      </c>
      <c r="V1064" s="103" t="s">
        <v>2158</v>
      </c>
      <c r="W1064" s="103" t="s">
        <v>108</v>
      </c>
      <c r="X1064" s="103" t="s">
        <v>1736</v>
      </c>
      <c r="Y1064" s="103" t="s">
        <v>3848</v>
      </c>
      <c r="AA1064" s="103" t="s">
        <v>2220</v>
      </c>
      <c r="AB1064" s="103" t="s">
        <v>71</v>
      </c>
      <c r="AE1064" s="103" t="s">
        <v>810</v>
      </c>
      <c r="AF1064" s="103" t="b">
        <v>1</v>
      </c>
    </row>
    <row r="1065" spans="1:32" hidden="1" x14ac:dyDescent="0.2">
      <c r="A1065" s="103" t="s">
        <v>3850</v>
      </c>
      <c r="B1065" s="103" t="s">
        <v>918</v>
      </c>
      <c r="C1065" s="103" t="s">
        <v>3173</v>
      </c>
      <c r="D1065" s="103" t="s">
        <v>3182</v>
      </c>
      <c r="E1065" s="103" t="s">
        <v>2796</v>
      </c>
      <c r="F1065" s="103" t="s">
        <v>2175</v>
      </c>
      <c r="G1065" s="103">
        <v>20</v>
      </c>
      <c r="H1065" s="103" t="s">
        <v>2168</v>
      </c>
      <c r="I1065" s="103" t="s">
        <v>2153</v>
      </c>
      <c r="J1065" s="103">
        <v>5</v>
      </c>
      <c r="K1065" s="103">
        <v>5</v>
      </c>
      <c r="L1065" s="103">
        <v>5</v>
      </c>
      <c r="M1065" s="103">
        <v>5</v>
      </c>
      <c r="N1065" s="103" t="s">
        <v>2163</v>
      </c>
      <c r="O1065" s="103">
        <v>20</v>
      </c>
      <c r="P1065" s="103" t="s">
        <v>2549</v>
      </c>
      <c r="Q1065" s="103" t="s">
        <v>2236</v>
      </c>
      <c r="R1065" s="103" t="s">
        <v>2220</v>
      </c>
      <c r="S1065" s="103" t="s">
        <v>2422</v>
      </c>
      <c r="U1065" s="103">
        <v>10.26</v>
      </c>
      <c r="V1065" s="103" t="s">
        <v>2158</v>
      </c>
      <c r="W1065" s="103" t="s">
        <v>108</v>
      </c>
      <c r="X1065" s="103" t="s">
        <v>1736</v>
      </c>
      <c r="Y1065" s="103" t="s">
        <v>3848</v>
      </c>
      <c r="AA1065" s="103" t="s">
        <v>2220</v>
      </c>
      <c r="AB1065" s="103" t="s">
        <v>71</v>
      </c>
      <c r="AE1065" s="103" t="s">
        <v>810</v>
      </c>
      <c r="AF1065" s="103" t="b">
        <v>1</v>
      </c>
    </row>
    <row r="1066" spans="1:32" hidden="1" x14ac:dyDescent="0.2">
      <c r="A1066" s="103" t="s">
        <v>2032</v>
      </c>
      <c r="B1066" s="103" t="s">
        <v>918</v>
      </c>
      <c r="C1066" s="103" t="s">
        <v>3173</v>
      </c>
      <c r="D1066" s="103" t="s">
        <v>2299</v>
      </c>
      <c r="E1066" s="103" t="s">
        <v>2299</v>
      </c>
      <c r="F1066" s="103" t="s">
        <v>2175</v>
      </c>
      <c r="G1066" s="103">
        <v>20</v>
      </c>
      <c r="H1066" s="103" t="s">
        <v>2168</v>
      </c>
      <c r="I1066" s="103" t="s">
        <v>2153</v>
      </c>
      <c r="J1066" s="103">
        <v>20</v>
      </c>
      <c r="N1066" s="103" t="s">
        <v>2163</v>
      </c>
      <c r="O1066" s="103">
        <v>20</v>
      </c>
      <c r="P1066" s="103" t="s">
        <v>1624</v>
      </c>
      <c r="Q1066" s="103" t="s">
        <v>2236</v>
      </c>
      <c r="R1066" s="103" t="s">
        <v>2220</v>
      </c>
      <c r="S1066" s="103" t="s">
        <v>2422</v>
      </c>
      <c r="U1066" s="103">
        <v>10.26</v>
      </c>
      <c r="V1066" s="103" t="s">
        <v>2158</v>
      </c>
      <c r="W1066" s="103" t="s">
        <v>108</v>
      </c>
      <c r="X1066" s="103" t="s">
        <v>1736</v>
      </c>
      <c r="Y1066" s="103" t="s">
        <v>3848</v>
      </c>
      <c r="AA1066" s="103" t="s">
        <v>2220</v>
      </c>
      <c r="AB1066" s="103" t="s">
        <v>71</v>
      </c>
      <c r="AE1066" s="103" t="s">
        <v>810</v>
      </c>
      <c r="AF1066" s="103" t="b">
        <v>1</v>
      </c>
    </row>
    <row r="1067" spans="1:32" hidden="1" x14ac:dyDescent="0.2">
      <c r="A1067" s="103" t="s">
        <v>2032</v>
      </c>
      <c r="B1067" s="103" t="s">
        <v>918</v>
      </c>
      <c r="C1067" s="103" t="s">
        <v>3173</v>
      </c>
      <c r="D1067" s="103" t="s">
        <v>2926</v>
      </c>
      <c r="E1067" s="103" t="s">
        <v>2926</v>
      </c>
      <c r="F1067" s="103" t="s">
        <v>2175</v>
      </c>
      <c r="G1067" s="103">
        <v>20</v>
      </c>
      <c r="H1067" s="103" t="s">
        <v>2168</v>
      </c>
      <c r="I1067" s="103" t="s">
        <v>2153</v>
      </c>
      <c r="J1067" s="103">
        <v>20</v>
      </c>
      <c r="N1067" s="103" t="s">
        <v>2163</v>
      </c>
      <c r="O1067" s="103">
        <v>20</v>
      </c>
      <c r="P1067" s="103" t="s">
        <v>1624</v>
      </c>
      <c r="Q1067" s="103" t="s">
        <v>2236</v>
      </c>
      <c r="R1067" s="103" t="s">
        <v>2220</v>
      </c>
      <c r="S1067" s="103" t="s">
        <v>2422</v>
      </c>
      <c r="U1067" s="103">
        <v>10.26</v>
      </c>
      <c r="V1067" s="103" t="s">
        <v>2158</v>
      </c>
      <c r="W1067" s="103" t="s">
        <v>108</v>
      </c>
      <c r="X1067" s="103" t="s">
        <v>1736</v>
      </c>
      <c r="Y1067" s="103" t="s">
        <v>3848</v>
      </c>
      <c r="AA1067" s="103" t="s">
        <v>2220</v>
      </c>
      <c r="AB1067" s="103" t="s">
        <v>71</v>
      </c>
      <c r="AE1067" s="103" t="s">
        <v>810</v>
      </c>
      <c r="AF1067" s="103" t="b">
        <v>1</v>
      </c>
    </row>
    <row r="1068" spans="1:32" hidden="1" x14ac:dyDescent="0.2">
      <c r="A1068" s="103" t="s">
        <v>2032</v>
      </c>
      <c r="B1068" s="103" t="s">
        <v>918</v>
      </c>
      <c r="C1068" s="103" t="s">
        <v>3173</v>
      </c>
      <c r="D1068" s="103" t="s">
        <v>2264</v>
      </c>
      <c r="E1068" s="103" t="s">
        <v>2264</v>
      </c>
      <c r="F1068" s="103" t="s">
        <v>2175</v>
      </c>
      <c r="G1068" s="103">
        <v>20</v>
      </c>
      <c r="H1068" s="103" t="s">
        <v>2168</v>
      </c>
      <c r="I1068" s="103" t="s">
        <v>2153</v>
      </c>
      <c r="J1068" s="103">
        <v>20</v>
      </c>
      <c r="N1068" s="103" t="s">
        <v>2163</v>
      </c>
      <c r="O1068" s="103">
        <v>20</v>
      </c>
      <c r="P1068" s="103" t="s">
        <v>1624</v>
      </c>
      <c r="Q1068" s="103" t="s">
        <v>2236</v>
      </c>
      <c r="R1068" s="103" t="s">
        <v>2220</v>
      </c>
      <c r="S1068" s="103" t="s">
        <v>2422</v>
      </c>
      <c r="U1068" s="103">
        <v>10.26</v>
      </c>
      <c r="V1068" s="103" t="s">
        <v>2158</v>
      </c>
      <c r="W1068" s="103" t="s">
        <v>108</v>
      </c>
      <c r="X1068" s="103" t="s">
        <v>1736</v>
      </c>
      <c r="Y1068" s="103" t="s">
        <v>3848</v>
      </c>
      <c r="AA1068" s="103" t="s">
        <v>2220</v>
      </c>
      <c r="AB1068" s="103" t="s">
        <v>71</v>
      </c>
      <c r="AE1068" s="103" t="s">
        <v>810</v>
      </c>
      <c r="AF1068" s="103" t="b">
        <v>1</v>
      </c>
    </row>
    <row r="1069" spans="1:32" hidden="1" x14ac:dyDescent="0.2">
      <c r="A1069" s="103" t="s">
        <v>2032</v>
      </c>
      <c r="B1069" s="103" t="s">
        <v>918</v>
      </c>
      <c r="C1069" s="103" t="s">
        <v>3173</v>
      </c>
      <c r="D1069" s="103" t="s">
        <v>2378</v>
      </c>
      <c r="E1069" s="103" t="s">
        <v>2378</v>
      </c>
      <c r="F1069" s="103" t="s">
        <v>2175</v>
      </c>
      <c r="G1069" s="103">
        <v>20</v>
      </c>
      <c r="H1069" s="103" t="s">
        <v>2168</v>
      </c>
      <c r="I1069" s="103" t="s">
        <v>2153</v>
      </c>
      <c r="J1069" s="103">
        <v>20</v>
      </c>
      <c r="N1069" s="103" t="s">
        <v>2163</v>
      </c>
      <c r="O1069" s="103">
        <v>20</v>
      </c>
      <c r="P1069" s="103" t="s">
        <v>1624</v>
      </c>
      <c r="Q1069" s="103" t="s">
        <v>2236</v>
      </c>
      <c r="R1069" s="103" t="s">
        <v>2220</v>
      </c>
      <c r="S1069" s="103" t="s">
        <v>2422</v>
      </c>
      <c r="U1069" s="103">
        <v>10.26</v>
      </c>
      <c r="V1069" s="103" t="s">
        <v>2158</v>
      </c>
      <c r="W1069" s="103" t="s">
        <v>108</v>
      </c>
      <c r="X1069" s="103" t="s">
        <v>1736</v>
      </c>
      <c r="Y1069" s="103" t="s">
        <v>3848</v>
      </c>
      <c r="AA1069" s="103" t="s">
        <v>2220</v>
      </c>
      <c r="AB1069" s="103" t="s">
        <v>71</v>
      </c>
      <c r="AE1069" s="103" t="s">
        <v>810</v>
      </c>
      <c r="AF1069" s="103" t="b">
        <v>1</v>
      </c>
    </row>
    <row r="1070" spans="1:32" hidden="1" x14ac:dyDescent="0.2">
      <c r="A1070" s="103" t="s">
        <v>2032</v>
      </c>
      <c r="B1070" s="103" t="s">
        <v>918</v>
      </c>
      <c r="C1070" s="103" t="s">
        <v>3173</v>
      </c>
      <c r="D1070" s="103" t="s">
        <v>2973</v>
      </c>
      <c r="E1070" s="103" t="s">
        <v>2973</v>
      </c>
      <c r="F1070" s="103" t="s">
        <v>2175</v>
      </c>
      <c r="G1070" s="103">
        <v>20</v>
      </c>
      <c r="H1070" s="103" t="s">
        <v>2168</v>
      </c>
      <c r="I1070" s="103" t="s">
        <v>2153</v>
      </c>
      <c r="J1070" s="103">
        <v>20</v>
      </c>
      <c r="N1070" s="103" t="s">
        <v>2163</v>
      </c>
      <c r="O1070" s="103">
        <v>20</v>
      </c>
      <c r="P1070" s="103" t="s">
        <v>1624</v>
      </c>
      <c r="Q1070" s="103" t="s">
        <v>2236</v>
      </c>
      <c r="R1070" s="103" t="s">
        <v>2220</v>
      </c>
      <c r="S1070" s="103" t="s">
        <v>2422</v>
      </c>
      <c r="U1070" s="103">
        <v>10.26</v>
      </c>
      <c r="V1070" s="103" t="s">
        <v>2158</v>
      </c>
      <c r="W1070" s="103" t="s">
        <v>108</v>
      </c>
      <c r="X1070" s="103" t="s">
        <v>1736</v>
      </c>
      <c r="Y1070" s="103" t="s">
        <v>3848</v>
      </c>
      <c r="AA1070" s="103" t="s">
        <v>2220</v>
      </c>
      <c r="AB1070" s="103" t="s">
        <v>71</v>
      </c>
      <c r="AE1070" s="103" t="s">
        <v>810</v>
      </c>
      <c r="AF1070" s="103" t="b">
        <v>1</v>
      </c>
    </row>
    <row r="1071" spans="1:32" hidden="1" x14ac:dyDescent="0.2">
      <c r="A1071" s="103" t="s">
        <v>2032</v>
      </c>
      <c r="B1071" s="103" t="s">
        <v>918</v>
      </c>
      <c r="C1071" s="103" t="s">
        <v>3174</v>
      </c>
      <c r="D1071" s="103" t="s">
        <v>2259</v>
      </c>
      <c r="E1071" s="103" t="s">
        <v>2259</v>
      </c>
      <c r="F1071" s="103" t="s">
        <v>2175</v>
      </c>
      <c r="G1071" s="103">
        <v>20</v>
      </c>
      <c r="H1071" s="103" t="s">
        <v>2168</v>
      </c>
      <c r="I1071" s="103" t="s">
        <v>2153</v>
      </c>
      <c r="J1071" s="103">
        <v>20</v>
      </c>
      <c r="N1071" s="103" t="s">
        <v>2163</v>
      </c>
      <c r="O1071" s="103">
        <v>20</v>
      </c>
      <c r="P1071" s="103" t="s">
        <v>1624</v>
      </c>
      <c r="Q1071" s="103" t="s">
        <v>2236</v>
      </c>
      <c r="R1071" s="103" t="s">
        <v>2220</v>
      </c>
      <c r="S1071" s="103" t="s">
        <v>2422</v>
      </c>
      <c r="U1071" s="103">
        <v>10.26</v>
      </c>
      <c r="V1071" s="103" t="s">
        <v>2158</v>
      </c>
      <c r="W1071" s="103" t="s">
        <v>108</v>
      </c>
      <c r="X1071" s="103" t="s">
        <v>1736</v>
      </c>
      <c r="Y1071" s="103" t="s">
        <v>3848</v>
      </c>
      <c r="AA1071" s="103" t="s">
        <v>2220</v>
      </c>
      <c r="AB1071" s="103" t="s">
        <v>71</v>
      </c>
      <c r="AE1071" s="103" t="s">
        <v>810</v>
      </c>
      <c r="AF1071" s="103" t="b">
        <v>1</v>
      </c>
    </row>
    <row r="1072" spans="1:32" hidden="1" x14ac:dyDescent="0.2">
      <c r="A1072" s="103" t="s">
        <v>2032</v>
      </c>
      <c r="B1072" s="103" t="s">
        <v>918</v>
      </c>
      <c r="C1072" s="103" t="s">
        <v>3173</v>
      </c>
      <c r="D1072" s="103" t="s">
        <v>3068</v>
      </c>
      <c r="E1072" s="103" t="s">
        <v>3068</v>
      </c>
      <c r="F1072" s="103" t="s">
        <v>2175</v>
      </c>
      <c r="G1072" s="103">
        <v>20</v>
      </c>
      <c r="H1072" s="103" t="s">
        <v>2168</v>
      </c>
      <c r="I1072" s="103" t="s">
        <v>2153</v>
      </c>
      <c r="J1072" s="103">
        <v>20</v>
      </c>
      <c r="N1072" s="103" t="s">
        <v>2163</v>
      </c>
      <c r="O1072" s="103">
        <v>20</v>
      </c>
      <c r="P1072" s="103" t="s">
        <v>1624</v>
      </c>
      <c r="Q1072" s="103" t="s">
        <v>2236</v>
      </c>
      <c r="R1072" s="103" t="s">
        <v>2220</v>
      </c>
      <c r="S1072" s="103" t="s">
        <v>2422</v>
      </c>
      <c r="U1072" s="103">
        <v>10.26</v>
      </c>
      <c r="V1072" s="103" t="s">
        <v>2158</v>
      </c>
      <c r="W1072" s="103" t="s">
        <v>108</v>
      </c>
      <c r="X1072" s="103" t="s">
        <v>1736</v>
      </c>
      <c r="Y1072" s="103" t="s">
        <v>3848</v>
      </c>
      <c r="AA1072" s="103" t="s">
        <v>2220</v>
      </c>
      <c r="AB1072" s="103" t="s">
        <v>71</v>
      </c>
      <c r="AE1072" s="103" t="s">
        <v>810</v>
      </c>
      <c r="AF1072" s="103" t="b">
        <v>1</v>
      </c>
    </row>
    <row r="1073" spans="1:32" hidden="1" x14ac:dyDescent="0.2">
      <c r="A1073" s="103" t="s">
        <v>3850</v>
      </c>
      <c r="B1073" s="103" t="s">
        <v>918</v>
      </c>
      <c r="C1073" s="103" t="s">
        <v>3174</v>
      </c>
      <c r="D1073" s="103" t="s">
        <v>3182</v>
      </c>
      <c r="E1073" s="103" t="s">
        <v>2366</v>
      </c>
      <c r="F1073" s="103" t="s">
        <v>2175</v>
      </c>
      <c r="G1073" s="103">
        <v>20</v>
      </c>
      <c r="H1073" s="103" t="s">
        <v>2168</v>
      </c>
      <c r="I1073" s="103" t="s">
        <v>2153</v>
      </c>
      <c r="J1073" s="103">
        <v>10</v>
      </c>
      <c r="K1073" s="103">
        <v>10</v>
      </c>
      <c r="N1073" s="103" t="s">
        <v>2163</v>
      </c>
      <c r="O1073" s="103">
        <v>20</v>
      </c>
      <c r="P1073" s="103" t="s">
        <v>2549</v>
      </c>
      <c r="Q1073" s="103" t="s">
        <v>2236</v>
      </c>
      <c r="R1073" s="103" t="s">
        <v>2220</v>
      </c>
      <c r="S1073" s="103" t="s">
        <v>2422</v>
      </c>
      <c r="U1073" s="103">
        <v>10.26</v>
      </c>
      <c r="V1073" s="103" t="s">
        <v>2158</v>
      </c>
      <c r="W1073" s="103" t="s">
        <v>108</v>
      </c>
      <c r="X1073" s="103" t="s">
        <v>1736</v>
      </c>
      <c r="Y1073" s="103" t="s">
        <v>3848</v>
      </c>
      <c r="AA1073" s="103" t="s">
        <v>2220</v>
      </c>
      <c r="AB1073" s="103" t="s">
        <v>71</v>
      </c>
      <c r="AE1073" s="103" t="s">
        <v>810</v>
      </c>
      <c r="AF1073" s="103" t="b">
        <v>1</v>
      </c>
    </row>
    <row r="1074" spans="1:32" hidden="1" x14ac:dyDescent="0.2">
      <c r="A1074" s="103" t="s">
        <v>3850</v>
      </c>
      <c r="B1074" s="103" t="s">
        <v>918</v>
      </c>
      <c r="C1074" s="103" t="s">
        <v>3174</v>
      </c>
      <c r="D1074" s="103" t="s">
        <v>3182</v>
      </c>
      <c r="E1074" s="103" t="s">
        <v>2285</v>
      </c>
      <c r="F1074" s="103" t="s">
        <v>2175</v>
      </c>
      <c r="G1074" s="103">
        <v>20</v>
      </c>
      <c r="H1074" s="103" t="s">
        <v>2168</v>
      </c>
      <c r="I1074" s="103" t="s">
        <v>2153</v>
      </c>
      <c r="J1074" s="103">
        <v>5</v>
      </c>
      <c r="K1074" s="103">
        <v>5</v>
      </c>
      <c r="L1074" s="103">
        <v>5</v>
      </c>
      <c r="M1074" s="103">
        <v>5</v>
      </c>
      <c r="N1074" s="103" t="s">
        <v>2163</v>
      </c>
      <c r="O1074" s="103">
        <v>20</v>
      </c>
      <c r="P1074" s="103" t="s">
        <v>2549</v>
      </c>
      <c r="Q1074" s="103" t="s">
        <v>2236</v>
      </c>
      <c r="R1074" s="103" t="s">
        <v>2220</v>
      </c>
      <c r="S1074" s="103" t="s">
        <v>2422</v>
      </c>
      <c r="U1074" s="103">
        <v>10.26</v>
      </c>
      <c r="V1074" s="103" t="s">
        <v>2158</v>
      </c>
      <c r="W1074" s="103" t="s">
        <v>108</v>
      </c>
      <c r="X1074" s="103" t="s">
        <v>1736</v>
      </c>
      <c r="Y1074" s="103" t="s">
        <v>3848</v>
      </c>
      <c r="AA1074" s="103" t="s">
        <v>2220</v>
      </c>
      <c r="AB1074" s="103" t="s">
        <v>71</v>
      </c>
      <c r="AE1074" s="103" t="s">
        <v>810</v>
      </c>
      <c r="AF1074" s="103" t="b">
        <v>1</v>
      </c>
    </row>
    <row r="1075" spans="1:32" hidden="1" x14ac:dyDescent="0.2">
      <c r="A1075" s="103" t="s">
        <v>2032</v>
      </c>
      <c r="B1075" s="103" t="s">
        <v>918</v>
      </c>
      <c r="C1075" s="103" t="s">
        <v>3174</v>
      </c>
      <c r="D1075" s="103" t="s">
        <v>2266</v>
      </c>
      <c r="E1075" s="103" t="s">
        <v>2266</v>
      </c>
      <c r="F1075" s="103" t="s">
        <v>2175</v>
      </c>
      <c r="G1075" s="103">
        <v>20</v>
      </c>
      <c r="H1075" s="103" t="s">
        <v>2168</v>
      </c>
      <c r="I1075" s="103" t="s">
        <v>2153</v>
      </c>
      <c r="J1075" s="103">
        <v>20</v>
      </c>
      <c r="N1075" s="103" t="s">
        <v>2163</v>
      </c>
      <c r="O1075" s="103">
        <v>20</v>
      </c>
      <c r="P1075" s="103" t="s">
        <v>1624</v>
      </c>
      <c r="Q1075" s="103" t="s">
        <v>2236</v>
      </c>
      <c r="R1075" s="103" t="s">
        <v>2220</v>
      </c>
      <c r="S1075" s="103" t="s">
        <v>2422</v>
      </c>
      <c r="U1075" s="103">
        <v>10.26</v>
      </c>
      <c r="V1075" s="103" t="s">
        <v>2158</v>
      </c>
      <c r="W1075" s="103" t="s">
        <v>108</v>
      </c>
      <c r="X1075" s="103" t="s">
        <v>1736</v>
      </c>
      <c r="Y1075" s="103" t="s">
        <v>3848</v>
      </c>
      <c r="AA1075" s="103" t="s">
        <v>2220</v>
      </c>
      <c r="AB1075" s="103" t="s">
        <v>71</v>
      </c>
      <c r="AE1075" s="103" t="s">
        <v>810</v>
      </c>
      <c r="AF1075" s="103" t="b">
        <v>1</v>
      </c>
    </row>
    <row r="1076" spans="1:32" hidden="1" x14ac:dyDescent="0.2">
      <c r="A1076" s="103" t="s">
        <v>3849</v>
      </c>
      <c r="B1076" s="103" t="s">
        <v>1179</v>
      </c>
      <c r="C1076" s="103" t="s">
        <v>3033</v>
      </c>
      <c r="E1076" s="103" t="s">
        <v>2338</v>
      </c>
      <c r="F1076" s="103" t="s">
        <v>2162</v>
      </c>
      <c r="G1076" s="103">
        <v>50</v>
      </c>
      <c r="H1076" s="103" t="s">
        <v>2168</v>
      </c>
      <c r="I1076" s="103" t="s">
        <v>2153</v>
      </c>
      <c r="K1076" s="103">
        <v>50</v>
      </c>
      <c r="N1076" s="103" t="s">
        <v>2273</v>
      </c>
      <c r="O1076" s="103">
        <v>50</v>
      </c>
      <c r="P1076" s="103" t="s">
        <v>811</v>
      </c>
      <c r="Q1076" s="103" t="s">
        <v>2155</v>
      </c>
      <c r="R1076" s="103" t="s">
        <v>2220</v>
      </c>
      <c r="S1076" s="103" t="s">
        <v>2870</v>
      </c>
      <c r="U1076" s="103">
        <v>25.65</v>
      </c>
      <c r="V1076" s="103" t="s">
        <v>2262</v>
      </c>
      <c r="W1076" s="103" t="s">
        <v>108</v>
      </c>
      <c r="X1076" s="103" t="s">
        <v>1597</v>
      </c>
      <c r="Y1076" s="103" t="s">
        <v>1685</v>
      </c>
      <c r="AA1076" s="103" t="s">
        <v>2220</v>
      </c>
      <c r="AB1076" s="103" t="s">
        <v>71</v>
      </c>
      <c r="AE1076" s="103" t="s">
        <v>810</v>
      </c>
      <c r="AF1076" s="103" t="b">
        <v>1</v>
      </c>
    </row>
    <row r="1077" spans="1:32" hidden="1" x14ac:dyDescent="0.2">
      <c r="A1077" s="103" t="s">
        <v>3850</v>
      </c>
      <c r="B1077" s="103" t="s">
        <v>918</v>
      </c>
      <c r="C1077" s="103" t="s">
        <v>3174</v>
      </c>
      <c r="D1077" s="103" t="s">
        <v>3182</v>
      </c>
      <c r="E1077" s="103" t="s">
        <v>2292</v>
      </c>
      <c r="F1077" s="103" t="s">
        <v>2175</v>
      </c>
      <c r="G1077" s="103">
        <v>20</v>
      </c>
      <c r="H1077" s="103" t="s">
        <v>2168</v>
      </c>
      <c r="I1077" s="103" t="s">
        <v>2153</v>
      </c>
      <c r="J1077" s="103">
        <v>5</v>
      </c>
      <c r="K1077" s="103">
        <v>5</v>
      </c>
      <c r="L1077" s="103">
        <v>5</v>
      </c>
      <c r="M1077" s="103">
        <v>5</v>
      </c>
      <c r="N1077" s="103" t="s">
        <v>2163</v>
      </c>
      <c r="O1077" s="103">
        <v>20</v>
      </c>
      <c r="P1077" s="103" t="s">
        <v>2549</v>
      </c>
      <c r="Q1077" s="103" t="s">
        <v>2236</v>
      </c>
      <c r="R1077" s="103" t="s">
        <v>2220</v>
      </c>
      <c r="S1077" s="103" t="s">
        <v>2422</v>
      </c>
      <c r="U1077" s="103">
        <v>10.26</v>
      </c>
      <c r="V1077" s="103" t="s">
        <v>2158</v>
      </c>
      <c r="W1077" s="103" t="s">
        <v>108</v>
      </c>
      <c r="X1077" s="103" t="s">
        <v>1736</v>
      </c>
      <c r="Y1077" s="103" t="s">
        <v>3848</v>
      </c>
      <c r="AA1077" s="103" t="s">
        <v>2220</v>
      </c>
      <c r="AB1077" s="103" t="s">
        <v>71</v>
      </c>
      <c r="AE1077" s="103" t="s">
        <v>810</v>
      </c>
      <c r="AF1077" s="103" t="b">
        <v>1</v>
      </c>
    </row>
    <row r="1078" spans="1:32" hidden="1" x14ac:dyDescent="0.2">
      <c r="A1078" s="103" t="s">
        <v>3850</v>
      </c>
      <c r="B1078" s="103" t="s">
        <v>918</v>
      </c>
      <c r="C1078" s="103" t="s">
        <v>3174</v>
      </c>
      <c r="D1078" s="103" t="s">
        <v>3182</v>
      </c>
      <c r="E1078" s="103" t="s">
        <v>2694</v>
      </c>
      <c r="F1078" s="103" t="s">
        <v>2175</v>
      </c>
      <c r="G1078" s="103">
        <v>20</v>
      </c>
      <c r="H1078" s="103" t="s">
        <v>2168</v>
      </c>
      <c r="I1078" s="103" t="s">
        <v>2153</v>
      </c>
      <c r="J1078" s="103">
        <v>5</v>
      </c>
      <c r="K1078" s="103">
        <v>5</v>
      </c>
      <c r="L1078" s="103">
        <v>5</v>
      </c>
      <c r="M1078" s="103">
        <v>5</v>
      </c>
      <c r="N1078" s="103" t="s">
        <v>2163</v>
      </c>
      <c r="O1078" s="103">
        <v>20</v>
      </c>
      <c r="P1078" s="103" t="s">
        <v>2549</v>
      </c>
      <c r="Q1078" s="103" t="s">
        <v>2236</v>
      </c>
      <c r="R1078" s="103" t="s">
        <v>2220</v>
      </c>
      <c r="S1078" s="103" t="s">
        <v>2422</v>
      </c>
      <c r="U1078" s="103">
        <v>10.26</v>
      </c>
      <c r="V1078" s="103" t="s">
        <v>2158</v>
      </c>
      <c r="W1078" s="103" t="s">
        <v>108</v>
      </c>
      <c r="X1078" s="103" t="s">
        <v>1736</v>
      </c>
      <c r="Y1078" s="103" t="s">
        <v>3848</v>
      </c>
      <c r="AA1078" s="103" t="s">
        <v>2220</v>
      </c>
      <c r="AB1078" s="103" t="s">
        <v>71</v>
      </c>
      <c r="AE1078" s="103" t="s">
        <v>810</v>
      </c>
      <c r="AF1078" s="103" t="b">
        <v>1</v>
      </c>
    </row>
    <row r="1079" spans="1:32" hidden="1" x14ac:dyDescent="0.2">
      <c r="A1079" s="103" t="s">
        <v>3850</v>
      </c>
      <c r="B1079" s="103" t="s">
        <v>918</v>
      </c>
      <c r="C1079" s="103" t="s">
        <v>3174</v>
      </c>
      <c r="D1079" s="103" t="s">
        <v>3182</v>
      </c>
      <c r="E1079" s="103" t="s">
        <v>2796</v>
      </c>
      <c r="F1079" s="103" t="s">
        <v>2175</v>
      </c>
      <c r="G1079" s="103">
        <v>20</v>
      </c>
      <c r="H1079" s="103" t="s">
        <v>2168</v>
      </c>
      <c r="I1079" s="103" t="s">
        <v>2153</v>
      </c>
      <c r="J1079" s="103">
        <v>5</v>
      </c>
      <c r="K1079" s="103">
        <v>5</v>
      </c>
      <c r="L1079" s="103">
        <v>5</v>
      </c>
      <c r="M1079" s="103">
        <v>5</v>
      </c>
      <c r="N1079" s="103" t="s">
        <v>2163</v>
      </c>
      <c r="O1079" s="103">
        <v>20</v>
      </c>
      <c r="P1079" s="103" t="s">
        <v>2549</v>
      </c>
      <c r="Q1079" s="103" t="s">
        <v>2236</v>
      </c>
      <c r="R1079" s="103" t="s">
        <v>2220</v>
      </c>
      <c r="S1079" s="103" t="s">
        <v>2422</v>
      </c>
      <c r="U1079" s="103">
        <v>10.26</v>
      </c>
      <c r="V1079" s="103" t="s">
        <v>2158</v>
      </c>
      <c r="W1079" s="103" t="s">
        <v>108</v>
      </c>
      <c r="X1079" s="103" t="s">
        <v>1736</v>
      </c>
      <c r="Y1079" s="103" t="s">
        <v>3848</v>
      </c>
      <c r="AA1079" s="103" t="s">
        <v>2220</v>
      </c>
      <c r="AB1079" s="103" t="s">
        <v>71</v>
      </c>
      <c r="AE1079" s="103" t="s">
        <v>810</v>
      </c>
      <c r="AF1079" s="103" t="b">
        <v>1</v>
      </c>
    </row>
    <row r="1080" spans="1:32" hidden="1" x14ac:dyDescent="0.2">
      <c r="A1080" s="103" t="s">
        <v>2032</v>
      </c>
      <c r="B1080" s="103" t="s">
        <v>918</v>
      </c>
      <c r="C1080" s="103" t="s">
        <v>3173</v>
      </c>
      <c r="D1080" s="103" t="s">
        <v>3173</v>
      </c>
      <c r="E1080" s="103" t="s">
        <v>2811</v>
      </c>
      <c r="F1080" s="103" t="s">
        <v>2175</v>
      </c>
      <c r="G1080" s="103">
        <v>40</v>
      </c>
      <c r="H1080" s="103" t="s">
        <v>2152</v>
      </c>
      <c r="I1080" s="103" t="s">
        <v>2153</v>
      </c>
      <c r="J1080" s="103">
        <v>10</v>
      </c>
      <c r="K1080" s="103">
        <v>10</v>
      </c>
      <c r="L1080" s="103">
        <v>10</v>
      </c>
      <c r="M1080" s="103">
        <v>10</v>
      </c>
      <c r="N1080" s="103" t="s">
        <v>2163</v>
      </c>
      <c r="O1080" s="103">
        <v>40</v>
      </c>
      <c r="P1080" s="103" t="s">
        <v>1624</v>
      </c>
      <c r="Q1080" s="103" t="s">
        <v>2236</v>
      </c>
      <c r="R1080" s="103" t="s">
        <v>2220</v>
      </c>
      <c r="S1080" s="103" t="s">
        <v>2422</v>
      </c>
      <c r="U1080" s="103">
        <v>20.52</v>
      </c>
      <c r="V1080" s="103" t="s">
        <v>2158</v>
      </c>
      <c r="W1080" s="103" t="s">
        <v>110</v>
      </c>
      <c r="X1080" s="103" t="s">
        <v>1736</v>
      </c>
      <c r="Y1080" s="103" t="s">
        <v>3848</v>
      </c>
      <c r="AA1080" s="103" t="s">
        <v>2220</v>
      </c>
      <c r="AB1080" s="103" t="s">
        <v>71</v>
      </c>
      <c r="AE1080" s="103" t="s">
        <v>810</v>
      </c>
      <c r="AF1080" s="103" t="b">
        <v>1</v>
      </c>
    </row>
    <row r="1081" spans="1:32" hidden="1" x14ac:dyDescent="0.2">
      <c r="A1081" s="103" t="s">
        <v>2032</v>
      </c>
      <c r="B1081" s="103" t="s">
        <v>918</v>
      </c>
      <c r="C1081" s="103" t="s">
        <v>3174</v>
      </c>
      <c r="D1081" s="103" t="s">
        <v>3174</v>
      </c>
      <c r="E1081" s="103" t="s">
        <v>2814</v>
      </c>
      <c r="F1081" s="103" t="s">
        <v>2175</v>
      </c>
      <c r="G1081" s="103">
        <v>20</v>
      </c>
      <c r="H1081" s="103" t="s">
        <v>2168</v>
      </c>
      <c r="I1081" s="103" t="s">
        <v>2153</v>
      </c>
      <c r="J1081" s="103">
        <v>5</v>
      </c>
      <c r="K1081" s="103">
        <v>5</v>
      </c>
      <c r="L1081" s="103">
        <v>5</v>
      </c>
      <c r="M1081" s="103">
        <v>5</v>
      </c>
      <c r="N1081" s="103" t="s">
        <v>2163</v>
      </c>
      <c r="O1081" s="103">
        <v>20</v>
      </c>
      <c r="P1081" s="103" t="s">
        <v>1624</v>
      </c>
      <c r="Q1081" s="103" t="s">
        <v>2236</v>
      </c>
      <c r="R1081" s="103" t="s">
        <v>2220</v>
      </c>
      <c r="S1081" s="103" t="s">
        <v>2422</v>
      </c>
      <c r="U1081" s="103">
        <v>10.26</v>
      </c>
      <c r="V1081" s="103" t="s">
        <v>2158</v>
      </c>
      <c r="W1081" s="103" t="s">
        <v>110</v>
      </c>
      <c r="X1081" s="103" t="s">
        <v>1736</v>
      </c>
      <c r="Y1081" s="103" t="s">
        <v>3848</v>
      </c>
      <c r="AA1081" s="103" t="s">
        <v>2220</v>
      </c>
      <c r="AB1081" s="103" t="s">
        <v>71</v>
      </c>
      <c r="AE1081" s="103" t="s">
        <v>810</v>
      </c>
      <c r="AF1081" s="103" t="b">
        <v>1</v>
      </c>
    </row>
    <row r="1082" spans="1:32" hidden="1" x14ac:dyDescent="0.2">
      <c r="A1082" s="103" t="s">
        <v>2032</v>
      </c>
      <c r="B1082" s="103" t="s">
        <v>918</v>
      </c>
      <c r="C1082" s="103" t="s">
        <v>3173</v>
      </c>
      <c r="D1082" s="103" t="s">
        <v>2811</v>
      </c>
      <c r="E1082" s="103" t="s">
        <v>2811</v>
      </c>
      <c r="F1082" s="103" t="s">
        <v>2175</v>
      </c>
      <c r="G1082" s="103">
        <v>40</v>
      </c>
      <c r="H1082" s="103" t="s">
        <v>2152</v>
      </c>
      <c r="I1082" s="103" t="s">
        <v>2153</v>
      </c>
      <c r="J1082" s="103">
        <v>10</v>
      </c>
      <c r="K1082" s="103">
        <v>10</v>
      </c>
      <c r="L1082" s="103">
        <v>10</v>
      </c>
      <c r="M1082" s="103">
        <v>10</v>
      </c>
      <c r="N1082" s="103" t="s">
        <v>2163</v>
      </c>
      <c r="O1082" s="103">
        <v>40</v>
      </c>
      <c r="P1082" s="103" t="s">
        <v>1624</v>
      </c>
      <c r="Q1082" s="103" t="s">
        <v>2236</v>
      </c>
      <c r="R1082" s="103" t="s">
        <v>2220</v>
      </c>
      <c r="S1082" s="103" t="s">
        <v>2422</v>
      </c>
      <c r="U1082" s="103">
        <v>20.52</v>
      </c>
      <c r="V1082" s="103" t="s">
        <v>2158</v>
      </c>
      <c r="W1082" s="103" t="s">
        <v>110</v>
      </c>
      <c r="X1082" s="103" t="s">
        <v>1736</v>
      </c>
      <c r="Y1082" s="103" t="s">
        <v>3848</v>
      </c>
      <c r="AA1082" s="103" t="s">
        <v>2220</v>
      </c>
      <c r="AB1082" s="103" t="s">
        <v>71</v>
      </c>
      <c r="AE1082" s="103" t="s">
        <v>810</v>
      </c>
      <c r="AF1082" s="103" t="b">
        <v>1</v>
      </c>
    </row>
    <row r="1083" spans="1:32" hidden="1" x14ac:dyDescent="0.2">
      <c r="A1083" s="103" t="s">
        <v>2032</v>
      </c>
      <c r="B1083" s="103" t="s">
        <v>918</v>
      </c>
      <c r="C1083" s="103" t="s">
        <v>3174</v>
      </c>
      <c r="D1083" s="103" t="s">
        <v>2811</v>
      </c>
      <c r="E1083" s="103" t="s">
        <v>2811</v>
      </c>
      <c r="F1083" s="103" t="s">
        <v>2175</v>
      </c>
      <c r="G1083" s="103">
        <v>20</v>
      </c>
      <c r="H1083" s="103" t="s">
        <v>2168</v>
      </c>
      <c r="I1083" s="103" t="s">
        <v>2153</v>
      </c>
      <c r="J1083" s="103">
        <v>5</v>
      </c>
      <c r="K1083" s="103">
        <v>5</v>
      </c>
      <c r="L1083" s="103">
        <v>5</v>
      </c>
      <c r="M1083" s="103">
        <v>5</v>
      </c>
      <c r="N1083" s="103" t="s">
        <v>2163</v>
      </c>
      <c r="O1083" s="103">
        <v>20</v>
      </c>
      <c r="P1083" s="103" t="s">
        <v>1624</v>
      </c>
      <c r="Q1083" s="103" t="s">
        <v>2236</v>
      </c>
      <c r="R1083" s="103" t="s">
        <v>2220</v>
      </c>
      <c r="S1083" s="103" t="s">
        <v>2422</v>
      </c>
      <c r="U1083" s="103">
        <v>10.26</v>
      </c>
      <c r="V1083" s="103" t="s">
        <v>2158</v>
      </c>
      <c r="W1083" s="103" t="s">
        <v>110</v>
      </c>
      <c r="X1083" s="103" t="s">
        <v>1736</v>
      </c>
      <c r="Y1083" s="103" t="s">
        <v>3848</v>
      </c>
      <c r="AA1083" s="103" t="s">
        <v>2220</v>
      </c>
      <c r="AB1083" s="103" t="s">
        <v>71</v>
      </c>
      <c r="AE1083" s="103" t="s">
        <v>810</v>
      </c>
      <c r="AF1083" s="103" t="b">
        <v>1</v>
      </c>
    </row>
    <row r="1084" spans="1:32" hidden="1" x14ac:dyDescent="0.2">
      <c r="A1084" s="103" t="s">
        <v>3850</v>
      </c>
      <c r="B1084" s="103" t="s">
        <v>918</v>
      </c>
      <c r="C1084" s="103" t="s">
        <v>2908</v>
      </c>
      <c r="D1084" s="103" t="s">
        <v>3183</v>
      </c>
      <c r="E1084" s="103" t="s">
        <v>2889</v>
      </c>
      <c r="G1084" s="103">
        <v>50</v>
      </c>
      <c r="H1084" s="103" t="s">
        <v>2168</v>
      </c>
      <c r="I1084" s="103" t="s">
        <v>2153</v>
      </c>
      <c r="K1084" s="103">
        <v>50</v>
      </c>
      <c r="N1084" s="103" t="s">
        <v>2163</v>
      </c>
      <c r="O1084" s="103">
        <v>50</v>
      </c>
      <c r="P1084" s="103" t="s">
        <v>783</v>
      </c>
      <c r="Q1084" s="103" t="s">
        <v>2236</v>
      </c>
      <c r="R1084" s="103" t="s">
        <v>2220</v>
      </c>
      <c r="S1084" s="103" t="s">
        <v>2422</v>
      </c>
      <c r="U1084" s="103">
        <v>25.65</v>
      </c>
      <c r="V1084" s="103" t="s">
        <v>2158</v>
      </c>
      <c r="W1084" s="103" t="s">
        <v>110</v>
      </c>
      <c r="X1084" s="103" t="s">
        <v>1736</v>
      </c>
      <c r="Y1084" s="103" t="s">
        <v>3848</v>
      </c>
      <c r="AA1084" s="103" t="s">
        <v>2220</v>
      </c>
      <c r="AB1084" s="103" t="s">
        <v>71</v>
      </c>
      <c r="AE1084" s="103" t="s">
        <v>810</v>
      </c>
      <c r="AF1084" s="103" t="b">
        <v>1</v>
      </c>
    </row>
    <row r="1085" spans="1:32" hidden="1" x14ac:dyDescent="0.2">
      <c r="A1085" s="103" t="s">
        <v>2032</v>
      </c>
      <c r="B1085" s="103" t="s">
        <v>918</v>
      </c>
      <c r="C1085" s="103" t="s">
        <v>3184</v>
      </c>
      <c r="D1085" s="103" t="s">
        <v>3185</v>
      </c>
      <c r="E1085" s="103" t="s">
        <v>2811</v>
      </c>
      <c r="F1085" s="103" t="s">
        <v>2202</v>
      </c>
      <c r="G1085" s="103">
        <v>200</v>
      </c>
      <c r="H1085" s="103" t="s">
        <v>2168</v>
      </c>
      <c r="I1085" s="103" t="s">
        <v>2153</v>
      </c>
      <c r="J1085" s="103">
        <v>50</v>
      </c>
      <c r="K1085" s="103">
        <v>50</v>
      </c>
      <c r="L1085" s="103">
        <v>50</v>
      </c>
      <c r="M1085" s="103">
        <v>50</v>
      </c>
      <c r="N1085" s="103" t="s">
        <v>2163</v>
      </c>
      <c r="O1085" s="103">
        <v>200</v>
      </c>
      <c r="P1085" s="103" t="s">
        <v>1624</v>
      </c>
      <c r="Q1085" s="103" t="s">
        <v>2236</v>
      </c>
      <c r="R1085" s="103" t="s">
        <v>2220</v>
      </c>
      <c r="S1085" s="103" t="s">
        <v>2422</v>
      </c>
      <c r="U1085" s="103">
        <v>102.6</v>
      </c>
      <c r="V1085" s="103" t="s">
        <v>2158</v>
      </c>
      <c r="W1085" s="103" t="s">
        <v>110</v>
      </c>
      <c r="X1085" s="103" t="s">
        <v>1736</v>
      </c>
      <c r="Y1085" s="103" t="s">
        <v>3848</v>
      </c>
      <c r="AA1085" s="103" t="s">
        <v>2220</v>
      </c>
      <c r="AB1085" s="103" t="s">
        <v>71</v>
      </c>
      <c r="AE1085" s="103" t="s">
        <v>810</v>
      </c>
      <c r="AF1085" s="103" t="b">
        <v>1</v>
      </c>
    </row>
    <row r="1086" spans="1:32" hidden="1" x14ac:dyDescent="0.2">
      <c r="A1086" s="103" t="s">
        <v>2032</v>
      </c>
      <c r="B1086" s="103" t="s">
        <v>918</v>
      </c>
      <c r="C1086" s="103" t="s">
        <v>3186</v>
      </c>
      <c r="G1086" s="103">
        <v>0</v>
      </c>
      <c r="H1086" s="103" t="s">
        <v>2168</v>
      </c>
      <c r="I1086" s="103" t="s">
        <v>2153</v>
      </c>
      <c r="N1086" s="103" t="s">
        <v>2163</v>
      </c>
      <c r="O1086" s="103">
        <v>0</v>
      </c>
      <c r="P1086" s="103" t="s">
        <v>1624</v>
      </c>
      <c r="Q1086" s="103" t="s">
        <v>2236</v>
      </c>
      <c r="R1086" s="103">
        <v>0</v>
      </c>
      <c r="S1086" s="103" t="s">
        <v>2422</v>
      </c>
      <c r="U1086" s="103">
        <v>0</v>
      </c>
      <c r="V1086" s="103" t="s">
        <v>2416</v>
      </c>
      <c r="W1086" s="103">
        <v>0</v>
      </c>
      <c r="X1086" s="103" t="s">
        <v>1736</v>
      </c>
      <c r="Y1086" s="103" t="s">
        <v>3848</v>
      </c>
      <c r="AA1086" s="103">
        <v>0</v>
      </c>
      <c r="AB1086" s="103" t="s">
        <v>71</v>
      </c>
      <c r="AE1086" s="103" t="s">
        <v>810</v>
      </c>
      <c r="AF1086" s="103" t="b">
        <v>1</v>
      </c>
    </row>
    <row r="1087" spans="1:32" hidden="1" x14ac:dyDescent="0.2">
      <c r="A1087" s="103" t="s">
        <v>619</v>
      </c>
      <c r="B1087" s="103" t="s">
        <v>618</v>
      </c>
      <c r="C1087" s="103" t="s">
        <v>2654</v>
      </c>
      <c r="D1087" s="103" t="s">
        <v>2655</v>
      </c>
      <c r="E1087" s="103" t="s">
        <v>2421</v>
      </c>
      <c r="F1087" s="103" t="s">
        <v>2202</v>
      </c>
      <c r="G1087" s="103">
        <v>150</v>
      </c>
      <c r="H1087" s="103" t="s">
        <v>2152</v>
      </c>
      <c r="I1087" s="103" t="s">
        <v>2153</v>
      </c>
      <c r="J1087" s="103">
        <v>25</v>
      </c>
      <c r="K1087" s="103">
        <v>50</v>
      </c>
      <c r="L1087" s="103">
        <v>50</v>
      </c>
      <c r="M1087" s="103">
        <v>25</v>
      </c>
      <c r="N1087" s="103" t="s">
        <v>2154</v>
      </c>
      <c r="O1087" s="103">
        <v>150</v>
      </c>
      <c r="P1087" s="103" t="s">
        <v>1609</v>
      </c>
      <c r="Q1087" s="103" t="s">
        <v>2155</v>
      </c>
      <c r="R1087" s="103" t="s">
        <v>2225</v>
      </c>
      <c r="S1087" s="103" t="s">
        <v>2238</v>
      </c>
      <c r="U1087" s="103">
        <v>72.45</v>
      </c>
      <c r="V1087" s="103" t="s">
        <v>2158</v>
      </c>
      <c r="W1087" s="103" t="s">
        <v>106</v>
      </c>
      <c r="X1087" s="103" t="s">
        <v>1597</v>
      </c>
      <c r="Y1087" s="103" t="s">
        <v>1685</v>
      </c>
      <c r="AA1087" s="103" t="s">
        <v>2225</v>
      </c>
      <c r="AB1087" s="103" t="s">
        <v>64</v>
      </c>
      <c r="AE1087" s="103" t="s">
        <v>750</v>
      </c>
      <c r="AF1087" s="103" t="b">
        <v>1</v>
      </c>
    </row>
    <row r="1088" spans="1:32" hidden="1" x14ac:dyDescent="0.2">
      <c r="A1088" s="103" t="s">
        <v>676</v>
      </c>
      <c r="B1088" s="103" t="s">
        <v>675</v>
      </c>
      <c r="C1088" s="103" t="s">
        <v>2654</v>
      </c>
      <c r="D1088" s="103" t="s">
        <v>2725</v>
      </c>
      <c r="E1088" s="103" t="s">
        <v>2421</v>
      </c>
      <c r="F1088" s="103" t="s">
        <v>2162</v>
      </c>
      <c r="G1088" s="103">
        <v>40</v>
      </c>
      <c r="H1088" s="103" t="s">
        <v>2152</v>
      </c>
      <c r="I1088" s="103" t="s">
        <v>2153</v>
      </c>
      <c r="J1088" s="103">
        <v>40</v>
      </c>
      <c r="N1088" s="103" t="s">
        <v>2154</v>
      </c>
      <c r="O1088" s="103">
        <v>40</v>
      </c>
      <c r="P1088" s="103" t="s">
        <v>1609</v>
      </c>
      <c r="Q1088" s="103" t="s">
        <v>2155</v>
      </c>
      <c r="R1088" s="103" t="s">
        <v>2225</v>
      </c>
      <c r="S1088" s="103" t="s">
        <v>2157</v>
      </c>
      <c r="U1088" s="103">
        <v>19.32</v>
      </c>
      <c r="V1088" s="103" t="s">
        <v>2158</v>
      </c>
      <c r="W1088" s="103" t="s">
        <v>106</v>
      </c>
      <c r="X1088" s="103" t="s">
        <v>1597</v>
      </c>
      <c r="Y1088" s="103" t="s">
        <v>1685</v>
      </c>
      <c r="AA1088" s="103" t="s">
        <v>2225</v>
      </c>
      <c r="AB1088" s="103" t="s">
        <v>64</v>
      </c>
      <c r="AE1088" s="103" t="s">
        <v>750</v>
      </c>
      <c r="AF1088" s="103" t="b">
        <v>1</v>
      </c>
    </row>
    <row r="1089" spans="1:32" hidden="1" x14ac:dyDescent="0.2">
      <c r="A1089" s="103" t="s">
        <v>921</v>
      </c>
      <c r="B1089" s="103" t="s">
        <v>920</v>
      </c>
      <c r="C1089" s="103" t="s">
        <v>2419</v>
      </c>
      <c r="D1089" s="103" t="s">
        <v>3189</v>
      </c>
      <c r="E1089" s="103" t="s">
        <v>2421</v>
      </c>
      <c r="F1089" s="103" t="s">
        <v>2151</v>
      </c>
      <c r="G1089" s="103">
        <v>150</v>
      </c>
      <c r="H1089" s="103" t="s">
        <v>2152</v>
      </c>
      <c r="I1089" s="103" t="s">
        <v>2153</v>
      </c>
      <c r="L1089" s="103">
        <v>75</v>
      </c>
      <c r="M1089" s="103">
        <v>75</v>
      </c>
      <c r="N1089" s="103" t="s">
        <v>2154</v>
      </c>
      <c r="O1089" s="103">
        <v>150</v>
      </c>
      <c r="P1089" s="103" t="s">
        <v>1609</v>
      </c>
      <c r="Q1089" s="103" t="s">
        <v>2236</v>
      </c>
      <c r="R1089" s="103" t="s">
        <v>2225</v>
      </c>
      <c r="S1089" s="103" t="s">
        <v>2422</v>
      </c>
      <c r="U1089" s="103">
        <v>72.45</v>
      </c>
      <c r="V1089" s="103" t="s">
        <v>2158</v>
      </c>
      <c r="W1089" s="103" t="s">
        <v>106</v>
      </c>
      <c r="X1089" s="103" t="s">
        <v>1597</v>
      </c>
      <c r="Y1089" s="103" t="s">
        <v>1685</v>
      </c>
      <c r="AA1089" s="103" t="s">
        <v>2225</v>
      </c>
      <c r="AB1089" s="103" t="s">
        <v>64</v>
      </c>
      <c r="AE1089" s="103" t="s">
        <v>750</v>
      </c>
      <c r="AF1089" s="103" t="b">
        <v>1</v>
      </c>
    </row>
    <row r="1090" spans="1:32" hidden="1" x14ac:dyDescent="0.2">
      <c r="A1090" s="103" t="s">
        <v>911</v>
      </c>
      <c r="B1090" s="103" t="s">
        <v>910</v>
      </c>
      <c r="C1090" s="103" t="s">
        <v>2862</v>
      </c>
      <c r="D1090" s="103" t="s">
        <v>3078</v>
      </c>
      <c r="E1090" s="103" t="s">
        <v>2421</v>
      </c>
      <c r="F1090" s="103" t="s">
        <v>2162</v>
      </c>
      <c r="G1090" s="103">
        <v>20</v>
      </c>
      <c r="H1090" s="103" t="s">
        <v>2152</v>
      </c>
      <c r="I1090" s="103" t="s">
        <v>2153</v>
      </c>
      <c r="M1090" s="103">
        <v>20</v>
      </c>
      <c r="N1090" s="103" t="s">
        <v>2260</v>
      </c>
      <c r="O1090" s="103">
        <v>20</v>
      </c>
      <c r="P1090" s="103" t="s">
        <v>1609</v>
      </c>
      <c r="Q1090" s="103" t="s">
        <v>2155</v>
      </c>
      <c r="R1090" s="103" t="s">
        <v>2225</v>
      </c>
      <c r="S1090" s="103" t="s">
        <v>2157</v>
      </c>
      <c r="U1090" s="103">
        <v>9.66</v>
      </c>
      <c r="V1090" s="103" t="s">
        <v>2262</v>
      </c>
      <c r="W1090" s="103" t="s">
        <v>106</v>
      </c>
      <c r="X1090" s="103" t="s">
        <v>1597</v>
      </c>
      <c r="Y1090" s="103" t="s">
        <v>1685</v>
      </c>
      <c r="AA1090" s="103" t="s">
        <v>2225</v>
      </c>
      <c r="AB1090" s="103" t="s">
        <v>71</v>
      </c>
      <c r="AE1090" s="103" t="s">
        <v>810</v>
      </c>
      <c r="AF1090" s="103" t="b">
        <v>1</v>
      </c>
    </row>
    <row r="1091" spans="1:32" hidden="1" x14ac:dyDescent="0.2">
      <c r="A1091" s="103" t="s">
        <v>923</v>
      </c>
      <c r="B1091" s="103" t="s">
        <v>922</v>
      </c>
      <c r="C1091" s="103" t="s">
        <v>3191</v>
      </c>
      <c r="E1091" s="103" t="s">
        <v>2196</v>
      </c>
      <c r="F1091" s="103" t="s">
        <v>2162</v>
      </c>
      <c r="G1091" s="103">
        <v>20</v>
      </c>
      <c r="H1091" s="103" t="s">
        <v>2168</v>
      </c>
      <c r="I1091" s="103" t="s">
        <v>2153</v>
      </c>
      <c r="J1091" s="103">
        <v>20</v>
      </c>
      <c r="N1091" s="103" t="s">
        <v>2163</v>
      </c>
      <c r="O1091" s="103">
        <v>20</v>
      </c>
      <c r="P1091" s="103" t="s">
        <v>1609</v>
      </c>
      <c r="Q1091" s="103" t="s">
        <v>2155</v>
      </c>
      <c r="R1091" s="103" t="s">
        <v>121</v>
      </c>
      <c r="S1091" s="103" t="s">
        <v>3192</v>
      </c>
      <c r="U1091" s="103">
        <v>10.26</v>
      </c>
      <c r="V1091" s="103" t="s">
        <v>2158</v>
      </c>
      <c r="W1091" s="103" t="s">
        <v>121</v>
      </c>
      <c r="X1091" s="103" t="s">
        <v>1597</v>
      </c>
      <c r="Y1091" s="103" t="s">
        <v>1685</v>
      </c>
      <c r="AA1091" s="103" t="s">
        <v>121</v>
      </c>
      <c r="AB1091" s="103" t="s">
        <v>64</v>
      </c>
      <c r="AE1091" s="103" t="s">
        <v>750</v>
      </c>
      <c r="AF1091" s="103" t="b">
        <v>1</v>
      </c>
    </row>
    <row r="1092" spans="1:32" hidden="1" x14ac:dyDescent="0.2">
      <c r="A1092" s="103" t="s">
        <v>923</v>
      </c>
      <c r="B1092" s="103" t="s">
        <v>922</v>
      </c>
      <c r="C1092" s="103" t="s">
        <v>3190</v>
      </c>
      <c r="D1092" s="103" t="s">
        <v>3856</v>
      </c>
      <c r="E1092" s="103" t="s">
        <v>2421</v>
      </c>
      <c r="F1092" s="103" t="s">
        <v>2162</v>
      </c>
      <c r="G1092" s="103">
        <v>20</v>
      </c>
      <c r="H1092" s="103" t="s">
        <v>2152</v>
      </c>
      <c r="I1092" s="103" t="s">
        <v>2153</v>
      </c>
      <c r="L1092" s="103">
        <v>20</v>
      </c>
      <c r="N1092" s="103" t="s">
        <v>2260</v>
      </c>
      <c r="O1092" s="103">
        <v>20</v>
      </c>
      <c r="P1092" s="103" t="s">
        <v>1609</v>
      </c>
      <c r="Q1092" s="103" t="s">
        <v>2155</v>
      </c>
      <c r="R1092" s="103" t="s">
        <v>2225</v>
      </c>
      <c r="S1092" s="103" t="s">
        <v>2192</v>
      </c>
      <c r="T1092" s="103" t="s">
        <v>3845</v>
      </c>
      <c r="U1092" s="103">
        <v>9.66</v>
      </c>
      <c r="V1092" s="103" t="s">
        <v>2262</v>
      </c>
      <c r="W1092" s="103" t="s">
        <v>106</v>
      </c>
      <c r="X1092" s="103" t="s">
        <v>1597</v>
      </c>
      <c r="Y1092" s="103" t="s">
        <v>1685</v>
      </c>
      <c r="AA1092" s="103" t="s">
        <v>2225</v>
      </c>
      <c r="AB1092" s="103" t="s">
        <v>64</v>
      </c>
      <c r="AE1092" s="103" t="s">
        <v>750</v>
      </c>
      <c r="AF1092" s="103" t="b">
        <v>1</v>
      </c>
    </row>
    <row r="1093" spans="1:32" hidden="1" x14ac:dyDescent="0.2">
      <c r="A1093" s="103" t="s">
        <v>615</v>
      </c>
      <c r="B1093" s="103" t="s">
        <v>614</v>
      </c>
      <c r="C1093" s="103" t="s">
        <v>615</v>
      </c>
      <c r="D1093" s="103" t="s">
        <v>2652</v>
      </c>
      <c r="E1093" s="103" t="s">
        <v>2421</v>
      </c>
      <c r="F1093" s="103" t="s">
        <v>2202</v>
      </c>
      <c r="G1093" s="103">
        <v>200</v>
      </c>
      <c r="H1093" s="103" t="s">
        <v>2168</v>
      </c>
      <c r="I1093" s="103" t="s">
        <v>2153</v>
      </c>
      <c r="L1093" s="103">
        <v>100</v>
      </c>
      <c r="M1093" s="103">
        <v>100</v>
      </c>
      <c r="N1093" s="103" t="s">
        <v>2273</v>
      </c>
      <c r="O1093" s="103">
        <v>200</v>
      </c>
      <c r="P1093" s="103" t="s">
        <v>1609</v>
      </c>
      <c r="Q1093" s="103" t="s">
        <v>2155</v>
      </c>
      <c r="R1093" s="103" t="s">
        <v>2225</v>
      </c>
      <c r="S1093" s="103" t="s">
        <v>2238</v>
      </c>
      <c r="U1093" s="103">
        <v>96.6</v>
      </c>
      <c r="V1093" s="103" t="s">
        <v>2262</v>
      </c>
      <c r="W1093" s="103" t="s">
        <v>106</v>
      </c>
      <c r="X1093" s="103" t="s">
        <v>1597</v>
      </c>
      <c r="Y1093" s="103" t="s">
        <v>1685</v>
      </c>
      <c r="AA1093" s="103" t="s">
        <v>2225</v>
      </c>
      <c r="AB1093" s="103" t="s">
        <v>74</v>
      </c>
      <c r="AE1093" s="103" t="s">
        <v>750</v>
      </c>
      <c r="AF1093" s="103" t="b">
        <v>1</v>
      </c>
    </row>
    <row r="1094" spans="1:32" hidden="1" x14ac:dyDescent="0.2">
      <c r="A1094" s="103" t="s">
        <v>2032</v>
      </c>
      <c r="B1094" s="103" t="s">
        <v>918</v>
      </c>
      <c r="C1094" s="103" t="s">
        <v>3174</v>
      </c>
      <c r="D1094" s="103" t="s">
        <v>2350</v>
      </c>
      <c r="E1094" s="103" t="s">
        <v>2350</v>
      </c>
      <c r="F1094" s="103" t="s">
        <v>2175</v>
      </c>
      <c r="G1094" s="103">
        <v>20</v>
      </c>
      <c r="H1094" s="103" t="s">
        <v>2168</v>
      </c>
      <c r="I1094" s="103" t="s">
        <v>2153</v>
      </c>
      <c r="J1094" s="103">
        <v>20</v>
      </c>
      <c r="N1094" s="103" t="s">
        <v>2163</v>
      </c>
      <c r="O1094" s="103">
        <v>20</v>
      </c>
      <c r="P1094" s="103" t="s">
        <v>1624</v>
      </c>
      <c r="Q1094" s="103" t="s">
        <v>2236</v>
      </c>
      <c r="R1094" s="103" t="s">
        <v>2220</v>
      </c>
      <c r="S1094" s="103" t="s">
        <v>2422</v>
      </c>
      <c r="U1094" s="103">
        <v>10.26</v>
      </c>
      <c r="V1094" s="103" t="s">
        <v>2158</v>
      </c>
      <c r="W1094" s="103" t="s">
        <v>108</v>
      </c>
      <c r="X1094" s="103" t="s">
        <v>1736</v>
      </c>
      <c r="Y1094" s="103" t="s">
        <v>3848</v>
      </c>
      <c r="AA1094" s="103" t="s">
        <v>2220</v>
      </c>
      <c r="AB1094" s="103" t="s">
        <v>71</v>
      </c>
      <c r="AE1094" s="103" t="s">
        <v>810</v>
      </c>
      <c r="AF1094" s="103" t="b">
        <v>1</v>
      </c>
    </row>
    <row r="1095" spans="1:32" hidden="1" x14ac:dyDescent="0.2">
      <c r="A1095" s="103" t="s">
        <v>854</v>
      </c>
      <c r="B1095" s="103" t="s">
        <v>853</v>
      </c>
      <c r="C1095" s="103" t="s">
        <v>2654</v>
      </c>
      <c r="D1095" s="103" t="s">
        <v>2935</v>
      </c>
      <c r="E1095" s="103" t="s">
        <v>2421</v>
      </c>
      <c r="F1095" s="103" t="s">
        <v>2151</v>
      </c>
      <c r="G1095" s="103">
        <v>150</v>
      </c>
      <c r="H1095" s="103" t="s">
        <v>2152</v>
      </c>
      <c r="I1095" s="103" t="s">
        <v>2153</v>
      </c>
      <c r="M1095" s="103">
        <v>150</v>
      </c>
      <c r="N1095" s="103" t="s">
        <v>2402</v>
      </c>
      <c r="O1095" s="103">
        <v>150</v>
      </c>
      <c r="P1095" s="103" t="s">
        <v>1609</v>
      </c>
      <c r="Q1095" s="103" t="s">
        <v>2236</v>
      </c>
      <c r="R1095" s="103" t="s">
        <v>2225</v>
      </c>
      <c r="S1095" s="103" t="s">
        <v>2422</v>
      </c>
      <c r="T1095" s="103" t="s">
        <v>2936</v>
      </c>
      <c r="U1095" s="103">
        <v>72.45</v>
      </c>
      <c r="V1095" s="103" t="s">
        <v>2262</v>
      </c>
      <c r="W1095" s="103" t="s">
        <v>106</v>
      </c>
      <c r="X1095" s="103" t="s">
        <v>1597</v>
      </c>
      <c r="Y1095" s="103" t="s">
        <v>1685</v>
      </c>
      <c r="AA1095" s="103" t="s">
        <v>2225</v>
      </c>
      <c r="AB1095" s="103" t="s">
        <v>71</v>
      </c>
      <c r="AE1095" s="103" t="s">
        <v>810</v>
      </c>
      <c r="AF1095" s="103" t="b">
        <v>1</v>
      </c>
    </row>
    <row r="1096" spans="1:32" hidden="1" x14ac:dyDescent="0.2">
      <c r="A1096" s="103" t="s">
        <v>2032</v>
      </c>
      <c r="B1096" s="103" t="s">
        <v>918</v>
      </c>
      <c r="C1096" s="103" t="s">
        <v>3174</v>
      </c>
      <c r="D1096" s="103" t="s">
        <v>2299</v>
      </c>
      <c r="E1096" s="103" t="s">
        <v>2299</v>
      </c>
      <c r="F1096" s="103" t="s">
        <v>2175</v>
      </c>
      <c r="G1096" s="103">
        <v>20</v>
      </c>
      <c r="H1096" s="103" t="s">
        <v>2168</v>
      </c>
      <c r="I1096" s="103" t="s">
        <v>2153</v>
      </c>
      <c r="J1096" s="103">
        <v>20</v>
      </c>
      <c r="N1096" s="103" t="s">
        <v>2163</v>
      </c>
      <c r="O1096" s="103">
        <v>20</v>
      </c>
      <c r="P1096" s="103" t="s">
        <v>1624</v>
      </c>
      <c r="Q1096" s="103" t="s">
        <v>2236</v>
      </c>
      <c r="R1096" s="103" t="s">
        <v>2220</v>
      </c>
      <c r="S1096" s="103" t="s">
        <v>2422</v>
      </c>
      <c r="U1096" s="103">
        <v>10.26</v>
      </c>
      <c r="V1096" s="103" t="s">
        <v>2158</v>
      </c>
      <c r="W1096" s="103" t="s">
        <v>108</v>
      </c>
      <c r="X1096" s="103" t="s">
        <v>1736</v>
      </c>
      <c r="Y1096" s="103" t="s">
        <v>3848</v>
      </c>
      <c r="AA1096" s="103" t="s">
        <v>2220</v>
      </c>
      <c r="AB1096" s="103" t="s">
        <v>71</v>
      </c>
      <c r="AE1096" s="103" t="s">
        <v>810</v>
      </c>
      <c r="AF1096" s="103" t="b">
        <v>1</v>
      </c>
    </row>
    <row r="1097" spans="1:32" hidden="1" x14ac:dyDescent="0.2">
      <c r="A1097" s="103" t="s">
        <v>925</v>
      </c>
      <c r="B1097" s="103" t="s">
        <v>924</v>
      </c>
      <c r="C1097" s="103" t="s">
        <v>3195</v>
      </c>
      <c r="D1097" s="103" t="s">
        <v>3196</v>
      </c>
      <c r="E1097" s="103" t="s">
        <v>2219</v>
      </c>
      <c r="F1097" s="103" t="s">
        <v>2162</v>
      </c>
      <c r="G1097" s="103">
        <v>60</v>
      </c>
      <c r="H1097" s="103" t="s">
        <v>2168</v>
      </c>
      <c r="I1097" s="103" t="s">
        <v>2153</v>
      </c>
      <c r="J1097" s="103">
        <v>20</v>
      </c>
      <c r="K1097" s="103">
        <v>20</v>
      </c>
      <c r="L1097" s="103">
        <v>20</v>
      </c>
      <c r="N1097" s="103" t="s">
        <v>2163</v>
      </c>
      <c r="O1097" s="103">
        <v>60</v>
      </c>
      <c r="P1097" s="103" t="s">
        <v>1609</v>
      </c>
      <c r="Q1097" s="103" t="s">
        <v>2155</v>
      </c>
      <c r="R1097" s="103" t="s">
        <v>2220</v>
      </c>
      <c r="S1097" s="103" t="s">
        <v>2238</v>
      </c>
      <c r="U1097" s="103">
        <v>30.78</v>
      </c>
      <c r="V1097" s="103" t="s">
        <v>2158</v>
      </c>
      <c r="W1097" s="103" t="s">
        <v>116</v>
      </c>
      <c r="X1097" s="103" t="s">
        <v>1597</v>
      </c>
      <c r="Y1097" s="103" t="s">
        <v>1685</v>
      </c>
      <c r="AA1097" s="103" t="s">
        <v>2220</v>
      </c>
      <c r="AB1097" s="103" t="s">
        <v>64</v>
      </c>
      <c r="AE1097" s="103" t="s">
        <v>750</v>
      </c>
      <c r="AF1097" s="103" t="b">
        <v>1</v>
      </c>
    </row>
    <row r="1098" spans="1:32" hidden="1" x14ac:dyDescent="0.2">
      <c r="A1098" s="103" t="s">
        <v>925</v>
      </c>
      <c r="B1098" s="103" t="s">
        <v>924</v>
      </c>
      <c r="C1098" s="103" t="s">
        <v>3197</v>
      </c>
      <c r="E1098" s="103" t="s">
        <v>2219</v>
      </c>
      <c r="F1098" s="103" t="s">
        <v>2151</v>
      </c>
      <c r="G1098" s="103">
        <v>100</v>
      </c>
      <c r="H1098" s="103" t="s">
        <v>2168</v>
      </c>
      <c r="I1098" s="103" t="s">
        <v>2153</v>
      </c>
      <c r="J1098" s="103">
        <v>25</v>
      </c>
      <c r="K1098" s="103">
        <v>25</v>
      </c>
      <c r="L1098" s="103">
        <v>25</v>
      </c>
      <c r="M1098" s="103">
        <v>25</v>
      </c>
      <c r="N1098" s="103" t="s">
        <v>2163</v>
      </c>
      <c r="O1098" s="103">
        <v>100</v>
      </c>
      <c r="P1098" s="103" t="s">
        <v>1609</v>
      </c>
      <c r="Q1098" s="103" t="s">
        <v>2155</v>
      </c>
      <c r="R1098" s="103" t="s">
        <v>2220</v>
      </c>
      <c r="S1098" s="103" t="s">
        <v>2238</v>
      </c>
      <c r="U1098" s="103">
        <v>51.3</v>
      </c>
      <c r="V1098" s="103" t="s">
        <v>2158</v>
      </c>
      <c r="W1098" s="103" t="s">
        <v>116</v>
      </c>
      <c r="X1098" s="103" t="s">
        <v>1597</v>
      </c>
      <c r="Y1098" s="103" t="s">
        <v>1685</v>
      </c>
      <c r="AA1098" s="103" t="s">
        <v>2220</v>
      </c>
      <c r="AB1098" s="103" t="s">
        <v>64</v>
      </c>
      <c r="AE1098" s="103" t="s">
        <v>750</v>
      </c>
      <c r="AF1098" s="103" t="b">
        <v>1</v>
      </c>
    </row>
    <row r="1099" spans="1:32" hidden="1" x14ac:dyDescent="0.2">
      <c r="A1099" s="103" t="s">
        <v>2032</v>
      </c>
      <c r="B1099" s="103" t="s">
        <v>918</v>
      </c>
      <c r="C1099" s="103" t="s">
        <v>3174</v>
      </c>
      <c r="D1099" s="103" t="s">
        <v>2926</v>
      </c>
      <c r="E1099" s="103" t="s">
        <v>2926</v>
      </c>
      <c r="F1099" s="103" t="s">
        <v>2175</v>
      </c>
      <c r="G1099" s="103">
        <v>20</v>
      </c>
      <c r="H1099" s="103" t="s">
        <v>2168</v>
      </c>
      <c r="I1099" s="103" t="s">
        <v>2153</v>
      </c>
      <c r="J1099" s="103">
        <v>20</v>
      </c>
      <c r="N1099" s="103" t="s">
        <v>2163</v>
      </c>
      <c r="O1099" s="103">
        <v>20</v>
      </c>
      <c r="P1099" s="103" t="s">
        <v>1624</v>
      </c>
      <c r="Q1099" s="103" t="s">
        <v>2236</v>
      </c>
      <c r="R1099" s="103" t="s">
        <v>2220</v>
      </c>
      <c r="S1099" s="103" t="s">
        <v>2422</v>
      </c>
      <c r="U1099" s="103">
        <v>10.26</v>
      </c>
      <c r="V1099" s="103" t="s">
        <v>2158</v>
      </c>
      <c r="W1099" s="103" t="s">
        <v>108</v>
      </c>
      <c r="X1099" s="103" t="s">
        <v>1736</v>
      </c>
      <c r="Y1099" s="103" t="s">
        <v>3848</v>
      </c>
      <c r="AA1099" s="103" t="s">
        <v>2220</v>
      </c>
      <c r="AB1099" s="103" t="s">
        <v>71</v>
      </c>
      <c r="AE1099" s="103" t="s">
        <v>810</v>
      </c>
      <c r="AF1099" s="103" t="b">
        <v>1</v>
      </c>
    </row>
    <row r="1100" spans="1:32" hidden="1" x14ac:dyDescent="0.2">
      <c r="A1100" s="103" t="s">
        <v>2037</v>
      </c>
      <c r="B1100" s="103" t="s">
        <v>927</v>
      </c>
      <c r="C1100" s="103" t="s">
        <v>3198</v>
      </c>
      <c r="E1100" s="103" t="s">
        <v>2334</v>
      </c>
      <c r="F1100" s="103" t="s">
        <v>2162</v>
      </c>
      <c r="G1100" s="103">
        <v>50</v>
      </c>
      <c r="H1100" s="103" t="s">
        <v>2168</v>
      </c>
      <c r="I1100" s="103" t="s">
        <v>2153</v>
      </c>
      <c r="J1100" s="103">
        <v>25</v>
      </c>
      <c r="K1100" s="103">
        <v>25</v>
      </c>
      <c r="L1100" s="103">
        <v>0</v>
      </c>
      <c r="N1100" s="103" t="s">
        <v>2163</v>
      </c>
      <c r="O1100" s="103">
        <v>50</v>
      </c>
      <c r="P1100" s="103" t="s">
        <v>791</v>
      </c>
      <c r="Q1100" s="103" t="s">
        <v>2236</v>
      </c>
      <c r="R1100" s="103" t="s">
        <v>2220</v>
      </c>
      <c r="S1100" s="103" t="s">
        <v>2422</v>
      </c>
      <c r="U1100" s="103">
        <v>25.65</v>
      </c>
      <c r="V1100" s="103" t="s">
        <v>2158</v>
      </c>
      <c r="W1100" s="103" t="s">
        <v>116</v>
      </c>
      <c r="X1100" s="103" t="s">
        <v>1736</v>
      </c>
      <c r="Y1100" s="103" t="s">
        <v>3848</v>
      </c>
      <c r="AA1100" s="103" t="s">
        <v>2220</v>
      </c>
      <c r="AB1100" s="103" t="s">
        <v>71</v>
      </c>
      <c r="AE1100" s="103" t="s">
        <v>898</v>
      </c>
      <c r="AF1100" s="103" t="b">
        <v>1</v>
      </c>
    </row>
    <row r="1101" spans="1:32" hidden="1" x14ac:dyDescent="0.2">
      <c r="A1101" s="103" t="s">
        <v>2037</v>
      </c>
      <c r="B1101" s="103" t="s">
        <v>927</v>
      </c>
      <c r="C1101" s="103" t="s">
        <v>3199</v>
      </c>
      <c r="E1101" s="103" t="s">
        <v>2794</v>
      </c>
      <c r="F1101" s="103" t="s">
        <v>2151</v>
      </c>
      <c r="G1101" s="103">
        <v>100</v>
      </c>
      <c r="H1101" s="103" t="s">
        <v>2168</v>
      </c>
      <c r="I1101" s="103" t="s">
        <v>2153</v>
      </c>
      <c r="J1101" s="103">
        <v>50</v>
      </c>
      <c r="K1101" s="103">
        <v>50</v>
      </c>
      <c r="N1101" s="103" t="s">
        <v>2163</v>
      </c>
      <c r="O1101" s="103">
        <v>100</v>
      </c>
      <c r="P1101" s="103" t="s">
        <v>791</v>
      </c>
      <c r="Q1101" s="103" t="s">
        <v>2236</v>
      </c>
      <c r="R1101" s="103" t="s">
        <v>2220</v>
      </c>
      <c r="S1101" s="103" t="s">
        <v>2422</v>
      </c>
      <c r="U1101" s="103">
        <v>51.3</v>
      </c>
      <c r="V1101" s="103" t="s">
        <v>2158</v>
      </c>
      <c r="W1101" s="103" t="s">
        <v>116</v>
      </c>
      <c r="X1101" s="103" t="s">
        <v>1736</v>
      </c>
      <c r="Y1101" s="103" t="s">
        <v>3848</v>
      </c>
      <c r="AA1101" s="103" t="s">
        <v>2220</v>
      </c>
      <c r="AB1101" s="103" t="s">
        <v>71</v>
      </c>
      <c r="AE1101" s="103" t="s">
        <v>898</v>
      </c>
      <c r="AF1101" s="103" t="b">
        <v>1</v>
      </c>
    </row>
    <row r="1102" spans="1:32" hidden="1" x14ac:dyDescent="0.2">
      <c r="A1102" s="103" t="s">
        <v>2037</v>
      </c>
      <c r="B1102" s="103" t="s">
        <v>927</v>
      </c>
      <c r="C1102" s="103" t="s">
        <v>3200</v>
      </c>
      <c r="E1102" s="103" t="s">
        <v>2794</v>
      </c>
      <c r="F1102" s="103" t="s">
        <v>2228</v>
      </c>
      <c r="G1102" s="103">
        <v>700</v>
      </c>
      <c r="H1102" s="103" t="s">
        <v>2152</v>
      </c>
      <c r="I1102" s="103" t="s">
        <v>2153</v>
      </c>
      <c r="J1102" s="103">
        <v>200</v>
      </c>
      <c r="K1102" s="103">
        <v>200</v>
      </c>
      <c r="L1102" s="103">
        <v>200</v>
      </c>
      <c r="M1102" s="103">
        <v>100</v>
      </c>
      <c r="N1102" s="103" t="s">
        <v>2163</v>
      </c>
      <c r="O1102" s="103">
        <v>700</v>
      </c>
      <c r="P1102" s="103" t="s">
        <v>791</v>
      </c>
      <c r="Q1102" s="103" t="s">
        <v>2236</v>
      </c>
      <c r="R1102" s="103" t="s">
        <v>2220</v>
      </c>
      <c r="S1102" s="103" t="s">
        <v>2422</v>
      </c>
      <c r="U1102" s="103">
        <v>359.1</v>
      </c>
      <c r="V1102" s="103" t="s">
        <v>2158</v>
      </c>
      <c r="W1102" s="103" t="s">
        <v>116</v>
      </c>
      <c r="X1102" s="103" t="s">
        <v>1736</v>
      </c>
      <c r="Y1102" s="103" t="s">
        <v>3848</v>
      </c>
      <c r="AA1102" s="103" t="s">
        <v>2220</v>
      </c>
      <c r="AB1102" s="103" t="s">
        <v>71</v>
      </c>
      <c r="AE1102" s="103" t="s">
        <v>898</v>
      </c>
      <c r="AF1102" s="103" t="b">
        <v>1</v>
      </c>
    </row>
    <row r="1103" spans="1:32" hidden="1" x14ac:dyDescent="0.2">
      <c r="A1103" s="103" t="s">
        <v>2037</v>
      </c>
      <c r="B1103" s="103" t="s">
        <v>927</v>
      </c>
      <c r="C1103" s="103" t="s">
        <v>3201</v>
      </c>
      <c r="E1103" s="103" t="s">
        <v>2794</v>
      </c>
      <c r="F1103" s="103" t="s">
        <v>2151</v>
      </c>
      <c r="G1103" s="103">
        <v>110</v>
      </c>
      <c r="H1103" s="103" t="s">
        <v>2152</v>
      </c>
      <c r="I1103" s="103" t="s">
        <v>2153</v>
      </c>
      <c r="J1103" s="103">
        <v>50</v>
      </c>
      <c r="K1103" s="103">
        <v>50</v>
      </c>
      <c r="L1103" s="103">
        <v>10</v>
      </c>
      <c r="N1103" s="103" t="s">
        <v>2163</v>
      </c>
      <c r="O1103" s="103">
        <v>110</v>
      </c>
      <c r="P1103" s="103" t="s">
        <v>791</v>
      </c>
      <c r="Q1103" s="103" t="s">
        <v>2236</v>
      </c>
      <c r="R1103" s="103" t="s">
        <v>2220</v>
      </c>
      <c r="S1103" s="103" t="s">
        <v>2422</v>
      </c>
      <c r="U1103" s="103">
        <v>56.43</v>
      </c>
      <c r="V1103" s="103" t="s">
        <v>2158</v>
      </c>
      <c r="W1103" s="103" t="s">
        <v>116</v>
      </c>
      <c r="X1103" s="103" t="s">
        <v>1736</v>
      </c>
      <c r="Y1103" s="103" t="s">
        <v>3848</v>
      </c>
      <c r="AA1103" s="103" t="s">
        <v>2220</v>
      </c>
      <c r="AB1103" s="103" t="s">
        <v>71</v>
      </c>
      <c r="AE1103" s="103" t="s">
        <v>898</v>
      </c>
      <c r="AF1103" s="103" t="b">
        <v>1</v>
      </c>
    </row>
    <row r="1104" spans="1:32" hidden="1" x14ac:dyDescent="0.2">
      <c r="A1104" s="103" t="s">
        <v>2037</v>
      </c>
      <c r="B1104" s="103" t="s">
        <v>927</v>
      </c>
      <c r="C1104" s="103" t="s">
        <v>3202</v>
      </c>
      <c r="E1104" s="103" t="s">
        <v>2794</v>
      </c>
      <c r="F1104" s="103" t="s">
        <v>2151</v>
      </c>
      <c r="G1104" s="103">
        <v>130</v>
      </c>
      <c r="H1104" s="103" t="s">
        <v>2152</v>
      </c>
      <c r="I1104" s="103" t="s">
        <v>2153</v>
      </c>
      <c r="K1104" s="103">
        <v>50</v>
      </c>
      <c r="L1104" s="103">
        <v>50</v>
      </c>
      <c r="M1104" s="103">
        <v>30</v>
      </c>
      <c r="N1104" s="103" t="s">
        <v>2163</v>
      </c>
      <c r="O1104" s="103">
        <v>130</v>
      </c>
      <c r="P1104" s="103" t="s">
        <v>791</v>
      </c>
      <c r="Q1104" s="103" t="s">
        <v>2236</v>
      </c>
      <c r="R1104" s="103" t="s">
        <v>2220</v>
      </c>
      <c r="S1104" s="103" t="s">
        <v>2422</v>
      </c>
      <c r="U1104" s="103">
        <v>66.69</v>
      </c>
      <c r="V1104" s="103" t="s">
        <v>2158</v>
      </c>
      <c r="W1104" s="103" t="s">
        <v>116</v>
      </c>
      <c r="X1104" s="103" t="s">
        <v>1736</v>
      </c>
      <c r="Y1104" s="103" t="s">
        <v>3848</v>
      </c>
      <c r="AA1104" s="103" t="s">
        <v>2220</v>
      </c>
      <c r="AB1104" s="103" t="s">
        <v>71</v>
      </c>
      <c r="AE1104" s="103" t="s">
        <v>898</v>
      </c>
      <c r="AF1104" s="103" t="b">
        <v>1</v>
      </c>
    </row>
    <row r="1105" spans="1:32" hidden="1" x14ac:dyDescent="0.2">
      <c r="A1105" s="103" t="s">
        <v>2040</v>
      </c>
      <c r="B1105" s="103" t="s">
        <v>962</v>
      </c>
      <c r="C1105" s="103" t="s">
        <v>3203</v>
      </c>
      <c r="E1105" s="103" t="s">
        <v>2334</v>
      </c>
      <c r="F1105" s="103" t="s">
        <v>2202</v>
      </c>
      <c r="G1105" s="103">
        <v>200</v>
      </c>
      <c r="H1105" s="103" t="s">
        <v>2168</v>
      </c>
      <c r="I1105" s="103" t="s">
        <v>2153</v>
      </c>
      <c r="K1105" s="103">
        <v>50</v>
      </c>
      <c r="L1105" s="103">
        <v>50</v>
      </c>
      <c r="M1105" s="103">
        <v>100</v>
      </c>
      <c r="N1105" s="103" t="s">
        <v>2260</v>
      </c>
      <c r="O1105" s="103">
        <v>200</v>
      </c>
      <c r="P1105" s="103" t="s">
        <v>791</v>
      </c>
      <c r="Q1105" s="103" t="s">
        <v>2236</v>
      </c>
      <c r="R1105" s="103" t="s">
        <v>2220</v>
      </c>
      <c r="S1105" s="103" t="s">
        <v>2422</v>
      </c>
      <c r="U1105" s="103">
        <v>102.6</v>
      </c>
      <c r="V1105" s="103" t="s">
        <v>2262</v>
      </c>
      <c r="W1105" s="103" t="s">
        <v>116</v>
      </c>
      <c r="X1105" s="103" t="s">
        <v>1597</v>
      </c>
      <c r="Y1105" s="103" t="s">
        <v>1685</v>
      </c>
      <c r="AA1105" s="103" t="s">
        <v>2220</v>
      </c>
      <c r="AB1105" s="103" t="s">
        <v>71</v>
      </c>
      <c r="AE1105" s="103" t="s">
        <v>898</v>
      </c>
      <c r="AF1105" s="103" t="b">
        <v>1</v>
      </c>
    </row>
    <row r="1106" spans="1:32" hidden="1" x14ac:dyDescent="0.2">
      <c r="A1106" s="103" t="s">
        <v>2040</v>
      </c>
      <c r="B1106" s="103" t="s">
        <v>962</v>
      </c>
      <c r="C1106" s="103" t="s">
        <v>3204</v>
      </c>
      <c r="E1106" s="103" t="s">
        <v>2334</v>
      </c>
      <c r="F1106" s="103" t="s">
        <v>2175</v>
      </c>
      <c r="G1106" s="103">
        <v>20</v>
      </c>
      <c r="H1106" s="103" t="s">
        <v>2168</v>
      </c>
      <c r="I1106" s="103" t="s">
        <v>2153</v>
      </c>
      <c r="K1106" s="103">
        <v>10</v>
      </c>
      <c r="L1106" s="103">
        <v>10</v>
      </c>
      <c r="N1106" s="103" t="s">
        <v>2260</v>
      </c>
      <c r="O1106" s="103">
        <v>20</v>
      </c>
      <c r="P1106" s="103" t="s">
        <v>791</v>
      </c>
      <c r="Q1106" s="103" t="s">
        <v>2236</v>
      </c>
      <c r="R1106" s="103" t="s">
        <v>2220</v>
      </c>
      <c r="S1106" s="103" t="s">
        <v>2422</v>
      </c>
      <c r="U1106" s="103">
        <v>10.26</v>
      </c>
      <c r="V1106" s="103" t="s">
        <v>2262</v>
      </c>
      <c r="W1106" s="103" t="s">
        <v>116</v>
      </c>
      <c r="X1106" s="103" t="s">
        <v>1597</v>
      </c>
      <c r="Y1106" s="103" t="s">
        <v>1685</v>
      </c>
      <c r="AA1106" s="103" t="s">
        <v>2220</v>
      </c>
      <c r="AB1106" s="103" t="s">
        <v>71</v>
      </c>
      <c r="AE1106" s="103" t="s">
        <v>898</v>
      </c>
      <c r="AF1106" s="103" t="b">
        <v>1</v>
      </c>
    </row>
    <row r="1107" spans="1:32" hidden="1" x14ac:dyDescent="0.2">
      <c r="A1107" s="103" t="s">
        <v>2040</v>
      </c>
      <c r="B1107" s="103" t="s">
        <v>962</v>
      </c>
      <c r="C1107" s="103" t="s">
        <v>3203</v>
      </c>
      <c r="E1107" s="103" t="s">
        <v>2794</v>
      </c>
      <c r="F1107" s="103" t="s">
        <v>2226</v>
      </c>
      <c r="G1107" s="103">
        <v>400</v>
      </c>
      <c r="H1107" s="103" t="s">
        <v>2168</v>
      </c>
      <c r="I1107" s="103" t="s">
        <v>2153</v>
      </c>
      <c r="K1107" s="103">
        <v>100</v>
      </c>
      <c r="L1107" s="103">
        <v>150</v>
      </c>
      <c r="M1107" s="103">
        <v>150</v>
      </c>
      <c r="N1107" s="103" t="s">
        <v>2260</v>
      </c>
      <c r="O1107" s="103">
        <v>400</v>
      </c>
      <c r="P1107" s="103" t="s">
        <v>791</v>
      </c>
      <c r="Q1107" s="103" t="s">
        <v>2236</v>
      </c>
      <c r="R1107" s="103" t="s">
        <v>2220</v>
      </c>
      <c r="S1107" s="103" t="s">
        <v>2422</v>
      </c>
      <c r="U1107" s="103">
        <v>205.2</v>
      </c>
      <c r="V1107" s="103" t="s">
        <v>2262</v>
      </c>
      <c r="W1107" s="103" t="s">
        <v>116</v>
      </c>
      <c r="X1107" s="103" t="s">
        <v>1597</v>
      </c>
      <c r="Y1107" s="103" t="s">
        <v>1685</v>
      </c>
      <c r="AA1107" s="103" t="s">
        <v>2220</v>
      </c>
      <c r="AB1107" s="103" t="s">
        <v>71</v>
      </c>
      <c r="AE1107" s="103" t="s">
        <v>898</v>
      </c>
      <c r="AF1107" s="103" t="b">
        <v>1</v>
      </c>
    </row>
    <row r="1108" spans="1:32" hidden="1" x14ac:dyDescent="0.2">
      <c r="A1108" s="103" t="s">
        <v>2040</v>
      </c>
      <c r="B1108" s="103" t="s">
        <v>962</v>
      </c>
      <c r="C1108" s="103" t="s">
        <v>3205</v>
      </c>
      <c r="E1108" s="103" t="s">
        <v>2794</v>
      </c>
      <c r="F1108" s="103" t="s">
        <v>2151</v>
      </c>
      <c r="G1108" s="103">
        <v>100</v>
      </c>
      <c r="H1108" s="103" t="s">
        <v>2168</v>
      </c>
      <c r="I1108" s="103" t="s">
        <v>2153</v>
      </c>
      <c r="L1108" s="103">
        <v>50</v>
      </c>
      <c r="M1108" s="103">
        <v>50</v>
      </c>
      <c r="N1108" s="103" t="s">
        <v>2273</v>
      </c>
      <c r="O1108" s="103">
        <v>100</v>
      </c>
      <c r="P1108" s="103" t="s">
        <v>791</v>
      </c>
      <c r="Q1108" s="103" t="s">
        <v>2236</v>
      </c>
      <c r="R1108" s="103" t="s">
        <v>2220</v>
      </c>
      <c r="S1108" s="103" t="s">
        <v>2422</v>
      </c>
      <c r="U1108" s="103">
        <v>51.3</v>
      </c>
      <c r="V1108" s="103" t="s">
        <v>2262</v>
      </c>
      <c r="W1108" s="103" t="s">
        <v>116</v>
      </c>
      <c r="X1108" s="103" t="s">
        <v>1597</v>
      </c>
      <c r="Y1108" s="103" t="s">
        <v>1685</v>
      </c>
      <c r="AA1108" s="103" t="s">
        <v>2220</v>
      </c>
      <c r="AB1108" s="103" t="s">
        <v>71</v>
      </c>
      <c r="AE1108" s="103" t="s">
        <v>898</v>
      </c>
      <c r="AF1108" s="103" t="b">
        <v>1</v>
      </c>
    </row>
    <row r="1109" spans="1:32" hidden="1" x14ac:dyDescent="0.2">
      <c r="A1109" s="103" t="s">
        <v>2040</v>
      </c>
      <c r="B1109" s="103" t="s">
        <v>962</v>
      </c>
      <c r="C1109" s="103" t="s">
        <v>3206</v>
      </c>
      <c r="D1109" s="103" t="s">
        <v>3207</v>
      </c>
      <c r="E1109" s="103" t="s">
        <v>2346</v>
      </c>
      <c r="F1109" s="103" t="s">
        <v>2151</v>
      </c>
      <c r="G1109" s="103">
        <v>100</v>
      </c>
      <c r="H1109" s="103" t="s">
        <v>2168</v>
      </c>
      <c r="I1109" s="103" t="s">
        <v>2153</v>
      </c>
      <c r="K1109" s="103">
        <v>35</v>
      </c>
      <c r="L1109" s="103">
        <v>35</v>
      </c>
      <c r="M1109" s="103">
        <v>30</v>
      </c>
      <c r="N1109" s="103" t="s">
        <v>2260</v>
      </c>
      <c r="O1109" s="103">
        <v>100</v>
      </c>
      <c r="P1109" s="103" t="s">
        <v>791</v>
      </c>
      <c r="Q1109" s="103" t="s">
        <v>2236</v>
      </c>
      <c r="R1109" s="103" t="s">
        <v>2220</v>
      </c>
      <c r="S1109" s="103" t="s">
        <v>2422</v>
      </c>
      <c r="U1109" s="103">
        <v>51.3</v>
      </c>
      <c r="V1109" s="103" t="s">
        <v>2262</v>
      </c>
      <c r="W1109" s="103" t="s">
        <v>116</v>
      </c>
      <c r="X1109" s="103" t="s">
        <v>1597</v>
      </c>
      <c r="Y1109" s="103" t="s">
        <v>1685</v>
      </c>
      <c r="AA1109" s="103" t="s">
        <v>2220</v>
      </c>
      <c r="AB1109" s="103" t="s">
        <v>71</v>
      </c>
      <c r="AE1109" s="103" t="s">
        <v>898</v>
      </c>
      <c r="AF1109" s="103" t="b">
        <v>1</v>
      </c>
    </row>
    <row r="1110" spans="1:32" hidden="1" x14ac:dyDescent="0.2">
      <c r="A1110" s="103" t="s">
        <v>2040</v>
      </c>
      <c r="B1110" s="103" t="s">
        <v>962</v>
      </c>
      <c r="C1110" s="103" t="s">
        <v>3208</v>
      </c>
      <c r="D1110" s="103" t="s">
        <v>3209</v>
      </c>
      <c r="E1110" s="103" t="s">
        <v>2346</v>
      </c>
      <c r="F1110" s="103" t="s">
        <v>2162</v>
      </c>
      <c r="G1110" s="103">
        <v>50</v>
      </c>
      <c r="H1110" s="103" t="s">
        <v>2168</v>
      </c>
      <c r="I1110" s="103" t="s">
        <v>2153</v>
      </c>
      <c r="K1110" s="103">
        <v>20</v>
      </c>
      <c r="L1110" s="103">
        <v>20</v>
      </c>
      <c r="M1110" s="103">
        <v>10</v>
      </c>
      <c r="N1110" s="103" t="s">
        <v>2260</v>
      </c>
      <c r="O1110" s="103">
        <v>50</v>
      </c>
      <c r="P1110" s="103" t="s">
        <v>791</v>
      </c>
      <c r="Q1110" s="103" t="s">
        <v>2236</v>
      </c>
      <c r="R1110" s="103" t="s">
        <v>2220</v>
      </c>
      <c r="S1110" s="103" t="s">
        <v>2422</v>
      </c>
      <c r="U1110" s="103">
        <v>25.65</v>
      </c>
      <c r="V1110" s="103" t="s">
        <v>2262</v>
      </c>
      <c r="W1110" s="103" t="s">
        <v>116</v>
      </c>
      <c r="X1110" s="103" t="s">
        <v>1597</v>
      </c>
      <c r="Y1110" s="103" t="s">
        <v>1685</v>
      </c>
      <c r="AA1110" s="103" t="s">
        <v>2220</v>
      </c>
      <c r="AB1110" s="103" t="s">
        <v>71</v>
      </c>
      <c r="AE1110" s="103" t="s">
        <v>898</v>
      </c>
      <c r="AF1110" s="103" t="b">
        <v>1</v>
      </c>
    </row>
    <row r="1111" spans="1:32" hidden="1" x14ac:dyDescent="0.2">
      <c r="A1111" s="103" t="s">
        <v>2040</v>
      </c>
      <c r="B1111" s="103" t="s">
        <v>962</v>
      </c>
      <c r="C1111" s="103" t="s">
        <v>3210</v>
      </c>
      <c r="E1111" s="103" t="s">
        <v>2346</v>
      </c>
      <c r="F1111" s="103" t="s">
        <v>2162</v>
      </c>
      <c r="G1111" s="103">
        <v>50</v>
      </c>
      <c r="H1111" s="103" t="s">
        <v>2168</v>
      </c>
      <c r="I1111" s="103" t="s">
        <v>2153</v>
      </c>
      <c r="M1111" s="103">
        <v>50</v>
      </c>
      <c r="N1111" s="103" t="s">
        <v>2260</v>
      </c>
      <c r="O1111" s="103">
        <v>50</v>
      </c>
      <c r="P1111" s="103" t="s">
        <v>791</v>
      </c>
      <c r="Q1111" s="103" t="s">
        <v>2236</v>
      </c>
      <c r="R1111" s="103" t="s">
        <v>2220</v>
      </c>
      <c r="S1111" s="103" t="s">
        <v>2422</v>
      </c>
      <c r="U1111" s="103">
        <v>25.65</v>
      </c>
      <c r="V1111" s="103" t="s">
        <v>2262</v>
      </c>
      <c r="W1111" s="103" t="s">
        <v>116</v>
      </c>
      <c r="X1111" s="103" t="s">
        <v>1597</v>
      </c>
      <c r="Y1111" s="103" t="s">
        <v>1685</v>
      </c>
      <c r="AA1111" s="103" t="s">
        <v>2220</v>
      </c>
      <c r="AB1111" s="103" t="s">
        <v>71</v>
      </c>
      <c r="AE1111" s="103" t="s">
        <v>898</v>
      </c>
      <c r="AF1111" s="103" t="b">
        <v>1</v>
      </c>
    </row>
    <row r="1112" spans="1:32" hidden="1" x14ac:dyDescent="0.2">
      <c r="A1112" s="103" t="s">
        <v>2040</v>
      </c>
      <c r="B1112" s="103" t="s">
        <v>962</v>
      </c>
      <c r="C1112" s="103" t="s">
        <v>3211</v>
      </c>
      <c r="E1112" s="103" t="s">
        <v>2346</v>
      </c>
      <c r="F1112" s="103" t="s">
        <v>2162</v>
      </c>
      <c r="G1112" s="103">
        <v>50</v>
      </c>
      <c r="H1112" s="103" t="s">
        <v>2168</v>
      </c>
      <c r="I1112" s="103" t="s">
        <v>2153</v>
      </c>
      <c r="J1112" s="103">
        <v>25</v>
      </c>
      <c r="K1112" s="103">
        <v>25</v>
      </c>
      <c r="N1112" s="103" t="s">
        <v>2260</v>
      </c>
      <c r="O1112" s="103">
        <v>50</v>
      </c>
      <c r="P1112" s="103" t="s">
        <v>791</v>
      </c>
      <c r="Q1112" s="103" t="s">
        <v>2236</v>
      </c>
      <c r="R1112" s="103" t="s">
        <v>2220</v>
      </c>
      <c r="S1112" s="103" t="s">
        <v>2422</v>
      </c>
      <c r="U1112" s="103">
        <v>25.65</v>
      </c>
      <c r="V1112" s="103" t="s">
        <v>2262</v>
      </c>
      <c r="W1112" s="103" t="s">
        <v>116</v>
      </c>
      <c r="X1112" s="103" t="s">
        <v>1597</v>
      </c>
      <c r="Y1112" s="103" t="s">
        <v>1685</v>
      </c>
      <c r="AA1112" s="103" t="s">
        <v>2220</v>
      </c>
      <c r="AB1112" s="103" t="s">
        <v>71</v>
      </c>
      <c r="AE1112" s="103" t="s">
        <v>898</v>
      </c>
      <c r="AF1112" s="103" t="b">
        <v>1</v>
      </c>
    </row>
    <row r="1113" spans="1:32" hidden="1" x14ac:dyDescent="0.2">
      <c r="A1113" s="103" t="s">
        <v>2040</v>
      </c>
      <c r="B1113" s="103" t="s">
        <v>962</v>
      </c>
      <c r="C1113" s="103" t="s">
        <v>3212</v>
      </c>
      <c r="D1113" s="103" t="s">
        <v>3213</v>
      </c>
      <c r="E1113" s="103" t="s">
        <v>2794</v>
      </c>
      <c r="F1113" s="103" t="s">
        <v>2202</v>
      </c>
      <c r="G1113" s="103">
        <v>200</v>
      </c>
      <c r="H1113" s="103" t="s">
        <v>2168</v>
      </c>
      <c r="I1113" s="103" t="s">
        <v>2153</v>
      </c>
      <c r="J1113" s="103">
        <v>75</v>
      </c>
      <c r="K1113" s="103">
        <v>50</v>
      </c>
      <c r="L1113" s="103">
        <v>50</v>
      </c>
      <c r="M1113" s="103">
        <v>25</v>
      </c>
      <c r="N1113" s="103" t="s">
        <v>2163</v>
      </c>
      <c r="O1113" s="103">
        <v>200</v>
      </c>
      <c r="P1113" s="103" t="s">
        <v>2789</v>
      </c>
      <c r="Q1113" s="103" t="s">
        <v>2236</v>
      </c>
      <c r="R1113" s="103" t="s">
        <v>2220</v>
      </c>
      <c r="S1113" s="103" t="s">
        <v>2422</v>
      </c>
      <c r="U1113" s="103">
        <v>102.6</v>
      </c>
      <c r="V1113" s="103" t="s">
        <v>2158</v>
      </c>
      <c r="W1113" s="103" t="s">
        <v>116</v>
      </c>
      <c r="X1113" s="103" t="s">
        <v>1597</v>
      </c>
      <c r="Y1113" s="103" t="s">
        <v>1685</v>
      </c>
      <c r="AA1113" s="103" t="s">
        <v>2220</v>
      </c>
      <c r="AB1113" s="103" t="s">
        <v>71</v>
      </c>
      <c r="AE1113" s="103" t="s">
        <v>898</v>
      </c>
      <c r="AF1113" s="103" t="b">
        <v>1</v>
      </c>
    </row>
    <row r="1114" spans="1:32" hidden="1" x14ac:dyDescent="0.2">
      <c r="A1114" s="103" t="s">
        <v>2040</v>
      </c>
      <c r="B1114" s="103" t="s">
        <v>962</v>
      </c>
      <c r="C1114" s="103" t="s">
        <v>3212</v>
      </c>
      <c r="D1114" s="103" t="s">
        <v>3213</v>
      </c>
      <c r="E1114" s="103" t="s">
        <v>2346</v>
      </c>
      <c r="F1114" s="103" t="s">
        <v>2162</v>
      </c>
      <c r="G1114" s="103">
        <v>50</v>
      </c>
      <c r="H1114" s="103" t="s">
        <v>2168</v>
      </c>
      <c r="I1114" s="103" t="s">
        <v>2153</v>
      </c>
      <c r="J1114" s="103">
        <v>15</v>
      </c>
      <c r="K1114" s="103">
        <v>15</v>
      </c>
      <c r="L1114" s="103">
        <v>10</v>
      </c>
      <c r="M1114" s="103">
        <v>10</v>
      </c>
      <c r="N1114" s="103" t="s">
        <v>2163</v>
      </c>
      <c r="O1114" s="103">
        <v>50</v>
      </c>
      <c r="P1114" s="103" t="s">
        <v>2789</v>
      </c>
      <c r="Q1114" s="103" t="s">
        <v>2236</v>
      </c>
      <c r="R1114" s="103" t="s">
        <v>2220</v>
      </c>
      <c r="S1114" s="103" t="s">
        <v>2422</v>
      </c>
      <c r="U1114" s="103">
        <v>25.65</v>
      </c>
      <c r="V1114" s="103" t="s">
        <v>2158</v>
      </c>
      <c r="W1114" s="103" t="s">
        <v>116</v>
      </c>
      <c r="X1114" s="103" t="s">
        <v>1597</v>
      </c>
      <c r="Y1114" s="103" t="s">
        <v>1685</v>
      </c>
      <c r="AA1114" s="103" t="s">
        <v>2220</v>
      </c>
      <c r="AB1114" s="103" t="s">
        <v>71</v>
      </c>
      <c r="AE1114" s="103" t="s">
        <v>898</v>
      </c>
      <c r="AF1114" s="103" t="b">
        <v>1</v>
      </c>
    </row>
    <row r="1115" spans="1:32" hidden="1" x14ac:dyDescent="0.2">
      <c r="A1115" s="103" t="s">
        <v>2040</v>
      </c>
      <c r="B1115" s="103" t="s">
        <v>962</v>
      </c>
      <c r="C1115" s="103" t="s">
        <v>3214</v>
      </c>
      <c r="E1115" s="103" t="s">
        <v>2346</v>
      </c>
      <c r="F1115" s="103" t="s">
        <v>2202</v>
      </c>
      <c r="G1115" s="103">
        <v>100</v>
      </c>
      <c r="H1115" s="103" t="s">
        <v>2152</v>
      </c>
      <c r="I1115" s="103" t="s">
        <v>2153</v>
      </c>
      <c r="K1115" s="103">
        <v>50</v>
      </c>
      <c r="M1115" s="103">
        <v>50</v>
      </c>
      <c r="N1115" s="103" t="s">
        <v>2163</v>
      </c>
      <c r="O1115" s="103">
        <v>100</v>
      </c>
      <c r="P1115" s="103" t="s">
        <v>2789</v>
      </c>
      <c r="Q1115" s="103" t="s">
        <v>2236</v>
      </c>
      <c r="R1115" s="103" t="s">
        <v>2220</v>
      </c>
      <c r="S1115" s="103" t="s">
        <v>2422</v>
      </c>
      <c r="U1115" s="103">
        <v>51.3</v>
      </c>
      <c r="V1115" s="103" t="s">
        <v>2158</v>
      </c>
      <c r="W1115" s="103" t="s">
        <v>116</v>
      </c>
      <c r="X1115" s="103" t="s">
        <v>1597</v>
      </c>
      <c r="Y1115" s="103" t="s">
        <v>1685</v>
      </c>
      <c r="AA1115" s="103" t="s">
        <v>2220</v>
      </c>
      <c r="AB1115" s="103" t="s">
        <v>71</v>
      </c>
      <c r="AE1115" s="103" t="s">
        <v>898</v>
      </c>
      <c r="AF1115" s="103" t="b">
        <v>1</v>
      </c>
    </row>
    <row r="1116" spans="1:32" hidden="1" x14ac:dyDescent="0.2">
      <c r="A1116" s="103" t="s">
        <v>2040</v>
      </c>
      <c r="B1116" s="103" t="s">
        <v>962</v>
      </c>
      <c r="C1116" s="103" t="s">
        <v>3215</v>
      </c>
      <c r="D1116" s="103" t="s">
        <v>3216</v>
      </c>
      <c r="E1116" s="103" t="s">
        <v>2334</v>
      </c>
      <c r="F1116" s="103" t="s">
        <v>2162</v>
      </c>
      <c r="G1116" s="103">
        <v>50</v>
      </c>
      <c r="H1116" s="103" t="s">
        <v>2168</v>
      </c>
      <c r="I1116" s="103" t="s">
        <v>2153</v>
      </c>
      <c r="J1116" s="103">
        <v>10</v>
      </c>
      <c r="K1116" s="103">
        <v>10</v>
      </c>
      <c r="L1116" s="103">
        <v>15</v>
      </c>
      <c r="M1116" s="103">
        <v>15</v>
      </c>
      <c r="N1116" s="103" t="s">
        <v>2163</v>
      </c>
      <c r="O1116" s="103">
        <v>50</v>
      </c>
      <c r="P1116" s="103" t="s">
        <v>791</v>
      </c>
      <c r="Q1116" s="103" t="s">
        <v>2236</v>
      </c>
      <c r="R1116" s="103" t="s">
        <v>2220</v>
      </c>
      <c r="S1116" s="103" t="s">
        <v>2422</v>
      </c>
      <c r="U1116" s="103">
        <v>25.65</v>
      </c>
      <c r="V1116" s="103" t="s">
        <v>2158</v>
      </c>
      <c r="W1116" s="103" t="s">
        <v>116</v>
      </c>
      <c r="X1116" s="103" t="s">
        <v>1597</v>
      </c>
      <c r="Y1116" s="103" t="s">
        <v>1685</v>
      </c>
      <c r="AA1116" s="103" t="s">
        <v>2220</v>
      </c>
      <c r="AB1116" s="103" t="s">
        <v>71</v>
      </c>
      <c r="AE1116" s="103" t="s">
        <v>898</v>
      </c>
      <c r="AF1116" s="103" t="b">
        <v>1</v>
      </c>
    </row>
    <row r="1117" spans="1:32" hidden="1" x14ac:dyDescent="0.2">
      <c r="A1117" s="103" t="s">
        <v>2040</v>
      </c>
      <c r="B1117" s="103" t="s">
        <v>962</v>
      </c>
      <c r="C1117" s="103" t="s">
        <v>3217</v>
      </c>
      <c r="D1117" s="103" t="s">
        <v>3218</v>
      </c>
      <c r="E1117" s="103" t="s">
        <v>2334</v>
      </c>
      <c r="F1117" s="103" t="s">
        <v>2175</v>
      </c>
      <c r="G1117" s="103">
        <v>20</v>
      </c>
      <c r="H1117" s="103" t="s">
        <v>2168</v>
      </c>
      <c r="I1117" s="103" t="s">
        <v>2153</v>
      </c>
      <c r="J1117" s="103">
        <v>5</v>
      </c>
      <c r="K1117" s="103">
        <v>5</v>
      </c>
      <c r="L1117" s="103">
        <v>10</v>
      </c>
      <c r="N1117" s="103" t="s">
        <v>2163</v>
      </c>
      <c r="O1117" s="103">
        <v>20</v>
      </c>
      <c r="P1117" s="103" t="s">
        <v>791</v>
      </c>
      <c r="Q1117" s="103" t="s">
        <v>2236</v>
      </c>
      <c r="R1117" s="103" t="s">
        <v>2220</v>
      </c>
      <c r="S1117" s="103" t="s">
        <v>2422</v>
      </c>
      <c r="U1117" s="103">
        <v>10.26</v>
      </c>
      <c r="V1117" s="103" t="s">
        <v>2158</v>
      </c>
      <c r="W1117" s="103" t="s">
        <v>116</v>
      </c>
      <c r="X1117" s="103" t="s">
        <v>1597</v>
      </c>
      <c r="Y1117" s="103" t="s">
        <v>1685</v>
      </c>
      <c r="AA1117" s="103" t="s">
        <v>2220</v>
      </c>
      <c r="AB1117" s="103" t="s">
        <v>71</v>
      </c>
      <c r="AE1117" s="103" t="s">
        <v>898</v>
      </c>
      <c r="AF1117" s="103" t="b">
        <v>1</v>
      </c>
    </row>
    <row r="1118" spans="1:32" hidden="1" x14ac:dyDescent="0.2">
      <c r="A1118" s="103" t="s">
        <v>2040</v>
      </c>
      <c r="B1118" s="103" t="s">
        <v>962</v>
      </c>
      <c r="C1118" s="103" t="s">
        <v>3217</v>
      </c>
      <c r="D1118" s="103" t="s">
        <v>3218</v>
      </c>
      <c r="E1118" s="103" t="s">
        <v>2794</v>
      </c>
      <c r="F1118" s="103" t="s">
        <v>2162</v>
      </c>
      <c r="G1118" s="103">
        <v>50</v>
      </c>
      <c r="H1118" s="103" t="s">
        <v>2168</v>
      </c>
      <c r="I1118" s="103" t="s">
        <v>2153</v>
      </c>
      <c r="J1118" s="103">
        <v>10</v>
      </c>
      <c r="K1118" s="103">
        <v>10</v>
      </c>
      <c r="L1118" s="103">
        <v>15</v>
      </c>
      <c r="M1118" s="103">
        <v>15</v>
      </c>
      <c r="N1118" s="103" t="s">
        <v>2163</v>
      </c>
      <c r="O1118" s="103">
        <v>50</v>
      </c>
      <c r="P1118" s="103" t="s">
        <v>791</v>
      </c>
      <c r="Q1118" s="103" t="s">
        <v>2236</v>
      </c>
      <c r="R1118" s="103" t="s">
        <v>2220</v>
      </c>
      <c r="S1118" s="103" t="s">
        <v>2422</v>
      </c>
      <c r="U1118" s="103">
        <v>25.65</v>
      </c>
      <c r="V1118" s="103" t="s">
        <v>2158</v>
      </c>
      <c r="W1118" s="103" t="s">
        <v>116</v>
      </c>
      <c r="X1118" s="103" t="s">
        <v>1597</v>
      </c>
      <c r="Y1118" s="103" t="s">
        <v>1685</v>
      </c>
      <c r="AA1118" s="103" t="s">
        <v>2220</v>
      </c>
      <c r="AB1118" s="103" t="s">
        <v>71</v>
      </c>
      <c r="AE1118" s="103" t="s">
        <v>898</v>
      </c>
      <c r="AF1118" s="103" t="b">
        <v>1</v>
      </c>
    </row>
    <row r="1119" spans="1:32" hidden="1" x14ac:dyDescent="0.2">
      <c r="A1119" s="103" t="s">
        <v>2040</v>
      </c>
      <c r="B1119" s="103" t="s">
        <v>962</v>
      </c>
      <c r="C1119" s="103" t="s">
        <v>3219</v>
      </c>
      <c r="D1119" s="103" t="s">
        <v>3220</v>
      </c>
      <c r="E1119" s="103" t="s">
        <v>2346</v>
      </c>
      <c r="F1119" s="103" t="s">
        <v>2162</v>
      </c>
      <c r="G1119" s="103">
        <v>50</v>
      </c>
      <c r="H1119" s="103" t="s">
        <v>2168</v>
      </c>
      <c r="I1119" s="103" t="s">
        <v>2153</v>
      </c>
      <c r="J1119" s="103">
        <v>25</v>
      </c>
      <c r="K1119" s="103">
        <v>25</v>
      </c>
      <c r="N1119" s="103" t="s">
        <v>2163</v>
      </c>
      <c r="O1119" s="103">
        <v>50</v>
      </c>
      <c r="P1119" s="103" t="s">
        <v>791</v>
      </c>
      <c r="Q1119" s="103" t="s">
        <v>2236</v>
      </c>
      <c r="R1119" s="103" t="s">
        <v>2220</v>
      </c>
      <c r="S1119" s="103" t="s">
        <v>2422</v>
      </c>
      <c r="U1119" s="103">
        <v>25.65</v>
      </c>
      <c r="V1119" s="103" t="s">
        <v>2158</v>
      </c>
      <c r="W1119" s="103" t="s">
        <v>116</v>
      </c>
      <c r="X1119" s="103" t="s">
        <v>1597</v>
      </c>
      <c r="Y1119" s="103" t="s">
        <v>1685</v>
      </c>
      <c r="AA1119" s="103" t="s">
        <v>2220</v>
      </c>
      <c r="AB1119" s="103" t="s">
        <v>71</v>
      </c>
      <c r="AE1119" s="103" t="s">
        <v>898</v>
      </c>
      <c r="AF1119" s="103" t="b">
        <v>1</v>
      </c>
    </row>
    <row r="1120" spans="1:32" hidden="1" x14ac:dyDescent="0.2">
      <c r="A1120" s="103" t="s">
        <v>2040</v>
      </c>
      <c r="B1120" s="103" t="s">
        <v>962</v>
      </c>
      <c r="C1120" s="103" t="s">
        <v>3221</v>
      </c>
      <c r="E1120" s="103" t="s">
        <v>2346</v>
      </c>
      <c r="F1120" s="103" t="s">
        <v>2151</v>
      </c>
      <c r="G1120" s="103">
        <v>100</v>
      </c>
      <c r="H1120" s="103" t="s">
        <v>2168</v>
      </c>
      <c r="I1120" s="103" t="s">
        <v>2153</v>
      </c>
      <c r="J1120" s="103">
        <v>25</v>
      </c>
      <c r="K1120" s="103">
        <v>25</v>
      </c>
      <c r="L1120" s="103">
        <v>25</v>
      </c>
      <c r="M1120" s="103">
        <v>25</v>
      </c>
      <c r="N1120" s="103" t="s">
        <v>2163</v>
      </c>
      <c r="O1120" s="103">
        <v>100</v>
      </c>
      <c r="P1120" s="103" t="s">
        <v>791</v>
      </c>
      <c r="Q1120" s="103" t="s">
        <v>2236</v>
      </c>
      <c r="R1120" s="103" t="s">
        <v>2220</v>
      </c>
      <c r="S1120" s="103" t="s">
        <v>2422</v>
      </c>
      <c r="U1120" s="103">
        <v>51.3</v>
      </c>
      <c r="V1120" s="103" t="s">
        <v>2158</v>
      </c>
      <c r="W1120" s="103" t="s">
        <v>116</v>
      </c>
      <c r="X1120" s="103" t="s">
        <v>1597</v>
      </c>
      <c r="Y1120" s="103" t="s">
        <v>1685</v>
      </c>
      <c r="AA1120" s="103" t="s">
        <v>2220</v>
      </c>
      <c r="AB1120" s="103" t="s">
        <v>71</v>
      </c>
      <c r="AE1120" s="103" t="s">
        <v>898</v>
      </c>
      <c r="AF1120" s="103" t="b">
        <v>1</v>
      </c>
    </row>
    <row r="1121" spans="1:32" hidden="1" x14ac:dyDescent="0.2">
      <c r="A1121" s="103" t="s">
        <v>2040</v>
      </c>
      <c r="B1121" s="103" t="s">
        <v>962</v>
      </c>
      <c r="C1121" s="103" t="s">
        <v>3222</v>
      </c>
      <c r="E1121" s="103" t="s">
        <v>2346</v>
      </c>
      <c r="F1121" s="103" t="s">
        <v>2202</v>
      </c>
      <c r="G1121" s="103">
        <v>200</v>
      </c>
      <c r="H1121" s="103" t="s">
        <v>2168</v>
      </c>
      <c r="I1121" s="103" t="s">
        <v>2153</v>
      </c>
      <c r="J1121" s="103">
        <v>100</v>
      </c>
      <c r="K1121" s="103">
        <v>80</v>
      </c>
      <c r="L1121" s="103">
        <v>20</v>
      </c>
      <c r="N1121" s="103" t="s">
        <v>2163</v>
      </c>
      <c r="O1121" s="103">
        <v>200</v>
      </c>
      <c r="P1121" s="103" t="s">
        <v>791</v>
      </c>
      <c r="Q1121" s="103" t="s">
        <v>2236</v>
      </c>
      <c r="R1121" s="103" t="s">
        <v>2220</v>
      </c>
      <c r="S1121" s="103" t="s">
        <v>2422</v>
      </c>
      <c r="U1121" s="103">
        <v>102.6</v>
      </c>
      <c r="V1121" s="103" t="s">
        <v>2158</v>
      </c>
      <c r="W1121" s="103" t="s">
        <v>116</v>
      </c>
      <c r="X1121" s="103" t="s">
        <v>1597</v>
      </c>
      <c r="Y1121" s="103" t="s">
        <v>1685</v>
      </c>
      <c r="AA1121" s="103" t="s">
        <v>2220</v>
      </c>
      <c r="AB1121" s="103" t="s">
        <v>71</v>
      </c>
      <c r="AE1121" s="103" t="s">
        <v>898</v>
      </c>
      <c r="AF1121" s="103" t="b">
        <v>1</v>
      </c>
    </row>
    <row r="1122" spans="1:32" hidden="1" x14ac:dyDescent="0.2">
      <c r="A1122" s="103" t="s">
        <v>2040</v>
      </c>
      <c r="B1122" s="103" t="s">
        <v>962</v>
      </c>
      <c r="C1122" s="103" t="s">
        <v>3223</v>
      </c>
      <c r="E1122" s="103" t="s">
        <v>2794</v>
      </c>
      <c r="F1122" s="103" t="s">
        <v>2162</v>
      </c>
      <c r="G1122" s="103">
        <v>50</v>
      </c>
      <c r="H1122" s="103" t="s">
        <v>2168</v>
      </c>
      <c r="I1122" s="103" t="s">
        <v>2153</v>
      </c>
      <c r="J1122" s="103">
        <v>10</v>
      </c>
      <c r="K1122" s="103">
        <v>10</v>
      </c>
      <c r="L1122" s="103">
        <v>15</v>
      </c>
      <c r="M1122" s="103">
        <v>15</v>
      </c>
      <c r="N1122" s="103" t="s">
        <v>2163</v>
      </c>
      <c r="O1122" s="103">
        <v>50</v>
      </c>
      <c r="P1122" s="103" t="s">
        <v>791</v>
      </c>
      <c r="Q1122" s="103" t="s">
        <v>2236</v>
      </c>
      <c r="R1122" s="103" t="s">
        <v>2220</v>
      </c>
      <c r="S1122" s="103" t="s">
        <v>2422</v>
      </c>
      <c r="U1122" s="103">
        <v>25.65</v>
      </c>
      <c r="V1122" s="103" t="s">
        <v>2158</v>
      </c>
      <c r="W1122" s="103" t="s">
        <v>116</v>
      </c>
      <c r="X1122" s="103" t="s">
        <v>1597</v>
      </c>
      <c r="Y1122" s="103" t="s">
        <v>1685</v>
      </c>
      <c r="AA1122" s="103" t="s">
        <v>2220</v>
      </c>
      <c r="AB1122" s="103" t="s">
        <v>71</v>
      </c>
      <c r="AE1122" s="103" t="s">
        <v>898</v>
      </c>
      <c r="AF1122" s="103" t="b">
        <v>1</v>
      </c>
    </row>
    <row r="1123" spans="1:32" hidden="1" x14ac:dyDescent="0.2">
      <c r="A1123" s="103" t="s">
        <v>2040</v>
      </c>
      <c r="B1123" s="103" t="s">
        <v>962</v>
      </c>
      <c r="C1123" s="103" t="s">
        <v>3217</v>
      </c>
      <c r="D1123" s="103" t="s">
        <v>3218</v>
      </c>
      <c r="E1123" s="103" t="s">
        <v>2957</v>
      </c>
      <c r="F1123" s="103" t="s">
        <v>2162</v>
      </c>
      <c r="G1123" s="103">
        <v>50</v>
      </c>
      <c r="H1123" s="103" t="s">
        <v>2168</v>
      </c>
      <c r="I1123" s="103" t="s">
        <v>2153</v>
      </c>
      <c r="J1123" s="103">
        <v>10</v>
      </c>
      <c r="K1123" s="103">
        <v>10</v>
      </c>
      <c r="L1123" s="103">
        <v>15</v>
      </c>
      <c r="M1123" s="103">
        <v>15</v>
      </c>
      <c r="N1123" s="103" t="s">
        <v>2163</v>
      </c>
      <c r="O1123" s="103">
        <v>50</v>
      </c>
      <c r="P1123" s="103" t="s">
        <v>791</v>
      </c>
      <c r="Q1123" s="103" t="s">
        <v>2236</v>
      </c>
      <c r="R1123" s="103" t="s">
        <v>2220</v>
      </c>
      <c r="S1123" s="103" t="s">
        <v>2422</v>
      </c>
      <c r="U1123" s="103">
        <v>25.65</v>
      </c>
      <c r="V1123" s="103" t="s">
        <v>2158</v>
      </c>
      <c r="W1123" s="103" t="s">
        <v>116</v>
      </c>
      <c r="X1123" s="103" t="s">
        <v>1597</v>
      </c>
      <c r="Y1123" s="103" t="s">
        <v>1685</v>
      </c>
      <c r="AA1123" s="103" t="s">
        <v>2220</v>
      </c>
      <c r="AB1123" s="103" t="s">
        <v>71</v>
      </c>
      <c r="AE1123" s="103" t="s">
        <v>898</v>
      </c>
      <c r="AF1123" s="103" t="b">
        <v>1</v>
      </c>
    </row>
    <row r="1124" spans="1:32" hidden="1" x14ac:dyDescent="0.2">
      <c r="A1124" s="103" t="s">
        <v>2040</v>
      </c>
      <c r="B1124" s="103" t="s">
        <v>962</v>
      </c>
      <c r="C1124" s="103" t="s">
        <v>3224</v>
      </c>
      <c r="E1124" s="103" t="s">
        <v>2957</v>
      </c>
      <c r="F1124" s="103" t="s">
        <v>2151</v>
      </c>
      <c r="G1124" s="103">
        <v>100</v>
      </c>
      <c r="H1124" s="103" t="s">
        <v>2168</v>
      </c>
      <c r="I1124" s="103" t="s">
        <v>2153</v>
      </c>
      <c r="J1124" s="103">
        <v>25</v>
      </c>
      <c r="K1124" s="103">
        <v>25</v>
      </c>
      <c r="L1124" s="103">
        <v>25</v>
      </c>
      <c r="M1124" s="103">
        <v>25</v>
      </c>
      <c r="N1124" s="103" t="s">
        <v>2163</v>
      </c>
      <c r="O1124" s="103">
        <v>100</v>
      </c>
      <c r="P1124" s="103" t="s">
        <v>791</v>
      </c>
      <c r="Q1124" s="103" t="s">
        <v>2236</v>
      </c>
      <c r="R1124" s="103" t="s">
        <v>2220</v>
      </c>
      <c r="S1124" s="103" t="s">
        <v>2422</v>
      </c>
      <c r="U1124" s="103">
        <v>51.3</v>
      </c>
      <c r="V1124" s="103" t="s">
        <v>2158</v>
      </c>
      <c r="W1124" s="103" t="s">
        <v>116</v>
      </c>
      <c r="X1124" s="103" t="s">
        <v>1597</v>
      </c>
      <c r="Y1124" s="103" t="s">
        <v>1685</v>
      </c>
      <c r="AA1124" s="103" t="s">
        <v>2220</v>
      </c>
      <c r="AB1124" s="103" t="s">
        <v>71</v>
      </c>
      <c r="AE1124" s="103" t="s">
        <v>898</v>
      </c>
      <c r="AF1124" s="103" t="b">
        <v>1</v>
      </c>
    </row>
    <row r="1125" spans="1:32" hidden="1" x14ac:dyDescent="0.2">
      <c r="A1125" s="103" t="s">
        <v>2040</v>
      </c>
      <c r="B1125" s="103" t="s">
        <v>962</v>
      </c>
      <c r="C1125" s="103" t="s">
        <v>3223</v>
      </c>
      <c r="E1125" s="103" t="s">
        <v>2957</v>
      </c>
      <c r="F1125" s="103" t="s">
        <v>2162</v>
      </c>
      <c r="G1125" s="103">
        <v>50</v>
      </c>
      <c r="H1125" s="103" t="s">
        <v>2168</v>
      </c>
      <c r="I1125" s="103" t="s">
        <v>2153</v>
      </c>
      <c r="J1125" s="103">
        <v>10</v>
      </c>
      <c r="K1125" s="103">
        <v>15</v>
      </c>
      <c r="L1125" s="103">
        <v>15</v>
      </c>
      <c r="M1125" s="103">
        <v>10</v>
      </c>
      <c r="N1125" s="103" t="s">
        <v>2163</v>
      </c>
      <c r="O1125" s="103">
        <v>50</v>
      </c>
      <c r="P1125" s="103" t="s">
        <v>791</v>
      </c>
      <c r="Q1125" s="103" t="s">
        <v>2236</v>
      </c>
      <c r="R1125" s="103" t="s">
        <v>2220</v>
      </c>
      <c r="S1125" s="103" t="s">
        <v>2422</v>
      </c>
      <c r="U1125" s="103">
        <v>25.65</v>
      </c>
      <c r="V1125" s="103" t="s">
        <v>2158</v>
      </c>
      <c r="W1125" s="103" t="s">
        <v>116</v>
      </c>
      <c r="X1125" s="103" t="s">
        <v>1597</v>
      </c>
      <c r="Y1125" s="103" t="s">
        <v>1685</v>
      </c>
      <c r="AA1125" s="103" t="s">
        <v>2220</v>
      </c>
      <c r="AB1125" s="103" t="s">
        <v>71</v>
      </c>
      <c r="AE1125" s="103" t="s">
        <v>898</v>
      </c>
      <c r="AF1125" s="103" t="b">
        <v>1</v>
      </c>
    </row>
    <row r="1126" spans="1:32" hidden="1" x14ac:dyDescent="0.2">
      <c r="A1126" s="103" t="s">
        <v>2040</v>
      </c>
      <c r="B1126" s="103" t="s">
        <v>962</v>
      </c>
      <c r="C1126" s="103" t="s">
        <v>3212</v>
      </c>
      <c r="D1126" s="103" t="s">
        <v>3213</v>
      </c>
      <c r="E1126" s="103" t="s">
        <v>2957</v>
      </c>
      <c r="F1126" s="103" t="s">
        <v>2162</v>
      </c>
      <c r="G1126" s="103">
        <v>50</v>
      </c>
      <c r="H1126" s="103" t="s">
        <v>2168</v>
      </c>
      <c r="I1126" s="103" t="s">
        <v>2153</v>
      </c>
      <c r="J1126" s="103">
        <v>15</v>
      </c>
      <c r="K1126" s="103">
        <v>15</v>
      </c>
      <c r="L1126" s="103">
        <v>10</v>
      </c>
      <c r="M1126" s="103">
        <v>10</v>
      </c>
      <c r="N1126" s="103" t="s">
        <v>2163</v>
      </c>
      <c r="O1126" s="103">
        <v>50</v>
      </c>
      <c r="P1126" s="103" t="s">
        <v>3225</v>
      </c>
      <c r="Q1126" s="103" t="s">
        <v>2236</v>
      </c>
      <c r="R1126" s="103" t="s">
        <v>2220</v>
      </c>
      <c r="S1126" s="103" t="s">
        <v>2422</v>
      </c>
      <c r="U1126" s="103">
        <v>25.65</v>
      </c>
      <c r="V1126" s="103" t="s">
        <v>2158</v>
      </c>
      <c r="W1126" s="103" t="s">
        <v>116</v>
      </c>
      <c r="X1126" s="103" t="s">
        <v>1597</v>
      </c>
      <c r="Y1126" s="103" t="s">
        <v>1685</v>
      </c>
      <c r="AA1126" s="103" t="s">
        <v>2220</v>
      </c>
      <c r="AB1126" s="103" t="s">
        <v>71</v>
      </c>
      <c r="AE1126" s="103" t="s">
        <v>898</v>
      </c>
      <c r="AF1126" s="103" t="b">
        <v>1</v>
      </c>
    </row>
    <row r="1127" spans="1:32" hidden="1" x14ac:dyDescent="0.2">
      <c r="A1127" s="103" t="s">
        <v>2040</v>
      </c>
      <c r="B1127" s="103" t="s">
        <v>962</v>
      </c>
      <c r="C1127" s="103" t="s">
        <v>3226</v>
      </c>
      <c r="E1127" s="103" t="s">
        <v>2957</v>
      </c>
      <c r="F1127" s="103" t="s">
        <v>2151</v>
      </c>
      <c r="G1127" s="103">
        <v>70</v>
      </c>
      <c r="H1127" s="103" t="s">
        <v>2152</v>
      </c>
      <c r="I1127" s="103" t="s">
        <v>2153</v>
      </c>
      <c r="K1127" s="103">
        <v>50</v>
      </c>
      <c r="M1127" s="103">
        <v>20</v>
      </c>
      <c r="N1127" s="103" t="s">
        <v>2163</v>
      </c>
      <c r="O1127" s="103">
        <v>70</v>
      </c>
      <c r="P1127" s="103" t="s">
        <v>3225</v>
      </c>
      <c r="Q1127" s="103" t="s">
        <v>2236</v>
      </c>
      <c r="R1127" s="103" t="s">
        <v>2220</v>
      </c>
      <c r="S1127" s="103" t="s">
        <v>2422</v>
      </c>
      <c r="U1127" s="103">
        <v>35.909999999999997</v>
      </c>
      <c r="V1127" s="103" t="s">
        <v>2158</v>
      </c>
      <c r="W1127" s="103" t="s">
        <v>116</v>
      </c>
      <c r="X1127" s="103" t="s">
        <v>1597</v>
      </c>
      <c r="Y1127" s="103" t="s">
        <v>1685</v>
      </c>
      <c r="AA1127" s="103" t="s">
        <v>2220</v>
      </c>
      <c r="AB1127" s="103" t="s">
        <v>71</v>
      </c>
      <c r="AE1127" s="103" t="s">
        <v>898</v>
      </c>
      <c r="AF1127" s="103" t="b">
        <v>1</v>
      </c>
    </row>
    <row r="1128" spans="1:32" hidden="1" x14ac:dyDescent="0.2">
      <c r="A1128" s="103" t="s">
        <v>2032</v>
      </c>
      <c r="B1128" s="103" t="s">
        <v>918</v>
      </c>
      <c r="C1128" s="103" t="s">
        <v>3174</v>
      </c>
      <c r="D1128" s="103" t="s">
        <v>2264</v>
      </c>
      <c r="E1128" s="103" t="s">
        <v>2264</v>
      </c>
      <c r="F1128" s="103" t="s">
        <v>2175</v>
      </c>
      <c r="G1128" s="103">
        <v>20</v>
      </c>
      <c r="H1128" s="103" t="s">
        <v>2168</v>
      </c>
      <c r="I1128" s="103" t="s">
        <v>2153</v>
      </c>
      <c r="J1128" s="103">
        <v>20</v>
      </c>
      <c r="N1128" s="103" t="s">
        <v>2163</v>
      </c>
      <c r="O1128" s="103">
        <v>20</v>
      </c>
      <c r="P1128" s="103" t="s">
        <v>1624</v>
      </c>
      <c r="Q1128" s="103" t="s">
        <v>2236</v>
      </c>
      <c r="R1128" s="103" t="s">
        <v>2220</v>
      </c>
      <c r="S1128" s="103" t="s">
        <v>2422</v>
      </c>
      <c r="U1128" s="103">
        <v>10.26</v>
      </c>
      <c r="V1128" s="103" t="s">
        <v>2158</v>
      </c>
      <c r="W1128" s="103" t="s">
        <v>108</v>
      </c>
      <c r="X1128" s="103" t="s">
        <v>1736</v>
      </c>
      <c r="Y1128" s="103" t="s">
        <v>3848</v>
      </c>
      <c r="AA1128" s="103" t="s">
        <v>2220</v>
      </c>
      <c r="AB1128" s="103" t="s">
        <v>71</v>
      </c>
      <c r="AE1128" s="103" t="s">
        <v>810</v>
      </c>
      <c r="AF1128" s="103" t="b">
        <v>1</v>
      </c>
    </row>
    <row r="1129" spans="1:32" hidden="1" x14ac:dyDescent="0.2">
      <c r="A1129" s="103" t="s">
        <v>2032</v>
      </c>
      <c r="B1129" s="103" t="s">
        <v>918</v>
      </c>
      <c r="C1129" s="103" t="s">
        <v>3174</v>
      </c>
      <c r="D1129" s="103" t="s">
        <v>2378</v>
      </c>
      <c r="E1129" s="103" t="s">
        <v>2378</v>
      </c>
      <c r="F1129" s="103" t="s">
        <v>2175</v>
      </c>
      <c r="G1129" s="103">
        <v>20</v>
      </c>
      <c r="H1129" s="103" t="s">
        <v>2168</v>
      </c>
      <c r="I1129" s="103" t="s">
        <v>2153</v>
      </c>
      <c r="J1129" s="103">
        <v>20</v>
      </c>
      <c r="N1129" s="103" t="s">
        <v>2163</v>
      </c>
      <c r="O1129" s="103">
        <v>20</v>
      </c>
      <c r="P1129" s="103" t="s">
        <v>1624</v>
      </c>
      <c r="Q1129" s="103" t="s">
        <v>2236</v>
      </c>
      <c r="R1129" s="103" t="s">
        <v>2220</v>
      </c>
      <c r="S1129" s="103" t="s">
        <v>2422</v>
      </c>
      <c r="U1129" s="103">
        <v>10.26</v>
      </c>
      <c r="V1129" s="103" t="s">
        <v>2158</v>
      </c>
      <c r="W1129" s="103" t="s">
        <v>108</v>
      </c>
      <c r="X1129" s="103" t="s">
        <v>1736</v>
      </c>
      <c r="Y1129" s="103" t="s">
        <v>3848</v>
      </c>
      <c r="AA1129" s="103" t="s">
        <v>2220</v>
      </c>
      <c r="AB1129" s="103" t="s">
        <v>71</v>
      </c>
      <c r="AE1129" s="103" t="s">
        <v>810</v>
      </c>
      <c r="AF1129" s="103" t="b">
        <v>1</v>
      </c>
    </row>
    <row r="1130" spans="1:32" hidden="1" x14ac:dyDescent="0.2">
      <c r="A1130" s="103" t="s">
        <v>983</v>
      </c>
      <c r="B1130" s="103" t="s">
        <v>982</v>
      </c>
      <c r="C1130" s="103" t="s">
        <v>3227</v>
      </c>
      <c r="E1130" s="103" t="s">
        <v>105</v>
      </c>
      <c r="F1130" s="103" t="s">
        <v>2232</v>
      </c>
      <c r="G1130" s="103">
        <v>600</v>
      </c>
      <c r="H1130" s="103" t="s">
        <v>2152</v>
      </c>
      <c r="I1130" s="103" t="s">
        <v>2153</v>
      </c>
      <c r="J1130" s="103">
        <v>600</v>
      </c>
      <c r="N1130" s="103" t="s">
        <v>2163</v>
      </c>
      <c r="O1130" s="103">
        <v>600</v>
      </c>
      <c r="P1130" s="103" t="s">
        <v>985</v>
      </c>
      <c r="Q1130" s="103" t="s">
        <v>2155</v>
      </c>
      <c r="R1130" s="103" t="s">
        <v>2225</v>
      </c>
      <c r="S1130" s="103" t="s">
        <v>2157</v>
      </c>
      <c r="U1130" s="103">
        <v>307.8</v>
      </c>
      <c r="V1130" s="103" t="s">
        <v>2158</v>
      </c>
      <c r="W1130" s="103" t="s">
        <v>105</v>
      </c>
      <c r="X1130" s="103" t="s">
        <v>1597</v>
      </c>
      <c r="Y1130" s="103" t="s">
        <v>1685</v>
      </c>
      <c r="AA1130" s="103" t="s">
        <v>2225</v>
      </c>
      <c r="AB1130" s="103" t="s">
        <v>64</v>
      </c>
      <c r="AE1130" s="103" t="s">
        <v>984</v>
      </c>
      <c r="AF1130" s="103" t="b">
        <v>1</v>
      </c>
    </row>
    <row r="1131" spans="1:32" hidden="1" x14ac:dyDescent="0.2">
      <c r="A1131" s="103" t="s">
        <v>983</v>
      </c>
      <c r="B1131" s="103" t="s">
        <v>982</v>
      </c>
      <c r="C1131" s="103" t="s">
        <v>3228</v>
      </c>
      <c r="E1131" s="103" t="s">
        <v>105</v>
      </c>
      <c r="F1131" s="103" t="s">
        <v>2232</v>
      </c>
      <c r="G1131" s="103">
        <v>375</v>
      </c>
      <c r="H1131" s="103" t="s">
        <v>2152</v>
      </c>
      <c r="I1131" s="103" t="s">
        <v>2153</v>
      </c>
      <c r="K1131" s="103">
        <v>375</v>
      </c>
      <c r="N1131" s="103" t="s">
        <v>2163</v>
      </c>
      <c r="O1131" s="103">
        <v>375</v>
      </c>
      <c r="P1131" s="103" t="s">
        <v>985</v>
      </c>
      <c r="Q1131" s="103" t="s">
        <v>2155</v>
      </c>
      <c r="R1131" s="103" t="s">
        <v>2225</v>
      </c>
      <c r="S1131" s="103" t="s">
        <v>2157</v>
      </c>
      <c r="U1131" s="103">
        <v>192.375</v>
      </c>
      <c r="V1131" s="103" t="s">
        <v>2158</v>
      </c>
      <c r="W1131" s="103" t="s">
        <v>105</v>
      </c>
      <c r="X1131" s="103" t="s">
        <v>1597</v>
      </c>
      <c r="Y1131" s="103" t="s">
        <v>1685</v>
      </c>
      <c r="AA1131" s="103" t="s">
        <v>2225</v>
      </c>
      <c r="AB1131" s="103" t="s">
        <v>64</v>
      </c>
      <c r="AE1131" s="103" t="s">
        <v>984</v>
      </c>
      <c r="AF1131" s="103" t="b">
        <v>1</v>
      </c>
    </row>
    <row r="1132" spans="1:32" hidden="1" x14ac:dyDescent="0.2">
      <c r="A1132" s="103" t="s">
        <v>983</v>
      </c>
      <c r="B1132" s="103" t="s">
        <v>982</v>
      </c>
      <c r="C1132" s="103" t="s">
        <v>3229</v>
      </c>
      <c r="E1132" s="103" t="s">
        <v>105</v>
      </c>
      <c r="F1132" s="103" t="s">
        <v>2226</v>
      </c>
      <c r="G1132" s="103">
        <v>275</v>
      </c>
      <c r="H1132" s="103" t="s">
        <v>2152</v>
      </c>
      <c r="I1132" s="103" t="s">
        <v>2153</v>
      </c>
      <c r="L1132" s="103">
        <v>140</v>
      </c>
      <c r="M1132" s="103">
        <v>135</v>
      </c>
      <c r="N1132" s="103" t="s">
        <v>2163</v>
      </c>
      <c r="O1132" s="103">
        <v>275</v>
      </c>
      <c r="P1132" s="103" t="s">
        <v>985</v>
      </c>
      <c r="Q1132" s="103" t="s">
        <v>2155</v>
      </c>
      <c r="R1132" s="103" t="s">
        <v>2225</v>
      </c>
      <c r="S1132" s="103" t="s">
        <v>2157</v>
      </c>
      <c r="U1132" s="103">
        <v>141.07499999999999</v>
      </c>
      <c r="V1132" s="103" t="s">
        <v>2158</v>
      </c>
      <c r="W1132" s="103" t="s">
        <v>105</v>
      </c>
      <c r="X1132" s="103" t="s">
        <v>1597</v>
      </c>
      <c r="Y1132" s="103" t="s">
        <v>1685</v>
      </c>
      <c r="AA1132" s="103" t="s">
        <v>2225</v>
      </c>
      <c r="AB1132" s="103" t="s">
        <v>64</v>
      </c>
      <c r="AE1132" s="103" t="s">
        <v>984</v>
      </c>
      <c r="AF1132" s="103" t="b">
        <v>1</v>
      </c>
    </row>
    <row r="1133" spans="1:32" hidden="1" x14ac:dyDescent="0.2">
      <c r="A1133" s="103" t="s">
        <v>2032</v>
      </c>
      <c r="B1133" s="103" t="s">
        <v>918</v>
      </c>
      <c r="C1133" s="103" t="s">
        <v>3174</v>
      </c>
      <c r="D1133" s="103" t="s">
        <v>2973</v>
      </c>
      <c r="E1133" s="103" t="s">
        <v>2973</v>
      </c>
      <c r="F1133" s="103" t="s">
        <v>2175</v>
      </c>
      <c r="G1133" s="103">
        <v>20</v>
      </c>
      <c r="H1133" s="103" t="s">
        <v>2168</v>
      </c>
      <c r="I1133" s="103" t="s">
        <v>2153</v>
      </c>
      <c r="J1133" s="103">
        <v>20</v>
      </c>
      <c r="N1133" s="103" t="s">
        <v>2163</v>
      </c>
      <c r="O1133" s="103">
        <v>20</v>
      </c>
      <c r="P1133" s="103" t="s">
        <v>1624</v>
      </c>
      <c r="Q1133" s="103" t="s">
        <v>2236</v>
      </c>
      <c r="R1133" s="103" t="s">
        <v>2220</v>
      </c>
      <c r="S1133" s="103" t="s">
        <v>2422</v>
      </c>
      <c r="U1133" s="103">
        <v>10.26</v>
      </c>
      <c r="V1133" s="103" t="s">
        <v>2158</v>
      </c>
      <c r="W1133" s="103" t="s">
        <v>108</v>
      </c>
      <c r="X1133" s="103" t="s">
        <v>1736</v>
      </c>
      <c r="Y1133" s="103" t="s">
        <v>3848</v>
      </c>
      <c r="AA1133" s="103" t="s">
        <v>2220</v>
      </c>
      <c r="AB1133" s="103" t="s">
        <v>71</v>
      </c>
      <c r="AE1133" s="103" t="s">
        <v>810</v>
      </c>
      <c r="AF1133" s="103" t="b">
        <v>1</v>
      </c>
    </row>
    <row r="1134" spans="1:32" hidden="1" x14ac:dyDescent="0.2">
      <c r="A1134" s="103" t="s">
        <v>2032</v>
      </c>
      <c r="B1134" s="103" t="s">
        <v>918</v>
      </c>
      <c r="C1134" s="103" t="s">
        <v>3174</v>
      </c>
      <c r="D1134" s="103" t="s">
        <v>3068</v>
      </c>
      <c r="E1134" s="103" t="s">
        <v>3068</v>
      </c>
      <c r="F1134" s="103" t="s">
        <v>2175</v>
      </c>
      <c r="G1134" s="103">
        <v>20</v>
      </c>
      <c r="H1134" s="103" t="s">
        <v>2168</v>
      </c>
      <c r="I1134" s="103" t="s">
        <v>2153</v>
      </c>
      <c r="J1134" s="103">
        <v>20</v>
      </c>
      <c r="N1134" s="103" t="s">
        <v>2163</v>
      </c>
      <c r="O1134" s="103">
        <v>20</v>
      </c>
      <c r="P1134" s="103" t="s">
        <v>1624</v>
      </c>
      <c r="Q1134" s="103" t="s">
        <v>2236</v>
      </c>
      <c r="R1134" s="103" t="s">
        <v>2220</v>
      </c>
      <c r="S1134" s="103" t="s">
        <v>2422</v>
      </c>
      <c r="U1134" s="103">
        <v>10.26</v>
      </c>
      <c r="V1134" s="103" t="s">
        <v>2158</v>
      </c>
      <c r="W1134" s="103" t="s">
        <v>108</v>
      </c>
      <c r="X1134" s="103" t="s">
        <v>1736</v>
      </c>
      <c r="Y1134" s="103" t="s">
        <v>3848</v>
      </c>
      <c r="AA1134" s="103" t="s">
        <v>2220</v>
      </c>
      <c r="AB1134" s="103" t="s">
        <v>71</v>
      </c>
      <c r="AE1134" s="103" t="s">
        <v>810</v>
      </c>
      <c r="AF1134" s="103" t="b">
        <v>1</v>
      </c>
    </row>
    <row r="1135" spans="1:32" hidden="1" x14ac:dyDescent="0.2">
      <c r="A1135" s="103" t="s">
        <v>979</v>
      </c>
      <c r="B1135" s="103" t="s">
        <v>978</v>
      </c>
      <c r="C1135" s="103" t="s">
        <v>3230</v>
      </c>
      <c r="E1135" s="103" t="s">
        <v>2299</v>
      </c>
      <c r="F1135" s="103" t="s">
        <v>2151</v>
      </c>
      <c r="G1135" s="103">
        <v>100</v>
      </c>
      <c r="H1135" s="103" t="s">
        <v>2168</v>
      </c>
      <c r="I1135" s="103" t="s">
        <v>2153</v>
      </c>
      <c r="L1135" s="103">
        <v>50</v>
      </c>
      <c r="M1135" s="103">
        <v>50</v>
      </c>
      <c r="N1135" s="103" t="s">
        <v>2154</v>
      </c>
      <c r="O1135" s="103">
        <v>100</v>
      </c>
      <c r="P1135" s="103" t="s">
        <v>811</v>
      </c>
      <c r="Q1135" s="103" t="s">
        <v>1393</v>
      </c>
      <c r="R1135" s="103" t="s">
        <v>2220</v>
      </c>
      <c r="S1135" s="103" t="s">
        <v>2422</v>
      </c>
      <c r="U1135" s="103">
        <v>51.3</v>
      </c>
      <c r="V1135" s="103" t="s">
        <v>2158</v>
      </c>
      <c r="W1135" s="103" t="s">
        <v>108</v>
      </c>
      <c r="X1135" s="103" t="s">
        <v>1597</v>
      </c>
      <c r="Y1135" s="103" t="s">
        <v>1685</v>
      </c>
      <c r="AA1135" s="103" t="s">
        <v>2220</v>
      </c>
      <c r="AB1135" s="103" t="s">
        <v>71</v>
      </c>
      <c r="AE1135" s="103" t="s">
        <v>810</v>
      </c>
      <c r="AF1135" s="103" t="b">
        <v>1</v>
      </c>
    </row>
    <row r="1136" spans="1:32" hidden="1" x14ac:dyDescent="0.2">
      <c r="A1136" s="103" t="s">
        <v>979</v>
      </c>
      <c r="B1136" s="103" t="s">
        <v>978</v>
      </c>
      <c r="C1136" s="103" t="s">
        <v>3231</v>
      </c>
      <c r="E1136" s="103" t="s">
        <v>2299</v>
      </c>
      <c r="F1136" s="103" t="s">
        <v>2151</v>
      </c>
      <c r="G1136" s="103">
        <v>100</v>
      </c>
      <c r="H1136" s="103" t="s">
        <v>2168</v>
      </c>
      <c r="I1136" s="103" t="s">
        <v>2153</v>
      </c>
      <c r="J1136" s="103">
        <v>25</v>
      </c>
      <c r="K1136" s="103">
        <v>25</v>
      </c>
      <c r="L1136" s="103">
        <v>25</v>
      </c>
      <c r="M1136" s="103">
        <v>25</v>
      </c>
      <c r="N1136" s="103" t="s">
        <v>2163</v>
      </c>
      <c r="O1136" s="103">
        <v>100</v>
      </c>
      <c r="P1136" s="103" t="s">
        <v>811</v>
      </c>
      <c r="Q1136" s="103" t="s">
        <v>1393</v>
      </c>
      <c r="R1136" s="103" t="s">
        <v>2220</v>
      </c>
      <c r="S1136" s="103" t="s">
        <v>2422</v>
      </c>
      <c r="U1136" s="103">
        <v>51.3</v>
      </c>
      <c r="V1136" s="103" t="s">
        <v>2158</v>
      </c>
      <c r="W1136" s="103" t="s">
        <v>108</v>
      </c>
      <c r="X1136" s="103" t="s">
        <v>1597</v>
      </c>
      <c r="Y1136" s="103" t="s">
        <v>1685</v>
      </c>
      <c r="AA1136" s="103" t="s">
        <v>2220</v>
      </c>
      <c r="AB1136" s="103" t="s">
        <v>71</v>
      </c>
      <c r="AE1136" s="103" t="s">
        <v>810</v>
      </c>
      <c r="AF1136" s="103" t="b">
        <v>1</v>
      </c>
    </row>
    <row r="1137" spans="1:32" hidden="1" x14ac:dyDescent="0.2">
      <c r="A1137" s="103" t="s">
        <v>357</v>
      </c>
      <c r="B1137" s="103" t="s">
        <v>356</v>
      </c>
      <c r="C1137" s="103" t="s">
        <v>3077</v>
      </c>
      <c r="E1137" s="103" t="s">
        <v>2338</v>
      </c>
      <c r="F1137" s="103" t="s">
        <v>2162</v>
      </c>
      <c r="G1137" s="103">
        <v>50</v>
      </c>
      <c r="H1137" s="103" t="s">
        <v>2168</v>
      </c>
      <c r="I1137" s="103" t="s">
        <v>2153</v>
      </c>
      <c r="L1137" s="103">
        <v>50</v>
      </c>
      <c r="N1137" s="103" t="s">
        <v>2273</v>
      </c>
      <c r="O1137" s="103">
        <v>50</v>
      </c>
      <c r="P1137" s="103" t="s">
        <v>811</v>
      </c>
      <c r="Q1137" s="103" t="s">
        <v>2155</v>
      </c>
      <c r="R1137" s="103" t="s">
        <v>2220</v>
      </c>
      <c r="S1137" s="103" t="s">
        <v>2251</v>
      </c>
      <c r="U1137" s="103">
        <v>25.65</v>
      </c>
      <c r="V1137" s="103" t="s">
        <v>2262</v>
      </c>
      <c r="W1137" s="103" t="s">
        <v>108</v>
      </c>
      <c r="X1137" s="103" t="s">
        <v>1597</v>
      </c>
      <c r="Y1137" s="103" t="s">
        <v>1685</v>
      </c>
      <c r="AA1137" s="103" t="s">
        <v>2220</v>
      </c>
      <c r="AB1137" s="103" t="s">
        <v>71</v>
      </c>
      <c r="AE1137" s="103" t="s">
        <v>810</v>
      </c>
      <c r="AF1137" s="103" t="b">
        <v>1</v>
      </c>
    </row>
    <row r="1138" spans="1:32" hidden="1" x14ac:dyDescent="0.2">
      <c r="A1138" s="103" t="s">
        <v>995</v>
      </c>
      <c r="B1138" s="103" t="s">
        <v>994</v>
      </c>
      <c r="C1138" s="103" t="s">
        <v>3233</v>
      </c>
      <c r="E1138" s="103" t="s">
        <v>2299</v>
      </c>
      <c r="F1138" s="103" t="s">
        <v>2162</v>
      </c>
      <c r="G1138" s="103">
        <v>50</v>
      </c>
      <c r="H1138" s="103" t="s">
        <v>2168</v>
      </c>
      <c r="I1138" s="103" t="s">
        <v>2153</v>
      </c>
      <c r="J1138" s="103">
        <v>50</v>
      </c>
      <c r="N1138" s="103" t="s">
        <v>2163</v>
      </c>
      <c r="O1138" s="103">
        <v>50</v>
      </c>
      <c r="P1138" s="103" t="s">
        <v>811</v>
      </c>
      <c r="Q1138" s="103" t="s">
        <v>2236</v>
      </c>
      <c r="R1138" s="103" t="s">
        <v>2220</v>
      </c>
      <c r="S1138" s="103" t="s">
        <v>2422</v>
      </c>
      <c r="U1138" s="103">
        <v>25.65</v>
      </c>
      <c r="V1138" s="103" t="s">
        <v>2158</v>
      </c>
      <c r="W1138" s="103" t="s">
        <v>108</v>
      </c>
      <c r="X1138" s="103" t="s">
        <v>1736</v>
      </c>
      <c r="Y1138" s="103" t="s">
        <v>3848</v>
      </c>
      <c r="AA1138" s="103" t="s">
        <v>2220</v>
      </c>
      <c r="AB1138" s="103" t="s">
        <v>71</v>
      </c>
      <c r="AE1138" s="103" t="s">
        <v>810</v>
      </c>
      <c r="AF1138" s="103" t="b">
        <v>1</v>
      </c>
    </row>
    <row r="1139" spans="1:32" hidden="1" x14ac:dyDescent="0.2">
      <c r="A1139" s="103" t="s">
        <v>2044</v>
      </c>
      <c r="B1139" s="103" t="s">
        <v>1007</v>
      </c>
      <c r="C1139" s="103" t="s">
        <v>3234</v>
      </c>
      <c r="E1139" s="103" t="s">
        <v>2256</v>
      </c>
      <c r="F1139" s="103" t="s">
        <v>2151</v>
      </c>
      <c r="G1139" s="103">
        <v>100</v>
      </c>
      <c r="H1139" s="103" t="s">
        <v>2168</v>
      </c>
      <c r="I1139" s="103" t="s">
        <v>2153</v>
      </c>
      <c r="J1139" s="103">
        <v>25</v>
      </c>
      <c r="K1139" s="103">
        <v>25</v>
      </c>
      <c r="L1139" s="103">
        <v>25</v>
      </c>
      <c r="M1139" s="103">
        <v>25</v>
      </c>
      <c r="N1139" s="103" t="s">
        <v>2163</v>
      </c>
      <c r="O1139" s="103">
        <v>100</v>
      </c>
      <c r="P1139" s="103" t="s">
        <v>880</v>
      </c>
      <c r="Q1139" s="103" t="s">
        <v>2236</v>
      </c>
      <c r="R1139" s="103" t="s">
        <v>2220</v>
      </c>
      <c r="S1139" s="103" t="s">
        <v>2422</v>
      </c>
      <c r="U1139" s="103">
        <v>51.3</v>
      </c>
      <c r="V1139" s="103" t="s">
        <v>2158</v>
      </c>
      <c r="W1139" s="103" t="s">
        <v>108</v>
      </c>
      <c r="X1139" s="103" t="s">
        <v>1736</v>
      </c>
      <c r="Y1139" s="103" t="s">
        <v>3848</v>
      </c>
      <c r="AA1139" s="103" t="s">
        <v>2220</v>
      </c>
      <c r="AB1139" s="103" t="s">
        <v>71</v>
      </c>
      <c r="AE1139" s="103" t="s">
        <v>810</v>
      </c>
      <c r="AF1139" s="103" t="b">
        <v>1</v>
      </c>
    </row>
    <row r="1140" spans="1:32" hidden="1" x14ac:dyDescent="0.2">
      <c r="A1140" s="103" t="s">
        <v>1022</v>
      </c>
      <c r="B1140" s="103" t="s">
        <v>1021</v>
      </c>
      <c r="C1140" s="103" t="s">
        <v>2918</v>
      </c>
      <c r="D1140" s="103" t="s">
        <v>3235</v>
      </c>
      <c r="E1140" s="103" t="s">
        <v>2350</v>
      </c>
      <c r="F1140" s="103" t="s">
        <v>2151</v>
      </c>
      <c r="G1140" s="103">
        <v>150</v>
      </c>
      <c r="H1140" s="103" t="s">
        <v>2152</v>
      </c>
      <c r="I1140" s="103" t="s">
        <v>2153</v>
      </c>
      <c r="J1140" s="103">
        <v>25</v>
      </c>
      <c r="K1140" s="103">
        <v>25</v>
      </c>
      <c r="L1140" s="103">
        <v>50</v>
      </c>
      <c r="M1140" s="103">
        <v>50</v>
      </c>
      <c r="N1140" s="103" t="s">
        <v>2163</v>
      </c>
      <c r="O1140" s="103">
        <v>150</v>
      </c>
      <c r="P1140" s="103" t="s">
        <v>820</v>
      </c>
      <c r="Q1140" s="103" t="s">
        <v>2155</v>
      </c>
      <c r="R1140" s="103" t="s">
        <v>2220</v>
      </c>
      <c r="S1140" s="103" t="s">
        <v>2422</v>
      </c>
      <c r="U1140" s="103">
        <v>76.95</v>
      </c>
      <c r="V1140" s="103" t="s">
        <v>2158</v>
      </c>
      <c r="W1140" s="103" t="s">
        <v>108</v>
      </c>
      <c r="X1140" s="103">
        <v>0</v>
      </c>
      <c r="Y1140" s="103" t="s">
        <v>1685</v>
      </c>
      <c r="AA1140" s="103" t="s">
        <v>2220</v>
      </c>
      <c r="AB1140" s="103" t="s">
        <v>71</v>
      </c>
      <c r="AE1140" s="103" t="s">
        <v>810</v>
      </c>
      <c r="AF1140" s="103" t="b">
        <v>1</v>
      </c>
    </row>
    <row r="1141" spans="1:32" hidden="1" x14ac:dyDescent="0.2">
      <c r="A1141" s="103" t="s">
        <v>1022</v>
      </c>
      <c r="B1141" s="103" t="s">
        <v>1021</v>
      </c>
      <c r="C1141" s="103" t="s">
        <v>2918</v>
      </c>
      <c r="D1141" s="103" t="s">
        <v>3236</v>
      </c>
      <c r="E1141" s="103" t="s">
        <v>2350</v>
      </c>
      <c r="F1141" s="103" t="s">
        <v>2175</v>
      </c>
      <c r="G1141" s="103">
        <v>20</v>
      </c>
      <c r="H1141" s="103" t="s">
        <v>2168</v>
      </c>
      <c r="I1141" s="103" t="s">
        <v>2153</v>
      </c>
      <c r="K1141" s="103">
        <v>10</v>
      </c>
      <c r="L1141" s="103">
        <v>10</v>
      </c>
      <c r="N1141" s="103" t="s">
        <v>2154</v>
      </c>
      <c r="O1141" s="103">
        <v>20</v>
      </c>
      <c r="P1141" s="103" t="s">
        <v>820</v>
      </c>
      <c r="Q1141" s="103" t="s">
        <v>2155</v>
      </c>
      <c r="R1141" s="103" t="s">
        <v>2220</v>
      </c>
      <c r="S1141" s="103" t="s">
        <v>2422</v>
      </c>
      <c r="U1141" s="103">
        <v>10.26</v>
      </c>
      <c r="V1141" s="103" t="s">
        <v>2158</v>
      </c>
      <c r="W1141" s="103" t="s">
        <v>108</v>
      </c>
      <c r="X1141" s="103">
        <v>0</v>
      </c>
      <c r="Y1141" s="103" t="s">
        <v>1685</v>
      </c>
      <c r="AA1141" s="103" t="s">
        <v>2220</v>
      </c>
      <c r="AB1141" s="103" t="s">
        <v>71</v>
      </c>
      <c r="AE1141" s="103" t="s">
        <v>810</v>
      </c>
      <c r="AF1141" s="103" t="b">
        <v>1</v>
      </c>
    </row>
    <row r="1142" spans="1:32" hidden="1" x14ac:dyDescent="0.2">
      <c r="A1142" s="103" t="s">
        <v>3846</v>
      </c>
      <c r="B1142" s="103" t="s">
        <v>818</v>
      </c>
      <c r="C1142" s="103" t="s">
        <v>3237</v>
      </c>
      <c r="E1142" s="103" t="s">
        <v>2302</v>
      </c>
      <c r="F1142" s="103" t="s">
        <v>2226</v>
      </c>
      <c r="G1142" s="103">
        <v>400</v>
      </c>
      <c r="H1142" s="103" t="s">
        <v>2168</v>
      </c>
      <c r="I1142" s="103" t="s">
        <v>2153</v>
      </c>
      <c r="J1142" s="103">
        <v>100</v>
      </c>
      <c r="K1142" s="103">
        <v>100</v>
      </c>
      <c r="L1142" s="103">
        <v>100</v>
      </c>
      <c r="M1142" s="103">
        <v>100</v>
      </c>
      <c r="N1142" s="103" t="s">
        <v>2260</v>
      </c>
      <c r="O1142" s="103">
        <v>400</v>
      </c>
      <c r="P1142" s="103" t="s">
        <v>820</v>
      </c>
      <c r="Q1142" s="103" t="s">
        <v>2296</v>
      </c>
      <c r="R1142" s="103" t="s">
        <v>2220</v>
      </c>
      <c r="U1142" s="103">
        <v>205.2</v>
      </c>
      <c r="V1142" s="103" t="s">
        <v>2262</v>
      </c>
      <c r="W1142" s="103" t="s">
        <v>108</v>
      </c>
      <c r="X1142" s="103">
        <v>0</v>
      </c>
      <c r="Y1142" s="103" t="s">
        <v>1685</v>
      </c>
      <c r="AA1142" s="103" t="s">
        <v>2220</v>
      </c>
      <c r="AB1142" s="103" t="s">
        <v>71</v>
      </c>
      <c r="AE1142" s="103" t="s">
        <v>810</v>
      </c>
      <c r="AF1142" s="103" t="b">
        <v>1</v>
      </c>
    </row>
    <row r="1143" spans="1:32" hidden="1" x14ac:dyDescent="0.2">
      <c r="A1143" s="103" t="s">
        <v>3846</v>
      </c>
      <c r="B1143" s="103" t="s">
        <v>818</v>
      </c>
      <c r="C1143" s="103" t="s">
        <v>3238</v>
      </c>
      <c r="D1143" s="103" t="s">
        <v>3239</v>
      </c>
      <c r="E1143" s="103" t="s">
        <v>2302</v>
      </c>
      <c r="F1143" s="103" t="s">
        <v>2202</v>
      </c>
      <c r="G1143" s="103">
        <v>200</v>
      </c>
      <c r="H1143" s="103" t="s">
        <v>2168</v>
      </c>
      <c r="I1143" s="103" t="s">
        <v>2153</v>
      </c>
      <c r="J1143" s="103">
        <v>50</v>
      </c>
      <c r="K1143" s="103">
        <v>50</v>
      </c>
      <c r="L1143" s="103">
        <v>50</v>
      </c>
      <c r="M1143" s="103">
        <v>50</v>
      </c>
      <c r="N1143" s="103" t="s">
        <v>2273</v>
      </c>
      <c r="O1143" s="103">
        <v>200</v>
      </c>
      <c r="P1143" s="103" t="s">
        <v>820</v>
      </c>
      <c r="Q1143" s="103" t="s">
        <v>2155</v>
      </c>
      <c r="R1143" s="103" t="s">
        <v>2220</v>
      </c>
      <c r="T1143" s="103" t="s">
        <v>3240</v>
      </c>
      <c r="U1143" s="103">
        <v>102.6</v>
      </c>
      <c r="V1143" s="103" t="s">
        <v>2262</v>
      </c>
      <c r="W1143" s="103" t="s">
        <v>108</v>
      </c>
      <c r="X1143" s="103">
        <v>0</v>
      </c>
      <c r="Y1143" s="103" t="s">
        <v>1685</v>
      </c>
      <c r="AA1143" s="103" t="s">
        <v>2220</v>
      </c>
      <c r="AB1143" s="103" t="s">
        <v>71</v>
      </c>
      <c r="AE1143" s="103" t="s">
        <v>810</v>
      </c>
      <c r="AF1143" s="103" t="b">
        <v>1</v>
      </c>
    </row>
    <row r="1144" spans="1:32" hidden="1" x14ac:dyDescent="0.2">
      <c r="A1144" s="103" t="s">
        <v>3846</v>
      </c>
      <c r="B1144" s="103" t="s">
        <v>818</v>
      </c>
      <c r="C1144" s="103" t="s">
        <v>3241</v>
      </c>
      <c r="D1144" s="103" t="s">
        <v>3242</v>
      </c>
      <c r="E1144" s="103" t="s">
        <v>2302</v>
      </c>
      <c r="F1144" s="103" t="s">
        <v>2151</v>
      </c>
      <c r="G1144" s="103">
        <v>100</v>
      </c>
      <c r="H1144" s="103" t="s">
        <v>2168</v>
      </c>
      <c r="I1144" s="103" t="s">
        <v>2153</v>
      </c>
      <c r="J1144" s="103">
        <v>25</v>
      </c>
      <c r="K1144" s="103">
        <v>25</v>
      </c>
      <c r="L1144" s="103">
        <v>25</v>
      </c>
      <c r="M1144" s="103">
        <v>25</v>
      </c>
      <c r="N1144" s="103" t="s">
        <v>2260</v>
      </c>
      <c r="O1144" s="103">
        <v>100</v>
      </c>
      <c r="P1144" s="103" t="s">
        <v>820</v>
      </c>
      <c r="Q1144" s="103" t="s">
        <v>2155</v>
      </c>
      <c r="R1144" s="103" t="s">
        <v>2220</v>
      </c>
      <c r="U1144" s="103">
        <v>51.3</v>
      </c>
      <c r="V1144" s="103" t="s">
        <v>2262</v>
      </c>
      <c r="W1144" s="103" t="s">
        <v>108</v>
      </c>
      <c r="X1144" s="103">
        <v>0</v>
      </c>
      <c r="Y1144" s="103" t="s">
        <v>1685</v>
      </c>
      <c r="AA1144" s="103" t="s">
        <v>2220</v>
      </c>
      <c r="AB1144" s="103" t="s">
        <v>71</v>
      </c>
      <c r="AE1144" s="103" t="s">
        <v>810</v>
      </c>
      <c r="AF1144" s="103" t="b">
        <v>1</v>
      </c>
    </row>
    <row r="1145" spans="1:32" hidden="1" x14ac:dyDescent="0.2">
      <c r="A1145" s="103" t="s">
        <v>3846</v>
      </c>
      <c r="B1145" s="103" t="s">
        <v>818</v>
      </c>
      <c r="C1145" s="103" t="s">
        <v>3243</v>
      </c>
      <c r="E1145" s="103" t="s">
        <v>2302</v>
      </c>
      <c r="F1145" s="103" t="s">
        <v>2151</v>
      </c>
      <c r="G1145" s="103">
        <v>100</v>
      </c>
      <c r="H1145" s="103" t="s">
        <v>2168</v>
      </c>
      <c r="I1145" s="103" t="s">
        <v>2153</v>
      </c>
      <c r="J1145" s="103">
        <v>25</v>
      </c>
      <c r="K1145" s="103">
        <v>25</v>
      </c>
      <c r="L1145" s="103">
        <v>25</v>
      </c>
      <c r="M1145" s="103">
        <v>25</v>
      </c>
      <c r="N1145" s="103" t="s">
        <v>2260</v>
      </c>
      <c r="O1145" s="103">
        <v>100</v>
      </c>
      <c r="P1145" s="103" t="s">
        <v>820</v>
      </c>
      <c r="Q1145" s="103" t="s">
        <v>2155</v>
      </c>
      <c r="R1145" s="103" t="s">
        <v>2220</v>
      </c>
      <c r="T1145" s="103" t="s">
        <v>3244</v>
      </c>
      <c r="U1145" s="103">
        <v>51.3</v>
      </c>
      <c r="V1145" s="103" t="s">
        <v>2262</v>
      </c>
      <c r="W1145" s="103" t="s">
        <v>108</v>
      </c>
      <c r="X1145" s="103">
        <v>0</v>
      </c>
      <c r="Y1145" s="103" t="s">
        <v>1685</v>
      </c>
      <c r="AA1145" s="103" t="s">
        <v>2220</v>
      </c>
      <c r="AB1145" s="103" t="s">
        <v>71</v>
      </c>
      <c r="AE1145" s="103" t="s">
        <v>810</v>
      </c>
      <c r="AF1145" s="103" t="b">
        <v>1</v>
      </c>
    </row>
    <row r="1146" spans="1:32" hidden="1" x14ac:dyDescent="0.2">
      <c r="A1146" s="103" t="s">
        <v>3846</v>
      </c>
      <c r="B1146" s="103" t="s">
        <v>818</v>
      </c>
      <c r="C1146" s="103" t="s">
        <v>2300</v>
      </c>
      <c r="D1146" s="103" t="s">
        <v>3245</v>
      </c>
      <c r="E1146" s="103" t="s">
        <v>2302</v>
      </c>
      <c r="F1146" s="103" t="s">
        <v>2162</v>
      </c>
      <c r="G1146" s="103">
        <v>50</v>
      </c>
      <c r="H1146" s="103" t="s">
        <v>2168</v>
      </c>
      <c r="I1146" s="103" t="s">
        <v>2153</v>
      </c>
      <c r="K1146" s="103">
        <v>20</v>
      </c>
      <c r="L1146" s="103">
        <v>10</v>
      </c>
      <c r="M1146" s="103">
        <v>20</v>
      </c>
      <c r="N1146" s="103" t="s">
        <v>2260</v>
      </c>
      <c r="O1146" s="103">
        <v>50</v>
      </c>
      <c r="P1146" s="103" t="s">
        <v>820</v>
      </c>
      <c r="Q1146" s="103" t="s">
        <v>2155</v>
      </c>
      <c r="R1146" s="103" t="s">
        <v>2220</v>
      </c>
      <c r="U1146" s="103">
        <v>25.65</v>
      </c>
      <c r="V1146" s="103" t="s">
        <v>2262</v>
      </c>
      <c r="W1146" s="103" t="s">
        <v>108</v>
      </c>
      <c r="X1146" s="103">
        <v>0</v>
      </c>
      <c r="Y1146" s="103" t="s">
        <v>1685</v>
      </c>
      <c r="AA1146" s="103" t="s">
        <v>2220</v>
      </c>
      <c r="AB1146" s="103" t="s">
        <v>71</v>
      </c>
      <c r="AE1146" s="103" t="s">
        <v>810</v>
      </c>
      <c r="AF1146" s="103" t="b">
        <v>1</v>
      </c>
    </row>
    <row r="1147" spans="1:32" hidden="1" x14ac:dyDescent="0.2">
      <c r="A1147" s="103" t="s">
        <v>882</v>
      </c>
      <c r="B1147" s="103" t="s">
        <v>881</v>
      </c>
      <c r="C1147" s="103" t="s">
        <v>3246</v>
      </c>
      <c r="D1147" s="103" t="s">
        <v>3247</v>
      </c>
      <c r="E1147" s="103" t="s">
        <v>2311</v>
      </c>
      <c r="F1147" s="103" t="s">
        <v>2202</v>
      </c>
      <c r="G1147" s="103">
        <v>200</v>
      </c>
      <c r="H1147" s="103" t="s">
        <v>2168</v>
      </c>
      <c r="I1147" s="103" t="s">
        <v>2153</v>
      </c>
      <c r="J1147" s="103">
        <v>50</v>
      </c>
      <c r="K1147" s="103">
        <v>50</v>
      </c>
      <c r="L1147" s="103">
        <v>50</v>
      </c>
      <c r="M1147" s="103">
        <v>50</v>
      </c>
      <c r="N1147" s="103" t="s">
        <v>2260</v>
      </c>
      <c r="O1147" s="103">
        <v>200</v>
      </c>
      <c r="P1147" s="103" t="s">
        <v>820</v>
      </c>
      <c r="Q1147" s="103" t="s">
        <v>2155</v>
      </c>
      <c r="R1147" s="103" t="s">
        <v>2220</v>
      </c>
      <c r="U1147" s="103">
        <v>102.6</v>
      </c>
      <c r="V1147" s="103" t="s">
        <v>2262</v>
      </c>
      <c r="W1147" s="103" t="s">
        <v>108</v>
      </c>
      <c r="X1147" s="103">
        <v>0</v>
      </c>
      <c r="Y1147" s="103" t="s">
        <v>1685</v>
      </c>
      <c r="AA1147" s="103" t="s">
        <v>2220</v>
      </c>
      <c r="AB1147" s="103" t="s">
        <v>71</v>
      </c>
      <c r="AE1147" s="103" t="s">
        <v>810</v>
      </c>
      <c r="AF1147" s="103" t="b">
        <v>1</v>
      </c>
    </row>
    <row r="1148" spans="1:32" hidden="1" x14ac:dyDescent="0.2">
      <c r="A1148" s="103" t="s">
        <v>1012</v>
      </c>
      <c r="B1148" s="103" t="s">
        <v>1011</v>
      </c>
      <c r="C1148" s="103" t="s">
        <v>3248</v>
      </c>
      <c r="D1148" s="103" t="s">
        <v>3249</v>
      </c>
      <c r="E1148" s="103" t="s">
        <v>2434</v>
      </c>
      <c r="F1148" s="103" t="s">
        <v>2151</v>
      </c>
      <c r="G1148" s="103">
        <v>100</v>
      </c>
      <c r="H1148" s="103" t="s">
        <v>2168</v>
      </c>
      <c r="I1148" s="103" t="s">
        <v>2153</v>
      </c>
      <c r="J1148" s="103">
        <v>50</v>
      </c>
      <c r="K1148" s="103">
        <v>50</v>
      </c>
      <c r="N1148" s="103" t="s">
        <v>2163</v>
      </c>
      <c r="O1148" s="103">
        <v>100</v>
      </c>
      <c r="P1148" s="103" t="s">
        <v>774</v>
      </c>
      <c r="Q1148" s="103" t="s">
        <v>2155</v>
      </c>
      <c r="R1148" s="103" t="s">
        <v>2156</v>
      </c>
      <c r="S1148" s="103" t="s">
        <v>2188</v>
      </c>
      <c r="U1148" s="103">
        <v>51.3</v>
      </c>
      <c r="V1148" s="103" t="s">
        <v>2158</v>
      </c>
      <c r="W1148" s="103" t="s">
        <v>114</v>
      </c>
      <c r="X1148" s="103" t="s">
        <v>1597</v>
      </c>
      <c r="Y1148" s="103" t="s">
        <v>1685</v>
      </c>
      <c r="AA1148" s="103" t="s">
        <v>2156</v>
      </c>
      <c r="AB1148" s="103" t="s">
        <v>68</v>
      </c>
      <c r="AC1148" s="103" t="s">
        <v>2159</v>
      </c>
      <c r="AD1148" s="103" t="s">
        <v>2465</v>
      </c>
      <c r="AE1148" s="103" t="s">
        <v>766</v>
      </c>
      <c r="AF1148" s="103" t="b">
        <v>1</v>
      </c>
    </row>
    <row r="1149" spans="1:32" hidden="1" x14ac:dyDescent="0.2">
      <c r="A1149" s="103" t="s">
        <v>1014</v>
      </c>
      <c r="B1149" s="103" t="s">
        <v>1013</v>
      </c>
      <c r="C1149" s="103" t="s">
        <v>3250</v>
      </c>
      <c r="D1149" s="103" t="s">
        <v>3251</v>
      </c>
      <c r="E1149" s="103" t="s">
        <v>2759</v>
      </c>
      <c r="F1149" s="103" t="s">
        <v>2151</v>
      </c>
      <c r="G1149" s="103">
        <v>150</v>
      </c>
      <c r="H1149" s="103" t="s">
        <v>2168</v>
      </c>
      <c r="I1149" s="103" t="s">
        <v>2153</v>
      </c>
      <c r="J1149" s="103">
        <v>100</v>
      </c>
      <c r="K1149" s="103">
        <v>50</v>
      </c>
      <c r="N1149" s="103" t="s">
        <v>2163</v>
      </c>
      <c r="O1149" s="103">
        <v>150</v>
      </c>
      <c r="P1149" s="103" t="s">
        <v>774</v>
      </c>
      <c r="Q1149" s="103" t="s">
        <v>2155</v>
      </c>
      <c r="R1149" s="103" t="s">
        <v>121</v>
      </c>
      <c r="S1149" s="103" t="s">
        <v>2188</v>
      </c>
      <c r="U1149" s="103">
        <v>76.95</v>
      </c>
      <c r="V1149" s="103" t="s">
        <v>2158</v>
      </c>
      <c r="W1149" s="103" t="s">
        <v>121</v>
      </c>
      <c r="X1149" s="103" t="s">
        <v>1597</v>
      </c>
      <c r="Y1149" s="103" t="s">
        <v>1685</v>
      </c>
      <c r="AA1149" s="103" t="s">
        <v>121</v>
      </c>
      <c r="AB1149" s="103" t="s">
        <v>68</v>
      </c>
      <c r="AC1149" s="103" t="s">
        <v>2159</v>
      </c>
      <c r="AD1149" s="103" t="s">
        <v>2465</v>
      </c>
      <c r="AE1149" s="103" t="s">
        <v>766</v>
      </c>
      <c r="AF1149" s="103" t="b">
        <v>1</v>
      </c>
    </row>
    <row r="1150" spans="1:32" hidden="1" x14ac:dyDescent="0.2">
      <c r="A1150" s="103" t="s">
        <v>1016</v>
      </c>
      <c r="B1150" s="103" t="s">
        <v>1015</v>
      </c>
      <c r="C1150" s="103" t="s">
        <v>3252</v>
      </c>
      <c r="D1150" s="103" t="s">
        <v>3253</v>
      </c>
      <c r="E1150" s="103" t="s">
        <v>2171</v>
      </c>
      <c r="F1150" s="103" t="s">
        <v>2162</v>
      </c>
      <c r="G1150" s="103">
        <v>70</v>
      </c>
      <c r="H1150" s="103" t="s">
        <v>2168</v>
      </c>
      <c r="I1150" s="103" t="s">
        <v>2153</v>
      </c>
      <c r="J1150" s="103">
        <v>50</v>
      </c>
      <c r="K1150" s="103">
        <v>20</v>
      </c>
      <c r="N1150" s="103" t="s">
        <v>2163</v>
      </c>
      <c r="O1150" s="103">
        <v>70</v>
      </c>
      <c r="P1150" s="103" t="s">
        <v>774</v>
      </c>
      <c r="Q1150" s="103" t="s">
        <v>2155</v>
      </c>
      <c r="R1150" s="103" t="s">
        <v>2156</v>
      </c>
      <c r="S1150" s="103" t="s">
        <v>2396</v>
      </c>
      <c r="U1150" s="103">
        <v>35.909999999999997</v>
      </c>
      <c r="V1150" s="103" t="s">
        <v>2158</v>
      </c>
      <c r="W1150" s="103" t="s">
        <v>114</v>
      </c>
      <c r="X1150" s="103" t="s">
        <v>1597</v>
      </c>
      <c r="Y1150" s="103" t="s">
        <v>1685</v>
      </c>
      <c r="AA1150" s="103" t="s">
        <v>2156</v>
      </c>
      <c r="AB1150" s="103" t="s">
        <v>68</v>
      </c>
      <c r="AC1150" s="103" t="s">
        <v>2159</v>
      </c>
      <c r="AD1150" s="103" t="s">
        <v>2465</v>
      </c>
      <c r="AE1150" s="103" t="s">
        <v>766</v>
      </c>
      <c r="AF1150" s="103" t="b">
        <v>1</v>
      </c>
    </row>
    <row r="1151" spans="1:32" hidden="1" x14ac:dyDescent="0.2">
      <c r="A1151" s="103" t="s">
        <v>882</v>
      </c>
      <c r="B1151" s="103" t="s">
        <v>881</v>
      </c>
      <c r="C1151" s="103" t="s">
        <v>3254</v>
      </c>
      <c r="D1151" s="103" t="s">
        <v>3255</v>
      </c>
      <c r="E1151" s="103" t="s">
        <v>2311</v>
      </c>
      <c r="F1151" s="103" t="s">
        <v>2162</v>
      </c>
      <c r="G1151" s="103">
        <v>50</v>
      </c>
      <c r="H1151" s="103" t="s">
        <v>2168</v>
      </c>
      <c r="I1151" s="103" t="s">
        <v>2153</v>
      </c>
      <c r="J1151" s="103">
        <v>50</v>
      </c>
      <c r="N1151" s="103" t="s">
        <v>2260</v>
      </c>
      <c r="O1151" s="103">
        <v>50</v>
      </c>
      <c r="P1151" s="103" t="s">
        <v>820</v>
      </c>
      <c r="Q1151" s="103" t="s">
        <v>2155</v>
      </c>
      <c r="R1151" s="103" t="s">
        <v>2220</v>
      </c>
      <c r="T1151" s="103" t="s">
        <v>3256</v>
      </c>
      <c r="U1151" s="103">
        <v>25.65</v>
      </c>
      <c r="V1151" s="103" t="s">
        <v>2262</v>
      </c>
      <c r="W1151" s="103" t="s">
        <v>108</v>
      </c>
      <c r="X1151" s="103">
        <v>0</v>
      </c>
      <c r="Y1151" s="103" t="s">
        <v>1685</v>
      </c>
      <c r="AA1151" s="103" t="s">
        <v>2220</v>
      </c>
      <c r="AB1151" s="103" t="s">
        <v>71</v>
      </c>
      <c r="AE1151" s="103" t="s">
        <v>810</v>
      </c>
      <c r="AF1151" s="103" t="b">
        <v>1</v>
      </c>
    </row>
    <row r="1152" spans="1:32" hidden="1" x14ac:dyDescent="0.2">
      <c r="A1152" s="103" t="s">
        <v>882</v>
      </c>
      <c r="B1152" s="103" t="s">
        <v>881</v>
      </c>
      <c r="C1152" s="103" t="s">
        <v>3257</v>
      </c>
      <c r="D1152" s="103" t="s">
        <v>3258</v>
      </c>
      <c r="E1152" s="103" t="s">
        <v>2311</v>
      </c>
      <c r="F1152" s="103" t="s">
        <v>2162</v>
      </c>
      <c r="G1152" s="103">
        <v>50</v>
      </c>
      <c r="H1152" s="103" t="s">
        <v>2168</v>
      </c>
      <c r="I1152" s="103" t="s">
        <v>2153</v>
      </c>
      <c r="J1152" s="103">
        <v>50</v>
      </c>
      <c r="N1152" s="103" t="s">
        <v>2260</v>
      </c>
      <c r="O1152" s="103">
        <v>50</v>
      </c>
      <c r="P1152" s="103" t="s">
        <v>820</v>
      </c>
      <c r="Q1152" s="103" t="s">
        <v>2155</v>
      </c>
      <c r="R1152" s="103" t="s">
        <v>2220</v>
      </c>
      <c r="T1152" s="103" t="s">
        <v>3259</v>
      </c>
      <c r="U1152" s="103">
        <v>25.65</v>
      </c>
      <c r="V1152" s="103" t="s">
        <v>2262</v>
      </c>
      <c r="W1152" s="103" t="s">
        <v>108</v>
      </c>
      <c r="X1152" s="103">
        <v>0</v>
      </c>
      <c r="Y1152" s="103" t="s">
        <v>1685</v>
      </c>
      <c r="AA1152" s="103" t="s">
        <v>2220</v>
      </c>
      <c r="AB1152" s="103" t="s">
        <v>71</v>
      </c>
      <c r="AE1152" s="103" t="s">
        <v>810</v>
      </c>
      <c r="AF1152" s="103" t="b">
        <v>1</v>
      </c>
    </row>
    <row r="1153" spans="1:32" hidden="1" x14ac:dyDescent="0.2">
      <c r="A1153" s="103" t="s">
        <v>882</v>
      </c>
      <c r="B1153" s="103" t="s">
        <v>881</v>
      </c>
      <c r="C1153" s="103" t="s">
        <v>3260</v>
      </c>
      <c r="D1153" s="103" t="s">
        <v>3261</v>
      </c>
      <c r="E1153" s="103" t="s">
        <v>2311</v>
      </c>
      <c r="F1153" s="103" t="s">
        <v>2175</v>
      </c>
      <c r="G1153" s="103">
        <v>20</v>
      </c>
      <c r="H1153" s="103" t="s">
        <v>2168</v>
      </c>
      <c r="I1153" s="103" t="s">
        <v>2153</v>
      </c>
      <c r="K1153" s="103">
        <v>10</v>
      </c>
      <c r="L1153" s="103">
        <v>10</v>
      </c>
      <c r="N1153" s="103" t="s">
        <v>2260</v>
      </c>
      <c r="O1153" s="103">
        <v>20</v>
      </c>
      <c r="P1153" s="103" t="s">
        <v>820</v>
      </c>
      <c r="Q1153" s="103" t="s">
        <v>2155</v>
      </c>
      <c r="R1153" s="103" t="s">
        <v>2220</v>
      </c>
      <c r="T1153" s="103" t="s">
        <v>3262</v>
      </c>
      <c r="U1153" s="103">
        <v>10.26</v>
      </c>
      <c r="V1153" s="103" t="s">
        <v>2262</v>
      </c>
      <c r="W1153" s="103" t="s">
        <v>108</v>
      </c>
      <c r="X1153" s="103">
        <v>0</v>
      </c>
      <c r="Y1153" s="103" t="s">
        <v>1685</v>
      </c>
      <c r="AA1153" s="103" t="s">
        <v>2220</v>
      </c>
      <c r="AB1153" s="103" t="s">
        <v>71</v>
      </c>
      <c r="AE1153" s="103" t="s">
        <v>810</v>
      </c>
      <c r="AF1153" s="103" t="b">
        <v>1</v>
      </c>
    </row>
    <row r="1154" spans="1:32" hidden="1" x14ac:dyDescent="0.2">
      <c r="A1154" s="103" t="s">
        <v>1034</v>
      </c>
      <c r="B1154" s="103" t="s">
        <v>1033</v>
      </c>
      <c r="C1154" s="103" t="s">
        <v>3263</v>
      </c>
      <c r="E1154" s="103" t="s">
        <v>2150</v>
      </c>
      <c r="F1154" s="103" t="s">
        <v>2151</v>
      </c>
      <c r="G1154" s="103">
        <v>145</v>
      </c>
      <c r="H1154" s="103" t="s">
        <v>2168</v>
      </c>
      <c r="I1154" s="103" t="s">
        <v>2153</v>
      </c>
      <c r="J1154" s="103">
        <v>100</v>
      </c>
      <c r="K1154" s="103">
        <v>45</v>
      </c>
      <c r="L1154" s="103">
        <v>0</v>
      </c>
      <c r="N1154" s="103" t="s">
        <v>2163</v>
      </c>
      <c r="O1154" s="103">
        <v>145</v>
      </c>
      <c r="P1154" s="103" t="s">
        <v>771</v>
      </c>
      <c r="Q1154" s="103" t="s">
        <v>2155</v>
      </c>
      <c r="R1154" s="103" t="s">
        <v>2156</v>
      </c>
      <c r="S1154" s="103" t="s">
        <v>2251</v>
      </c>
      <c r="U1154" s="103">
        <v>74.385000000000005</v>
      </c>
      <c r="V1154" s="103" t="s">
        <v>2158</v>
      </c>
      <c r="W1154" s="103" t="s">
        <v>114</v>
      </c>
      <c r="X1154" s="103" t="s">
        <v>1597</v>
      </c>
      <c r="Y1154" s="103" t="s">
        <v>1685</v>
      </c>
      <c r="AA1154" s="103" t="s">
        <v>2156</v>
      </c>
      <c r="AB1154" s="103" t="s">
        <v>68</v>
      </c>
      <c r="AC1154" s="103" t="s">
        <v>2159</v>
      </c>
      <c r="AD1154" s="103" t="s">
        <v>2203</v>
      </c>
      <c r="AE1154" s="103" t="s">
        <v>766</v>
      </c>
      <c r="AF1154" s="103" t="b">
        <v>1</v>
      </c>
    </row>
    <row r="1155" spans="1:32" hidden="1" x14ac:dyDescent="0.2">
      <c r="A1155" s="103" t="s">
        <v>1034</v>
      </c>
      <c r="B1155" s="103" t="s">
        <v>1033</v>
      </c>
      <c r="C1155" s="103" t="s">
        <v>3264</v>
      </c>
      <c r="E1155" s="103" t="s">
        <v>2150</v>
      </c>
      <c r="F1155" s="103" t="s">
        <v>2151</v>
      </c>
      <c r="G1155" s="103">
        <v>175</v>
      </c>
      <c r="H1155" s="103" t="s">
        <v>2168</v>
      </c>
      <c r="I1155" s="103" t="s">
        <v>2153</v>
      </c>
      <c r="L1155" s="103">
        <v>175</v>
      </c>
      <c r="N1155" s="103" t="s">
        <v>2163</v>
      </c>
      <c r="O1155" s="103">
        <v>175</v>
      </c>
      <c r="P1155" s="103" t="s">
        <v>771</v>
      </c>
      <c r="Q1155" s="103" t="s">
        <v>2155</v>
      </c>
      <c r="R1155" s="103" t="s">
        <v>2156</v>
      </c>
      <c r="S1155" s="103" t="s">
        <v>2251</v>
      </c>
      <c r="U1155" s="103">
        <v>89.775000000000006</v>
      </c>
      <c r="V1155" s="103" t="s">
        <v>2158</v>
      </c>
      <c r="W1155" s="103" t="s">
        <v>114</v>
      </c>
      <c r="X1155" s="103" t="s">
        <v>1597</v>
      </c>
      <c r="Y1155" s="103" t="s">
        <v>1685</v>
      </c>
      <c r="AA1155" s="103" t="s">
        <v>2156</v>
      </c>
      <c r="AB1155" s="103" t="s">
        <v>68</v>
      </c>
      <c r="AC1155" s="103" t="s">
        <v>2159</v>
      </c>
      <c r="AD1155" s="103" t="s">
        <v>2203</v>
      </c>
      <c r="AE1155" s="103" t="s">
        <v>766</v>
      </c>
      <c r="AF1155" s="103" t="b">
        <v>1</v>
      </c>
    </row>
    <row r="1156" spans="1:32" hidden="1" x14ac:dyDescent="0.2">
      <c r="A1156" s="103" t="s">
        <v>1034</v>
      </c>
      <c r="B1156" s="103" t="s">
        <v>1033</v>
      </c>
      <c r="C1156" s="103" t="s">
        <v>3265</v>
      </c>
      <c r="E1156" s="103" t="s">
        <v>2150</v>
      </c>
      <c r="F1156" s="103" t="s">
        <v>2151</v>
      </c>
      <c r="G1156" s="103">
        <v>180</v>
      </c>
      <c r="H1156" s="103" t="s">
        <v>2168</v>
      </c>
      <c r="I1156" s="103" t="s">
        <v>2153</v>
      </c>
      <c r="L1156" s="103">
        <v>180</v>
      </c>
      <c r="N1156" s="103" t="s">
        <v>2163</v>
      </c>
      <c r="O1156" s="103">
        <v>180</v>
      </c>
      <c r="P1156" s="103" t="s">
        <v>771</v>
      </c>
      <c r="Q1156" s="103" t="s">
        <v>2155</v>
      </c>
      <c r="R1156" s="103" t="s">
        <v>2156</v>
      </c>
      <c r="S1156" s="103" t="s">
        <v>2251</v>
      </c>
      <c r="U1156" s="103">
        <v>92.34</v>
      </c>
      <c r="V1156" s="103" t="s">
        <v>2158</v>
      </c>
      <c r="W1156" s="103" t="s">
        <v>114</v>
      </c>
      <c r="X1156" s="103" t="s">
        <v>1597</v>
      </c>
      <c r="Y1156" s="103" t="s">
        <v>1685</v>
      </c>
      <c r="AA1156" s="103" t="s">
        <v>2156</v>
      </c>
      <c r="AB1156" s="103" t="s">
        <v>68</v>
      </c>
      <c r="AC1156" s="103" t="s">
        <v>2159</v>
      </c>
      <c r="AD1156" s="103" t="s">
        <v>2203</v>
      </c>
      <c r="AE1156" s="103" t="s">
        <v>766</v>
      </c>
      <c r="AF1156" s="103" t="b">
        <v>1</v>
      </c>
    </row>
    <row r="1157" spans="1:32" hidden="1" x14ac:dyDescent="0.2">
      <c r="A1157" s="103" t="s">
        <v>1038</v>
      </c>
      <c r="B1157" s="103" t="s">
        <v>1037</v>
      </c>
      <c r="C1157" s="103" t="s">
        <v>3266</v>
      </c>
      <c r="E1157" s="103" t="s">
        <v>2191</v>
      </c>
      <c r="F1157" s="103" t="s">
        <v>3267</v>
      </c>
      <c r="G1157" s="103">
        <v>10</v>
      </c>
      <c r="H1157" s="103" t="s">
        <v>2168</v>
      </c>
      <c r="I1157" s="103" t="s">
        <v>2153</v>
      </c>
      <c r="J1157" s="103">
        <v>5</v>
      </c>
      <c r="K1157" s="103">
        <v>3</v>
      </c>
      <c r="L1157" s="103">
        <v>2</v>
      </c>
      <c r="N1157" s="103" t="s">
        <v>2163</v>
      </c>
      <c r="O1157" s="103">
        <v>10</v>
      </c>
      <c r="P1157" s="103" t="s">
        <v>771</v>
      </c>
      <c r="Q1157" s="103" t="s">
        <v>2155</v>
      </c>
      <c r="R1157" s="103" t="s">
        <v>2164</v>
      </c>
      <c r="S1157" s="103" t="s">
        <v>2251</v>
      </c>
      <c r="U1157" s="103">
        <v>6</v>
      </c>
      <c r="V1157" s="103" t="s">
        <v>2158</v>
      </c>
      <c r="W1157" s="103" t="s">
        <v>132</v>
      </c>
      <c r="X1157" s="103" t="s">
        <v>1597</v>
      </c>
      <c r="Y1157" s="103" t="s">
        <v>1685</v>
      </c>
      <c r="AA1157" s="103" t="s">
        <v>2164</v>
      </c>
      <c r="AB1157" s="103" t="s">
        <v>68</v>
      </c>
      <c r="AC1157" s="103" t="s">
        <v>2193</v>
      </c>
      <c r="AD1157" s="103" t="s">
        <v>2203</v>
      </c>
      <c r="AE1157" s="103" t="s">
        <v>766</v>
      </c>
      <c r="AF1157" s="103" t="b">
        <v>1</v>
      </c>
    </row>
    <row r="1158" spans="1:32" hidden="1" x14ac:dyDescent="0.2">
      <c r="A1158" s="103" t="s">
        <v>1038</v>
      </c>
      <c r="B1158" s="103" t="s">
        <v>1037</v>
      </c>
      <c r="C1158" s="103" t="s">
        <v>3268</v>
      </c>
      <c r="E1158" s="103" t="s">
        <v>2150</v>
      </c>
      <c r="F1158" s="103" t="s">
        <v>2151</v>
      </c>
      <c r="G1158" s="103">
        <v>210</v>
      </c>
      <c r="H1158" s="103" t="s">
        <v>2168</v>
      </c>
      <c r="I1158" s="103" t="s">
        <v>2153</v>
      </c>
      <c r="K1158" s="103">
        <v>140</v>
      </c>
      <c r="M1158" s="103">
        <v>70</v>
      </c>
      <c r="N1158" s="103" t="s">
        <v>2163</v>
      </c>
      <c r="O1158" s="103">
        <v>210</v>
      </c>
      <c r="P1158" s="103" t="s">
        <v>771</v>
      </c>
      <c r="Q1158" s="103" t="s">
        <v>1393</v>
      </c>
      <c r="R1158" s="103" t="s">
        <v>2156</v>
      </c>
      <c r="S1158" s="103" t="s">
        <v>2188</v>
      </c>
      <c r="U1158" s="103">
        <v>107.73</v>
      </c>
      <c r="V1158" s="103" t="s">
        <v>2158</v>
      </c>
      <c r="W1158" s="103" t="s">
        <v>114</v>
      </c>
      <c r="X1158" s="103" t="s">
        <v>1597</v>
      </c>
      <c r="Y1158" s="103" t="s">
        <v>1685</v>
      </c>
      <c r="AA1158" s="103" t="s">
        <v>2156</v>
      </c>
      <c r="AB1158" s="103" t="s">
        <v>68</v>
      </c>
      <c r="AC1158" s="103" t="s">
        <v>2159</v>
      </c>
      <c r="AD1158" s="103" t="s">
        <v>2203</v>
      </c>
      <c r="AE1158" s="103" t="s">
        <v>766</v>
      </c>
      <c r="AF1158" s="103" t="b">
        <v>1</v>
      </c>
    </row>
    <row r="1159" spans="1:32" hidden="1" x14ac:dyDescent="0.2">
      <c r="A1159" s="103" t="s">
        <v>1038</v>
      </c>
      <c r="B1159" s="103" t="s">
        <v>1037</v>
      </c>
      <c r="C1159" s="103" t="s">
        <v>3266</v>
      </c>
      <c r="E1159" s="103" t="s">
        <v>2150</v>
      </c>
      <c r="F1159" s="103" t="s">
        <v>2151</v>
      </c>
      <c r="G1159" s="103">
        <v>180</v>
      </c>
      <c r="H1159" s="103" t="s">
        <v>2168</v>
      </c>
      <c r="I1159" s="103" t="s">
        <v>2153</v>
      </c>
      <c r="J1159" s="103">
        <v>90</v>
      </c>
      <c r="K1159" s="103">
        <v>90</v>
      </c>
      <c r="N1159" s="103" t="s">
        <v>2163</v>
      </c>
      <c r="O1159" s="103">
        <v>180</v>
      </c>
      <c r="P1159" s="103" t="s">
        <v>771</v>
      </c>
      <c r="Q1159" s="103" t="s">
        <v>2155</v>
      </c>
      <c r="R1159" s="103" t="s">
        <v>2156</v>
      </c>
      <c r="S1159" s="103" t="s">
        <v>2251</v>
      </c>
      <c r="U1159" s="103">
        <v>92.34</v>
      </c>
      <c r="V1159" s="103" t="s">
        <v>2158</v>
      </c>
      <c r="W1159" s="103" t="s">
        <v>114</v>
      </c>
      <c r="X1159" s="103" t="s">
        <v>1597</v>
      </c>
      <c r="Y1159" s="103" t="s">
        <v>1685</v>
      </c>
      <c r="AA1159" s="103" t="s">
        <v>2156</v>
      </c>
      <c r="AB1159" s="103" t="s">
        <v>68</v>
      </c>
      <c r="AC1159" s="103" t="s">
        <v>2159</v>
      </c>
      <c r="AD1159" s="103" t="s">
        <v>2203</v>
      </c>
      <c r="AE1159" s="103" t="s">
        <v>766</v>
      </c>
      <c r="AF1159" s="103" t="b">
        <v>1</v>
      </c>
    </row>
    <row r="1160" spans="1:32" hidden="1" x14ac:dyDescent="0.2">
      <c r="A1160" s="103" t="s">
        <v>1040</v>
      </c>
      <c r="B1160" s="103" t="s">
        <v>1039</v>
      </c>
      <c r="C1160" s="103" t="s">
        <v>3269</v>
      </c>
      <c r="E1160" s="103" t="s">
        <v>2150</v>
      </c>
      <c r="F1160" s="103" t="s">
        <v>2162</v>
      </c>
      <c r="G1160" s="103">
        <v>125</v>
      </c>
      <c r="H1160" s="103" t="s">
        <v>2168</v>
      </c>
      <c r="I1160" s="103" t="s">
        <v>2153</v>
      </c>
      <c r="J1160" s="103">
        <v>25</v>
      </c>
      <c r="K1160" s="103">
        <v>25</v>
      </c>
      <c r="L1160" s="103">
        <v>35</v>
      </c>
      <c r="M1160" s="103">
        <v>40</v>
      </c>
      <c r="N1160" s="103" t="s">
        <v>2163</v>
      </c>
      <c r="O1160" s="103">
        <v>125</v>
      </c>
      <c r="P1160" s="103" t="s">
        <v>771</v>
      </c>
      <c r="Q1160" s="103" t="s">
        <v>2236</v>
      </c>
      <c r="R1160" s="103" t="s">
        <v>2156</v>
      </c>
      <c r="U1160" s="103">
        <v>64.125</v>
      </c>
      <c r="V1160" s="103" t="s">
        <v>2158</v>
      </c>
      <c r="W1160" s="103" t="s">
        <v>114</v>
      </c>
      <c r="X1160" s="103" t="s">
        <v>1597</v>
      </c>
      <c r="Y1160" s="103" t="s">
        <v>1685</v>
      </c>
      <c r="AA1160" s="103" t="s">
        <v>2156</v>
      </c>
      <c r="AB1160" s="103" t="s">
        <v>68</v>
      </c>
      <c r="AC1160" s="103" t="s">
        <v>2159</v>
      </c>
      <c r="AD1160" s="103" t="s">
        <v>2388</v>
      </c>
      <c r="AE1160" s="103" t="s">
        <v>766</v>
      </c>
      <c r="AF1160" s="103" t="b">
        <v>1</v>
      </c>
    </row>
    <row r="1161" spans="1:32" hidden="1" x14ac:dyDescent="0.2">
      <c r="A1161" s="103" t="s">
        <v>1040</v>
      </c>
      <c r="B1161" s="103" t="s">
        <v>1039</v>
      </c>
      <c r="C1161" s="103" t="s">
        <v>3270</v>
      </c>
      <c r="E1161" s="103" t="s">
        <v>2150</v>
      </c>
      <c r="F1161" s="103" t="s">
        <v>2162</v>
      </c>
      <c r="G1161" s="103">
        <v>125</v>
      </c>
      <c r="H1161" s="103" t="s">
        <v>2168</v>
      </c>
      <c r="I1161" s="103" t="s">
        <v>2153</v>
      </c>
      <c r="J1161" s="103">
        <v>20</v>
      </c>
      <c r="K1161" s="103">
        <v>25</v>
      </c>
      <c r="L1161" s="103">
        <v>40</v>
      </c>
      <c r="M1161" s="103">
        <v>40</v>
      </c>
      <c r="N1161" s="103" t="s">
        <v>2163</v>
      </c>
      <c r="O1161" s="103">
        <v>125</v>
      </c>
      <c r="P1161" s="103" t="s">
        <v>771</v>
      </c>
      <c r="Q1161" s="103" t="s">
        <v>2236</v>
      </c>
      <c r="R1161" s="103" t="s">
        <v>2156</v>
      </c>
      <c r="U1161" s="103">
        <v>64.125</v>
      </c>
      <c r="V1161" s="103" t="s">
        <v>2158</v>
      </c>
      <c r="W1161" s="103" t="s">
        <v>114</v>
      </c>
      <c r="X1161" s="103" t="s">
        <v>1597</v>
      </c>
      <c r="Y1161" s="103" t="s">
        <v>1685</v>
      </c>
      <c r="AA1161" s="103" t="s">
        <v>2156</v>
      </c>
      <c r="AB1161" s="103" t="s">
        <v>68</v>
      </c>
      <c r="AC1161" s="103" t="s">
        <v>2159</v>
      </c>
      <c r="AD1161" s="103" t="s">
        <v>2388</v>
      </c>
      <c r="AE1161" s="103" t="s">
        <v>766</v>
      </c>
      <c r="AF1161" s="103" t="b">
        <v>1</v>
      </c>
    </row>
    <row r="1162" spans="1:32" hidden="1" x14ac:dyDescent="0.2">
      <c r="A1162" s="103" t="s">
        <v>1040</v>
      </c>
      <c r="B1162" s="103" t="s">
        <v>1039</v>
      </c>
      <c r="C1162" s="103" t="s">
        <v>3271</v>
      </c>
      <c r="E1162" s="103" t="s">
        <v>2150</v>
      </c>
      <c r="F1162" s="103" t="s">
        <v>2162</v>
      </c>
      <c r="G1162" s="103">
        <v>125</v>
      </c>
      <c r="H1162" s="103" t="s">
        <v>2168</v>
      </c>
      <c r="I1162" s="103" t="s">
        <v>2153</v>
      </c>
      <c r="J1162" s="103">
        <v>25</v>
      </c>
      <c r="K1162" s="103">
        <v>25</v>
      </c>
      <c r="L1162" s="103">
        <v>25</v>
      </c>
      <c r="M1162" s="103">
        <v>50</v>
      </c>
      <c r="N1162" s="103" t="s">
        <v>2163</v>
      </c>
      <c r="O1162" s="103">
        <v>125</v>
      </c>
      <c r="P1162" s="103" t="s">
        <v>771</v>
      </c>
      <c r="Q1162" s="103" t="s">
        <v>2236</v>
      </c>
      <c r="R1162" s="103" t="s">
        <v>2156</v>
      </c>
      <c r="U1162" s="103">
        <v>64.125</v>
      </c>
      <c r="V1162" s="103" t="s">
        <v>2158</v>
      </c>
      <c r="W1162" s="103" t="s">
        <v>114</v>
      </c>
      <c r="X1162" s="103" t="s">
        <v>1597</v>
      </c>
      <c r="Y1162" s="103" t="s">
        <v>1685</v>
      </c>
      <c r="AA1162" s="103" t="s">
        <v>2156</v>
      </c>
      <c r="AB1162" s="103" t="s">
        <v>68</v>
      </c>
      <c r="AC1162" s="103" t="s">
        <v>2159</v>
      </c>
      <c r="AD1162" s="103" t="s">
        <v>2388</v>
      </c>
      <c r="AE1162" s="103" t="s">
        <v>766</v>
      </c>
      <c r="AF1162" s="103" t="b">
        <v>1</v>
      </c>
    </row>
    <row r="1163" spans="1:32" hidden="1" x14ac:dyDescent="0.2">
      <c r="A1163" s="103" t="s">
        <v>1040</v>
      </c>
      <c r="B1163" s="103" t="s">
        <v>1039</v>
      </c>
      <c r="C1163" s="103" t="s">
        <v>3272</v>
      </c>
      <c r="E1163" s="103" t="s">
        <v>2150</v>
      </c>
      <c r="F1163" s="103" t="s">
        <v>2151</v>
      </c>
      <c r="G1163" s="103">
        <v>125</v>
      </c>
      <c r="H1163" s="103" t="s">
        <v>2168</v>
      </c>
      <c r="I1163" s="103" t="s">
        <v>2153</v>
      </c>
      <c r="J1163" s="103">
        <v>25</v>
      </c>
      <c r="K1163" s="103">
        <v>25</v>
      </c>
      <c r="L1163" s="103">
        <v>25</v>
      </c>
      <c r="M1163" s="103">
        <v>50</v>
      </c>
      <c r="N1163" s="103" t="s">
        <v>2163</v>
      </c>
      <c r="O1163" s="103">
        <v>125</v>
      </c>
      <c r="P1163" s="103" t="s">
        <v>771</v>
      </c>
      <c r="Q1163" s="103" t="s">
        <v>2236</v>
      </c>
      <c r="R1163" s="103" t="s">
        <v>2156</v>
      </c>
      <c r="U1163" s="103">
        <v>64.125</v>
      </c>
      <c r="V1163" s="103" t="s">
        <v>2158</v>
      </c>
      <c r="W1163" s="103" t="s">
        <v>114</v>
      </c>
      <c r="X1163" s="103" t="s">
        <v>1597</v>
      </c>
      <c r="Y1163" s="103" t="s">
        <v>1685</v>
      </c>
      <c r="AA1163" s="103" t="s">
        <v>2156</v>
      </c>
      <c r="AB1163" s="103" t="s">
        <v>68</v>
      </c>
      <c r="AC1163" s="103" t="s">
        <v>2159</v>
      </c>
      <c r="AD1163" s="103" t="s">
        <v>2388</v>
      </c>
      <c r="AE1163" s="103" t="s">
        <v>766</v>
      </c>
      <c r="AF1163" s="103" t="b">
        <v>1</v>
      </c>
    </row>
    <row r="1164" spans="1:32" hidden="1" x14ac:dyDescent="0.2">
      <c r="A1164" s="103" t="s">
        <v>1040</v>
      </c>
      <c r="B1164" s="103" t="s">
        <v>1039</v>
      </c>
      <c r="C1164" s="103" t="s">
        <v>3273</v>
      </c>
      <c r="E1164" s="103" t="s">
        <v>2150</v>
      </c>
      <c r="F1164" s="103" t="s">
        <v>2162</v>
      </c>
      <c r="G1164" s="103">
        <v>0</v>
      </c>
      <c r="H1164" s="103" t="s">
        <v>2168</v>
      </c>
      <c r="I1164" s="103" t="s">
        <v>2153</v>
      </c>
      <c r="J1164" s="103">
        <v>0</v>
      </c>
      <c r="K1164" s="103">
        <v>0</v>
      </c>
      <c r="L1164" s="103">
        <v>0</v>
      </c>
      <c r="M1164" s="103">
        <v>0</v>
      </c>
      <c r="N1164" s="103" t="s">
        <v>2163</v>
      </c>
      <c r="O1164" s="103">
        <v>0</v>
      </c>
      <c r="P1164" s="103" t="s">
        <v>771</v>
      </c>
      <c r="Q1164" s="103" t="s">
        <v>2236</v>
      </c>
      <c r="R1164" s="103" t="s">
        <v>2156</v>
      </c>
      <c r="U1164" s="103">
        <v>0</v>
      </c>
      <c r="V1164" s="103" t="s">
        <v>2158</v>
      </c>
      <c r="W1164" s="103" t="s">
        <v>114</v>
      </c>
      <c r="X1164" s="103" t="s">
        <v>1597</v>
      </c>
      <c r="Y1164" s="103" t="s">
        <v>1685</v>
      </c>
      <c r="AA1164" s="103" t="s">
        <v>2156</v>
      </c>
      <c r="AB1164" s="103" t="s">
        <v>68</v>
      </c>
      <c r="AC1164" s="103" t="s">
        <v>2159</v>
      </c>
      <c r="AD1164" s="103" t="s">
        <v>2388</v>
      </c>
      <c r="AE1164" s="103" t="s">
        <v>766</v>
      </c>
      <c r="AF1164" s="103" t="b">
        <v>1</v>
      </c>
    </row>
    <row r="1165" spans="1:32" hidden="1" x14ac:dyDescent="0.2">
      <c r="A1165" s="103" t="s">
        <v>1040</v>
      </c>
      <c r="B1165" s="103" t="s">
        <v>1039</v>
      </c>
      <c r="C1165" s="103" t="s">
        <v>3274</v>
      </c>
      <c r="E1165" s="103" t="s">
        <v>2150</v>
      </c>
      <c r="F1165" s="103" t="s">
        <v>2162</v>
      </c>
      <c r="G1165" s="103">
        <v>125</v>
      </c>
      <c r="H1165" s="103" t="s">
        <v>2168</v>
      </c>
      <c r="I1165" s="103" t="s">
        <v>2153</v>
      </c>
      <c r="J1165" s="103">
        <v>25</v>
      </c>
      <c r="K1165" s="103">
        <v>25</v>
      </c>
      <c r="L1165" s="103">
        <v>30</v>
      </c>
      <c r="M1165" s="103">
        <v>45</v>
      </c>
      <c r="N1165" s="103" t="s">
        <v>2163</v>
      </c>
      <c r="O1165" s="103">
        <v>125</v>
      </c>
      <c r="P1165" s="103" t="s">
        <v>771</v>
      </c>
      <c r="Q1165" s="103" t="s">
        <v>2236</v>
      </c>
      <c r="R1165" s="103" t="s">
        <v>2156</v>
      </c>
      <c r="U1165" s="103">
        <v>64.125</v>
      </c>
      <c r="V1165" s="103" t="s">
        <v>2158</v>
      </c>
      <c r="W1165" s="103" t="s">
        <v>114</v>
      </c>
      <c r="X1165" s="103" t="s">
        <v>1597</v>
      </c>
      <c r="Y1165" s="103" t="s">
        <v>1685</v>
      </c>
      <c r="AA1165" s="103" t="s">
        <v>2156</v>
      </c>
      <c r="AB1165" s="103" t="s">
        <v>68</v>
      </c>
      <c r="AC1165" s="103" t="s">
        <v>2159</v>
      </c>
      <c r="AD1165" s="103" t="s">
        <v>2388</v>
      </c>
      <c r="AE1165" s="103" t="s">
        <v>766</v>
      </c>
      <c r="AF1165" s="103" t="b">
        <v>1</v>
      </c>
    </row>
    <row r="1166" spans="1:32" hidden="1" x14ac:dyDescent="0.2">
      <c r="A1166" s="103" t="s">
        <v>1063</v>
      </c>
      <c r="B1166" s="103" t="s">
        <v>1062</v>
      </c>
      <c r="C1166" s="103" t="s">
        <v>3275</v>
      </c>
      <c r="E1166" s="103" t="s">
        <v>2195</v>
      </c>
      <c r="F1166" s="103" t="s">
        <v>2162</v>
      </c>
      <c r="G1166" s="103">
        <v>480</v>
      </c>
      <c r="H1166" s="103" t="s">
        <v>2168</v>
      </c>
      <c r="I1166" s="103" t="s">
        <v>2153</v>
      </c>
      <c r="J1166" s="103">
        <v>120</v>
      </c>
      <c r="K1166" s="103">
        <v>140</v>
      </c>
      <c r="L1166" s="103">
        <v>100</v>
      </c>
      <c r="M1166" s="103">
        <v>120</v>
      </c>
      <c r="N1166" s="103" t="s">
        <v>2163</v>
      </c>
      <c r="O1166" s="103">
        <v>480</v>
      </c>
      <c r="P1166" s="103" t="s">
        <v>771</v>
      </c>
      <c r="Q1166" s="103" t="s">
        <v>2236</v>
      </c>
      <c r="R1166" s="103" t="s">
        <v>2156</v>
      </c>
      <c r="U1166" s="103">
        <v>246.24</v>
      </c>
      <c r="V1166" s="103" t="s">
        <v>2158</v>
      </c>
      <c r="W1166" s="103" t="s">
        <v>114</v>
      </c>
      <c r="X1166" s="103" t="s">
        <v>1597</v>
      </c>
      <c r="Y1166" s="103" t="s">
        <v>1685</v>
      </c>
      <c r="AA1166" s="103" t="s">
        <v>2156</v>
      </c>
      <c r="AB1166" s="103" t="s">
        <v>68</v>
      </c>
      <c r="AC1166" s="103" t="s">
        <v>2159</v>
      </c>
      <c r="AD1166" s="103" t="s">
        <v>2388</v>
      </c>
      <c r="AE1166" s="103" t="s">
        <v>766</v>
      </c>
      <c r="AF1166" s="103" t="b">
        <v>1</v>
      </c>
    </row>
    <row r="1167" spans="1:32" hidden="1" x14ac:dyDescent="0.2">
      <c r="A1167" s="103" t="s">
        <v>1063</v>
      </c>
      <c r="B1167" s="103" t="s">
        <v>1062</v>
      </c>
      <c r="C1167" s="103" t="s">
        <v>3276</v>
      </c>
      <c r="E1167" s="103" t="s">
        <v>2195</v>
      </c>
      <c r="F1167" s="103" t="s">
        <v>2162</v>
      </c>
      <c r="G1167" s="103">
        <v>120</v>
      </c>
      <c r="H1167" s="103" t="s">
        <v>2168</v>
      </c>
      <c r="I1167" s="103" t="s">
        <v>2153</v>
      </c>
      <c r="J1167" s="103">
        <v>30</v>
      </c>
      <c r="K1167" s="103">
        <v>20</v>
      </c>
      <c r="L1167" s="103">
        <v>30</v>
      </c>
      <c r="M1167" s="103">
        <v>40</v>
      </c>
      <c r="N1167" s="103" t="s">
        <v>2163</v>
      </c>
      <c r="O1167" s="103">
        <v>120</v>
      </c>
      <c r="P1167" s="103" t="s">
        <v>771</v>
      </c>
      <c r="Q1167" s="103" t="s">
        <v>2236</v>
      </c>
      <c r="R1167" s="103" t="s">
        <v>2156</v>
      </c>
      <c r="U1167" s="103">
        <v>61.56</v>
      </c>
      <c r="V1167" s="103" t="s">
        <v>2158</v>
      </c>
      <c r="W1167" s="103" t="s">
        <v>114</v>
      </c>
      <c r="X1167" s="103" t="s">
        <v>1597</v>
      </c>
      <c r="Y1167" s="103" t="s">
        <v>1685</v>
      </c>
      <c r="AA1167" s="103" t="s">
        <v>2156</v>
      </c>
      <c r="AB1167" s="103" t="s">
        <v>68</v>
      </c>
      <c r="AC1167" s="103" t="s">
        <v>2159</v>
      </c>
      <c r="AD1167" s="103" t="s">
        <v>2388</v>
      </c>
      <c r="AE1167" s="103" t="s">
        <v>766</v>
      </c>
      <c r="AF1167" s="103" t="b">
        <v>1</v>
      </c>
    </row>
    <row r="1168" spans="1:32" hidden="1" x14ac:dyDescent="0.2">
      <c r="A1168" s="103" t="s">
        <v>1063</v>
      </c>
      <c r="B1168" s="103" t="s">
        <v>1062</v>
      </c>
      <c r="C1168" s="103" t="s">
        <v>3277</v>
      </c>
      <c r="E1168" s="103" t="s">
        <v>2195</v>
      </c>
      <c r="F1168" s="103" t="s">
        <v>2162</v>
      </c>
      <c r="G1168" s="103">
        <v>60</v>
      </c>
      <c r="H1168" s="103" t="s">
        <v>2168</v>
      </c>
      <c r="I1168" s="103" t="s">
        <v>2153</v>
      </c>
      <c r="J1168" s="103">
        <v>10</v>
      </c>
      <c r="K1168" s="103">
        <v>20</v>
      </c>
      <c r="L1168" s="103">
        <v>20</v>
      </c>
      <c r="M1168" s="103">
        <v>10</v>
      </c>
      <c r="N1168" s="103" t="s">
        <v>2163</v>
      </c>
      <c r="O1168" s="103">
        <v>60</v>
      </c>
      <c r="P1168" s="103" t="s">
        <v>771</v>
      </c>
      <c r="Q1168" s="103" t="s">
        <v>2236</v>
      </c>
      <c r="R1168" s="103" t="s">
        <v>2156</v>
      </c>
      <c r="U1168" s="103">
        <v>30.78</v>
      </c>
      <c r="V1168" s="103" t="s">
        <v>2158</v>
      </c>
      <c r="W1168" s="103" t="s">
        <v>114</v>
      </c>
      <c r="X1168" s="103" t="s">
        <v>1597</v>
      </c>
      <c r="Y1168" s="103" t="s">
        <v>1685</v>
      </c>
      <c r="AA1168" s="103" t="s">
        <v>2156</v>
      </c>
      <c r="AB1168" s="103" t="s">
        <v>68</v>
      </c>
      <c r="AC1168" s="103" t="s">
        <v>2159</v>
      </c>
      <c r="AD1168" s="103" t="s">
        <v>2388</v>
      </c>
      <c r="AE1168" s="103" t="s">
        <v>766</v>
      </c>
      <c r="AF1168" s="103" t="b">
        <v>1</v>
      </c>
    </row>
    <row r="1169" spans="1:32" hidden="1" x14ac:dyDescent="0.2">
      <c r="A1169" s="103" t="s">
        <v>1063</v>
      </c>
      <c r="B1169" s="103" t="s">
        <v>1062</v>
      </c>
      <c r="C1169" s="103" t="s">
        <v>3278</v>
      </c>
      <c r="E1169" s="103" t="s">
        <v>2195</v>
      </c>
      <c r="F1169" s="103" t="s">
        <v>2162</v>
      </c>
      <c r="G1169" s="103">
        <v>60</v>
      </c>
      <c r="H1169" s="103" t="s">
        <v>2168</v>
      </c>
      <c r="I1169" s="103" t="s">
        <v>2153</v>
      </c>
      <c r="J1169" s="103">
        <v>10</v>
      </c>
      <c r="K1169" s="103">
        <v>10</v>
      </c>
      <c r="L1169" s="103">
        <v>20</v>
      </c>
      <c r="M1169" s="103">
        <v>20</v>
      </c>
      <c r="N1169" s="103" t="s">
        <v>2163</v>
      </c>
      <c r="O1169" s="103">
        <v>60</v>
      </c>
      <c r="P1169" s="103" t="s">
        <v>771</v>
      </c>
      <c r="Q1169" s="103" t="s">
        <v>2236</v>
      </c>
      <c r="R1169" s="103" t="s">
        <v>2156</v>
      </c>
      <c r="U1169" s="103">
        <v>30.78</v>
      </c>
      <c r="V1169" s="103" t="s">
        <v>2158</v>
      </c>
      <c r="W1169" s="103" t="s">
        <v>114</v>
      </c>
      <c r="X1169" s="103" t="s">
        <v>1597</v>
      </c>
      <c r="Y1169" s="103" t="s">
        <v>1685</v>
      </c>
      <c r="AA1169" s="103" t="s">
        <v>2156</v>
      </c>
      <c r="AB1169" s="103" t="s">
        <v>68</v>
      </c>
      <c r="AC1169" s="103" t="s">
        <v>2159</v>
      </c>
      <c r="AD1169" s="103" t="s">
        <v>2388</v>
      </c>
      <c r="AE1169" s="103" t="s">
        <v>766</v>
      </c>
      <c r="AF1169" s="103" t="b">
        <v>1</v>
      </c>
    </row>
    <row r="1170" spans="1:32" hidden="1" x14ac:dyDescent="0.2">
      <c r="A1170" s="103" t="s">
        <v>1063</v>
      </c>
      <c r="B1170" s="103" t="s">
        <v>1062</v>
      </c>
      <c r="C1170" s="103" t="s">
        <v>3279</v>
      </c>
      <c r="E1170" s="103" t="s">
        <v>2195</v>
      </c>
      <c r="F1170" s="103" t="s">
        <v>2162</v>
      </c>
      <c r="G1170" s="103">
        <v>60</v>
      </c>
      <c r="H1170" s="103" t="s">
        <v>2168</v>
      </c>
      <c r="I1170" s="103" t="s">
        <v>2153</v>
      </c>
      <c r="J1170" s="103">
        <v>10</v>
      </c>
      <c r="K1170" s="103">
        <v>10</v>
      </c>
      <c r="L1170" s="103">
        <v>20</v>
      </c>
      <c r="M1170" s="103">
        <v>20</v>
      </c>
      <c r="N1170" s="103" t="s">
        <v>2163</v>
      </c>
      <c r="O1170" s="103">
        <v>60</v>
      </c>
      <c r="P1170" s="103" t="s">
        <v>771</v>
      </c>
      <c r="Q1170" s="103" t="s">
        <v>2236</v>
      </c>
      <c r="R1170" s="103" t="s">
        <v>2156</v>
      </c>
      <c r="U1170" s="103">
        <v>30.78</v>
      </c>
      <c r="V1170" s="103" t="s">
        <v>2158</v>
      </c>
      <c r="W1170" s="103" t="s">
        <v>114</v>
      </c>
      <c r="X1170" s="103" t="s">
        <v>1597</v>
      </c>
      <c r="Y1170" s="103" t="s">
        <v>1685</v>
      </c>
      <c r="AA1170" s="103" t="s">
        <v>2156</v>
      </c>
      <c r="AB1170" s="103" t="s">
        <v>68</v>
      </c>
      <c r="AC1170" s="103" t="s">
        <v>2159</v>
      </c>
      <c r="AD1170" s="103" t="s">
        <v>2388</v>
      </c>
      <c r="AE1170" s="103" t="s">
        <v>766</v>
      </c>
      <c r="AF1170" s="103" t="b">
        <v>1</v>
      </c>
    </row>
    <row r="1171" spans="1:32" hidden="1" x14ac:dyDescent="0.2">
      <c r="A1171" s="103" t="s">
        <v>1063</v>
      </c>
      <c r="B1171" s="103" t="s">
        <v>1062</v>
      </c>
      <c r="C1171" s="103" t="s">
        <v>3280</v>
      </c>
      <c r="E1171" s="103" t="s">
        <v>2195</v>
      </c>
      <c r="F1171" s="103" t="s">
        <v>2162</v>
      </c>
      <c r="G1171" s="103">
        <v>120</v>
      </c>
      <c r="H1171" s="103" t="s">
        <v>2168</v>
      </c>
      <c r="I1171" s="103" t="s">
        <v>2153</v>
      </c>
      <c r="J1171" s="103">
        <v>30</v>
      </c>
      <c r="K1171" s="103">
        <v>30</v>
      </c>
      <c r="L1171" s="103">
        <v>30</v>
      </c>
      <c r="M1171" s="103">
        <v>30</v>
      </c>
      <c r="N1171" s="103" t="s">
        <v>2163</v>
      </c>
      <c r="O1171" s="103">
        <v>120</v>
      </c>
      <c r="P1171" s="103" t="s">
        <v>771</v>
      </c>
      <c r="Q1171" s="103" t="s">
        <v>2236</v>
      </c>
      <c r="R1171" s="103" t="s">
        <v>2156</v>
      </c>
      <c r="U1171" s="103">
        <v>61.56</v>
      </c>
      <c r="V1171" s="103" t="s">
        <v>2158</v>
      </c>
      <c r="W1171" s="103" t="s">
        <v>114</v>
      </c>
      <c r="X1171" s="103" t="s">
        <v>1597</v>
      </c>
      <c r="Y1171" s="103" t="s">
        <v>1685</v>
      </c>
      <c r="AA1171" s="103" t="s">
        <v>2156</v>
      </c>
      <c r="AB1171" s="103" t="s">
        <v>68</v>
      </c>
      <c r="AC1171" s="103" t="s">
        <v>2159</v>
      </c>
      <c r="AD1171" s="103" t="s">
        <v>2388</v>
      </c>
      <c r="AE1171" s="103" t="s">
        <v>766</v>
      </c>
      <c r="AF1171" s="103" t="b">
        <v>1</v>
      </c>
    </row>
    <row r="1172" spans="1:32" hidden="1" x14ac:dyDescent="0.2">
      <c r="A1172" s="103" t="s">
        <v>1063</v>
      </c>
      <c r="B1172" s="103" t="s">
        <v>1062</v>
      </c>
      <c r="C1172" s="103" t="s">
        <v>3281</v>
      </c>
      <c r="E1172" s="103" t="s">
        <v>2195</v>
      </c>
      <c r="F1172" s="103" t="s">
        <v>2162</v>
      </c>
      <c r="G1172" s="103">
        <v>300</v>
      </c>
      <c r="H1172" s="103" t="s">
        <v>2168</v>
      </c>
      <c r="I1172" s="103" t="s">
        <v>2153</v>
      </c>
      <c r="J1172" s="103">
        <v>30</v>
      </c>
      <c r="K1172" s="103">
        <v>40</v>
      </c>
      <c r="L1172" s="103">
        <v>80</v>
      </c>
      <c r="M1172" s="103">
        <v>150</v>
      </c>
      <c r="N1172" s="103" t="s">
        <v>2163</v>
      </c>
      <c r="O1172" s="103">
        <v>300</v>
      </c>
      <c r="P1172" s="103" t="s">
        <v>771</v>
      </c>
      <c r="Q1172" s="103" t="s">
        <v>2236</v>
      </c>
      <c r="R1172" s="103" t="s">
        <v>2156</v>
      </c>
      <c r="U1172" s="103">
        <v>153.9</v>
      </c>
      <c r="V1172" s="103" t="s">
        <v>2158</v>
      </c>
      <c r="W1172" s="103" t="s">
        <v>114</v>
      </c>
      <c r="X1172" s="103" t="s">
        <v>1597</v>
      </c>
      <c r="Y1172" s="103" t="s">
        <v>1685</v>
      </c>
      <c r="AA1172" s="103" t="s">
        <v>2156</v>
      </c>
      <c r="AB1172" s="103" t="s">
        <v>68</v>
      </c>
      <c r="AC1172" s="103" t="s">
        <v>2159</v>
      </c>
      <c r="AD1172" s="103" t="s">
        <v>2388</v>
      </c>
      <c r="AE1172" s="103" t="s">
        <v>766</v>
      </c>
      <c r="AF1172" s="103" t="b">
        <v>1</v>
      </c>
    </row>
    <row r="1173" spans="1:32" hidden="1" x14ac:dyDescent="0.2">
      <c r="A1173" s="103" t="s">
        <v>1063</v>
      </c>
      <c r="B1173" s="103" t="s">
        <v>1062</v>
      </c>
      <c r="C1173" s="103" t="s">
        <v>3282</v>
      </c>
      <c r="E1173" s="103" t="s">
        <v>2195</v>
      </c>
      <c r="F1173" s="103" t="s">
        <v>2162</v>
      </c>
      <c r="G1173" s="103">
        <v>120</v>
      </c>
      <c r="H1173" s="103" t="s">
        <v>2168</v>
      </c>
      <c r="I1173" s="103" t="s">
        <v>2153</v>
      </c>
      <c r="J1173" s="103">
        <v>30</v>
      </c>
      <c r="K1173" s="103">
        <v>30</v>
      </c>
      <c r="L1173" s="103">
        <v>30</v>
      </c>
      <c r="M1173" s="103">
        <v>30</v>
      </c>
      <c r="N1173" s="103" t="s">
        <v>2163</v>
      </c>
      <c r="O1173" s="103">
        <v>120</v>
      </c>
      <c r="P1173" s="103" t="s">
        <v>771</v>
      </c>
      <c r="Q1173" s="103" t="s">
        <v>2236</v>
      </c>
      <c r="R1173" s="103" t="s">
        <v>2156</v>
      </c>
      <c r="U1173" s="103">
        <v>61.56</v>
      </c>
      <c r="V1173" s="103" t="s">
        <v>2158</v>
      </c>
      <c r="W1173" s="103" t="s">
        <v>114</v>
      </c>
      <c r="X1173" s="103" t="s">
        <v>1597</v>
      </c>
      <c r="Y1173" s="103" t="s">
        <v>1685</v>
      </c>
      <c r="AA1173" s="103" t="s">
        <v>2156</v>
      </c>
      <c r="AB1173" s="103" t="s">
        <v>68</v>
      </c>
      <c r="AC1173" s="103" t="s">
        <v>2159</v>
      </c>
      <c r="AD1173" s="103" t="s">
        <v>2388</v>
      </c>
      <c r="AE1173" s="103" t="s">
        <v>766</v>
      </c>
      <c r="AF1173" s="103" t="b">
        <v>1</v>
      </c>
    </row>
    <row r="1174" spans="1:32" hidden="1" x14ac:dyDescent="0.2">
      <c r="A1174" s="103" t="s">
        <v>1063</v>
      </c>
      <c r="B1174" s="103" t="s">
        <v>1062</v>
      </c>
      <c r="C1174" s="103" t="s">
        <v>3283</v>
      </c>
      <c r="E1174" s="103" t="s">
        <v>2195</v>
      </c>
      <c r="F1174" s="103" t="s">
        <v>2162</v>
      </c>
      <c r="G1174" s="103">
        <v>120</v>
      </c>
      <c r="H1174" s="103" t="s">
        <v>2168</v>
      </c>
      <c r="I1174" s="103" t="s">
        <v>2153</v>
      </c>
      <c r="J1174" s="103">
        <v>40</v>
      </c>
      <c r="K1174" s="103">
        <v>20</v>
      </c>
      <c r="L1174" s="103">
        <v>30</v>
      </c>
      <c r="M1174" s="103">
        <v>30</v>
      </c>
      <c r="N1174" s="103" t="s">
        <v>2163</v>
      </c>
      <c r="O1174" s="103">
        <v>120</v>
      </c>
      <c r="P1174" s="103" t="s">
        <v>771</v>
      </c>
      <c r="Q1174" s="103" t="s">
        <v>2236</v>
      </c>
      <c r="R1174" s="103" t="s">
        <v>2156</v>
      </c>
      <c r="U1174" s="103">
        <v>61.56</v>
      </c>
      <c r="V1174" s="103" t="s">
        <v>2158</v>
      </c>
      <c r="W1174" s="103" t="s">
        <v>114</v>
      </c>
      <c r="X1174" s="103" t="s">
        <v>1597</v>
      </c>
      <c r="Y1174" s="103" t="s">
        <v>1685</v>
      </c>
      <c r="AA1174" s="103" t="s">
        <v>2156</v>
      </c>
      <c r="AB1174" s="103" t="s">
        <v>68</v>
      </c>
      <c r="AC1174" s="103" t="s">
        <v>2159</v>
      </c>
      <c r="AD1174" s="103" t="s">
        <v>2388</v>
      </c>
      <c r="AE1174" s="103" t="s">
        <v>766</v>
      </c>
      <c r="AF1174" s="103" t="b">
        <v>1</v>
      </c>
    </row>
    <row r="1175" spans="1:32" hidden="1" x14ac:dyDescent="0.2">
      <c r="A1175" s="103" t="s">
        <v>1063</v>
      </c>
      <c r="B1175" s="103" t="s">
        <v>1062</v>
      </c>
      <c r="C1175" s="103" t="s">
        <v>3284</v>
      </c>
      <c r="E1175" s="103" t="s">
        <v>2195</v>
      </c>
      <c r="F1175" s="103" t="s">
        <v>2162</v>
      </c>
      <c r="G1175" s="103">
        <v>120</v>
      </c>
      <c r="H1175" s="103" t="s">
        <v>2168</v>
      </c>
      <c r="I1175" s="103" t="s">
        <v>2153</v>
      </c>
      <c r="J1175" s="103">
        <v>40</v>
      </c>
      <c r="K1175" s="103">
        <v>30</v>
      </c>
      <c r="L1175" s="103">
        <v>20</v>
      </c>
      <c r="M1175" s="103">
        <v>30</v>
      </c>
      <c r="N1175" s="103" t="s">
        <v>2163</v>
      </c>
      <c r="O1175" s="103">
        <v>120</v>
      </c>
      <c r="P1175" s="103" t="s">
        <v>771</v>
      </c>
      <c r="Q1175" s="103" t="s">
        <v>2236</v>
      </c>
      <c r="R1175" s="103" t="s">
        <v>2156</v>
      </c>
      <c r="U1175" s="103">
        <v>61.56</v>
      </c>
      <c r="V1175" s="103" t="s">
        <v>2158</v>
      </c>
      <c r="W1175" s="103" t="s">
        <v>114</v>
      </c>
      <c r="X1175" s="103" t="s">
        <v>1597</v>
      </c>
      <c r="Y1175" s="103" t="s">
        <v>1685</v>
      </c>
      <c r="AA1175" s="103" t="s">
        <v>2156</v>
      </c>
      <c r="AB1175" s="103" t="s">
        <v>68</v>
      </c>
      <c r="AC1175" s="103" t="s">
        <v>2159</v>
      </c>
      <c r="AD1175" s="103" t="s">
        <v>2388</v>
      </c>
      <c r="AE1175" s="103" t="s">
        <v>766</v>
      </c>
      <c r="AF1175" s="103" t="b">
        <v>1</v>
      </c>
    </row>
    <row r="1176" spans="1:32" hidden="1" x14ac:dyDescent="0.2">
      <c r="A1176" s="103" t="s">
        <v>1063</v>
      </c>
      <c r="B1176" s="103" t="s">
        <v>1062</v>
      </c>
      <c r="C1176" s="103" t="s">
        <v>3285</v>
      </c>
      <c r="D1176" s="103" t="s">
        <v>3285</v>
      </c>
      <c r="E1176" s="103" t="s">
        <v>2195</v>
      </c>
      <c r="F1176" s="103" t="s">
        <v>2162</v>
      </c>
      <c r="G1176" s="103">
        <v>240</v>
      </c>
      <c r="H1176" s="103" t="s">
        <v>2152</v>
      </c>
      <c r="I1176" s="103" t="s">
        <v>2153</v>
      </c>
      <c r="J1176" s="103">
        <v>60</v>
      </c>
      <c r="K1176" s="103">
        <v>50</v>
      </c>
      <c r="L1176" s="103">
        <v>50</v>
      </c>
      <c r="M1176" s="103">
        <v>80</v>
      </c>
      <c r="N1176" s="103" t="s">
        <v>2163</v>
      </c>
      <c r="O1176" s="103">
        <v>240</v>
      </c>
      <c r="P1176" s="103" t="s">
        <v>771</v>
      </c>
      <c r="Q1176" s="103" t="s">
        <v>2236</v>
      </c>
      <c r="R1176" s="103" t="s">
        <v>2156</v>
      </c>
      <c r="U1176" s="103">
        <v>123.12</v>
      </c>
      <c r="V1176" s="103" t="s">
        <v>2158</v>
      </c>
      <c r="W1176" s="103" t="s">
        <v>114</v>
      </c>
      <c r="X1176" s="103" t="s">
        <v>1597</v>
      </c>
      <c r="Y1176" s="103" t="s">
        <v>1685</v>
      </c>
      <c r="AA1176" s="103" t="s">
        <v>2156</v>
      </c>
      <c r="AB1176" s="103" t="s">
        <v>68</v>
      </c>
      <c r="AC1176" s="103" t="s">
        <v>2159</v>
      </c>
      <c r="AD1176" s="103" t="s">
        <v>2388</v>
      </c>
      <c r="AE1176" s="103" t="s">
        <v>766</v>
      </c>
      <c r="AF1176" s="103" t="b">
        <v>1</v>
      </c>
    </row>
    <row r="1177" spans="1:32" hidden="1" x14ac:dyDescent="0.2">
      <c r="A1177" s="103" t="s">
        <v>1063</v>
      </c>
      <c r="B1177" s="103" t="s">
        <v>1062</v>
      </c>
      <c r="C1177" s="103" t="s">
        <v>3286</v>
      </c>
      <c r="D1177" s="103" t="s">
        <v>3286</v>
      </c>
      <c r="E1177" s="103" t="s">
        <v>2195</v>
      </c>
      <c r="F1177" s="103" t="s">
        <v>2162</v>
      </c>
      <c r="G1177" s="103">
        <v>180</v>
      </c>
      <c r="H1177" s="103" t="s">
        <v>2152</v>
      </c>
      <c r="I1177" s="103" t="s">
        <v>2153</v>
      </c>
      <c r="J1177" s="103">
        <v>50</v>
      </c>
      <c r="K1177" s="103">
        <v>50</v>
      </c>
      <c r="L1177" s="103">
        <v>50</v>
      </c>
      <c r="M1177" s="103">
        <v>30</v>
      </c>
      <c r="N1177" s="103" t="s">
        <v>2163</v>
      </c>
      <c r="O1177" s="103">
        <v>180</v>
      </c>
      <c r="P1177" s="103" t="s">
        <v>771</v>
      </c>
      <c r="Q1177" s="103" t="s">
        <v>2236</v>
      </c>
      <c r="R1177" s="103" t="s">
        <v>2156</v>
      </c>
      <c r="U1177" s="103">
        <v>92.34</v>
      </c>
      <c r="V1177" s="103" t="s">
        <v>2158</v>
      </c>
      <c r="W1177" s="103" t="s">
        <v>114</v>
      </c>
      <c r="X1177" s="103" t="s">
        <v>1597</v>
      </c>
      <c r="Y1177" s="103" t="s">
        <v>1685</v>
      </c>
      <c r="AA1177" s="103" t="s">
        <v>2156</v>
      </c>
      <c r="AB1177" s="103" t="s">
        <v>68</v>
      </c>
      <c r="AC1177" s="103" t="s">
        <v>2159</v>
      </c>
      <c r="AD1177" s="103" t="s">
        <v>2388</v>
      </c>
      <c r="AE1177" s="103" t="s">
        <v>766</v>
      </c>
      <c r="AF1177" s="103" t="b">
        <v>1</v>
      </c>
    </row>
    <row r="1178" spans="1:32" hidden="1" x14ac:dyDescent="0.2">
      <c r="A1178" s="103" t="s">
        <v>1063</v>
      </c>
      <c r="B1178" s="103" t="s">
        <v>1062</v>
      </c>
      <c r="C1178" s="103" t="s">
        <v>3287</v>
      </c>
      <c r="D1178" s="103" t="s">
        <v>3287</v>
      </c>
      <c r="E1178" s="103" t="s">
        <v>2195</v>
      </c>
      <c r="F1178" s="103" t="s">
        <v>2162</v>
      </c>
      <c r="G1178" s="103">
        <v>120</v>
      </c>
      <c r="H1178" s="103" t="s">
        <v>2152</v>
      </c>
      <c r="I1178" s="103" t="s">
        <v>2153</v>
      </c>
      <c r="J1178" s="103">
        <v>30</v>
      </c>
      <c r="K1178" s="103">
        <v>30</v>
      </c>
      <c r="L1178" s="103">
        <v>30</v>
      </c>
      <c r="M1178" s="103">
        <v>30</v>
      </c>
      <c r="N1178" s="103" t="s">
        <v>2163</v>
      </c>
      <c r="O1178" s="103">
        <v>120</v>
      </c>
      <c r="P1178" s="103" t="s">
        <v>771</v>
      </c>
      <c r="Q1178" s="103" t="s">
        <v>2236</v>
      </c>
      <c r="R1178" s="103" t="s">
        <v>2156</v>
      </c>
      <c r="U1178" s="103">
        <v>61.56</v>
      </c>
      <c r="V1178" s="103" t="s">
        <v>2158</v>
      </c>
      <c r="W1178" s="103" t="s">
        <v>114</v>
      </c>
      <c r="X1178" s="103" t="s">
        <v>1597</v>
      </c>
      <c r="Y1178" s="103" t="s">
        <v>1685</v>
      </c>
      <c r="AA1178" s="103" t="s">
        <v>2156</v>
      </c>
      <c r="AB1178" s="103" t="s">
        <v>68</v>
      </c>
      <c r="AC1178" s="103" t="s">
        <v>2159</v>
      </c>
      <c r="AD1178" s="103" t="s">
        <v>2388</v>
      </c>
      <c r="AE1178" s="103" t="s">
        <v>766</v>
      </c>
      <c r="AF1178" s="103" t="b">
        <v>1</v>
      </c>
    </row>
    <row r="1179" spans="1:32" hidden="1" x14ac:dyDescent="0.2">
      <c r="A1179" s="103" t="s">
        <v>1085</v>
      </c>
      <c r="B1179" s="103" t="s">
        <v>1084</v>
      </c>
      <c r="C1179" s="103" t="s">
        <v>3288</v>
      </c>
      <c r="D1179" s="103" t="s">
        <v>3289</v>
      </c>
      <c r="E1179" s="103" t="s">
        <v>2510</v>
      </c>
      <c r="F1179" s="103" t="s">
        <v>2202</v>
      </c>
      <c r="G1179" s="103">
        <v>200</v>
      </c>
      <c r="H1179" s="103" t="s">
        <v>2168</v>
      </c>
      <c r="I1179" s="103" t="s">
        <v>2153</v>
      </c>
      <c r="J1179" s="103">
        <v>50</v>
      </c>
      <c r="K1179" s="103">
        <v>50</v>
      </c>
      <c r="L1179" s="103">
        <v>50</v>
      </c>
      <c r="M1179" s="103">
        <v>50</v>
      </c>
      <c r="N1179" s="103" t="s">
        <v>2163</v>
      </c>
      <c r="O1179" s="103">
        <v>200</v>
      </c>
      <c r="P1179" s="103" t="s">
        <v>1559</v>
      </c>
      <c r="Q1179" s="103" t="s">
        <v>2236</v>
      </c>
      <c r="R1179" s="103" t="s">
        <v>2156</v>
      </c>
      <c r="U1179" s="103">
        <v>102.6</v>
      </c>
      <c r="V1179" s="103" t="s">
        <v>2158</v>
      </c>
      <c r="W1179" s="103" t="s">
        <v>114</v>
      </c>
      <c r="X1179" s="103" t="s">
        <v>1597</v>
      </c>
      <c r="Y1179" s="103" t="s">
        <v>1685</v>
      </c>
      <c r="AA1179" s="103" t="s">
        <v>2156</v>
      </c>
      <c r="AB1179" s="103" t="s">
        <v>68</v>
      </c>
      <c r="AC1179" s="103" t="s">
        <v>2782</v>
      </c>
      <c r="AD1179" s="103" t="s">
        <v>2388</v>
      </c>
      <c r="AE1179" s="103" t="s">
        <v>766</v>
      </c>
      <c r="AF1179" s="103" t="b">
        <v>1</v>
      </c>
    </row>
    <row r="1180" spans="1:32" hidden="1" x14ac:dyDescent="0.2">
      <c r="A1180" s="103" t="s">
        <v>1085</v>
      </c>
      <c r="B1180" s="103" t="s">
        <v>1084</v>
      </c>
      <c r="C1180" s="103" t="s">
        <v>3288</v>
      </c>
      <c r="D1180" s="103" t="s">
        <v>3290</v>
      </c>
      <c r="E1180" s="103" t="s">
        <v>2510</v>
      </c>
      <c r="F1180" s="103" t="s">
        <v>2151</v>
      </c>
      <c r="G1180" s="103">
        <v>100</v>
      </c>
      <c r="H1180" s="103" t="s">
        <v>2168</v>
      </c>
      <c r="I1180" s="103" t="s">
        <v>2153</v>
      </c>
      <c r="J1180" s="103">
        <v>25</v>
      </c>
      <c r="K1180" s="103">
        <v>25</v>
      </c>
      <c r="L1180" s="103">
        <v>25</v>
      </c>
      <c r="M1180" s="103">
        <v>25</v>
      </c>
      <c r="N1180" s="103" t="s">
        <v>2163</v>
      </c>
      <c r="O1180" s="103">
        <v>100</v>
      </c>
      <c r="P1180" s="103" t="s">
        <v>1559</v>
      </c>
      <c r="Q1180" s="103" t="s">
        <v>2236</v>
      </c>
      <c r="R1180" s="103" t="s">
        <v>2156</v>
      </c>
      <c r="U1180" s="103">
        <v>51.3</v>
      </c>
      <c r="V1180" s="103" t="s">
        <v>2158</v>
      </c>
      <c r="W1180" s="103" t="s">
        <v>114</v>
      </c>
      <c r="X1180" s="103" t="s">
        <v>1597</v>
      </c>
      <c r="Y1180" s="103" t="s">
        <v>1685</v>
      </c>
      <c r="AA1180" s="103" t="s">
        <v>2156</v>
      </c>
      <c r="AB1180" s="103" t="s">
        <v>68</v>
      </c>
      <c r="AC1180" s="103" t="s">
        <v>2782</v>
      </c>
      <c r="AD1180" s="103" t="s">
        <v>2388</v>
      </c>
      <c r="AE1180" s="103" t="s">
        <v>766</v>
      </c>
      <c r="AF1180" s="103" t="b">
        <v>1</v>
      </c>
    </row>
    <row r="1181" spans="1:32" hidden="1" x14ac:dyDescent="0.2">
      <c r="A1181" s="103" t="s">
        <v>1085</v>
      </c>
      <c r="B1181" s="103" t="s">
        <v>1084</v>
      </c>
      <c r="C1181" s="103" t="s">
        <v>3288</v>
      </c>
      <c r="D1181" s="103" t="s">
        <v>3291</v>
      </c>
      <c r="E1181" s="103" t="s">
        <v>2510</v>
      </c>
      <c r="F1181" s="103" t="s">
        <v>2151</v>
      </c>
      <c r="G1181" s="103">
        <v>100</v>
      </c>
      <c r="H1181" s="103" t="s">
        <v>2168</v>
      </c>
      <c r="I1181" s="103" t="s">
        <v>2153</v>
      </c>
      <c r="K1181" s="103">
        <v>100</v>
      </c>
      <c r="N1181" s="103" t="s">
        <v>2163</v>
      </c>
      <c r="O1181" s="103">
        <v>100</v>
      </c>
      <c r="P1181" s="103" t="s">
        <v>1559</v>
      </c>
      <c r="Q1181" s="103" t="s">
        <v>2236</v>
      </c>
      <c r="R1181" s="103" t="s">
        <v>2156</v>
      </c>
      <c r="U1181" s="103">
        <v>51.3</v>
      </c>
      <c r="V1181" s="103" t="s">
        <v>2158</v>
      </c>
      <c r="W1181" s="103" t="s">
        <v>114</v>
      </c>
      <c r="X1181" s="103" t="s">
        <v>1597</v>
      </c>
      <c r="Y1181" s="103" t="s">
        <v>1685</v>
      </c>
      <c r="AA1181" s="103" t="s">
        <v>2156</v>
      </c>
      <c r="AB1181" s="103" t="s">
        <v>68</v>
      </c>
      <c r="AC1181" s="103" t="s">
        <v>2782</v>
      </c>
      <c r="AD1181" s="103" t="s">
        <v>2388</v>
      </c>
      <c r="AE1181" s="103" t="s">
        <v>766</v>
      </c>
      <c r="AF1181" s="103" t="b">
        <v>1</v>
      </c>
    </row>
    <row r="1182" spans="1:32" hidden="1" x14ac:dyDescent="0.2">
      <c r="A1182" s="103" t="s">
        <v>1085</v>
      </c>
      <c r="B1182" s="103" t="s">
        <v>1084</v>
      </c>
      <c r="C1182" s="103" t="s">
        <v>3288</v>
      </c>
      <c r="D1182" s="103" t="s">
        <v>3292</v>
      </c>
      <c r="E1182" s="103" t="s">
        <v>2510</v>
      </c>
      <c r="F1182" s="103" t="s">
        <v>2162</v>
      </c>
      <c r="G1182" s="103">
        <v>50</v>
      </c>
      <c r="H1182" s="103" t="s">
        <v>2168</v>
      </c>
      <c r="I1182" s="103" t="s">
        <v>2153</v>
      </c>
      <c r="J1182" s="103">
        <v>50</v>
      </c>
      <c r="N1182" s="103" t="s">
        <v>2163</v>
      </c>
      <c r="O1182" s="103">
        <v>50</v>
      </c>
      <c r="P1182" s="103" t="s">
        <v>1559</v>
      </c>
      <c r="Q1182" s="103" t="s">
        <v>2236</v>
      </c>
      <c r="R1182" s="103" t="s">
        <v>2156</v>
      </c>
      <c r="U1182" s="103">
        <v>25.65</v>
      </c>
      <c r="V1182" s="103" t="s">
        <v>2158</v>
      </c>
      <c r="W1182" s="103" t="s">
        <v>114</v>
      </c>
      <c r="X1182" s="103" t="s">
        <v>1597</v>
      </c>
      <c r="Y1182" s="103" t="s">
        <v>1685</v>
      </c>
      <c r="AA1182" s="103" t="s">
        <v>2156</v>
      </c>
      <c r="AB1182" s="103" t="s">
        <v>68</v>
      </c>
      <c r="AC1182" s="103" t="s">
        <v>2782</v>
      </c>
      <c r="AD1182" s="103" t="s">
        <v>2388</v>
      </c>
      <c r="AE1182" s="103" t="s">
        <v>766</v>
      </c>
      <c r="AF1182" s="103" t="b">
        <v>1</v>
      </c>
    </row>
    <row r="1183" spans="1:32" hidden="1" x14ac:dyDescent="0.2">
      <c r="A1183" s="103" t="s">
        <v>1085</v>
      </c>
      <c r="B1183" s="103" t="s">
        <v>1084</v>
      </c>
      <c r="C1183" s="103" t="s">
        <v>3288</v>
      </c>
      <c r="D1183" s="103" t="s">
        <v>3293</v>
      </c>
      <c r="E1183" s="103" t="s">
        <v>2510</v>
      </c>
      <c r="F1183" s="103" t="s">
        <v>2151</v>
      </c>
      <c r="G1183" s="103">
        <v>100</v>
      </c>
      <c r="H1183" s="103" t="s">
        <v>2168</v>
      </c>
      <c r="I1183" s="103" t="s">
        <v>2153</v>
      </c>
      <c r="J1183" s="103">
        <v>50</v>
      </c>
      <c r="M1183" s="103">
        <v>50</v>
      </c>
      <c r="N1183" s="103" t="s">
        <v>2163</v>
      </c>
      <c r="O1183" s="103">
        <v>100</v>
      </c>
      <c r="P1183" s="103" t="s">
        <v>1559</v>
      </c>
      <c r="Q1183" s="103" t="s">
        <v>2236</v>
      </c>
      <c r="R1183" s="103" t="s">
        <v>2156</v>
      </c>
      <c r="U1183" s="103">
        <v>51.3</v>
      </c>
      <c r="V1183" s="103" t="s">
        <v>2158</v>
      </c>
      <c r="W1183" s="103" t="s">
        <v>114</v>
      </c>
      <c r="X1183" s="103" t="s">
        <v>1597</v>
      </c>
      <c r="Y1183" s="103" t="s">
        <v>1685</v>
      </c>
      <c r="AA1183" s="103" t="s">
        <v>2156</v>
      </c>
      <c r="AB1183" s="103" t="s">
        <v>68</v>
      </c>
      <c r="AC1183" s="103" t="s">
        <v>2782</v>
      </c>
      <c r="AD1183" s="103" t="s">
        <v>2388</v>
      </c>
      <c r="AE1183" s="103" t="s">
        <v>766</v>
      </c>
      <c r="AF1183" s="103" t="b">
        <v>1</v>
      </c>
    </row>
    <row r="1184" spans="1:32" hidden="1" x14ac:dyDescent="0.2">
      <c r="A1184" s="103" t="s">
        <v>1085</v>
      </c>
      <c r="B1184" s="103" t="s">
        <v>1084</v>
      </c>
      <c r="C1184" s="103" t="s">
        <v>3288</v>
      </c>
      <c r="D1184" s="103" t="s">
        <v>3294</v>
      </c>
      <c r="E1184" s="103" t="s">
        <v>2510</v>
      </c>
      <c r="F1184" s="103" t="s">
        <v>2162</v>
      </c>
      <c r="G1184" s="103">
        <v>50</v>
      </c>
      <c r="H1184" s="103" t="s">
        <v>2168</v>
      </c>
      <c r="I1184" s="103" t="s">
        <v>2153</v>
      </c>
      <c r="M1184" s="103">
        <v>50</v>
      </c>
      <c r="N1184" s="103" t="s">
        <v>2163</v>
      </c>
      <c r="O1184" s="103">
        <v>50</v>
      </c>
      <c r="P1184" s="103" t="s">
        <v>1559</v>
      </c>
      <c r="Q1184" s="103" t="s">
        <v>2236</v>
      </c>
      <c r="R1184" s="103" t="s">
        <v>2156</v>
      </c>
      <c r="U1184" s="103">
        <v>25.65</v>
      </c>
      <c r="V1184" s="103" t="s">
        <v>2158</v>
      </c>
      <c r="W1184" s="103" t="s">
        <v>114</v>
      </c>
      <c r="X1184" s="103" t="s">
        <v>1597</v>
      </c>
      <c r="Y1184" s="103" t="s">
        <v>1685</v>
      </c>
      <c r="AA1184" s="103" t="s">
        <v>2156</v>
      </c>
      <c r="AB1184" s="103" t="s">
        <v>68</v>
      </c>
      <c r="AC1184" s="103" t="s">
        <v>2782</v>
      </c>
      <c r="AD1184" s="103" t="s">
        <v>2388</v>
      </c>
      <c r="AE1184" s="103" t="s">
        <v>766</v>
      </c>
      <c r="AF1184" s="103" t="b">
        <v>1</v>
      </c>
    </row>
    <row r="1185" spans="1:32" hidden="1" x14ac:dyDescent="0.2">
      <c r="A1185" s="103" t="s">
        <v>1085</v>
      </c>
      <c r="B1185" s="103" t="s">
        <v>1084</v>
      </c>
      <c r="C1185" s="103" t="s">
        <v>3288</v>
      </c>
      <c r="D1185" s="103" t="s">
        <v>3295</v>
      </c>
      <c r="E1185" s="103" t="s">
        <v>2510</v>
      </c>
      <c r="F1185" s="103" t="s">
        <v>2162</v>
      </c>
      <c r="G1185" s="103">
        <v>50</v>
      </c>
      <c r="H1185" s="103" t="s">
        <v>2168</v>
      </c>
      <c r="I1185" s="103" t="s">
        <v>2153</v>
      </c>
      <c r="L1185" s="103">
        <v>50</v>
      </c>
      <c r="N1185" s="103" t="s">
        <v>2163</v>
      </c>
      <c r="O1185" s="103">
        <v>50</v>
      </c>
      <c r="P1185" s="103" t="s">
        <v>1559</v>
      </c>
      <c r="Q1185" s="103" t="s">
        <v>2236</v>
      </c>
      <c r="R1185" s="103" t="s">
        <v>2156</v>
      </c>
      <c r="U1185" s="103">
        <v>25.65</v>
      </c>
      <c r="V1185" s="103" t="s">
        <v>2158</v>
      </c>
      <c r="W1185" s="103" t="s">
        <v>114</v>
      </c>
      <c r="X1185" s="103" t="s">
        <v>1597</v>
      </c>
      <c r="Y1185" s="103" t="s">
        <v>1685</v>
      </c>
      <c r="AA1185" s="103" t="s">
        <v>2156</v>
      </c>
      <c r="AB1185" s="103" t="s">
        <v>68</v>
      </c>
      <c r="AC1185" s="103" t="s">
        <v>2782</v>
      </c>
      <c r="AD1185" s="103" t="s">
        <v>2388</v>
      </c>
      <c r="AE1185" s="103" t="s">
        <v>766</v>
      </c>
      <c r="AF1185" s="103" t="b">
        <v>1</v>
      </c>
    </row>
    <row r="1186" spans="1:32" hidden="1" x14ac:dyDescent="0.2">
      <c r="A1186" s="103" t="s">
        <v>1085</v>
      </c>
      <c r="B1186" s="103" t="s">
        <v>1084</v>
      </c>
      <c r="C1186" s="103" t="s">
        <v>3288</v>
      </c>
      <c r="D1186" s="103" t="s">
        <v>3296</v>
      </c>
      <c r="E1186" s="103" t="s">
        <v>2510</v>
      </c>
      <c r="F1186" s="103" t="s">
        <v>2151</v>
      </c>
      <c r="G1186" s="103">
        <v>100</v>
      </c>
      <c r="H1186" s="103" t="s">
        <v>2168</v>
      </c>
      <c r="I1186" s="103" t="s">
        <v>2153</v>
      </c>
      <c r="J1186" s="103">
        <v>50</v>
      </c>
      <c r="L1186" s="103">
        <v>50</v>
      </c>
      <c r="N1186" s="103" t="s">
        <v>2163</v>
      </c>
      <c r="O1186" s="103">
        <v>100</v>
      </c>
      <c r="P1186" s="103" t="s">
        <v>1559</v>
      </c>
      <c r="Q1186" s="103" t="s">
        <v>2236</v>
      </c>
      <c r="R1186" s="103" t="s">
        <v>2156</v>
      </c>
      <c r="U1186" s="103">
        <v>51.3</v>
      </c>
      <c r="V1186" s="103" t="s">
        <v>2158</v>
      </c>
      <c r="W1186" s="103" t="s">
        <v>114</v>
      </c>
      <c r="X1186" s="103" t="s">
        <v>1597</v>
      </c>
      <c r="Y1186" s="103" t="s">
        <v>1685</v>
      </c>
      <c r="AA1186" s="103" t="s">
        <v>2156</v>
      </c>
      <c r="AB1186" s="103" t="s">
        <v>68</v>
      </c>
      <c r="AC1186" s="103" t="s">
        <v>2782</v>
      </c>
      <c r="AD1186" s="103" t="s">
        <v>2388</v>
      </c>
      <c r="AE1186" s="103" t="s">
        <v>766</v>
      </c>
      <c r="AF1186" s="103" t="b">
        <v>1</v>
      </c>
    </row>
    <row r="1187" spans="1:32" hidden="1" x14ac:dyDescent="0.2">
      <c r="A1187" s="103" t="s">
        <v>1085</v>
      </c>
      <c r="B1187" s="103" t="s">
        <v>1084</v>
      </c>
      <c r="C1187" s="103" t="s">
        <v>3288</v>
      </c>
      <c r="D1187" s="103" t="s">
        <v>3297</v>
      </c>
      <c r="E1187" s="103" t="s">
        <v>2510</v>
      </c>
      <c r="F1187" s="103" t="s">
        <v>2151</v>
      </c>
      <c r="G1187" s="103">
        <v>100</v>
      </c>
      <c r="H1187" s="103" t="s">
        <v>2168</v>
      </c>
      <c r="I1187" s="103" t="s">
        <v>2153</v>
      </c>
      <c r="J1187" s="103">
        <v>30</v>
      </c>
      <c r="K1187" s="103">
        <v>50</v>
      </c>
      <c r="L1187" s="103">
        <v>20</v>
      </c>
      <c r="N1187" s="103" t="s">
        <v>2163</v>
      </c>
      <c r="O1187" s="103">
        <v>100</v>
      </c>
      <c r="P1187" s="103" t="s">
        <v>1559</v>
      </c>
      <c r="Q1187" s="103" t="s">
        <v>2236</v>
      </c>
      <c r="R1187" s="103" t="s">
        <v>2156</v>
      </c>
      <c r="U1187" s="103">
        <v>51.3</v>
      </c>
      <c r="V1187" s="103" t="s">
        <v>2158</v>
      </c>
      <c r="W1187" s="103" t="s">
        <v>114</v>
      </c>
      <c r="X1187" s="103" t="s">
        <v>1597</v>
      </c>
      <c r="Y1187" s="103" t="s">
        <v>1685</v>
      </c>
      <c r="AA1187" s="103" t="s">
        <v>2156</v>
      </c>
      <c r="AB1187" s="103" t="s">
        <v>68</v>
      </c>
      <c r="AC1187" s="103" t="s">
        <v>2782</v>
      </c>
      <c r="AD1187" s="103" t="s">
        <v>2388</v>
      </c>
      <c r="AE1187" s="103" t="s">
        <v>766</v>
      </c>
      <c r="AF1187" s="103" t="b">
        <v>1</v>
      </c>
    </row>
    <row r="1188" spans="1:32" hidden="1" x14ac:dyDescent="0.2">
      <c r="A1188" s="103" t="s">
        <v>1085</v>
      </c>
      <c r="B1188" s="103" t="s">
        <v>1084</v>
      </c>
      <c r="C1188" s="103" t="s">
        <v>3288</v>
      </c>
      <c r="D1188" s="103" t="s">
        <v>3298</v>
      </c>
      <c r="E1188" s="103" t="s">
        <v>2510</v>
      </c>
      <c r="F1188" s="103" t="s">
        <v>2162</v>
      </c>
      <c r="G1188" s="103">
        <v>50</v>
      </c>
      <c r="H1188" s="103" t="s">
        <v>2168</v>
      </c>
      <c r="I1188" s="103" t="s">
        <v>2153</v>
      </c>
      <c r="L1188" s="103">
        <v>50</v>
      </c>
      <c r="N1188" s="103" t="s">
        <v>2163</v>
      </c>
      <c r="O1188" s="103">
        <v>50</v>
      </c>
      <c r="P1188" s="103" t="s">
        <v>1559</v>
      </c>
      <c r="Q1188" s="103" t="s">
        <v>2236</v>
      </c>
      <c r="R1188" s="103" t="s">
        <v>2156</v>
      </c>
      <c r="U1188" s="103">
        <v>25.65</v>
      </c>
      <c r="V1188" s="103" t="s">
        <v>2158</v>
      </c>
      <c r="W1188" s="103" t="s">
        <v>114</v>
      </c>
      <c r="X1188" s="103" t="s">
        <v>1597</v>
      </c>
      <c r="Y1188" s="103" t="s">
        <v>1685</v>
      </c>
      <c r="AA1188" s="103" t="s">
        <v>2156</v>
      </c>
      <c r="AB1188" s="103" t="s">
        <v>68</v>
      </c>
      <c r="AC1188" s="103" t="s">
        <v>2782</v>
      </c>
      <c r="AD1188" s="103" t="s">
        <v>2388</v>
      </c>
      <c r="AE1188" s="103" t="s">
        <v>766</v>
      </c>
      <c r="AF1188" s="103" t="b">
        <v>1</v>
      </c>
    </row>
    <row r="1189" spans="1:32" hidden="1" x14ac:dyDescent="0.2">
      <c r="A1189" s="103" t="s">
        <v>1087</v>
      </c>
      <c r="B1189" s="103" t="s">
        <v>1086</v>
      </c>
      <c r="C1189" s="103" t="s">
        <v>3299</v>
      </c>
      <c r="D1189" s="103" t="s">
        <v>3300</v>
      </c>
      <c r="E1189" s="103" t="s">
        <v>2510</v>
      </c>
      <c r="F1189" s="103" t="s">
        <v>2202</v>
      </c>
      <c r="G1189" s="103">
        <v>200</v>
      </c>
      <c r="H1189" s="103" t="s">
        <v>2168</v>
      </c>
      <c r="I1189" s="103" t="s">
        <v>2153</v>
      </c>
      <c r="K1189" s="103">
        <v>50</v>
      </c>
      <c r="L1189" s="103">
        <v>50</v>
      </c>
      <c r="M1189" s="103">
        <v>100</v>
      </c>
      <c r="N1189" s="103" t="s">
        <v>2402</v>
      </c>
      <c r="O1189" s="103">
        <v>200</v>
      </c>
      <c r="P1189" s="103" t="s">
        <v>873</v>
      </c>
      <c r="Q1189" s="103" t="s">
        <v>2155</v>
      </c>
      <c r="R1189" s="103" t="s">
        <v>2156</v>
      </c>
      <c r="S1189" s="103" t="s">
        <v>2396</v>
      </c>
      <c r="T1189" s="103" t="s">
        <v>3301</v>
      </c>
      <c r="U1189" s="103">
        <v>102.6</v>
      </c>
      <c r="V1189" s="103" t="s">
        <v>2262</v>
      </c>
      <c r="W1189" s="103" t="s">
        <v>114</v>
      </c>
      <c r="X1189" s="103" t="s">
        <v>1597</v>
      </c>
      <c r="Y1189" s="103" t="s">
        <v>1685</v>
      </c>
      <c r="AA1189" s="103" t="s">
        <v>2156</v>
      </c>
      <c r="AB1189" s="103" t="s">
        <v>68</v>
      </c>
      <c r="AC1189" s="103" t="s">
        <v>2511</v>
      </c>
      <c r="AD1189" s="103" t="s">
        <v>2391</v>
      </c>
      <c r="AE1189" s="103" t="s">
        <v>766</v>
      </c>
      <c r="AF1189" s="103" t="b">
        <v>1</v>
      </c>
    </row>
    <row r="1190" spans="1:32" hidden="1" x14ac:dyDescent="0.2">
      <c r="A1190" s="103" t="s">
        <v>1087</v>
      </c>
      <c r="B1190" s="103" t="s">
        <v>1086</v>
      </c>
      <c r="C1190" s="103" t="s">
        <v>3302</v>
      </c>
      <c r="D1190" s="103" t="s">
        <v>3303</v>
      </c>
      <c r="E1190" s="103" t="s">
        <v>2195</v>
      </c>
      <c r="F1190" s="103" t="s">
        <v>2151</v>
      </c>
      <c r="G1190" s="103">
        <v>240</v>
      </c>
      <c r="H1190" s="103" t="s">
        <v>2168</v>
      </c>
      <c r="I1190" s="103" t="s">
        <v>2153</v>
      </c>
      <c r="J1190" s="103">
        <v>80</v>
      </c>
      <c r="L1190" s="103">
        <v>60</v>
      </c>
      <c r="M1190" s="103">
        <v>100</v>
      </c>
      <c r="N1190" s="103" t="s">
        <v>2163</v>
      </c>
      <c r="O1190" s="103">
        <v>240</v>
      </c>
      <c r="P1190" s="103" t="s">
        <v>771</v>
      </c>
      <c r="Q1190" s="103" t="s">
        <v>2155</v>
      </c>
      <c r="R1190" s="103" t="s">
        <v>2156</v>
      </c>
      <c r="S1190" s="103" t="s">
        <v>2396</v>
      </c>
      <c r="U1190" s="103">
        <v>123.12</v>
      </c>
      <c r="V1190" s="103" t="s">
        <v>2158</v>
      </c>
      <c r="W1190" s="103" t="s">
        <v>114</v>
      </c>
      <c r="X1190" s="103" t="s">
        <v>1597</v>
      </c>
      <c r="Y1190" s="103" t="s">
        <v>1685</v>
      </c>
      <c r="AA1190" s="103" t="s">
        <v>2156</v>
      </c>
      <c r="AB1190" s="103" t="s">
        <v>68</v>
      </c>
      <c r="AC1190" s="103" t="s">
        <v>2511</v>
      </c>
      <c r="AD1190" s="103" t="s">
        <v>2391</v>
      </c>
      <c r="AE1190" s="103" t="s">
        <v>766</v>
      </c>
      <c r="AF1190" s="103" t="b">
        <v>1</v>
      </c>
    </row>
    <row r="1191" spans="1:32" hidden="1" x14ac:dyDescent="0.2">
      <c r="A1191" s="103" t="s">
        <v>1087</v>
      </c>
      <c r="B1191" s="103" t="s">
        <v>1086</v>
      </c>
      <c r="C1191" s="103" t="s">
        <v>3302</v>
      </c>
      <c r="D1191" s="103" t="s">
        <v>3303</v>
      </c>
      <c r="E1191" s="103" t="s">
        <v>2510</v>
      </c>
      <c r="F1191" s="103" t="s">
        <v>2202</v>
      </c>
      <c r="G1191" s="103">
        <v>200</v>
      </c>
      <c r="H1191" s="103" t="s">
        <v>2168</v>
      </c>
      <c r="I1191" s="103" t="s">
        <v>2153</v>
      </c>
      <c r="L1191" s="103">
        <v>100</v>
      </c>
      <c r="M1191" s="103">
        <v>100</v>
      </c>
      <c r="N1191" s="103" t="s">
        <v>2163</v>
      </c>
      <c r="O1191" s="103">
        <v>200</v>
      </c>
      <c r="P1191" s="103" t="s">
        <v>873</v>
      </c>
      <c r="Q1191" s="103" t="s">
        <v>2155</v>
      </c>
      <c r="R1191" s="103" t="s">
        <v>2156</v>
      </c>
      <c r="S1191" s="103" t="s">
        <v>2396</v>
      </c>
      <c r="U1191" s="103">
        <v>102.6</v>
      </c>
      <c r="V1191" s="103" t="s">
        <v>2158</v>
      </c>
      <c r="W1191" s="103" t="s">
        <v>114</v>
      </c>
      <c r="X1191" s="103" t="s">
        <v>1597</v>
      </c>
      <c r="Y1191" s="103" t="s">
        <v>1685</v>
      </c>
      <c r="AA1191" s="103" t="s">
        <v>2156</v>
      </c>
      <c r="AB1191" s="103" t="s">
        <v>68</v>
      </c>
      <c r="AC1191" s="103" t="s">
        <v>2511</v>
      </c>
      <c r="AD1191" s="103" t="s">
        <v>2391</v>
      </c>
      <c r="AE1191" s="103" t="s">
        <v>766</v>
      </c>
      <c r="AF1191" s="103" t="b">
        <v>1</v>
      </c>
    </row>
    <row r="1192" spans="1:32" hidden="1" x14ac:dyDescent="0.2">
      <c r="A1192" s="103" t="s">
        <v>1087</v>
      </c>
      <c r="B1192" s="103" t="s">
        <v>1086</v>
      </c>
      <c r="C1192" s="103" t="s">
        <v>3304</v>
      </c>
      <c r="D1192" s="103" t="s">
        <v>3305</v>
      </c>
      <c r="E1192" s="103" t="s">
        <v>2510</v>
      </c>
      <c r="F1192" s="103" t="s">
        <v>2151</v>
      </c>
      <c r="G1192" s="103">
        <v>100</v>
      </c>
      <c r="H1192" s="103" t="s">
        <v>2168</v>
      </c>
      <c r="I1192" s="103" t="s">
        <v>2153</v>
      </c>
      <c r="K1192" s="103">
        <v>100</v>
      </c>
      <c r="N1192" s="103" t="s">
        <v>2163</v>
      </c>
      <c r="O1192" s="103">
        <v>100</v>
      </c>
      <c r="P1192" s="103" t="s">
        <v>873</v>
      </c>
      <c r="Q1192" s="103" t="s">
        <v>2155</v>
      </c>
      <c r="R1192" s="103" t="s">
        <v>2156</v>
      </c>
      <c r="S1192" s="103" t="s">
        <v>2209</v>
      </c>
      <c r="U1192" s="103">
        <v>51.3</v>
      </c>
      <c r="V1192" s="103" t="s">
        <v>2158</v>
      </c>
      <c r="W1192" s="103" t="s">
        <v>114</v>
      </c>
      <c r="X1192" s="103" t="s">
        <v>1597</v>
      </c>
      <c r="Y1192" s="103" t="s">
        <v>1685</v>
      </c>
      <c r="AA1192" s="103" t="s">
        <v>2156</v>
      </c>
      <c r="AB1192" s="103" t="s">
        <v>68</v>
      </c>
      <c r="AC1192" s="103" t="s">
        <v>2511</v>
      </c>
      <c r="AD1192" s="103" t="s">
        <v>2391</v>
      </c>
      <c r="AE1192" s="103" t="s">
        <v>766</v>
      </c>
      <c r="AF1192" s="103" t="b">
        <v>1</v>
      </c>
    </row>
    <row r="1193" spans="1:32" hidden="1" x14ac:dyDescent="0.2">
      <c r="A1193" s="103" t="s">
        <v>1087</v>
      </c>
      <c r="B1193" s="103" t="s">
        <v>1086</v>
      </c>
      <c r="C1193" s="103" t="s">
        <v>3306</v>
      </c>
      <c r="D1193" s="103" t="s">
        <v>3307</v>
      </c>
      <c r="E1193" s="103" t="s">
        <v>2510</v>
      </c>
      <c r="F1193" s="103" t="s">
        <v>2151</v>
      </c>
      <c r="G1193" s="103">
        <v>100</v>
      </c>
      <c r="H1193" s="103" t="s">
        <v>2168</v>
      </c>
      <c r="I1193" s="103" t="s">
        <v>2153</v>
      </c>
      <c r="J1193" s="103">
        <v>100</v>
      </c>
      <c r="N1193" s="103" t="s">
        <v>2163</v>
      </c>
      <c r="O1193" s="103">
        <v>100</v>
      </c>
      <c r="P1193" s="103" t="s">
        <v>873</v>
      </c>
      <c r="Q1193" s="103" t="s">
        <v>2155</v>
      </c>
      <c r="R1193" s="103" t="s">
        <v>2156</v>
      </c>
      <c r="S1193" s="103" t="s">
        <v>2157</v>
      </c>
      <c r="U1193" s="103">
        <v>51.3</v>
      </c>
      <c r="V1193" s="103" t="s">
        <v>2158</v>
      </c>
      <c r="W1193" s="103" t="s">
        <v>114</v>
      </c>
      <c r="X1193" s="103" t="s">
        <v>1597</v>
      </c>
      <c r="Y1193" s="103" t="s">
        <v>1685</v>
      </c>
      <c r="AA1193" s="103" t="s">
        <v>2156</v>
      </c>
      <c r="AB1193" s="103" t="s">
        <v>68</v>
      </c>
      <c r="AC1193" s="103" t="s">
        <v>2511</v>
      </c>
      <c r="AD1193" s="103" t="s">
        <v>2391</v>
      </c>
      <c r="AE1193" s="103" t="s">
        <v>766</v>
      </c>
      <c r="AF1193" s="103" t="b">
        <v>1</v>
      </c>
    </row>
    <row r="1194" spans="1:32" hidden="1" x14ac:dyDescent="0.2">
      <c r="A1194" s="103" t="s">
        <v>1087</v>
      </c>
      <c r="B1194" s="103" t="s">
        <v>1086</v>
      </c>
      <c r="C1194" s="103" t="s">
        <v>3306</v>
      </c>
      <c r="D1194" s="103" t="s">
        <v>3307</v>
      </c>
      <c r="E1194" s="103" t="s">
        <v>2195</v>
      </c>
      <c r="F1194" s="103" t="s">
        <v>2162</v>
      </c>
      <c r="G1194" s="103">
        <v>120</v>
      </c>
      <c r="H1194" s="103" t="s">
        <v>2168</v>
      </c>
      <c r="I1194" s="103" t="s">
        <v>2153</v>
      </c>
      <c r="J1194" s="103">
        <v>120</v>
      </c>
      <c r="N1194" s="103" t="s">
        <v>2163</v>
      </c>
      <c r="O1194" s="103">
        <v>120</v>
      </c>
      <c r="P1194" s="103" t="s">
        <v>771</v>
      </c>
      <c r="Q1194" s="103" t="s">
        <v>2155</v>
      </c>
      <c r="R1194" s="103" t="s">
        <v>2156</v>
      </c>
      <c r="S1194" s="103" t="s">
        <v>2157</v>
      </c>
      <c r="U1194" s="103">
        <v>61.56</v>
      </c>
      <c r="V1194" s="103" t="s">
        <v>2158</v>
      </c>
      <c r="W1194" s="103" t="s">
        <v>114</v>
      </c>
      <c r="X1194" s="103" t="s">
        <v>1597</v>
      </c>
      <c r="Y1194" s="103" t="s">
        <v>1685</v>
      </c>
      <c r="AA1194" s="103" t="s">
        <v>2156</v>
      </c>
      <c r="AB1194" s="103" t="s">
        <v>68</v>
      </c>
      <c r="AC1194" s="103" t="s">
        <v>2511</v>
      </c>
      <c r="AD1194" s="103" t="s">
        <v>2203</v>
      </c>
      <c r="AE1194" s="103" t="s">
        <v>766</v>
      </c>
      <c r="AF1194" s="103" t="b">
        <v>1</v>
      </c>
    </row>
    <row r="1195" spans="1:32" hidden="1" x14ac:dyDescent="0.2">
      <c r="A1195" s="103" t="s">
        <v>1107</v>
      </c>
      <c r="B1195" s="103" t="s">
        <v>1088</v>
      </c>
      <c r="C1195" s="103" t="s">
        <v>2623</v>
      </c>
      <c r="D1195" s="103" t="s">
        <v>3308</v>
      </c>
      <c r="E1195" s="103" t="s">
        <v>2562</v>
      </c>
      <c r="F1195" s="103" t="s">
        <v>2202</v>
      </c>
      <c r="G1195" s="103">
        <v>250</v>
      </c>
      <c r="H1195" s="103" t="s">
        <v>2168</v>
      </c>
      <c r="I1195" s="103" t="s">
        <v>2153</v>
      </c>
      <c r="J1195" s="103">
        <v>0</v>
      </c>
      <c r="K1195" s="103">
        <v>130</v>
      </c>
      <c r="L1195" s="103">
        <v>120</v>
      </c>
      <c r="M1195" s="103">
        <v>0</v>
      </c>
      <c r="N1195" s="103" t="s">
        <v>2163</v>
      </c>
      <c r="O1195" s="103">
        <v>250</v>
      </c>
      <c r="P1195" s="103" t="s">
        <v>1617</v>
      </c>
      <c r="Q1195" s="103" t="s">
        <v>2155</v>
      </c>
      <c r="R1195" s="103" t="s">
        <v>2225</v>
      </c>
      <c r="S1195" s="103" t="s">
        <v>2238</v>
      </c>
      <c r="U1195" s="103">
        <v>120.75</v>
      </c>
      <c r="V1195" s="103" t="s">
        <v>2158</v>
      </c>
      <c r="W1195" s="103" t="s">
        <v>106</v>
      </c>
      <c r="X1195" s="103" t="s">
        <v>1597</v>
      </c>
      <c r="Y1195" s="103" t="s">
        <v>1685</v>
      </c>
      <c r="AA1195" s="103" t="s">
        <v>2225</v>
      </c>
      <c r="AB1195" s="103" t="s">
        <v>64</v>
      </c>
      <c r="AE1195" s="103" t="s">
        <v>750</v>
      </c>
      <c r="AF1195" s="103" t="b">
        <v>1</v>
      </c>
    </row>
    <row r="1196" spans="1:32" hidden="1" x14ac:dyDescent="0.2">
      <c r="A1196" s="103" t="s">
        <v>1107</v>
      </c>
      <c r="B1196" s="103" t="s">
        <v>1088</v>
      </c>
      <c r="C1196" s="103" t="s">
        <v>2623</v>
      </c>
      <c r="D1196" s="103" t="s">
        <v>3309</v>
      </c>
      <c r="E1196" s="103" t="s">
        <v>2562</v>
      </c>
      <c r="F1196" s="103" t="s">
        <v>2162</v>
      </c>
      <c r="G1196" s="103">
        <v>50</v>
      </c>
      <c r="H1196" s="103" t="s">
        <v>2168</v>
      </c>
      <c r="I1196" s="103" t="s">
        <v>2153</v>
      </c>
      <c r="L1196" s="103">
        <v>30</v>
      </c>
      <c r="M1196" s="103">
        <v>20</v>
      </c>
      <c r="N1196" s="103" t="s">
        <v>2163</v>
      </c>
      <c r="O1196" s="103">
        <v>50</v>
      </c>
      <c r="P1196" s="103" t="s">
        <v>1617</v>
      </c>
      <c r="Q1196" s="103" t="s">
        <v>2155</v>
      </c>
      <c r="R1196" s="103" t="s">
        <v>2225</v>
      </c>
      <c r="S1196" s="103" t="s">
        <v>2238</v>
      </c>
      <c r="U1196" s="103">
        <v>24.15</v>
      </c>
      <c r="V1196" s="103" t="s">
        <v>2158</v>
      </c>
      <c r="W1196" s="103" t="s">
        <v>106</v>
      </c>
      <c r="X1196" s="103" t="s">
        <v>1597</v>
      </c>
      <c r="Y1196" s="103" t="s">
        <v>1685</v>
      </c>
      <c r="AA1196" s="103" t="s">
        <v>2225</v>
      </c>
      <c r="AB1196" s="103" t="s">
        <v>64</v>
      </c>
      <c r="AE1196" s="103" t="s">
        <v>750</v>
      </c>
      <c r="AF1196" s="103" t="b">
        <v>1</v>
      </c>
    </row>
    <row r="1197" spans="1:32" hidden="1" x14ac:dyDescent="0.2">
      <c r="A1197" s="103" t="s">
        <v>1107</v>
      </c>
      <c r="B1197" s="103" t="s">
        <v>1088</v>
      </c>
      <c r="C1197" s="103" t="s">
        <v>2623</v>
      </c>
      <c r="D1197" s="103" t="s">
        <v>2428</v>
      </c>
      <c r="E1197" s="103" t="s">
        <v>2586</v>
      </c>
      <c r="G1197" s="103">
        <v>22.5</v>
      </c>
      <c r="H1197" s="103" t="s">
        <v>2152</v>
      </c>
      <c r="I1197" s="103" t="s">
        <v>2153</v>
      </c>
      <c r="K1197" s="103">
        <v>10</v>
      </c>
      <c r="L1197" s="103">
        <v>10</v>
      </c>
      <c r="M1197" s="103">
        <v>2.5</v>
      </c>
      <c r="N1197" s="103" t="s">
        <v>2163</v>
      </c>
      <c r="O1197" s="103">
        <v>22.5</v>
      </c>
      <c r="P1197" s="103" t="s">
        <v>1617</v>
      </c>
      <c r="Q1197" s="103" t="s">
        <v>2155</v>
      </c>
      <c r="R1197" s="103" t="s">
        <v>2164</v>
      </c>
      <c r="U1197" s="103">
        <v>13.5</v>
      </c>
      <c r="V1197" s="103" t="s">
        <v>2158</v>
      </c>
      <c r="W1197" s="103" t="s">
        <v>132</v>
      </c>
      <c r="X1197" s="103" t="s">
        <v>1597</v>
      </c>
      <c r="Y1197" s="103" t="s">
        <v>1685</v>
      </c>
      <c r="AA1197" s="103" t="s">
        <v>2164</v>
      </c>
      <c r="AB1197" s="103" t="s">
        <v>64</v>
      </c>
      <c r="AE1197" s="103" t="s">
        <v>750</v>
      </c>
      <c r="AF1197" s="103" t="b">
        <v>1</v>
      </c>
    </row>
    <row r="1198" spans="1:32" hidden="1" x14ac:dyDescent="0.2">
      <c r="A1198" s="103" t="s">
        <v>1097</v>
      </c>
      <c r="B1198" s="103" t="s">
        <v>1096</v>
      </c>
      <c r="C1198" s="103" t="s">
        <v>3310</v>
      </c>
      <c r="E1198" s="103" t="s">
        <v>2195</v>
      </c>
      <c r="F1198" s="103" t="s">
        <v>2202</v>
      </c>
      <c r="G1198" s="103">
        <v>240</v>
      </c>
      <c r="H1198" s="103" t="s">
        <v>2168</v>
      </c>
      <c r="I1198" s="103" t="s">
        <v>2153</v>
      </c>
      <c r="J1198" s="103">
        <v>120</v>
      </c>
      <c r="K1198" s="103">
        <v>50</v>
      </c>
      <c r="L1198" s="103">
        <v>50</v>
      </c>
      <c r="M1198" s="103">
        <v>20</v>
      </c>
      <c r="N1198" s="103" t="s">
        <v>2163</v>
      </c>
      <c r="O1198" s="103">
        <v>240</v>
      </c>
      <c r="P1198" s="103" t="s">
        <v>771</v>
      </c>
      <c r="Q1198" s="103" t="s">
        <v>2155</v>
      </c>
      <c r="R1198" s="103" t="s">
        <v>2156</v>
      </c>
      <c r="S1198" s="103" t="s">
        <v>2157</v>
      </c>
      <c r="U1198" s="103">
        <v>123.12</v>
      </c>
      <c r="V1198" s="103" t="s">
        <v>2158</v>
      </c>
      <c r="W1198" s="103" t="s">
        <v>114</v>
      </c>
      <c r="X1198" s="103" t="s">
        <v>1597</v>
      </c>
      <c r="Y1198" s="103" t="s">
        <v>1685</v>
      </c>
      <c r="AA1198" s="103" t="s">
        <v>2156</v>
      </c>
      <c r="AB1198" s="103" t="s">
        <v>68</v>
      </c>
      <c r="AC1198" s="103" t="s">
        <v>2159</v>
      </c>
      <c r="AD1198" s="103" t="s">
        <v>2203</v>
      </c>
      <c r="AE1198" s="103" t="s">
        <v>766</v>
      </c>
      <c r="AF1198" s="103" t="b">
        <v>1</v>
      </c>
    </row>
    <row r="1199" spans="1:32" hidden="1" x14ac:dyDescent="0.2">
      <c r="A1199" s="103" t="s">
        <v>1097</v>
      </c>
      <c r="B1199" s="103" t="s">
        <v>1096</v>
      </c>
      <c r="C1199" s="103" t="s">
        <v>3311</v>
      </c>
      <c r="D1199" s="103" t="s">
        <v>3312</v>
      </c>
      <c r="E1199" s="103" t="s">
        <v>2201</v>
      </c>
      <c r="F1199" s="103" t="s">
        <v>2232</v>
      </c>
      <c r="G1199" s="103">
        <v>384</v>
      </c>
      <c r="H1199" s="103" t="s">
        <v>2152</v>
      </c>
      <c r="I1199" s="103" t="s">
        <v>2153</v>
      </c>
      <c r="J1199" s="103">
        <v>96</v>
      </c>
      <c r="K1199" s="103">
        <v>96</v>
      </c>
      <c r="L1199" s="103">
        <v>96</v>
      </c>
      <c r="M1199" s="103">
        <v>96</v>
      </c>
      <c r="N1199" s="103" t="s">
        <v>2163</v>
      </c>
      <c r="O1199" s="103">
        <v>384</v>
      </c>
      <c r="P1199" s="103" t="s">
        <v>771</v>
      </c>
      <c r="Q1199" s="103" t="s">
        <v>2155</v>
      </c>
      <c r="R1199" s="103" t="s">
        <v>2164</v>
      </c>
      <c r="S1199" s="103" t="s">
        <v>2396</v>
      </c>
      <c r="U1199" s="103">
        <v>230.4</v>
      </c>
      <c r="V1199" s="103" t="s">
        <v>2158</v>
      </c>
      <c r="W1199" s="103" t="s">
        <v>132</v>
      </c>
      <c r="X1199" s="103" t="s">
        <v>1597</v>
      </c>
      <c r="Y1199" s="103" t="s">
        <v>1685</v>
      </c>
      <c r="AA1199" s="103" t="s">
        <v>2164</v>
      </c>
      <c r="AB1199" s="103" t="s">
        <v>68</v>
      </c>
      <c r="AC1199" s="103" t="s">
        <v>2193</v>
      </c>
      <c r="AD1199" s="103" t="s">
        <v>2203</v>
      </c>
      <c r="AE1199" s="103" t="s">
        <v>766</v>
      </c>
      <c r="AF1199" s="103" t="b">
        <v>1</v>
      </c>
    </row>
    <row r="1200" spans="1:32" hidden="1" x14ac:dyDescent="0.2">
      <c r="A1200" s="103" t="s">
        <v>1103</v>
      </c>
      <c r="B1200" s="103" t="s">
        <v>1102</v>
      </c>
      <c r="C1200" s="103" t="s">
        <v>3313</v>
      </c>
      <c r="E1200" s="103" t="s">
        <v>2195</v>
      </c>
      <c r="F1200" s="103" t="s">
        <v>2151</v>
      </c>
      <c r="G1200" s="103">
        <v>60</v>
      </c>
      <c r="H1200" s="103" t="s">
        <v>2168</v>
      </c>
      <c r="I1200" s="103" t="s">
        <v>2153</v>
      </c>
      <c r="J1200" s="103">
        <v>10</v>
      </c>
      <c r="K1200" s="103">
        <v>20</v>
      </c>
      <c r="L1200" s="103">
        <v>10</v>
      </c>
      <c r="M1200" s="103">
        <v>20</v>
      </c>
      <c r="N1200" s="103" t="s">
        <v>2163</v>
      </c>
      <c r="O1200" s="103">
        <v>60</v>
      </c>
      <c r="P1200" s="103" t="s">
        <v>771</v>
      </c>
      <c r="Q1200" s="103" t="s">
        <v>2236</v>
      </c>
      <c r="R1200" s="103" t="s">
        <v>2156</v>
      </c>
      <c r="U1200" s="103">
        <v>30.78</v>
      </c>
      <c r="V1200" s="103" t="s">
        <v>2158</v>
      </c>
      <c r="W1200" s="103" t="s">
        <v>114</v>
      </c>
      <c r="X1200" s="103" t="s">
        <v>1597</v>
      </c>
      <c r="Y1200" s="103" t="s">
        <v>1685</v>
      </c>
      <c r="AA1200" s="103" t="s">
        <v>2156</v>
      </c>
      <c r="AB1200" s="103" t="s">
        <v>68</v>
      </c>
      <c r="AC1200" s="103" t="s">
        <v>2159</v>
      </c>
      <c r="AD1200" s="103" t="s">
        <v>2388</v>
      </c>
      <c r="AE1200" s="103" t="s">
        <v>766</v>
      </c>
      <c r="AF1200" s="103" t="b">
        <v>1</v>
      </c>
    </row>
    <row r="1201" spans="1:32" hidden="1" x14ac:dyDescent="0.2">
      <c r="A1201" s="103" t="s">
        <v>1103</v>
      </c>
      <c r="B1201" s="103" t="s">
        <v>1102</v>
      </c>
      <c r="C1201" s="103" t="s">
        <v>3314</v>
      </c>
      <c r="E1201" s="103" t="s">
        <v>2195</v>
      </c>
      <c r="F1201" s="103" t="s">
        <v>2151</v>
      </c>
      <c r="G1201" s="103">
        <v>180</v>
      </c>
      <c r="H1201" s="103" t="s">
        <v>2168</v>
      </c>
      <c r="I1201" s="103" t="s">
        <v>2153</v>
      </c>
      <c r="J1201" s="103">
        <v>40</v>
      </c>
      <c r="K1201" s="103">
        <v>30</v>
      </c>
      <c r="L1201" s="103">
        <v>50</v>
      </c>
      <c r="M1201" s="103">
        <v>60</v>
      </c>
      <c r="N1201" s="103" t="s">
        <v>2163</v>
      </c>
      <c r="O1201" s="103">
        <v>180</v>
      </c>
      <c r="P1201" s="103" t="s">
        <v>771</v>
      </c>
      <c r="Q1201" s="103" t="s">
        <v>2236</v>
      </c>
      <c r="R1201" s="103" t="s">
        <v>2156</v>
      </c>
      <c r="U1201" s="103">
        <v>92.34</v>
      </c>
      <c r="V1201" s="103" t="s">
        <v>2158</v>
      </c>
      <c r="W1201" s="103" t="s">
        <v>114</v>
      </c>
      <c r="X1201" s="103" t="s">
        <v>1597</v>
      </c>
      <c r="Y1201" s="103" t="s">
        <v>1685</v>
      </c>
      <c r="AA1201" s="103" t="s">
        <v>2156</v>
      </c>
      <c r="AB1201" s="103" t="s">
        <v>68</v>
      </c>
      <c r="AC1201" s="103" t="s">
        <v>2159</v>
      </c>
      <c r="AD1201" s="103" t="s">
        <v>2388</v>
      </c>
      <c r="AE1201" s="103" t="s">
        <v>766</v>
      </c>
      <c r="AF1201" s="103" t="b">
        <v>1</v>
      </c>
    </row>
    <row r="1202" spans="1:32" hidden="1" x14ac:dyDescent="0.2">
      <c r="A1202" s="103" t="s">
        <v>1103</v>
      </c>
      <c r="B1202" s="103" t="s">
        <v>1102</v>
      </c>
      <c r="C1202" s="103" t="s">
        <v>3315</v>
      </c>
      <c r="E1202" s="103" t="s">
        <v>2195</v>
      </c>
      <c r="F1202" s="103" t="s">
        <v>2151</v>
      </c>
      <c r="G1202" s="103">
        <v>180</v>
      </c>
      <c r="H1202" s="103" t="s">
        <v>2168</v>
      </c>
      <c r="I1202" s="103" t="s">
        <v>2153</v>
      </c>
      <c r="J1202" s="103">
        <v>20</v>
      </c>
      <c r="K1202" s="103">
        <v>50</v>
      </c>
      <c r="L1202" s="103">
        <v>50</v>
      </c>
      <c r="M1202" s="103">
        <v>60</v>
      </c>
      <c r="N1202" s="103" t="s">
        <v>2163</v>
      </c>
      <c r="O1202" s="103">
        <v>180</v>
      </c>
      <c r="P1202" s="103" t="s">
        <v>771</v>
      </c>
      <c r="Q1202" s="103" t="s">
        <v>2236</v>
      </c>
      <c r="R1202" s="103" t="s">
        <v>2156</v>
      </c>
      <c r="U1202" s="103">
        <v>92.34</v>
      </c>
      <c r="V1202" s="103" t="s">
        <v>2158</v>
      </c>
      <c r="W1202" s="103" t="s">
        <v>114</v>
      </c>
      <c r="X1202" s="103" t="s">
        <v>1597</v>
      </c>
      <c r="Y1202" s="103" t="s">
        <v>1685</v>
      </c>
      <c r="AA1202" s="103" t="s">
        <v>2156</v>
      </c>
      <c r="AB1202" s="103" t="s">
        <v>68</v>
      </c>
      <c r="AC1202" s="103" t="s">
        <v>2159</v>
      </c>
      <c r="AD1202" s="103" t="s">
        <v>2388</v>
      </c>
      <c r="AE1202" s="103" t="s">
        <v>766</v>
      </c>
      <c r="AF1202" s="103" t="b">
        <v>1</v>
      </c>
    </row>
    <row r="1203" spans="1:32" hidden="1" x14ac:dyDescent="0.2">
      <c r="A1203" s="103" t="s">
        <v>1103</v>
      </c>
      <c r="B1203" s="103" t="s">
        <v>1102</v>
      </c>
      <c r="C1203" s="103" t="s">
        <v>3316</v>
      </c>
      <c r="E1203" s="103" t="s">
        <v>2195</v>
      </c>
      <c r="F1203" s="103" t="s">
        <v>2162</v>
      </c>
      <c r="G1203" s="103">
        <v>60</v>
      </c>
      <c r="H1203" s="103" t="s">
        <v>2168</v>
      </c>
      <c r="I1203" s="103" t="s">
        <v>2153</v>
      </c>
      <c r="J1203" s="103">
        <v>10</v>
      </c>
      <c r="K1203" s="103">
        <v>20</v>
      </c>
      <c r="L1203" s="103">
        <v>20</v>
      </c>
      <c r="M1203" s="103">
        <v>10</v>
      </c>
      <c r="N1203" s="103" t="s">
        <v>2163</v>
      </c>
      <c r="O1203" s="103">
        <v>60</v>
      </c>
      <c r="P1203" s="103" t="s">
        <v>771</v>
      </c>
      <c r="Q1203" s="103" t="s">
        <v>2236</v>
      </c>
      <c r="R1203" s="103" t="s">
        <v>2156</v>
      </c>
      <c r="U1203" s="103">
        <v>30.78</v>
      </c>
      <c r="V1203" s="103" t="s">
        <v>2158</v>
      </c>
      <c r="W1203" s="103" t="s">
        <v>114</v>
      </c>
      <c r="X1203" s="103" t="s">
        <v>1597</v>
      </c>
      <c r="Y1203" s="103" t="s">
        <v>1685</v>
      </c>
      <c r="AA1203" s="103" t="s">
        <v>2156</v>
      </c>
      <c r="AB1203" s="103" t="s">
        <v>68</v>
      </c>
      <c r="AC1203" s="103" t="s">
        <v>2159</v>
      </c>
      <c r="AD1203" s="103" t="s">
        <v>2388</v>
      </c>
      <c r="AE1203" s="103" t="s">
        <v>766</v>
      </c>
      <c r="AF1203" s="103" t="b">
        <v>1</v>
      </c>
    </row>
    <row r="1204" spans="1:32" hidden="1" x14ac:dyDescent="0.2">
      <c r="A1204" s="103" t="s">
        <v>1103</v>
      </c>
      <c r="B1204" s="103" t="s">
        <v>1102</v>
      </c>
      <c r="C1204" s="103" t="s">
        <v>3317</v>
      </c>
      <c r="E1204" s="103" t="s">
        <v>2195</v>
      </c>
      <c r="F1204" s="103" t="s">
        <v>2162</v>
      </c>
      <c r="G1204" s="103">
        <v>60</v>
      </c>
      <c r="H1204" s="103" t="s">
        <v>2168</v>
      </c>
      <c r="I1204" s="103" t="s">
        <v>2153</v>
      </c>
      <c r="J1204" s="103">
        <v>10</v>
      </c>
      <c r="K1204" s="103">
        <v>20</v>
      </c>
      <c r="L1204" s="103">
        <v>20</v>
      </c>
      <c r="M1204" s="103">
        <v>10</v>
      </c>
      <c r="N1204" s="103" t="s">
        <v>2163</v>
      </c>
      <c r="O1204" s="103">
        <v>60</v>
      </c>
      <c r="P1204" s="103" t="s">
        <v>771</v>
      </c>
      <c r="Q1204" s="103" t="s">
        <v>2236</v>
      </c>
      <c r="R1204" s="103" t="s">
        <v>2156</v>
      </c>
      <c r="U1204" s="103">
        <v>30.78</v>
      </c>
      <c r="V1204" s="103" t="s">
        <v>2158</v>
      </c>
      <c r="W1204" s="103" t="s">
        <v>114</v>
      </c>
      <c r="X1204" s="103" t="s">
        <v>1597</v>
      </c>
      <c r="Y1204" s="103" t="s">
        <v>1685</v>
      </c>
      <c r="AA1204" s="103" t="s">
        <v>2156</v>
      </c>
      <c r="AB1204" s="103" t="s">
        <v>68</v>
      </c>
      <c r="AC1204" s="103" t="s">
        <v>2159</v>
      </c>
      <c r="AD1204" s="103" t="s">
        <v>2388</v>
      </c>
      <c r="AE1204" s="103" t="s">
        <v>766</v>
      </c>
      <c r="AF1204" s="103" t="b">
        <v>1</v>
      </c>
    </row>
    <row r="1205" spans="1:32" hidden="1" x14ac:dyDescent="0.2">
      <c r="A1205" s="103" t="s">
        <v>1103</v>
      </c>
      <c r="B1205" s="103" t="s">
        <v>1102</v>
      </c>
      <c r="C1205" s="103" t="s">
        <v>3318</v>
      </c>
      <c r="E1205" s="103" t="s">
        <v>2195</v>
      </c>
      <c r="F1205" s="103" t="s">
        <v>2162</v>
      </c>
      <c r="G1205" s="103">
        <v>60</v>
      </c>
      <c r="H1205" s="103" t="s">
        <v>2168</v>
      </c>
      <c r="I1205" s="103" t="s">
        <v>2153</v>
      </c>
      <c r="J1205" s="103">
        <v>20</v>
      </c>
      <c r="K1205" s="103">
        <v>10</v>
      </c>
      <c r="L1205" s="103">
        <v>20</v>
      </c>
      <c r="M1205" s="103">
        <v>10</v>
      </c>
      <c r="N1205" s="103" t="s">
        <v>2163</v>
      </c>
      <c r="O1205" s="103">
        <v>60</v>
      </c>
      <c r="P1205" s="103" t="s">
        <v>771</v>
      </c>
      <c r="Q1205" s="103" t="s">
        <v>2236</v>
      </c>
      <c r="R1205" s="103" t="s">
        <v>2156</v>
      </c>
      <c r="U1205" s="103">
        <v>30.78</v>
      </c>
      <c r="V1205" s="103" t="s">
        <v>2158</v>
      </c>
      <c r="W1205" s="103" t="s">
        <v>114</v>
      </c>
      <c r="X1205" s="103" t="s">
        <v>1597</v>
      </c>
      <c r="Y1205" s="103" t="s">
        <v>1685</v>
      </c>
      <c r="AA1205" s="103" t="s">
        <v>2156</v>
      </c>
      <c r="AB1205" s="103" t="s">
        <v>68</v>
      </c>
      <c r="AC1205" s="103" t="s">
        <v>2159</v>
      </c>
      <c r="AD1205" s="103" t="s">
        <v>2388</v>
      </c>
      <c r="AE1205" s="103" t="s">
        <v>766</v>
      </c>
      <c r="AF1205" s="103" t="b">
        <v>1</v>
      </c>
    </row>
    <row r="1206" spans="1:32" hidden="1" x14ac:dyDescent="0.2">
      <c r="A1206" s="103" t="s">
        <v>1103</v>
      </c>
      <c r="B1206" s="103" t="s">
        <v>1102</v>
      </c>
      <c r="C1206" s="103" t="s">
        <v>3319</v>
      </c>
      <c r="E1206" s="103" t="s">
        <v>2195</v>
      </c>
      <c r="F1206" s="103" t="s">
        <v>2162</v>
      </c>
      <c r="G1206" s="103">
        <v>60</v>
      </c>
      <c r="H1206" s="103" t="s">
        <v>2168</v>
      </c>
      <c r="I1206" s="103" t="s">
        <v>2153</v>
      </c>
      <c r="J1206" s="103">
        <v>20</v>
      </c>
      <c r="K1206" s="103">
        <v>10</v>
      </c>
      <c r="L1206" s="103">
        <v>20</v>
      </c>
      <c r="M1206" s="103">
        <v>10</v>
      </c>
      <c r="N1206" s="103" t="s">
        <v>2163</v>
      </c>
      <c r="O1206" s="103">
        <v>60</v>
      </c>
      <c r="P1206" s="103" t="s">
        <v>771</v>
      </c>
      <c r="Q1206" s="103" t="s">
        <v>2236</v>
      </c>
      <c r="R1206" s="103" t="s">
        <v>2156</v>
      </c>
      <c r="U1206" s="103">
        <v>30.78</v>
      </c>
      <c r="V1206" s="103" t="s">
        <v>2158</v>
      </c>
      <c r="W1206" s="103" t="s">
        <v>114</v>
      </c>
      <c r="X1206" s="103" t="s">
        <v>1597</v>
      </c>
      <c r="Y1206" s="103" t="s">
        <v>1685</v>
      </c>
      <c r="AA1206" s="103" t="s">
        <v>2156</v>
      </c>
      <c r="AB1206" s="103" t="s">
        <v>68</v>
      </c>
      <c r="AC1206" s="103" t="s">
        <v>2159</v>
      </c>
      <c r="AD1206" s="103" t="s">
        <v>2388</v>
      </c>
      <c r="AE1206" s="103" t="s">
        <v>766</v>
      </c>
      <c r="AF1206" s="103" t="b">
        <v>1</v>
      </c>
    </row>
    <row r="1207" spans="1:32" hidden="1" x14ac:dyDescent="0.2">
      <c r="A1207" s="103" t="s">
        <v>1115</v>
      </c>
      <c r="B1207" s="103" t="s">
        <v>1114</v>
      </c>
      <c r="C1207" s="103" t="s">
        <v>2504</v>
      </c>
      <c r="D1207" s="103" t="s">
        <v>3320</v>
      </c>
      <c r="E1207" s="103" t="s">
        <v>104</v>
      </c>
      <c r="F1207" s="103" t="s">
        <v>2162</v>
      </c>
      <c r="G1207" s="103">
        <v>176</v>
      </c>
      <c r="H1207" s="103" t="s">
        <v>2168</v>
      </c>
      <c r="I1207" s="103" t="s">
        <v>2153</v>
      </c>
      <c r="J1207" s="103">
        <v>38</v>
      </c>
      <c r="K1207" s="103">
        <v>42</v>
      </c>
      <c r="L1207" s="103">
        <v>48</v>
      </c>
      <c r="M1207" s="103">
        <v>48</v>
      </c>
      <c r="N1207" s="103" t="s">
        <v>2163</v>
      </c>
      <c r="O1207" s="103">
        <v>176</v>
      </c>
      <c r="P1207" s="103" t="s">
        <v>1571</v>
      </c>
      <c r="Q1207" s="103" t="s">
        <v>2155</v>
      </c>
      <c r="R1207" s="103" t="s">
        <v>2156</v>
      </c>
      <c r="S1207" s="103" t="s">
        <v>2251</v>
      </c>
      <c r="U1207" s="103">
        <v>90.287999999999997</v>
      </c>
      <c r="V1207" s="103" t="s">
        <v>2158</v>
      </c>
      <c r="W1207" s="103" t="s">
        <v>104</v>
      </c>
      <c r="X1207" s="103" t="s">
        <v>1597</v>
      </c>
      <c r="Y1207" s="103" t="s">
        <v>1685</v>
      </c>
      <c r="AA1207" s="103" t="s">
        <v>2156</v>
      </c>
      <c r="AB1207" s="103" t="s">
        <v>68</v>
      </c>
      <c r="AC1207" s="103" t="s">
        <v>2505</v>
      </c>
      <c r="AD1207" s="103" t="s">
        <v>2397</v>
      </c>
      <c r="AE1207" s="103" t="s">
        <v>1116</v>
      </c>
      <c r="AF1207" s="103" t="b">
        <v>1</v>
      </c>
    </row>
    <row r="1208" spans="1:32" hidden="1" x14ac:dyDescent="0.2">
      <c r="A1208" s="103" t="s">
        <v>1120</v>
      </c>
      <c r="B1208" s="103" t="s">
        <v>1119</v>
      </c>
      <c r="C1208" s="103" t="s">
        <v>3321</v>
      </c>
      <c r="D1208" s="103" t="s">
        <v>3321</v>
      </c>
      <c r="E1208" s="103" t="s">
        <v>104</v>
      </c>
      <c r="F1208" s="103" t="s">
        <v>2151</v>
      </c>
      <c r="G1208" s="103">
        <v>528</v>
      </c>
      <c r="H1208" s="103" t="s">
        <v>2168</v>
      </c>
      <c r="I1208" s="103" t="s">
        <v>2153</v>
      </c>
      <c r="J1208" s="103">
        <v>114</v>
      </c>
      <c r="K1208" s="103">
        <v>128</v>
      </c>
      <c r="L1208" s="103">
        <v>143</v>
      </c>
      <c r="M1208" s="103">
        <v>143</v>
      </c>
      <c r="N1208" s="103" t="s">
        <v>2163</v>
      </c>
      <c r="O1208" s="103">
        <v>528</v>
      </c>
      <c r="P1208" s="103" t="s">
        <v>1571</v>
      </c>
      <c r="Q1208" s="103" t="s">
        <v>2236</v>
      </c>
      <c r="R1208" s="103" t="s">
        <v>2156</v>
      </c>
      <c r="U1208" s="103">
        <v>270.86399999999998</v>
      </c>
      <c r="V1208" s="103" t="s">
        <v>2158</v>
      </c>
      <c r="W1208" s="103" t="s">
        <v>104</v>
      </c>
      <c r="X1208" s="103" t="s">
        <v>1597</v>
      </c>
      <c r="Y1208" s="103" t="s">
        <v>1685</v>
      </c>
      <c r="AA1208" s="103" t="s">
        <v>2156</v>
      </c>
      <c r="AB1208" s="103" t="s">
        <v>68</v>
      </c>
      <c r="AC1208" s="103" t="s">
        <v>2159</v>
      </c>
      <c r="AD1208" s="103" t="s">
        <v>2388</v>
      </c>
      <c r="AE1208" s="103" t="s">
        <v>1116</v>
      </c>
      <c r="AF1208" s="103" t="b">
        <v>1</v>
      </c>
    </row>
    <row r="1209" spans="1:32" hidden="1" x14ac:dyDescent="0.2">
      <c r="A1209" s="103" t="s">
        <v>1124</v>
      </c>
      <c r="B1209" s="103" t="s">
        <v>1123</v>
      </c>
      <c r="C1209" s="103" t="s">
        <v>2504</v>
      </c>
      <c r="D1209" s="103" t="s">
        <v>2532</v>
      </c>
      <c r="E1209" s="103" t="s">
        <v>104</v>
      </c>
      <c r="F1209" s="103" t="s">
        <v>2162</v>
      </c>
      <c r="G1209" s="103">
        <v>140</v>
      </c>
      <c r="H1209" s="103" t="s">
        <v>2168</v>
      </c>
      <c r="I1209" s="103" t="s">
        <v>2153</v>
      </c>
      <c r="J1209" s="103">
        <v>60</v>
      </c>
      <c r="K1209" s="103">
        <v>80</v>
      </c>
      <c r="L1209" s="103">
        <v>0</v>
      </c>
      <c r="M1209" s="103">
        <v>0</v>
      </c>
      <c r="N1209" s="103" t="s">
        <v>2163</v>
      </c>
      <c r="O1209" s="103">
        <v>140</v>
      </c>
      <c r="P1209" s="103" t="s">
        <v>1571</v>
      </c>
      <c r="Q1209" s="103" t="s">
        <v>2155</v>
      </c>
      <c r="R1209" s="103" t="s">
        <v>2156</v>
      </c>
      <c r="S1209" s="103" t="s">
        <v>2157</v>
      </c>
      <c r="U1209" s="103">
        <v>71.819999999999993</v>
      </c>
      <c r="V1209" s="103" t="s">
        <v>2158</v>
      </c>
      <c r="W1209" s="103" t="s">
        <v>104</v>
      </c>
      <c r="X1209" s="103" t="s">
        <v>1597</v>
      </c>
      <c r="Y1209" s="103" t="s">
        <v>1685</v>
      </c>
      <c r="AA1209" s="103" t="s">
        <v>2156</v>
      </c>
      <c r="AB1209" s="103" t="s">
        <v>68</v>
      </c>
      <c r="AC1209" s="103" t="s">
        <v>2505</v>
      </c>
      <c r="AD1209" s="103" t="s">
        <v>2397</v>
      </c>
      <c r="AE1209" s="103" t="s">
        <v>1116</v>
      </c>
      <c r="AF1209" s="103" t="b">
        <v>1</v>
      </c>
    </row>
    <row r="1210" spans="1:32" hidden="1" x14ac:dyDescent="0.2">
      <c r="A1210" s="103" t="s">
        <v>1132</v>
      </c>
      <c r="B1210" s="103" t="s">
        <v>1131</v>
      </c>
      <c r="C1210" s="103" t="s">
        <v>3322</v>
      </c>
      <c r="D1210" s="103" t="s">
        <v>3323</v>
      </c>
      <c r="E1210" s="103" t="s">
        <v>2244</v>
      </c>
      <c r="F1210" s="103" t="s">
        <v>2162</v>
      </c>
      <c r="G1210" s="103">
        <v>90</v>
      </c>
      <c r="H1210" s="103" t="s">
        <v>2168</v>
      </c>
      <c r="I1210" s="103" t="s">
        <v>2153</v>
      </c>
      <c r="J1210" s="103">
        <v>90</v>
      </c>
      <c r="K1210" s="103">
        <v>0</v>
      </c>
      <c r="L1210" s="103">
        <v>0</v>
      </c>
      <c r="M1210" s="103">
        <v>0</v>
      </c>
      <c r="N1210" s="103" t="s">
        <v>2163</v>
      </c>
      <c r="O1210" s="103">
        <v>90</v>
      </c>
      <c r="P1210" s="103" t="s">
        <v>1232</v>
      </c>
      <c r="Q1210" s="103" t="s">
        <v>2155</v>
      </c>
      <c r="R1210" s="103" t="s">
        <v>2225</v>
      </c>
      <c r="S1210" s="103" t="s">
        <v>2247</v>
      </c>
      <c r="U1210" s="103">
        <v>43.47</v>
      </c>
      <c r="V1210" s="103" t="s">
        <v>2158</v>
      </c>
      <c r="W1210" s="103" t="s">
        <v>106</v>
      </c>
      <c r="X1210" s="103" t="s">
        <v>1597</v>
      </c>
      <c r="Y1210" s="103" t="s">
        <v>1685</v>
      </c>
      <c r="AA1210" s="103" t="s">
        <v>2225</v>
      </c>
      <c r="AB1210" s="103" t="s">
        <v>64</v>
      </c>
      <c r="AE1210" s="103" t="s">
        <v>750</v>
      </c>
      <c r="AF1210" s="103" t="b">
        <v>1</v>
      </c>
    </row>
    <row r="1211" spans="1:32" hidden="1" x14ac:dyDescent="0.2">
      <c r="A1211" s="103" t="s">
        <v>1132</v>
      </c>
      <c r="B1211" s="103" t="s">
        <v>1131</v>
      </c>
      <c r="C1211" s="103" t="s">
        <v>3322</v>
      </c>
      <c r="D1211" s="103" t="s">
        <v>2428</v>
      </c>
      <c r="E1211" s="103" t="s">
        <v>2586</v>
      </c>
      <c r="G1211" s="103">
        <v>9</v>
      </c>
      <c r="H1211" s="103" t="s">
        <v>2152</v>
      </c>
      <c r="I1211" s="103" t="s">
        <v>2153</v>
      </c>
      <c r="J1211" s="103">
        <v>9</v>
      </c>
      <c r="N1211" s="103" t="s">
        <v>2163</v>
      </c>
      <c r="O1211" s="103">
        <v>9</v>
      </c>
      <c r="P1211" s="103" t="s">
        <v>1232</v>
      </c>
      <c r="Q1211" s="103" t="s">
        <v>2155</v>
      </c>
      <c r="R1211" s="103" t="s">
        <v>2164</v>
      </c>
      <c r="S1211" s="103" t="s">
        <v>2238</v>
      </c>
      <c r="U1211" s="103">
        <v>5.4</v>
      </c>
      <c r="V1211" s="103" t="s">
        <v>2158</v>
      </c>
      <c r="W1211" s="103" t="s">
        <v>132</v>
      </c>
      <c r="X1211" s="103" t="s">
        <v>1597</v>
      </c>
      <c r="Y1211" s="103" t="s">
        <v>1685</v>
      </c>
      <c r="AA1211" s="103" t="s">
        <v>2164</v>
      </c>
      <c r="AB1211" s="103" t="s">
        <v>64</v>
      </c>
      <c r="AE1211" s="103" t="s">
        <v>750</v>
      </c>
      <c r="AF1211" s="103" t="b">
        <v>1</v>
      </c>
    </row>
    <row r="1212" spans="1:32" hidden="1" x14ac:dyDescent="0.2">
      <c r="A1212" s="103" t="s">
        <v>2047</v>
      </c>
      <c r="B1212" s="103" t="s">
        <v>1137</v>
      </c>
      <c r="C1212" s="103" t="s">
        <v>3324</v>
      </c>
      <c r="D1212" s="103" t="s">
        <v>3325</v>
      </c>
      <c r="E1212" s="103" t="s">
        <v>2740</v>
      </c>
      <c r="F1212" s="103" t="s">
        <v>2226</v>
      </c>
      <c r="G1212" s="103">
        <v>655</v>
      </c>
      <c r="H1212" s="103" t="s">
        <v>2152</v>
      </c>
      <c r="I1212" s="103" t="s">
        <v>2153</v>
      </c>
      <c r="J1212" s="103">
        <v>300</v>
      </c>
      <c r="K1212" s="103">
        <v>200</v>
      </c>
      <c r="L1212" s="103">
        <v>100</v>
      </c>
      <c r="M1212" s="103">
        <v>55</v>
      </c>
      <c r="N1212" s="103" t="s">
        <v>2163</v>
      </c>
      <c r="O1212" s="103">
        <v>655</v>
      </c>
      <c r="P1212" s="103" t="s">
        <v>783</v>
      </c>
      <c r="Q1212" s="103" t="s">
        <v>2155</v>
      </c>
      <c r="R1212" s="103" t="s">
        <v>121</v>
      </c>
      <c r="S1212" s="103" t="s">
        <v>2422</v>
      </c>
      <c r="U1212" s="103">
        <v>336.01499999999999</v>
      </c>
      <c r="V1212" s="103" t="s">
        <v>2158</v>
      </c>
      <c r="W1212" s="103" t="s">
        <v>121</v>
      </c>
      <c r="X1212" s="103">
        <v>0</v>
      </c>
      <c r="Y1212" s="103" t="s">
        <v>1685</v>
      </c>
      <c r="AA1212" s="103" t="s">
        <v>121</v>
      </c>
      <c r="AB1212" s="103" t="s">
        <v>71</v>
      </c>
      <c r="AE1212" s="103" t="s">
        <v>810</v>
      </c>
      <c r="AF1212" s="103" t="b">
        <v>1</v>
      </c>
    </row>
    <row r="1213" spans="1:32" hidden="1" x14ac:dyDescent="0.2">
      <c r="A1213" s="103" t="s">
        <v>2047</v>
      </c>
      <c r="B1213" s="103" t="s">
        <v>1137</v>
      </c>
      <c r="C1213" s="103" t="s">
        <v>3324</v>
      </c>
      <c r="D1213" s="103" t="s">
        <v>3326</v>
      </c>
      <c r="E1213" s="103" t="s">
        <v>2740</v>
      </c>
      <c r="F1213" s="103" t="s">
        <v>2202</v>
      </c>
      <c r="G1213" s="103">
        <v>200</v>
      </c>
      <c r="H1213" s="103" t="s">
        <v>2152</v>
      </c>
      <c r="I1213" s="103" t="s">
        <v>2153</v>
      </c>
      <c r="J1213" s="103">
        <v>50</v>
      </c>
      <c r="K1213" s="103">
        <v>50</v>
      </c>
      <c r="L1213" s="103">
        <v>0</v>
      </c>
      <c r="M1213" s="103">
        <v>100</v>
      </c>
      <c r="N1213" s="103" t="s">
        <v>2163</v>
      </c>
      <c r="O1213" s="103">
        <v>200</v>
      </c>
      <c r="P1213" s="103" t="s">
        <v>783</v>
      </c>
      <c r="Q1213" s="103" t="s">
        <v>2155</v>
      </c>
      <c r="R1213" s="103" t="s">
        <v>121</v>
      </c>
      <c r="S1213" s="103" t="s">
        <v>2251</v>
      </c>
      <c r="U1213" s="103">
        <v>102.6</v>
      </c>
      <c r="V1213" s="103" t="s">
        <v>2158</v>
      </c>
      <c r="W1213" s="103" t="s">
        <v>121</v>
      </c>
      <c r="X1213" s="103">
        <v>0</v>
      </c>
      <c r="Y1213" s="103" t="s">
        <v>1685</v>
      </c>
      <c r="AA1213" s="103" t="s">
        <v>121</v>
      </c>
      <c r="AB1213" s="103" t="s">
        <v>71</v>
      </c>
      <c r="AE1213" s="103" t="s">
        <v>810</v>
      </c>
      <c r="AF1213" s="103" t="b">
        <v>1</v>
      </c>
    </row>
    <row r="1214" spans="1:32" hidden="1" x14ac:dyDescent="0.2">
      <c r="A1214" s="103" t="s">
        <v>2047</v>
      </c>
      <c r="B1214" s="103" t="s">
        <v>1137</v>
      </c>
      <c r="C1214" s="103" t="s">
        <v>3327</v>
      </c>
      <c r="D1214" s="103" t="s">
        <v>3328</v>
      </c>
      <c r="E1214" s="103" t="s">
        <v>2811</v>
      </c>
      <c r="F1214" s="103" t="s">
        <v>2151</v>
      </c>
      <c r="G1214" s="103">
        <v>150</v>
      </c>
      <c r="H1214" s="103" t="s">
        <v>2152</v>
      </c>
      <c r="I1214" s="103" t="s">
        <v>2153</v>
      </c>
      <c r="J1214" s="103">
        <v>37</v>
      </c>
      <c r="K1214" s="103">
        <v>37</v>
      </c>
      <c r="L1214" s="103">
        <v>37</v>
      </c>
      <c r="M1214" s="103">
        <v>39</v>
      </c>
      <c r="N1214" s="103" t="s">
        <v>2163</v>
      </c>
      <c r="O1214" s="103">
        <v>150</v>
      </c>
      <c r="P1214" s="103" t="s">
        <v>1624</v>
      </c>
      <c r="Q1214" s="103" t="s">
        <v>2236</v>
      </c>
      <c r="R1214" s="103" t="s">
        <v>2220</v>
      </c>
      <c r="S1214" s="103" t="s">
        <v>2251</v>
      </c>
      <c r="T1214" s="103" t="s">
        <v>3329</v>
      </c>
      <c r="U1214" s="103">
        <v>76.95</v>
      </c>
      <c r="V1214" s="103" t="s">
        <v>2158</v>
      </c>
      <c r="W1214" s="103" t="s">
        <v>110</v>
      </c>
      <c r="X1214" s="103">
        <v>0</v>
      </c>
      <c r="Y1214" s="103" t="s">
        <v>1685</v>
      </c>
      <c r="AA1214" s="103" t="s">
        <v>2220</v>
      </c>
      <c r="AB1214" s="103" t="s">
        <v>71</v>
      </c>
      <c r="AE1214" s="103" t="s">
        <v>810</v>
      </c>
      <c r="AF1214" s="103" t="b">
        <v>1</v>
      </c>
    </row>
    <row r="1215" spans="1:32" hidden="1" x14ac:dyDescent="0.2">
      <c r="A1215" s="103" t="s">
        <v>2047</v>
      </c>
      <c r="B1215" s="103" t="s">
        <v>1137</v>
      </c>
      <c r="C1215" s="103" t="s">
        <v>3330</v>
      </c>
      <c r="D1215" s="103" t="s">
        <v>3331</v>
      </c>
      <c r="E1215" s="103" t="s">
        <v>2811</v>
      </c>
      <c r="F1215" s="103" t="s">
        <v>2151</v>
      </c>
      <c r="G1215" s="103">
        <v>100</v>
      </c>
      <c r="H1215" s="103" t="s">
        <v>2168</v>
      </c>
      <c r="I1215" s="103" t="s">
        <v>2153</v>
      </c>
      <c r="J1215" s="103">
        <v>25</v>
      </c>
      <c r="K1215" s="103">
        <v>25</v>
      </c>
      <c r="L1215" s="103">
        <v>25</v>
      </c>
      <c r="M1215" s="103">
        <v>25</v>
      </c>
      <c r="N1215" s="103" t="s">
        <v>2163</v>
      </c>
      <c r="O1215" s="103">
        <v>100</v>
      </c>
      <c r="P1215" s="103" t="s">
        <v>783</v>
      </c>
      <c r="Q1215" s="103" t="s">
        <v>2155</v>
      </c>
      <c r="R1215" s="103" t="s">
        <v>2220</v>
      </c>
      <c r="S1215" s="103" t="s">
        <v>2251</v>
      </c>
      <c r="U1215" s="103">
        <v>51.3</v>
      </c>
      <c r="V1215" s="103" t="s">
        <v>2158</v>
      </c>
      <c r="W1215" s="103" t="s">
        <v>110</v>
      </c>
      <c r="X1215" s="103">
        <v>0</v>
      </c>
      <c r="Y1215" s="103" t="s">
        <v>1685</v>
      </c>
      <c r="AA1215" s="103" t="s">
        <v>2220</v>
      </c>
      <c r="AB1215" s="103" t="s">
        <v>71</v>
      </c>
      <c r="AE1215" s="103" t="s">
        <v>810</v>
      </c>
      <c r="AF1215" s="103" t="b">
        <v>1</v>
      </c>
    </row>
    <row r="1216" spans="1:32" hidden="1" x14ac:dyDescent="0.2">
      <c r="A1216" s="103" t="s">
        <v>2047</v>
      </c>
      <c r="B1216" s="103" t="s">
        <v>1137</v>
      </c>
      <c r="C1216" s="103" t="s">
        <v>3332</v>
      </c>
      <c r="D1216" s="103" t="s">
        <v>3333</v>
      </c>
      <c r="E1216" s="103" t="s">
        <v>2814</v>
      </c>
      <c r="F1216" s="103" t="s">
        <v>2151</v>
      </c>
      <c r="G1216" s="103">
        <v>150</v>
      </c>
      <c r="H1216" s="103" t="s">
        <v>2152</v>
      </c>
      <c r="I1216" s="103" t="s">
        <v>2153</v>
      </c>
      <c r="J1216" s="103">
        <v>37</v>
      </c>
      <c r="K1216" s="103">
        <v>37</v>
      </c>
      <c r="L1216" s="103">
        <v>37</v>
      </c>
      <c r="M1216" s="103">
        <v>39</v>
      </c>
      <c r="N1216" s="103" t="s">
        <v>2163</v>
      </c>
      <c r="O1216" s="103">
        <v>150</v>
      </c>
      <c r="P1216" s="103" t="s">
        <v>783</v>
      </c>
      <c r="Q1216" s="103" t="s">
        <v>2155</v>
      </c>
      <c r="R1216" s="103" t="s">
        <v>2220</v>
      </c>
      <c r="S1216" s="103" t="s">
        <v>2251</v>
      </c>
      <c r="U1216" s="103">
        <v>76.95</v>
      </c>
      <c r="V1216" s="103" t="s">
        <v>2158</v>
      </c>
      <c r="W1216" s="103" t="s">
        <v>110</v>
      </c>
      <c r="X1216" s="103">
        <v>0</v>
      </c>
      <c r="Y1216" s="103" t="s">
        <v>1685</v>
      </c>
      <c r="AA1216" s="103" t="s">
        <v>2220</v>
      </c>
      <c r="AB1216" s="103" t="s">
        <v>71</v>
      </c>
      <c r="AE1216" s="103" t="s">
        <v>810</v>
      </c>
      <c r="AF1216" s="103" t="b">
        <v>1</v>
      </c>
    </row>
    <row r="1217" spans="1:32" hidden="1" x14ac:dyDescent="0.2">
      <c r="A1217" s="103" t="s">
        <v>2047</v>
      </c>
      <c r="B1217" s="103" t="s">
        <v>1137</v>
      </c>
      <c r="C1217" s="103" t="s">
        <v>3332</v>
      </c>
      <c r="D1217" s="103" t="s">
        <v>3334</v>
      </c>
      <c r="E1217" s="103" t="s">
        <v>2811</v>
      </c>
      <c r="F1217" s="103" t="s">
        <v>2202</v>
      </c>
      <c r="G1217" s="103">
        <v>100</v>
      </c>
      <c r="H1217" s="103" t="s">
        <v>2152</v>
      </c>
      <c r="I1217" s="103" t="s">
        <v>2153</v>
      </c>
      <c r="J1217" s="103">
        <v>25</v>
      </c>
      <c r="K1217" s="103">
        <v>25</v>
      </c>
      <c r="L1217" s="103">
        <v>25</v>
      </c>
      <c r="M1217" s="103">
        <v>25</v>
      </c>
      <c r="N1217" s="103" t="s">
        <v>2163</v>
      </c>
      <c r="O1217" s="103">
        <v>100</v>
      </c>
      <c r="P1217" s="103" t="s">
        <v>783</v>
      </c>
      <c r="Q1217" s="103" t="s">
        <v>2155</v>
      </c>
      <c r="R1217" s="103" t="s">
        <v>2220</v>
      </c>
      <c r="S1217" s="103" t="s">
        <v>2251</v>
      </c>
      <c r="U1217" s="103">
        <v>51.3</v>
      </c>
      <c r="V1217" s="103" t="s">
        <v>2158</v>
      </c>
      <c r="W1217" s="103" t="s">
        <v>110</v>
      </c>
      <c r="X1217" s="103">
        <v>0</v>
      </c>
      <c r="Y1217" s="103" t="s">
        <v>1685</v>
      </c>
      <c r="AA1217" s="103" t="s">
        <v>2220</v>
      </c>
      <c r="AB1217" s="103" t="s">
        <v>71</v>
      </c>
      <c r="AE1217" s="103" t="s">
        <v>810</v>
      </c>
      <c r="AF1217" s="103" t="b">
        <v>1</v>
      </c>
    </row>
    <row r="1218" spans="1:32" hidden="1" x14ac:dyDescent="0.2">
      <c r="A1218" s="103" t="s">
        <v>2047</v>
      </c>
      <c r="B1218" s="103" t="s">
        <v>1137</v>
      </c>
      <c r="C1218" s="103" t="s">
        <v>3335</v>
      </c>
      <c r="D1218" s="103" t="s">
        <v>3336</v>
      </c>
      <c r="E1218" s="103" t="s">
        <v>2814</v>
      </c>
      <c r="F1218" s="103" t="s">
        <v>2151</v>
      </c>
      <c r="G1218" s="103">
        <v>100</v>
      </c>
      <c r="H1218" s="103" t="s">
        <v>2168</v>
      </c>
      <c r="I1218" s="103" t="s">
        <v>2153</v>
      </c>
      <c r="J1218" s="103">
        <v>25</v>
      </c>
      <c r="K1218" s="103">
        <v>25</v>
      </c>
      <c r="L1218" s="103">
        <v>25</v>
      </c>
      <c r="M1218" s="103">
        <v>25</v>
      </c>
      <c r="N1218" s="103" t="s">
        <v>2163</v>
      </c>
      <c r="O1218" s="103">
        <v>100</v>
      </c>
      <c r="P1218" s="103" t="s">
        <v>783</v>
      </c>
      <c r="Q1218" s="103" t="s">
        <v>2155</v>
      </c>
      <c r="R1218" s="103" t="s">
        <v>2220</v>
      </c>
      <c r="S1218" s="103" t="s">
        <v>2251</v>
      </c>
      <c r="U1218" s="103">
        <v>51.3</v>
      </c>
      <c r="V1218" s="103" t="s">
        <v>2158</v>
      </c>
      <c r="W1218" s="103" t="s">
        <v>110</v>
      </c>
      <c r="X1218" s="103">
        <v>0</v>
      </c>
      <c r="Y1218" s="103" t="s">
        <v>1685</v>
      </c>
      <c r="AA1218" s="103" t="s">
        <v>2220</v>
      </c>
      <c r="AB1218" s="103" t="s">
        <v>71</v>
      </c>
      <c r="AE1218" s="103" t="s">
        <v>810</v>
      </c>
      <c r="AF1218" s="103" t="b">
        <v>1</v>
      </c>
    </row>
    <row r="1219" spans="1:32" hidden="1" x14ac:dyDescent="0.2">
      <c r="A1219" s="103" t="s">
        <v>2047</v>
      </c>
      <c r="B1219" s="103" t="s">
        <v>1137</v>
      </c>
      <c r="C1219" s="103" t="s">
        <v>3337</v>
      </c>
      <c r="D1219" s="103" t="s">
        <v>3338</v>
      </c>
      <c r="E1219" s="103" t="s">
        <v>2814</v>
      </c>
      <c r="F1219" s="103" t="s">
        <v>2175</v>
      </c>
      <c r="G1219" s="103">
        <v>20</v>
      </c>
      <c r="H1219" s="103" t="s">
        <v>2168</v>
      </c>
      <c r="I1219" s="103" t="s">
        <v>2153</v>
      </c>
      <c r="J1219" s="103">
        <v>5</v>
      </c>
      <c r="K1219" s="103">
        <v>5</v>
      </c>
      <c r="L1219" s="103">
        <v>5</v>
      </c>
      <c r="M1219" s="103">
        <v>5</v>
      </c>
      <c r="N1219" s="103" t="s">
        <v>2163</v>
      </c>
      <c r="O1219" s="103">
        <v>20</v>
      </c>
      <c r="P1219" s="103" t="s">
        <v>783</v>
      </c>
      <c r="Q1219" s="103" t="s">
        <v>2155</v>
      </c>
      <c r="R1219" s="103" t="s">
        <v>2220</v>
      </c>
      <c r="S1219" s="103" t="s">
        <v>2251</v>
      </c>
      <c r="U1219" s="103">
        <v>10.26</v>
      </c>
      <c r="V1219" s="103" t="s">
        <v>2158</v>
      </c>
      <c r="W1219" s="103" t="s">
        <v>110</v>
      </c>
      <c r="X1219" s="103">
        <v>0</v>
      </c>
      <c r="Y1219" s="103" t="s">
        <v>1685</v>
      </c>
      <c r="AA1219" s="103" t="s">
        <v>2220</v>
      </c>
      <c r="AB1219" s="103" t="s">
        <v>71</v>
      </c>
      <c r="AE1219" s="103" t="s">
        <v>810</v>
      </c>
      <c r="AF1219" s="103" t="b">
        <v>1</v>
      </c>
    </row>
    <row r="1220" spans="1:32" hidden="1" x14ac:dyDescent="0.2">
      <c r="A1220" s="103" t="s">
        <v>2047</v>
      </c>
      <c r="B1220" s="103" t="s">
        <v>1137</v>
      </c>
      <c r="C1220" s="103" t="s">
        <v>3339</v>
      </c>
      <c r="D1220" s="103" t="s">
        <v>3340</v>
      </c>
      <c r="E1220" s="103" t="s">
        <v>2814</v>
      </c>
      <c r="F1220" s="103" t="s">
        <v>2162</v>
      </c>
      <c r="G1220" s="103">
        <v>50</v>
      </c>
      <c r="H1220" s="103" t="s">
        <v>2168</v>
      </c>
      <c r="I1220" s="103" t="s">
        <v>2153</v>
      </c>
      <c r="J1220" s="103">
        <v>12</v>
      </c>
      <c r="K1220" s="103">
        <v>12</v>
      </c>
      <c r="L1220" s="103">
        <v>12</v>
      </c>
      <c r="M1220" s="103">
        <v>14</v>
      </c>
      <c r="N1220" s="103" t="s">
        <v>2163</v>
      </c>
      <c r="O1220" s="103">
        <v>50</v>
      </c>
      <c r="P1220" s="103" t="s">
        <v>783</v>
      </c>
      <c r="Q1220" s="103" t="s">
        <v>2155</v>
      </c>
      <c r="R1220" s="103" t="s">
        <v>2220</v>
      </c>
      <c r="S1220" s="103" t="s">
        <v>2251</v>
      </c>
      <c r="U1220" s="103">
        <v>25.65</v>
      </c>
      <c r="V1220" s="103" t="s">
        <v>2158</v>
      </c>
      <c r="W1220" s="103" t="s">
        <v>110</v>
      </c>
      <c r="X1220" s="103">
        <v>0</v>
      </c>
      <c r="Y1220" s="103" t="s">
        <v>1685</v>
      </c>
      <c r="AA1220" s="103" t="s">
        <v>2220</v>
      </c>
      <c r="AB1220" s="103" t="s">
        <v>71</v>
      </c>
      <c r="AE1220" s="103" t="s">
        <v>810</v>
      </c>
      <c r="AF1220" s="103" t="b">
        <v>1</v>
      </c>
    </row>
    <row r="1221" spans="1:32" hidden="1" x14ac:dyDescent="0.2">
      <c r="A1221" s="103" t="s">
        <v>2047</v>
      </c>
      <c r="B1221" s="103" t="s">
        <v>1137</v>
      </c>
      <c r="C1221" s="103" t="s">
        <v>3341</v>
      </c>
      <c r="D1221" s="103" t="s">
        <v>3342</v>
      </c>
      <c r="E1221" s="103" t="s">
        <v>2814</v>
      </c>
      <c r="F1221" s="103" t="s">
        <v>2151</v>
      </c>
      <c r="G1221" s="103">
        <v>100</v>
      </c>
      <c r="H1221" s="103" t="s">
        <v>2168</v>
      </c>
      <c r="I1221" s="103" t="s">
        <v>2153</v>
      </c>
      <c r="J1221" s="103">
        <v>25</v>
      </c>
      <c r="K1221" s="103">
        <v>25</v>
      </c>
      <c r="L1221" s="103">
        <v>25</v>
      </c>
      <c r="M1221" s="103">
        <v>25</v>
      </c>
      <c r="N1221" s="103" t="s">
        <v>2163</v>
      </c>
      <c r="O1221" s="103">
        <v>100</v>
      </c>
      <c r="P1221" s="103" t="s">
        <v>783</v>
      </c>
      <c r="Q1221" s="103" t="s">
        <v>2155</v>
      </c>
      <c r="R1221" s="103" t="s">
        <v>2220</v>
      </c>
      <c r="S1221" s="103" t="s">
        <v>2251</v>
      </c>
      <c r="U1221" s="103">
        <v>51.3</v>
      </c>
      <c r="V1221" s="103" t="s">
        <v>2158</v>
      </c>
      <c r="W1221" s="103" t="s">
        <v>110</v>
      </c>
      <c r="X1221" s="103">
        <v>0</v>
      </c>
      <c r="Y1221" s="103" t="s">
        <v>1685</v>
      </c>
      <c r="AA1221" s="103" t="s">
        <v>2220</v>
      </c>
      <c r="AB1221" s="103" t="s">
        <v>71</v>
      </c>
      <c r="AE1221" s="103" t="s">
        <v>810</v>
      </c>
      <c r="AF1221" s="103" t="b">
        <v>1</v>
      </c>
    </row>
    <row r="1222" spans="1:32" hidden="1" x14ac:dyDescent="0.2">
      <c r="A1222" s="103" t="s">
        <v>2047</v>
      </c>
      <c r="B1222" s="103" t="s">
        <v>1137</v>
      </c>
      <c r="C1222" s="103" t="s">
        <v>3343</v>
      </c>
      <c r="D1222" s="103" t="s">
        <v>3344</v>
      </c>
      <c r="E1222" s="103" t="s">
        <v>2811</v>
      </c>
      <c r="F1222" s="103" t="s">
        <v>2151</v>
      </c>
      <c r="G1222" s="103">
        <v>150</v>
      </c>
      <c r="H1222" s="103" t="s">
        <v>2152</v>
      </c>
      <c r="I1222" s="103" t="s">
        <v>2153</v>
      </c>
      <c r="J1222" s="103">
        <v>37</v>
      </c>
      <c r="K1222" s="103">
        <v>37</v>
      </c>
      <c r="L1222" s="103">
        <v>37</v>
      </c>
      <c r="M1222" s="103">
        <v>39</v>
      </c>
      <c r="N1222" s="103" t="s">
        <v>2163</v>
      </c>
      <c r="O1222" s="103">
        <v>150</v>
      </c>
      <c r="P1222" s="103" t="s">
        <v>783</v>
      </c>
      <c r="Q1222" s="103" t="s">
        <v>2155</v>
      </c>
      <c r="R1222" s="103" t="s">
        <v>2220</v>
      </c>
      <c r="S1222" s="103" t="s">
        <v>2251</v>
      </c>
      <c r="U1222" s="103">
        <v>76.95</v>
      </c>
      <c r="V1222" s="103" t="s">
        <v>2158</v>
      </c>
      <c r="W1222" s="103" t="s">
        <v>110</v>
      </c>
      <c r="X1222" s="103">
        <v>0</v>
      </c>
      <c r="Y1222" s="103" t="s">
        <v>1685</v>
      </c>
      <c r="AA1222" s="103" t="s">
        <v>2220</v>
      </c>
      <c r="AB1222" s="103" t="s">
        <v>71</v>
      </c>
      <c r="AE1222" s="103" t="s">
        <v>810</v>
      </c>
      <c r="AF1222" s="103" t="b">
        <v>1</v>
      </c>
    </row>
    <row r="1223" spans="1:32" hidden="1" x14ac:dyDescent="0.2">
      <c r="A1223" s="103" t="s">
        <v>2047</v>
      </c>
      <c r="B1223" s="103" t="s">
        <v>1137</v>
      </c>
      <c r="C1223" s="103" t="s">
        <v>3345</v>
      </c>
      <c r="D1223" s="103" t="s">
        <v>3346</v>
      </c>
      <c r="E1223" s="103" t="s">
        <v>2814</v>
      </c>
      <c r="F1223" s="103" t="s">
        <v>2162</v>
      </c>
      <c r="G1223" s="103">
        <v>50</v>
      </c>
      <c r="H1223" s="103" t="s">
        <v>2168</v>
      </c>
      <c r="I1223" s="103" t="s">
        <v>2153</v>
      </c>
      <c r="J1223" s="103">
        <v>12</v>
      </c>
      <c r="K1223" s="103">
        <v>12</v>
      </c>
      <c r="L1223" s="103">
        <v>12</v>
      </c>
      <c r="M1223" s="103">
        <v>14</v>
      </c>
      <c r="N1223" s="103" t="s">
        <v>2163</v>
      </c>
      <c r="O1223" s="103">
        <v>50</v>
      </c>
      <c r="P1223" s="103" t="s">
        <v>783</v>
      </c>
      <c r="Q1223" s="103" t="s">
        <v>2155</v>
      </c>
      <c r="R1223" s="103" t="s">
        <v>2220</v>
      </c>
      <c r="S1223" s="103" t="s">
        <v>2251</v>
      </c>
      <c r="U1223" s="103">
        <v>25.65</v>
      </c>
      <c r="V1223" s="103" t="s">
        <v>2158</v>
      </c>
      <c r="W1223" s="103" t="s">
        <v>110</v>
      </c>
      <c r="X1223" s="103">
        <v>0</v>
      </c>
      <c r="Y1223" s="103" t="s">
        <v>1685</v>
      </c>
      <c r="AA1223" s="103" t="s">
        <v>2220</v>
      </c>
      <c r="AB1223" s="103" t="s">
        <v>71</v>
      </c>
      <c r="AE1223" s="103" t="s">
        <v>810</v>
      </c>
      <c r="AF1223" s="103" t="b">
        <v>1</v>
      </c>
    </row>
    <row r="1224" spans="1:32" hidden="1" x14ac:dyDescent="0.2">
      <c r="A1224" s="103" t="s">
        <v>2047</v>
      </c>
      <c r="B1224" s="103" t="s">
        <v>1137</v>
      </c>
      <c r="C1224" s="103" t="s">
        <v>3332</v>
      </c>
      <c r="D1224" s="103" t="s">
        <v>3347</v>
      </c>
      <c r="E1224" s="103" t="s">
        <v>2814</v>
      </c>
      <c r="F1224" s="103" t="s">
        <v>2162</v>
      </c>
      <c r="G1224" s="103">
        <v>50</v>
      </c>
      <c r="H1224" s="103" t="s">
        <v>2168</v>
      </c>
      <c r="I1224" s="103" t="s">
        <v>2153</v>
      </c>
      <c r="J1224" s="103">
        <v>12</v>
      </c>
      <c r="K1224" s="103">
        <v>12</v>
      </c>
      <c r="L1224" s="103">
        <v>12</v>
      </c>
      <c r="M1224" s="103">
        <v>14</v>
      </c>
      <c r="N1224" s="103" t="s">
        <v>2163</v>
      </c>
      <c r="O1224" s="103">
        <v>50</v>
      </c>
      <c r="P1224" s="103" t="s">
        <v>783</v>
      </c>
      <c r="Q1224" s="103" t="s">
        <v>2155</v>
      </c>
      <c r="R1224" s="103" t="s">
        <v>2220</v>
      </c>
      <c r="S1224" s="103" t="s">
        <v>2251</v>
      </c>
      <c r="T1224" s="103" t="s">
        <v>3348</v>
      </c>
      <c r="U1224" s="103">
        <v>25.65</v>
      </c>
      <c r="V1224" s="103" t="s">
        <v>2158</v>
      </c>
      <c r="W1224" s="103" t="s">
        <v>110</v>
      </c>
      <c r="X1224" s="103">
        <v>0</v>
      </c>
      <c r="Y1224" s="103" t="s">
        <v>1685</v>
      </c>
      <c r="AA1224" s="103" t="s">
        <v>2220</v>
      </c>
      <c r="AB1224" s="103" t="s">
        <v>71</v>
      </c>
      <c r="AE1224" s="103" t="s">
        <v>810</v>
      </c>
      <c r="AF1224" s="103" t="b">
        <v>1</v>
      </c>
    </row>
    <row r="1225" spans="1:32" hidden="1" x14ac:dyDescent="0.2">
      <c r="A1225" s="103" t="s">
        <v>2047</v>
      </c>
      <c r="B1225" s="103" t="s">
        <v>1137</v>
      </c>
      <c r="C1225" s="103" t="s">
        <v>3349</v>
      </c>
      <c r="D1225" s="103" t="s">
        <v>3350</v>
      </c>
      <c r="E1225" s="103" t="s">
        <v>2814</v>
      </c>
      <c r="F1225" s="103" t="s">
        <v>2162</v>
      </c>
      <c r="G1225" s="103">
        <v>50</v>
      </c>
      <c r="H1225" s="103" t="s">
        <v>2168</v>
      </c>
      <c r="I1225" s="103" t="s">
        <v>2153</v>
      </c>
      <c r="J1225" s="103">
        <v>12</v>
      </c>
      <c r="K1225" s="103">
        <v>12</v>
      </c>
      <c r="L1225" s="103">
        <v>12</v>
      </c>
      <c r="M1225" s="103">
        <v>14</v>
      </c>
      <c r="N1225" s="103" t="s">
        <v>2163</v>
      </c>
      <c r="O1225" s="103">
        <v>50</v>
      </c>
      <c r="P1225" s="103" t="s">
        <v>783</v>
      </c>
      <c r="Q1225" s="103" t="s">
        <v>2155</v>
      </c>
      <c r="R1225" s="103" t="s">
        <v>2220</v>
      </c>
      <c r="S1225" s="103" t="s">
        <v>2251</v>
      </c>
      <c r="U1225" s="103">
        <v>25.65</v>
      </c>
      <c r="V1225" s="103" t="s">
        <v>2158</v>
      </c>
      <c r="W1225" s="103" t="s">
        <v>110</v>
      </c>
      <c r="X1225" s="103">
        <v>0</v>
      </c>
      <c r="Y1225" s="103" t="s">
        <v>1685</v>
      </c>
      <c r="AA1225" s="103" t="s">
        <v>2220</v>
      </c>
      <c r="AB1225" s="103" t="s">
        <v>71</v>
      </c>
      <c r="AE1225" s="103" t="s">
        <v>810</v>
      </c>
      <c r="AF1225" s="103" t="b">
        <v>1</v>
      </c>
    </row>
    <row r="1226" spans="1:32" hidden="1" x14ac:dyDescent="0.2">
      <c r="A1226" s="103" t="s">
        <v>2047</v>
      </c>
      <c r="B1226" s="103" t="s">
        <v>1137</v>
      </c>
      <c r="C1226" s="103" t="s">
        <v>3351</v>
      </c>
      <c r="D1226" s="103" t="s">
        <v>3352</v>
      </c>
      <c r="E1226" s="103" t="s">
        <v>2814</v>
      </c>
      <c r="F1226" s="103" t="s">
        <v>2162</v>
      </c>
      <c r="G1226" s="103">
        <v>50</v>
      </c>
      <c r="H1226" s="103" t="s">
        <v>2168</v>
      </c>
      <c r="I1226" s="103" t="s">
        <v>2153</v>
      </c>
      <c r="J1226" s="103">
        <v>12</v>
      </c>
      <c r="K1226" s="103">
        <v>12</v>
      </c>
      <c r="L1226" s="103">
        <v>12</v>
      </c>
      <c r="M1226" s="103">
        <v>14</v>
      </c>
      <c r="N1226" s="103" t="s">
        <v>2163</v>
      </c>
      <c r="O1226" s="103">
        <v>50</v>
      </c>
      <c r="P1226" s="103" t="s">
        <v>783</v>
      </c>
      <c r="Q1226" s="103" t="s">
        <v>2155</v>
      </c>
      <c r="R1226" s="103" t="s">
        <v>2220</v>
      </c>
      <c r="S1226" s="103" t="s">
        <v>2251</v>
      </c>
      <c r="U1226" s="103">
        <v>25.65</v>
      </c>
      <c r="V1226" s="103" t="s">
        <v>2158</v>
      </c>
      <c r="W1226" s="103" t="s">
        <v>110</v>
      </c>
      <c r="X1226" s="103">
        <v>0</v>
      </c>
      <c r="Y1226" s="103" t="s">
        <v>1685</v>
      </c>
      <c r="AA1226" s="103" t="s">
        <v>2220</v>
      </c>
      <c r="AB1226" s="103" t="s">
        <v>71</v>
      </c>
      <c r="AE1226" s="103" t="s">
        <v>810</v>
      </c>
      <c r="AF1226" s="103" t="b">
        <v>1</v>
      </c>
    </row>
    <row r="1227" spans="1:32" hidden="1" x14ac:dyDescent="0.2">
      <c r="A1227" s="103" t="s">
        <v>2047</v>
      </c>
      <c r="B1227" s="103" t="s">
        <v>1137</v>
      </c>
      <c r="C1227" s="103" t="s">
        <v>3353</v>
      </c>
      <c r="D1227" s="103" t="s">
        <v>3354</v>
      </c>
      <c r="E1227" s="103" t="s">
        <v>2814</v>
      </c>
      <c r="F1227" s="103" t="s">
        <v>2175</v>
      </c>
      <c r="G1227" s="103">
        <v>20</v>
      </c>
      <c r="H1227" s="103" t="s">
        <v>2168</v>
      </c>
      <c r="I1227" s="103" t="s">
        <v>2153</v>
      </c>
      <c r="J1227" s="103">
        <v>5</v>
      </c>
      <c r="K1227" s="103">
        <v>5</v>
      </c>
      <c r="L1227" s="103">
        <v>5</v>
      </c>
      <c r="M1227" s="103">
        <v>5</v>
      </c>
      <c r="N1227" s="103" t="s">
        <v>2163</v>
      </c>
      <c r="O1227" s="103">
        <v>20</v>
      </c>
      <c r="P1227" s="103" t="s">
        <v>783</v>
      </c>
      <c r="Q1227" s="103" t="s">
        <v>2155</v>
      </c>
      <c r="R1227" s="103" t="s">
        <v>2220</v>
      </c>
      <c r="S1227" s="103" t="s">
        <v>2251</v>
      </c>
      <c r="U1227" s="103">
        <v>10.26</v>
      </c>
      <c r="V1227" s="103" t="s">
        <v>2158</v>
      </c>
      <c r="W1227" s="103" t="s">
        <v>110</v>
      </c>
      <c r="X1227" s="103">
        <v>0</v>
      </c>
      <c r="Y1227" s="103" t="s">
        <v>1685</v>
      </c>
      <c r="AA1227" s="103" t="s">
        <v>2220</v>
      </c>
      <c r="AB1227" s="103" t="s">
        <v>71</v>
      </c>
      <c r="AE1227" s="103" t="s">
        <v>810</v>
      </c>
      <c r="AF1227" s="103" t="b">
        <v>1</v>
      </c>
    </row>
    <row r="1228" spans="1:32" hidden="1" x14ac:dyDescent="0.2">
      <c r="A1228" s="103" t="s">
        <v>2047</v>
      </c>
      <c r="B1228" s="103" t="s">
        <v>1137</v>
      </c>
      <c r="C1228" s="103" t="s">
        <v>3355</v>
      </c>
      <c r="D1228" s="103" t="s">
        <v>3356</v>
      </c>
      <c r="E1228" s="103" t="s">
        <v>2814</v>
      </c>
      <c r="F1228" s="103" t="s">
        <v>2151</v>
      </c>
      <c r="G1228" s="103">
        <v>100</v>
      </c>
      <c r="H1228" s="103" t="s">
        <v>2168</v>
      </c>
      <c r="I1228" s="103" t="s">
        <v>2153</v>
      </c>
      <c r="J1228" s="103">
        <v>25</v>
      </c>
      <c r="K1228" s="103">
        <v>25</v>
      </c>
      <c r="L1228" s="103">
        <v>25</v>
      </c>
      <c r="M1228" s="103">
        <v>25</v>
      </c>
      <c r="N1228" s="103" t="s">
        <v>2163</v>
      </c>
      <c r="O1228" s="103">
        <v>100</v>
      </c>
      <c r="P1228" s="103" t="s">
        <v>783</v>
      </c>
      <c r="Q1228" s="103" t="s">
        <v>2155</v>
      </c>
      <c r="R1228" s="103" t="s">
        <v>2220</v>
      </c>
      <c r="S1228" s="103" t="s">
        <v>2251</v>
      </c>
      <c r="U1228" s="103">
        <v>51.3</v>
      </c>
      <c r="V1228" s="103" t="s">
        <v>2158</v>
      </c>
      <c r="W1228" s="103" t="s">
        <v>110</v>
      </c>
      <c r="X1228" s="103">
        <v>0</v>
      </c>
      <c r="Y1228" s="103" t="s">
        <v>1685</v>
      </c>
      <c r="AA1228" s="103" t="s">
        <v>2220</v>
      </c>
      <c r="AB1228" s="103" t="s">
        <v>71</v>
      </c>
      <c r="AE1228" s="103" t="s">
        <v>810</v>
      </c>
      <c r="AF1228" s="103" t="b">
        <v>1</v>
      </c>
    </row>
    <row r="1229" spans="1:32" hidden="1" x14ac:dyDescent="0.2">
      <c r="A1229" s="103" t="s">
        <v>2047</v>
      </c>
      <c r="B1229" s="103" t="s">
        <v>1137</v>
      </c>
      <c r="C1229" s="103" t="s">
        <v>3357</v>
      </c>
      <c r="D1229" s="103" t="s">
        <v>3358</v>
      </c>
      <c r="E1229" s="103" t="s">
        <v>2811</v>
      </c>
      <c r="F1229" s="103" t="s">
        <v>2151</v>
      </c>
      <c r="G1229" s="103">
        <v>130</v>
      </c>
      <c r="H1229" s="103" t="s">
        <v>2152</v>
      </c>
      <c r="I1229" s="103" t="s">
        <v>2153</v>
      </c>
      <c r="J1229" s="103">
        <v>32</v>
      </c>
      <c r="K1229" s="103">
        <v>32</v>
      </c>
      <c r="L1229" s="103">
        <v>32</v>
      </c>
      <c r="M1229" s="103">
        <v>34</v>
      </c>
      <c r="N1229" s="103" t="s">
        <v>2163</v>
      </c>
      <c r="O1229" s="103">
        <v>130</v>
      </c>
      <c r="P1229" s="103" t="s">
        <v>783</v>
      </c>
      <c r="Q1229" s="103" t="s">
        <v>2155</v>
      </c>
      <c r="R1229" s="103" t="s">
        <v>2220</v>
      </c>
      <c r="S1229" s="103" t="s">
        <v>2251</v>
      </c>
      <c r="U1229" s="103">
        <v>66.69</v>
      </c>
      <c r="V1229" s="103" t="s">
        <v>2158</v>
      </c>
      <c r="W1229" s="103" t="s">
        <v>110</v>
      </c>
      <c r="X1229" s="103">
        <v>0</v>
      </c>
      <c r="Y1229" s="103" t="s">
        <v>1685</v>
      </c>
      <c r="AA1229" s="103" t="s">
        <v>2220</v>
      </c>
      <c r="AB1229" s="103" t="s">
        <v>71</v>
      </c>
      <c r="AE1229" s="103" t="s">
        <v>810</v>
      </c>
      <c r="AF1229" s="103" t="b">
        <v>1</v>
      </c>
    </row>
    <row r="1230" spans="1:32" hidden="1" x14ac:dyDescent="0.2">
      <c r="A1230" s="103" t="s">
        <v>1140</v>
      </c>
      <c r="B1230" s="103" t="s">
        <v>1139</v>
      </c>
      <c r="C1230" s="103" t="s">
        <v>1140</v>
      </c>
      <c r="D1230" s="103" t="s">
        <v>3359</v>
      </c>
      <c r="E1230" s="103" t="s">
        <v>2814</v>
      </c>
      <c r="F1230" s="103" t="s">
        <v>2232</v>
      </c>
      <c r="G1230" s="103">
        <v>300</v>
      </c>
      <c r="H1230" s="103" t="s">
        <v>2168</v>
      </c>
      <c r="I1230" s="103" t="s">
        <v>2153</v>
      </c>
      <c r="J1230" s="103">
        <v>75</v>
      </c>
      <c r="K1230" s="103">
        <v>75</v>
      </c>
      <c r="L1230" s="103">
        <v>75</v>
      </c>
      <c r="M1230" s="103">
        <v>75</v>
      </c>
      <c r="N1230" s="103" t="s">
        <v>2163</v>
      </c>
      <c r="O1230" s="103">
        <v>300</v>
      </c>
      <c r="P1230" s="103" t="s">
        <v>783</v>
      </c>
      <c r="Q1230" s="103" t="s">
        <v>2155</v>
      </c>
      <c r="R1230" s="103" t="s">
        <v>2220</v>
      </c>
      <c r="S1230" s="103" t="s">
        <v>2251</v>
      </c>
      <c r="U1230" s="103">
        <v>153.9</v>
      </c>
      <c r="V1230" s="103" t="s">
        <v>2158</v>
      </c>
      <c r="W1230" s="103" t="s">
        <v>110</v>
      </c>
      <c r="X1230" s="103" t="s">
        <v>1597</v>
      </c>
      <c r="Y1230" s="103" t="s">
        <v>1685</v>
      </c>
      <c r="AA1230" s="103" t="s">
        <v>2220</v>
      </c>
      <c r="AB1230" s="103" t="s">
        <v>71</v>
      </c>
      <c r="AE1230" s="103" t="s">
        <v>810</v>
      </c>
      <c r="AF1230" s="103" t="b">
        <v>1</v>
      </c>
    </row>
    <row r="1231" spans="1:32" hidden="1" x14ac:dyDescent="0.2">
      <c r="A1231" s="103" t="s">
        <v>1144</v>
      </c>
      <c r="B1231" s="103" t="s">
        <v>1143</v>
      </c>
      <c r="C1231" s="103" t="s">
        <v>3360</v>
      </c>
      <c r="D1231" s="103" t="s">
        <v>3361</v>
      </c>
      <c r="E1231" s="103" t="s">
        <v>2993</v>
      </c>
      <c r="F1231" s="103" t="s">
        <v>2162</v>
      </c>
      <c r="G1231" s="103">
        <v>50</v>
      </c>
      <c r="H1231" s="103" t="s">
        <v>2168</v>
      </c>
      <c r="I1231" s="103" t="s">
        <v>2153</v>
      </c>
      <c r="J1231" s="103">
        <v>25</v>
      </c>
      <c r="K1231" s="103">
        <v>25</v>
      </c>
      <c r="N1231" s="103" t="s">
        <v>2163</v>
      </c>
      <c r="O1231" s="103">
        <v>50</v>
      </c>
      <c r="P1231" s="103" t="s">
        <v>820</v>
      </c>
      <c r="Q1231" s="103" t="s">
        <v>2155</v>
      </c>
      <c r="R1231" s="103" t="s">
        <v>2220</v>
      </c>
      <c r="S1231" s="103" t="s">
        <v>2209</v>
      </c>
      <c r="U1231" s="103">
        <v>25.65</v>
      </c>
      <c r="V1231" s="103" t="s">
        <v>2158</v>
      </c>
      <c r="W1231" s="103" t="s">
        <v>116</v>
      </c>
      <c r="X1231" s="103" t="s">
        <v>1597</v>
      </c>
      <c r="Y1231" s="103" t="s">
        <v>1685</v>
      </c>
      <c r="AA1231" s="103" t="s">
        <v>2220</v>
      </c>
      <c r="AB1231" s="103" t="s">
        <v>71</v>
      </c>
      <c r="AE1231" s="103" t="s">
        <v>898</v>
      </c>
      <c r="AF1231" s="103" t="b">
        <v>1</v>
      </c>
    </row>
    <row r="1232" spans="1:32" hidden="1" x14ac:dyDescent="0.2">
      <c r="A1232" s="103" t="s">
        <v>1144</v>
      </c>
      <c r="B1232" s="103" t="s">
        <v>1143</v>
      </c>
      <c r="C1232" s="103" t="s">
        <v>3362</v>
      </c>
      <c r="E1232" s="103" t="s">
        <v>2993</v>
      </c>
      <c r="F1232" s="103" t="s">
        <v>2162</v>
      </c>
      <c r="G1232" s="103">
        <v>50</v>
      </c>
      <c r="H1232" s="103" t="s">
        <v>2168</v>
      </c>
      <c r="I1232" s="103" t="s">
        <v>2153</v>
      </c>
      <c r="J1232" s="103">
        <v>50</v>
      </c>
      <c r="N1232" s="103" t="s">
        <v>2163</v>
      </c>
      <c r="O1232" s="103">
        <v>50</v>
      </c>
      <c r="P1232" s="103" t="s">
        <v>820</v>
      </c>
      <c r="Q1232" s="103" t="s">
        <v>2155</v>
      </c>
      <c r="R1232" s="103" t="s">
        <v>2220</v>
      </c>
      <c r="S1232" s="103" t="s">
        <v>2209</v>
      </c>
      <c r="U1232" s="103">
        <v>25.65</v>
      </c>
      <c r="V1232" s="103" t="s">
        <v>2158</v>
      </c>
      <c r="W1232" s="103" t="s">
        <v>116</v>
      </c>
      <c r="X1232" s="103" t="s">
        <v>1597</v>
      </c>
      <c r="Y1232" s="103" t="s">
        <v>1685</v>
      </c>
      <c r="AA1232" s="103" t="s">
        <v>2220</v>
      </c>
      <c r="AB1232" s="103" t="s">
        <v>71</v>
      </c>
      <c r="AE1232" s="103" t="s">
        <v>898</v>
      </c>
      <c r="AF1232" s="103" t="b">
        <v>1</v>
      </c>
    </row>
    <row r="1233" spans="1:32" hidden="1" x14ac:dyDescent="0.2">
      <c r="A1233" s="103" t="s">
        <v>1144</v>
      </c>
      <c r="B1233" s="103" t="s">
        <v>1143</v>
      </c>
      <c r="C1233" s="103" t="s">
        <v>3363</v>
      </c>
      <c r="D1233" s="103" t="s">
        <v>3364</v>
      </c>
      <c r="E1233" s="103" t="s">
        <v>2993</v>
      </c>
      <c r="F1233" s="103" t="s">
        <v>2162</v>
      </c>
      <c r="G1233" s="103">
        <v>50</v>
      </c>
      <c r="H1233" s="103" t="s">
        <v>2168</v>
      </c>
      <c r="I1233" s="103" t="s">
        <v>2153</v>
      </c>
      <c r="K1233" s="103">
        <v>25</v>
      </c>
      <c r="L1233" s="103">
        <v>25</v>
      </c>
      <c r="N1233" s="103" t="s">
        <v>2163</v>
      </c>
      <c r="O1233" s="103">
        <v>50</v>
      </c>
      <c r="P1233" s="103" t="s">
        <v>820</v>
      </c>
      <c r="Q1233" s="103" t="s">
        <v>2155</v>
      </c>
      <c r="R1233" s="103" t="s">
        <v>2220</v>
      </c>
      <c r="S1233" s="103" t="s">
        <v>2209</v>
      </c>
      <c r="U1233" s="103">
        <v>25.65</v>
      </c>
      <c r="V1233" s="103" t="s">
        <v>2158</v>
      </c>
      <c r="W1233" s="103" t="s">
        <v>116</v>
      </c>
      <c r="X1233" s="103" t="s">
        <v>1597</v>
      </c>
      <c r="Y1233" s="103" t="s">
        <v>1685</v>
      </c>
      <c r="AA1233" s="103" t="s">
        <v>2220</v>
      </c>
      <c r="AB1233" s="103" t="s">
        <v>71</v>
      </c>
      <c r="AE1233" s="103" t="s">
        <v>898</v>
      </c>
      <c r="AF1233" s="103" t="b">
        <v>1</v>
      </c>
    </row>
    <row r="1234" spans="1:32" hidden="1" x14ac:dyDescent="0.2">
      <c r="A1234" s="103" t="s">
        <v>1144</v>
      </c>
      <c r="B1234" s="103" t="s">
        <v>1143</v>
      </c>
      <c r="C1234" s="103" t="s">
        <v>3365</v>
      </c>
      <c r="E1234" s="103" t="s">
        <v>2993</v>
      </c>
      <c r="F1234" s="103" t="s">
        <v>2162</v>
      </c>
      <c r="G1234" s="103">
        <v>50</v>
      </c>
      <c r="H1234" s="103" t="s">
        <v>2168</v>
      </c>
      <c r="I1234" s="103" t="s">
        <v>2153</v>
      </c>
      <c r="J1234" s="103">
        <v>20</v>
      </c>
      <c r="K1234" s="103">
        <v>20</v>
      </c>
      <c r="L1234" s="103">
        <v>10</v>
      </c>
      <c r="N1234" s="103" t="s">
        <v>2163</v>
      </c>
      <c r="O1234" s="103">
        <v>50</v>
      </c>
      <c r="P1234" s="103" t="s">
        <v>820</v>
      </c>
      <c r="Q1234" s="103" t="s">
        <v>2155</v>
      </c>
      <c r="R1234" s="103" t="s">
        <v>2220</v>
      </c>
      <c r="S1234" s="103" t="s">
        <v>2209</v>
      </c>
      <c r="U1234" s="103">
        <v>25.65</v>
      </c>
      <c r="V1234" s="103" t="s">
        <v>2158</v>
      </c>
      <c r="W1234" s="103" t="s">
        <v>116</v>
      </c>
      <c r="X1234" s="103" t="s">
        <v>1597</v>
      </c>
      <c r="Y1234" s="103" t="s">
        <v>1685</v>
      </c>
      <c r="AA1234" s="103" t="s">
        <v>2220</v>
      </c>
      <c r="AB1234" s="103" t="s">
        <v>71</v>
      </c>
      <c r="AE1234" s="103" t="s">
        <v>898</v>
      </c>
      <c r="AF1234" s="103" t="b">
        <v>1</v>
      </c>
    </row>
    <row r="1235" spans="1:32" hidden="1" x14ac:dyDescent="0.2">
      <c r="A1235" s="103" t="s">
        <v>1144</v>
      </c>
      <c r="B1235" s="103" t="s">
        <v>1143</v>
      </c>
      <c r="C1235" s="103" t="s">
        <v>3366</v>
      </c>
      <c r="E1235" s="103" t="s">
        <v>2993</v>
      </c>
      <c r="F1235" s="103" t="s">
        <v>2162</v>
      </c>
      <c r="G1235" s="103">
        <v>50</v>
      </c>
      <c r="H1235" s="103" t="s">
        <v>2168</v>
      </c>
      <c r="I1235" s="103" t="s">
        <v>2153</v>
      </c>
      <c r="J1235" s="103">
        <v>10</v>
      </c>
      <c r="K1235" s="103">
        <v>15</v>
      </c>
      <c r="L1235" s="103">
        <v>15</v>
      </c>
      <c r="M1235" s="103">
        <v>10</v>
      </c>
      <c r="N1235" s="103" t="s">
        <v>2163</v>
      </c>
      <c r="O1235" s="103">
        <v>50</v>
      </c>
      <c r="P1235" s="103" t="s">
        <v>820</v>
      </c>
      <c r="Q1235" s="103" t="s">
        <v>2155</v>
      </c>
      <c r="R1235" s="103" t="s">
        <v>2220</v>
      </c>
      <c r="S1235" s="103" t="s">
        <v>2209</v>
      </c>
      <c r="U1235" s="103">
        <v>25.65</v>
      </c>
      <c r="V1235" s="103" t="s">
        <v>2158</v>
      </c>
      <c r="W1235" s="103" t="s">
        <v>116</v>
      </c>
      <c r="X1235" s="103" t="s">
        <v>1597</v>
      </c>
      <c r="Y1235" s="103" t="s">
        <v>1685</v>
      </c>
      <c r="AA1235" s="103" t="s">
        <v>2220</v>
      </c>
      <c r="AB1235" s="103" t="s">
        <v>71</v>
      </c>
      <c r="AE1235" s="103" t="s">
        <v>898</v>
      </c>
      <c r="AF1235" s="103" t="b">
        <v>1</v>
      </c>
    </row>
    <row r="1236" spans="1:32" hidden="1" x14ac:dyDescent="0.2">
      <c r="A1236" s="103" t="s">
        <v>1144</v>
      </c>
      <c r="B1236" s="103" t="s">
        <v>1143</v>
      </c>
      <c r="C1236" s="103" t="s">
        <v>3367</v>
      </c>
      <c r="E1236" s="103" t="s">
        <v>2288</v>
      </c>
      <c r="F1236" s="103" t="s">
        <v>2175</v>
      </c>
      <c r="G1236" s="103">
        <v>20</v>
      </c>
      <c r="H1236" s="103" t="s">
        <v>2168</v>
      </c>
      <c r="I1236" s="103" t="s">
        <v>2153</v>
      </c>
      <c r="M1236" s="103">
        <v>20</v>
      </c>
      <c r="N1236" s="103" t="s">
        <v>2260</v>
      </c>
      <c r="O1236" s="103">
        <v>20</v>
      </c>
      <c r="P1236" s="103" t="s">
        <v>820</v>
      </c>
      <c r="Q1236" s="103" t="s">
        <v>2155</v>
      </c>
      <c r="R1236" s="103" t="s">
        <v>2220</v>
      </c>
      <c r="U1236" s="103">
        <v>10.26</v>
      </c>
      <c r="V1236" s="103" t="s">
        <v>2262</v>
      </c>
      <c r="W1236" s="103" t="s">
        <v>116</v>
      </c>
      <c r="X1236" s="103" t="s">
        <v>1597</v>
      </c>
      <c r="Y1236" s="103" t="s">
        <v>1685</v>
      </c>
      <c r="AA1236" s="103" t="s">
        <v>2220</v>
      </c>
      <c r="AB1236" s="103" t="s">
        <v>71</v>
      </c>
      <c r="AE1236" s="103" t="s">
        <v>898</v>
      </c>
      <c r="AF1236" s="103" t="b">
        <v>1</v>
      </c>
    </row>
    <row r="1237" spans="1:32" hidden="1" x14ac:dyDescent="0.2">
      <c r="A1237" s="103" t="s">
        <v>1144</v>
      </c>
      <c r="B1237" s="103" t="s">
        <v>1143</v>
      </c>
      <c r="C1237" s="103" t="s">
        <v>3368</v>
      </c>
      <c r="E1237" s="103" t="s">
        <v>2288</v>
      </c>
      <c r="F1237" s="103" t="s">
        <v>2175</v>
      </c>
      <c r="G1237" s="103">
        <v>20</v>
      </c>
      <c r="H1237" s="103" t="s">
        <v>2168</v>
      </c>
      <c r="I1237" s="103" t="s">
        <v>2153</v>
      </c>
      <c r="M1237" s="103">
        <v>20</v>
      </c>
      <c r="N1237" s="103" t="s">
        <v>2260</v>
      </c>
      <c r="O1237" s="103">
        <v>20</v>
      </c>
      <c r="P1237" s="103" t="s">
        <v>820</v>
      </c>
      <c r="Q1237" s="103" t="s">
        <v>2155</v>
      </c>
      <c r="R1237" s="103" t="s">
        <v>2220</v>
      </c>
      <c r="U1237" s="103">
        <v>10.26</v>
      </c>
      <c r="V1237" s="103" t="s">
        <v>2262</v>
      </c>
      <c r="W1237" s="103" t="s">
        <v>116</v>
      </c>
      <c r="X1237" s="103" t="s">
        <v>1597</v>
      </c>
      <c r="Y1237" s="103" t="s">
        <v>1685</v>
      </c>
      <c r="AA1237" s="103" t="s">
        <v>2220</v>
      </c>
      <c r="AB1237" s="103" t="s">
        <v>71</v>
      </c>
      <c r="AE1237" s="103" t="s">
        <v>898</v>
      </c>
      <c r="AF1237" s="103" t="b">
        <v>1</v>
      </c>
    </row>
    <row r="1238" spans="1:32" hidden="1" x14ac:dyDescent="0.2">
      <c r="A1238" s="103" t="s">
        <v>1144</v>
      </c>
      <c r="B1238" s="103" t="s">
        <v>1143</v>
      </c>
      <c r="C1238" s="103" t="s">
        <v>3369</v>
      </c>
      <c r="E1238" s="103" t="s">
        <v>2288</v>
      </c>
      <c r="F1238" s="103" t="s">
        <v>2175</v>
      </c>
      <c r="G1238" s="103">
        <v>20</v>
      </c>
      <c r="H1238" s="103" t="s">
        <v>2168</v>
      </c>
      <c r="I1238" s="103" t="s">
        <v>2153</v>
      </c>
      <c r="M1238" s="103">
        <v>20</v>
      </c>
      <c r="N1238" s="103" t="s">
        <v>2260</v>
      </c>
      <c r="O1238" s="103">
        <v>20</v>
      </c>
      <c r="P1238" s="103" t="s">
        <v>820</v>
      </c>
      <c r="Q1238" s="103" t="s">
        <v>2155</v>
      </c>
      <c r="R1238" s="103" t="s">
        <v>2220</v>
      </c>
      <c r="U1238" s="103">
        <v>10.26</v>
      </c>
      <c r="V1238" s="103" t="s">
        <v>2262</v>
      </c>
      <c r="W1238" s="103" t="s">
        <v>116</v>
      </c>
      <c r="X1238" s="103" t="s">
        <v>1597</v>
      </c>
      <c r="Y1238" s="103" t="s">
        <v>1685</v>
      </c>
      <c r="AA1238" s="103" t="s">
        <v>2220</v>
      </c>
      <c r="AB1238" s="103" t="s">
        <v>71</v>
      </c>
      <c r="AE1238" s="103" t="s">
        <v>898</v>
      </c>
      <c r="AF1238" s="103" t="b">
        <v>1</v>
      </c>
    </row>
    <row r="1239" spans="1:32" hidden="1" x14ac:dyDescent="0.2">
      <c r="A1239" s="103" t="s">
        <v>1144</v>
      </c>
      <c r="B1239" s="103" t="s">
        <v>1143</v>
      </c>
      <c r="C1239" s="103" t="s">
        <v>3370</v>
      </c>
      <c r="E1239" s="103" t="s">
        <v>2288</v>
      </c>
      <c r="F1239" s="103" t="s">
        <v>2175</v>
      </c>
      <c r="G1239" s="103">
        <v>20</v>
      </c>
      <c r="H1239" s="103" t="s">
        <v>2168</v>
      </c>
      <c r="I1239" s="103" t="s">
        <v>2153</v>
      </c>
      <c r="M1239" s="103">
        <v>20</v>
      </c>
      <c r="N1239" s="103" t="s">
        <v>2260</v>
      </c>
      <c r="O1239" s="103">
        <v>20</v>
      </c>
      <c r="P1239" s="103" t="s">
        <v>820</v>
      </c>
      <c r="Q1239" s="103" t="s">
        <v>2155</v>
      </c>
      <c r="R1239" s="103" t="s">
        <v>2220</v>
      </c>
      <c r="U1239" s="103">
        <v>10.26</v>
      </c>
      <c r="V1239" s="103" t="s">
        <v>2262</v>
      </c>
      <c r="W1239" s="103" t="s">
        <v>116</v>
      </c>
      <c r="X1239" s="103" t="s">
        <v>1597</v>
      </c>
      <c r="Y1239" s="103" t="s">
        <v>1685</v>
      </c>
      <c r="AA1239" s="103" t="s">
        <v>2220</v>
      </c>
      <c r="AB1239" s="103" t="s">
        <v>71</v>
      </c>
      <c r="AE1239" s="103" t="s">
        <v>898</v>
      </c>
      <c r="AF1239" s="103" t="b">
        <v>1</v>
      </c>
    </row>
    <row r="1240" spans="1:32" hidden="1" x14ac:dyDescent="0.2">
      <c r="A1240" s="103" t="s">
        <v>1144</v>
      </c>
      <c r="B1240" s="103" t="s">
        <v>1143</v>
      </c>
      <c r="C1240" s="103" t="s">
        <v>3371</v>
      </c>
      <c r="E1240" s="103" t="s">
        <v>2993</v>
      </c>
      <c r="F1240" s="103" t="s">
        <v>2226</v>
      </c>
      <c r="G1240" s="103">
        <v>400</v>
      </c>
      <c r="H1240" s="103" t="s">
        <v>2168</v>
      </c>
      <c r="I1240" s="103" t="s">
        <v>2153</v>
      </c>
      <c r="K1240" s="103">
        <v>125</v>
      </c>
      <c r="L1240" s="103">
        <v>150</v>
      </c>
      <c r="M1240" s="103">
        <v>125</v>
      </c>
      <c r="N1240" s="103" t="s">
        <v>2260</v>
      </c>
      <c r="O1240" s="103">
        <v>400</v>
      </c>
      <c r="P1240" s="103" t="s">
        <v>820</v>
      </c>
      <c r="Q1240" s="103" t="s">
        <v>2155</v>
      </c>
      <c r="R1240" s="103" t="s">
        <v>2220</v>
      </c>
      <c r="S1240" s="103" t="s">
        <v>2870</v>
      </c>
      <c r="U1240" s="103">
        <v>205.2</v>
      </c>
      <c r="V1240" s="103" t="s">
        <v>2262</v>
      </c>
      <c r="W1240" s="103" t="s">
        <v>116</v>
      </c>
      <c r="X1240" s="103" t="s">
        <v>1597</v>
      </c>
      <c r="Y1240" s="103" t="s">
        <v>1685</v>
      </c>
      <c r="AA1240" s="103" t="s">
        <v>2220</v>
      </c>
      <c r="AB1240" s="103" t="s">
        <v>71</v>
      </c>
      <c r="AE1240" s="103" t="s">
        <v>898</v>
      </c>
      <c r="AF1240" s="103" t="b">
        <v>1</v>
      </c>
    </row>
    <row r="1241" spans="1:32" hidden="1" x14ac:dyDescent="0.2">
      <c r="A1241" s="103" t="s">
        <v>1146</v>
      </c>
      <c r="B1241" s="103" t="s">
        <v>1145</v>
      </c>
      <c r="C1241" s="103" t="s">
        <v>3372</v>
      </c>
      <c r="E1241" s="103" t="s">
        <v>3373</v>
      </c>
      <c r="F1241" s="103" t="s">
        <v>2228</v>
      </c>
      <c r="G1241" s="103">
        <v>800</v>
      </c>
      <c r="H1241" s="103" t="s">
        <v>2168</v>
      </c>
      <c r="I1241" s="103" t="s">
        <v>2153</v>
      </c>
      <c r="J1241" s="103">
        <v>200</v>
      </c>
      <c r="K1241" s="103">
        <v>200</v>
      </c>
      <c r="L1241" s="103">
        <v>200</v>
      </c>
      <c r="M1241" s="103">
        <v>200</v>
      </c>
      <c r="N1241" s="103" t="s">
        <v>2163</v>
      </c>
      <c r="O1241" s="103">
        <v>800</v>
      </c>
      <c r="P1241" s="103" t="s">
        <v>1679</v>
      </c>
      <c r="Q1241" s="103" t="s">
        <v>2155</v>
      </c>
      <c r="R1241" s="103" t="s">
        <v>121</v>
      </c>
      <c r="S1241" s="103" t="s">
        <v>2427</v>
      </c>
      <c r="U1241" s="103">
        <v>410.4</v>
      </c>
      <c r="V1241" s="103" t="s">
        <v>2158</v>
      </c>
      <c r="W1241" s="103" t="s">
        <v>121</v>
      </c>
      <c r="X1241" s="103" t="s">
        <v>1597</v>
      </c>
      <c r="Y1241" s="103" t="s">
        <v>1685</v>
      </c>
      <c r="AA1241" s="103" t="s">
        <v>121</v>
      </c>
      <c r="AB1241" s="103" t="s">
        <v>64</v>
      </c>
      <c r="AE1241" s="103" t="s">
        <v>750</v>
      </c>
      <c r="AF1241" s="103" t="b">
        <v>1</v>
      </c>
    </row>
    <row r="1242" spans="1:32" hidden="1" x14ac:dyDescent="0.2">
      <c r="A1242" s="103" t="s">
        <v>1146</v>
      </c>
      <c r="B1242" s="103" t="s">
        <v>1145</v>
      </c>
      <c r="D1242" s="103" t="s">
        <v>2428</v>
      </c>
      <c r="E1242" s="103" t="s">
        <v>2586</v>
      </c>
      <c r="G1242" s="103">
        <v>60</v>
      </c>
      <c r="H1242" s="103" t="s">
        <v>2152</v>
      </c>
      <c r="I1242" s="103" t="s">
        <v>2153</v>
      </c>
      <c r="J1242" s="103">
        <v>15</v>
      </c>
      <c r="K1242" s="103">
        <v>15</v>
      </c>
      <c r="L1242" s="103">
        <v>15</v>
      </c>
      <c r="M1242" s="103">
        <v>15</v>
      </c>
      <c r="N1242" s="103" t="s">
        <v>2163</v>
      </c>
      <c r="O1242" s="103">
        <v>60</v>
      </c>
      <c r="P1242" s="103" t="s">
        <v>1679</v>
      </c>
      <c r="Q1242" s="103" t="s">
        <v>2155</v>
      </c>
      <c r="R1242" s="103" t="s">
        <v>2164</v>
      </c>
      <c r="U1242" s="103">
        <v>36</v>
      </c>
      <c r="V1242" s="103" t="s">
        <v>2158</v>
      </c>
      <c r="W1242" s="103" t="s">
        <v>132</v>
      </c>
      <c r="X1242" s="103" t="s">
        <v>1597</v>
      </c>
      <c r="Y1242" s="103" t="s">
        <v>1685</v>
      </c>
      <c r="AA1242" s="103" t="s">
        <v>2164</v>
      </c>
      <c r="AB1242" s="103" t="s">
        <v>64</v>
      </c>
      <c r="AE1242" s="103" t="s">
        <v>750</v>
      </c>
      <c r="AF1242" s="103" t="b">
        <v>1</v>
      </c>
    </row>
    <row r="1243" spans="1:32" hidden="1" x14ac:dyDescent="0.2">
      <c r="A1243" s="103" t="s">
        <v>1152</v>
      </c>
      <c r="B1243" s="103" t="s">
        <v>1151</v>
      </c>
      <c r="C1243" s="103" t="s">
        <v>23</v>
      </c>
      <c r="D1243" s="103" t="s">
        <v>3374</v>
      </c>
      <c r="E1243" s="103" t="s">
        <v>2244</v>
      </c>
      <c r="F1243" s="103" t="s">
        <v>2162</v>
      </c>
      <c r="G1243" s="103">
        <v>80</v>
      </c>
      <c r="H1243" s="103" t="s">
        <v>2168</v>
      </c>
      <c r="I1243" s="103" t="s">
        <v>2153</v>
      </c>
      <c r="J1243" s="103">
        <v>80</v>
      </c>
      <c r="K1243" s="103">
        <v>0</v>
      </c>
      <c r="L1243" s="103">
        <v>0</v>
      </c>
      <c r="M1243" s="103">
        <v>0</v>
      </c>
      <c r="N1243" s="103" t="s">
        <v>2163</v>
      </c>
      <c r="O1243" s="103">
        <v>80</v>
      </c>
      <c r="P1243" s="103" t="s">
        <v>1232</v>
      </c>
      <c r="Q1243" s="103" t="s">
        <v>2155</v>
      </c>
      <c r="R1243" s="103" t="s">
        <v>2225</v>
      </c>
      <c r="S1243" s="103" t="s">
        <v>2157</v>
      </c>
      <c r="U1243" s="103">
        <v>38.64</v>
      </c>
      <c r="V1243" s="103" t="s">
        <v>2158</v>
      </c>
      <c r="W1243" s="103" t="s">
        <v>106</v>
      </c>
      <c r="X1243" s="103" t="s">
        <v>1597</v>
      </c>
      <c r="Y1243" s="103" t="s">
        <v>1685</v>
      </c>
      <c r="AA1243" s="103" t="s">
        <v>2225</v>
      </c>
      <c r="AB1243" s="103" t="s">
        <v>64</v>
      </c>
      <c r="AE1243" s="103" t="s">
        <v>750</v>
      </c>
      <c r="AF1243" s="103" t="b">
        <v>1</v>
      </c>
    </row>
    <row r="1244" spans="1:32" hidden="1" x14ac:dyDescent="0.2">
      <c r="A1244" s="103" t="s">
        <v>1152</v>
      </c>
      <c r="B1244" s="103" t="s">
        <v>1151</v>
      </c>
      <c r="C1244" s="103" t="s">
        <v>23</v>
      </c>
      <c r="D1244" s="103" t="s">
        <v>2428</v>
      </c>
      <c r="E1244" s="103" t="s">
        <v>2586</v>
      </c>
      <c r="F1244" s="103" t="s">
        <v>2175</v>
      </c>
      <c r="G1244" s="103">
        <v>6</v>
      </c>
      <c r="H1244" s="103" t="s">
        <v>2152</v>
      </c>
      <c r="I1244" s="103" t="s">
        <v>2153</v>
      </c>
      <c r="J1244" s="103">
        <v>6</v>
      </c>
      <c r="N1244" s="103" t="s">
        <v>2163</v>
      </c>
      <c r="O1244" s="103">
        <v>6</v>
      </c>
      <c r="P1244" s="103" t="s">
        <v>1232</v>
      </c>
      <c r="Q1244" s="103" t="s">
        <v>2155</v>
      </c>
      <c r="R1244" s="103" t="s">
        <v>2164</v>
      </c>
      <c r="S1244" s="103" t="s">
        <v>2157</v>
      </c>
      <c r="U1244" s="103">
        <v>3.6</v>
      </c>
      <c r="V1244" s="103" t="s">
        <v>2158</v>
      </c>
      <c r="W1244" s="103" t="s">
        <v>132</v>
      </c>
      <c r="X1244" s="103" t="s">
        <v>1597</v>
      </c>
      <c r="Y1244" s="103" t="s">
        <v>1685</v>
      </c>
      <c r="AA1244" s="103" t="s">
        <v>2164</v>
      </c>
      <c r="AB1244" s="103" t="s">
        <v>64</v>
      </c>
      <c r="AE1244" s="103" t="s">
        <v>750</v>
      </c>
      <c r="AF1244" s="103" t="b">
        <v>1</v>
      </c>
    </row>
    <row r="1245" spans="1:32" hidden="1" x14ac:dyDescent="0.2">
      <c r="A1245" s="103" t="s">
        <v>1154</v>
      </c>
      <c r="B1245" s="103" t="s">
        <v>1153</v>
      </c>
      <c r="C1245" s="103" t="s">
        <v>2842</v>
      </c>
      <c r="D1245" s="103" t="s">
        <v>3375</v>
      </c>
      <c r="E1245" s="103" t="s">
        <v>2562</v>
      </c>
      <c r="F1245" s="103" t="s">
        <v>2232</v>
      </c>
      <c r="G1245" s="103">
        <v>600</v>
      </c>
      <c r="H1245" s="103" t="s">
        <v>2168</v>
      </c>
      <c r="I1245" s="103" t="s">
        <v>2153</v>
      </c>
      <c r="J1245" s="103">
        <v>50</v>
      </c>
      <c r="K1245" s="103">
        <v>150</v>
      </c>
      <c r="L1245" s="103">
        <v>150</v>
      </c>
      <c r="M1245" s="103">
        <v>250</v>
      </c>
      <c r="N1245" s="103" t="s">
        <v>2163</v>
      </c>
      <c r="O1245" s="103">
        <v>600</v>
      </c>
      <c r="P1245" s="103" t="s">
        <v>1617</v>
      </c>
      <c r="Q1245" s="103" t="s">
        <v>2155</v>
      </c>
      <c r="R1245" s="103" t="s">
        <v>2225</v>
      </c>
      <c r="S1245" s="103" t="s">
        <v>2422</v>
      </c>
      <c r="U1245" s="103">
        <v>289.8</v>
      </c>
      <c r="V1245" s="103" t="s">
        <v>2158</v>
      </c>
      <c r="W1245" s="103" t="s">
        <v>106</v>
      </c>
      <c r="X1245" s="103" t="s">
        <v>1597</v>
      </c>
      <c r="Y1245" s="103" t="s">
        <v>1685</v>
      </c>
      <c r="AA1245" s="103" t="s">
        <v>2225</v>
      </c>
      <c r="AB1245" s="103" t="s">
        <v>64</v>
      </c>
      <c r="AE1245" s="103" t="s">
        <v>750</v>
      </c>
      <c r="AF1245" s="103" t="b">
        <v>1</v>
      </c>
    </row>
    <row r="1246" spans="1:32" hidden="1" x14ac:dyDescent="0.2">
      <c r="A1246" s="103" t="s">
        <v>1154</v>
      </c>
      <c r="B1246" s="103" t="s">
        <v>1153</v>
      </c>
      <c r="C1246" s="103" t="s">
        <v>2842</v>
      </c>
      <c r="D1246" s="103" t="s">
        <v>3376</v>
      </c>
      <c r="E1246" s="103" t="s">
        <v>2562</v>
      </c>
      <c r="F1246" s="103" t="s">
        <v>2162</v>
      </c>
      <c r="G1246" s="103">
        <v>60</v>
      </c>
      <c r="H1246" s="103" t="s">
        <v>2168</v>
      </c>
      <c r="I1246" s="103" t="s">
        <v>2153</v>
      </c>
      <c r="M1246" s="103">
        <v>60</v>
      </c>
      <c r="N1246" s="103" t="s">
        <v>2154</v>
      </c>
      <c r="O1246" s="103">
        <v>60</v>
      </c>
      <c r="P1246" s="103" t="s">
        <v>1617</v>
      </c>
      <c r="Q1246" s="103" t="s">
        <v>2155</v>
      </c>
      <c r="R1246" s="103" t="s">
        <v>2225</v>
      </c>
      <c r="S1246" s="103" t="s">
        <v>2422</v>
      </c>
      <c r="U1246" s="103">
        <v>28.98</v>
      </c>
      <c r="V1246" s="103" t="s">
        <v>2158</v>
      </c>
      <c r="W1246" s="103" t="s">
        <v>106</v>
      </c>
      <c r="X1246" s="103" t="s">
        <v>1597</v>
      </c>
      <c r="Y1246" s="103" t="s">
        <v>1685</v>
      </c>
      <c r="AA1246" s="103" t="s">
        <v>2225</v>
      </c>
      <c r="AB1246" s="103" t="s">
        <v>64</v>
      </c>
      <c r="AE1246" s="103" t="s">
        <v>750</v>
      </c>
      <c r="AF1246" s="103" t="b">
        <v>1</v>
      </c>
    </row>
    <row r="1247" spans="1:32" hidden="1" x14ac:dyDescent="0.2">
      <c r="A1247" s="103" t="s">
        <v>1154</v>
      </c>
      <c r="B1247" s="103" t="s">
        <v>1153</v>
      </c>
      <c r="C1247" s="103" t="s">
        <v>2842</v>
      </c>
      <c r="D1247" s="103" t="s">
        <v>3377</v>
      </c>
      <c r="E1247" s="103" t="s">
        <v>2562</v>
      </c>
      <c r="F1247" s="103" t="s">
        <v>2151</v>
      </c>
      <c r="G1247" s="103">
        <v>150</v>
      </c>
      <c r="H1247" s="103" t="s">
        <v>2168</v>
      </c>
      <c r="I1247" s="103" t="s">
        <v>2153</v>
      </c>
      <c r="J1247" s="103">
        <v>75</v>
      </c>
      <c r="K1247" s="103">
        <v>75</v>
      </c>
      <c r="L1247" s="103">
        <v>0</v>
      </c>
      <c r="M1247" s="103">
        <v>0</v>
      </c>
      <c r="N1247" s="103" t="s">
        <v>2163</v>
      </c>
      <c r="O1247" s="103">
        <v>150</v>
      </c>
      <c r="P1247" s="103" t="s">
        <v>1617</v>
      </c>
      <c r="Q1247" s="103" t="s">
        <v>2155</v>
      </c>
      <c r="R1247" s="103" t="s">
        <v>2225</v>
      </c>
      <c r="S1247" s="103" t="s">
        <v>2422</v>
      </c>
      <c r="U1247" s="103">
        <v>72.45</v>
      </c>
      <c r="V1247" s="103" t="s">
        <v>2158</v>
      </c>
      <c r="W1247" s="103" t="s">
        <v>106</v>
      </c>
      <c r="X1247" s="103" t="s">
        <v>1597</v>
      </c>
      <c r="Y1247" s="103" t="s">
        <v>1685</v>
      </c>
      <c r="AA1247" s="103" t="s">
        <v>2225</v>
      </c>
      <c r="AB1247" s="103" t="s">
        <v>64</v>
      </c>
      <c r="AE1247" s="103" t="s">
        <v>750</v>
      </c>
      <c r="AF1247" s="103" t="b">
        <v>1</v>
      </c>
    </row>
    <row r="1248" spans="1:32" hidden="1" x14ac:dyDescent="0.2">
      <c r="A1248" s="103" t="s">
        <v>1154</v>
      </c>
      <c r="B1248" s="103" t="s">
        <v>1153</v>
      </c>
      <c r="C1248" s="103" t="s">
        <v>2842</v>
      </c>
      <c r="D1248" s="103" t="s">
        <v>3378</v>
      </c>
      <c r="E1248" s="103" t="s">
        <v>2562</v>
      </c>
      <c r="F1248" s="103" t="s">
        <v>2162</v>
      </c>
      <c r="G1248" s="103">
        <v>60</v>
      </c>
      <c r="H1248" s="103" t="s">
        <v>2168</v>
      </c>
      <c r="I1248" s="103" t="s">
        <v>2153</v>
      </c>
      <c r="J1248" s="103">
        <v>60</v>
      </c>
      <c r="K1248" s="103">
        <v>0</v>
      </c>
      <c r="L1248" s="103">
        <v>0</v>
      </c>
      <c r="M1248" s="103">
        <v>0</v>
      </c>
      <c r="N1248" s="103" t="s">
        <v>2163</v>
      </c>
      <c r="O1248" s="103">
        <v>60</v>
      </c>
      <c r="P1248" s="103" t="s">
        <v>1617</v>
      </c>
      <c r="Q1248" s="103" t="s">
        <v>2155</v>
      </c>
      <c r="R1248" s="103" t="s">
        <v>2225</v>
      </c>
      <c r="S1248" s="103" t="s">
        <v>2422</v>
      </c>
      <c r="U1248" s="103">
        <v>28.98</v>
      </c>
      <c r="V1248" s="103" t="s">
        <v>2158</v>
      </c>
      <c r="W1248" s="103" t="s">
        <v>106</v>
      </c>
      <c r="X1248" s="103" t="s">
        <v>1597</v>
      </c>
      <c r="Y1248" s="103" t="s">
        <v>1685</v>
      </c>
      <c r="AA1248" s="103" t="s">
        <v>2225</v>
      </c>
      <c r="AB1248" s="103" t="s">
        <v>64</v>
      </c>
      <c r="AE1248" s="103" t="s">
        <v>750</v>
      </c>
      <c r="AF1248" s="103" t="b">
        <v>1</v>
      </c>
    </row>
    <row r="1249" spans="1:32" hidden="1" x14ac:dyDescent="0.2">
      <c r="A1249" s="103" t="s">
        <v>2052</v>
      </c>
      <c r="B1249" s="103" t="s">
        <v>1157</v>
      </c>
      <c r="C1249" s="103" t="s">
        <v>3379</v>
      </c>
      <c r="E1249" s="103" t="s">
        <v>2785</v>
      </c>
      <c r="F1249" s="103" t="s">
        <v>2228</v>
      </c>
      <c r="G1249" s="103">
        <v>1500</v>
      </c>
      <c r="H1249" s="103" t="s">
        <v>2168</v>
      </c>
      <c r="I1249" s="103" t="s">
        <v>2153</v>
      </c>
      <c r="J1249" s="103">
        <v>400</v>
      </c>
      <c r="K1249" s="103">
        <v>400</v>
      </c>
      <c r="L1249" s="103">
        <v>400</v>
      </c>
      <c r="M1249" s="103">
        <v>300</v>
      </c>
      <c r="N1249" s="103" t="s">
        <v>2273</v>
      </c>
      <c r="O1249" s="103">
        <v>1500</v>
      </c>
      <c r="P1249" s="103" t="s">
        <v>1609</v>
      </c>
      <c r="Q1249" s="103" t="s">
        <v>2155</v>
      </c>
      <c r="R1249" s="103" t="s">
        <v>2220</v>
      </c>
      <c r="S1249" s="103" t="s">
        <v>2251</v>
      </c>
      <c r="U1249" s="103">
        <v>769.5</v>
      </c>
      <c r="V1249" s="103" t="s">
        <v>2262</v>
      </c>
      <c r="W1249" s="103" t="s">
        <v>115</v>
      </c>
      <c r="X1249" s="103" t="s">
        <v>1597</v>
      </c>
      <c r="Y1249" s="103" t="s">
        <v>1685</v>
      </c>
      <c r="AA1249" s="103" t="s">
        <v>2220</v>
      </c>
      <c r="AB1249" s="103" t="s">
        <v>71</v>
      </c>
      <c r="AE1249" s="103" t="s">
        <v>898</v>
      </c>
      <c r="AF1249" s="103" t="b">
        <v>1</v>
      </c>
    </row>
    <row r="1250" spans="1:32" hidden="1" x14ac:dyDescent="0.2">
      <c r="A1250" s="103" t="s">
        <v>2052</v>
      </c>
      <c r="B1250" s="103" t="s">
        <v>1157</v>
      </c>
      <c r="C1250" s="103" t="s">
        <v>3380</v>
      </c>
      <c r="E1250" s="103" t="s">
        <v>2785</v>
      </c>
      <c r="F1250" s="103" t="s">
        <v>2226</v>
      </c>
      <c r="G1250" s="103">
        <v>600</v>
      </c>
      <c r="H1250" s="103" t="s">
        <v>2168</v>
      </c>
      <c r="I1250" s="103" t="s">
        <v>2153</v>
      </c>
      <c r="K1250" s="103">
        <v>200</v>
      </c>
      <c r="L1250" s="103">
        <v>200</v>
      </c>
      <c r="M1250" s="103">
        <v>200</v>
      </c>
      <c r="N1250" s="103" t="s">
        <v>2260</v>
      </c>
      <c r="O1250" s="103">
        <v>600</v>
      </c>
      <c r="P1250" s="103" t="s">
        <v>1609</v>
      </c>
      <c r="Q1250" s="103" t="s">
        <v>2155</v>
      </c>
      <c r="R1250" s="103" t="s">
        <v>2220</v>
      </c>
      <c r="S1250" s="103" t="s">
        <v>2870</v>
      </c>
      <c r="U1250" s="103">
        <v>307.8</v>
      </c>
      <c r="V1250" s="103" t="s">
        <v>2262</v>
      </c>
      <c r="W1250" s="103" t="s">
        <v>115</v>
      </c>
      <c r="X1250" s="103" t="s">
        <v>1597</v>
      </c>
      <c r="Y1250" s="103" t="s">
        <v>1685</v>
      </c>
      <c r="AA1250" s="103" t="s">
        <v>2220</v>
      </c>
      <c r="AB1250" s="103" t="s">
        <v>71</v>
      </c>
      <c r="AE1250" s="103" t="s">
        <v>898</v>
      </c>
      <c r="AF1250" s="103" t="b">
        <v>1</v>
      </c>
    </row>
    <row r="1251" spans="1:32" hidden="1" x14ac:dyDescent="0.2">
      <c r="A1251" s="103" t="s">
        <v>2052</v>
      </c>
      <c r="B1251" s="103" t="s">
        <v>1157</v>
      </c>
      <c r="C1251" s="103" t="s">
        <v>3381</v>
      </c>
      <c r="D1251" s="103" t="s">
        <v>3382</v>
      </c>
      <c r="E1251" s="103" t="s">
        <v>2785</v>
      </c>
      <c r="F1251" s="103" t="s">
        <v>2162</v>
      </c>
      <c r="G1251" s="103">
        <v>50</v>
      </c>
      <c r="H1251" s="103" t="s">
        <v>2168</v>
      </c>
      <c r="I1251" s="103" t="s">
        <v>2153</v>
      </c>
      <c r="J1251" s="103">
        <v>25</v>
      </c>
      <c r="K1251" s="103">
        <v>25</v>
      </c>
      <c r="N1251" s="103" t="s">
        <v>2163</v>
      </c>
      <c r="O1251" s="103">
        <v>50</v>
      </c>
      <c r="P1251" s="103" t="s">
        <v>1609</v>
      </c>
      <c r="Q1251" s="103" t="s">
        <v>2155</v>
      </c>
      <c r="R1251" s="103" t="s">
        <v>2220</v>
      </c>
      <c r="S1251" s="103" t="s">
        <v>2251</v>
      </c>
      <c r="T1251" s="103" t="s">
        <v>3383</v>
      </c>
      <c r="U1251" s="103">
        <v>25.65</v>
      </c>
      <c r="V1251" s="103" t="s">
        <v>2158</v>
      </c>
      <c r="W1251" s="103" t="s">
        <v>115</v>
      </c>
      <c r="X1251" s="103" t="s">
        <v>1597</v>
      </c>
      <c r="Y1251" s="103" t="s">
        <v>1685</v>
      </c>
      <c r="AA1251" s="103" t="s">
        <v>2220</v>
      </c>
      <c r="AB1251" s="103" t="s">
        <v>71</v>
      </c>
      <c r="AE1251" s="103" t="s">
        <v>898</v>
      </c>
      <c r="AF1251" s="103" t="b">
        <v>1</v>
      </c>
    </row>
    <row r="1252" spans="1:32" hidden="1" x14ac:dyDescent="0.2">
      <c r="A1252" s="103" t="s">
        <v>2052</v>
      </c>
      <c r="B1252" s="103" t="s">
        <v>1157</v>
      </c>
      <c r="C1252" s="103" t="s">
        <v>3384</v>
      </c>
      <c r="D1252" s="103" t="s">
        <v>3385</v>
      </c>
      <c r="E1252" s="103" t="s">
        <v>2785</v>
      </c>
      <c r="F1252" s="103" t="s">
        <v>2202</v>
      </c>
      <c r="G1252" s="103">
        <v>200</v>
      </c>
      <c r="H1252" s="103" t="s">
        <v>2168</v>
      </c>
      <c r="I1252" s="103" t="s">
        <v>2153</v>
      </c>
      <c r="J1252" s="103">
        <v>50</v>
      </c>
      <c r="K1252" s="103">
        <v>50</v>
      </c>
      <c r="L1252" s="103">
        <v>50</v>
      </c>
      <c r="M1252" s="103">
        <v>50</v>
      </c>
      <c r="N1252" s="103" t="s">
        <v>2163</v>
      </c>
      <c r="O1252" s="103">
        <v>200</v>
      </c>
      <c r="P1252" s="103" t="s">
        <v>1609</v>
      </c>
      <c r="Q1252" s="103" t="s">
        <v>2155</v>
      </c>
      <c r="R1252" s="103" t="s">
        <v>2220</v>
      </c>
      <c r="S1252" s="103" t="s">
        <v>2870</v>
      </c>
      <c r="U1252" s="103">
        <v>102.6</v>
      </c>
      <c r="V1252" s="103" t="s">
        <v>2158</v>
      </c>
      <c r="W1252" s="103" t="s">
        <v>115</v>
      </c>
      <c r="X1252" s="103" t="s">
        <v>1597</v>
      </c>
      <c r="Y1252" s="103" t="s">
        <v>1685</v>
      </c>
      <c r="AA1252" s="103" t="s">
        <v>2220</v>
      </c>
      <c r="AB1252" s="103" t="s">
        <v>71</v>
      </c>
      <c r="AE1252" s="103" t="s">
        <v>898</v>
      </c>
      <c r="AF1252" s="103" t="b">
        <v>1</v>
      </c>
    </row>
    <row r="1253" spans="1:32" hidden="1" x14ac:dyDescent="0.2">
      <c r="A1253" s="103" t="s">
        <v>2052</v>
      </c>
      <c r="B1253" s="103" t="s">
        <v>1157</v>
      </c>
      <c r="C1253" s="103" t="s">
        <v>3386</v>
      </c>
      <c r="E1253" s="103" t="s">
        <v>2785</v>
      </c>
      <c r="F1253" s="103" t="s">
        <v>2175</v>
      </c>
      <c r="G1253" s="103">
        <v>20</v>
      </c>
      <c r="H1253" s="103" t="s">
        <v>2168</v>
      </c>
      <c r="I1253" s="103" t="s">
        <v>2153</v>
      </c>
      <c r="L1253" s="103">
        <v>20</v>
      </c>
      <c r="N1253" s="103" t="s">
        <v>2163</v>
      </c>
      <c r="O1253" s="103">
        <v>20</v>
      </c>
      <c r="P1253" s="103" t="s">
        <v>1609</v>
      </c>
      <c r="Q1253" s="103" t="s">
        <v>2155</v>
      </c>
      <c r="R1253" s="103" t="s">
        <v>2220</v>
      </c>
      <c r="S1253" s="103" t="s">
        <v>2157</v>
      </c>
      <c r="T1253" s="103" t="s">
        <v>3387</v>
      </c>
      <c r="U1253" s="103">
        <v>10.26</v>
      </c>
      <c r="V1253" s="103" t="s">
        <v>2158</v>
      </c>
      <c r="W1253" s="103" t="s">
        <v>115</v>
      </c>
      <c r="X1253" s="103" t="s">
        <v>1597</v>
      </c>
      <c r="Y1253" s="103" t="s">
        <v>1685</v>
      </c>
      <c r="AA1253" s="103" t="s">
        <v>2220</v>
      </c>
      <c r="AB1253" s="103" t="s">
        <v>71</v>
      </c>
      <c r="AE1253" s="103" t="s">
        <v>898</v>
      </c>
      <c r="AF1253" s="103" t="b">
        <v>1</v>
      </c>
    </row>
    <row r="1254" spans="1:32" hidden="1" x14ac:dyDescent="0.2">
      <c r="A1254" s="103" t="s">
        <v>2052</v>
      </c>
      <c r="B1254" s="103" t="s">
        <v>1157</v>
      </c>
      <c r="C1254" s="103" t="s">
        <v>3388</v>
      </c>
      <c r="E1254" s="103" t="s">
        <v>2785</v>
      </c>
      <c r="F1254" s="103" t="s">
        <v>2151</v>
      </c>
      <c r="G1254" s="103">
        <v>80</v>
      </c>
      <c r="H1254" s="103" t="s">
        <v>2168</v>
      </c>
      <c r="I1254" s="103" t="s">
        <v>2153</v>
      </c>
      <c r="J1254" s="103">
        <v>40</v>
      </c>
      <c r="K1254" s="103">
        <v>40</v>
      </c>
      <c r="N1254" s="103" t="s">
        <v>2163</v>
      </c>
      <c r="O1254" s="103">
        <v>80</v>
      </c>
      <c r="P1254" s="103" t="s">
        <v>1609</v>
      </c>
      <c r="Q1254" s="103" t="s">
        <v>2155</v>
      </c>
      <c r="R1254" s="103" t="s">
        <v>2220</v>
      </c>
      <c r="S1254" s="103" t="s">
        <v>2192</v>
      </c>
      <c r="T1254" s="103" t="s">
        <v>3389</v>
      </c>
      <c r="U1254" s="103">
        <v>41.04</v>
      </c>
      <c r="V1254" s="103" t="s">
        <v>2158</v>
      </c>
      <c r="W1254" s="103" t="s">
        <v>115</v>
      </c>
      <c r="X1254" s="103" t="s">
        <v>1597</v>
      </c>
      <c r="Y1254" s="103" t="s">
        <v>1685</v>
      </c>
      <c r="AA1254" s="103" t="s">
        <v>2220</v>
      </c>
      <c r="AB1254" s="103" t="s">
        <v>71</v>
      </c>
      <c r="AE1254" s="103" t="s">
        <v>898</v>
      </c>
      <c r="AF1254" s="103" t="b">
        <v>1</v>
      </c>
    </row>
    <row r="1255" spans="1:32" hidden="1" x14ac:dyDescent="0.2">
      <c r="A1255" s="103" t="s">
        <v>2052</v>
      </c>
      <c r="B1255" s="103" t="s">
        <v>1157</v>
      </c>
      <c r="C1255" s="103" t="s">
        <v>3390</v>
      </c>
      <c r="E1255" s="103" t="s">
        <v>2785</v>
      </c>
      <c r="F1255" s="103" t="s">
        <v>2151</v>
      </c>
      <c r="G1255" s="103">
        <v>100</v>
      </c>
      <c r="H1255" s="103" t="s">
        <v>2168</v>
      </c>
      <c r="I1255" s="103" t="s">
        <v>2153</v>
      </c>
      <c r="J1255" s="103">
        <v>25</v>
      </c>
      <c r="K1255" s="103">
        <v>25</v>
      </c>
      <c r="L1255" s="103">
        <v>25</v>
      </c>
      <c r="M1255" s="103">
        <v>25</v>
      </c>
      <c r="N1255" s="103" t="s">
        <v>2163</v>
      </c>
      <c r="O1255" s="103">
        <v>100</v>
      </c>
      <c r="P1255" s="103" t="s">
        <v>1609</v>
      </c>
      <c r="Q1255" s="103" t="s">
        <v>2155</v>
      </c>
      <c r="R1255" s="103" t="s">
        <v>2220</v>
      </c>
      <c r="S1255" s="103" t="s">
        <v>2870</v>
      </c>
      <c r="U1255" s="103">
        <v>51.3</v>
      </c>
      <c r="V1255" s="103" t="s">
        <v>2158</v>
      </c>
      <c r="W1255" s="103" t="s">
        <v>115</v>
      </c>
      <c r="X1255" s="103" t="s">
        <v>1597</v>
      </c>
      <c r="Y1255" s="103" t="s">
        <v>1685</v>
      </c>
      <c r="AA1255" s="103" t="s">
        <v>2220</v>
      </c>
      <c r="AB1255" s="103" t="s">
        <v>71</v>
      </c>
      <c r="AE1255" s="103" t="s">
        <v>898</v>
      </c>
      <c r="AF1255" s="103" t="b">
        <v>1</v>
      </c>
    </row>
    <row r="1256" spans="1:32" hidden="1" x14ac:dyDescent="0.2">
      <c r="A1256" s="103" t="s">
        <v>884</v>
      </c>
      <c r="B1256" s="103" t="s">
        <v>883</v>
      </c>
      <c r="C1256" s="103" t="s">
        <v>3391</v>
      </c>
      <c r="D1256" s="103" t="s">
        <v>3392</v>
      </c>
      <c r="E1256" s="103" t="s">
        <v>2311</v>
      </c>
      <c r="F1256" s="103" t="s">
        <v>2202</v>
      </c>
      <c r="G1256" s="103">
        <v>200</v>
      </c>
      <c r="H1256" s="103" t="s">
        <v>2168</v>
      </c>
      <c r="I1256" s="103" t="s">
        <v>2153</v>
      </c>
      <c r="L1256" s="103">
        <v>100</v>
      </c>
      <c r="M1256" s="103">
        <v>100</v>
      </c>
      <c r="N1256" s="103" t="s">
        <v>2402</v>
      </c>
      <c r="O1256" s="103">
        <v>200</v>
      </c>
      <c r="P1256" s="103" t="s">
        <v>820</v>
      </c>
      <c r="Q1256" s="103" t="s">
        <v>2155</v>
      </c>
      <c r="R1256" s="103" t="s">
        <v>2220</v>
      </c>
      <c r="U1256" s="103">
        <v>102.6</v>
      </c>
      <c r="V1256" s="103" t="s">
        <v>2262</v>
      </c>
      <c r="W1256" s="103" t="s">
        <v>108</v>
      </c>
      <c r="X1256" s="103">
        <v>0</v>
      </c>
      <c r="Y1256" s="103" t="s">
        <v>1685</v>
      </c>
      <c r="AA1256" s="103" t="s">
        <v>2220</v>
      </c>
      <c r="AB1256" s="103" t="s">
        <v>71</v>
      </c>
      <c r="AE1256" s="103" t="s">
        <v>810</v>
      </c>
      <c r="AF1256" s="103" t="b">
        <v>1</v>
      </c>
    </row>
    <row r="1257" spans="1:32" hidden="1" x14ac:dyDescent="0.2">
      <c r="A1257" s="103" t="s">
        <v>1162</v>
      </c>
      <c r="B1257" s="103" t="s">
        <v>1161</v>
      </c>
      <c r="C1257" s="103" t="s">
        <v>3393</v>
      </c>
      <c r="D1257" s="103" t="s">
        <v>3394</v>
      </c>
      <c r="E1257" s="103" t="s">
        <v>2957</v>
      </c>
      <c r="F1257" s="103" t="s">
        <v>2162</v>
      </c>
      <c r="G1257" s="103">
        <v>50</v>
      </c>
      <c r="H1257" s="103" t="s">
        <v>2168</v>
      </c>
      <c r="I1257" s="103" t="s">
        <v>2153</v>
      </c>
      <c r="K1257" s="103">
        <v>20</v>
      </c>
      <c r="L1257" s="103">
        <v>20</v>
      </c>
      <c r="M1257" s="103">
        <v>10</v>
      </c>
      <c r="N1257" s="103" t="s">
        <v>2260</v>
      </c>
      <c r="O1257" s="103">
        <v>50</v>
      </c>
      <c r="P1257" s="103" t="s">
        <v>791</v>
      </c>
      <c r="Q1257" s="103" t="s">
        <v>2155</v>
      </c>
      <c r="R1257" s="103" t="s">
        <v>2220</v>
      </c>
      <c r="S1257" s="103" t="s">
        <v>2870</v>
      </c>
      <c r="U1257" s="103">
        <v>25.65</v>
      </c>
      <c r="V1257" s="103" t="s">
        <v>2262</v>
      </c>
      <c r="W1257" s="103" t="s">
        <v>116</v>
      </c>
      <c r="X1257" s="103" t="s">
        <v>1597</v>
      </c>
      <c r="Y1257" s="103" t="s">
        <v>1685</v>
      </c>
      <c r="AA1257" s="103" t="s">
        <v>2220</v>
      </c>
      <c r="AB1257" s="103" t="s">
        <v>71</v>
      </c>
      <c r="AE1257" s="103" t="s">
        <v>898</v>
      </c>
      <c r="AF1257" s="103" t="b">
        <v>1</v>
      </c>
    </row>
    <row r="1258" spans="1:32" hidden="1" x14ac:dyDescent="0.2">
      <c r="A1258" s="103" t="s">
        <v>1162</v>
      </c>
      <c r="B1258" s="103" t="s">
        <v>1161</v>
      </c>
      <c r="C1258" s="103" t="s">
        <v>3395</v>
      </c>
      <c r="D1258" s="103" t="s">
        <v>2333</v>
      </c>
      <c r="E1258" s="103" t="s">
        <v>2334</v>
      </c>
      <c r="F1258" s="103" t="s">
        <v>2175</v>
      </c>
      <c r="G1258" s="103">
        <v>10</v>
      </c>
      <c r="H1258" s="103" t="s">
        <v>2152</v>
      </c>
      <c r="I1258" s="103" t="s">
        <v>2153</v>
      </c>
      <c r="J1258" s="103">
        <v>10</v>
      </c>
      <c r="N1258" s="103" t="s">
        <v>2163</v>
      </c>
      <c r="O1258" s="103">
        <v>10</v>
      </c>
      <c r="P1258" s="103" t="s">
        <v>791</v>
      </c>
      <c r="Q1258" s="103" t="s">
        <v>2155</v>
      </c>
      <c r="R1258" s="103" t="s">
        <v>2220</v>
      </c>
      <c r="S1258" s="103" t="s">
        <v>2870</v>
      </c>
      <c r="U1258" s="103">
        <v>5.13</v>
      </c>
      <c r="V1258" s="103" t="s">
        <v>2158</v>
      </c>
      <c r="W1258" s="103" t="s">
        <v>116</v>
      </c>
      <c r="X1258" s="103" t="s">
        <v>1597</v>
      </c>
      <c r="Y1258" s="103" t="s">
        <v>1685</v>
      </c>
      <c r="AA1258" s="103" t="s">
        <v>2220</v>
      </c>
      <c r="AB1258" s="103" t="s">
        <v>71</v>
      </c>
      <c r="AE1258" s="103" t="s">
        <v>898</v>
      </c>
      <c r="AF1258" s="103" t="b">
        <v>1</v>
      </c>
    </row>
    <row r="1259" spans="1:32" hidden="1" x14ac:dyDescent="0.2">
      <c r="A1259" s="103" t="s">
        <v>1162</v>
      </c>
      <c r="B1259" s="103" t="s">
        <v>1161</v>
      </c>
      <c r="C1259" s="103" t="s">
        <v>3395</v>
      </c>
      <c r="D1259" s="103" t="s">
        <v>3396</v>
      </c>
      <c r="E1259" s="103" t="s">
        <v>2957</v>
      </c>
      <c r="F1259" s="103" t="s">
        <v>2151</v>
      </c>
      <c r="G1259" s="103">
        <v>150</v>
      </c>
      <c r="H1259" s="103" t="s">
        <v>2152</v>
      </c>
      <c r="I1259" s="103" t="s">
        <v>2153</v>
      </c>
      <c r="J1259" s="103">
        <v>75</v>
      </c>
      <c r="K1259" s="103">
        <v>75</v>
      </c>
      <c r="N1259" s="103" t="s">
        <v>2163</v>
      </c>
      <c r="O1259" s="103">
        <v>150</v>
      </c>
      <c r="P1259" s="103" t="s">
        <v>791</v>
      </c>
      <c r="Q1259" s="103" t="s">
        <v>2155</v>
      </c>
      <c r="R1259" s="103" t="s">
        <v>2220</v>
      </c>
      <c r="S1259" s="103" t="s">
        <v>2870</v>
      </c>
      <c r="U1259" s="103">
        <v>76.95</v>
      </c>
      <c r="V1259" s="103" t="s">
        <v>2158</v>
      </c>
      <c r="W1259" s="103" t="s">
        <v>116</v>
      </c>
      <c r="X1259" s="103" t="s">
        <v>1597</v>
      </c>
      <c r="Y1259" s="103" t="s">
        <v>1685</v>
      </c>
      <c r="AA1259" s="103" t="s">
        <v>2220</v>
      </c>
      <c r="AB1259" s="103" t="s">
        <v>71</v>
      </c>
      <c r="AE1259" s="103" t="s">
        <v>898</v>
      </c>
      <c r="AF1259" s="103" t="b">
        <v>1</v>
      </c>
    </row>
    <row r="1260" spans="1:32" hidden="1" x14ac:dyDescent="0.2">
      <c r="A1260" s="103" t="s">
        <v>1164</v>
      </c>
      <c r="B1260" s="103" t="s">
        <v>1163</v>
      </c>
      <c r="C1260" s="103" t="s">
        <v>3397</v>
      </c>
      <c r="D1260" s="103" t="s">
        <v>3398</v>
      </c>
      <c r="E1260" s="103" t="s">
        <v>3399</v>
      </c>
      <c r="F1260" s="103" t="s">
        <v>2226</v>
      </c>
      <c r="G1260" s="103">
        <v>400</v>
      </c>
      <c r="H1260" s="103" t="s">
        <v>2168</v>
      </c>
      <c r="I1260" s="103" t="s">
        <v>2153</v>
      </c>
      <c r="J1260" s="103">
        <v>100</v>
      </c>
      <c r="K1260" s="103">
        <v>100</v>
      </c>
      <c r="L1260" s="103">
        <v>100</v>
      </c>
      <c r="M1260" s="103">
        <v>100</v>
      </c>
      <c r="N1260" s="103" t="s">
        <v>2163</v>
      </c>
      <c r="O1260" s="103">
        <v>400</v>
      </c>
      <c r="P1260" s="103" t="s">
        <v>791</v>
      </c>
      <c r="Q1260" s="103" t="s">
        <v>2155</v>
      </c>
      <c r="R1260" s="103" t="s">
        <v>2220</v>
      </c>
      <c r="S1260" s="103" t="s">
        <v>2870</v>
      </c>
      <c r="U1260" s="103">
        <v>205.2</v>
      </c>
      <c r="V1260" s="103" t="s">
        <v>2158</v>
      </c>
      <c r="W1260" s="103" t="s">
        <v>116</v>
      </c>
      <c r="X1260" s="103" t="s">
        <v>1597</v>
      </c>
      <c r="Y1260" s="103" t="s">
        <v>1685</v>
      </c>
      <c r="AA1260" s="103" t="s">
        <v>2220</v>
      </c>
      <c r="AB1260" s="103" t="s">
        <v>71</v>
      </c>
      <c r="AE1260" s="103" t="s">
        <v>898</v>
      </c>
      <c r="AF1260" s="103" t="b">
        <v>1</v>
      </c>
    </row>
    <row r="1261" spans="1:32" hidden="1" x14ac:dyDescent="0.2">
      <c r="A1261" s="103" t="s">
        <v>1164</v>
      </c>
      <c r="B1261" s="103" t="s">
        <v>1163</v>
      </c>
      <c r="C1261" s="103" t="s">
        <v>3400</v>
      </c>
      <c r="D1261" s="103" t="s">
        <v>3398</v>
      </c>
      <c r="E1261" s="103" t="s">
        <v>3399</v>
      </c>
      <c r="F1261" s="103" t="s">
        <v>2226</v>
      </c>
      <c r="G1261" s="103">
        <v>319</v>
      </c>
      <c r="H1261" s="103" t="s">
        <v>2168</v>
      </c>
      <c r="I1261" s="103" t="s">
        <v>2153</v>
      </c>
      <c r="J1261" s="103">
        <v>75</v>
      </c>
      <c r="K1261" s="103">
        <v>75</v>
      </c>
      <c r="L1261" s="103">
        <v>75</v>
      </c>
      <c r="M1261" s="103">
        <v>94</v>
      </c>
      <c r="N1261" s="103" t="s">
        <v>2163</v>
      </c>
      <c r="O1261" s="103">
        <v>319</v>
      </c>
      <c r="P1261" s="103" t="s">
        <v>791</v>
      </c>
      <c r="Q1261" s="103" t="s">
        <v>2155</v>
      </c>
      <c r="R1261" s="103" t="s">
        <v>2220</v>
      </c>
      <c r="S1261" s="103" t="s">
        <v>2870</v>
      </c>
      <c r="U1261" s="103">
        <v>163.64699999999999</v>
      </c>
      <c r="V1261" s="103" t="s">
        <v>2158</v>
      </c>
      <c r="W1261" s="103" t="s">
        <v>116</v>
      </c>
      <c r="X1261" s="103" t="s">
        <v>1597</v>
      </c>
      <c r="Y1261" s="103" t="s">
        <v>1685</v>
      </c>
      <c r="AA1261" s="103" t="s">
        <v>2220</v>
      </c>
      <c r="AB1261" s="103" t="s">
        <v>71</v>
      </c>
      <c r="AE1261" s="103" t="s">
        <v>898</v>
      </c>
      <c r="AF1261" s="103" t="b">
        <v>1</v>
      </c>
    </row>
    <row r="1262" spans="1:32" hidden="1" x14ac:dyDescent="0.2">
      <c r="A1262" s="103" t="s">
        <v>1164</v>
      </c>
      <c r="B1262" s="103" t="s">
        <v>1163</v>
      </c>
      <c r="C1262" s="103" t="s">
        <v>3401</v>
      </c>
      <c r="E1262" s="103" t="s">
        <v>2993</v>
      </c>
      <c r="F1262" s="103" t="s">
        <v>2162</v>
      </c>
      <c r="G1262" s="103">
        <v>50</v>
      </c>
      <c r="H1262" s="103" t="s">
        <v>2168</v>
      </c>
      <c r="I1262" s="103" t="s">
        <v>2153</v>
      </c>
      <c r="J1262" s="103">
        <v>10</v>
      </c>
      <c r="K1262" s="103">
        <v>15</v>
      </c>
      <c r="L1262" s="103">
        <v>15</v>
      </c>
      <c r="M1262" s="103">
        <v>10</v>
      </c>
      <c r="N1262" s="103" t="s">
        <v>2163</v>
      </c>
      <c r="O1262" s="103">
        <v>50</v>
      </c>
      <c r="P1262" s="103" t="s">
        <v>820</v>
      </c>
      <c r="Q1262" s="103" t="s">
        <v>2155</v>
      </c>
      <c r="R1262" s="103" t="s">
        <v>2220</v>
      </c>
      <c r="S1262" s="103" t="s">
        <v>2209</v>
      </c>
      <c r="U1262" s="103">
        <v>25.65</v>
      </c>
      <c r="V1262" s="103" t="s">
        <v>2158</v>
      </c>
      <c r="W1262" s="103" t="s">
        <v>116</v>
      </c>
      <c r="X1262" s="103" t="s">
        <v>1597</v>
      </c>
      <c r="Y1262" s="103" t="s">
        <v>1685</v>
      </c>
      <c r="AA1262" s="103" t="s">
        <v>2220</v>
      </c>
      <c r="AB1262" s="103" t="s">
        <v>71</v>
      </c>
      <c r="AE1262" s="103" t="s">
        <v>898</v>
      </c>
      <c r="AF1262" s="103" t="b">
        <v>1</v>
      </c>
    </row>
    <row r="1263" spans="1:32" hidden="1" x14ac:dyDescent="0.2">
      <c r="A1263" s="103" t="s">
        <v>1166</v>
      </c>
      <c r="B1263" s="103" t="s">
        <v>1165</v>
      </c>
      <c r="C1263" s="103" t="s">
        <v>3402</v>
      </c>
      <c r="E1263" s="103" t="s">
        <v>2334</v>
      </c>
      <c r="F1263" s="103" t="s">
        <v>2162</v>
      </c>
      <c r="G1263" s="103">
        <v>50</v>
      </c>
      <c r="H1263" s="103" t="s">
        <v>2168</v>
      </c>
      <c r="I1263" s="103" t="s">
        <v>2153</v>
      </c>
      <c r="K1263" s="103">
        <v>25</v>
      </c>
      <c r="M1263" s="103">
        <v>25</v>
      </c>
      <c r="N1263" s="103" t="s">
        <v>2163</v>
      </c>
      <c r="O1263" s="103">
        <v>50</v>
      </c>
      <c r="P1263" s="103" t="s">
        <v>791</v>
      </c>
      <c r="Q1263" s="103" t="s">
        <v>2155</v>
      </c>
      <c r="R1263" s="103" t="s">
        <v>2220</v>
      </c>
      <c r="S1263" s="103" t="s">
        <v>2870</v>
      </c>
      <c r="U1263" s="103">
        <v>25.65</v>
      </c>
      <c r="V1263" s="103" t="s">
        <v>2158</v>
      </c>
      <c r="W1263" s="103" t="s">
        <v>116</v>
      </c>
      <c r="X1263" s="103" t="s">
        <v>1597</v>
      </c>
      <c r="Y1263" s="103" t="s">
        <v>1685</v>
      </c>
      <c r="AA1263" s="103" t="s">
        <v>2220</v>
      </c>
      <c r="AB1263" s="103" t="s">
        <v>71</v>
      </c>
      <c r="AE1263" s="103" t="s">
        <v>898</v>
      </c>
      <c r="AF1263" s="103" t="b">
        <v>1</v>
      </c>
    </row>
    <row r="1264" spans="1:32" hidden="1" x14ac:dyDescent="0.2">
      <c r="A1264" s="103" t="s">
        <v>1166</v>
      </c>
      <c r="B1264" s="103" t="s">
        <v>1165</v>
      </c>
      <c r="C1264" s="103" t="s">
        <v>3403</v>
      </c>
      <c r="E1264" s="103" t="s">
        <v>2334</v>
      </c>
      <c r="F1264" s="103" t="s">
        <v>2175</v>
      </c>
      <c r="G1264" s="103">
        <v>10</v>
      </c>
      <c r="H1264" s="103" t="s">
        <v>2152</v>
      </c>
      <c r="I1264" s="103" t="s">
        <v>2153</v>
      </c>
      <c r="K1264" s="103">
        <v>10</v>
      </c>
      <c r="N1264" s="103" t="s">
        <v>2163</v>
      </c>
      <c r="O1264" s="103">
        <v>10</v>
      </c>
      <c r="P1264" s="103" t="s">
        <v>791</v>
      </c>
      <c r="Q1264" s="103" t="s">
        <v>2155</v>
      </c>
      <c r="R1264" s="103" t="s">
        <v>2220</v>
      </c>
      <c r="S1264" s="103" t="s">
        <v>2870</v>
      </c>
      <c r="U1264" s="103">
        <v>5.13</v>
      </c>
      <c r="V1264" s="103" t="s">
        <v>2158</v>
      </c>
      <c r="W1264" s="103" t="s">
        <v>116</v>
      </c>
      <c r="X1264" s="103" t="s">
        <v>1597</v>
      </c>
      <c r="Y1264" s="103" t="s">
        <v>1685</v>
      </c>
      <c r="AA1264" s="103" t="s">
        <v>2220</v>
      </c>
      <c r="AB1264" s="103" t="s">
        <v>71</v>
      </c>
      <c r="AE1264" s="103" t="s">
        <v>898</v>
      </c>
      <c r="AF1264" s="103" t="b">
        <v>1</v>
      </c>
    </row>
    <row r="1265" spans="1:32" hidden="1" x14ac:dyDescent="0.2">
      <c r="A1265" s="103" t="s">
        <v>1166</v>
      </c>
      <c r="B1265" s="103" t="s">
        <v>1165</v>
      </c>
      <c r="C1265" s="103" t="s">
        <v>3404</v>
      </c>
      <c r="E1265" s="103" t="s">
        <v>2334</v>
      </c>
      <c r="F1265" s="103" t="s">
        <v>2175</v>
      </c>
      <c r="G1265" s="103">
        <v>11</v>
      </c>
      <c r="H1265" s="103" t="s">
        <v>2152</v>
      </c>
      <c r="I1265" s="103" t="s">
        <v>2153</v>
      </c>
      <c r="J1265" s="103">
        <v>0</v>
      </c>
      <c r="K1265" s="103">
        <v>11</v>
      </c>
      <c r="N1265" s="103" t="s">
        <v>2163</v>
      </c>
      <c r="O1265" s="103">
        <v>11</v>
      </c>
      <c r="P1265" s="103" t="s">
        <v>791</v>
      </c>
      <c r="Q1265" s="103" t="s">
        <v>2155</v>
      </c>
      <c r="R1265" s="103" t="s">
        <v>2220</v>
      </c>
      <c r="S1265" s="103" t="s">
        <v>2870</v>
      </c>
      <c r="U1265" s="103">
        <v>5.6429999999999998</v>
      </c>
      <c r="V1265" s="103" t="s">
        <v>2158</v>
      </c>
      <c r="W1265" s="103" t="s">
        <v>116</v>
      </c>
      <c r="X1265" s="103" t="s">
        <v>1597</v>
      </c>
      <c r="Y1265" s="103" t="s">
        <v>1685</v>
      </c>
      <c r="AA1265" s="103" t="s">
        <v>2220</v>
      </c>
      <c r="AB1265" s="103" t="s">
        <v>71</v>
      </c>
      <c r="AE1265" s="103" t="s">
        <v>898</v>
      </c>
      <c r="AF1265" s="103" t="b">
        <v>1</v>
      </c>
    </row>
    <row r="1266" spans="1:32" hidden="1" x14ac:dyDescent="0.2">
      <c r="A1266" s="103" t="s">
        <v>1166</v>
      </c>
      <c r="B1266" s="103" t="s">
        <v>1165</v>
      </c>
      <c r="C1266" s="103" t="s">
        <v>3405</v>
      </c>
      <c r="E1266" s="103" t="s">
        <v>2957</v>
      </c>
      <c r="F1266" s="103" t="s">
        <v>2175</v>
      </c>
      <c r="G1266" s="103">
        <v>25</v>
      </c>
      <c r="H1266" s="103" t="s">
        <v>2152</v>
      </c>
      <c r="I1266" s="103" t="s">
        <v>2153</v>
      </c>
      <c r="J1266" s="103">
        <v>20</v>
      </c>
      <c r="K1266" s="103">
        <v>5</v>
      </c>
      <c r="N1266" s="103" t="s">
        <v>2163</v>
      </c>
      <c r="O1266" s="103">
        <v>25</v>
      </c>
      <c r="P1266" s="103" t="s">
        <v>791</v>
      </c>
      <c r="Q1266" s="103" t="s">
        <v>2155</v>
      </c>
      <c r="R1266" s="103" t="s">
        <v>2220</v>
      </c>
      <c r="S1266" s="103" t="s">
        <v>2870</v>
      </c>
      <c r="U1266" s="103">
        <v>12.824999999999999</v>
      </c>
      <c r="V1266" s="103" t="s">
        <v>2158</v>
      </c>
      <c r="W1266" s="103" t="s">
        <v>116</v>
      </c>
      <c r="X1266" s="103" t="s">
        <v>1597</v>
      </c>
      <c r="Y1266" s="103" t="s">
        <v>1685</v>
      </c>
      <c r="AA1266" s="103" t="s">
        <v>2220</v>
      </c>
      <c r="AB1266" s="103" t="s">
        <v>71</v>
      </c>
      <c r="AE1266" s="103" t="s">
        <v>898</v>
      </c>
      <c r="AF1266" s="103" t="b">
        <v>1</v>
      </c>
    </row>
    <row r="1267" spans="1:32" hidden="1" x14ac:dyDescent="0.2">
      <c r="A1267" s="103" t="s">
        <v>1166</v>
      </c>
      <c r="B1267" s="103" t="s">
        <v>1165</v>
      </c>
      <c r="C1267" s="103" t="s">
        <v>3406</v>
      </c>
      <c r="E1267" s="103" t="s">
        <v>2957</v>
      </c>
      <c r="F1267" s="103" t="s">
        <v>2175</v>
      </c>
      <c r="G1267" s="103">
        <v>17</v>
      </c>
      <c r="H1267" s="103" t="s">
        <v>2152</v>
      </c>
      <c r="I1267" s="103" t="s">
        <v>2153</v>
      </c>
      <c r="J1267" s="103">
        <v>17</v>
      </c>
      <c r="N1267" s="103" t="s">
        <v>2163</v>
      </c>
      <c r="O1267" s="103">
        <v>17</v>
      </c>
      <c r="P1267" s="103" t="s">
        <v>791</v>
      </c>
      <c r="Q1267" s="103" t="s">
        <v>2155</v>
      </c>
      <c r="R1267" s="103" t="s">
        <v>2220</v>
      </c>
      <c r="S1267" s="103" t="s">
        <v>2870</v>
      </c>
      <c r="U1267" s="103">
        <v>8.7210000000000001</v>
      </c>
      <c r="V1267" s="103" t="s">
        <v>2158</v>
      </c>
      <c r="W1267" s="103" t="s">
        <v>116</v>
      </c>
      <c r="X1267" s="103" t="s">
        <v>1597</v>
      </c>
      <c r="Y1267" s="103" t="s">
        <v>1685</v>
      </c>
      <c r="AA1267" s="103" t="s">
        <v>2220</v>
      </c>
      <c r="AB1267" s="103" t="s">
        <v>71</v>
      </c>
      <c r="AE1267" s="103" t="s">
        <v>898</v>
      </c>
      <c r="AF1267" s="103" t="b">
        <v>1</v>
      </c>
    </row>
    <row r="1268" spans="1:32" hidden="1" x14ac:dyDescent="0.2">
      <c r="A1268" s="103" t="s">
        <v>1166</v>
      </c>
      <c r="B1268" s="103" t="s">
        <v>1165</v>
      </c>
      <c r="C1268" s="103" t="s">
        <v>3407</v>
      </c>
      <c r="E1268" s="103" t="s">
        <v>2957</v>
      </c>
      <c r="F1268" s="103" t="s">
        <v>2151</v>
      </c>
      <c r="G1268" s="103">
        <v>100</v>
      </c>
      <c r="H1268" s="103" t="s">
        <v>2168</v>
      </c>
      <c r="I1268" s="103" t="s">
        <v>2153</v>
      </c>
      <c r="J1268" s="103">
        <v>0</v>
      </c>
      <c r="K1268" s="103">
        <v>0</v>
      </c>
      <c r="L1268" s="103">
        <v>50</v>
      </c>
      <c r="M1268" s="103">
        <v>50</v>
      </c>
      <c r="N1268" s="103" t="s">
        <v>2163</v>
      </c>
      <c r="O1268" s="103">
        <v>100</v>
      </c>
      <c r="P1268" s="103" t="s">
        <v>791</v>
      </c>
      <c r="Q1268" s="103" t="s">
        <v>2155</v>
      </c>
      <c r="R1268" s="103" t="s">
        <v>2220</v>
      </c>
      <c r="S1268" s="103" t="s">
        <v>2870</v>
      </c>
      <c r="U1268" s="103">
        <v>51.3</v>
      </c>
      <c r="V1268" s="103" t="s">
        <v>2158</v>
      </c>
      <c r="W1268" s="103" t="s">
        <v>116</v>
      </c>
      <c r="X1268" s="103" t="s">
        <v>1597</v>
      </c>
      <c r="Y1268" s="103" t="s">
        <v>1685</v>
      </c>
      <c r="AA1268" s="103" t="s">
        <v>2220</v>
      </c>
      <c r="AB1268" s="103" t="s">
        <v>71</v>
      </c>
      <c r="AE1268" s="103" t="s">
        <v>898</v>
      </c>
      <c r="AF1268" s="103" t="b">
        <v>1</v>
      </c>
    </row>
    <row r="1269" spans="1:32" hidden="1" x14ac:dyDescent="0.2">
      <c r="A1269" s="103" t="s">
        <v>1166</v>
      </c>
      <c r="B1269" s="103" t="s">
        <v>1165</v>
      </c>
      <c r="C1269" s="103" t="s">
        <v>3408</v>
      </c>
      <c r="E1269" s="103" t="s">
        <v>2957</v>
      </c>
      <c r="F1269" s="103" t="s">
        <v>2175</v>
      </c>
      <c r="G1269" s="103">
        <v>20</v>
      </c>
      <c r="H1269" s="103" t="s">
        <v>2168</v>
      </c>
      <c r="I1269" s="103" t="s">
        <v>2153</v>
      </c>
      <c r="L1269" s="103">
        <v>20</v>
      </c>
      <c r="N1269" s="103" t="s">
        <v>2163</v>
      </c>
      <c r="O1269" s="103">
        <v>20</v>
      </c>
      <c r="P1269" s="103" t="s">
        <v>791</v>
      </c>
      <c r="Q1269" s="103" t="s">
        <v>2155</v>
      </c>
      <c r="R1269" s="103" t="s">
        <v>2220</v>
      </c>
      <c r="S1269" s="103" t="s">
        <v>2870</v>
      </c>
      <c r="U1269" s="103">
        <v>10.26</v>
      </c>
      <c r="V1269" s="103" t="s">
        <v>2158</v>
      </c>
      <c r="W1269" s="103" t="s">
        <v>116</v>
      </c>
      <c r="X1269" s="103" t="s">
        <v>1597</v>
      </c>
      <c r="Y1269" s="103" t="s">
        <v>1685</v>
      </c>
      <c r="AA1269" s="103" t="s">
        <v>2220</v>
      </c>
      <c r="AB1269" s="103" t="s">
        <v>71</v>
      </c>
      <c r="AE1269" s="103" t="s">
        <v>898</v>
      </c>
      <c r="AF1269" s="103" t="b">
        <v>1</v>
      </c>
    </row>
    <row r="1270" spans="1:32" hidden="1" x14ac:dyDescent="0.2">
      <c r="A1270" s="103" t="s">
        <v>1166</v>
      </c>
      <c r="B1270" s="103" t="s">
        <v>1165</v>
      </c>
      <c r="C1270" s="103" t="s">
        <v>3409</v>
      </c>
      <c r="E1270" s="103" t="s">
        <v>2957</v>
      </c>
      <c r="F1270" s="103" t="s">
        <v>2175</v>
      </c>
      <c r="G1270" s="103">
        <v>20</v>
      </c>
      <c r="H1270" s="103" t="s">
        <v>2168</v>
      </c>
      <c r="I1270" s="103" t="s">
        <v>2153</v>
      </c>
      <c r="J1270" s="103">
        <v>20</v>
      </c>
      <c r="N1270" s="103" t="s">
        <v>2163</v>
      </c>
      <c r="O1270" s="103">
        <v>20</v>
      </c>
      <c r="P1270" s="103" t="s">
        <v>791</v>
      </c>
      <c r="Q1270" s="103" t="s">
        <v>2155</v>
      </c>
      <c r="R1270" s="103" t="s">
        <v>2220</v>
      </c>
      <c r="S1270" s="103" t="s">
        <v>2870</v>
      </c>
      <c r="U1270" s="103">
        <v>10.26</v>
      </c>
      <c r="V1270" s="103" t="s">
        <v>2158</v>
      </c>
      <c r="W1270" s="103" t="s">
        <v>116</v>
      </c>
      <c r="X1270" s="103" t="s">
        <v>1597</v>
      </c>
      <c r="Y1270" s="103" t="s">
        <v>1685</v>
      </c>
      <c r="AA1270" s="103" t="s">
        <v>2220</v>
      </c>
      <c r="AB1270" s="103" t="s">
        <v>71</v>
      </c>
      <c r="AE1270" s="103" t="s">
        <v>898</v>
      </c>
      <c r="AF1270" s="103" t="b">
        <v>1</v>
      </c>
    </row>
    <row r="1271" spans="1:32" hidden="1" x14ac:dyDescent="0.2">
      <c r="A1271" s="103" t="s">
        <v>1166</v>
      </c>
      <c r="B1271" s="103" t="s">
        <v>1165</v>
      </c>
      <c r="C1271" s="103" t="s">
        <v>3410</v>
      </c>
      <c r="E1271" s="103" t="s">
        <v>2957</v>
      </c>
      <c r="F1271" s="103" t="s">
        <v>2162</v>
      </c>
      <c r="G1271" s="103">
        <v>80</v>
      </c>
      <c r="H1271" s="103" t="s">
        <v>2152</v>
      </c>
      <c r="I1271" s="103" t="s">
        <v>2153</v>
      </c>
      <c r="K1271" s="103">
        <v>50</v>
      </c>
      <c r="L1271" s="103">
        <v>30</v>
      </c>
      <c r="N1271" s="103" t="s">
        <v>2163</v>
      </c>
      <c r="O1271" s="103">
        <v>80</v>
      </c>
      <c r="P1271" s="103" t="s">
        <v>791</v>
      </c>
      <c r="Q1271" s="103" t="s">
        <v>2155</v>
      </c>
      <c r="R1271" s="103" t="s">
        <v>2220</v>
      </c>
      <c r="S1271" s="103" t="s">
        <v>2870</v>
      </c>
      <c r="U1271" s="103">
        <v>41.04</v>
      </c>
      <c r="V1271" s="103" t="s">
        <v>2158</v>
      </c>
      <c r="W1271" s="103" t="s">
        <v>116</v>
      </c>
      <c r="X1271" s="103" t="s">
        <v>1597</v>
      </c>
      <c r="Y1271" s="103" t="s">
        <v>1685</v>
      </c>
      <c r="AA1271" s="103" t="s">
        <v>2220</v>
      </c>
      <c r="AB1271" s="103" t="s">
        <v>71</v>
      </c>
      <c r="AE1271" s="103" t="s">
        <v>898</v>
      </c>
      <c r="AF1271" s="103" t="b">
        <v>1</v>
      </c>
    </row>
    <row r="1272" spans="1:32" hidden="1" x14ac:dyDescent="0.2">
      <c r="A1272" s="103" t="s">
        <v>1166</v>
      </c>
      <c r="B1272" s="103" t="s">
        <v>1165</v>
      </c>
      <c r="C1272" s="103" t="s">
        <v>3410</v>
      </c>
      <c r="E1272" s="103" t="s">
        <v>2957</v>
      </c>
      <c r="F1272" s="103" t="s">
        <v>2175</v>
      </c>
      <c r="G1272" s="103">
        <v>20</v>
      </c>
      <c r="H1272" s="103" t="s">
        <v>2168</v>
      </c>
      <c r="I1272" s="103" t="s">
        <v>2153</v>
      </c>
      <c r="L1272" s="103">
        <v>20</v>
      </c>
      <c r="N1272" s="103" t="s">
        <v>2163</v>
      </c>
      <c r="O1272" s="103">
        <v>20</v>
      </c>
      <c r="P1272" s="103" t="s">
        <v>791</v>
      </c>
      <c r="Q1272" s="103" t="s">
        <v>2155</v>
      </c>
      <c r="R1272" s="103" t="s">
        <v>2220</v>
      </c>
      <c r="S1272" s="103" t="s">
        <v>2870</v>
      </c>
      <c r="U1272" s="103">
        <v>10.26</v>
      </c>
      <c r="V1272" s="103" t="s">
        <v>2158</v>
      </c>
      <c r="W1272" s="103" t="s">
        <v>116</v>
      </c>
      <c r="X1272" s="103" t="s">
        <v>1597</v>
      </c>
      <c r="Y1272" s="103" t="s">
        <v>1685</v>
      </c>
      <c r="AA1272" s="103" t="s">
        <v>2220</v>
      </c>
      <c r="AB1272" s="103" t="s">
        <v>71</v>
      </c>
      <c r="AE1272" s="103" t="s">
        <v>898</v>
      </c>
      <c r="AF1272" s="103" t="b">
        <v>1</v>
      </c>
    </row>
    <row r="1273" spans="1:32" hidden="1" x14ac:dyDescent="0.2">
      <c r="A1273" s="103" t="s">
        <v>1168</v>
      </c>
      <c r="B1273" s="103" t="s">
        <v>1167</v>
      </c>
      <c r="C1273" s="103" t="s">
        <v>3411</v>
      </c>
      <c r="E1273" s="103" t="s">
        <v>2334</v>
      </c>
      <c r="F1273" s="103" t="s">
        <v>2162</v>
      </c>
      <c r="G1273" s="103">
        <v>50</v>
      </c>
      <c r="H1273" s="103" t="s">
        <v>2168</v>
      </c>
      <c r="I1273" s="103" t="s">
        <v>2153</v>
      </c>
      <c r="L1273" s="103">
        <v>25</v>
      </c>
      <c r="M1273" s="103">
        <v>25</v>
      </c>
      <c r="N1273" s="103" t="s">
        <v>2260</v>
      </c>
      <c r="O1273" s="103">
        <v>50</v>
      </c>
      <c r="P1273" s="103" t="s">
        <v>791</v>
      </c>
      <c r="Q1273" s="103" t="s">
        <v>2155</v>
      </c>
      <c r="R1273" s="103" t="s">
        <v>2220</v>
      </c>
      <c r="S1273" s="103" t="s">
        <v>2238</v>
      </c>
      <c r="U1273" s="103">
        <v>25.65</v>
      </c>
      <c r="V1273" s="103" t="s">
        <v>2262</v>
      </c>
      <c r="W1273" s="103" t="s">
        <v>116</v>
      </c>
      <c r="X1273" s="103" t="s">
        <v>1597</v>
      </c>
      <c r="Y1273" s="103" t="s">
        <v>1685</v>
      </c>
      <c r="AA1273" s="103" t="s">
        <v>2220</v>
      </c>
      <c r="AB1273" s="103" t="s">
        <v>71</v>
      </c>
      <c r="AE1273" s="103" t="s">
        <v>898</v>
      </c>
      <c r="AF1273" s="103" t="b">
        <v>1</v>
      </c>
    </row>
    <row r="1274" spans="1:32" hidden="1" x14ac:dyDescent="0.2">
      <c r="A1274" s="103" t="s">
        <v>1168</v>
      </c>
      <c r="B1274" s="103" t="s">
        <v>1167</v>
      </c>
      <c r="C1274" s="103" t="s">
        <v>3412</v>
      </c>
      <c r="E1274" s="103" t="s">
        <v>2334</v>
      </c>
      <c r="F1274" s="103" t="s">
        <v>2175</v>
      </c>
      <c r="G1274" s="103">
        <v>20</v>
      </c>
      <c r="H1274" s="103" t="s">
        <v>2168</v>
      </c>
      <c r="I1274" s="103" t="s">
        <v>2153</v>
      </c>
      <c r="L1274" s="103">
        <v>10</v>
      </c>
      <c r="M1274" s="103">
        <v>10</v>
      </c>
      <c r="N1274" s="103" t="s">
        <v>2260</v>
      </c>
      <c r="O1274" s="103">
        <v>20</v>
      </c>
      <c r="P1274" s="103" t="s">
        <v>791</v>
      </c>
      <c r="Q1274" s="103" t="s">
        <v>2155</v>
      </c>
      <c r="R1274" s="103" t="s">
        <v>2220</v>
      </c>
      <c r="S1274" s="103" t="s">
        <v>2192</v>
      </c>
      <c r="T1274" s="103" t="s">
        <v>3413</v>
      </c>
      <c r="U1274" s="103">
        <v>10.26</v>
      </c>
      <c r="V1274" s="103" t="s">
        <v>2262</v>
      </c>
      <c r="W1274" s="103" t="s">
        <v>116</v>
      </c>
      <c r="X1274" s="103" t="s">
        <v>1597</v>
      </c>
      <c r="Y1274" s="103" t="s">
        <v>1685</v>
      </c>
      <c r="AA1274" s="103" t="s">
        <v>2220</v>
      </c>
      <c r="AB1274" s="103" t="s">
        <v>71</v>
      </c>
      <c r="AE1274" s="103" t="s">
        <v>898</v>
      </c>
      <c r="AF1274" s="103" t="b">
        <v>1</v>
      </c>
    </row>
    <row r="1275" spans="1:32" hidden="1" x14ac:dyDescent="0.2">
      <c r="A1275" s="103" t="s">
        <v>1168</v>
      </c>
      <c r="B1275" s="103" t="s">
        <v>1167</v>
      </c>
      <c r="C1275" s="103" t="s">
        <v>3414</v>
      </c>
      <c r="E1275" s="103" t="s">
        <v>2334</v>
      </c>
      <c r="F1275" s="103" t="s">
        <v>2175</v>
      </c>
      <c r="G1275" s="103">
        <v>20</v>
      </c>
      <c r="H1275" s="103" t="s">
        <v>2168</v>
      </c>
      <c r="I1275" s="103" t="s">
        <v>2153</v>
      </c>
      <c r="M1275" s="103">
        <v>20</v>
      </c>
      <c r="N1275" s="103" t="s">
        <v>2260</v>
      </c>
      <c r="O1275" s="103">
        <v>20</v>
      </c>
      <c r="P1275" s="103" t="s">
        <v>791</v>
      </c>
      <c r="Q1275" s="103" t="s">
        <v>2155</v>
      </c>
      <c r="R1275" s="103" t="s">
        <v>2220</v>
      </c>
      <c r="S1275" s="103" t="s">
        <v>2238</v>
      </c>
      <c r="U1275" s="103">
        <v>10.26</v>
      </c>
      <c r="V1275" s="103" t="s">
        <v>2262</v>
      </c>
      <c r="W1275" s="103" t="s">
        <v>116</v>
      </c>
      <c r="X1275" s="103" t="s">
        <v>1597</v>
      </c>
      <c r="Y1275" s="103" t="s">
        <v>1685</v>
      </c>
      <c r="AA1275" s="103" t="s">
        <v>2220</v>
      </c>
      <c r="AB1275" s="103" t="s">
        <v>71</v>
      </c>
      <c r="AE1275" s="103" t="s">
        <v>898</v>
      </c>
      <c r="AF1275" s="103" t="b">
        <v>1</v>
      </c>
    </row>
    <row r="1276" spans="1:32" hidden="1" x14ac:dyDescent="0.2">
      <c r="A1276" s="103" t="s">
        <v>1168</v>
      </c>
      <c r="B1276" s="103" t="s">
        <v>1167</v>
      </c>
      <c r="C1276" s="103" t="s">
        <v>3415</v>
      </c>
      <c r="E1276" s="103" t="s">
        <v>2334</v>
      </c>
      <c r="F1276" s="103" t="s">
        <v>2202</v>
      </c>
      <c r="G1276" s="103">
        <v>200</v>
      </c>
      <c r="H1276" s="103" t="s">
        <v>2168</v>
      </c>
      <c r="I1276" s="103" t="s">
        <v>2153</v>
      </c>
      <c r="J1276" s="103">
        <v>100</v>
      </c>
      <c r="K1276" s="103">
        <v>100</v>
      </c>
      <c r="N1276" s="103" t="s">
        <v>2260</v>
      </c>
      <c r="O1276" s="103">
        <v>200</v>
      </c>
      <c r="P1276" s="103" t="s">
        <v>791</v>
      </c>
      <c r="Q1276" s="103" t="s">
        <v>2155</v>
      </c>
      <c r="R1276" s="103" t="s">
        <v>2220</v>
      </c>
      <c r="S1276" s="103" t="s">
        <v>2422</v>
      </c>
      <c r="U1276" s="103">
        <v>102.6</v>
      </c>
      <c r="V1276" s="103" t="s">
        <v>2262</v>
      </c>
      <c r="W1276" s="103" t="s">
        <v>116</v>
      </c>
      <c r="X1276" s="103" t="s">
        <v>1597</v>
      </c>
      <c r="Y1276" s="103" t="s">
        <v>1685</v>
      </c>
      <c r="AA1276" s="103" t="s">
        <v>2220</v>
      </c>
      <c r="AB1276" s="103" t="s">
        <v>71</v>
      </c>
      <c r="AE1276" s="103" t="s">
        <v>898</v>
      </c>
      <c r="AF1276" s="103" t="b">
        <v>1</v>
      </c>
    </row>
    <row r="1277" spans="1:32" hidden="1" x14ac:dyDescent="0.2">
      <c r="A1277" s="103" t="s">
        <v>1168</v>
      </c>
      <c r="B1277" s="103" t="s">
        <v>1167</v>
      </c>
      <c r="C1277" s="103" t="s">
        <v>3416</v>
      </c>
      <c r="E1277" s="103" t="s">
        <v>2334</v>
      </c>
      <c r="F1277" s="103" t="s">
        <v>2175</v>
      </c>
      <c r="G1277" s="103">
        <v>20</v>
      </c>
      <c r="H1277" s="103" t="s">
        <v>2168</v>
      </c>
      <c r="I1277" s="103" t="s">
        <v>2153</v>
      </c>
      <c r="L1277" s="103">
        <v>10</v>
      </c>
      <c r="M1277" s="103">
        <v>10</v>
      </c>
      <c r="N1277" s="103" t="s">
        <v>2260</v>
      </c>
      <c r="O1277" s="103">
        <v>20</v>
      </c>
      <c r="P1277" s="103" t="s">
        <v>791</v>
      </c>
      <c r="Q1277" s="103" t="s">
        <v>2155</v>
      </c>
      <c r="R1277" s="103" t="s">
        <v>2220</v>
      </c>
      <c r="S1277" s="103" t="s">
        <v>2238</v>
      </c>
      <c r="U1277" s="103">
        <v>10.26</v>
      </c>
      <c r="V1277" s="103" t="s">
        <v>2262</v>
      </c>
      <c r="W1277" s="103" t="s">
        <v>116</v>
      </c>
      <c r="X1277" s="103" t="s">
        <v>1597</v>
      </c>
      <c r="Y1277" s="103" t="s">
        <v>1685</v>
      </c>
      <c r="AA1277" s="103" t="s">
        <v>2220</v>
      </c>
      <c r="AB1277" s="103" t="s">
        <v>71</v>
      </c>
      <c r="AE1277" s="103" t="s">
        <v>898</v>
      </c>
      <c r="AF1277" s="103" t="b">
        <v>1</v>
      </c>
    </row>
    <row r="1278" spans="1:32" hidden="1" x14ac:dyDescent="0.2">
      <c r="A1278" s="103" t="s">
        <v>1168</v>
      </c>
      <c r="B1278" s="103" t="s">
        <v>1167</v>
      </c>
      <c r="C1278" s="103" t="s">
        <v>3417</v>
      </c>
      <c r="E1278" s="103" t="s">
        <v>2334</v>
      </c>
      <c r="F1278" s="103" t="s">
        <v>2162</v>
      </c>
      <c r="G1278" s="103">
        <v>50</v>
      </c>
      <c r="H1278" s="103" t="s">
        <v>2168</v>
      </c>
      <c r="I1278" s="103" t="s">
        <v>2153</v>
      </c>
      <c r="L1278" s="103">
        <v>20</v>
      </c>
      <c r="M1278" s="103">
        <v>30</v>
      </c>
      <c r="N1278" s="103" t="s">
        <v>2260</v>
      </c>
      <c r="O1278" s="103">
        <v>50</v>
      </c>
      <c r="P1278" s="103" t="s">
        <v>791</v>
      </c>
      <c r="Q1278" s="103" t="s">
        <v>2155</v>
      </c>
      <c r="R1278" s="103" t="s">
        <v>2220</v>
      </c>
      <c r="S1278" s="103" t="s">
        <v>2238</v>
      </c>
      <c r="T1278" s="103" t="s">
        <v>3418</v>
      </c>
      <c r="U1278" s="103">
        <v>25.65</v>
      </c>
      <c r="V1278" s="103" t="s">
        <v>2262</v>
      </c>
      <c r="W1278" s="103" t="s">
        <v>116</v>
      </c>
      <c r="X1278" s="103" t="s">
        <v>1597</v>
      </c>
      <c r="Y1278" s="103" t="s">
        <v>1685</v>
      </c>
      <c r="AA1278" s="103" t="s">
        <v>2220</v>
      </c>
      <c r="AB1278" s="103" t="s">
        <v>71</v>
      </c>
      <c r="AE1278" s="103" t="s">
        <v>898</v>
      </c>
      <c r="AF1278" s="103" t="b">
        <v>1</v>
      </c>
    </row>
    <row r="1279" spans="1:32" hidden="1" x14ac:dyDescent="0.2">
      <c r="A1279" s="103" t="s">
        <v>1168</v>
      </c>
      <c r="B1279" s="103" t="s">
        <v>1167</v>
      </c>
      <c r="C1279" s="103" t="s">
        <v>3419</v>
      </c>
      <c r="E1279" s="103" t="s">
        <v>2334</v>
      </c>
      <c r="F1279" s="103" t="s">
        <v>2151</v>
      </c>
      <c r="G1279" s="103">
        <v>100</v>
      </c>
      <c r="H1279" s="103" t="s">
        <v>2168</v>
      </c>
      <c r="I1279" s="103" t="s">
        <v>2153</v>
      </c>
      <c r="L1279" s="103">
        <v>50</v>
      </c>
      <c r="M1279" s="103">
        <v>50</v>
      </c>
      <c r="N1279" s="103" t="s">
        <v>2273</v>
      </c>
      <c r="O1279" s="103">
        <v>100</v>
      </c>
      <c r="P1279" s="103" t="s">
        <v>791</v>
      </c>
      <c r="Q1279" s="103" t="s">
        <v>2155</v>
      </c>
      <c r="R1279" s="103" t="s">
        <v>2220</v>
      </c>
      <c r="S1279" s="103" t="s">
        <v>2251</v>
      </c>
      <c r="U1279" s="103">
        <v>51.3</v>
      </c>
      <c r="V1279" s="103" t="s">
        <v>2262</v>
      </c>
      <c r="W1279" s="103" t="s">
        <v>116</v>
      </c>
      <c r="X1279" s="103" t="s">
        <v>1597</v>
      </c>
      <c r="Y1279" s="103" t="s">
        <v>1685</v>
      </c>
      <c r="AA1279" s="103" t="s">
        <v>2220</v>
      </c>
      <c r="AB1279" s="103" t="s">
        <v>71</v>
      </c>
      <c r="AE1279" s="103" t="s">
        <v>898</v>
      </c>
      <c r="AF1279" s="103" t="b">
        <v>1</v>
      </c>
    </row>
    <row r="1280" spans="1:32" hidden="1" x14ac:dyDescent="0.2">
      <c r="A1280" s="103" t="s">
        <v>1168</v>
      </c>
      <c r="B1280" s="103" t="s">
        <v>1167</v>
      </c>
      <c r="C1280" s="103" t="s">
        <v>3411</v>
      </c>
      <c r="E1280" s="103" t="s">
        <v>2346</v>
      </c>
      <c r="F1280" s="103" t="s">
        <v>2226</v>
      </c>
      <c r="G1280" s="103">
        <v>400</v>
      </c>
      <c r="H1280" s="103" t="s">
        <v>2168</v>
      </c>
      <c r="I1280" s="103" t="s">
        <v>2153</v>
      </c>
      <c r="K1280" s="103">
        <v>125</v>
      </c>
      <c r="L1280" s="103">
        <v>125</v>
      </c>
      <c r="M1280" s="103">
        <v>150</v>
      </c>
      <c r="N1280" s="103" t="s">
        <v>2260</v>
      </c>
      <c r="O1280" s="103">
        <v>400</v>
      </c>
      <c r="P1280" s="103" t="s">
        <v>791</v>
      </c>
      <c r="Q1280" s="103" t="s">
        <v>2155</v>
      </c>
      <c r="R1280" s="103" t="s">
        <v>2220</v>
      </c>
      <c r="S1280" s="103" t="s">
        <v>2238</v>
      </c>
      <c r="U1280" s="103">
        <v>205.2</v>
      </c>
      <c r="V1280" s="103" t="s">
        <v>2262</v>
      </c>
      <c r="W1280" s="103" t="s">
        <v>116</v>
      </c>
      <c r="X1280" s="103" t="s">
        <v>1597</v>
      </c>
      <c r="Y1280" s="103" t="s">
        <v>1685</v>
      </c>
      <c r="AA1280" s="103" t="s">
        <v>2220</v>
      </c>
      <c r="AB1280" s="103" t="s">
        <v>71</v>
      </c>
      <c r="AE1280" s="103" t="s">
        <v>898</v>
      </c>
      <c r="AF1280" s="103" t="b">
        <v>1</v>
      </c>
    </row>
    <row r="1281" spans="1:32" hidden="1" x14ac:dyDescent="0.2">
      <c r="A1281" s="103" t="s">
        <v>1168</v>
      </c>
      <c r="B1281" s="103" t="s">
        <v>1167</v>
      </c>
      <c r="C1281" s="103" t="s">
        <v>3412</v>
      </c>
      <c r="E1281" s="103" t="s">
        <v>2346</v>
      </c>
      <c r="F1281" s="103" t="s">
        <v>2151</v>
      </c>
      <c r="G1281" s="103">
        <v>100</v>
      </c>
      <c r="H1281" s="103" t="s">
        <v>2168</v>
      </c>
      <c r="I1281" s="103" t="s">
        <v>2153</v>
      </c>
      <c r="K1281" s="103">
        <v>30</v>
      </c>
      <c r="L1281" s="103">
        <v>30</v>
      </c>
      <c r="M1281" s="103">
        <v>40</v>
      </c>
      <c r="N1281" s="103" t="s">
        <v>2260</v>
      </c>
      <c r="O1281" s="103">
        <v>100</v>
      </c>
      <c r="P1281" s="103" t="s">
        <v>791</v>
      </c>
      <c r="Q1281" s="103" t="s">
        <v>2155</v>
      </c>
      <c r="R1281" s="103" t="s">
        <v>2220</v>
      </c>
      <c r="S1281" s="103" t="s">
        <v>2192</v>
      </c>
      <c r="T1281" s="103" t="s">
        <v>3413</v>
      </c>
      <c r="U1281" s="103">
        <v>51.3</v>
      </c>
      <c r="V1281" s="103" t="s">
        <v>2262</v>
      </c>
      <c r="W1281" s="103" t="s">
        <v>116</v>
      </c>
      <c r="X1281" s="103" t="s">
        <v>1597</v>
      </c>
      <c r="Y1281" s="103" t="s">
        <v>1685</v>
      </c>
      <c r="AA1281" s="103" t="s">
        <v>2220</v>
      </c>
      <c r="AB1281" s="103" t="s">
        <v>71</v>
      </c>
      <c r="AE1281" s="103" t="s">
        <v>898</v>
      </c>
      <c r="AF1281" s="103" t="b">
        <v>1</v>
      </c>
    </row>
    <row r="1282" spans="1:32" hidden="1" x14ac:dyDescent="0.2">
      <c r="A1282" s="103" t="s">
        <v>1168</v>
      </c>
      <c r="B1282" s="103" t="s">
        <v>1167</v>
      </c>
      <c r="C1282" s="103" t="s">
        <v>3420</v>
      </c>
      <c r="E1282" s="103" t="s">
        <v>2346</v>
      </c>
      <c r="F1282" s="103" t="s">
        <v>2202</v>
      </c>
      <c r="G1282" s="103">
        <v>200</v>
      </c>
      <c r="H1282" s="103" t="s">
        <v>2168</v>
      </c>
      <c r="I1282" s="103" t="s">
        <v>2153</v>
      </c>
      <c r="L1282" s="103">
        <v>100</v>
      </c>
      <c r="M1282" s="103">
        <v>100</v>
      </c>
      <c r="N1282" s="103" t="s">
        <v>2260</v>
      </c>
      <c r="O1282" s="103">
        <v>200</v>
      </c>
      <c r="P1282" s="103" t="s">
        <v>791</v>
      </c>
      <c r="Q1282" s="103" t="s">
        <v>2155</v>
      </c>
      <c r="R1282" s="103" t="s">
        <v>2220</v>
      </c>
      <c r="S1282" s="103" t="s">
        <v>2422</v>
      </c>
      <c r="U1282" s="103">
        <v>102.6</v>
      </c>
      <c r="V1282" s="103" t="s">
        <v>2262</v>
      </c>
      <c r="W1282" s="103" t="s">
        <v>116</v>
      </c>
      <c r="X1282" s="103" t="s">
        <v>1597</v>
      </c>
      <c r="Y1282" s="103" t="s">
        <v>1685</v>
      </c>
      <c r="AA1282" s="103" t="s">
        <v>2220</v>
      </c>
      <c r="AB1282" s="103" t="s">
        <v>71</v>
      </c>
      <c r="AE1282" s="103" t="s">
        <v>898</v>
      </c>
      <c r="AF1282" s="103" t="b">
        <v>1</v>
      </c>
    </row>
    <row r="1283" spans="1:32" hidden="1" x14ac:dyDescent="0.2">
      <c r="A1283" s="103" t="s">
        <v>1168</v>
      </c>
      <c r="B1283" s="103" t="s">
        <v>1167</v>
      </c>
      <c r="C1283" s="103" t="s">
        <v>3415</v>
      </c>
      <c r="E1283" s="103" t="s">
        <v>2346</v>
      </c>
      <c r="F1283" s="103" t="s">
        <v>2162</v>
      </c>
      <c r="G1283" s="103">
        <v>50</v>
      </c>
      <c r="H1283" s="103" t="s">
        <v>2168</v>
      </c>
      <c r="I1283" s="103" t="s">
        <v>2153</v>
      </c>
      <c r="J1283" s="103">
        <v>50</v>
      </c>
      <c r="N1283" s="103" t="s">
        <v>2260</v>
      </c>
      <c r="O1283" s="103">
        <v>50</v>
      </c>
      <c r="P1283" s="103" t="s">
        <v>791</v>
      </c>
      <c r="Q1283" s="103" t="s">
        <v>2155</v>
      </c>
      <c r="R1283" s="103" t="s">
        <v>2220</v>
      </c>
      <c r="S1283" s="103" t="s">
        <v>2422</v>
      </c>
      <c r="U1283" s="103">
        <v>25.65</v>
      </c>
      <c r="V1283" s="103" t="s">
        <v>2262</v>
      </c>
      <c r="W1283" s="103" t="s">
        <v>116</v>
      </c>
      <c r="X1283" s="103" t="s">
        <v>1597</v>
      </c>
      <c r="Y1283" s="103" t="s">
        <v>1685</v>
      </c>
      <c r="AA1283" s="103" t="s">
        <v>2220</v>
      </c>
      <c r="AB1283" s="103" t="s">
        <v>71</v>
      </c>
      <c r="AE1283" s="103" t="s">
        <v>898</v>
      </c>
      <c r="AF1283" s="103" t="b">
        <v>1</v>
      </c>
    </row>
    <row r="1284" spans="1:32" hidden="1" x14ac:dyDescent="0.2">
      <c r="A1284" s="103" t="s">
        <v>1168</v>
      </c>
      <c r="B1284" s="103" t="s">
        <v>1167</v>
      </c>
      <c r="C1284" s="103" t="s">
        <v>3416</v>
      </c>
      <c r="E1284" s="103" t="s">
        <v>2346</v>
      </c>
      <c r="F1284" s="103" t="s">
        <v>2162</v>
      </c>
      <c r="G1284" s="103">
        <v>50</v>
      </c>
      <c r="H1284" s="103" t="s">
        <v>2168</v>
      </c>
      <c r="I1284" s="103" t="s">
        <v>2153</v>
      </c>
      <c r="K1284" s="103">
        <v>25</v>
      </c>
      <c r="L1284" s="103">
        <v>25</v>
      </c>
      <c r="N1284" s="103" t="s">
        <v>2260</v>
      </c>
      <c r="O1284" s="103">
        <v>50</v>
      </c>
      <c r="P1284" s="103" t="s">
        <v>791</v>
      </c>
      <c r="Q1284" s="103" t="s">
        <v>2155</v>
      </c>
      <c r="R1284" s="103" t="s">
        <v>2220</v>
      </c>
      <c r="S1284" s="103" t="s">
        <v>2238</v>
      </c>
      <c r="U1284" s="103">
        <v>25.65</v>
      </c>
      <c r="V1284" s="103" t="s">
        <v>2262</v>
      </c>
      <c r="W1284" s="103" t="s">
        <v>116</v>
      </c>
      <c r="X1284" s="103" t="s">
        <v>1597</v>
      </c>
      <c r="Y1284" s="103" t="s">
        <v>1685</v>
      </c>
      <c r="AA1284" s="103" t="s">
        <v>2220</v>
      </c>
      <c r="AB1284" s="103" t="s">
        <v>71</v>
      </c>
      <c r="AE1284" s="103" t="s">
        <v>898</v>
      </c>
      <c r="AF1284" s="103" t="b">
        <v>1</v>
      </c>
    </row>
    <row r="1285" spans="1:32" hidden="1" x14ac:dyDescent="0.2">
      <c r="A1285" s="103" t="s">
        <v>1168</v>
      </c>
      <c r="B1285" s="103" t="s">
        <v>1167</v>
      </c>
      <c r="C1285" s="103" t="s">
        <v>3421</v>
      </c>
      <c r="D1285" s="103" t="s">
        <v>3422</v>
      </c>
      <c r="E1285" s="103" t="s">
        <v>2346</v>
      </c>
      <c r="F1285" s="103" t="s">
        <v>2175</v>
      </c>
      <c r="G1285" s="103">
        <v>20</v>
      </c>
      <c r="H1285" s="103" t="s">
        <v>2168</v>
      </c>
      <c r="I1285" s="103" t="s">
        <v>2153</v>
      </c>
      <c r="J1285" s="103">
        <v>20</v>
      </c>
      <c r="N1285" s="103" t="s">
        <v>2273</v>
      </c>
      <c r="O1285" s="103">
        <v>20</v>
      </c>
      <c r="P1285" s="103" t="s">
        <v>791</v>
      </c>
      <c r="Q1285" s="103" t="s">
        <v>2155</v>
      </c>
      <c r="R1285" s="103" t="s">
        <v>2220</v>
      </c>
      <c r="S1285" s="103" t="s">
        <v>2238</v>
      </c>
      <c r="U1285" s="103">
        <v>10.26</v>
      </c>
      <c r="V1285" s="103" t="s">
        <v>2262</v>
      </c>
      <c r="W1285" s="103" t="s">
        <v>116</v>
      </c>
      <c r="X1285" s="103" t="s">
        <v>1597</v>
      </c>
      <c r="Y1285" s="103" t="s">
        <v>1685</v>
      </c>
      <c r="AA1285" s="103" t="s">
        <v>2220</v>
      </c>
      <c r="AB1285" s="103" t="s">
        <v>71</v>
      </c>
      <c r="AE1285" s="103" t="s">
        <v>898</v>
      </c>
      <c r="AF1285" s="103" t="b">
        <v>1</v>
      </c>
    </row>
    <row r="1286" spans="1:32" hidden="1" x14ac:dyDescent="0.2">
      <c r="A1286" s="103" t="s">
        <v>1168</v>
      </c>
      <c r="B1286" s="103" t="s">
        <v>1167</v>
      </c>
      <c r="C1286" s="103" t="s">
        <v>3423</v>
      </c>
      <c r="E1286" s="103" t="s">
        <v>2346</v>
      </c>
      <c r="F1286" s="103" t="s">
        <v>2202</v>
      </c>
      <c r="G1286" s="103">
        <v>200</v>
      </c>
      <c r="H1286" s="103" t="s">
        <v>2168</v>
      </c>
      <c r="I1286" s="103" t="s">
        <v>2153</v>
      </c>
      <c r="J1286" s="103">
        <v>50</v>
      </c>
      <c r="K1286" s="103">
        <v>50</v>
      </c>
      <c r="L1286" s="103">
        <v>50</v>
      </c>
      <c r="M1286" s="103">
        <v>50</v>
      </c>
      <c r="N1286" s="103" t="s">
        <v>2273</v>
      </c>
      <c r="O1286" s="103">
        <v>200</v>
      </c>
      <c r="P1286" s="103" t="s">
        <v>791</v>
      </c>
      <c r="Q1286" s="103" t="s">
        <v>2155</v>
      </c>
      <c r="R1286" s="103" t="s">
        <v>2220</v>
      </c>
      <c r="S1286" s="103" t="s">
        <v>2238</v>
      </c>
      <c r="U1286" s="103">
        <v>102.6</v>
      </c>
      <c r="V1286" s="103" t="s">
        <v>2262</v>
      </c>
      <c r="W1286" s="103" t="s">
        <v>116</v>
      </c>
      <c r="X1286" s="103" t="s">
        <v>1597</v>
      </c>
      <c r="Y1286" s="103" t="s">
        <v>1685</v>
      </c>
      <c r="AA1286" s="103" t="s">
        <v>2220</v>
      </c>
      <c r="AB1286" s="103" t="s">
        <v>71</v>
      </c>
      <c r="AE1286" s="103" t="s">
        <v>898</v>
      </c>
      <c r="AF1286" s="103" t="b">
        <v>1</v>
      </c>
    </row>
    <row r="1287" spans="1:32" hidden="1" x14ac:dyDescent="0.2">
      <c r="A1287" s="103" t="s">
        <v>1168</v>
      </c>
      <c r="B1287" s="103" t="s">
        <v>1167</v>
      </c>
      <c r="C1287" s="103" t="s">
        <v>3424</v>
      </c>
      <c r="E1287" s="103" t="s">
        <v>2957</v>
      </c>
      <c r="F1287" s="103" t="s">
        <v>2162</v>
      </c>
      <c r="G1287" s="103">
        <v>38</v>
      </c>
      <c r="H1287" s="103" t="s">
        <v>2152</v>
      </c>
      <c r="I1287" s="103" t="s">
        <v>2153</v>
      </c>
      <c r="J1287" s="103">
        <v>28</v>
      </c>
      <c r="K1287" s="103">
        <v>10</v>
      </c>
      <c r="N1287" s="103" t="s">
        <v>2163</v>
      </c>
      <c r="O1287" s="103">
        <v>38</v>
      </c>
      <c r="P1287" s="103" t="s">
        <v>791</v>
      </c>
      <c r="Q1287" s="103" t="s">
        <v>2155</v>
      </c>
      <c r="R1287" s="103" t="s">
        <v>2220</v>
      </c>
      <c r="S1287" s="103" t="s">
        <v>2870</v>
      </c>
      <c r="U1287" s="103">
        <v>19.494</v>
      </c>
      <c r="V1287" s="103" t="s">
        <v>2158</v>
      </c>
      <c r="W1287" s="103" t="s">
        <v>116</v>
      </c>
      <c r="X1287" s="103" t="s">
        <v>1597</v>
      </c>
      <c r="Y1287" s="103" t="s">
        <v>1685</v>
      </c>
      <c r="AA1287" s="103" t="s">
        <v>2220</v>
      </c>
      <c r="AB1287" s="103" t="s">
        <v>71</v>
      </c>
      <c r="AE1287" s="103" t="s">
        <v>898</v>
      </c>
      <c r="AF1287" s="103" t="b">
        <v>1</v>
      </c>
    </row>
    <row r="1288" spans="1:32" hidden="1" x14ac:dyDescent="0.2">
      <c r="A1288" s="103" t="s">
        <v>1168</v>
      </c>
      <c r="B1288" s="103" t="s">
        <v>1167</v>
      </c>
      <c r="C1288" s="103" t="s">
        <v>3425</v>
      </c>
      <c r="E1288" s="103" t="s">
        <v>2334</v>
      </c>
      <c r="F1288" s="103" t="s">
        <v>2175</v>
      </c>
      <c r="G1288" s="103">
        <v>20</v>
      </c>
      <c r="H1288" s="103" t="s">
        <v>2168</v>
      </c>
      <c r="I1288" s="103" t="s">
        <v>2153</v>
      </c>
      <c r="L1288" s="103">
        <v>20</v>
      </c>
      <c r="N1288" s="103" t="s">
        <v>2163</v>
      </c>
      <c r="O1288" s="103">
        <v>20</v>
      </c>
      <c r="P1288" s="103" t="s">
        <v>791</v>
      </c>
      <c r="Q1288" s="103" t="s">
        <v>2155</v>
      </c>
      <c r="R1288" s="103" t="s">
        <v>2220</v>
      </c>
      <c r="S1288" s="103" t="s">
        <v>2870</v>
      </c>
      <c r="U1288" s="103">
        <v>10.26</v>
      </c>
      <c r="V1288" s="103" t="s">
        <v>2158</v>
      </c>
      <c r="W1288" s="103" t="s">
        <v>116</v>
      </c>
      <c r="X1288" s="103" t="s">
        <v>1597</v>
      </c>
      <c r="Y1288" s="103" t="s">
        <v>1685</v>
      </c>
      <c r="AA1288" s="103" t="s">
        <v>2220</v>
      </c>
      <c r="AB1288" s="103" t="s">
        <v>71</v>
      </c>
      <c r="AE1288" s="103" t="s">
        <v>898</v>
      </c>
      <c r="AF1288" s="103" t="b">
        <v>1</v>
      </c>
    </row>
    <row r="1289" spans="1:32" hidden="1" x14ac:dyDescent="0.2">
      <c r="A1289" s="103" t="s">
        <v>1168</v>
      </c>
      <c r="B1289" s="103" t="s">
        <v>1167</v>
      </c>
      <c r="C1289" s="103" t="s">
        <v>3426</v>
      </c>
      <c r="D1289" s="103" t="s">
        <v>3427</v>
      </c>
      <c r="E1289" s="103" t="s">
        <v>2334</v>
      </c>
      <c r="F1289" s="103" t="s">
        <v>2175</v>
      </c>
      <c r="G1289" s="103">
        <v>20</v>
      </c>
      <c r="H1289" s="103" t="s">
        <v>2168</v>
      </c>
      <c r="I1289" s="103" t="s">
        <v>2153</v>
      </c>
      <c r="K1289" s="103">
        <v>20</v>
      </c>
      <c r="N1289" s="103" t="s">
        <v>2163</v>
      </c>
      <c r="O1289" s="103">
        <v>20</v>
      </c>
      <c r="P1289" s="103" t="s">
        <v>791</v>
      </c>
      <c r="Q1289" s="103" t="s">
        <v>2155</v>
      </c>
      <c r="R1289" s="103" t="s">
        <v>2220</v>
      </c>
      <c r="S1289" s="103" t="s">
        <v>2870</v>
      </c>
      <c r="U1289" s="103">
        <v>10.26</v>
      </c>
      <c r="V1289" s="103" t="s">
        <v>2158</v>
      </c>
      <c r="W1289" s="103" t="s">
        <v>116</v>
      </c>
      <c r="X1289" s="103" t="s">
        <v>1597</v>
      </c>
      <c r="Y1289" s="103" t="s">
        <v>1685</v>
      </c>
      <c r="AA1289" s="103" t="s">
        <v>2220</v>
      </c>
      <c r="AB1289" s="103" t="s">
        <v>71</v>
      </c>
      <c r="AE1289" s="103" t="s">
        <v>898</v>
      </c>
      <c r="AF1289" s="103" t="b">
        <v>1</v>
      </c>
    </row>
    <row r="1290" spans="1:32" hidden="1" x14ac:dyDescent="0.2">
      <c r="A1290" s="103" t="s">
        <v>1168</v>
      </c>
      <c r="B1290" s="103" t="s">
        <v>1167</v>
      </c>
      <c r="C1290" s="103" t="s">
        <v>3428</v>
      </c>
      <c r="E1290" s="103" t="s">
        <v>2334</v>
      </c>
      <c r="F1290" s="103" t="s">
        <v>2175</v>
      </c>
      <c r="G1290" s="103">
        <v>20</v>
      </c>
      <c r="H1290" s="103" t="s">
        <v>2168</v>
      </c>
      <c r="I1290" s="103" t="s">
        <v>2153</v>
      </c>
      <c r="M1290" s="103">
        <v>20</v>
      </c>
      <c r="N1290" s="103" t="s">
        <v>2163</v>
      </c>
      <c r="O1290" s="103">
        <v>20</v>
      </c>
      <c r="P1290" s="103" t="s">
        <v>791</v>
      </c>
      <c r="Q1290" s="103" t="s">
        <v>2155</v>
      </c>
      <c r="R1290" s="103" t="s">
        <v>2220</v>
      </c>
      <c r="S1290" s="103" t="s">
        <v>2870</v>
      </c>
      <c r="U1290" s="103">
        <v>10.26</v>
      </c>
      <c r="V1290" s="103" t="s">
        <v>2158</v>
      </c>
      <c r="W1290" s="103" t="s">
        <v>116</v>
      </c>
      <c r="X1290" s="103" t="s">
        <v>1597</v>
      </c>
      <c r="Y1290" s="103" t="s">
        <v>1685</v>
      </c>
      <c r="AA1290" s="103" t="s">
        <v>2220</v>
      </c>
      <c r="AB1290" s="103" t="s">
        <v>71</v>
      </c>
      <c r="AE1290" s="103" t="s">
        <v>898</v>
      </c>
      <c r="AF1290" s="103" t="b">
        <v>1</v>
      </c>
    </row>
    <row r="1291" spans="1:32" hidden="1" x14ac:dyDescent="0.2">
      <c r="A1291" s="103" t="s">
        <v>1168</v>
      </c>
      <c r="B1291" s="103" t="s">
        <v>1167</v>
      </c>
      <c r="C1291" s="103" t="s">
        <v>3429</v>
      </c>
      <c r="E1291" s="103" t="s">
        <v>2334</v>
      </c>
      <c r="F1291" s="103" t="s">
        <v>2175</v>
      </c>
      <c r="G1291" s="103">
        <v>20</v>
      </c>
      <c r="H1291" s="103" t="s">
        <v>2168</v>
      </c>
      <c r="I1291" s="103" t="s">
        <v>2153</v>
      </c>
      <c r="L1291" s="103">
        <v>20</v>
      </c>
      <c r="N1291" s="103" t="s">
        <v>2163</v>
      </c>
      <c r="O1291" s="103">
        <v>20</v>
      </c>
      <c r="P1291" s="103" t="s">
        <v>791</v>
      </c>
      <c r="Q1291" s="103" t="s">
        <v>2155</v>
      </c>
      <c r="R1291" s="103" t="s">
        <v>2220</v>
      </c>
      <c r="S1291" s="103" t="s">
        <v>2870</v>
      </c>
      <c r="U1291" s="103">
        <v>10.26</v>
      </c>
      <c r="V1291" s="103" t="s">
        <v>2158</v>
      </c>
      <c r="W1291" s="103" t="s">
        <v>116</v>
      </c>
      <c r="X1291" s="103" t="s">
        <v>1597</v>
      </c>
      <c r="Y1291" s="103" t="s">
        <v>1685</v>
      </c>
      <c r="AA1291" s="103" t="s">
        <v>2220</v>
      </c>
      <c r="AB1291" s="103" t="s">
        <v>71</v>
      </c>
      <c r="AE1291" s="103" t="s">
        <v>898</v>
      </c>
      <c r="AF1291" s="103" t="b">
        <v>1</v>
      </c>
    </row>
    <row r="1292" spans="1:32" hidden="1" x14ac:dyDescent="0.2">
      <c r="A1292" s="103" t="s">
        <v>1168</v>
      </c>
      <c r="B1292" s="103" t="s">
        <v>1167</v>
      </c>
      <c r="C1292" s="103" t="s">
        <v>3430</v>
      </c>
      <c r="E1292" s="103" t="s">
        <v>2334</v>
      </c>
      <c r="F1292" s="103" t="s">
        <v>2175</v>
      </c>
      <c r="G1292" s="103">
        <v>10</v>
      </c>
      <c r="H1292" s="103" t="s">
        <v>2152</v>
      </c>
      <c r="I1292" s="103" t="s">
        <v>2153</v>
      </c>
      <c r="L1292" s="103">
        <v>10</v>
      </c>
      <c r="N1292" s="103" t="s">
        <v>2163</v>
      </c>
      <c r="O1292" s="103">
        <v>10</v>
      </c>
      <c r="P1292" s="103" t="s">
        <v>791</v>
      </c>
      <c r="Q1292" s="103" t="s">
        <v>2155</v>
      </c>
      <c r="R1292" s="103" t="s">
        <v>2220</v>
      </c>
      <c r="S1292" s="103" t="s">
        <v>2422</v>
      </c>
      <c r="T1292" s="103" t="s">
        <v>3431</v>
      </c>
      <c r="U1292" s="103">
        <v>5.13</v>
      </c>
      <c r="V1292" s="103" t="s">
        <v>2158</v>
      </c>
      <c r="W1292" s="103" t="s">
        <v>116</v>
      </c>
      <c r="X1292" s="103" t="s">
        <v>1597</v>
      </c>
      <c r="Y1292" s="103" t="s">
        <v>1685</v>
      </c>
      <c r="AA1292" s="103" t="s">
        <v>2220</v>
      </c>
      <c r="AB1292" s="103" t="s">
        <v>71</v>
      </c>
      <c r="AE1292" s="103" t="s">
        <v>898</v>
      </c>
      <c r="AF1292" s="103" t="b">
        <v>1</v>
      </c>
    </row>
    <row r="1293" spans="1:32" hidden="1" x14ac:dyDescent="0.2">
      <c r="A1293" s="103" t="s">
        <v>1168</v>
      </c>
      <c r="B1293" s="103" t="s">
        <v>1167</v>
      </c>
      <c r="C1293" s="103" t="s">
        <v>3432</v>
      </c>
      <c r="E1293" s="103" t="s">
        <v>2334</v>
      </c>
      <c r="F1293" s="103" t="s">
        <v>2175</v>
      </c>
      <c r="G1293" s="103">
        <v>15</v>
      </c>
      <c r="H1293" s="103" t="s">
        <v>2152</v>
      </c>
      <c r="I1293" s="103" t="s">
        <v>2153</v>
      </c>
      <c r="J1293" s="103">
        <v>15</v>
      </c>
      <c r="N1293" s="103" t="s">
        <v>2163</v>
      </c>
      <c r="O1293" s="103">
        <v>15</v>
      </c>
      <c r="P1293" s="103" t="s">
        <v>791</v>
      </c>
      <c r="Q1293" s="103" t="s">
        <v>2155</v>
      </c>
      <c r="R1293" s="103" t="s">
        <v>2220</v>
      </c>
      <c r="S1293" s="103" t="s">
        <v>2870</v>
      </c>
      <c r="U1293" s="103">
        <v>7.6950000000000003</v>
      </c>
      <c r="V1293" s="103" t="s">
        <v>2158</v>
      </c>
      <c r="W1293" s="103" t="s">
        <v>116</v>
      </c>
      <c r="X1293" s="103" t="s">
        <v>1597</v>
      </c>
      <c r="Y1293" s="103" t="s">
        <v>1685</v>
      </c>
      <c r="AA1293" s="103" t="s">
        <v>2220</v>
      </c>
      <c r="AB1293" s="103" t="s">
        <v>71</v>
      </c>
      <c r="AE1293" s="103" t="s">
        <v>898</v>
      </c>
      <c r="AF1293" s="103" t="b">
        <v>1</v>
      </c>
    </row>
    <row r="1294" spans="1:32" hidden="1" x14ac:dyDescent="0.2">
      <c r="A1294" s="103" t="s">
        <v>1168</v>
      </c>
      <c r="B1294" s="103" t="s">
        <v>1167</v>
      </c>
      <c r="C1294" s="103" t="s">
        <v>3433</v>
      </c>
      <c r="E1294" s="103" t="s">
        <v>2334</v>
      </c>
      <c r="F1294" s="103" t="s">
        <v>2175</v>
      </c>
      <c r="G1294" s="103">
        <v>10</v>
      </c>
      <c r="H1294" s="103" t="s">
        <v>2152</v>
      </c>
      <c r="I1294" s="103" t="s">
        <v>2153</v>
      </c>
      <c r="M1294" s="103">
        <v>10</v>
      </c>
      <c r="N1294" s="103" t="s">
        <v>2163</v>
      </c>
      <c r="O1294" s="103">
        <v>10</v>
      </c>
      <c r="P1294" s="103" t="s">
        <v>791</v>
      </c>
      <c r="Q1294" s="103" t="s">
        <v>2155</v>
      </c>
      <c r="R1294" s="103" t="s">
        <v>2220</v>
      </c>
      <c r="S1294" s="103" t="s">
        <v>2870</v>
      </c>
      <c r="U1294" s="103">
        <v>5.13</v>
      </c>
      <c r="V1294" s="103" t="s">
        <v>2158</v>
      </c>
      <c r="W1294" s="103" t="s">
        <v>116</v>
      </c>
      <c r="X1294" s="103" t="s">
        <v>1597</v>
      </c>
      <c r="Y1294" s="103" t="s">
        <v>1685</v>
      </c>
      <c r="AA1294" s="103" t="s">
        <v>2220</v>
      </c>
      <c r="AB1294" s="103" t="s">
        <v>71</v>
      </c>
      <c r="AE1294" s="103" t="s">
        <v>898</v>
      </c>
      <c r="AF1294" s="103" t="b">
        <v>1</v>
      </c>
    </row>
    <row r="1295" spans="1:32" hidden="1" x14ac:dyDescent="0.2">
      <c r="A1295" s="103" t="s">
        <v>1168</v>
      </c>
      <c r="B1295" s="103" t="s">
        <v>1167</v>
      </c>
      <c r="C1295" s="103" t="s">
        <v>3434</v>
      </c>
      <c r="E1295" s="103" t="s">
        <v>2334</v>
      </c>
      <c r="F1295" s="103" t="s">
        <v>2175</v>
      </c>
      <c r="G1295" s="103">
        <v>20</v>
      </c>
      <c r="H1295" s="103" t="s">
        <v>2168</v>
      </c>
      <c r="I1295" s="103" t="s">
        <v>2153</v>
      </c>
      <c r="L1295" s="103">
        <v>10</v>
      </c>
      <c r="M1295" s="103">
        <v>10</v>
      </c>
      <c r="N1295" s="103" t="s">
        <v>2163</v>
      </c>
      <c r="O1295" s="103">
        <v>20</v>
      </c>
      <c r="P1295" s="103" t="s">
        <v>791</v>
      </c>
      <c r="Q1295" s="103" t="s">
        <v>2155</v>
      </c>
      <c r="R1295" s="103" t="s">
        <v>2220</v>
      </c>
      <c r="S1295" s="103" t="s">
        <v>2870</v>
      </c>
      <c r="U1295" s="103">
        <v>10.26</v>
      </c>
      <c r="V1295" s="103" t="s">
        <v>2158</v>
      </c>
      <c r="W1295" s="103" t="s">
        <v>116</v>
      </c>
      <c r="X1295" s="103" t="s">
        <v>1597</v>
      </c>
      <c r="Y1295" s="103" t="s">
        <v>1685</v>
      </c>
      <c r="AA1295" s="103" t="s">
        <v>2220</v>
      </c>
      <c r="AB1295" s="103" t="s">
        <v>71</v>
      </c>
      <c r="AE1295" s="103" t="s">
        <v>898</v>
      </c>
      <c r="AF1295" s="103" t="b">
        <v>1</v>
      </c>
    </row>
    <row r="1296" spans="1:32" hidden="1" x14ac:dyDescent="0.2">
      <c r="A1296" s="103" t="s">
        <v>1168</v>
      </c>
      <c r="B1296" s="103" t="s">
        <v>1167</v>
      </c>
      <c r="C1296" s="103" t="s">
        <v>3435</v>
      </c>
      <c r="E1296" s="103" t="s">
        <v>2334</v>
      </c>
      <c r="F1296" s="103" t="s">
        <v>2175</v>
      </c>
      <c r="G1296" s="103">
        <v>10</v>
      </c>
      <c r="H1296" s="103" t="s">
        <v>2152</v>
      </c>
      <c r="I1296" s="103" t="s">
        <v>2153</v>
      </c>
      <c r="J1296" s="103">
        <v>10</v>
      </c>
      <c r="N1296" s="103" t="s">
        <v>2163</v>
      </c>
      <c r="O1296" s="103">
        <v>10</v>
      </c>
      <c r="P1296" s="103" t="s">
        <v>791</v>
      </c>
      <c r="Q1296" s="103" t="s">
        <v>2155</v>
      </c>
      <c r="R1296" s="103" t="s">
        <v>2220</v>
      </c>
      <c r="S1296" s="103" t="s">
        <v>2870</v>
      </c>
      <c r="U1296" s="103">
        <v>5.13</v>
      </c>
      <c r="V1296" s="103" t="s">
        <v>2158</v>
      </c>
      <c r="W1296" s="103" t="s">
        <v>116</v>
      </c>
      <c r="X1296" s="103" t="s">
        <v>1597</v>
      </c>
      <c r="Y1296" s="103" t="s">
        <v>1685</v>
      </c>
      <c r="AA1296" s="103" t="s">
        <v>2220</v>
      </c>
      <c r="AB1296" s="103" t="s">
        <v>71</v>
      </c>
      <c r="AE1296" s="103" t="s">
        <v>898</v>
      </c>
      <c r="AF1296" s="103" t="b">
        <v>1</v>
      </c>
    </row>
    <row r="1297" spans="1:32" hidden="1" x14ac:dyDescent="0.2">
      <c r="A1297" s="103" t="s">
        <v>1168</v>
      </c>
      <c r="B1297" s="103" t="s">
        <v>1167</v>
      </c>
      <c r="C1297" s="103" t="s">
        <v>3436</v>
      </c>
      <c r="D1297" s="103" t="s">
        <v>3437</v>
      </c>
      <c r="E1297" s="103" t="s">
        <v>2346</v>
      </c>
      <c r="F1297" s="103" t="s">
        <v>2175</v>
      </c>
      <c r="G1297" s="103">
        <v>20</v>
      </c>
      <c r="H1297" s="103" t="s">
        <v>2168</v>
      </c>
      <c r="I1297" s="103" t="s">
        <v>2153</v>
      </c>
      <c r="K1297" s="103">
        <v>10</v>
      </c>
      <c r="L1297" s="103">
        <v>10</v>
      </c>
      <c r="N1297" s="103" t="s">
        <v>2163</v>
      </c>
      <c r="O1297" s="103">
        <v>20</v>
      </c>
      <c r="P1297" s="103" t="s">
        <v>791</v>
      </c>
      <c r="Q1297" s="103" t="s">
        <v>2155</v>
      </c>
      <c r="R1297" s="103" t="s">
        <v>2220</v>
      </c>
      <c r="S1297" s="103" t="s">
        <v>2422</v>
      </c>
      <c r="U1297" s="103">
        <v>10.26</v>
      </c>
      <c r="V1297" s="103" t="s">
        <v>2158</v>
      </c>
      <c r="W1297" s="103" t="s">
        <v>116</v>
      </c>
      <c r="X1297" s="103" t="s">
        <v>1597</v>
      </c>
      <c r="Y1297" s="103" t="s">
        <v>1685</v>
      </c>
      <c r="AA1297" s="103" t="s">
        <v>2220</v>
      </c>
      <c r="AB1297" s="103" t="s">
        <v>71</v>
      </c>
      <c r="AE1297" s="103" t="s">
        <v>898</v>
      </c>
      <c r="AF1297" s="103" t="b">
        <v>1</v>
      </c>
    </row>
    <row r="1298" spans="1:32" hidden="1" x14ac:dyDescent="0.2">
      <c r="A1298" s="103" t="s">
        <v>1168</v>
      </c>
      <c r="B1298" s="103" t="s">
        <v>1167</v>
      </c>
      <c r="C1298" s="103" t="s">
        <v>3438</v>
      </c>
      <c r="E1298" s="103" t="s">
        <v>2346</v>
      </c>
      <c r="F1298" s="103" t="s">
        <v>2175</v>
      </c>
      <c r="G1298" s="103">
        <v>20</v>
      </c>
      <c r="H1298" s="103" t="s">
        <v>2168</v>
      </c>
      <c r="I1298" s="103" t="s">
        <v>2153</v>
      </c>
      <c r="J1298" s="103">
        <v>20</v>
      </c>
      <c r="N1298" s="103" t="s">
        <v>2154</v>
      </c>
      <c r="O1298" s="103">
        <v>20</v>
      </c>
      <c r="P1298" s="103" t="s">
        <v>791</v>
      </c>
      <c r="Q1298" s="103" t="s">
        <v>2155</v>
      </c>
      <c r="R1298" s="103" t="s">
        <v>2220</v>
      </c>
      <c r="S1298" s="103" t="s">
        <v>2870</v>
      </c>
      <c r="U1298" s="103">
        <v>10.26</v>
      </c>
      <c r="V1298" s="103" t="s">
        <v>2158</v>
      </c>
      <c r="W1298" s="103" t="s">
        <v>116</v>
      </c>
      <c r="X1298" s="103" t="s">
        <v>1597</v>
      </c>
      <c r="Y1298" s="103" t="s">
        <v>1685</v>
      </c>
      <c r="AA1298" s="103" t="s">
        <v>2220</v>
      </c>
      <c r="AB1298" s="103" t="s">
        <v>71</v>
      </c>
      <c r="AE1298" s="103" t="s">
        <v>898</v>
      </c>
      <c r="AF1298" s="103" t="b">
        <v>1</v>
      </c>
    </row>
    <row r="1299" spans="1:32" hidden="1" x14ac:dyDescent="0.2">
      <c r="A1299" s="103" t="s">
        <v>1168</v>
      </c>
      <c r="B1299" s="103" t="s">
        <v>1167</v>
      </c>
      <c r="C1299" s="103" t="s">
        <v>3430</v>
      </c>
      <c r="E1299" s="103" t="s">
        <v>2346</v>
      </c>
      <c r="F1299" s="103" t="s">
        <v>2162</v>
      </c>
      <c r="G1299" s="103">
        <v>50</v>
      </c>
      <c r="H1299" s="103" t="s">
        <v>2168</v>
      </c>
      <c r="I1299" s="103" t="s">
        <v>2153</v>
      </c>
      <c r="J1299" s="103">
        <v>25</v>
      </c>
      <c r="K1299" s="103">
        <v>25</v>
      </c>
      <c r="N1299" s="103" t="s">
        <v>2163</v>
      </c>
      <c r="O1299" s="103">
        <v>50</v>
      </c>
      <c r="P1299" s="103" t="s">
        <v>791</v>
      </c>
      <c r="Q1299" s="103" t="s">
        <v>2155</v>
      </c>
      <c r="R1299" s="103" t="s">
        <v>2220</v>
      </c>
      <c r="S1299" s="103" t="s">
        <v>2422</v>
      </c>
      <c r="T1299" s="103" t="s">
        <v>3431</v>
      </c>
      <c r="U1299" s="103">
        <v>25.65</v>
      </c>
      <c r="V1299" s="103" t="s">
        <v>2158</v>
      </c>
      <c r="W1299" s="103" t="s">
        <v>116</v>
      </c>
      <c r="X1299" s="103" t="s">
        <v>1597</v>
      </c>
      <c r="Y1299" s="103" t="s">
        <v>1685</v>
      </c>
      <c r="AA1299" s="103" t="s">
        <v>2220</v>
      </c>
      <c r="AB1299" s="103" t="s">
        <v>71</v>
      </c>
      <c r="AE1299" s="103" t="s">
        <v>898</v>
      </c>
      <c r="AF1299" s="103" t="b">
        <v>1</v>
      </c>
    </row>
    <row r="1300" spans="1:32" hidden="1" x14ac:dyDescent="0.2">
      <c r="A1300" s="103" t="s">
        <v>1168</v>
      </c>
      <c r="B1300" s="103" t="s">
        <v>1167</v>
      </c>
      <c r="C1300" s="103" t="s">
        <v>3439</v>
      </c>
      <c r="E1300" s="103" t="s">
        <v>2346</v>
      </c>
      <c r="F1300" s="103" t="s">
        <v>2151</v>
      </c>
      <c r="G1300" s="103">
        <v>100</v>
      </c>
      <c r="H1300" s="103" t="s">
        <v>2168</v>
      </c>
      <c r="I1300" s="103" t="s">
        <v>2153</v>
      </c>
      <c r="J1300" s="103">
        <v>40</v>
      </c>
      <c r="K1300" s="103">
        <v>20</v>
      </c>
      <c r="L1300" s="103">
        <v>20</v>
      </c>
      <c r="M1300" s="103">
        <v>20</v>
      </c>
      <c r="N1300" s="103" t="s">
        <v>2260</v>
      </c>
      <c r="O1300" s="103">
        <v>100</v>
      </c>
      <c r="P1300" s="103" t="s">
        <v>791</v>
      </c>
      <c r="Q1300" s="103" t="s">
        <v>2155</v>
      </c>
      <c r="R1300" s="103" t="s">
        <v>2220</v>
      </c>
      <c r="S1300" s="103" t="s">
        <v>2157</v>
      </c>
      <c r="T1300" s="103" t="s">
        <v>3440</v>
      </c>
      <c r="U1300" s="103">
        <v>51.3</v>
      </c>
      <c r="V1300" s="103" t="s">
        <v>2262</v>
      </c>
      <c r="W1300" s="103" t="s">
        <v>116</v>
      </c>
      <c r="X1300" s="103" t="s">
        <v>1597</v>
      </c>
      <c r="Y1300" s="103" t="s">
        <v>1685</v>
      </c>
      <c r="AA1300" s="103" t="s">
        <v>2220</v>
      </c>
      <c r="AB1300" s="103" t="s">
        <v>71</v>
      </c>
      <c r="AE1300" s="103" t="s">
        <v>898</v>
      </c>
      <c r="AF1300" s="103" t="b">
        <v>1</v>
      </c>
    </row>
    <row r="1301" spans="1:32" hidden="1" x14ac:dyDescent="0.2">
      <c r="A1301" s="103" t="s">
        <v>1168</v>
      </c>
      <c r="B1301" s="103" t="s">
        <v>1167</v>
      </c>
      <c r="C1301" s="103" t="s">
        <v>3441</v>
      </c>
      <c r="E1301" s="103" t="s">
        <v>2957</v>
      </c>
      <c r="F1301" s="103" t="s">
        <v>2151</v>
      </c>
      <c r="G1301" s="103">
        <v>120</v>
      </c>
      <c r="H1301" s="103" t="s">
        <v>2152</v>
      </c>
      <c r="I1301" s="103" t="s">
        <v>2153</v>
      </c>
      <c r="J1301" s="103">
        <v>20</v>
      </c>
      <c r="K1301" s="103">
        <v>50</v>
      </c>
      <c r="L1301" s="103">
        <v>50</v>
      </c>
      <c r="N1301" s="103" t="s">
        <v>2163</v>
      </c>
      <c r="O1301" s="103">
        <v>120</v>
      </c>
      <c r="P1301" s="103" t="s">
        <v>791</v>
      </c>
      <c r="Q1301" s="103" t="s">
        <v>2155</v>
      </c>
      <c r="R1301" s="103" t="s">
        <v>2220</v>
      </c>
      <c r="S1301" s="103" t="s">
        <v>2870</v>
      </c>
      <c r="U1301" s="103">
        <v>61.56</v>
      </c>
      <c r="V1301" s="103" t="s">
        <v>2158</v>
      </c>
      <c r="W1301" s="103" t="s">
        <v>116</v>
      </c>
      <c r="X1301" s="103" t="s">
        <v>1597</v>
      </c>
      <c r="Y1301" s="103" t="s">
        <v>1685</v>
      </c>
      <c r="AA1301" s="103" t="s">
        <v>2220</v>
      </c>
      <c r="AB1301" s="103" t="s">
        <v>71</v>
      </c>
      <c r="AE1301" s="103" t="s">
        <v>898</v>
      </c>
      <c r="AF1301" s="103" t="b">
        <v>1</v>
      </c>
    </row>
    <row r="1302" spans="1:32" hidden="1" x14ac:dyDescent="0.2">
      <c r="A1302" s="103" t="s">
        <v>1168</v>
      </c>
      <c r="B1302" s="103" t="s">
        <v>1167</v>
      </c>
      <c r="C1302" s="103" t="s">
        <v>3442</v>
      </c>
      <c r="E1302" s="103" t="s">
        <v>2957</v>
      </c>
      <c r="F1302" s="103" t="s">
        <v>2175</v>
      </c>
      <c r="G1302" s="103">
        <v>20</v>
      </c>
      <c r="H1302" s="103" t="s">
        <v>2152</v>
      </c>
      <c r="I1302" s="103" t="s">
        <v>2153</v>
      </c>
      <c r="M1302" s="103">
        <v>20</v>
      </c>
      <c r="N1302" s="103" t="s">
        <v>2163</v>
      </c>
      <c r="O1302" s="103">
        <v>20</v>
      </c>
      <c r="P1302" s="103" t="s">
        <v>791</v>
      </c>
      <c r="Q1302" s="103" t="s">
        <v>2155</v>
      </c>
      <c r="R1302" s="103" t="s">
        <v>2220</v>
      </c>
      <c r="S1302" s="103" t="s">
        <v>2870</v>
      </c>
      <c r="U1302" s="103">
        <v>10.26</v>
      </c>
      <c r="V1302" s="103" t="s">
        <v>2158</v>
      </c>
      <c r="W1302" s="103" t="s">
        <v>116</v>
      </c>
      <c r="X1302" s="103" t="s">
        <v>1597</v>
      </c>
      <c r="Y1302" s="103" t="s">
        <v>1685</v>
      </c>
      <c r="AA1302" s="103" t="s">
        <v>2220</v>
      </c>
      <c r="AB1302" s="103" t="s">
        <v>71</v>
      </c>
      <c r="AE1302" s="103" t="s">
        <v>898</v>
      </c>
      <c r="AF1302" s="103" t="b">
        <v>1</v>
      </c>
    </row>
    <row r="1303" spans="1:32" hidden="1" x14ac:dyDescent="0.2">
      <c r="A1303" s="103" t="s">
        <v>1168</v>
      </c>
      <c r="B1303" s="103" t="s">
        <v>1167</v>
      </c>
      <c r="C1303" s="103" t="s">
        <v>3443</v>
      </c>
      <c r="E1303" s="103" t="s">
        <v>2957</v>
      </c>
      <c r="F1303" s="103" t="s">
        <v>2162</v>
      </c>
      <c r="G1303" s="103">
        <v>35</v>
      </c>
      <c r="H1303" s="103" t="s">
        <v>2152</v>
      </c>
      <c r="I1303" s="103" t="s">
        <v>2153</v>
      </c>
      <c r="J1303" s="103">
        <v>30</v>
      </c>
      <c r="K1303" s="103">
        <v>5</v>
      </c>
      <c r="N1303" s="103" t="s">
        <v>2163</v>
      </c>
      <c r="O1303" s="103">
        <v>35</v>
      </c>
      <c r="P1303" s="103" t="s">
        <v>791</v>
      </c>
      <c r="Q1303" s="103" t="s">
        <v>2155</v>
      </c>
      <c r="R1303" s="103" t="s">
        <v>2220</v>
      </c>
      <c r="S1303" s="103" t="s">
        <v>2209</v>
      </c>
      <c r="U1303" s="103">
        <v>17.954999999999998</v>
      </c>
      <c r="V1303" s="103" t="s">
        <v>2158</v>
      </c>
      <c r="W1303" s="103" t="s">
        <v>116</v>
      </c>
      <c r="X1303" s="103" t="s">
        <v>1597</v>
      </c>
      <c r="Y1303" s="103" t="s">
        <v>1685</v>
      </c>
      <c r="AA1303" s="103" t="s">
        <v>2220</v>
      </c>
      <c r="AB1303" s="103" t="s">
        <v>71</v>
      </c>
      <c r="AE1303" s="103" t="s">
        <v>898</v>
      </c>
      <c r="AF1303" s="103" t="b">
        <v>1</v>
      </c>
    </row>
    <row r="1304" spans="1:32" hidden="1" x14ac:dyDescent="0.2">
      <c r="A1304" s="103" t="s">
        <v>1168</v>
      </c>
      <c r="B1304" s="103" t="s">
        <v>1167</v>
      </c>
      <c r="C1304" s="103" t="s">
        <v>3444</v>
      </c>
      <c r="E1304" s="103" t="s">
        <v>2957</v>
      </c>
      <c r="F1304" s="103" t="s">
        <v>2151</v>
      </c>
      <c r="G1304" s="103">
        <v>120</v>
      </c>
      <c r="H1304" s="103" t="s">
        <v>2152</v>
      </c>
      <c r="I1304" s="103" t="s">
        <v>2153</v>
      </c>
      <c r="J1304" s="103">
        <v>30</v>
      </c>
      <c r="K1304" s="103">
        <v>30</v>
      </c>
      <c r="L1304" s="103">
        <v>30</v>
      </c>
      <c r="M1304" s="103">
        <v>30</v>
      </c>
      <c r="N1304" s="103" t="s">
        <v>2163</v>
      </c>
      <c r="O1304" s="103">
        <v>120</v>
      </c>
      <c r="P1304" s="103" t="s">
        <v>791</v>
      </c>
      <c r="Q1304" s="103" t="s">
        <v>2155</v>
      </c>
      <c r="R1304" s="103" t="s">
        <v>2220</v>
      </c>
      <c r="S1304" s="103" t="s">
        <v>2870</v>
      </c>
      <c r="U1304" s="103">
        <v>61.56</v>
      </c>
      <c r="V1304" s="103" t="s">
        <v>2158</v>
      </c>
      <c r="W1304" s="103" t="s">
        <v>116</v>
      </c>
      <c r="X1304" s="103" t="s">
        <v>1597</v>
      </c>
      <c r="Y1304" s="103" t="s">
        <v>1685</v>
      </c>
      <c r="AA1304" s="103" t="s">
        <v>2220</v>
      </c>
      <c r="AB1304" s="103" t="s">
        <v>71</v>
      </c>
      <c r="AE1304" s="103" t="s">
        <v>898</v>
      </c>
      <c r="AF1304" s="103" t="b">
        <v>1</v>
      </c>
    </row>
    <row r="1305" spans="1:32" hidden="1" x14ac:dyDescent="0.2">
      <c r="A1305" s="103" t="s">
        <v>1168</v>
      </c>
      <c r="B1305" s="103" t="s">
        <v>1167</v>
      </c>
      <c r="C1305" s="103" t="s">
        <v>3445</v>
      </c>
      <c r="E1305" s="103" t="s">
        <v>2957</v>
      </c>
      <c r="F1305" s="103" t="s">
        <v>2162</v>
      </c>
      <c r="G1305" s="103">
        <v>50</v>
      </c>
      <c r="H1305" s="103" t="s">
        <v>2168</v>
      </c>
      <c r="I1305" s="103" t="s">
        <v>2153</v>
      </c>
      <c r="J1305" s="103">
        <v>30</v>
      </c>
      <c r="K1305" s="103">
        <v>20</v>
      </c>
      <c r="N1305" s="103" t="s">
        <v>2163</v>
      </c>
      <c r="O1305" s="103">
        <v>50</v>
      </c>
      <c r="P1305" s="103" t="s">
        <v>791</v>
      </c>
      <c r="Q1305" s="103" t="s">
        <v>2155</v>
      </c>
      <c r="R1305" s="103" t="s">
        <v>2220</v>
      </c>
      <c r="S1305" s="103" t="s">
        <v>2870</v>
      </c>
      <c r="U1305" s="103">
        <v>25.65</v>
      </c>
      <c r="V1305" s="103" t="s">
        <v>2158</v>
      </c>
      <c r="W1305" s="103" t="s">
        <v>116</v>
      </c>
      <c r="X1305" s="103" t="s">
        <v>1597</v>
      </c>
      <c r="Y1305" s="103" t="s">
        <v>1685</v>
      </c>
      <c r="AA1305" s="103" t="s">
        <v>2220</v>
      </c>
      <c r="AB1305" s="103" t="s">
        <v>71</v>
      </c>
      <c r="AE1305" s="103" t="s">
        <v>898</v>
      </c>
      <c r="AF1305" s="103" t="b">
        <v>1</v>
      </c>
    </row>
    <row r="1306" spans="1:32" hidden="1" x14ac:dyDescent="0.2">
      <c r="A1306" s="103" t="s">
        <v>1168</v>
      </c>
      <c r="B1306" s="103" t="s">
        <v>1167</v>
      </c>
      <c r="C1306" s="103" t="s">
        <v>3446</v>
      </c>
      <c r="E1306" s="103" t="s">
        <v>2957</v>
      </c>
      <c r="F1306" s="103" t="s">
        <v>2162</v>
      </c>
      <c r="G1306" s="103">
        <v>40</v>
      </c>
      <c r="H1306" s="103" t="s">
        <v>2152</v>
      </c>
      <c r="I1306" s="103" t="s">
        <v>2153</v>
      </c>
      <c r="L1306" s="103">
        <v>20</v>
      </c>
      <c r="M1306" s="103">
        <v>20</v>
      </c>
      <c r="N1306" s="103" t="s">
        <v>2163</v>
      </c>
      <c r="O1306" s="103">
        <v>40</v>
      </c>
      <c r="P1306" s="103" t="s">
        <v>791</v>
      </c>
      <c r="Q1306" s="103" t="s">
        <v>2155</v>
      </c>
      <c r="R1306" s="103" t="s">
        <v>2220</v>
      </c>
      <c r="S1306" s="103" t="s">
        <v>2870</v>
      </c>
      <c r="U1306" s="103">
        <v>20.52</v>
      </c>
      <c r="V1306" s="103" t="s">
        <v>2158</v>
      </c>
      <c r="W1306" s="103" t="s">
        <v>116</v>
      </c>
      <c r="X1306" s="103" t="s">
        <v>1597</v>
      </c>
      <c r="Y1306" s="103" t="s">
        <v>1685</v>
      </c>
      <c r="AA1306" s="103" t="s">
        <v>2220</v>
      </c>
      <c r="AB1306" s="103" t="s">
        <v>71</v>
      </c>
      <c r="AE1306" s="103" t="s">
        <v>898</v>
      </c>
      <c r="AF1306" s="103" t="b">
        <v>1</v>
      </c>
    </row>
    <row r="1307" spans="1:32" hidden="1" x14ac:dyDescent="0.2">
      <c r="A1307" s="103" t="s">
        <v>1168</v>
      </c>
      <c r="B1307" s="103" t="s">
        <v>1167</v>
      </c>
      <c r="C1307" s="103" t="s">
        <v>3447</v>
      </c>
      <c r="E1307" s="103" t="s">
        <v>2957</v>
      </c>
      <c r="F1307" s="103" t="s">
        <v>2175</v>
      </c>
      <c r="G1307" s="103">
        <v>20</v>
      </c>
      <c r="H1307" s="103" t="s">
        <v>2168</v>
      </c>
      <c r="I1307" s="103" t="s">
        <v>2153</v>
      </c>
      <c r="M1307" s="103">
        <v>20</v>
      </c>
      <c r="N1307" s="103" t="s">
        <v>2163</v>
      </c>
      <c r="O1307" s="103">
        <v>20</v>
      </c>
      <c r="P1307" s="103" t="s">
        <v>791</v>
      </c>
      <c r="Q1307" s="103" t="s">
        <v>2155</v>
      </c>
      <c r="R1307" s="103" t="s">
        <v>2220</v>
      </c>
      <c r="S1307" s="103" t="s">
        <v>2870</v>
      </c>
      <c r="U1307" s="103">
        <v>10.26</v>
      </c>
      <c r="V1307" s="103" t="s">
        <v>2158</v>
      </c>
      <c r="W1307" s="103" t="s">
        <v>116</v>
      </c>
      <c r="X1307" s="103" t="s">
        <v>1597</v>
      </c>
      <c r="Y1307" s="103" t="s">
        <v>1685</v>
      </c>
      <c r="AA1307" s="103" t="s">
        <v>2220</v>
      </c>
      <c r="AB1307" s="103" t="s">
        <v>71</v>
      </c>
      <c r="AE1307" s="103" t="s">
        <v>898</v>
      </c>
      <c r="AF1307" s="103" t="b">
        <v>1</v>
      </c>
    </row>
    <row r="1308" spans="1:32" hidden="1" x14ac:dyDescent="0.2">
      <c r="A1308" s="103" t="s">
        <v>1168</v>
      </c>
      <c r="B1308" s="103" t="s">
        <v>1167</v>
      </c>
      <c r="C1308" s="103" t="s">
        <v>3448</v>
      </c>
      <c r="E1308" s="103" t="s">
        <v>2957</v>
      </c>
      <c r="F1308" s="103" t="s">
        <v>2162</v>
      </c>
      <c r="G1308" s="103">
        <v>50</v>
      </c>
      <c r="H1308" s="103" t="s">
        <v>2168</v>
      </c>
      <c r="I1308" s="103" t="s">
        <v>2153</v>
      </c>
      <c r="K1308" s="103">
        <v>15</v>
      </c>
      <c r="L1308" s="103">
        <v>15</v>
      </c>
      <c r="M1308" s="103">
        <v>20</v>
      </c>
      <c r="N1308" s="103" t="s">
        <v>2163</v>
      </c>
      <c r="O1308" s="103">
        <v>50</v>
      </c>
      <c r="P1308" s="103" t="s">
        <v>791</v>
      </c>
      <c r="Q1308" s="103" t="s">
        <v>2155</v>
      </c>
      <c r="R1308" s="103" t="s">
        <v>2220</v>
      </c>
      <c r="S1308" s="103" t="s">
        <v>2870</v>
      </c>
      <c r="U1308" s="103">
        <v>25.65</v>
      </c>
      <c r="V1308" s="103" t="s">
        <v>2158</v>
      </c>
      <c r="W1308" s="103" t="s">
        <v>116</v>
      </c>
      <c r="X1308" s="103" t="s">
        <v>1597</v>
      </c>
      <c r="Y1308" s="103" t="s">
        <v>1685</v>
      </c>
      <c r="AA1308" s="103" t="s">
        <v>2220</v>
      </c>
      <c r="AB1308" s="103" t="s">
        <v>71</v>
      </c>
      <c r="AE1308" s="103" t="s">
        <v>898</v>
      </c>
      <c r="AF1308" s="103" t="b">
        <v>1</v>
      </c>
    </row>
    <row r="1309" spans="1:32" hidden="1" x14ac:dyDescent="0.2">
      <c r="A1309" s="103" t="s">
        <v>1168</v>
      </c>
      <c r="B1309" s="103" t="s">
        <v>1167</v>
      </c>
      <c r="C1309" s="103" t="s">
        <v>3449</v>
      </c>
      <c r="D1309" s="103" t="s">
        <v>3364</v>
      </c>
      <c r="E1309" s="103" t="s">
        <v>2993</v>
      </c>
      <c r="F1309" s="103" t="s">
        <v>2162</v>
      </c>
      <c r="G1309" s="103">
        <v>75</v>
      </c>
      <c r="H1309" s="103" t="s">
        <v>2152</v>
      </c>
      <c r="I1309" s="103" t="s">
        <v>2153</v>
      </c>
      <c r="K1309" s="103">
        <v>50</v>
      </c>
      <c r="L1309" s="103">
        <v>25</v>
      </c>
      <c r="N1309" s="103" t="s">
        <v>2163</v>
      </c>
      <c r="O1309" s="103">
        <v>75</v>
      </c>
      <c r="P1309" s="103" t="s">
        <v>820</v>
      </c>
      <c r="Q1309" s="103" t="s">
        <v>2155</v>
      </c>
      <c r="R1309" s="103" t="s">
        <v>2220</v>
      </c>
      <c r="S1309" s="103" t="s">
        <v>2209</v>
      </c>
      <c r="T1309" s="103" t="s">
        <v>3450</v>
      </c>
      <c r="U1309" s="103">
        <v>38.475000000000001</v>
      </c>
      <c r="V1309" s="103" t="s">
        <v>2158</v>
      </c>
      <c r="W1309" s="103" t="s">
        <v>116</v>
      </c>
      <c r="X1309" s="103" t="s">
        <v>1597</v>
      </c>
      <c r="Y1309" s="103" t="s">
        <v>1685</v>
      </c>
      <c r="AA1309" s="103" t="s">
        <v>2220</v>
      </c>
      <c r="AB1309" s="103" t="s">
        <v>71</v>
      </c>
      <c r="AE1309" s="103" t="s">
        <v>898</v>
      </c>
      <c r="AF1309" s="103" t="b">
        <v>1</v>
      </c>
    </row>
    <row r="1310" spans="1:32" hidden="1" x14ac:dyDescent="0.2">
      <c r="A1310" s="103" t="s">
        <v>1168</v>
      </c>
      <c r="B1310" s="103" t="s">
        <v>1167</v>
      </c>
      <c r="C1310" s="103" t="s">
        <v>3451</v>
      </c>
      <c r="D1310" s="103" t="s">
        <v>3361</v>
      </c>
      <c r="E1310" s="103" t="s">
        <v>2993</v>
      </c>
      <c r="F1310" s="103" t="s">
        <v>2162</v>
      </c>
      <c r="G1310" s="103">
        <v>75</v>
      </c>
      <c r="H1310" s="103" t="s">
        <v>2152</v>
      </c>
      <c r="I1310" s="103" t="s">
        <v>2153</v>
      </c>
      <c r="J1310" s="103">
        <v>50</v>
      </c>
      <c r="K1310" s="103">
        <v>25</v>
      </c>
      <c r="N1310" s="103" t="s">
        <v>2163</v>
      </c>
      <c r="O1310" s="103">
        <v>75</v>
      </c>
      <c r="P1310" s="103" t="s">
        <v>820</v>
      </c>
      <c r="Q1310" s="103" t="s">
        <v>2155</v>
      </c>
      <c r="R1310" s="103" t="s">
        <v>2220</v>
      </c>
      <c r="S1310" s="103" t="s">
        <v>2209</v>
      </c>
      <c r="U1310" s="103">
        <v>38.475000000000001</v>
      </c>
      <c r="V1310" s="103" t="s">
        <v>2158</v>
      </c>
      <c r="W1310" s="103" t="s">
        <v>116</v>
      </c>
      <c r="X1310" s="103" t="s">
        <v>1597</v>
      </c>
      <c r="Y1310" s="103" t="s">
        <v>1685</v>
      </c>
      <c r="AA1310" s="103" t="s">
        <v>2220</v>
      </c>
      <c r="AB1310" s="103" t="s">
        <v>71</v>
      </c>
      <c r="AE1310" s="103" t="s">
        <v>898</v>
      </c>
      <c r="AF1310" s="103" t="b">
        <v>1</v>
      </c>
    </row>
    <row r="1311" spans="1:32" hidden="1" x14ac:dyDescent="0.2">
      <c r="A1311" s="103" t="s">
        <v>1168</v>
      </c>
      <c r="B1311" s="103" t="s">
        <v>1167</v>
      </c>
      <c r="C1311" s="103" t="s">
        <v>3452</v>
      </c>
      <c r="D1311" s="103" t="s">
        <v>3453</v>
      </c>
      <c r="E1311" s="103" t="s">
        <v>2993</v>
      </c>
      <c r="F1311" s="103" t="s">
        <v>2162</v>
      </c>
      <c r="G1311" s="103">
        <v>50</v>
      </c>
      <c r="H1311" s="103" t="s">
        <v>2168</v>
      </c>
      <c r="I1311" s="103" t="s">
        <v>2153</v>
      </c>
      <c r="L1311" s="103">
        <v>25</v>
      </c>
      <c r="M1311" s="103">
        <v>25</v>
      </c>
      <c r="N1311" s="103" t="s">
        <v>2163</v>
      </c>
      <c r="O1311" s="103">
        <v>50</v>
      </c>
      <c r="P1311" s="103" t="s">
        <v>820</v>
      </c>
      <c r="Q1311" s="103" t="s">
        <v>2155</v>
      </c>
      <c r="R1311" s="103" t="s">
        <v>2220</v>
      </c>
      <c r="S1311" s="103" t="s">
        <v>2209</v>
      </c>
      <c r="U1311" s="103">
        <v>25.65</v>
      </c>
      <c r="V1311" s="103" t="s">
        <v>2158</v>
      </c>
      <c r="W1311" s="103" t="s">
        <v>116</v>
      </c>
      <c r="X1311" s="103" t="s">
        <v>1597</v>
      </c>
      <c r="Y1311" s="103" t="s">
        <v>1685</v>
      </c>
      <c r="AA1311" s="103" t="s">
        <v>2220</v>
      </c>
      <c r="AB1311" s="103" t="s">
        <v>71</v>
      </c>
      <c r="AE1311" s="103" t="s">
        <v>898</v>
      </c>
      <c r="AF1311" s="103" t="b">
        <v>1</v>
      </c>
    </row>
    <row r="1312" spans="1:32" hidden="1" x14ac:dyDescent="0.2">
      <c r="A1312" s="103" t="s">
        <v>1168</v>
      </c>
      <c r="B1312" s="103" t="s">
        <v>1167</v>
      </c>
      <c r="C1312" s="103" t="s">
        <v>3454</v>
      </c>
      <c r="E1312" s="103" t="s">
        <v>2957</v>
      </c>
      <c r="F1312" s="103" t="s">
        <v>2151</v>
      </c>
      <c r="G1312" s="103">
        <v>100</v>
      </c>
      <c r="H1312" s="103" t="s">
        <v>2168</v>
      </c>
      <c r="I1312" s="103" t="s">
        <v>2153</v>
      </c>
      <c r="K1312" s="103">
        <v>50</v>
      </c>
      <c r="L1312" s="103">
        <v>50</v>
      </c>
      <c r="N1312" s="103" t="s">
        <v>2260</v>
      </c>
      <c r="O1312" s="103">
        <v>100</v>
      </c>
      <c r="P1312" s="103" t="s">
        <v>791</v>
      </c>
      <c r="Q1312" s="103" t="s">
        <v>2155</v>
      </c>
      <c r="R1312" s="103" t="s">
        <v>2220</v>
      </c>
      <c r="S1312" s="103" t="s">
        <v>2422</v>
      </c>
      <c r="T1312" s="103" t="s">
        <v>3455</v>
      </c>
      <c r="U1312" s="103">
        <v>51.3</v>
      </c>
      <c r="V1312" s="103" t="s">
        <v>2262</v>
      </c>
      <c r="W1312" s="103" t="s">
        <v>116</v>
      </c>
      <c r="X1312" s="103" t="s">
        <v>1597</v>
      </c>
      <c r="Y1312" s="103" t="s">
        <v>1685</v>
      </c>
      <c r="AA1312" s="103" t="s">
        <v>2220</v>
      </c>
      <c r="AB1312" s="103" t="s">
        <v>71</v>
      </c>
      <c r="AE1312" s="103" t="s">
        <v>898</v>
      </c>
      <c r="AF1312" s="103" t="b">
        <v>1</v>
      </c>
    </row>
    <row r="1313" spans="1:32" hidden="1" x14ac:dyDescent="0.2">
      <c r="A1313" s="103" t="s">
        <v>1168</v>
      </c>
      <c r="B1313" s="103" t="s">
        <v>1167</v>
      </c>
      <c r="C1313" s="103" t="s">
        <v>3456</v>
      </c>
      <c r="D1313" s="103" t="s">
        <v>3457</v>
      </c>
      <c r="E1313" s="103" t="s">
        <v>2993</v>
      </c>
      <c r="F1313" s="103" t="s">
        <v>2151</v>
      </c>
      <c r="G1313" s="103">
        <v>100</v>
      </c>
      <c r="H1313" s="103" t="s">
        <v>2168</v>
      </c>
      <c r="I1313" s="103" t="s">
        <v>2153</v>
      </c>
      <c r="L1313" s="103">
        <v>50</v>
      </c>
      <c r="M1313" s="103">
        <v>50</v>
      </c>
      <c r="N1313" s="103" t="s">
        <v>2260</v>
      </c>
      <c r="O1313" s="103">
        <v>100</v>
      </c>
      <c r="P1313" s="103" t="s">
        <v>820</v>
      </c>
      <c r="Q1313" s="103" t="s">
        <v>2155</v>
      </c>
      <c r="R1313" s="103" t="s">
        <v>2220</v>
      </c>
      <c r="S1313" s="103" t="s">
        <v>2238</v>
      </c>
      <c r="U1313" s="103">
        <v>51.3</v>
      </c>
      <c r="V1313" s="103" t="s">
        <v>2262</v>
      </c>
      <c r="W1313" s="103" t="s">
        <v>116</v>
      </c>
      <c r="X1313" s="103" t="s">
        <v>1597</v>
      </c>
      <c r="Y1313" s="103" t="s">
        <v>1685</v>
      </c>
      <c r="AA1313" s="103" t="s">
        <v>2220</v>
      </c>
      <c r="AB1313" s="103" t="s">
        <v>71</v>
      </c>
      <c r="AE1313" s="103" t="s">
        <v>898</v>
      </c>
      <c r="AF1313" s="103" t="b">
        <v>1</v>
      </c>
    </row>
    <row r="1314" spans="1:32" hidden="1" x14ac:dyDescent="0.2">
      <c r="A1314" s="103" t="s">
        <v>1168</v>
      </c>
      <c r="B1314" s="103" t="s">
        <v>1167</v>
      </c>
      <c r="C1314" s="103" t="s">
        <v>3458</v>
      </c>
      <c r="D1314" s="103" t="s">
        <v>3459</v>
      </c>
      <c r="E1314" s="103" t="s">
        <v>2993</v>
      </c>
      <c r="F1314" s="103" t="s">
        <v>2151</v>
      </c>
      <c r="G1314" s="103">
        <v>100</v>
      </c>
      <c r="H1314" s="103" t="s">
        <v>2168</v>
      </c>
      <c r="I1314" s="103" t="s">
        <v>2153</v>
      </c>
      <c r="L1314" s="103">
        <v>50</v>
      </c>
      <c r="M1314" s="103">
        <v>50</v>
      </c>
      <c r="N1314" s="103" t="s">
        <v>2260</v>
      </c>
      <c r="O1314" s="103">
        <v>100</v>
      </c>
      <c r="P1314" s="103" t="s">
        <v>820</v>
      </c>
      <c r="Q1314" s="103" t="s">
        <v>2155</v>
      </c>
      <c r="R1314" s="103" t="s">
        <v>2220</v>
      </c>
      <c r="S1314" s="103" t="s">
        <v>2238</v>
      </c>
      <c r="U1314" s="103">
        <v>51.3</v>
      </c>
      <c r="V1314" s="103" t="s">
        <v>2262</v>
      </c>
      <c r="W1314" s="103" t="s">
        <v>116</v>
      </c>
      <c r="X1314" s="103" t="s">
        <v>1597</v>
      </c>
      <c r="Y1314" s="103" t="s">
        <v>1685</v>
      </c>
      <c r="AA1314" s="103" t="s">
        <v>2220</v>
      </c>
      <c r="AB1314" s="103" t="s">
        <v>71</v>
      </c>
      <c r="AE1314" s="103" t="s">
        <v>898</v>
      </c>
      <c r="AF1314" s="103" t="b">
        <v>1</v>
      </c>
    </row>
    <row r="1315" spans="1:32" hidden="1" x14ac:dyDescent="0.2">
      <c r="A1315" s="103" t="s">
        <v>1170</v>
      </c>
      <c r="B1315" s="103" t="s">
        <v>1169</v>
      </c>
      <c r="C1315" s="103" t="s">
        <v>3460</v>
      </c>
      <c r="D1315" s="103" t="s">
        <v>3461</v>
      </c>
      <c r="E1315" s="103" t="s">
        <v>2957</v>
      </c>
      <c r="F1315" s="103" t="s">
        <v>2162</v>
      </c>
      <c r="G1315" s="103">
        <v>50</v>
      </c>
      <c r="H1315" s="103" t="s">
        <v>2168</v>
      </c>
      <c r="I1315" s="103" t="s">
        <v>2153</v>
      </c>
      <c r="J1315" s="103">
        <v>30</v>
      </c>
      <c r="K1315" s="103">
        <v>20</v>
      </c>
      <c r="N1315" s="103" t="s">
        <v>2163</v>
      </c>
      <c r="O1315" s="103">
        <v>50</v>
      </c>
      <c r="P1315" s="103" t="s">
        <v>791</v>
      </c>
      <c r="Q1315" s="103" t="s">
        <v>2155</v>
      </c>
      <c r="R1315" s="103" t="s">
        <v>2220</v>
      </c>
      <c r="S1315" s="103" t="s">
        <v>2870</v>
      </c>
      <c r="U1315" s="103">
        <v>25.65</v>
      </c>
      <c r="V1315" s="103" t="s">
        <v>2158</v>
      </c>
      <c r="W1315" s="103" t="s">
        <v>116</v>
      </c>
      <c r="X1315" s="103" t="s">
        <v>1597</v>
      </c>
      <c r="Y1315" s="103" t="s">
        <v>1685</v>
      </c>
      <c r="AA1315" s="103" t="s">
        <v>2220</v>
      </c>
      <c r="AB1315" s="103" t="s">
        <v>71</v>
      </c>
      <c r="AE1315" s="103" t="s">
        <v>898</v>
      </c>
      <c r="AF1315" s="103" t="b">
        <v>1</v>
      </c>
    </row>
    <row r="1316" spans="1:32" hidden="1" x14ac:dyDescent="0.2">
      <c r="A1316" s="103" t="s">
        <v>1170</v>
      </c>
      <c r="B1316" s="103" t="s">
        <v>1169</v>
      </c>
      <c r="C1316" s="103" t="s">
        <v>3462</v>
      </c>
      <c r="E1316" s="103" t="s">
        <v>2957</v>
      </c>
      <c r="F1316" s="103" t="s">
        <v>2202</v>
      </c>
      <c r="G1316" s="103">
        <v>150</v>
      </c>
      <c r="H1316" s="103" t="s">
        <v>2152</v>
      </c>
      <c r="I1316" s="103" t="s">
        <v>2153</v>
      </c>
      <c r="J1316" s="103">
        <v>40</v>
      </c>
      <c r="K1316" s="103">
        <v>40</v>
      </c>
      <c r="L1316" s="103">
        <v>35</v>
      </c>
      <c r="M1316" s="103">
        <v>35</v>
      </c>
      <c r="N1316" s="103" t="s">
        <v>2163</v>
      </c>
      <c r="O1316" s="103">
        <v>150</v>
      </c>
      <c r="P1316" s="103" t="s">
        <v>791</v>
      </c>
      <c r="Q1316" s="103" t="s">
        <v>2155</v>
      </c>
      <c r="R1316" s="103" t="s">
        <v>2220</v>
      </c>
      <c r="S1316" s="103" t="s">
        <v>2870</v>
      </c>
      <c r="U1316" s="103">
        <v>76.95</v>
      </c>
      <c r="V1316" s="103" t="s">
        <v>2158</v>
      </c>
      <c r="W1316" s="103" t="s">
        <v>116</v>
      </c>
      <c r="X1316" s="103" t="s">
        <v>1597</v>
      </c>
      <c r="Y1316" s="103" t="s">
        <v>1685</v>
      </c>
      <c r="AA1316" s="103" t="s">
        <v>2220</v>
      </c>
      <c r="AB1316" s="103" t="s">
        <v>71</v>
      </c>
      <c r="AE1316" s="103" t="s">
        <v>898</v>
      </c>
      <c r="AF1316" s="103" t="b">
        <v>1</v>
      </c>
    </row>
    <row r="1317" spans="1:32" hidden="1" x14ac:dyDescent="0.2">
      <c r="A1317" s="103" t="s">
        <v>884</v>
      </c>
      <c r="B1317" s="103" t="s">
        <v>883</v>
      </c>
      <c r="C1317" s="103" t="s">
        <v>3463</v>
      </c>
      <c r="D1317" s="103" t="s">
        <v>3464</v>
      </c>
      <c r="E1317" s="103" t="s">
        <v>2311</v>
      </c>
      <c r="F1317" s="103" t="s">
        <v>2202</v>
      </c>
      <c r="G1317" s="103">
        <v>200</v>
      </c>
      <c r="H1317" s="103" t="s">
        <v>2168</v>
      </c>
      <c r="I1317" s="103" t="s">
        <v>2153</v>
      </c>
      <c r="K1317" s="103">
        <v>100</v>
      </c>
      <c r="L1317" s="103">
        <v>50</v>
      </c>
      <c r="M1317" s="103">
        <v>50</v>
      </c>
      <c r="N1317" s="103" t="s">
        <v>2260</v>
      </c>
      <c r="O1317" s="103">
        <v>200</v>
      </c>
      <c r="P1317" s="103" t="s">
        <v>820</v>
      </c>
      <c r="Q1317" s="103" t="s">
        <v>2155</v>
      </c>
      <c r="R1317" s="103" t="s">
        <v>2220</v>
      </c>
      <c r="T1317" s="103" t="s">
        <v>3465</v>
      </c>
      <c r="U1317" s="103">
        <v>102.6</v>
      </c>
      <c r="V1317" s="103" t="s">
        <v>2262</v>
      </c>
      <c r="W1317" s="103" t="s">
        <v>108</v>
      </c>
      <c r="X1317" s="103">
        <v>0</v>
      </c>
      <c r="Y1317" s="103" t="s">
        <v>1685</v>
      </c>
      <c r="AA1317" s="103" t="s">
        <v>2220</v>
      </c>
      <c r="AB1317" s="103" t="s">
        <v>71</v>
      </c>
      <c r="AE1317" s="103" t="s">
        <v>810</v>
      </c>
      <c r="AF1317" s="103" t="b">
        <v>1</v>
      </c>
    </row>
    <row r="1318" spans="1:32" hidden="1" x14ac:dyDescent="0.2">
      <c r="A1318" s="103" t="s">
        <v>884</v>
      </c>
      <c r="B1318" s="103" t="s">
        <v>883</v>
      </c>
      <c r="C1318" s="103" t="s">
        <v>2539</v>
      </c>
      <c r="D1318" s="103" t="s">
        <v>2540</v>
      </c>
      <c r="E1318" s="103" t="s">
        <v>2311</v>
      </c>
      <c r="F1318" s="103" t="s">
        <v>2151</v>
      </c>
      <c r="G1318" s="103">
        <v>100</v>
      </c>
      <c r="H1318" s="103" t="s">
        <v>2168</v>
      </c>
      <c r="I1318" s="103" t="s">
        <v>2153</v>
      </c>
      <c r="J1318" s="103">
        <v>25</v>
      </c>
      <c r="K1318" s="103">
        <v>25</v>
      </c>
      <c r="L1318" s="103">
        <v>25</v>
      </c>
      <c r="M1318" s="103">
        <v>25</v>
      </c>
      <c r="N1318" s="103" t="s">
        <v>2273</v>
      </c>
      <c r="O1318" s="103">
        <v>100</v>
      </c>
      <c r="P1318" s="103" t="s">
        <v>820</v>
      </c>
      <c r="Q1318" s="103" t="s">
        <v>2296</v>
      </c>
      <c r="R1318" s="103" t="s">
        <v>2220</v>
      </c>
      <c r="T1318" s="103" t="s">
        <v>2541</v>
      </c>
      <c r="U1318" s="103">
        <v>51.3</v>
      </c>
      <c r="V1318" s="103" t="s">
        <v>2262</v>
      </c>
      <c r="W1318" s="103" t="s">
        <v>108</v>
      </c>
      <c r="X1318" s="103">
        <v>0</v>
      </c>
      <c r="Y1318" s="103" t="s">
        <v>1685</v>
      </c>
      <c r="AA1318" s="103" t="s">
        <v>2220</v>
      </c>
      <c r="AB1318" s="103" t="s">
        <v>71</v>
      </c>
      <c r="AE1318" s="103" t="s">
        <v>810</v>
      </c>
      <c r="AF1318" s="103" t="b">
        <v>1</v>
      </c>
    </row>
    <row r="1319" spans="1:32" hidden="1" x14ac:dyDescent="0.2">
      <c r="A1319" s="103" t="s">
        <v>884</v>
      </c>
      <c r="B1319" s="103" t="s">
        <v>883</v>
      </c>
      <c r="C1319" s="103" t="s">
        <v>3466</v>
      </c>
      <c r="D1319" s="103" t="s">
        <v>3467</v>
      </c>
      <c r="E1319" s="103" t="s">
        <v>2311</v>
      </c>
      <c r="F1319" s="103" t="s">
        <v>2151</v>
      </c>
      <c r="G1319" s="103">
        <v>100</v>
      </c>
      <c r="H1319" s="103" t="s">
        <v>2168</v>
      </c>
      <c r="I1319" s="103" t="s">
        <v>2153</v>
      </c>
      <c r="L1319" s="103">
        <v>50</v>
      </c>
      <c r="M1319" s="103">
        <v>50</v>
      </c>
      <c r="N1319" s="103" t="s">
        <v>2273</v>
      </c>
      <c r="O1319" s="103">
        <v>100</v>
      </c>
      <c r="P1319" s="103" t="s">
        <v>820</v>
      </c>
      <c r="Q1319" s="103" t="s">
        <v>2296</v>
      </c>
      <c r="R1319" s="103" t="s">
        <v>2220</v>
      </c>
      <c r="U1319" s="103">
        <v>51.3</v>
      </c>
      <c r="V1319" s="103" t="s">
        <v>2262</v>
      </c>
      <c r="W1319" s="103" t="s">
        <v>108</v>
      </c>
      <c r="X1319" s="103">
        <v>0</v>
      </c>
      <c r="Y1319" s="103" t="s">
        <v>1685</v>
      </c>
      <c r="AA1319" s="103" t="s">
        <v>2220</v>
      </c>
      <c r="AB1319" s="103" t="s">
        <v>71</v>
      </c>
      <c r="AE1319" s="103" t="s">
        <v>810</v>
      </c>
      <c r="AF1319" s="103" t="b">
        <v>1</v>
      </c>
    </row>
    <row r="1320" spans="1:32" hidden="1" x14ac:dyDescent="0.2">
      <c r="A1320" s="103" t="s">
        <v>884</v>
      </c>
      <c r="B1320" s="103" t="s">
        <v>883</v>
      </c>
      <c r="C1320" s="103" t="s">
        <v>3468</v>
      </c>
      <c r="D1320" s="103" t="s">
        <v>3469</v>
      </c>
      <c r="E1320" s="103" t="s">
        <v>2311</v>
      </c>
      <c r="F1320" s="103" t="s">
        <v>2151</v>
      </c>
      <c r="G1320" s="103">
        <v>100</v>
      </c>
      <c r="H1320" s="103" t="s">
        <v>2168</v>
      </c>
      <c r="I1320" s="103" t="s">
        <v>2153</v>
      </c>
      <c r="K1320" s="103">
        <v>50</v>
      </c>
      <c r="L1320" s="103">
        <v>50</v>
      </c>
      <c r="N1320" s="103" t="s">
        <v>2260</v>
      </c>
      <c r="O1320" s="103">
        <v>100</v>
      </c>
      <c r="P1320" s="103" t="s">
        <v>820</v>
      </c>
      <c r="Q1320" s="103" t="s">
        <v>2155</v>
      </c>
      <c r="R1320" s="103" t="s">
        <v>2220</v>
      </c>
      <c r="T1320" s="103" t="s">
        <v>3256</v>
      </c>
      <c r="U1320" s="103">
        <v>51.3</v>
      </c>
      <c r="V1320" s="103" t="s">
        <v>2262</v>
      </c>
      <c r="W1320" s="103" t="s">
        <v>108</v>
      </c>
      <c r="X1320" s="103">
        <v>0</v>
      </c>
      <c r="Y1320" s="103" t="s">
        <v>1685</v>
      </c>
      <c r="AA1320" s="103" t="s">
        <v>2220</v>
      </c>
      <c r="AB1320" s="103" t="s">
        <v>71</v>
      </c>
      <c r="AE1320" s="103" t="s">
        <v>810</v>
      </c>
      <c r="AF1320" s="103" t="b">
        <v>1</v>
      </c>
    </row>
    <row r="1321" spans="1:32" hidden="1" x14ac:dyDescent="0.2">
      <c r="A1321" s="103" t="s">
        <v>884</v>
      </c>
      <c r="B1321" s="103" t="s">
        <v>883</v>
      </c>
      <c r="C1321" s="103" t="s">
        <v>3470</v>
      </c>
      <c r="E1321" s="103" t="s">
        <v>2311</v>
      </c>
      <c r="F1321" s="103" t="s">
        <v>2151</v>
      </c>
      <c r="G1321" s="103">
        <v>100</v>
      </c>
      <c r="H1321" s="103" t="s">
        <v>2168</v>
      </c>
      <c r="I1321" s="103" t="s">
        <v>2153</v>
      </c>
      <c r="J1321" s="103">
        <v>25</v>
      </c>
      <c r="K1321" s="103">
        <v>25</v>
      </c>
      <c r="L1321" s="103">
        <v>25</v>
      </c>
      <c r="M1321" s="103">
        <v>25</v>
      </c>
      <c r="N1321" s="103" t="s">
        <v>2402</v>
      </c>
      <c r="O1321" s="103">
        <v>100</v>
      </c>
      <c r="P1321" s="103" t="s">
        <v>820</v>
      </c>
      <c r="Q1321" s="103" t="s">
        <v>2155</v>
      </c>
      <c r="R1321" s="103" t="s">
        <v>2220</v>
      </c>
      <c r="T1321" s="103" t="s">
        <v>3471</v>
      </c>
      <c r="U1321" s="103">
        <v>51.3</v>
      </c>
      <c r="V1321" s="103" t="s">
        <v>2262</v>
      </c>
      <c r="W1321" s="103" t="s">
        <v>108</v>
      </c>
      <c r="X1321" s="103">
        <v>0</v>
      </c>
      <c r="Y1321" s="103" t="s">
        <v>1685</v>
      </c>
      <c r="AA1321" s="103" t="s">
        <v>2220</v>
      </c>
      <c r="AB1321" s="103" t="s">
        <v>71</v>
      </c>
      <c r="AE1321" s="103" t="s">
        <v>810</v>
      </c>
      <c r="AF1321" s="103" t="b">
        <v>1</v>
      </c>
    </row>
    <row r="1322" spans="1:32" hidden="1" x14ac:dyDescent="0.2">
      <c r="A1322" s="103" t="s">
        <v>884</v>
      </c>
      <c r="B1322" s="103" t="s">
        <v>883</v>
      </c>
      <c r="C1322" s="103" t="s">
        <v>3472</v>
      </c>
      <c r="D1322" s="103" t="s">
        <v>3473</v>
      </c>
      <c r="E1322" s="103" t="s">
        <v>2311</v>
      </c>
      <c r="F1322" s="103" t="s">
        <v>2151</v>
      </c>
      <c r="G1322" s="103">
        <v>100</v>
      </c>
      <c r="H1322" s="103" t="s">
        <v>2168</v>
      </c>
      <c r="I1322" s="103" t="s">
        <v>2153</v>
      </c>
      <c r="J1322" s="103">
        <v>50</v>
      </c>
      <c r="K1322" s="103">
        <v>50</v>
      </c>
      <c r="N1322" s="103" t="s">
        <v>2273</v>
      </c>
      <c r="O1322" s="103">
        <v>100</v>
      </c>
      <c r="P1322" s="103" t="s">
        <v>820</v>
      </c>
      <c r="Q1322" s="103" t="s">
        <v>2155</v>
      </c>
      <c r="R1322" s="103" t="s">
        <v>2220</v>
      </c>
      <c r="U1322" s="103">
        <v>51.3</v>
      </c>
      <c r="V1322" s="103" t="s">
        <v>2262</v>
      </c>
      <c r="W1322" s="103" t="s">
        <v>108</v>
      </c>
      <c r="X1322" s="103">
        <v>0</v>
      </c>
      <c r="Y1322" s="103" t="s">
        <v>1685</v>
      </c>
      <c r="AA1322" s="103" t="s">
        <v>2220</v>
      </c>
      <c r="AB1322" s="103" t="s">
        <v>71</v>
      </c>
      <c r="AE1322" s="103" t="s">
        <v>810</v>
      </c>
      <c r="AF1322" s="103" t="b">
        <v>1</v>
      </c>
    </row>
    <row r="1323" spans="1:32" hidden="1" x14ac:dyDescent="0.2">
      <c r="A1323" s="103" t="s">
        <v>884</v>
      </c>
      <c r="B1323" s="103" t="s">
        <v>883</v>
      </c>
      <c r="C1323" s="103" t="s">
        <v>3474</v>
      </c>
      <c r="D1323" s="103" t="s">
        <v>3475</v>
      </c>
      <c r="E1323" s="103" t="s">
        <v>2311</v>
      </c>
      <c r="F1323" s="103" t="s">
        <v>2151</v>
      </c>
      <c r="G1323" s="103">
        <v>100</v>
      </c>
      <c r="H1323" s="103" t="s">
        <v>2168</v>
      </c>
      <c r="I1323" s="103" t="s">
        <v>2153</v>
      </c>
      <c r="J1323" s="103">
        <v>25</v>
      </c>
      <c r="K1323" s="103">
        <v>25</v>
      </c>
      <c r="L1323" s="103">
        <v>25</v>
      </c>
      <c r="M1323" s="103">
        <v>25</v>
      </c>
      <c r="N1323" s="103" t="s">
        <v>2260</v>
      </c>
      <c r="O1323" s="103">
        <v>100</v>
      </c>
      <c r="P1323" s="103" t="s">
        <v>820</v>
      </c>
      <c r="Q1323" s="103" t="s">
        <v>2155</v>
      </c>
      <c r="R1323" s="103" t="s">
        <v>2220</v>
      </c>
      <c r="U1323" s="103">
        <v>51.3</v>
      </c>
      <c r="V1323" s="103" t="s">
        <v>2262</v>
      </c>
      <c r="W1323" s="103" t="s">
        <v>108</v>
      </c>
      <c r="X1323" s="103">
        <v>0</v>
      </c>
      <c r="Y1323" s="103" t="s">
        <v>1685</v>
      </c>
      <c r="AA1323" s="103" t="s">
        <v>2220</v>
      </c>
      <c r="AB1323" s="103" t="s">
        <v>71</v>
      </c>
      <c r="AE1323" s="103" t="s">
        <v>810</v>
      </c>
      <c r="AF1323" s="103" t="b">
        <v>1</v>
      </c>
    </row>
    <row r="1324" spans="1:32" hidden="1" x14ac:dyDescent="0.2">
      <c r="A1324" s="103" t="s">
        <v>884</v>
      </c>
      <c r="B1324" s="103" t="s">
        <v>883</v>
      </c>
      <c r="C1324" s="103" t="s">
        <v>3476</v>
      </c>
      <c r="E1324" s="103" t="s">
        <v>2311</v>
      </c>
      <c r="F1324" s="103" t="s">
        <v>2151</v>
      </c>
      <c r="G1324" s="103">
        <v>100</v>
      </c>
      <c r="H1324" s="103" t="s">
        <v>2168</v>
      </c>
      <c r="I1324" s="103" t="s">
        <v>2153</v>
      </c>
      <c r="J1324" s="103">
        <v>25</v>
      </c>
      <c r="K1324" s="103">
        <v>25</v>
      </c>
      <c r="L1324" s="103">
        <v>25</v>
      </c>
      <c r="M1324" s="103">
        <v>25</v>
      </c>
      <c r="N1324" s="103" t="s">
        <v>2273</v>
      </c>
      <c r="O1324" s="103">
        <v>100</v>
      </c>
      <c r="P1324" s="103" t="s">
        <v>820</v>
      </c>
      <c r="Q1324" s="103" t="s">
        <v>2155</v>
      </c>
      <c r="R1324" s="103" t="s">
        <v>2220</v>
      </c>
      <c r="U1324" s="103">
        <v>51.3</v>
      </c>
      <c r="V1324" s="103" t="s">
        <v>2262</v>
      </c>
      <c r="W1324" s="103" t="s">
        <v>108</v>
      </c>
      <c r="X1324" s="103">
        <v>0</v>
      </c>
      <c r="Y1324" s="103" t="s">
        <v>1685</v>
      </c>
      <c r="AA1324" s="103" t="s">
        <v>2220</v>
      </c>
      <c r="AB1324" s="103" t="s">
        <v>71</v>
      </c>
      <c r="AE1324" s="103" t="s">
        <v>810</v>
      </c>
      <c r="AF1324" s="103" t="b">
        <v>1</v>
      </c>
    </row>
    <row r="1325" spans="1:32" hidden="1" x14ac:dyDescent="0.2">
      <c r="A1325" s="103" t="s">
        <v>884</v>
      </c>
      <c r="B1325" s="103" t="s">
        <v>883</v>
      </c>
      <c r="C1325" s="103" t="s">
        <v>3477</v>
      </c>
      <c r="D1325" s="103" t="s">
        <v>3478</v>
      </c>
      <c r="E1325" s="103" t="s">
        <v>2311</v>
      </c>
      <c r="F1325" s="103" t="s">
        <v>2151</v>
      </c>
      <c r="G1325" s="103">
        <v>100</v>
      </c>
      <c r="H1325" s="103" t="s">
        <v>2168</v>
      </c>
      <c r="I1325" s="103" t="s">
        <v>2153</v>
      </c>
      <c r="L1325" s="103">
        <v>50</v>
      </c>
      <c r="M1325" s="103">
        <v>50</v>
      </c>
      <c r="N1325" s="103" t="s">
        <v>2273</v>
      </c>
      <c r="O1325" s="103">
        <v>100</v>
      </c>
      <c r="P1325" s="103" t="s">
        <v>820</v>
      </c>
      <c r="Q1325" s="103" t="s">
        <v>2155</v>
      </c>
      <c r="R1325" s="103" t="s">
        <v>2220</v>
      </c>
      <c r="U1325" s="103">
        <v>51.3</v>
      </c>
      <c r="V1325" s="103" t="s">
        <v>2262</v>
      </c>
      <c r="W1325" s="103" t="s">
        <v>108</v>
      </c>
      <c r="X1325" s="103">
        <v>0</v>
      </c>
      <c r="Y1325" s="103" t="s">
        <v>1685</v>
      </c>
      <c r="AA1325" s="103" t="s">
        <v>2220</v>
      </c>
      <c r="AB1325" s="103" t="s">
        <v>71</v>
      </c>
      <c r="AE1325" s="103" t="s">
        <v>810</v>
      </c>
      <c r="AF1325" s="103" t="b">
        <v>1</v>
      </c>
    </row>
    <row r="1326" spans="1:32" hidden="1" x14ac:dyDescent="0.2">
      <c r="A1326" s="103" t="s">
        <v>884</v>
      </c>
      <c r="B1326" s="103" t="s">
        <v>883</v>
      </c>
      <c r="C1326" s="103" t="s">
        <v>3479</v>
      </c>
      <c r="D1326" s="103" t="s">
        <v>3480</v>
      </c>
      <c r="E1326" s="103" t="s">
        <v>2311</v>
      </c>
      <c r="F1326" s="103" t="s">
        <v>2151</v>
      </c>
      <c r="G1326" s="103">
        <v>100</v>
      </c>
      <c r="H1326" s="103" t="s">
        <v>2168</v>
      </c>
      <c r="I1326" s="103" t="s">
        <v>2153</v>
      </c>
      <c r="J1326" s="103">
        <v>50</v>
      </c>
      <c r="K1326" s="103">
        <v>50</v>
      </c>
      <c r="N1326" s="103" t="s">
        <v>2273</v>
      </c>
      <c r="O1326" s="103">
        <v>100</v>
      </c>
      <c r="P1326" s="103" t="s">
        <v>820</v>
      </c>
      <c r="Q1326" s="103" t="s">
        <v>2155</v>
      </c>
      <c r="R1326" s="103" t="s">
        <v>2220</v>
      </c>
      <c r="T1326" s="103" t="s">
        <v>3481</v>
      </c>
      <c r="U1326" s="103">
        <v>51.3</v>
      </c>
      <c r="V1326" s="103" t="s">
        <v>2262</v>
      </c>
      <c r="W1326" s="103" t="s">
        <v>108</v>
      </c>
      <c r="X1326" s="103">
        <v>0</v>
      </c>
      <c r="Y1326" s="103" t="s">
        <v>1685</v>
      </c>
      <c r="AA1326" s="103" t="s">
        <v>2220</v>
      </c>
      <c r="AB1326" s="103" t="s">
        <v>71</v>
      </c>
      <c r="AE1326" s="103" t="s">
        <v>810</v>
      </c>
      <c r="AF1326" s="103" t="b">
        <v>1</v>
      </c>
    </row>
    <row r="1327" spans="1:32" hidden="1" x14ac:dyDescent="0.2">
      <c r="A1327" s="103" t="s">
        <v>884</v>
      </c>
      <c r="B1327" s="103" t="s">
        <v>883</v>
      </c>
      <c r="C1327" s="103" t="s">
        <v>3482</v>
      </c>
      <c r="D1327" s="103" t="s">
        <v>3483</v>
      </c>
      <c r="E1327" s="103" t="s">
        <v>2311</v>
      </c>
      <c r="F1327" s="103" t="s">
        <v>2162</v>
      </c>
      <c r="G1327" s="103">
        <v>50</v>
      </c>
      <c r="H1327" s="103" t="s">
        <v>2168</v>
      </c>
      <c r="I1327" s="103" t="s">
        <v>2153</v>
      </c>
      <c r="J1327" s="103">
        <v>25</v>
      </c>
      <c r="K1327" s="103">
        <v>25</v>
      </c>
      <c r="N1327" s="103" t="s">
        <v>2260</v>
      </c>
      <c r="O1327" s="103">
        <v>50</v>
      </c>
      <c r="P1327" s="103" t="s">
        <v>820</v>
      </c>
      <c r="Q1327" s="103" t="s">
        <v>2155</v>
      </c>
      <c r="R1327" s="103" t="s">
        <v>2220</v>
      </c>
      <c r="U1327" s="103">
        <v>25.65</v>
      </c>
      <c r="V1327" s="103" t="s">
        <v>2262</v>
      </c>
      <c r="W1327" s="103" t="s">
        <v>108</v>
      </c>
      <c r="X1327" s="103">
        <v>0</v>
      </c>
      <c r="Y1327" s="103" t="s">
        <v>1685</v>
      </c>
      <c r="AA1327" s="103" t="s">
        <v>2220</v>
      </c>
      <c r="AB1327" s="103" t="s">
        <v>71</v>
      </c>
      <c r="AE1327" s="103" t="s">
        <v>810</v>
      </c>
      <c r="AF1327" s="103" t="b">
        <v>1</v>
      </c>
    </row>
    <row r="1328" spans="1:32" hidden="1" x14ac:dyDescent="0.2">
      <c r="A1328" s="103" t="s">
        <v>1201</v>
      </c>
      <c r="B1328" s="103" t="s">
        <v>1200</v>
      </c>
      <c r="C1328" s="103" t="s">
        <v>2597</v>
      </c>
      <c r="D1328" s="103" t="s">
        <v>3484</v>
      </c>
      <c r="E1328" s="103" t="s">
        <v>2562</v>
      </c>
      <c r="F1328" s="103" t="s">
        <v>2151</v>
      </c>
      <c r="G1328" s="103">
        <v>120</v>
      </c>
      <c r="H1328" s="103" t="s">
        <v>2168</v>
      </c>
      <c r="I1328" s="103" t="s">
        <v>2153</v>
      </c>
      <c r="J1328" s="103">
        <v>120</v>
      </c>
      <c r="K1328" s="103">
        <v>0</v>
      </c>
      <c r="L1328" s="103">
        <v>0</v>
      </c>
      <c r="M1328" s="103">
        <v>0</v>
      </c>
      <c r="N1328" s="103" t="s">
        <v>2163</v>
      </c>
      <c r="O1328" s="103">
        <v>120</v>
      </c>
      <c r="P1328" s="103" t="s">
        <v>1617</v>
      </c>
      <c r="Q1328" s="103" t="s">
        <v>2155</v>
      </c>
      <c r="R1328" s="103" t="s">
        <v>2225</v>
      </c>
      <c r="S1328" s="103" t="s">
        <v>2238</v>
      </c>
      <c r="U1328" s="103">
        <v>57.96</v>
      </c>
      <c r="V1328" s="103" t="s">
        <v>2158</v>
      </c>
      <c r="W1328" s="103" t="s">
        <v>106</v>
      </c>
      <c r="X1328" s="103" t="s">
        <v>1597</v>
      </c>
      <c r="Y1328" s="103" t="s">
        <v>1685</v>
      </c>
      <c r="AA1328" s="103" t="s">
        <v>2225</v>
      </c>
      <c r="AB1328" s="103" t="s">
        <v>64</v>
      </c>
      <c r="AE1328" s="103" t="s">
        <v>750</v>
      </c>
      <c r="AF1328" s="103" t="b">
        <v>1</v>
      </c>
    </row>
    <row r="1329" spans="1:32" hidden="1" x14ac:dyDescent="0.2">
      <c r="A1329" s="103" t="s">
        <v>1201</v>
      </c>
      <c r="B1329" s="103" t="s">
        <v>1200</v>
      </c>
      <c r="C1329" s="103" t="s">
        <v>2597</v>
      </c>
      <c r="D1329" s="103" t="s">
        <v>3485</v>
      </c>
      <c r="E1329" s="103" t="s">
        <v>2242</v>
      </c>
      <c r="F1329" s="103" t="s">
        <v>2175</v>
      </c>
      <c r="G1329" s="103">
        <v>10</v>
      </c>
      <c r="H1329" s="103" t="s">
        <v>2168</v>
      </c>
      <c r="I1329" s="103" t="s">
        <v>2153</v>
      </c>
      <c r="J1329" s="103">
        <v>10</v>
      </c>
      <c r="N1329" s="103" t="s">
        <v>2163</v>
      </c>
      <c r="O1329" s="103">
        <v>10</v>
      </c>
      <c r="P1329" s="103" t="s">
        <v>1617</v>
      </c>
      <c r="Q1329" s="103" t="s">
        <v>2155</v>
      </c>
      <c r="R1329" s="103" t="s">
        <v>2225</v>
      </c>
      <c r="S1329" s="103" t="s">
        <v>2192</v>
      </c>
      <c r="U1329" s="103">
        <v>4.83</v>
      </c>
      <c r="V1329" s="103" t="s">
        <v>2158</v>
      </c>
      <c r="W1329" s="103" t="s">
        <v>106</v>
      </c>
      <c r="X1329" s="103" t="s">
        <v>1597</v>
      </c>
      <c r="Y1329" s="103" t="s">
        <v>1685</v>
      </c>
      <c r="AA1329" s="103" t="s">
        <v>2225</v>
      </c>
      <c r="AB1329" s="103" t="s">
        <v>64</v>
      </c>
      <c r="AE1329" s="103" t="s">
        <v>750</v>
      </c>
      <c r="AF1329" s="103" t="b">
        <v>1</v>
      </c>
    </row>
    <row r="1330" spans="1:32" hidden="1" x14ac:dyDescent="0.2">
      <c r="A1330" s="103" t="s">
        <v>1201</v>
      </c>
      <c r="B1330" s="103" t="s">
        <v>1200</v>
      </c>
      <c r="C1330" s="103" t="s">
        <v>2597</v>
      </c>
      <c r="D1330" s="103" t="s">
        <v>3486</v>
      </c>
      <c r="E1330" s="103" t="s">
        <v>2244</v>
      </c>
      <c r="F1330" s="103" t="s">
        <v>2202</v>
      </c>
      <c r="G1330" s="103">
        <v>200</v>
      </c>
      <c r="H1330" s="103" t="s">
        <v>2168</v>
      </c>
      <c r="I1330" s="103" t="s">
        <v>2153</v>
      </c>
      <c r="J1330" s="103">
        <v>180</v>
      </c>
      <c r="K1330" s="103">
        <v>20</v>
      </c>
      <c r="L1330" s="103">
        <v>0</v>
      </c>
      <c r="M1330" s="103">
        <v>0</v>
      </c>
      <c r="N1330" s="103" t="s">
        <v>2163</v>
      </c>
      <c r="O1330" s="103">
        <v>200</v>
      </c>
      <c r="P1330" s="103" t="s">
        <v>1617</v>
      </c>
      <c r="Q1330" s="103" t="s">
        <v>2155</v>
      </c>
      <c r="R1330" s="103" t="s">
        <v>2225</v>
      </c>
      <c r="S1330" s="103" t="s">
        <v>2192</v>
      </c>
      <c r="U1330" s="103">
        <v>96.6</v>
      </c>
      <c r="V1330" s="103" t="s">
        <v>2158</v>
      </c>
      <c r="W1330" s="103" t="s">
        <v>106</v>
      </c>
      <c r="X1330" s="103" t="s">
        <v>1597</v>
      </c>
      <c r="Y1330" s="103" t="s">
        <v>1685</v>
      </c>
      <c r="AA1330" s="103" t="s">
        <v>2225</v>
      </c>
      <c r="AB1330" s="103" t="s">
        <v>64</v>
      </c>
      <c r="AE1330" s="103" t="s">
        <v>750</v>
      </c>
      <c r="AF1330" s="103" t="b">
        <v>1</v>
      </c>
    </row>
    <row r="1331" spans="1:32" hidden="1" x14ac:dyDescent="0.2">
      <c r="A1331" s="103" t="s">
        <v>1201</v>
      </c>
      <c r="B1331" s="103" t="s">
        <v>1200</v>
      </c>
      <c r="C1331" s="103" t="s">
        <v>2597</v>
      </c>
      <c r="D1331" s="103" t="s">
        <v>2428</v>
      </c>
      <c r="E1331" s="103" t="s">
        <v>2586</v>
      </c>
      <c r="G1331" s="103">
        <v>24.75</v>
      </c>
      <c r="H1331" s="103" t="s">
        <v>2152</v>
      </c>
      <c r="I1331" s="103" t="s">
        <v>2153</v>
      </c>
      <c r="J1331" s="103">
        <v>20</v>
      </c>
      <c r="K1331" s="103">
        <v>4.75</v>
      </c>
      <c r="N1331" s="103" t="s">
        <v>2163</v>
      </c>
      <c r="O1331" s="103">
        <v>24.75</v>
      </c>
      <c r="P1331" s="103" t="s">
        <v>1617</v>
      </c>
      <c r="Q1331" s="103" t="s">
        <v>2155</v>
      </c>
      <c r="R1331" s="103" t="s">
        <v>2164</v>
      </c>
      <c r="U1331" s="103">
        <v>14.85</v>
      </c>
      <c r="V1331" s="103" t="s">
        <v>2158</v>
      </c>
      <c r="W1331" s="103" t="s">
        <v>132</v>
      </c>
      <c r="X1331" s="103" t="s">
        <v>1597</v>
      </c>
      <c r="Y1331" s="103" t="s">
        <v>1685</v>
      </c>
      <c r="AA1331" s="103" t="s">
        <v>2164</v>
      </c>
      <c r="AB1331" s="103" t="s">
        <v>64</v>
      </c>
      <c r="AE1331" s="103" t="s">
        <v>750</v>
      </c>
      <c r="AF1331" s="103" t="b">
        <v>1</v>
      </c>
    </row>
    <row r="1332" spans="1:32" hidden="1" x14ac:dyDescent="0.2">
      <c r="A1332" s="103" t="s">
        <v>1302</v>
      </c>
      <c r="B1332" s="103" t="s">
        <v>1301</v>
      </c>
      <c r="C1332" s="103" t="s">
        <v>107</v>
      </c>
      <c r="D1332" s="103" t="s">
        <v>3487</v>
      </c>
      <c r="E1332" s="103" t="s">
        <v>2246</v>
      </c>
      <c r="F1332" s="103" t="s">
        <v>2151</v>
      </c>
      <c r="G1332" s="103">
        <v>100</v>
      </c>
      <c r="H1332" s="103" t="s">
        <v>2168</v>
      </c>
      <c r="I1332" s="103" t="s">
        <v>2153</v>
      </c>
      <c r="L1332" s="103">
        <v>75</v>
      </c>
      <c r="M1332" s="103">
        <v>25</v>
      </c>
      <c r="N1332" s="103" t="s">
        <v>2163</v>
      </c>
      <c r="O1332" s="103">
        <v>100</v>
      </c>
      <c r="P1332" s="103" t="s">
        <v>1617</v>
      </c>
      <c r="Q1332" s="103" t="s">
        <v>2155</v>
      </c>
      <c r="R1332" s="103" t="s">
        <v>2225</v>
      </c>
      <c r="S1332" s="103" t="s">
        <v>2157</v>
      </c>
      <c r="U1332" s="103">
        <v>100</v>
      </c>
      <c r="V1332" s="103" t="s">
        <v>2158</v>
      </c>
      <c r="W1332" s="103" t="s">
        <v>107</v>
      </c>
      <c r="X1332" s="103" t="s">
        <v>1597</v>
      </c>
      <c r="Y1332" s="103" t="s">
        <v>1685</v>
      </c>
      <c r="AA1332" s="103" t="s">
        <v>2225</v>
      </c>
      <c r="AB1332" s="103" t="s">
        <v>64</v>
      </c>
      <c r="AE1332" s="103" t="s">
        <v>1262</v>
      </c>
      <c r="AF1332" s="103" t="b">
        <v>1</v>
      </c>
    </row>
    <row r="1333" spans="1:32" hidden="1" x14ac:dyDescent="0.2">
      <c r="A1333" s="103" t="s">
        <v>1302</v>
      </c>
      <c r="B1333" s="103" t="s">
        <v>1301</v>
      </c>
      <c r="C1333" s="103" t="s">
        <v>107</v>
      </c>
      <c r="D1333" s="103" t="s">
        <v>3488</v>
      </c>
      <c r="E1333" s="103" t="s">
        <v>2246</v>
      </c>
      <c r="F1333" s="103" t="s">
        <v>2151</v>
      </c>
      <c r="G1333" s="103">
        <v>100</v>
      </c>
      <c r="H1333" s="103" t="s">
        <v>2168</v>
      </c>
      <c r="I1333" s="103" t="s">
        <v>2153</v>
      </c>
      <c r="K1333" s="103">
        <v>25</v>
      </c>
      <c r="L1333" s="103">
        <v>75</v>
      </c>
      <c r="N1333" s="103" t="s">
        <v>2163</v>
      </c>
      <c r="O1333" s="103">
        <v>100</v>
      </c>
      <c r="P1333" s="103" t="s">
        <v>1617</v>
      </c>
      <c r="Q1333" s="103" t="s">
        <v>2155</v>
      </c>
      <c r="R1333" s="103" t="s">
        <v>2225</v>
      </c>
      <c r="S1333" s="103" t="s">
        <v>2157</v>
      </c>
      <c r="U1333" s="103">
        <v>100</v>
      </c>
      <c r="V1333" s="103" t="s">
        <v>2158</v>
      </c>
      <c r="W1333" s="103" t="s">
        <v>107</v>
      </c>
      <c r="X1333" s="103" t="s">
        <v>1597</v>
      </c>
      <c r="Y1333" s="103" t="s">
        <v>1685</v>
      </c>
      <c r="AA1333" s="103" t="s">
        <v>2225</v>
      </c>
      <c r="AB1333" s="103" t="s">
        <v>64</v>
      </c>
      <c r="AE1333" s="103" t="s">
        <v>1262</v>
      </c>
      <c r="AF1333" s="103" t="b">
        <v>1</v>
      </c>
    </row>
    <row r="1334" spans="1:32" hidden="1" x14ac:dyDescent="0.2">
      <c r="A1334" s="103" t="s">
        <v>1302</v>
      </c>
      <c r="B1334" s="103" t="s">
        <v>1301</v>
      </c>
      <c r="C1334" s="103" t="s">
        <v>107</v>
      </c>
      <c r="D1334" s="103" t="s">
        <v>3489</v>
      </c>
      <c r="E1334" s="103" t="s">
        <v>2246</v>
      </c>
      <c r="F1334" s="103" t="s">
        <v>2162</v>
      </c>
      <c r="G1334" s="103">
        <v>50</v>
      </c>
      <c r="H1334" s="103" t="s">
        <v>2168</v>
      </c>
      <c r="I1334" s="103" t="s">
        <v>2153</v>
      </c>
      <c r="K1334" s="103">
        <v>25</v>
      </c>
      <c r="L1334" s="103">
        <v>25</v>
      </c>
      <c r="N1334" s="103" t="s">
        <v>2163</v>
      </c>
      <c r="O1334" s="103">
        <v>50</v>
      </c>
      <c r="P1334" s="103" t="s">
        <v>1617</v>
      </c>
      <c r="Q1334" s="103" t="s">
        <v>2155</v>
      </c>
      <c r="R1334" s="103" t="s">
        <v>2225</v>
      </c>
      <c r="S1334" s="103" t="s">
        <v>2157</v>
      </c>
      <c r="U1334" s="103">
        <v>50</v>
      </c>
      <c r="V1334" s="103" t="s">
        <v>2158</v>
      </c>
      <c r="W1334" s="103" t="s">
        <v>107</v>
      </c>
      <c r="X1334" s="103" t="s">
        <v>1597</v>
      </c>
      <c r="Y1334" s="103" t="s">
        <v>1685</v>
      </c>
      <c r="AA1334" s="103" t="s">
        <v>2225</v>
      </c>
      <c r="AB1334" s="103" t="s">
        <v>64</v>
      </c>
      <c r="AE1334" s="103" t="s">
        <v>1262</v>
      </c>
      <c r="AF1334" s="103" t="b">
        <v>1</v>
      </c>
    </row>
    <row r="1335" spans="1:32" hidden="1" x14ac:dyDescent="0.2">
      <c r="A1335" s="103" t="s">
        <v>1302</v>
      </c>
      <c r="B1335" s="103" t="s">
        <v>1301</v>
      </c>
      <c r="C1335" s="103" t="s">
        <v>107</v>
      </c>
      <c r="D1335" s="103" t="s">
        <v>3490</v>
      </c>
      <c r="E1335" s="103" t="s">
        <v>2246</v>
      </c>
      <c r="F1335" s="103" t="s">
        <v>2162</v>
      </c>
      <c r="G1335" s="103">
        <v>50</v>
      </c>
      <c r="H1335" s="103" t="s">
        <v>2168</v>
      </c>
      <c r="I1335" s="103" t="s">
        <v>2153</v>
      </c>
      <c r="K1335" s="103">
        <v>25</v>
      </c>
      <c r="L1335" s="103">
        <v>25</v>
      </c>
      <c r="N1335" s="103" t="s">
        <v>2163</v>
      </c>
      <c r="O1335" s="103">
        <v>50</v>
      </c>
      <c r="P1335" s="103" t="s">
        <v>1617</v>
      </c>
      <c r="Q1335" s="103" t="s">
        <v>2155</v>
      </c>
      <c r="R1335" s="103" t="s">
        <v>2225</v>
      </c>
      <c r="S1335" s="103" t="s">
        <v>2157</v>
      </c>
      <c r="U1335" s="103">
        <v>50</v>
      </c>
      <c r="V1335" s="103" t="s">
        <v>2158</v>
      </c>
      <c r="W1335" s="103" t="s">
        <v>107</v>
      </c>
      <c r="X1335" s="103" t="s">
        <v>1597</v>
      </c>
      <c r="Y1335" s="103" t="s">
        <v>1685</v>
      </c>
      <c r="AA1335" s="103" t="s">
        <v>2225</v>
      </c>
      <c r="AB1335" s="103" t="s">
        <v>64</v>
      </c>
      <c r="AE1335" s="103" t="s">
        <v>1262</v>
      </c>
      <c r="AF1335" s="103" t="b">
        <v>1</v>
      </c>
    </row>
    <row r="1336" spans="1:32" hidden="1" x14ac:dyDescent="0.2">
      <c r="A1336" s="103" t="s">
        <v>1302</v>
      </c>
      <c r="B1336" s="103" t="s">
        <v>1301</v>
      </c>
      <c r="C1336" s="103" t="s">
        <v>107</v>
      </c>
      <c r="D1336" s="103" t="s">
        <v>2428</v>
      </c>
      <c r="E1336" s="103" t="s">
        <v>2586</v>
      </c>
      <c r="G1336" s="103">
        <v>22.5</v>
      </c>
      <c r="H1336" s="103" t="s">
        <v>2152</v>
      </c>
      <c r="I1336" s="103" t="s">
        <v>2153</v>
      </c>
      <c r="K1336" s="103">
        <v>7</v>
      </c>
      <c r="L1336" s="103">
        <v>12.5</v>
      </c>
      <c r="M1336" s="103">
        <v>3</v>
      </c>
      <c r="N1336" s="103" t="s">
        <v>2163</v>
      </c>
      <c r="O1336" s="103">
        <v>22.5</v>
      </c>
      <c r="P1336" s="103" t="s">
        <v>1617</v>
      </c>
      <c r="Q1336" s="103" t="s">
        <v>2155</v>
      </c>
      <c r="R1336" s="103" t="s">
        <v>2164</v>
      </c>
      <c r="U1336" s="103">
        <v>13.5</v>
      </c>
      <c r="V1336" s="103" t="s">
        <v>2158</v>
      </c>
      <c r="W1336" s="103" t="s">
        <v>132</v>
      </c>
      <c r="X1336" s="103" t="s">
        <v>1597</v>
      </c>
      <c r="Y1336" s="103" t="s">
        <v>1685</v>
      </c>
      <c r="AA1336" s="103" t="s">
        <v>2164</v>
      </c>
      <c r="AB1336" s="103" t="s">
        <v>64</v>
      </c>
      <c r="AE1336" s="103" t="s">
        <v>1262</v>
      </c>
      <c r="AF1336" s="103" t="b">
        <v>1</v>
      </c>
    </row>
    <row r="1337" spans="1:32" hidden="1" x14ac:dyDescent="0.2">
      <c r="A1337" s="103" t="s">
        <v>1304</v>
      </c>
      <c r="B1337" s="103" t="s">
        <v>1303</v>
      </c>
      <c r="C1337" s="103" t="s">
        <v>107</v>
      </c>
      <c r="D1337" s="103" t="s">
        <v>3491</v>
      </c>
      <c r="E1337" s="103" t="s">
        <v>2246</v>
      </c>
      <c r="F1337" s="103" t="s">
        <v>2162</v>
      </c>
      <c r="G1337" s="103">
        <v>50</v>
      </c>
      <c r="H1337" s="103" t="s">
        <v>2168</v>
      </c>
      <c r="I1337" s="103" t="s">
        <v>2153</v>
      </c>
      <c r="L1337" s="103">
        <v>50</v>
      </c>
      <c r="N1337" s="103" t="s">
        <v>2163</v>
      </c>
      <c r="O1337" s="103">
        <v>50</v>
      </c>
      <c r="P1337" s="103" t="s">
        <v>1617</v>
      </c>
      <c r="Q1337" s="103" t="s">
        <v>2155</v>
      </c>
      <c r="R1337" s="103" t="s">
        <v>2225</v>
      </c>
      <c r="S1337" s="103" t="s">
        <v>2229</v>
      </c>
      <c r="U1337" s="103">
        <v>50</v>
      </c>
      <c r="V1337" s="103" t="s">
        <v>2158</v>
      </c>
      <c r="W1337" s="103" t="s">
        <v>107</v>
      </c>
      <c r="X1337" s="103" t="s">
        <v>1597</v>
      </c>
      <c r="Y1337" s="103" t="s">
        <v>1685</v>
      </c>
      <c r="AA1337" s="103" t="s">
        <v>2225</v>
      </c>
      <c r="AB1337" s="103" t="s">
        <v>64</v>
      </c>
      <c r="AE1337" s="103" t="s">
        <v>1262</v>
      </c>
      <c r="AF1337" s="103" t="b">
        <v>1</v>
      </c>
    </row>
    <row r="1338" spans="1:32" hidden="1" x14ac:dyDescent="0.2">
      <c r="A1338" s="103" t="s">
        <v>1304</v>
      </c>
      <c r="B1338" s="103" t="s">
        <v>1303</v>
      </c>
      <c r="C1338" s="103" t="s">
        <v>107</v>
      </c>
      <c r="D1338" s="103" t="s">
        <v>2428</v>
      </c>
      <c r="E1338" s="103" t="s">
        <v>2586</v>
      </c>
      <c r="G1338" s="103">
        <v>5</v>
      </c>
      <c r="H1338" s="103" t="s">
        <v>2152</v>
      </c>
      <c r="I1338" s="103" t="s">
        <v>2153</v>
      </c>
      <c r="L1338" s="103">
        <v>5</v>
      </c>
      <c r="N1338" s="103" t="s">
        <v>2163</v>
      </c>
      <c r="O1338" s="103">
        <v>5</v>
      </c>
      <c r="P1338" s="103" t="s">
        <v>1617</v>
      </c>
      <c r="Q1338" s="103" t="s">
        <v>2155</v>
      </c>
      <c r="R1338" s="103" t="s">
        <v>2164</v>
      </c>
      <c r="U1338" s="103">
        <v>3</v>
      </c>
      <c r="V1338" s="103" t="s">
        <v>2158</v>
      </c>
      <c r="W1338" s="103" t="s">
        <v>132</v>
      </c>
      <c r="X1338" s="103" t="s">
        <v>1597</v>
      </c>
      <c r="Y1338" s="103" t="s">
        <v>1685</v>
      </c>
      <c r="AA1338" s="103" t="s">
        <v>2164</v>
      </c>
      <c r="AB1338" s="103" t="s">
        <v>64</v>
      </c>
      <c r="AE1338" s="103" t="s">
        <v>1262</v>
      </c>
      <c r="AF1338" s="103" t="b">
        <v>1</v>
      </c>
    </row>
    <row r="1339" spans="1:32" hidden="1" x14ac:dyDescent="0.2">
      <c r="A1339" s="103" t="s">
        <v>1310</v>
      </c>
      <c r="B1339" s="103" t="s">
        <v>1309</v>
      </c>
      <c r="C1339" s="103" t="s">
        <v>107</v>
      </c>
      <c r="D1339" s="103" t="s">
        <v>3492</v>
      </c>
      <c r="E1339" s="103" t="s">
        <v>2246</v>
      </c>
      <c r="F1339" s="103" t="s">
        <v>2175</v>
      </c>
      <c r="G1339" s="103">
        <v>20</v>
      </c>
      <c r="H1339" s="103" t="s">
        <v>2168</v>
      </c>
      <c r="I1339" s="103" t="s">
        <v>2153</v>
      </c>
      <c r="J1339" s="103">
        <v>20</v>
      </c>
      <c r="N1339" s="103" t="s">
        <v>2163</v>
      </c>
      <c r="O1339" s="103">
        <v>20</v>
      </c>
      <c r="P1339" s="103" t="s">
        <v>1617</v>
      </c>
      <c r="Q1339" s="103" t="s">
        <v>2155</v>
      </c>
      <c r="R1339" s="103" t="s">
        <v>2225</v>
      </c>
      <c r="S1339" s="103" t="s">
        <v>2229</v>
      </c>
      <c r="U1339" s="103">
        <v>20</v>
      </c>
      <c r="V1339" s="103" t="s">
        <v>2158</v>
      </c>
      <c r="W1339" s="103" t="s">
        <v>107</v>
      </c>
      <c r="X1339" s="103" t="s">
        <v>1597</v>
      </c>
      <c r="Y1339" s="103" t="s">
        <v>1685</v>
      </c>
      <c r="AA1339" s="103" t="s">
        <v>2225</v>
      </c>
      <c r="AB1339" s="103" t="s">
        <v>64</v>
      </c>
      <c r="AE1339" s="103" t="s">
        <v>1262</v>
      </c>
      <c r="AF1339" s="103" t="b">
        <v>1</v>
      </c>
    </row>
    <row r="1340" spans="1:32" hidden="1" x14ac:dyDescent="0.2">
      <c r="A1340" s="103" t="s">
        <v>1310</v>
      </c>
      <c r="B1340" s="103" t="s">
        <v>1309</v>
      </c>
      <c r="C1340" s="103" t="s">
        <v>107</v>
      </c>
      <c r="D1340" s="103" t="s">
        <v>2428</v>
      </c>
      <c r="E1340" s="103" t="s">
        <v>2586</v>
      </c>
      <c r="G1340" s="103">
        <v>5</v>
      </c>
      <c r="H1340" s="103" t="s">
        <v>2152</v>
      </c>
      <c r="I1340" s="103" t="s">
        <v>2153</v>
      </c>
      <c r="J1340" s="103">
        <v>5</v>
      </c>
      <c r="N1340" s="103" t="s">
        <v>2163</v>
      </c>
      <c r="O1340" s="103">
        <v>5</v>
      </c>
      <c r="P1340" s="103" t="s">
        <v>1617</v>
      </c>
      <c r="Q1340" s="103" t="s">
        <v>2155</v>
      </c>
      <c r="R1340" s="103" t="s">
        <v>2164</v>
      </c>
      <c r="U1340" s="103">
        <v>3</v>
      </c>
      <c r="V1340" s="103" t="s">
        <v>2158</v>
      </c>
      <c r="W1340" s="103" t="s">
        <v>132</v>
      </c>
      <c r="X1340" s="103" t="s">
        <v>1597</v>
      </c>
      <c r="Y1340" s="103" t="s">
        <v>1685</v>
      </c>
      <c r="AA1340" s="103" t="s">
        <v>2164</v>
      </c>
      <c r="AB1340" s="103" t="s">
        <v>64</v>
      </c>
      <c r="AE1340" s="103" t="s">
        <v>1262</v>
      </c>
      <c r="AF1340" s="103" t="b">
        <v>1</v>
      </c>
    </row>
    <row r="1341" spans="1:32" hidden="1" x14ac:dyDescent="0.2">
      <c r="A1341" s="103" t="s">
        <v>1316</v>
      </c>
      <c r="B1341" s="103" t="s">
        <v>1315</v>
      </c>
      <c r="C1341" s="103" t="s">
        <v>2560</v>
      </c>
      <c r="D1341" s="103" t="s">
        <v>3493</v>
      </c>
      <c r="E1341" s="103" t="s">
        <v>2562</v>
      </c>
      <c r="F1341" s="103" t="s">
        <v>2151</v>
      </c>
      <c r="G1341" s="103">
        <v>150</v>
      </c>
      <c r="H1341" s="103" t="s">
        <v>2168</v>
      </c>
      <c r="I1341" s="103" t="s">
        <v>2153</v>
      </c>
      <c r="J1341" s="103">
        <v>0</v>
      </c>
      <c r="K1341" s="103">
        <v>150</v>
      </c>
      <c r="L1341" s="103">
        <v>0</v>
      </c>
      <c r="M1341" s="103">
        <v>0</v>
      </c>
      <c r="N1341" s="103" t="s">
        <v>2163</v>
      </c>
      <c r="O1341" s="103">
        <v>150</v>
      </c>
      <c r="P1341" s="103" t="s">
        <v>1617</v>
      </c>
      <c r="Q1341" s="103" t="s">
        <v>1393</v>
      </c>
      <c r="R1341" s="103" t="s">
        <v>2225</v>
      </c>
      <c r="S1341" s="103" t="s">
        <v>2238</v>
      </c>
      <c r="U1341" s="103">
        <v>72.45</v>
      </c>
      <c r="V1341" s="103" t="s">
        <v>2158</v>
      </c>
      <c r="W1341" s="103" t="s">
        <v>106</v>
      </c>
      <c r="X1341" s="103" t="s">
        <v>345</v>
      </c>
      <c r="Y1341" s="103" t="s">
        <v>2240</v>
      </c>
      <c r="AA1341" s="103" t="s">
        <v>2225</v>
      </c>
      <c r="AB1341" s="103" t="s">
        <v>64</v>
      </c>
      <c r="AE1341" s="103" t="s">
        <v>750</v>
      </c>
      <c r="AF1341" s="103" t="b">
        <v>1</v>
      </c>
    </row>
    <row r="1342" spans="1:32" hidden="1" x14ac:dyDescent="0.2">
      <c r="A1342" s="103" t="s">
        <v>1316</v>
      </c>
      <c r="B1342" s="103" t="s">
        <v>1315</v>
      </c>
      <c r="C1342" s="103" t="s">
        <v>2560</v>
      </c>
      <c r="D1342" s="103" t="s">
        <v>3494</v>
      </c>
      <c r="E1342" s="103" t="s">
        <v>2562</v>
      </c>
      <c r="F1342" s="103" t="s">
        <v>2151</v>
      </c>
      <c r="G1342" s="103">
        <v>120</v>
      </c>
      <c r="H1342" s="103" t="s">
        <v>2168</v>
      </c>
      <c r="I1342" s="103" t="s">
        <v>2153</v>
      </c>
      <c r="J1342" s="103">
        <v>120</v>
      </c>
      <c r="K1342" s="103">
        <v>0</v>
      </c>
      <c r="L1342" s="103">
        <v>0</v>
      </c>
      <c r="M1342" s="103">
        <v>0</v>
      </c>
      <c r="N1342" s="103" t="s">
        <v>2163</v>
      </c>
      <c r="O1342" s="103">
        <v>120</v>
      </c>
      <c r="P1342" s="103" t="s">
        <v>1617</v>
      </c>
      <c r="Q1342" s="103" t="s">
        <v>1393</v>
      </c>
      <c r="R1342" s="103" t="s">
        <v>2225</v>
      </c>
      <c r="S1342" s="103" t="s">
        <v>2238</v>
      </c>
      <c r="U1342" s="103">
        <v>57.96</v>
      </c>
      <c r="V1342" s="103" t="s">
        <v>2158</v>
      </c>
      <c r="W1342" s="103" t="s">
        <v>106</v>
      </c>
      <c r="X1342" s="103" t="s">
        <v>345</v>
      </c>
      <c r="Y1342" s="103" t="s">
        <v>2240</v>
      </c>
      <c r="AA1342" s="103" t="s">
        <v>2225</v>
      </c>
      <c r="AB1342" s="103" t="s">
        <v>64</v>
      </c>
      <c r="AE1342" s="103" t="s">
        <v>750</v>
      </c>
      <c r="AF1342" s="103" t="b">
        <v>1</v>
      </c>
    </row>
    <row r="1343" spans="1:32" hidden="1" x14ac:dyDescent="0.2">
      <c r="A1343" s="103" t="s">
        <v>1316</v>
      </c>
      <c r="B1343" s="103" t="s">
        <v>1315</v>
      </c>
      <c r="C1343" s="103" t="s">
        <v>2560</v>
      </c>
      <c r="D1343" s="103" t="s">
        <v>2428</v>
      </c>
      <c r="E1343" s="103" t="s">
        <v>2586</v>
      </c>
      <c r="G1343" s="103">
        <v>27</v>
      </c>
      <c r="H1343" s="103" t="s">
        <v>2152</v>
      </c>
      <c r="I1343" s="103" t="s">
        <v>2153</v>
      </c>
      <c r="J1343" s="103">
        <v>14</v>
      </c>
      <c r="K1343" s="103">
        <v>13</v>
      </c>
      <c r="N1343" s="103" t="s">
        <v>2163</v>
      </c>
      <c r="O1343" s="103">
        <v>27</v>
      </c>
      <c r="P1343" s="103" t="s">
        <v>1617</v>
      </c>
      <c r="Q1343" s="103" t="s">
        <v>1393</v>
      </c>
      <c r="R1343" s="103" t="s">
        <v>2164</v>
      </c>
      <c r="U1343" s="103">
        <v>16.2</v>
      </c>
      <c r="V1343" s="103" t="s">
        <v>2158</v>
      </c>
      <c r="W1343" s="103" t="s">
        <v>132</v>
      </c>
      <c r="X1343" s="103" t="s">
        <v>345</v>
      </c>
      <c r="Y1343" s="103" t="s">
        <v>2240</v>
      </c>
      <c r="AA1343" s="103" t="s">
        <v>2164</v>
      </c>
      <c r="AB1343" s="103" t="s">
        <v>64</v>
      </c>
      <c r="AE1343" s="103" t="s">
        <v>750</v>
      </c>
      <c r="AF1343" s="103" t="b">
        <v>1</v>
      </c>
    </row>
    <row r="1344" spans="1:32" hidden="1" x14ac:dyDescent="0.2">
      <c r="A1344" s="103" t="s">
        <v>1322</v>
      </c>
      <c r="B1344" s="103" t="s">
        <v>1321</v>
      </c>
      <c r="C1344" s="103" t="s">
        <v>107</v>
      </c>
      <c r="D1344" s="103" t="s">
        <v>3495</v>
      </c>
      <c r="E1344" s="103" t="s">
        <v>2246</v>
      </c>
      <c r="F1344" s="103" t="s">
        <v>2202</v>
      </c>
      <c r="G1344" s="103">
        <v>150</v>
      </c>
      <c r="H1344" s="103" t="s">
        <v>2168</v>
      </c>
      <c r="I1344" s="103" t="s">
        <v>2153</v>
      </c>
      <c r="M1344" s="103">
        <v>150</v>
      </c>
      <c r="N1344" s="103" t="s">
        <v>2154</v>
      </c>
      <c r="O1344" s="103">
        <v>150</v>
      </c>
      <c r="P1344" s="103" t="s">
        <v>1617</v>
      </c>
      <c r="Q1344" s="103" t="s">
        <v>2155</v>
      </c>
      <c r="R1344" s="103" t="s">
        <v>2225</v>
      </c>
      <c r="S1344" s="103" t="s">
        <v>2229</v>
      </c>
      <c r="T1344" s="103" t="s">
        <v>2588</v>
      </c>
      <c r="U1344" s="103">
        <v>150</v>
      </c>
      <c r="V1344" s="103" t="s">
        <v>2158</v>
      </c>
      <c r="W1344" s="103" t="s">
        <v>107</v>
      </c>
      <c r="X1344" s="103" t="s">
        <v>1597</v>
      </c>
      <c r="Y1344" s="103" t="s">
        <v>1685</v>
      </c>
      <c r="AA1344" s="103" t="s">
        <v>2225</v>
      </c>
      <c r="AB1344" s="103" t="s">
        <v>64</v>
      </c>
      <c r="AE1344" s="103" t="s">
        <v>1262</v>
      </c>
      <c r="AF1344" s="103" t="b">
        <v>1</v>
      </c>
    </row>
    <row r="1345" spans="1:32" hidden="1" x14ac:dyDescent="0.2">
      <c r="A1345" s="103" t="s">
        <v>1322</v>
      </c>
      <c r="B1345" s="103" t="s">
        <v>1321</v>
      </c>
      <c r="C1345" s="103" t="s">
        <v>107</v>
      </c>
      <c r="D1345" s="103" t="s">
        <v>2428</v>
      </c>
      <c r="E1345" s="103" t="s">
        <v>2586</v>
      </c>
      <c r="G1345" s="103">
        <v>11.25</v>
      </c>
      <c r="H1345" s="103" t="s">
        <v>2152</v>
      </c>
      <c r="I1345" s="103" t="s">
        <v>2153</v>
      </c>
      <c r="M1345" s="103">
        <v>11.25</v>
      </c>
      <c r="N1345" s="103" t="s">
        <v>2163</v>
      </c>
      <c r="O1345" s="103">
        <v>11.25</v>
      </c>
      <c r="P1345" s="103" t="s">
        <v>1617</v>
      </c>
      <c r="Q1345" s="103" t="s">
        <v>2155</v>
      </c>
      <c r="R1345" s="103" t="s">
        <v>2164</v>
      </c>
      <c r="U1345" s="103">
        <v>6.75</v>
      </c>
      <c r="V1345" s="103" t="s">
        <v>2158</v>
      </c>
      <c r="W1345" s="103" t="s">
        <v>132</v>
      </c>
      <c r="X1345" s="103" t="s">
        <v>1597</v>
      </c>
      <c r="Y1345" s="103" t="s">
        <v>1685</v>
      </c>
      <c r="AA1345" s="103" t="s">
        <v>2164</v>
      </c>
      <c r="AB1345" s="103" t="s">
        <v>64</v>
      </c>
      <c r="AE1345" s="103" t="s">
        <v>1262</v>
      </c>
      <c r="AF1345" s="103" t="b">
        <v>1</v>
      </c>
    </row>
    <row r="1346" spans="1:32" hidden="1" x14ac:dyDescent="0.2">
      <c r="A1346" s="103" t="s">
        <v>1324</v>
      </c>
      <c r="B1346" s="103" t="s">
        <v>1323</v>
      </c>
      <c r="C1346" s="103" t="s">
        <v>107</v>
      </c>
      <c r="D1346" s="103" t="s">
        <v>3496</v>
      </c>
      <c r="E1346" s="103" t="s">
        <v>2246</v>
      </c>
      <c r="F1346" s="103" t="s">
        <v>2162</v>
      </c>
      <c r="G1346" s="103">
        <v>50</v>
      </c>
      <c r="H1346" s="103" t="s">
        <v>2168</v>
      </c>
      <c r="I1346" s="103" t="s">
        <v>2153</v>
      </c>
      <c r="K1346" s="103">
        <v>50</v>
      </c>
      <c r="N1346" s="103" t="s">
        <v>2163</v>
      </c>
      <c r="O1346" s="103">
        <v>50</v>
      </c>
      <c r="P1346" s="103" t="s">
        <v>1617</v>
      </c>
      <c r="Q1346" s="103" t="s">
        <v>2155</v>
      </c>
      <c r="R1346" s="103" t="s">
        <v>2225</v>
      </c>
      <c r="S1346" s="103" t="s">
        <v>2229</v>
      </c>
      <c r="U1346" s="103">
        <v>50</v>
      </c>
      <c r="V1346" s="103" t="s">
        <v>2158</v>
      </c>
      <c r="W1346" s="103" t="s">
        <v>107</v>
      </c>
      <c r="X1346" s="103" t="s">
        <v>1597</v>
      </c>
      <c r="Y1346" s="103" t="s">
        <v>1685</v>
      </c>
      <c r="AA1346" s="103" t="s">
        <v>2225</v>
      </c>
      <c r="AB1346" s="103" t="s">
        <v>64</v>
      </c>
      <c r="AE1346" s="103" t="s">
        <v>1262</v>
      </c>
      <c r="AF1346" s="103" t="b">
        <v>1</v>
      </c>
    </row>
    <row r="1347" spans="1:32" hidden="1" x14ac:dyDescent="0.2">
      <c r="A1347" s="103" t="s">
        <v>1324</v>
      </c>
      <c r="B1347" s="103" t="s">
        <v>1323</v>
      </c>
      <c r="C1347" s="103" t="s">
        <v>107</v>
      </c>
      <c r="D1347" s="103" t="s">
        <v>2428</v>
      </c>
      <c r="E1347" s="103" t="s">
        <v>2586</v>
      </c>
      <c r="G1347" s="103">
        <v>5</v>
      </c>
      <c r="H1347" s="103" t="s">
        <v>2152</v>
      </c>
      <c r="I1347" s="103" t="s">
        <v>2153</v>
      </c>
      <c r="K1347" s="103">
        <v>5</v>
      </c>
      <c r="N1347" s="103" t="s">
        <v>2163</v>
      </c>
      <c r="O1347" s="103">
        <v>5</v>
      </c>
      <c r="P1347" s="103" t="s">
        <v>1617</v>
      </c>
      <c r="Q1347" s="103" t="s">
        <v>2155</v>
      </c>
      <c r="R1347" s="103" t="s">
        <v>2164</v>
      </c>
      <c r="U1347" s="103">
        <v>3</v>
      </c>
      <c r="V1347" s="103" t="s">
        <v>2158</v>
      </c>
      <c r="W1347" s="103" t="s">
        <v>132</v>
      </c>
      <c r="X1347" s="103" t="s">
        <v>1597</v>
      </c>
      <c r="Y1347" s="103" t="s">
        <v>1685</v>
      </c>
      <c r="AA1347" s="103" t="s">
        <v>2164</v>
      </c>
      <c r="AB1347" s="103" t="s">
        <v>64</v>
      </c>
      <c r="AE1347" s="103" t="s">
        <v>1262</v>
      </c>
      <c r="AF1347" s="103" t="b">
        <v>1</v>
      </c>
    </row>
    <row r="1348" spans="1:32" hidden="1" x14ac:dyDescent="0.2">
      <c r="A1348" s="103" t="s">
        <v>1529</v>
      </c>
      <c r="B1348" s="103" t="s">
        <v>1528</v>
      </c>
      <c r="C1348" s="103" t="s">
        <v>3497</v>
      </c>
      <c r="D1348" s="103" t="s">
        <v>3498</v>
      </c>
      <c r="E1348" s="103" t="s">
        <v>2195</v>
      </c>
      <c r="F1348" s="103" t="s">
        <v>2162</v>
      </c>
      <c r="G1348" s="103">
        <v>0</v>
      </c>
      <c r="H1348" s="103" t="s">
        <v>2168</v>
      </c>
      <c r="I1348" s="103" t="s">
        <v>2153</v>
      </c>
      <c r="J1348" s="103">
        <v>0</v>
      </c>
      <c r="K1348" s="103">
        <v>0</v>
      </c>
      <c r="N1348" s="103" t="s">
        <v>2163</v>
      </c>
      <c r="O1348" s="103">
        <v>0</v>
      </c>
      <c r="P1348" s="103" t="s">
        <v>1059</v>
      </c>
      <c r="Q1348" s="103" t="s">
        <v>2155</v>
      </c>
      <c r="R1348" s="103" t="s">
        <v>2156</v>
      </c>
      <c r="S1348" s="103" t="s">
        <v>2192</v>
      </c>
      <c r="U1348" s="103">
        <v>0</v>
      </c>
      <c r="V1348" s="103" t="s">
        <v>2158</v>
      </c>
      <c r="W1348" s="103" t="s">
        <v>114</v>
      </c>
      <c r="X1348" s="103" t="s">
        <v>1597</v>
      </c>
      <c r="Y1348" s="103" t="s">
        <v>1685</v>
      </c>
      <c r="AA1348" s="103" t="s">
        <v>2156</v>
      </c>
      <c r="AB1348" s="103" t="s">
        <v>68</v>
      </c>
      <c r="AC1348" s="103" t="s">
        <v>2159</v>
      </c>
      <c r="AD1348" s="103" t="s">
        <v>2397</v>
      </c>
      <c r="AE1348" s="103" t="s">
        <v>766</v>
      </c>
      <c r="AF1348" s="103" t="b">
        <v>1</v>
      </c>
    </row>
    <row r="1349" spans="1:32" hidden="1" x14ac:dyDescent="0.2">
      <c r="A1349" s="103" t="s">
        <v>1529</v>
      </c>
      <c r="B1349" s="103" t="s">
        <v>1528</v>
      </c>
      <c r="C1349" s="103" t="s">
        <v>3497</v>
      </c>
      <c r="E1349" s="103" t="s">
        <v>2174</v>
      </c>
      <c r="F1349" s="103" t="s">
        <v>2202</v>
      </c>
      <c r="G1349" s="103">
        <v>700</v>
      </c>
      <c r="H1349" s="103" t="s">
        <v>2168</v>
      </c>
      <c r="I1349" s="103" t="s">
        <v>2153</v>
      </c>
      <c r="J1349" s="103">
        <v>300</v>
      </c>
      <c r="K1349" s="103">
        <v>400</v>
      </c>
      <c r="N1349" s="103" t="s">
        <v>2163</v>
      </c>
      <c r="O1349" s="103">
        <v>700</v>
      </c>
      <c r="P1349" s="103" t="s">
        <v>1059</v>
      </c>
      <c r="Q1349" s="103" t="s">
        <v>2155</v>
      </c>
      <c r="R1349" s="103" t="s">
        <v>2156</v>
      </c>
      <c r="S1349" s="103" t="s">
        <v>2192</v>
      </c>
      <c r="U1349" s="103">
        <v>359.1</v>
      </c>
      <c r="V1349" s="103" t="s">
        <v>2158</v>
      </c>
      <c r="W1349" s="103" t="s">
        <v>114</v>
      </c>
      <c r="X1349" s="103" t="s">
        <v>1597</v>
      </c>
      <c r="Y1349" s="103" t="s">
        <v>1685</v>
      </c>
      <c r="AA1349" s="103" t="s">
        <v>2156</v>
      </c>
      <c r="AB1349" s="103" t="s">
        <v>68</v>
      </c>
      <c r="AC1349" s="103" t="s">
        <v>2159</v>
      </c>
      <c r="AD1349" s="103" t="s">
        <v>2397</v>
      </c>
      <c r="AE1349" s="103" t="s">
        <v>766</v>
      </c>
      <c r="AF1349" s="103" t="b">
        <v>1</v>
      </c>
    </row>
    <row r="1350" spans="1:32" hidden="1" x14ac:dyDescent="0.2">
      <c r="A1350" s="103" t="s">
        <v>1529</v>
      </c>
      <c r="B1350" s="103" t="s">
        <v>1528</v>
      </c>
      <c r="C1350" s="103" t="s">
        <v>3497</v>
      </c>
      <c r="E1350" s="103" t="s">
        <v>2195</v>
      </c>
      <c r="F1350" s="103" t="s">
        <v>2151</v>
      </c>
      <c r="G1350" s="103">
        <v>300</v>
      </c>
      <c r="H1350" s="103" t="s">
        <v>2168</v>
      </c>
      <c r="I1350" s="103" t="s">
        <v>2153</v>
      </c>
      <c r="J1350" s="103">
        <v>150</v>
      </c>
      <c r="K1350" s="103">
        <v>150</v>
      </c>
      <c r="N1350" s="103" t="s">
        <v>2163</v>
      </c>
      <c r="O1350" s="103">
        <v>300</v>
      </c>
      <c r="P1350" s="103" t="s">
        <v>1059</v>
      </c>
      <c r="Q1350" s="103" t="s">
        <v>2155</v>
      </c>
      <c r="R1350" s="103" t="s">
        <v>2156</v>
      </c>
      <c r="S1350" s="103" t="s">
        <v>2192</v>
      </c>
      <c r="U1350" s="103">
        <v>153.9</v>
      </c>
      <c r="V1350" s="103" t="s">
        <v>2158</v>
      </c>
      <c r="W1350" s="103" t="s">
        <v>114</v>
      </c>
      <c r="X1350" s="103" t="s">
        <v>1597</v>
      </c>
      <c r="Y1350" s="103" t="s">
        <v>1685</v>
      </c>
      <c r="AA1350" s="103" t="s">
        <v>2156</v>
      </c>
      <c r="AB1350" s="103" t="s">
        <v>68</v>
      </c>
      <c r="AC1350" s="103" t="s">
        <v>2159</v>
      </c>
      <c r="AD1350" s="103" t="s">
        <v>2397</v>
      </c>
      <c r="AE1350" s="103" t="s">
        <v>766</v>
      </c>
      <c r="AF1350" s="103" t="b">
        <v>1</v>
      </c>
    </row>
    <row r="1351" spans="1:32" hidden="1" x14ac:dyDescent="0.2">
      <c r="A1351" s="103" t="s">
        <v>1529</v>
      </c>
      <c r="B1351" s="103" t="s">
        <v>1528</v>
      </c>
      <c r="C1351" s="103" t="s">
        <v>3497</v>
      </c>
      <c r="E1351" s="103" t="s">
        <v>2167</v>
      </c>
      <c r="F1351" s="103" t="s">
        <v>2175</v>
      </c>
      <c r="G1351" s="103">
        <v>70</v>
      </c>
      <c r="H1351" s="103" t="s">
        <v>2168</v>
      </c>
      <c r="I1351" s="103" t="s">
        <v>2153</v>
      </c>
      <c r="K1351" s="103">
        <v>70</v>
      </c>
      <c r="N1351" s="103" t="s">
        <v>2163</v>
      </c>
      <c r="O1351" s="103">
        <v>70</v>
      </c>
      <c r="P1351" s="103" t="s">
        <v>1059</v>
      </c>
      <c r="Q1351" s="103" t="s">
        <v>2155</v>
      </c>
      <c r="R1351" s="103" t="s">
        <v>2156</v>
      </c>
      <c r="S1351" s="103" t="s">
        <v>2192</v>
      </c>
      <c r="U1351" s="103">
        <v>35.909999999999997</v>
      </c>
      <c r="V1351" s="103" t="s">
        <v>2158</v>
      </c>
      <c r="W1351" s="103" t="s">
        <v>114</v>
      </c>
      <c r="X1351" s="103" t="s">
        <v>1597</v>
      </c>
      <c r="Y1351" s="103" t="s">
        <v>1685</v>
      </c>
      <c r="AA1351" s="103" t="s">
        <v>2156</v>
      </c>
      <c r="AB1351" s="103" t="s">
        <v>68</v>
      </c>
      <c r="AC1351" s="103" t="s">
        <v>2159</v>
      </c>
      <c r="AD1351" s="103" t="s">
        <v>2397</v>
      </c>
      <c r="AE1351" s="103" t="s">
        <v>766</v>
      </c>
      <c r="AF1351" s="103" t="b">
        <v>1</v>
      </c>
    </row>
    <row r="1352" spans="1:32" hidden="1" x14ac:dyDescent="0.2">
      <c r="A1352" s="103" t="s">
        <v>1529</v>
      </c>
      <c r="B1352" s="103" t="s">
        <v>1528</v>
      </c>
      <c r="C1352" s="103" t="s">
        <v>3497</v>
      </c>
      <c r="E1352" s="103" t="s">
        <v>2196</v>
      </c>
      <c r="F1352" s="103" t="s">
        <v>2175</v>
      </c>
      <c r="G1352" s="103">
        <v>250</v>
      </c>
      <c r="H1352" s="103" t="s">
        <v>2168</v>
      </c>
      <c r="I1352" s="103" t="s">
        <v>2153</v>
      </c>
      <c r="J1352" s="103">
        <v>125</v>
      </c>
      <c r="K1352" s="103">
        <v>125</v>
      </c>
      <c r="N1352" s="103" t="s">
        <v>2163</v>
      </c>
      <c r="O1352" s="103">
        <v>250</v>
      </c>
      <c r="P1352" s="103" t="s">
        <v>1059</v>
      </c>
      <c r="Q1352" s="103" t="s">
        <v>2155</v>
      </c>
      <c r="R1352" s="103" t="s">
        <v>121</v>
      </c>
      <c r="S1352" s="103" t="s">
        <v>2192</v>
      </c>
      <c r="U1352" s="103">
        <v>128.25</v>
      </c>
      <c r="V1352" s="103" t="s">
        <v>2158</v>
      </c>
      <c r="W1352" s="103" t="s">
        <v>121</v>
      </c>
      <c r="X1352" s="103" t="s">
        <v>1597</v>
      </c>
      <c r="Y1352" s="103" t="s">
        <v>1685</v>
      </c>
      <c r="AA1352" s="103" t="s">
        <v>121</v>
      </c>
      <c r="AB1352" s="103" t="s">
        <v>68</v>
      </c>
      <c r="AC1352" s="103" t="s">
        <v>2197</v>
      </c>
      <c r="AD1352" s="103" t="s">
        <v>2397</v>
      </c>
      <c r="AE1352" s="103" t="s">
        <v>766</v>
      </c>
      <c r="AF1352" s="103" t="b">
        <v>1</v>
      </c>
    </row>
    <row r="1353" spans="1:32" hidden="1" x14ac:dyDescent="0.2">
      <c r="A1353" s="103" t="s">
        <v>1529</v>
      </c>
      <c r="B1353" s="103" t="s">
        <v>1528</v>
      </c>
      <c r="C1353" s="103" t="s">
        <v>3497</v>
      </c>
      <c r="E1353" s="103" t="s">
        <v>2191</v>
      </c>
      <c r="F1353" s="103" t="s">
        <v>2151</v>
      </c>
      <c r="G1353" s="103">
        <v>100</v>
      </c>
      <c r="H1353" s="103" t="s">
        <v>2168</v>
      </c>
      <c r="I1353" s="103" t="s">
        <v>2153</v>
      </c>
      <c r="J1353" s="103">
        <v>50</v>
      </c>
      <c r="K1353" s="103">
        <v>50</v>
      </c>
      <c r="N1353" s="103" t="s">
        <v>2163</v>
      </c>
      <c r="O1353" s="103">
        <v>100</v>
      </c>
      <c r="P1353" s="103" t="s">
        <v>771</v>
      </c>
      <c r="Q1353" s="103" t="s">
        <v>2155</v>
      </c>
      <c r="R1353" s="103" t="s">
        <v>2164</v>
      </c>
      <c r="S1353" s="103" t="s">
        <v>2192</v>
      </c>
      <c r="U1353" s="103">
        <v>60</v>
      </c>
      <c r="V1353" s="103" t="s">
        <v>2158</v>
      </c>
      <c r="W1353" s="103" t="s">
        <v>132</v>
      </c>
      <c r="X1353" s="103" t="s">
        <v>1597</v>
      </c>
      <c r="Y1353" s="103" t="s">
        <v>1685</v>
      </c>
      <c r="AA1353" s="103" t="s">
        <v>2164</v>
      </c>
      <c r="AB1353" s="103" t="s">
        <v>68</v>
      </c>
      <c r="AC1353" s="103" t="s">
        <v>2193</v>
      </c>
      <c r="AD1353" s="103" t="s">
        <v>2203</v>
      </c>
      <c r="AE1353" s="103" t="s">
        <v>766</v>
      </c>
      <c r="AF1353" s="103" t="b">
        <v>1</v>
      </c>
    </row>
    <row r="1354" spans="1:32" hidden="1" x14ac:dyDescent="0.2">
      <c r="A1354" s="103" t="s">
        <v>1529</v>
      </c>
      <c r="B1354" s="103" t="s">
        <v>1528</v>
      </c>
      <c r="C1354" s="103" t="s">
        <v>3497</v>
      </c>
      <c r="D1354" s="103" t="s">
        <v>2200</v>
      </c>
      <c r="E1354" s="103" t="s">
        <v>2201</v>
      </c>
      <c r="F1354" s="103" t="s">
        <v>2226</v>
      </c>
      <c r="G1354" s="103">
        <v>1200</v>
      </c>
      <c r="H1354" s="103" t="s">
        <v>2152</v>
      </c>
      <c r="I1354" s="103" t="s">
        <v>2153</v>
      </c>
      <c r="K1354" s="103">
        <v>240</v>
      </c>
      <c r="L1354" s="103">
        <v>480</v>
      </c>
      <c r="M1354" s="103">
        <v>480</v>
      </c>
      <c r="N1354" s="103" t="s">
        <v>2163</v>
      </c>
      <c r="O1354" s="103">
        <v>1200</v>
      </c>
      <c r="P1354" s="103" t="s">
        <v>771</v>
      </c>
      <c r="Q1354" s="103" t="s">
        <v>2155</v>
      </c>
      <c r="R1354" s="103" t="s">
        <v>2164</v>
      </c>
      <c r="S1354" s="103" t="s">
        <v>2192</v>
      </c>
      <c r="U1354" s="103">
        <v>720</v>
      </c>
      <c r="V1354" s="103" t="s">
        <v>2158</v>
      </c>
      <c r="W1354" s="103" t="s">
        <v>132</v>
      </c>
      <c r="X1354" s="103" t="s">
        <v>1597</v>
      </c>
      <c r="Y1354" s="103" t="s">
        <v>1685</v>
      </c>
      <c r="AA1354" s="103" t="s">
        <v>2164</v>
      </c>
      <c r="AB1354" s="103" t="s">
        <v>68</v>
      </c>
      <c r="AC1354" s="103" t="s">
        <v>2193</v>
      </c>
      <c r="AD1354" s="103" t="s">
        <v>2203</v>
      </c>
      <c r="AE1354" s="103" t="s">
        <v>766</v>
      </c>
      <c r="AF1354" s="103" t="b">
        <v>1</v>
      </c>
    </row>
    <row r="1355" spans="1:32" hidden="1" x14ac:dyDescent="0.2">
      <c r="A1355" s="103" t="s">
        <v>1529</v>
      </c>
      <c r="B1355" s="103" t="s">
        <v>1528</v>
      </c>
      <c r="C1355" s="103" t="s">
        <v>3497</v>
      </c>
      <c r="E1355" s="103" t="s">
        <v>2204</v>
      </c>
      <c r="F1355" s="103" t="s">
        <v>2151</v>
      </c>
      <c r="G1355" s="103">
        <v>100</v>
      </c>
      <c r="H1355" s="103" t="s">
        <v>2168</v>
      </c>
      <c r="I1355" s="103" t="s">
        <v>2153</v>
      </c>
      <c r="J1355" s="103">
        <v>30</v>
      </c>
      <c r="K1355" s="103">
        <v>30</v>
      </c>
      <c r="L1355" s="103">
        <v>20</v>
      </c>
      <c r="M1355" s="103">
        <v>20</v>
      </c>
      <c r="N1355" s="103" t="s">
        <v>2163</v>
      </c>
      <c r="O1355" s="103">
        <v>100</v>
      </c>
      <c r="P1355" s="103" t="s">
        <v>771</v>
      </c>
      <c r="Q1355" s="103" t="s">
        <v>2155</v>
      </c>
      <c r="R1355" s="103" t="s">
        <v>2164</v>
      </c>
      <c r="S1355" s="103" t="s">
        <v>2192</v>
      </c>
      <c r="U1355" s="103">
        <v>60</v>
      </c>
      <c r="V1355" s="103" t="s">
        <v>2158</v>
      </c>
      <c r="W1355" s="103" t="s">
        <v>132</v>
      </c>
      <c r="X1355" s="103" t="s">
        <v>1597</v>
      </c>
      <c r="Y1355" s="103" t="s">
        <v>1685</v>
      </c>
      <c r="AA1355" s="103" t="s">
        <v>2164</v>
      </c>
      <c r="AB1355" s="103" t="s">
        <v>68</v>
      </c>
      <c r="AC1355" s="103" t="s">
        <v>2193</v>
      </c>
      <c r="AD1355" s="103" t="s">
        <v>2203</v>
      </c>
      <c r="AE1355" s="103" t="s">
        <v>766</v>
      </c>
      <c r="AF1355" s="103" t="b">
        <v>1</v>
      </c>
    </row>
    <row r="1356" spans="1:32" hidden="1" x14ac:dyDescent="0.2">
      <c r="A1356" s="103" t="s">
        <v>1351</v>
      </c>
      <c r="B1356" s="103" t="s">
        <v>1350</v>
      </c>
      <c r="C1356" s="103" t="s">
        <v>3499</v>
      </c>
      <c r="E1356" s="103" t="s">
        <v>3500</v>
      </c>
      <c r="F1356" s="103" t="s">
        <v>2228</v>
      </c>
      <c r="G1356" s="103">
        <v>569</v>
      </c>
      <c r="H1356" s="103" t="s">
        <v>2168</v>
      </c>
      <c r="I1356" s="103" t="s">
        <v>2153</v>
      </c>
      <c r="J1356" s="103">
        <v>82</v>
      </c>
      <c r="K1356" s="103">
        <v>100</v>
      </c>
      <c r="L1356" s="103">
        <v>100</v>
      </c>
      <c r="M1356" s="103">
        <v>287</v>
      </c>
      <c r="N1356" s="103" t="s">
        <v>2163</v>
      </c>
      <c r="O1356" s="103">
        <v>569</v>
      </c>
      <c r="P1356" s="103" t="s">
        <v>771</v>
      </c>
      <c r="Q1356" s="103" t="s">
        <v>1393</v>
      </c>
      <c r="R1356" s="103" t="s">
        <v>2156</v>
      </c>
      <c r="S1356" s="103" t="s">
        <v>2396</v>
      </c>
      <c r="U1356" s="103">
        <v>291.89699999999999</v>
      </c>
      <c r="V1356" s="103" t="s">
        <v>2158</v>
      </c>
      <c r="W1356" s="103" t="s">
        <v>122</v>
      </c>
      <c r="X1356" s="103" t="s">
        <v>1597</v>
      </c>
      <c r="Y1356" s="103" t="s">
        <v>1685</v>
      </c>
      <c r="AA1356" s="103" t="s">
        <v>2156</v>
      </c>
      <c r="AB1356" s="103" t="s">
        <v>68</v>
      </c>
      <c r="AC1356" s="103" t="s">
        <v>122</v>
      </c>
      <c r="AD1356" s="103" t="s">
        <v>2203</v>
      </c>
      <c r="AE1356" s="103" t="s">
        <v>1641</v>
      </c>
      <c r="AF1356" s="103" t="b">
        <v>1</v>
      </c>
    </row>
    <row r="1357" spans="1:32" hidden="1" x14ac:dyDescent="0.2">
      <c r="A1357" s="103" t="s">
        <v>1362</v>
      </c>
      <c r="B1357" s="103" t="s">
        <v>1361</v>
      </c>
      <c r="C1357" s="103" t="s">
        <v>1042</v>
      </c>
      <c r="E1357" s="103" t="s">
        <v>3500</v>
      </c>
      <c r="F1357" s="103" t="s">
        <v>2228</v>
      </c>
      <c r="G1357" s="103">
        <v>220</v>
      </c>
      <c r="H1357" s="103" t="s">
        <v>2168</v>
      </c>
      <c r="I1357" s="103" t="s">
        <v>2153</v>
      </c>
      <c r="J1357" s="103">
        <v>50</v>
      </c>
      <c r="K1357" s="103">
        <v>50</v>
      </c>
      <c r="L1357" s="103">
        <v>50</v>
      </c>
      <c r="M1357" s="103">
        <v>70</v>
      </c>
      <c r="N1357" s="103" t="s">
        <v>2163</v>
      </c>
      <c r="O1357" s="103">
        <v>220</v>
      </c>
      <c r="P1357" s="103" t="s">
        <v>771</v>
      </c>
      <c r="Q1357" s="103" t="s">
        <v>2236</v>
      </c>
      <c r="R1357" s="103" t="s">
        <v>2156</v>
      </c>
      <c r="U1357" s="103">
        <v>112.86</v>
      </c>
      <c r="V1357" s="103" t="s">
        <v>2158</v>
      </c>
      <c r="W1357" s="103" t="s">
        <v>122</v>
      </c>
      <c r="X1357" s="103" t="s">
        <v>1597</v>
      </c>
      <c r="Y1357" s="103" t="s">
        <v>1685</v>
      </c>
      <c r="AA1357" s="103" t="s">
        <v>2156</v>
      </c>
      <c r="AB1357" s="103" t="s">
        <v>68</v>
      </c>
      <c r="AC1357" s="103" t="s">
        <v>2159</v>
      </c>
      <c r="AD1357" s="103" t="s">
        <v>2388</v>
      </c>
      <c r="AE1357" s="103" t="s">
        <v>1641</v>
      </c>
      <c r="AF1357" s="103" t="b">
        <v>1</v>
      </c>
    </row>
    <row r="1358" spans="1:32" hidden="1" x14ac:dyDescent="0.2">
      <c r="A1358" s="103" t="s">
        <v>884</v>
      </c>
      <c r="B1358" s="103" t="s">
        <v>883</v>
      </c>
      <c r="C1358" s="103" t="s">
        <v>3501</v>
      </c>
      <c r="D1358" s="103" t="s">
        <v>3502</v>
      </c>
      <c r="E1358" s="103" t="s">
        <v>2311</v>
      </c>
      <c r="F1358" s="103" t="s">
        <v>2162</v>
      </c>
      <c r="G1358" s="103">
        <v>50</v>
      </c>
      <c r="H1358" s="103" t="s">
        <v>2168</v>
      </c>
      <c r="I1358" s="103" t="s">
        <v>2153</v>
      </c>
      <c r="K1358" s="103">
        <v>50</v>
      </c>
      <c r="N1358" s="103" t="s">
        <v>2260</v>
      </c>
      <c r="O1358" s="103">
        <v>50</v>
      </c>
      <c r="P1358" s="103" t="s">
        <v>820</v>
      </c>
      <c r="Q1358" s="103" t="s">
        <v>2155</v>
      </c>
      <c r="R1358" s="103" t="s">
        <v>2220</v>
      </c>
      <c r="U1358" s="103">
        <v>25.65</v>
      </c>
      <c r="V1358" s="103" t="s">
        <v>2262</v>
      </c>
      <c r="W1358" s="103" t="s">
        <v>108</v>
      </c>
      <c r="X1358" s="103">
        <v>0</v>
      </c>
      <c r="Y1358" s="103" t="s">
        <v>1685</v>
      </c>
      <c r="AA1358" s="103" t="s">
        <v>2220</v>
      </c>
      <c r="AB1358" s="103" t="s">
        <v>71</v>
      </c>
      <c r="AE1358" s="103" t="s">
        <v>810</v>
      </c>
      <c r="AF1358" s="103" t="b">
        <v>1</v>
      </c>
    </row>
    <row r="1359" spans="1:32" hidden="1" x14ac:dyDescent="0.2">
      <c r="A1359" s="103" t="s">
        <v>2083</v>
      </c>
      <c r="B1359" s="103" t="s">
        <v>2082</v>
      </c>
      <c r="E1359" s="103" t="s">
        <v>107</v>
      </c>
      <c r="G1359" s="103">
        <v>2</v>
      </c>
      <c r="H1359" s="103" t="s">
        <v>2152</v>
      </c>
      <c r="I1359" s="103" t="s">
        <v>2153</v>
      </c>
      <c r="J1359" s="103">
        <v>2</v>
      </c>
      <c r="N1359" s="103" t="s">
        <v>2402</v>
      </c>
      <c r="O1359" s="103">
        <v>2</v>
      </c>
      <c r="Q1359" s="103" t="s">
        <v>2155</v>
      </c>
      <c r="R1359" s="103" t="s">
        <v>2225</v>
      </c>
      <c r="S1359" s="103" t="s">
        <v>2229</v>
      </c>
      <c r="U1359" s="103">
        <v>2</v>
      </c>
      <c r="V1359" s="103" t="s">
        <v>2239</v>
      </c>
      <c r="W1359" s="103" t="s">
        <v>107</v>
      </c>
      <c r="X1359" s="103" t="s">
        <v>1945</v>
      </c>
      <c r="Y1359" s="103" t="s">
        <v>1685</v>
      </c>
      <c r="AA1359" s="103" t="s">
        <v>2225</v>
      </c>
      <c r="AB1359" s="103" t="s">
        <v>95</v>
      </c>
      <c r="AE1359" s="103" t="s">
        <v>1284</v>
      </c>
      <c r="AF1359" s="103" t="b">
        <v>1</v>
      </c>
    </row>
    <row r="1360" spans="1:32" hidden="1" x14ac:dyDescent="0.2">
      <c r="A1360" s="103" t="s">
        <v>1383</v>
      </c>
      <c r="B1360" s="103" t="s">
        <v>1382</v>
      </c>
      <c r="C1360" s="103" t="s">
        <v>109</v>
      </c>
      <c r="D1360" s="103" t="s">
        <v>3503</v>
      </c>
      <c r="E1360" s="103" t="s">
        <v>109</v>
      </c>
      <c r="G1360" s="103">
        <v>500</v>
      </c>
      <c r="H1360" s="103" t="s">
        <v>2152</v>
      </c>
      <c r="I1360" s="103" t="s">
        <v>2153</v>
      </c>
      <c r="J1360" s="103">
        <v>125</v>
      </c>
      <c r="K1360" s="103">
        <v>125</v>
      </c>
      <c r="L1360" s="103">
        <v>125</v>
      </c>
      <c r="M1360" s="103">
        <v>125</v>
      </c>
      <c r="N1360" s="103" t="s">
        <v>2163</v>
      </c>
      <c r="O1360" s="103">
        <v>500</v>
      </c>
      <c r="P1360" s="103" t="s">
        <v>1232</v>
      </c>
      <c r="Q1360" s="103" t="s">
        <v>2387</v>
      </c>
      <c r="R1360" s="103" t="s">
        <v>2225</v>
      </c>
      <c r="S1360" s="103" t="s">
        <v>2422</v>
      </c>
      <c r="U1360" s="103">
        <v>243.5</v>
      </c>
      <c r="V1360" s="103" t="s">
        <v>2158</v>
      </c>
      <c r="W1360" s="103" t="s">
        <v>109</v>
      </c>
      <c r="X1360" s="103" t="s">
        <v>1597</v>
      </c>
      <c r="Y1360" s="103" t="s">
        <v>1685</v>
      </c>
      <c r="AA1360" s="103" t="s">
        <v>2225</v>
      </c>
      <c r="AB1360" s="103" t="s">
        <v>64</v>
      </c>
      <c r="AE1360" s="103" t="s">
        <v>1796</v>
      </c>
      <c r="AF1360" s="103" t="b">
        <v>1</v>
      </c>
    </row>
    <row r="1361" spans="1:32" hidden="1" x14ac:dyDescent="0.2">
      <c r="A1361" s="103" t="s">
        <v>1385</v>
      </c>
      <c r="B1361" s="103" t="s">
        <v>1384</v>
      </c>
      <c r="C1361" s="103" t="s">
        <v>109</v>
      </c>
      <c r="D1361" s="103" t="s">
        <v>3504</v>
      </c>
      <c r="E1361" s="103" t="s">
        <v>109</v>
      </c>
      <c r="G1361" s="103">
        <v>1600</v>
      </c>
      <c r="H1361" s="103" t="s">
        <v>2152</v>
      </c>
      <c r="I1361" s="103" t="s">
        <v>2153</v>
      </c>
      <c r="J1361" s="103">
        <v>400</v>
      </c>
      <c r="K1361" s="103">
        <v>400</v>
      </c>
      <c r="L1361" s="103">
        <v>400</v>
      </c>
      <c r="M1361" s="103">
        <v>400</v>
      </c>
      <c r="N1361" s="103" t="s">
        <v>2163</v>
      </c>
      <c r="O1361" s="103">
        <v>1600</v>
      </c>
      <c r="P1361" s="103" t="s">
        <v>1232</v>
      </c>
      <c r="Q1361" s="103" t="s">
        <v>2155</v>
      </c>
      <c r="R1361" s="103" t="s">
        <v>2225</v>
      </c>
      <c r="S1361" s="103" t="s">
        <v>2157</v>
      </c>
      <c r="U1361" s="103">
        <v>779.2</v>
      </c>
      <c r="V1361" s="103" t="s">
        <v>2158</v>
      </c>
      <c r="W1361" s="103" t="s">
        <v>109</v>
      </c>
      <c r="X1361" s="103" t="s">
        <v>1597</v>
      </c>
      <c r="Y1361" s="103" t="s">
        <v>1685</v>
      </c>
      <c r="AA1361" s="103" t="s">
        <v>2225</v>
      </c>
      <c r="AB1361" s="103" t="s">
        <v>64</v>
      </c>
      <c r="AE1361" s="103" t="s">
        <v>1796</v>
      </c>
      <c r="AF1361" s="103" t="b">
        <v>1</v>
      </c>
    </row>
    <row r="1362" spans="1:32" hidden="1" x14ac:dyDescent="0.2">
      <c r="A1362" s="103" t="s">
        <v>1387</v>
      </c>
      <c r="B1362" s="103" t="s">
        <v>1386</v>
      </c>
      <c r="C1362" s="103" t="s">
        <v>109</v>
      </c>
      <c r="D1362" s="103" t="s">
        <v>3505</v>
      </c>
      <c r="E1362" s="103" t="s">
        <v>109</v>
      </c>
      <c r="G1362" s="103">
        <v>400</v>
      </c>
      <c r="H1362" s="103" t="s">
        <v>2152</v>
      </c>
      <c r="I1362" s="103" t="s">
        <v>2153</v>
      </c>
      <c r="J1362" s="103">
        <v>100</v>
      </c>
      <c r="K1362" s="103">
        <v>100</v>
      </c>
      <c r="L1362" s="103">
        <v>100</v>
      </c>
      <c r="M1362" s="103">
        <v>100</v>
      </c>
      <c r="N1362" s="103" t="s">
        <v>2163</v>
      </c>
      <c r="O1362" s="103">
        <v>400</v>
      </c>
      <c r="P1362" s="103" t="s">
        <v>1232</v>
      </c>
      <c r="Q1362" s="103" t="s">
        <v>2155</v>
      </c>
      <c r="R1362" s="103" t="s">
        <v>2225</v>
      </c>
      <c r="S1362" s="103" t="s">
        <v>2157</v>
      </c>
      <c r="U1362" s="103">
        <v>194.8</v>
      </c>
      <c r="V1362" s="103" t="s">
        <v>2158</v>
      </c>
      <c r="W1362" s="103" t="s">
        <v>109</v>
      </c>
      <c r="X1362" s="103" t="s">
        <v>1597</v>
      </c>
      <c r="Y1362" s="103" t="s">
        <v>1685</v>
      </c>
      <c r="AA1362" s="103" t="s">
        <v>2225</v>
      </c>
      <c r="AB1362" s="103" t="s">
        <v>64</v>
      </c>
      <c r="AE1362" s="103" t="s">
        <v>1796</v>
      </c>
      <c r="AF1362" s="103" t="b">
        <v>1</v>
      </c>
    </row>
    <row r="1363" spans="1:32" hidden="1" x14ac:dyDescent="0.2">
      <c r="A1363" s="103" t="s">
        <v>1387</v>
      </c>
      <c r="B1363" s="103" t="s">
        <v>1386</v>
      </c>
      <c r="C1363" s="103" t="s">
        <v>109</v>
      </c>
      <c r="D1363" s="103" t="s">
        <v>3506</v>
      </c>
      <c r="E1363" s="103" t="s">
        <v>109</v>
      </c>
      <c r="G1363" s="103">
        <v>1045</v>
      </c>
      <c r="H1363" s="103" t="s">
        <v>2152</v>
      </c>
      <c r="I1363" s="103" t="s">
        <v>2153</v>
      </c>
      <c r="J1363" s="103">
        <v>261.25</v>
      </c>
      <c r="K1363" s="103">
        <v>261.25</v>
      </c>
      <c r="L1363" s="103">
        <v>261.25</v>
      </c>
      <c r="M1363" s="103">
        <v>261.25</v>
      </c>
      <c r="N1363" s="103" t="s">
        <v>2163</v>
      </c>
      <c r="O1363" s="103">
        <v>1045</v>
      </c>
      <c r="P1363" s="103" t="s">
        <v>1232</v>
      </c>
      <c r="Q1363" s="103" t="s">
        <v>2155</v>
      </c>
      <c r="R1363" s="103" t="s">
        <v>2225</v>
      </c>
      <c r="S1363" s="103" t="s">
        <v>2157</v>
      </c>
      <c r="U1363" s="103">
        <v>508.91500000000002</v>
      </c>
      <c r="V1363" s="103" t="s">
        <v>2158</v>
      </c>
      <c r="W1363" s="103" t="s">
        <v>109</v>
      </c>
      <c r="X1363" s="103" t="s">
        <v>1597</v>
      </c>
      <c r="Y1363" s="103" t="s">
        <v>1685</v>
      </c>
      <c r="AA1363" s="103" t="s">
        <v>2225</v>
      </c>
      <c r="AB1363" s="103" t="s">
        <v>64</v>
      </c>
      <c r="AE1363" s="103" t="s">
        <v>1796</v>
      </c>
      <c r="AF1363" s="103" t="b">
        <v>1</v>
      </c>
    </row>
    <row r="1364" spans="1:32" hidden="1" x14ac:dyDescent="0.2">
      <c r="A1364" s="103" t="s">
        <v>1387</v>
      </c>
      <c r="B1364" s="103" t="s">
        <v>1386</v>
      </c>
      <c r="C1364" s="103" t="s">
        <v>109</v>
      </c>
      <c r="D1364" s="103" t="s">
        <v>3507</v>
      </c>
      <c r="E1364" s="103" t="s">
        <v>109</v>
      </c>
      <c r="G1364" s="103">
        <v>505</v>
      </c>
      <c r="H1364" s="103" t="s">
        <v>2152</v>
      </c>
      <c r="I1364" s="103" t="s">
        <v>2153</v>
      </c>
      <c r="J1364" s="103">
        <v>126.25</v>
      </c>
      <c r="K1364" s="103">
        <v>126.25</v>
      </c>
      <c r="L1364" s="103">
        <v>126.25</v>
      </c>
      <c r="M1364" s="103">
        <v>126.25</v>
      </c>
      <c r="N1364" s="103" t="s">
        <v>2163</v>
      </c>
      <c r="O1364" s="103">
        <v>505</v>
      </c>
      <c r="P1364" s="103" t="s">
        <v>1232</v>
      </c>
      <c r="Q1364" s="103" t="s">
        <v>2155</v>
      </c>
      <c r="R1364" s="103" t="s">
        <v>2225</v>
      </c>
      <c r="S1364" s="103" t="s">
        <v>2157</v>
      </c>
      <c r="U1364" s="103">
        <v>245.935</v>
      </c>
      <c r="V1364" s="103" t="s">
        <v>2158</v>
      </c>
      <c r="W1364" s="103" t="s">
        <v>109</v>
      </c>
      <c r="X1364" s="103" t="s">
        <v>1597</v>
      </c>
      <c r="Y1364" s="103" t="s">
        <v>1685</v>
      </c>
      <c r="AA1364" s="103" t="s">
        <v>2225</v>
      </c>
      <c r="AB1364" s="103" t="s">
        <v>64</v>
      </c>
      <c r="AE1364" s="103" t="s">
        <v>1796</v>
      </c>
      <c r="AF1364" s="103" t="b">
        <v>1</v>
      </c>
    </row>
    <row r="1365" spans="1:32" hidden="1" x14ac:dyDescent="0.2">
      <c r="A1365" s="103" t="s">
        <v>1387</v>
      </c>
      <c r="B1365" s="103" t="s">
        <v>1386</v>
      </c>
      <c r="C1365" s="103" t="s">
        <v>109</v>
      </c>
      <c r="D1365" s="103" t="s">
        <v>3508</v>
      </c>
      <c r="E1365" s="103" t="s">
        <v>109</v>
      </c>
      <c r="G1365" s="103">
        <v>606</v>
      </c>
      <c r="H1365" s="103" t="s">
        <v>2152</v>
      </c>
      <c r="I1365" s="103" t="s">
        <v>2153</v>
      </c>
      <c r="J1365" s="103">
        <v>151.5</v>
      </c>
      <c r="K1365" s="103">
        <v>151.5</v>
      </c>
      <c r="L1365" s="103">
        <v>151.5</v>
      </c>
      <c r="M1365" s="103">
        <v>151.5</v>
      </c>
      <c r="N1365" s="103" t="s">
        <v>2163</v>
      </c>
      <c r="O1365" s="103">
        <v>606</v>
      </c>
      <c r="P1365" s="103" t="s">
        <v>1232</v>
      </c>
      <c r="Q1365" s="103" t="s">
        <v>2155</v>
      </c>
      <c r="R1365" s="103" t="s">
        <v>2225</v>
      </c>
      <c r="S1365" s="103" t="s">
        <v>2157</v>
      </c>
      <c r="U1365" s="103">
        <v>295.12200000000001</v>
      </c>
      <c r="V1365" s="103" t="s">
        <v>2158</v>
      </c>
      <c r="W1365" s="103" t="s">
        <v>109</v>
      </c>
      <c r="X1365" s="103" t="s">
        <v>1597</v>
      </c>
      <c r="Y1365" s="103" t="s">
        <v>1685</v>
      </c>
      <c r="AA1365" s="103" t="s">
        <v>2225</v>
      </c>
      <c r="AB1365" s="103" t="s">
        <v>64</v>
      </c>
      <c r="AE1365" s="103" t="s">
        <v>1796</v>
      </c>
      <c r="AF1365" s="103" t="b">
        <v>1</v>
      </c>
    </row>
    <row r="1366" spans="1:32" hidden="1" x14ac:dyDescent="0.2">
      <c r="A1366" s="103" t="s">
        <v>1387</v>
      </c>
      <c r="B1366" s="103" t="s">
        <v>1386</v>
      </c>
      <c r="C1366" s="103" t="s">
        <v>109</v>
      </c>
      <c r="D1366" s="103" t="s">
        <v>3509</v>
      </c>
      <c r="E1366" s="103" t="s">
        <v>109</v>
      </c>
      <c r="G1366" s="103">
        <v>150</v>
      </c>
      <c r="H1366" s="103" t="s">
        <v>2152</v>
      </c>
      <c r="I1366" s="103" t="s">
        <v>2153</v>
      </c>
      <c r="J1366" s="103">
        <v>0</v>
      </c>
      <c r="K1366" s="103">
        <v>0</v>
      </c>
      <c r="L1366" s="103">
        <v>75</v>
      </c>
      <c r="M1366" s="103">
        <v>75</v>
      </c>
      <c r="N1366" s="103" t="s">
        <v>2163</v>
      </c>
      <c r="O1366" s="103">
        <v>150</v>
      </c>
      <c r="P1366" s="103" t="s">
        <v>1232</v>
      </c>
      <c r="Q1366" s="103" t="s">
        <v>2155</v>
      </c>
      <c r="R1366" s="103" t="s">
        <v>2225</v>
      </c>
      <c r="S1366" s="103" t="s">
        <v>2157</v>
      </c>
      <c r="U1366" s="103">
        <v>73.05</v>
      </c>
      <c r="V1366" s="103" t="s">
        <v>2158</v>
      </c>
      <c r="W1366" s="103" t="s">
        <v>109</v>
      </c>
      <c r="X1366" s="103" t="s">
        <v>1597</v>
      </c>
      <c r="Y1366" s="103" t="s">
        <v>1685</v>
      </c>
      <c r="AA1366" s="103" t="s">
        <v>2225</v>
      </c>
      <c r="AB1366" s="103" t="s">
        <v>64</v>
      </c>
      <c r="AE1366" s="103" t="s">
        <v>1796</v>
      </c>
      <c r="AF1366" s="103" t="b">
        <v>1</v>
      </c>
    </row>
    <row r="1367" spans="1:32" hidden="1" x14ac:dyDescent="0.2">
      <c r="A1367" s="103" t="s">
        <v>1387</v>
      </c>
      <c r="B1367" s="103" t="s">
        <v>1386</v>
      </c>
      <c r="C1367" s="103" t="s">
        <v>109</v>
      </c>
      <c r="D1367" s="103" t="s">
        <v>3510</v>
      </c>
      <c r="E1367" s="103" t="s">
        <v>109</v>
      </c>
      <c r="G1367" s="103">
        <v>500</v>
      </c>
      <c r="H1367" s="103" t="s">
        <v>2152</v>
      </c>
      <c r="I1367" s="103" t="s">
        <v>2153</v>
      </c>
      <c r="J1367" s="103">
        <v>125</v>
      </c>
      <c r="K1367" s="103">
        <v>125</v>
      </c>
      <c r="L1367" s="103">
        <v>125</v>
      </c>
      <c r="M1367" s="103">
        <v>125</v>
      </c>
      <c r="N1367" s="103" t="s">
        <v>2163</v>
      </c>
      <c r="O1367" s="103">
        <v>500</v>
      </c>
      <c r="P1367" s="103" t="s">
        <v>1232</v>
      </c>
      <c r="Q1367" s="103" t="s">
        <v>2155</v>
      </c>
      <c r="R1367" s="103" t="s">
        <v>2225</v>
      </c>
      <c r="S1367" s="103" t="s">
        <v>2157</v>
      </c>
      <c r="U1367" s="103">
        <v>243.5</v>
      </c>
      <c r="V1367" s="103" t="s">
        <v>2158</v>
      </c>
      <c r="W1367" s="103" t="s">
        <v>109</v>
      </c>
      <c r="X1367" s="103" t="s">
        <v>1597</v>
      </c>
      <c r="Y1367" s="103" t="s">
        <v>1685</v>
      </c>
      <c r="AA1367" s="103" t="s">
        <v>2225</v>
      </c>
      <c r="AB1367" s="103" t="s">
        <v>64</v>
      </c>
      <c r="AE1367" s="103" t="s">
        <v>1796</v>
      </c>
      <c r="AF1367" s="103" t="b">
        <v>1</v>
      </c>
    </row>
    <row r="1368" spans="1:32" hidden="1" x14ac:dyDescent="0.2">
      <c r="A1368" s="103" t="s">
        <v>3827</v>
      </c>
      <c r="B1368" s="103" t="s">
        <v>1404</v>
      </c>
      <c r="C1368" s="103" t="s">
        <v>3511</v>
      </c>
      <c r="D1368" s="103" t="s">
        <v>3512</v>
      </c>
      <c r="E1368" s="103" t="s">
        <v>2605</v>
      </c>
      <c r="G1368" s="103">
        <v>80</v>
      </c>
      <c r="H1368" s="103" t="s">
        <v>2152</v>
      </c>
      <c r="I1368" s="103" t="s">
        <v>2153</v>
      </c>
      <c r="J1368" s="103">
        <v>80</v>
      </c>
      <c r="N1368" s="103" t="s">
        <v>2163</v>
      </c>
      <c r="O1368" s="103">
        <v>80</v>
      </c>
      <c r="P1368" s="103" t="s">
        <v>1679</v>
      </c>
      <c r="Q1368" s="103" t="s">
        <v>1393</v>
      </c>
      <c r="R1368" s="103" t="s">
        <v>2225</v>
      </c>
      <c r="S1368" s="103" t="s">
        <v>2251</v>
      </c>
      <c r="U1368" s="103">
        <v>38.64</v>
      </c>
      <c r="V1368" s="103" t="s">
        <v>2158</v>
      </c>
      <c r="W1368" s="103" t="s">
        <v>106</v>
      </c>
      <c r="X1368" s="103" t="s">
        <v>345</v>
      </c>
      <c r="Y1368" s="103" t="s">
        <v>2240</v>
      </c>
      <c r="AA1368" s="103" t="s">
        <v>2225</v>
      </c>
      <c r="AB1368" s="103" t="s">
        <v>64</v>
      </c>
      <c r="AE1368" s="103" t="s">
        <v>750</v>
      </c>
      <c r="AF1368" s="103" t="b">
        <v>1</v>
      </c>
    </row>
    <row r="1369" spans="1:32" hidden="1" x14ac:dyDescent="0.2">
      <c r="A1369" s="103" t="s">
        <v>3827</v>
      </c>
      <c r="B1369" s="103" t="s">
        <v>1404</v>
      </c>
      <c r="C1369" s="103" t="s">
        <v>3513</v>
      </c>
      <c r="D1369" s="103" t="s">
        <v>3514</v>
      </c>
      <c r="E1369" s="103" t="s">
        <v>2601</v>
      </c>
      <c r="F1369" s="103" t="s">
        <v>2162</v>
      </c>
      <c r="G1369" s="103">
        <v>60</v>
      </c>
      <c r="H1369" s="103" t="s">
        <v>2168</v>
      </c>
      <c r="I1369" s="103" t="s">
        <v>2153</v>
      </c>
      <c r="K1369" s="103">
        <v>60</v>
      </c>
      <c r="N1369" s="103" t="s">
        <v>2163</v>
      </c>
      <c r="O1369" s="103">
        <v>60</v>
      </c>
      <c r="P1369" s="103" t="s">
        <v>1617</v>
      </c>
      <c r="Q1369" s="103" t="s">
        <v>1393</v>
      </c>
      <c r="R1369" s="103" t="s">
        <v>2225</v>
      </c>
      <c r="S1369" s="103" t="s">
        <v>2192</v>
      </c>
      <c r="U1369" s="103">
        <v>28.98</v>
      </c>
      <c r="V1369" s="103" t="s">
        <v>2158</v>
      </c>
      <c r="W1369" s="103" t="s">
        <v>106</v>
      </c>
      <c r="X1369" s="103" t="s">
        <v>345</v>
      </c>
      <c r="Y1369" s="103" t="s">
        <v>2240</v>
      </c>
      <c r="AA1369" s="103" t="s">
        <v>2225</v>
      </c>
      <c r="AB1369" s="103" t="s">
        <v>64</v>
      </c>
      <c r="AE1369" s="103" t="s">
        <v>750</v>
      </c>
      <c r="AF1369" s="103" t="b">
        <v>1</v>
      </c>
    </row>
    <row r="1370" spans="1:32" hidden="1" x14ac:dyDescent="0.2">
      <c r="A1370" s="103" t="s">
        <v>3827</v>
      </c>
      <c r="B1370" s="103" t="s">
        <v>1404</v>
      </c>
      <c r="C1370" s="103" t="s">
        <v>3513</v>
      </c>
      <c r="D1370" s="103" t="s">
        <v>3515</v>
      </c>
      <c r="E1370" s="103" t="s">
        <v>2603</v>
      </c>
      <c r="F1370" s="103" t="s">
        <v>2151</v>
      </c>
      <c r="G1370" s="103">
        <v>140</v>
      </c>
      <c r="H1370" s="103" t="s">
        <v>2168</v>
      </c>
      <c r="I1370" s="103" t="s">
        <v>2153</v>
      </c>
      <c r="K1370" s="103">
        <v>140</v>
      </c>
      <c r="N1370" s="103" t="s">
        <v>2163</v>
      </c>
      <c r="O1370" s="103">
        <v>140</v>
      </c>
      <c r="P1370" s="103" t="s">
        <v>1617</v>
      </c>
      <c r="Q1370" s="103" t="s">
        <v>1393</v>
      </c>
      <c r="R1370" s="103" t="s">
        <v>121</v>
      </c>
      <c r="S1370" s="103" t="s">
        <v>2427</v>
      </c>
      <c r="U1370" s="103">
        <v>71.819999999999993</v>
      </c>
      <c r="V1370" s="103" t="s">
        <v>2158</v>
      </c>
      <c r="W1370" s="103" t="s">
        <v>121</v>
      </c>
      <c r="X1370" s="103" t="s">
        <v>345</v>
      </c>
      <c r="Y1370" s="103" t="s">
        <v>2240</v>
      </c>
      <c r="AA1370" s="103" t="s">
        <v>121</v>
      </c>
      <c r="AB1370" s="103" t="s">
        <v>64</v>
      </c>
      <c r="AE1370" s="103" t="s">
        <v>750</v>
      </c>
      <c r="AF1370" s="103" t="b">
        <v>1</v>
      </c>
    </row>
    <row r="1371" spans="1:32" hidden="1" x14ac:dyDescent="0.2">
      <c r="A1371" s="103" t="s">
        <v>3827</v>
      </c>
      <c r="B1371" s="103" t="s">
        <v>1404</v>
      </c>
      <c r="C1371" s="103" t="s">
        <v>3511</v>
      </c>
      <c r="D1371" s="103" t="s">
        <v>3516</v>
      </c>
      <c r="E1371" s="103" t="s">
        <v>2605</v>
      </c>
      <c r="F1371" s="103" t="s">
        <v>2232</v>
      </c>
      <c r="G1371" s="103">
        <v>300</v>
      </c>
      <c r="H1371" s="103" t="s">
        <v>2168</v>
      </c>
      <c r="I1371" s="103" t="s">
        <v>2153</v>
      </c>
      <c r="M1371" s="103">
        <v>300</v>
      </c>
      <c r="N1371" s="103" t="s">
        <v>2163</v>
      </c>
      <c r="O1371" s="103">
        <v>300</v>
      </c>
      <c r="P1371" s="103" t="s">
        <v>1679</v>
      </c>
      <c r="Q1371" s="103" t="s">
        <v>1393</v>
      </c>
      <c r="R1371" s="103" t="s">
        <v>2225</v>
      </c>
      <c r="S1371" s="103" t="s">
        <v>2251</v>
      </c>
      <c r="U1371" s="103">
        <v>144.9</v>
      </c>
      <c r="V1371" s="103" t="s">
        <v>2158</v>
      </c>
      <c r="W1371" s="103" t="s">
        <v>106</v>
      </c>
      <c r="X1371" s="103" t="s">
        <v>345</v>
      </c>
      <c r="Y1371" s="103" t="s">
        <v>2240</v>
      </c>
      <c r="AA1371" s="103" t="s">
        <v>2225</v>
      </c>
      <c r="AB1371" s="103" t="s">
        <v>64</v>
      </c>
      <c r="AE1371" s="103" t="s">
        <v>750</v>
      </c>
      <c r="AF1371" s="103" t="b">
        <v>1</v>
      </c>
    </row>
    <row r="1372" spans="1:32" hidden="1" x14ac:dyDescent="0.2">
      <c r="A1372" s="103" t="s">
        <v>3827</v>
      </c>
      <c r="B1372" s="103" t="s">
        <v>1404</v>
      </c>
      <c r="C1372" s="103" t="s">
        <v>3511</v>
      </c>
      <c r="D1372" s="103" t="s">
        <v>3517</v>
      </c>
      <c r="E1372" s="103" t="s">
        <v>2605</v>
      </c>
      <c r="F1372" s="103" t="s">
        <v>2226</v>
      </c>
      <c r="G1372" s="103">
        <v>400</v>
      </c>
      <c r="H1372" s="103" t="s">
        <v>2168</v>
      </c>
      <c r="I1372" s="103" t="s">
        <v>2153</v>
      </c>
      <c r="K1372" s="103">
        <v>200</v>
      </c>
      <c r="L1372" s="103">
        <v>200</v>
      </c>
      <c r="N1372" s="103" t="s">
        <v>2163</v>
      </c>
      <c r="O1372" s="103">
        <v>400</v>
      </c>
      <c r="P1372" s="103" t="s">
        <v>1679</v>
      </c>
      <c r="Q1372" s="103" t="s">
        <v>1393</v>
      </c>
      <c r="R1372" s="103" t="s">
        <v>2225</v>
      </c>
      <c r="S1372" s="103" t="s">
        <v>2251</v>
      </c>
      <c r="U1372" s="103">
        <v>193.2</v>
      </c>
      <c r="V1372" s="103" t="s">
        <v>2158</v>
      </c>
      <c r="W1372" s="103" t="s">
        <v>106</v>
      </c>
      <c r="X1372" s="103" t="s">
        <v>345</v>
      </c>
      <c r="Y1372" s="103" t="s">
        <v>2240</v>
      </c>
      <c r="AA1372" s="103" t="s">
        <v>2225</v>
      </c>
      <c r="AB1372" s="103" t="s">
        <v>64</v>
      </c>
      <c r="AE1372" s="103" t="s">
        <v>750</v>
      </c>
      <c r="AF1372" s="103" t="b">
        <v>1</v>
      </c>
    </row>
    <row r="1373" spans="1:32" hidden="1" x14ac:dyDescent="0.2">
      <c r="A1373" s="103" t="s">
        <v>3827</v>
      </c>
      <c r="B1373" s="103" t="s">
        <v>1404</v>
      </c>
      <c r="C1373" s="103" t="s">
        <v>3513</v>
      </c>
      <c r="D1373" s="103" t="s">
        <v>3518</v>
      </c>
      <c r="E1373" s="103" t="s">
        <v>2242</v>
      </c>
      <c r="F1373" s="103" t="s">
        <v>2162</v>
      </c>
      <c r="G1373" s="103">
        <v>40</v>
      </c>
      <c r="H1373" s="103" t="s">
        <v>2152</v>
      </c>
      <c r="I1373" s="103" t="s">
        <v>2153</v>
      </c>
      <c r="J1373" s="103">
        <v>20</v>
      </c>
      <c r="K1373" s="103">
        <v>20</v>
      </c>
      <c r="N1373" s="103" t="s">
        <v>2163</v>
      </c>
      <c r="O1373" s="103">
        <v>40</v>
      </c>
      <c r="P1373" s="103" t="s">
        <v>1232</v>
      </c>
      <c r="Q1373" s="103" t="s">
        <v>1393</v>
      </c>
      <c r="R1373" s="103" t="s">
        <v>2225</v>
      </c>
      <c r="S1373" s="103" t="s">
        <v>2192</v>
      </c>
      <c r="U1373" s="103">
        <v>19.32</v>
      </c>
      <c r="V1373" s="103" t="s">
        <v>2158</v>
      </c>
      <c r="W1373" s="103" t="s">
        <v>106</v>
      </c>
      <c r="X1373" s="103" t="s">
        <v>345</v>
      </c>
      <c r="Y1373" s="103" t="s">
        <v>2240</v>
      </c>
      <c r="AA1373" s="103" t="s">
        <v>2225</v>
      </c>
      <c r="AB1373" s="103" t="s">
        <v>64</v>
      </c>
      <c r="AE1373" s="103" t="s">
        <v>750</v>
      </c>
      <c r="AF1373" s="103" t="b">
        <v>1</v>
      </c>
    </row>
    <row r="1374" spans="1:32" hidden="1" x14ac:dyDescent="0.2">
      <c r="A1374" s="103" t="s">
        <v>3827</v>
      </c>
      <c r="B1374" s="103" t="s">
        <v>1404</v>
      </c>
      <c r="C1374" s="103" t="s">
        <v>3513</v>
      </c>
      <c r="D1374" s="103" t="s">
        <v>3519</v>
      </c>
      <c r="E1374" s="103" t="s">
        <v>2196</v>
      </c>
      <c r="G1374" s="103">
        <v>240</v>
      </c>
      <c r="H1374" s="103" t="s">
        <v>2168</v>
      </c>
      <c r="I1374" s="103" t="s">
        <v>2153</v>
      </c>
      <c r="J1374" s="103">
        <v>120</v>
      </c>
      <c r="K1374" s="103">
        <v>120</v>
      </c>
      <c r="N1374" s="103" t="s">
        <v>2163</v>
      </c>
      <c r="O1374" s="103">
        <v>240</v>
      </c>
      <c r="P1374" s="103" t="s">
        <v>1232</v>
      </c>
      <c r="Q1374" s="103" t="s">
        <v>1393</v>
      </c>
      <c r="R1374" s="103" t="s">
        <v>121</v>
      </c>
      <c r="S1374" s="103" t="s">
        <v>2427</v>
      </c>
      <c r="U1374" s="103">
        <v>123.12</v>
      </c>
      <c r="V1374" s="103" t="s">
        <v>2158</v>
      </c>
      <c r="W1374" s="103" t="s">
        <v>121</v>
      </c>
      <c r="X1374" s="103" t="s">
        <v>345</v>
      </c>
      <c r="Y1374" s="103" t="s">
        <v>2240</v>
      </c>
      <c r="AA1374" s="103" t="s">
        <v>121</v>
      </c>
      <c r="AB1374" s="103" t="s">
        <v>64</v>
      </c>
      <c r="AE1374" s="103" t="s">
        <v>750</v>
      </c>
      <c r="AF1374" s="103" t="b">
        <v>1</v>
      </c>
    </row>
    <row r="1375" spans="1:32" hidden="1" x14ac:dyDescent="0.2">
      <c r="A1375" s="103" t="s">
        <v>3827</v>
      </c>
      <c r="B1375" s="103" t="s">
        <v>1404</v>
      </c>
      <c r="C1375" s="103" t="s">
        <v>3511</v>
      </c>
      <c r="D1375" s="103" t="s">
        <v>3520</v>
      </c>
      <c r="E1375" s="103" t="s">
        <v>2605</v>
      </c>
      <c r="F1375" s="103" t="s">
        <v>2151</v>
      </c>
      <c r="G1375" s="103">
        <v>150</v>
      </c>
      <c r="H1375" s="103" t="s">
        <v>2152</v>
      </c>
      <c r="I1375" s="103" t="s">
        <v>2153</v>
      </c>
      <c r="L1375" s="103">
        <v>150</v>
      </c>
      <c r="N1375" s="103" t="s">
        <v>2163</v>
      </c>
      <c r="O1375" s="103">
        <v>150</v>
      </c>
      <c r="P1375" s="103" t="s">
        <v>1679</v>
      </c>
      <c r="Q1375" s="103" t="s">
        <v>1393</v>
      </c>
      <c r="R1375" s="103" t="s">
        <v>2225</v>
      </c>
      <c r="S1375" s="103" t="s">
        <v>2251</v>
      </c>
      <c r="U1375" s="103">
        <v>72.45</v>
      </c>
      <c r="V1375" s="103" t="s">
        <v>2158</v>
      </c>
      <c r="W1375" s="103" t="s">
        <v>106</v>
      </c>
      <c r="X1375" s="103" t="s">
        <v>345</v>
      </c>
      <c r="Y1375" s="103" t="s">
        <v>2240</v>
      </c>
      <c r="AA1375" s="103" t="s">
        <v>2225</v>
      </c>
      <c r="AB1375" s="103" t="s">
        <v>64</v>
      </c>
      <c r="AE1375" s="103" t="s">
        <v>750</v>
      </c>
      <c r="AF1375" s="103" t="b">
        <v>1</v>
      </c>
    </row>
    <row r="1376" spans="1:32" hidden="1" x14ac:dyDescent="0.2">
      <c r="A1376" s="103" t="s">
        <v>3827</v>
      </c>
      <c r="B1376" s="103" t="s">
        <v>1404</v>
      </c>
      <c r="C1376" s="103" t="s">
        <v>3513</v>
      </c>
      <c r="D1376" s="103" t="s">
        <v>3521</v>
      </c>
      <c r="E1376" s="103" t="s">
        <v>2601</v>
      </c>
      <c r="F1376" s="103" t="s">
        <v>2151</v>
      </c>
      <c r="G1376" s="103">
        <v>75</v>
      </c>
      <c r="H1376" s="103" t="s">
        <v>2168</v>
      </c>
      <c r="I1376" s="103" t="s">
        <v>2153</v>
      </c>
      <c r="K1376" s="103">
        <v>75</v>
      </c>
      <c r="L1376" s="103">
        <v>0</v>
      </c>
      <c r="M1376" s="103">
        <v>0</v>
      </c>
      <c r="N1376" s="103" t="s">
        <v>2163</v>
      </c>
      <c r="O1376" s="103">
        <v>75</v>
      </c>
      <c r="P1376" s="103" t="s">
        <v>1617</v>
      </c>
      <c r="Q1376" s="103" t="s">
        <v>1393</v>
      </c>
      <c r="R1376" s="103" t="s">
        <v>2225</v>
      </c>
      <c r="S1376" s="103" t="s">
        <v>2192</v>
      </c>
      <c r="U1376" s="103">
        <v>36.225000000000001</v>
      </c>
      <c r="V1376" s="103" t="s">
        <v>2158</v>
      </c>
      <c r="W1376" s="103" t="s">
        <v>106</v>
      </c>
      <c r="X1376" s="103" t="s">
        <v>345</v>
      </c>
      <c r="Y1376" s="103" t="s">
        <v>2240</v>
      </c>
      <c r="AA1376" s="103" t="s">
        <v>2225</v>
      </c>
      <c r="AB1376" s="103" t="s">
        <v>64</v>
      </c>
      <c r="AE1376" s="103" t="s">
        <v>750</v>
      </c>
      <c r="AF1376" s="103" t="b">
        <v>1</v>
      </c>
    </row>
    <row r="1377" spans="1:32" hidden="1" x14ac:dyDescent="0.2">
      <c r="A1377" s="103" t="s">
        <v>3827</v>
      </c>
      <c r="B1377" s="103" t="s">
        <v>1404</v>
      </c>
      <c r="C1377" s="103" t="s">
        <v>3513</v>
      </c>
      <c r="D1377" s="103" t="s">
        <v>3522</v>
      </c>
      <c r="E1377" s="103" t="s">
        <v>2603</v>
      </c>
      <c r="F1377" s="103" t="s">
        <v>2232</v>
      </c>
      <c r="G1377" s="103">
        <v>230</v>
      </c>
      <c r="H1377" s="103" t="s">
        <v>2168</v>
      </c>
      <c r="I1377" s="103" t="s">
        <v>2153</v>
      </c>
      <c r="J1377" s="103">
        <v>200</v>
      </c>
      <c r="K1377" s="103">
        <v>30</v>
      </c>
      <c r="N1377" s="103" t="s">
        <v>2163</v>
      </c>
      <c r="O1377" s="103">
        <v>230</v>
      </c>
      <c r="P1377" s="103" t="s">
        <v>1617</v>
      </c>
      <c r="Q1377" s="103" t="s">
        <v>1393</v>
      </c>
      <c r="R1377" s="103" t="s">
        <v>121</v>
      </c>
      <c r="S1377" s="103" t="s">
        <v>2427</v>
      </c>
      <c r="U1377" s="103">
        <v>117.99</v>
      </c>
      <c r="V1377" s="103" t="s">
        <v>2158</v>
      </c>
      <c r="W1377" s="103" t="s">
        <v>121</v>
      </c>
      <c r="X1377" s="103" t="s">
        <v>345</v>
      </c>
      <c r="Y1377" s="103" t="s">
        <v>2240</v>
      </c>
      <c r="AA1377" s="103" t="s">
        <v>121</v>
      </c>
      <c r="AB1377" s="103" t="s">
        <v>64</v>
      </c>
      <c r="AE1377" s="103" t="s">
        <v>750</v>
      </c>
      <c r="AF1377" s="103" t="b">
        <v>1</v>
      </c>
    </row>
    <row r="1378" spans="1:32" hidden="1" x14ac:dyDescent="0.2">
      <c r="A1378" s="103" t="s">
        <v>3827</v>
      </c>
      <c r="B1378" s="103" t="s">
        <v>1404</v>
      </c>
      <c r="C1378" s="103" t="s">
        <v>3513</v>
      </c>
      <c r="D1378" s="103" t="s">
        <v>3523</v>
      </c>
      <c r="E1378" s="103" t="s">
        <v>2601</v>
      </c>
      <c r="F1378" s="103" t="s">
        <v>2162</v>
      </c>
      <c r="G1378" s="103">
        <v>50</v>
      </c>
      <c r="H1378" s="103" t="s">
        <v>2168</v>
      </c>
      <c r="I1378" s="103" t="s">
        <v>2153</v>
      </c>
      <c r="J1378" s="103">
        <v>0</v>
      </c>
      <c r="K1378" s="103">
        <v>50</v>
      </c>
      <c r="L1378" s="103">
        <v>0</v>
      </c>
      <c r="M1378" s="103">
        <v>0</v>
      </c>
      <c r="N1378" s="103" t="s">
        <v>2163</v>
      </c>
      <c r="O1378" s="103">
        <v>50</v>
      </c>
      <c r="P1378" s="103" t="s">
        <v>1617</v>
      </c>
      <c r="Q1378" s="103" t="s">
        <v>1393</v>
      </c>
      <c r="R1378" s="103" t="s">
        <v>2225</v>
      </c>
      <c r="S1378" s="103" t="s">
        <v>2192</v>
      </c>
      <c r="U1378" s="103">
        <v>24.15</v>
      </c>
      <c r="V1378" s="103" t="s">
        <v>2158</v>
      </c>
      <c r="W1378" s="103" t="s">
        <v>106</v>
      </c>
      <c r="X1378" s="103" t="s">
        <v>345</v>
      </c>
      <c r="Y1378" s="103" t="s">
        <v>2240</v>
      </c>
      <c r="AA1378" s="103" t="s">
        <v>2225</v>
      </c>
      <c r="AB1378" s="103" t="s">
        <v>64</v>
      </c>
      <c r="AE1378" s="103" t="s">
        <v>750</v>
      </c>
      <c r="AF1378" s="103" t="b">
        <v>1</v>
      </c>
    </row>
    <row r="1379" spans="1:32" hidden="1" x14ac:dyDescent="0.2">
      <c r="A1379" s="103" t="s">
        <v>3827</v>
      </c>
      <c r="B1379" s="103" t="s">
        <v>1404</v>
      </c>
      <c r="C1379" s="103" t="s">
        <v>3513</v>
      </c>
      <c r="D1379" s="103" t="s">
        <v>3524</v>
      </c>
      <c r="E1379" s="103" t="s">
        <v>2603</v>
      </c>
      <c r="F1379" s="103" t="s">
        <v>2151</v>
      </c>
      <c r="G1379" s="103">
        <v>150</v>
      </c>
      <c r="H1379" s="103" t="s">
        <v>2168</v>
      </c>
      <c r="I1379" s="103" t="s">
        <v>2153</v>
      </c>
      <c r="K1379" s="103">
        <v>150</v>
      </c>
      <c r="N1379" s="103" t="s">
        <v>2163</v>
      </c>
      <c r="O1379" s="103">
        <v>150</v>
      </c>
      <c r="P1379" s="103" t="s">
        <v>1617</v>
      </c>
      <c r="Q1379" s="103" t="s">
        <v>1393</v>
      </c>
      <c r="R1379" s="103" t="s">
        <v>121</v>
      </c>
      <c r="S1379" s="103" t="s">
        <v>2427</v>
      </c>
      <c r="U1379" s="103">
        <v>76.95</v>
      </c>
      <c r="V1379" s="103" t="s">
        <v>2158</v>
      </c>
      <c r="W1379" s="103" t="s">
        <v>121</v>
      </c>
      <c r="X1379" s="103" t="s">
        <v>345</v>
      </c>
      <c r="Y1379" s="103" t="s">
        <v>2240</v>
      </c>
      <c r="AA1379" s="103" t="s">
        <v>121</v>
      </c>
      <c r="AB1379" s="103" t="s">
        <v>64</v>
      </c>
      <c r="AE1379" s="103" t="s">
        <v>750</v>
      </c>
      <c r="AF1379" s="103" t="b">
        <v>1</v>
      </c>
    </row>
    <row r="1380" spans="1:32" hidden="1" x14ac:dyDescent="0.2">
      <c r="A1380" s="103" t="s">
        <v>3827</v>
      </c>
      <c r="B1380" s="103" t="s">
        <v>1404</v>
      </c>
      <c r="C1380" s="103" t="s">
        <v>3513</v>
      </c>
      <c r="D1380" s="103" t="s">
        <v>3525</v>
      </c>
      <c r="E1380" s="103" t="s">
        <v>2603</v>
      </c>
      <c r="F1380" s="103" t="s">
        <v>2151</v>
      </c>
      <c r="G1380" s="103">
        <v>140</v>
      </c>
      <c r="H1380" s="103" t="s">
        <v>2168</v>
      </c>
      <c r="I1380" s="103" t="s">
        <v>2153</v>
      </c>
      <c r="J1380" s="103">
        <v>140</v>
      </c>
      <c r="N1380" s="103" t="s">
        <v>2163</v>
      </c>
      <c r="O1380" s="103">
        <v>140</v>
      </c>
      <c r="P1380" s="103" t="s">
        <v>1617</v>
      </c>
      <c r="Q1380" s="103" t="s">
        <v>1393</v>
      </c>
      <c r="R1380" s="103" t="s">
        <v>121</v>
      </c>
      <c r="S1380" s="103" t="s">
        <v>2427</v>
      </c>
      <c r="U1380" s="103">
        <v>71.819999999999993</v>
      </c>
      <c r="V1380" s="103" t="s">
        <v>2158</v>
      </c>
      <c r="W1380" s="103" t="s">
        <v>121</v>
      </c>
      <c r="X1380" s="103" t="s">
        <v>345</v>
      </c>
      <c r="Y1380" s="103" t="s">
        <v>2240</v>
      </c>
      <c r="AA1380" s="103" t="s">
        <v>121</v>
      </c>
      <c r="AB1380" s="103" t="s">
        <v>64</v>
      </c>
      <c r="AE1380" s="103" t="s">
        <v>750</v>
      </c>
      <c r="AF1380" s="103" t="b">
        <v>1</v>
      </c>
    </row>
    <row r="1381" spans="1:32" hidden="1" x14ac:dyDescent="0.2">
      <c r="A1381" s="103" t="s">
        <v>3827</v>
      </c>
      <c r="B1381" s="103" t="s">
        <v>1404</v>
      </c>
      <c r="C1381" s="103" t="s">
        <v>3513</v>
      </c>
      <c r="D1381" s="103" t="s">
        <v>3526</v>
      </c>
      <c r="E1381" s="103" t="s">
        <v>2601</v>
      </c>
      <c r="F1381" s="103" t="s">
        <v>2162</v>
      </c>
      <c r="G1381" s="103">
        <v>60</v>
      </c>
      <c r="H1381" s="103" t="s">
        <v>2168</v>
      </c>
      <c r="I1381" s="103" t="s">
        <v>2153</v>
      </c>
      <c r="J1381" s="103">
        <v>60</v>
      </c>
      <c r="N1381" s="103" t="s">
        <v>2163</v>
      </c>
      <c r="O1381" s="103">
        <v>60</v>
      </c>
      <c r="P1381" s="103" t="s">
        <v>1617</v>
      </c>
      <c r="Q1381" s="103" t="s">
        <v>1393</v>
      </c>
      <c r="R1381" s="103" t="s">
        <v>2225</v>
      </c>
      <c r="S1381" s="103" t="s">
        <v>2192</v>
      </c>
      <c r="U1381" s="103">
        <v>28.98</v>
      </c>
      <c r="V1381" s="103" t="s">
        <v>2158</v>
      </c>
      <c r="W1381" s="103" t="s">
        <v>106</v>
      </c>
      <c r="X1381" s="103" t="s">
        <v>345</v>
      </c>
      <c r="Y1381" s="103" t="s">
        <v>2240</v>
      </c>
      <c r="AA1381" s="103" t="s">
        <v>2225</v>
      </c>
      <c r="AB1381" s="103" t="s">
        <v>64</v>
      </c>
      <c r="AE1381" s="103" t="s">
        <v>750</v>
      </c>
      <c r="AF1381" s="103" t="b">
        <v>1</v>
      </c>
    </row>
    <row r="1382" spans="1:32" hidden="1" x14ac:dyDescent="0.2">
      <c r="A1382" s="103" t="s">
        <v>3827</v>
      </c>
      <c r="B1382" s="103" t="s">
        <v>1404</v>
      </c>
      <c r="C1382" s="103" t="s">
        <v>3511</v>
      </c>
      <c r="D1382" s="103" t="s">
        <v>3527</v>
      </c>
      <c r="E1382" s="103" t="s">
        <v>2605</v>
      </c>
      <c r="F1382" s="103" t="s">
        <v>2151</v>
      </c>
      <c r="G1382" s="103">
        <v>100</v>
      </c>
      <c r="H1382" s="103" t="s">
        <v>2168</v>
      </c>
      <c r="I1382" s="103" t="s">
        <v>2153</v>
      </c>
      <c r="L1382" s="103">
        <v>100</v>
      </c>
      <c r="N1382" s="103" t="s">
        <v>2163</v>
      </c>
      <c r="O1382" s="103">
        <v>100</v>
      </c>
      <c r="P1382" s="103" t="s">
        <v>1679</v>
      </c>
      <c r="Q1382" s="103" t="s">
        <v>1393</v>
      </c>
      <c r="R1382" s="103" t="s">
        <v>2225</v>
      </c>
      <c r="S1382" s="103" t="s">
        <v>2251</v>
      </c>
      <c r="U1382" s="103">
        <v>48.3</v>
      </c>
      <c r="V1382" s="103" t="s">
        <v>2158</v>
      </c>
      <c r="W1382" s="103" t="s">
        <v>106</v>
      </c>
      <c r="X1382" s="103" t="s">
        <v>345</v>
      </c>
      <c r="Y1382" s="103" t="s">
        <v>2240</v>
      </c>
      <c r="AA1382" s="103" t="s">
        <v>2225</v>
      </c>
      <c r="AB1382" s="103" t="s">
        <v>64</v>
      </c>
      <c r="AE1382" s="103" t="s">
        <v>750</v>
      </c>
      <c r="AF1382" s="103" t="b">
        <v>1</v>
      </c>
    </row>
    <row r="1383" spans="1:32" hidden="1" x14ac:dyDescent="0.2">
      <c r="A1383" s="103" t="s">
        <v>3827</v>
      </c>
      <c r="B1383" s="103" t="s">
        <v>1404</v>
      </c>
      <c r="C1383" s="103" t="s">
        <v>3511</v>
      </c>
      <c r="D1383" s="103" t="s">
        <v>3528</v>
      </c>
      <c r="E1383" s="103" t="s">
        <v>2605</v>
      </c>
      <c r="F1383" s="103" t="s">
        <v>2232</v>
      </c>
      <c r="G1383" s="103">
        <v>300</v>
      </c>
      <c r="H1383" s="103" t="s">
        <v>2168</v>
      </c>
      <c r="I1383" s="103" t="s">
        <v>2153</v>
      </c>
      <c r="J1383" s="103">
        <v>300</v>
      </c>
      <c r="N1383" s="103" t="s">
        <v>2163</v>
      </c>
      <c r="O1383" s="103">
        <v>300</v>
      </c>
      <c r="P1383" s="103" t="s">
        <v>1679</v>
      </c>
      <c r="Q1383" s="103" t="s">
        <v>1393</v>
      </c>
      <c r="R1383" s="103" t="s">
        <v>2225</v>
      </c>
      <c r="S1383" s="103" t="s">
        <v>2251</v>
      </c>
      <c r="U1383" s="103">
        <v>144.9</v>
      </c>
      <c r="V1383" s="103" t="s">
        <v>2158</v>
      </c>
      <c r="W1383" s="103" t="s">
        <v>106</v>
      </c>
      <c r="X1383" s="103" t="s">
        <v>345</v>
      </c>
      <c r="Y1383" s="103" t="s">
        <v>2240</v>
      </c>
      <c r="AA1383" s="103" t="s">
        <v>2225</v>
      </c>
      <c r="AB1383" s="103" t="s">
        <v>64</v>
      </c>
      <c r="AE1383" s="103" t="s">
        <v>750</v>
      </c>
      <c r="AF1383" s="103" t="b">
        <v>1</v>
      </c>
    </row>
    <row r="1384" spans="1:32" hidden="1" x14ac:dyDescent="0.2">
      <c r="A1384" s="103" t="s">
        <v>3827</v>
      </c>
      <c r="B1384" s="103" t="s">
        <v>1404</v>
      </c>
      <c r="C1384" s="103" t="s">
        <v>3529</v>
      </c>
      <c r="D1384" s="103" t="s">
        <v>3530</v>
      </c>
      <c r="E1384" s="103" t="s">
        <v>2244</v>
      </c>
      <c r="F1384" s="103" t="s">
        <v>2151</v>
      </c>
      <c r="G1384" s="103">
        <v>100</v>
      </c>
      <c r="H1384" s="103" t="s">
        <v>2168</v>
      </c>
      <c r="I1384" s="103" t="s">
        <v>2153</v>
      </c>
      <c r="M1384" s="103">
        <v>100</v>
      </c>
      <c r="N1384" s="103" t="s">
        <v>2402</v>
      </c>
      <c r="O1384" s="103">
        <v>100</v>
      </c>
      <c r="P1384" s="103" t="s">
        <v>1232</v>
      </c>
      <c r="Q1384" s="103" t="s">
        <v>1393</v>
      </c>
      <c r="R1384" s="103" t="s">
        <v>2225</v>
      </c>
      <c r="S1384" s="103" t="s">
        <v>2247</v>
      </c>
      <c r="U1384" s="103">
        <v>48.3</v>
      </c>
      <c r="V1384" s="103" t="s">
        <v>2262</v>
      </c>
      <c r="W1384" s="103" t="s">
        <v>106</v>
      </c>
      <c r="X1384" s="103" t="s">
        <v>345</v>
      </c>
      <c r="Y1384" s="103" t="s">
        <v>2240</v>
      </c>
      <c r="AA1384" s="103" t="s">
        <v>2225</v>
      </c>
      <c r="AB1384" s="103" t="s">
        <v>64</v>
      </c>
      <c r="AE1384" s="103" t="s">
        <v>750</v>
      </c>
      <c r="AF1384" s="103" t="b">
        <v>1</v>
      </c>
    </row>
    <row r="1385" spans="1:32" hidden="1" x14ac:dyDescent="0.2">
      <c r="A1385" s="103" t="s">
        <v>3827</v>
      </c>
      <c r="B1385" s="103" t="s">
        <v>1404</v>
      </c>
      <c r="C1385" s="103" t="s">
        <v>3531</v>
      </c>
      <c r="D1385" s="103" t="s">
        <v>3532</v>
      </c>
      <c r="G1385" s="103">
        <v>230</v>
      </c>
      <c r="H1385" s="103" t="s">
        <v>2152</v>
      </c>
      <c r="I1385" s="103" t="s">
        <v>2153</v>
      </c>
      <c r="J1385" s="103">
        <v>100</v>
      </c>
      <c r="K1385" s="103">
        <v>130</v>
      </c>
      <c r="N1385" s="103" t="s">
        <v>2154</v>
      </c>
      <c r="O1385" s="103">
        <v>230</v>
      </c>
      <c r="P1385" s="103" t="s">
        <v>2086</v>
      </c>
      <c r="Q1385" s="103" t="s">
        <v>1393</v>
      </c>
      <c r="R1385" s="103">
        <v>0</v>
      </c>
      <c r="U1385" s="103">
        <v>0</v>
      </c>
      <c r="V1385" s="103" t="s">
        <v>2416</v>
      </c>
      <c r="W1385" s="103">
        <v>0</v>
      </c>
      <c r="X1385" s="103" t="s">
        <v>345</v>
      </c>
      <c r="Y1385" s="103" t="s">
        <v>2240</v>
      </c>
      <c r="AA1385" s="103">
        <v>0</v>
      </c>
      <c r="AB1385" s="103" t="s">
        <v>64</v>
      </c>
      <c r="AE1385" s="103" t="s">
        <v>750</v>
      </c>
      <c r="AF1385" s="103" t="b">
        <v>1</v>
      </c>
    </row>
    <row r="1386" spans="1:32" hidden="1" x14ac:dyDescent="0.2">
      <c r="A1386" s="103" t="s">
        <v>3827</v>
      </c>
      <c r="B1386" s="103" t="s">
        <v>1404</v>
      </c>
      <c r="C1386" s="103" t="s">
        <v>3533</v>
      </c>
      <c r="D1386" s="103" t="s">
        <v>3534</v>
      </c>
      <c r="E1386" s="103" t="s">
        <v>2740</v>
      </c>
      <c r="G1386" s="103">
        <v>230</v>
      </c>
      <c r="H1386" s="103" t="s">
        <v>2152</v>
      </c>
      <c r="I1386" s="103" t="s">
        <v>2153</v>
      </c>
      <c r="J1386" s="103">
        <v>100</v>
      </c>
      <c r="K1386" s="103">
        <v>130</v>
      </c>
      <c r="N1386" s="103" t="s">
        <v>2260</v>
      </c>
      <c r="O1386" s="103">
        <v>230</v>
      </c>
      <c r="P1386" s="103" t="s">
        <v>2086</v>
      </c>
      <c r="Q1386" s="103" t="s">
        <v>1393</v>
      </c>
      <c r="R1386" s="103" t="s">
        <v>121</v>
      </c>
      <c r="S1386" s="103" t="s">
        <v>2427</v>
      </c>
      <c r="U1386" s="103">
        <v>117.99</v>
      </c>
      <c r="V1386" s="103" t="s">
        <v>2262</v>
      </c>
      <c r="W1386" s="103" t="s">
        <v>121</v>
      </c>
      <c r="X1386" s="103" t="s">
        <v>345</v>
      </c>
      <c r="Y1386" s="103" t="s">
        <v>2240</v>
      </c>
      <c r="AA1386" s="103" t="s">
        <v>121</v>
      </c>
      <c r="AB1386" s="103" t="s">
        <v>64</v>
      </c>
      <c r="AE1386" s="103" t="s">
        <v>750</v>
      </c>
      <c r="AF1386" s="103" t="b">
        <v>1</v>
      </c>
    </row>
    <row r="1387" spans="1:32" hidden="1" x14ac:dyDescent="0.2">
      <c r="A1387" s="103" t="s">
        <v>3827</v>
      </c>
      <c r="B1387" s="103" t="s">
        <v>1404</v>
      </c>
      <c r="C1387" s="103" t="s">
        <v>3535</v>
      </c>
      <c r="D1387" s="103" t="s">
        <v>3536</v>
      </c>
      <c r="E1387" s="103" t="s">
        <v>2601</v>
      </c>
      <c r="G1387" s="103">
        <v>100</v>
      </c>
      <c r="H1387" s="103" t="s">
        <v>2168</v>
      </c>
      <c r="I1387" s="103" t="s">
        <v>2153</v>
      </c>
      <c r="M1387" s="103">
        <v>100</v>
      </c>
      <c r="N1387" s="103" t="s">
        <v>2402</v>
      </c>
      <c r="O1387" s="103">
        <v>100</v>
      </c>
      <c r="P1387" s="103" t="s">
        <v>1617</v>
      </c>
      <c r="Q1387" s="103" t="s">
        <v>1393</v>
      </c>
      <c r="R1387" s="103" t="s">
        <v>2225</v>
      </c>
      <c r="S1387" s="103" t="s">
        <v>2192</v>
      </c>
      <c r="U1387" s="103">
        <v>48.3</v>
      </c>
      <c r="V1387" s="103" t="s">
        <v>2262</v>
      </c>
      <c r="W1387" s="103" t="s">
        <v>106</v>
      </c>
      <c r="X1387" s="103" t="s">
        <v>345</v>
      </c>
      <c r="Y1387" s="103" t="s">
        <v>2240</v>
      </c>
      <c r="AA1387" s="103" t="s">
        <v>2225</v>
      </c>
      <c r="AB1387" s="103" t="s">
        <v>64</v>
      </c>
      <c r="AE1387" s="103" t="s">
        <v>750</v>
      </c>
      <c r="AF1387" s="103" t="b">
        <v>1</v>
      </c>
    </row>
    <row r="1388" spans="1:32" hidden="1" x14ac:dyDescent="0.2">
      <c r="A1388" s="103" t="s">
        <v>3827</v>
      </c>
      <c r="B1388" s="103" t="s">
        <v>1404</v>
      </c>
      <c r="C1388" s="103" t="s">
        <v>3529</v>
      </c>
      <c r="D1388" s="103" t="s">
        <v>3537</v>
      </c>
      <c r="E1388" s="103" t="s">
        <v>2603</v>
      </c>
      <c r="G1388" s="103">
        <v>400</v>
      </c>
      <c r="H1388" s="103" t="s">
        <v>2168</v>
      </c>
      <c r="I1388" s="103" t="s">
        <v>2153</v>
      </c>
      <c r="M1388" s="103">
        <v>400</v>
      </c>
      <c r="N1388" s="103" t="s">
        <v>2402</v>
      </c>
      <c r="O1388" s="103">
        <v>400</v>
      </c>
      <c r="P1388" s="103" t="s">
        <v>1617</v>
      </c>
      <c r="Q1388" s="103" t="s">
        <v>1393</v>
      </c>
      <c r="R1388" s="103" t="s">
        <v>121</v>
      </c>
      <c r="S1388" s="103" t="s">
        <v>2427</v>
      </c>
      <c r="U1388" s="103">
        <v>205.2</v>
      </c>
      <c r="V1388" s="103" t="s">
        <v>2262</v>
      </c>
      <c r="W1388" s="103" t="s">
        <v>121</v>
      </c>
      <c r="X1388" s="103" t="s">
        <v>345</v>
      </c>
      <c r="Y1388" s="103" t="s">
        <v>2240</v>
      </c>
      <c r="AA1388" s="103" t="s">
        <v>121</v>
      </c>
      <c r="AB1388" s="103" t="s">
        <v>64</v>
      </c>
      <c r="AE1388" s="103" t="s">
        <v>750</v>
      </c>
      <c r="AF1388" s="103" t="b">
        <v>1</v>
      </c>
    </row>
    <row r="1389" spans="1:32" hidden="1" x14ac:dyDescent="0.2">
      <c r="A1389" s="103" t="s">
        <v>3827</v>
      </c>
      <c r="B1389" s="103" t="s">
        <v>1404</v>
      </c>
      <c r="C1389" s="103" t="s">
        <v>3538</v>
      </c>
      <c r="D1389" s="103" t="s">
        <v>3539</v>
      </c>
      <c r="E1389" s="103" t="s">
        <v>2244</v>
      </c>
      <c r="F1389" s="103" t="s">
        <v>2202</v>
      </c>
      <c r="G1389" s="103">
        <v>400</v>
      </c>
      <c r="H1389" s="103" t="s">
        <v>2152</v>
      </c>
      <c r="I1389" s="103" t="s">
        <v>2153</v>
      </c>
      <c r="M1389" s="103">
        <v>400</v>
      </c>
      <c r="N1389" s="103" t="s">
        <v>2402</v>
      </c>
      <c r="O1389" s="103">
        <v>400</v>
      </c>
      <c r="P1389" s="103" t="s">
        <v>1617</v>
      </c>
      <c r="Q1389" s="103" t="s">
        <v>1393</v>
      </c>
      <c r="R1389" s="103" t="s">
        <v>2225</v>
      </c>
      <c r="S1389" s="103" t="s">
        <v>2247</v>
      </c>
      <c r="U1389" s="103">
        <v>193.2</v>
      </c>
      <c r="V1389" s="103" t="s">
        <v>2262</v>
      </c>
      <c r="W1389" s="103" t="s">
        <v>106</v>
      </c>
      <c r="X1389" s="103" t="s">
        <v>345</v>
      </c>
      <c r="Y1389" s="103" t="s">
        <v>2240</v>
      </c>
      <c r="AA1389" s="103" t="s">
        <v>2225</v>
      </c>
      <c r="AB1389" s="103" t="s">
        <v>64</v>
      </c>
      <c r="AE1389" s="103" t="s">
        <v>750</v>
      </c>
      <c r="AF1389" s="103" t="b">
        <v>1</v>
      </c>
    </row>
    <row r="1390" spans="1:32" hidden="1" x14ac:dyDescent="0.2">
      <c r="A1390" s="103" t="s">
        <v>3827</v>
      </c>
      <c r="B1390" s="103" t="s">
        <v>1404</v>
      </c>
      <c r="C1390" s="103" t="s">
        <v>3540</v>
      </c>
      <c r="D1390" s="103" t="s">
        <v>3541</v>
      </c>
      <c r="E1390" s="103" t="s">
        <v>2562</v>
      </c>
      <c r="F1390" s="103" t="s">
        <v>2151</v>
      </c>
      <c r="G1390" s="103">
        <v>150</v>
      </c>
      <c r="H1390" s="103" t="s">
        <v>2168</v>
      </c>
      <c r="I1390" s="103" t="s">
        <v>2153</v>
      </c>
      <c r="J1390" s="103">
        <v>0</v>
      </c>
      <c r="K1390" s="103">
        <v>0</v>
      </c>
      <c r="L1390" s="103">
        <v>0</v>
      </c>
      <c r="M1390" s="103">
        <v>150</v>
      </c>
      <c r="N1390" s="103" t="s">
        <v>2273</v>
      </c>
      <c r="O1390" s="103">
        <v>150</v>
      </c>
      <c r="P1390" s="103" t="s">
        <v>1617</v>
      </c>
      <c r="Q1390" s="103" t="s">
        <v>1393</v>
      </c>
      <c r="R1390" s="103" t="s">
        <v>2225</v>
      </c>
      <c r="S1390" s="103" t="s">
        <v>2238</v>
      </c>
      <c r="U1390" s="103">
        <v>72.45</v>
      </c>
      <c r="V1390" s="103" t="s">
        <v>2262</v>
      </c>
      <c r="W1390" s="103" t="s">
        <v>106</v>
      </c>
      <c r="X1390" s="103" t="s">
        <v>345</v>
      </c>
      <c r="Y1390" s="103" t="s">
        <v>2240</v>
      </c>
      <c r="AA1390" s="103" t="s">
        <v>2225</v>
      </c>
      <c r="AB1390" s="103" t="s">
        <v>64</v>
      </c>
      <c r="AE1390" s="103" t="s">
        <v>750</v>
      </c>
      <c r="AF1390" s="103" t="b">
        <v>1</v>
      </c>
    </row>
    <row r="1391" spans="1:32" hidden="1" x14ac:dyDescent="0.2">
      <c r="A1391" s="103" t="s">
        <v>3827</v>
      </c>
      <c r="B1391" s="103" t="s">
        <v>1404</v>
      </c>
      <c r="C1391" s="103" t="s">
        <v>3529</v>
      </c>
      <c r="D1391" s="103" t="s">
        <v>3542</v>
      </c>
      <c r="E1391" s="103" t="s">
        <v>2601</v>
      </c>
      <c r="G1391" s="103">
        <v>200</v>
      </c>
      <c r="H1391" s="103" t="s">
        <v>2168</v>
      </c>
      <c r="I1391" s="103" t="s">
        <v>2153</v>
      </c>
      <c r="M1391" s="103">
        <v>200</v>
      </c>
      <c r="N1391" s="103" t="s">
        <v>2402</v>
      </c>
      <c r="O1391" s="103">
        <v>200</v>
      </c>
      <c r="P1391" s="103" t="s">
        <v>1617</v>
      </c>
      <c r="Q1391" s="103" t="s">
        <v>1393</v>
      </c>
      <c r="R1391" s="103" t="s">
        <v>2225</v>
      </c>
      <c r="S1391" s="103" t="s">
        <v>2192</v>
      </c>
      <c r="T1391" s="103" t="s">
        <v>3543</v>
      </c>
      <c r="U1391" s="103">
        <v>96.6</v>
      </c>
      <c r="V1391" s="103" t="s">
        <v>2262</v>
      </c>
      <c r="W1391" s="103" t="s">
        <v>106</v>
      </c>
      <c r="X1391" s="103" t="s">
        <v>345</v>
      </c>
      <c r="Y1391" s="103" t="s">
        <v>2240</v>
      </c>
      <c r="AA1391" s="103" t="s">
        <v>2225</v>
      </c>
      <c r="AB1391" s="103" t="s">
        <v>64</v>
      </c>
      <c r="AE1391" s="103" t="s">
        <v>750</v>
      </c>
      <c r="AF1391" s="103" t="b">
        <v>1</v>
      </c>
    </row>
    <row r="1392" spans="1:32" hidden="1" x14ac:dyDescent="0.2">
      <c r="A1392" s="103" t="s">
        <v>3827</v>
      </c>
      <c r="B1392" s="103" t="s">
        <v>1404</v>
      </c>
      <c r="C1392" s="103" t="s">
        <v>3529</v>
      </c>
      <c r="D1392" s="103" t="s">
        <v>3544</v>
      </c>
      <c r="E1392" s="103" t="s">
        <v>2601</v>
      </c>
      <c r="G1392" s="103">
        <v>200</v>
      </c>
      <c r="H1392" s="103" t="s">
        <v>2168</v>
      </c>
      <c r="I1392" s="103" t="s">
        <v>2153</v>
      </c>
      <c r="M1392" s="103">
        <v>200</v>
      </c>
      <c r="N1392" s="103" t="s">
        <v>2402</v>
      </c>
      <c r="O1392" s="103">
        <v>200</v>
      </c>
      <c r="P1392" s="103" t="s">
        <v>1617</v>
      </c>
      <c r="Q1392" s="103" t="s">
        <v>1393</v>
      </c>
      <c r="R1392" s="103" t="s">
        <v>2225</v>
      </c>
      <c r="S1392" s="103" t="s">
        <v>2192</v>
      </c>
      <c r="T1392" s="103" t="s">
        <v>3543</v>
      </c>
      <c r="U1392" s="103">
        <v>96.6</v>
      </c>
      <c r="V1392" s="103" t="s">
        <v>2262</v>
      </c>
      <c r="W1392" s="103" t="s">
        <v>106</v>
      </c>
      <c r="X1392" s="103" t="s">
        <v>345</v>
      </c>
      <c r="Y1392" s="103" t="s">
        <v>2240</v>
      </c>
      <c r="AA1392" s="103" t="s">
        <v>2225</v>
      </c>
      <c r="AB1392" s="103" t="s">
        <v>64</v>
      </c>
      <c r="AE1392" s="103" t="s">
        <v>750</v>
      </c>
      <c r="AF1392" s="103" t="b">
        <v>1</v>
      </c>
    </row>
    <row r="1393" spans="1:32" hidden="1" x14ac:dyDescent="0.2">
      <c r="A1393" s="103" t="s">
        <v>3827</v>
      </c>
      <c r="B1393" s="103" t="s">
        <v>1404</v>
      </c>
      <c r="C1393" s="103" t="s">
        <v>3540</v>
      </c>
      <c r="D1393" s="103" t="s">
        <v>3545</v>
      </c>
      <c r="E1393" s="103" t="s">
        <v>2562</v>
      </c>
      <c r="F1393" s="103" t="s">
        <v>2151</v>
      </c>
      <c r="G1393" s="103">
        <v>150</v>
      </c>
      <c r="H1393" s="103" t="s">
        <v>2168</v>
      </c>
      <c r="I1393" s="103" t="s">
        <v>2153</v>
      </c>
      <c r="J1393" s="103">
        <v>0</v>
      </c>
      <c r="K1393" s="103">
        <v>0</v>
      </c>
      <c r="L1393" s="103">
        <v>0</v>
      </c>
      <c r="M1393" s="103">
        <v>150</v>
      </c>
      <c r="N1393" s="103" t="s">
        <v>2260</v>
      </c>
      <c r="O1393" s="103">
        <v>150</v>
      </c>
      <c r="P1393" s="103" t="s">
        <v>1617</v>
      </c>
      <c r="Q1393" s="103" t="s">
        <v>1393</v>
      </c>
      <c r="R1393" s="103" t="s">
        <v>2225</v>
      </c>
      <c r="S1393" s="103" t="s">
        <v>2238</v>
      </c>
      <c r="U1393" s="103">
        <v>72.45</v>
      </c>
      <c r="V1393" s="103" t="s">
        <v>2262</v>
      </c>
      <c r="W1393" s="103" t="s">
        <v>106</v>
      </c>
      <c r="X1393" s="103" t="s">
        <v>345</v>
      </c>
      <c r="Y1393" s="103" t="s">
        <v>2240</v>
      </c>
      <c r="AA1393" s="103" t="s">
        <v>2225</v>
      </c>
      <c r="AB1393" s="103" t="s">
        <v>64</v>
      </c>
      <c r="AE1393" s="103" t="s">
        <v>750</v>
      </c>
      <c r="AF1393" s="103" t="b">
        <v>1</v>
      </c>
    </row>
    <row r="1394" spans="1:32" hidden="1" x14ac:dyDescent="0.2">
      <c r="A1394" s="103" t="s">
        <v>3827</v>
      </c>
      <c r="B1394" s="103" t="s">
        <v>1404</v>
      </c>
      <c r="C1394" s="103" t="s">
        <v>3529</v>
      </c>
      <c r="D1394" s="103" t="s">
        <v>3546</v>
      </c>
      <c r="E1394" s="103" t="s">
        <v>2601</v>
      </c>
      <c r="G1394" s="103">
        <v>200</v>
      </c>
      <c r="H1394" s="103" t="s">
        <v>2168</v>
      </c>
      <c r="I1394" s="103" t="s">
        <v>2153</v>
      </c>
      <c r="M1394" s="103">
        <v>200</v>
      </c>
      <c r="N1394" s="103" t="s">
        <v>2402</v>
      </c>
      <c r="O1394" s="103">
        <v>200</v>
      </c>
      <c r="P1394" s="103" t="s">
        <v>1617</v>
      </c>
      <c r="Q1394" s="103" t="s">
        <v>1393</v>
      </c>
      <c r="R1394" s="103" t="s">
        <v>2225</v>
      </c>
      <c r="S1394" s="103" t="s">
        <v>2192</v>
      </c>
      <c r="T1394" s="103" t="s">
        <v>3543</v>
      </c>
      <c r="U1394" s="103">
        <v>96.6</v>
      </c>
      <c r="V1394" s="103" t="s">
        <v>2262</v>
      </c>
      <c r="W1394" s="103" t="s">
        <v>106</v>
      </c>
      <c r="X1394" s="103" t="s">
        <v>345</v>
      </c>
      <c r="Y1394" s="103" t="s">
        <v>2240</v>
      </c>
      <c r="AA1394" s="103" t="s">
        <v>2225</v>
      </c>
      <c r="AB1394" s="103" t="s">
        <v>64</v>
      </c>
      <c r="AE1394" s="103" t="s">
        <v>750</v>
      </c>
      <c r="AF1394" s="103" t="b">
        <v>1</v>
      </c>
    </row>
    <row r="1395" spans="1:32" hidden="1" x14ac:dyDescent="0.2">
      <c r="A1395" s="103" t="s">
        <v>3827</v>
      </c>
      <c r="B1395" s="103" t="s">
        <v>1404</v>
      </c>
      <c r="C1395" s="103" t="s">
        <v>3540</v>
      </c>
      <c r="D1395" s="103" t="s">
        <v>3547</v>
      </c>
      <c r="E1395" s="103" t="s">
        <v>2562</v>
      </c>
      <c r="F1395" s="103" t="s">
        <v>2151</v>
      </c>
      <c r="G1395" s="103">
        <v>150</v>
      </c>
      <c r="H1395" s="103" t="s">
        <v>2168</v>
      </c>
      <c r="I1395" s="103" t="s">
        <v>2153</v>
      </c>
      <c r="J1395" s="103">
        <v>0</v>
      </c>
      <c r="K1395" s="103">
        <v>0</v>
      </c>
      <c r="L1395" s="103">
        <v>0</v>
      </c>
      <c r="M1395" s="103">
        <v>150</v>
      </c>
      <c r="N1395" s="103" t="s">
        <v>2260</v>
      </c>
      <c r="O1395" s="103">
        <v>150</v>
      </c>
      <c r="P1395" s="103" t="s">
        <v>1617</v>
      </c>
      <c r="Q1395" s="103" t="s">
        <v>1393</v>
      </c>
      <c r="R1395" s="103" t="s">
        <v>2225</v>
      </c>
      <c r="S1395" s="103" t="s">
        <v>2238</v>
      </c>
      <c r="U1395" s="103">
        <v>72.45</v>
      </c>
      <c r="V1395" s="103" t="s">
        <v>2262</v>
      </c>
      <c r="W1395" s="103" t="s">
        <v>106</v>
      </c>
      <c r="X1395" s="103" t="s">
        <v>345</v>
      </c>
      <c r="Y1395" s="103" t="s">
        <v>2240</v>
      </c>
      <c r="AA1395" s="103" t="s">
        <v>2225</v>
      </c>
      <c r="AB1395" s="103" t="s">
        <v>64</v>
      </c>
      <c r="AE1395" s="103" t="s">
        <v>750</v>
      </c>
      <c r="AF1395" s="103" t="b">
        <v>1</v>
      </c>
    </row>
    <row r="1396" spans="1:32" hidden="1" x14ac:dyDescent="0.2">
      <c r="A1396" s="103" t="s">
        <v>3827</v>
      </c>
      <c r="B1396" s="103" t="s">
        <v>1404</v>
      </c>
      <c r="C1396" s="103" t="s">
        <v>3529</v>
      </c>
      <c r="D1396" s="103" t="s">
        <v>3548</v>
      </c>
      <c r="E1396" s="103" t="s">
        <v>2601</v>
      </c>
      <c r="G1396" s="103">
        <v>654</v>
      </c>
      <c r="H1396" s="103" t="s">
        <v>2168</v>
      </c>
      <c r="I1396" s="103" t="s">
        <v>2153</v>
      </c>
      <c r="M1396" s="103">
        <v>654</v>
      </c>
      <c r="N1396" s="103" t="s">
        <v>2273</v>
      </c>
      <c r="O1396" s="103">
        <v>654</v>
      </c>
      <c r="P1396" s="103" t="s">
        <v>1617</v>
      </c>
      <c r="Q1396" s="103" t="s">
        <v>1393</v>
      </c>
      <c r="R1396" s="103" t="s">
        <v>2225</v>
      </c>
      <c r="S1396" s="103" t="s">
        <v>2192</v>
      </c>
      <c r="U1396" s="103">
        <v>315.88200000000001</v>
      </c>
      <c r="V1396" s="103" t="s">
        <v>2262</v>
      </c>
      <c r="W1396" s="103" t="s">
        <v>106</v>
      </c>
      <c r="X1396" s="103" t="s">
        <v>345</v>
      </c>
      <c r="Y1396" s="103" t="s">
        <v>2240</v>
      </c>
      <c r="AA1396" s="103" t="s">
        <v>2225</v>
      </c>
      <c r="AB1396" s="103" t="s">
        <v>64</v>
      </c>
      <c r="AE1396" s="103" t="s">
        <v>750</v>
      </c>
      <c r="AF1396" s="103" t="b">
        <v>1</v>
      </c>
    </row>
    <row r="1397" spans="1:32" hidden="1" x14ac:dyDescent="0.2">
      <c r="A1397" s="103" t="s">
        <v>3827</v>
      </c>
      <c r="B1397" s="103" t="s">
        <v>1404</v>
      </c>
      <c r="C1397" s="103" t="s">
        <v>3529</v>
      </c>
      <c r="D1397" s="103" t="s">
        <v>3549</v>
      </c>
      <c r="E1397" s="103" t="s">
        <v>2601</v>
      </c>
      <c r="G1397" s="103">
        <v>200</v>
      </c>
      <c r="H1397" s="103" t="s">
        <v>2168</v>
      </c>
      <c r="I1397" s="103" t="s">
        <v>2153</v>
      </c>
      <c r="M1397" s="103">
        <v>200</v>
      </c>
      <c r="N1397" s="103" t="s">
        <v>2402</v>
      </c>
      <c r="O1397" s="103">
        <v>200</v>
      </c>
      <c r="P1397" s="103" t="s">
        <v>1617</v>
      </c>
      <c r="Q1397" s="103" t="s">
        <v>1393</v>
      </c>
      <c r="R1397" s="103" t="s">
        <v>2225</v>
      </c>
      <c r="S1397" s="103" t="s">
        <v>2192</v>
      </c>
      <c r="T1397" s="103" t="s">
        <v>3543</v>
      </c>
      <c r="U1397" s="103">
        <v>96.6</v>
      </c>
      <c r="V1397" s="103" t="s">
        <v>2262</v>
      </c>
      <c r="W1397" s="103" t="s">
        <v>106</v>
      </c>
      <c r="X1397" s="103" t="s">
        <v>345</v>
      </c>
      <c r="Y1397" s="103" t="s">
        <v>2240</v>
      </c>
      <c r="AA1397" s="103" t="s">
        <v>2225</v>
      </c>
      <c r="AB1397" s="103" t="s">
        <v>64</v>
      </c>
      <c r="AE1397" s="103" t="s">
        <v>750</v>
      </c>
      <c r="AF1397" s="103" t="b">
        <v>1</v>
      </c>
    </row>
    <row r="1398" spans="1:32" hidden="1" x14ac:dyDescent="0.2">
      <c r="A1398" s="103" t="s">
        <v>3827</v>
      </c>
      <c r="B1398" s="103" t="s">
        <v>1404</v>
      </c>
      <c r="C1398" s="103" t="s">
        <v>3540</v>
      </c>
      <c r="D1398" s="103" t="s">
        <v>3550</v>
      </c>
      <c r="E1398" s="103" t="s">
        <v>2562</v>
      </c>
      <c r="F1398" s="103" t="s">
        <v>2151</v>
      </c>
      <c r="G1398" s="103">
        <v>150</v>
      </c>
      <c r="H1398" s="103" t="s">
        <v>2168</v>
      </c>
      <c r="I1398" s="103" t="s">
        <v>2153</v>
      </c>
      <c r="J1398" s="103">
        <v>0</v>
      </c>
      <c r="K1398" s="103">
        <v>0</v>
      </c>
      <c r="L1398" s="103">
        <v>0</v>
      </c>
      <c r="M1398" s="103">
        <v>150</v>
      </c>
      <c r="N1398" s="103" t="s">
        <v>2260</v>
      </c>
      <c r="O1398" s="103">
        <v>150</v>
      </c>
      <c r="P1398" s="103" t="s">
        <v>1617</v>
      </c>
      <c r="Q1398" s="103" t="s">
        <v>1393</v>
      </c>
      <c r="R1398" s="103" t="s">
        <v>2225</v>
      </c>
      <c r="S1398" s="103" t="s">
        <v>2238</v>
      </c>
      <c r="U1398" s="103">
        <v>72.45</v>
      </c>
      <c r="V1398" s="103" t="s">
        <v>2262</v>
      </c>
      <c r="W1398" s="103" t="s">
        <v>106</v>
      </c>
      <c r="X1398" s="103" t="s">
        <v>345</v>
      </c>
      <c r="Y1398" s="103" t="s">
        <v>2240</v>
      </c>
      <c r="AA1398" s="103" t="s">
        <v>2225</v>
      </c>
      <c r="AB1398" s="103" t="s">
        <v>64</v>
      </c>
      <c r="AE1398" s="103" t="s">
        <v>750</v>
      </c>
      <c r="AF1398" s="103" t="b">
        <v>1</v>
      </c>
    </row>
    <row r="1399" spans="1:32" hidden="1" x14ac:dyDescent="0.2">
      <c r="A1399" s="103" t="s">
        <v>3827</v>
      </c>
      <c r="B1399" s="103" t="s">
        <v>1404</v>
      </c>
      <c r="C1399" s="103" t="s">
        <v>3529</v>
      </c>
      <c r="D1399" s="103" t="s">
        <v>3551</v>
      </c>
      <c r="E1399" s="103" t="s">
        <v>2601</v>
      </c>
      <c r="G1399" s="103">
        <v>320</v>
      </c>
      <c r="H1399" s="103" t="s">
        <v>2168</v>
      </c>
      <c r="I1399" s="103" t="s">
        <v>2153</v>
      </c>
      <c r="M1399" s="103">
        <v>320</v>
      </c>
      <c r="N1399" s="103" t="s">
        <v>2273</v>
      </c>
      <c r="O1399" s="103">
        <v>320</v>
      </c>
      <c r="P1399" s="103" t="s">
        <v>1617</v>
      </c>
      <c r="Q1399" s="103" t="s">
        <v>1393</v>
      </c>
      <c r="R1399" s="103" t="s">
        <v>2225</v>
      </c>
      <c r="S1399" s="103" t="s">
        <v>2192</v>
      </c>
      <c r="U1399" s="103">
        <v>154.56</v>
      </c>
      <c r="V1399" s="103" t="s">
        <v>2262</v>
      </c>
      <c r="W1399" s="103" t="s">
        <v>106</v>
      </c>
      <c r="X1399" s="103" t="s">
        <v>345</v>
      </c>
      <c r="Y1399" s="103" t="s">
        <v>2240</v>
      </c>
      <c r="AA1399" s="103" t="s">
        <v>2225</v>
      </c>
      <c r="AB1399" s="103" t="s">
        <v>64</v>
      </c>
      <c r="AE1399" s="103" t="s">
        <v>750</v>
      </c>
      <c r="AF1399" s="103" t="b">
        <v>1</v>
      </c>
    </row>
    <row r="1400" spans="1:32" hidden="1" x14ac:dyDescent="0.2">
      <c r="A1400" s="103" t="s">
        <v>3827</v>
      </c>
      <c r="B1400" s="103" t="s">
        <v>1404</v>
      </c>
      <c r="C1400" s="103" t="s">
        <v>3529</v>
      </c>
      <c r="D1400" s="103" t="s">
        <v>3552</v>
      </c>
      <c r="E1400" s="103" t="s">
        <v>2601</v>
      </c>
      <c r="G1400" s="103">
        <v>200</v>
      </c>
      <c r="H1400" s="103" t="s">
        <v>2168</v>
      </c>
      <c r="I1400" s="103" t="s">
        <v>2153</v>
      </c>
      <c r="M1400" s="103">
        <v>200</v>
      </c>
      <c r="N1400" s="103" t="s">
        <v>2273</v>
      </c>
      <c r="O1400" s="103">
        <v>200</v>
      </c>
      <c r="P1400" s="103" t="s">
        <v>1617</v>
      </c>
      <c r="Q1400" s="103" t="s">
        <v>1393</v>
      </c>
      <c r="R1400" s="103" t="s">
        <v>2225</v>
      </c>
      <c r="S1400" s="103" t="s">
        <v>2192</v>
      </c>
      <c r="U1400" s="103">
        <v>96.6</v>
      </c>
      <c r="V1400" s="103" t="s">
        <v>2262</v>
      </c>
      <c r="W1400" s="103" t="s">
        <v>106</v>
      </c>
      <c r="X1400" s="103" t="s">
        <v>345</v>
      </c>
      <c r="Y1400" s="103" t="s">
        <v>2240</v>
      </c>
      <c r="AA1400" s="103" t="s">
        <v>2225</v>
      </c>
      <c r="AB1400" s="103" t="s">
        <v>64</v>
      </c>
      <c r="AE1400" s="103" t="s">
        <v>750</v>
      </c>
      <c r="AF1400" s="103" t="b">
        <v>1</v>
      </c>
    </row>
    <row r="1401" spans="1:32" hidden="1" x14ac:dyDescent="0.2">
      <c r="A1401" s="103" t="s">
        <v>3827</v>
      </c>
      <c r="B1401" s="103" t="s">
        <v>1404</v>
      </c>
      <c r="C1401" s="103" t="s">
        <v>3540</v>
      </c>
      <c r="D1401" s="103" t="s">
        <v>3553</v>
      </c>
      <c r="E1401" s="103" t="s">
        <v>2562</v>
      </c>
      <c r="F1401" s="103" t="s">
        <v>2151</v>
      </c>
      <c r="G1401" s="103">
        <v>150</v>
      </c>
      <c r="H1401" s="103" t="s">
        <v>2168</v>
      </c>
      <c r="I1401" s="103" t="s">
        <v>2153</v>
      </c>
      <c r="J1401" s="103">
        <v>0</v>
      </c>
      <c r="K1401" s="103">
        <v>0</v>
      </c>
      <c r="L1401" s="103">
        <v>150</v>
      </c>
      <c r="N1401" s="103" t="s">
        <v>2273</v>
      </c>
      <c r="O1401" s="103">
        <v>150</v>
      </c>
      <c r="P1401" s="103" t="s">
        <v>1617</v>
      </c>
      <c r="Q1401" s="103" t="s">
        <v>1393</v>
      </c>
      <c r="R1401" s="103" t="s">
        <v>2225</v>
      </c>
      <c r="S1401" s="103" t="s">
        <v>2238</v>
      </c>
      <c r="U1401" s="103">
        <v>72.45</v>
      </c>
      <c r="V1401" s="103" t="s">
        <v>2262</v>
      </c>
      <c r="W1401" s="103" t="s">
        <v>106</v>
      </c>
      <c r="X1401" s="103" t="s">
        <v>345</v>
      </c>
      <c r="Y1401" s="103" t="s">
        <v>2240</v>
      </c>
      <c r="AA1401" s="103" t="s">
        <v>2225</v>
      </c>
      <c r="AB1401" s="103" t="s">
        <v>64</v>
      </c>
      <c r="AE1401" s="103" t="s">
        <v>750</v>
      </c>
      <c r="AF1401" s="103" t="b">
        <v>1</v>
      </c>
    </row>
    <row r="1402" spans="1:32" hidden="1" x14ac:dyDescent="0.2">
      <c r="A1402" s="103" t="s">
        <v>3827</v>
      </c>
      <c r="B1402" s="103" t="s">
        <v>1404</v>
      </c>
      <c r="C1402" s="103" t="s">
        <v>3540</v>
      </c>
      <c r="D1402" s="103" t="s">
        <v>3554</v>
      </c>
      <c r="E1402" s="103" t="s">
        <v>2562</v>
      </c>
      <c r="F1402" s="103" t="s">
        <v>2151</v>
      </c>
      <c r="G1402" s="103">
        <v>150</v>
      </c>
      <c r="H1402" s="103" t="s">
        <v>2168</v>
      </c>
      <c r="I1402" s="103" t="s">
        <v>2153</v>
      </c>
      <c r="J1402" s="103">
        <v>0</v>
      </c>
      <c r="K1402" s="103">
        <v>0</v>
      </c>
      <c r="L1402" s="103">
        <v>150</v>
      </c>
      <c r="N1402" s="103" t="s">
        <v>2273</v>
      </c>
      <c r="O1402" s="103">
        <v>150</v>
      </c>
      <c r="P1402" s="103" t="s">
        <v>1617</v>
      </c>
      <c r="Q1402" s="103" t="s">
        <v>1393</v>
      </c>
      <c r="R1402" s="103" t="s">
        <v>2225</v>
      </c>
      <c r="S1402" s="103" t="s">
        <v>2238</v>
      </c>
      <c r="U1402" s="103">
        <v>72.45</v>
      </c>
      <c r="V1402" s="103" t="s">
        <v>2262</v>
      </c>
      <c r="W1402" s="103" t="s">
        <v>106</v>
      </c>
      <c r="X1402" s="103" t="s">
        <v>345</v>
      </c>
      <c r="Y1402" s="103" t="s">
        <v>2240</v>
      </c>
      <c r="AA1402" s="103" t="s">
        <v>2225</v>
      </c>
      <c r="AB1402" s="103" t="s">
        <v>64</v>
      </c>
      <c r="AE1402" s="103" t="s">
        <v>750</v>
      </c>
      <c r="AF1402" s="103" t="b">
        <v>1</v>
      </c>
    </row>
    <row r="1403" spans="1:32" hidden="1" x14ac:dyDescent="0.2">
      <c r="A1403" s="103" t="s">
        <v>3827</v>
      </c>
      <c r="B1403" s="103" t="s">
        <v>1404</v>
      </c>
      <c r="C1403" s="103" t="s">
        <v>3529</v>
      </c>
      <c r="D1403" s="103" t="s">
        <v>3555</v>
      </c>
      <c r="E1403" s="103" t="s">
        <v>2601</v>
      </c>
      <c r="G1403" s="103">
        <v>200</v>
      </c>
      <c r="H1403" s="103" t="s">
        <v>2168</v>
      </c>
      <c r="I1403" s="103" t="s">
        <v>2153</v>
      </c>
      <c r="M1403" s="103">
        <v>200</v>
      </c>
      <c r="N1403" s="103" t="s">
        <v>2402</v>
      </c>
      <c r="O1403" s="103">
        <v>200</v>
      </c>
      <c r="P1403" s="103" t="s">
        <v>1617</v>
      </c>
      <c r="Q1403" s="103" t="s">
        <v>1393</v>
      </c>
      <c r="R1403" s="103" t="s">
        <v>2225</v>
      </c>
      <c r="S1403" s="103" t="s">
        <v>2192</v>
      </c>
      <c r="T1403" s="103" t="s">
        <v>3543</v>
      </c>
      <c r="U1403" s="103">
        <v>96.6</v>
      </c>
      <c r="V1403" s="103" t="s">
        <v>2262</v>
      </c>
      <c r="W1403" s="103" t="s">
        <v>106</v>
      </c>
      <c r="X1403" s="103" t="s">
        <v>345</v>
      </c>
      <c r="Y1403" s="103" t="s">
        <v>2240</v>
      </c>
      <c r="AA1403" s="103" t="s">
        <v>2225</v>
      </c>
      <c r="AB1403" s="103" t="s">
        <v>64</v>
      </c>
      <c r="AE1403" s="103" t="s">
        <v>750</v>
      </c>
      <c r="AF1403" s="103" t="b">
        <v>1</v>
      </c>
    </row>
    <row r="1404" spans="1:32" hidden="1" x14ac:dyDescent="0.2">
      <c r="A1404" s="103" t="s">
        <v>3827</v>
      </c>
      <c r="B1404" s="103" t="s">
        <v>1404</v>
      </c>
      <c r="C1404" s="103" t="s">
        <v>3540</v>
      </c>
      <c r="D1404" s="103" t="s">
        <v>3556</v>
      </c>
      <c r="E1404" s="103" t="s">
        <v>2562</v>
      </c>
      <c r="F1404" s="103" t="s">
        <v>2151</v>
      </c>
      <c r="G1404" s="103">
        <v>150</v>
      </c>
      <c r="H1404" s="103" t="s">
        <v>2168</v>
      </c>
      <c r="I1404" s="103" t="s">
        <v>2153</v>
      </c>
      <c r="L1404" s="103">
        <v>150</v>
      </c>
      <c r="N1404" s="103" t="s">
        <v>2273</v>
      </c>
      <c r="O1404" s="103">
        <v>150</v>
      </c>
      <c r="P1404" s="103" t="s">
        <v>1617</v>
      </c>
      <c r="Q1404" s="103" t="s">
        <v>1393</v>
      </c>
      <c r="R1404" s="103" t="s">
        <v>2225</v>
      </c>
      <c r="S1404" s="103" t="s">
        <v>2238</v>
      </c>
      <c r="U1404" s="103">
        <v>72.45</v>
      </c>
      <c r="V1404" s="103" t="s">
        <v>2262</v>
      </c>
      <c r="W1404" s="103" t="s">
        <v>106</v>
      </c>
      <c r="X1404" s="103" t="s">
        <v>345</v>
      </c>
      <c r="Y1404" s="103" t="s">
        <v>2240</v>
      </c>
      <c r="AA1404" s="103" t="s">
        <v>2225</v>
      </c>
      <c r="AB1404" s="103" t="s">
        <v>64</v>
      </c>
      <c r="AE1404" s="103" t="s">
        <v>750</v>
      </c>
      <c r="AF1404" s="103" t="b">
        <v>1</v>
      </c>
    </row>
    <row r="1405" spans="1:32" hidden="1" x14ac:dyDescent="0.2">
      <c r="A1405" s="103" t="s">
        <v>3827</v>
      </c>
      <c r="B1405" s="103" t="s">
        <v>1404</v>
      </c>
      <c r="C1405" s="103" t="s">
        <v>3529</v>
      </c>
      <c r="D1405" s="103" t="s">
        <v>3557</v>
      </c>
      <c r="E1405" s="103" t="s">
        <v>2601</v>
      </c>
      <c r="G1405" s="103">
        <v>200</v>
      </c>
      <c r="H1405" s="103" t="s">
        <v>2168</v>
      </c>
      <c r="I1405" s="103" t="s">
        <v>2153</v>
      </c>
      <c r="M1405" s="103">
        <v>200</v>
      </c>
      <c r="N1405" s="103" t="s">
        <v>2402</v>
      </c>
      <c r="O1405" s="103">
        <v>200</v>
      </c>
      <c r="P1405" s="103" t="s">
        <v>1617</v>
      </c>
      <c r="Q1405" s="103" t="s">
        <v>1393</v>
      </c>
      <c r="R1405" s="103" t="s">
        <v>2225</v>
      </c>
      <c r="S1405" s="103" t="s">
        <v>2192</v>
      </c>
      <c r="T1405" s="103" t="s">
        <v>3543</v>
      </c>
      <c r="U1405" s="103">
        <v>96.6</v>
      </c>
      <c r="V1405" s="103" t="s">
        <v>2262</v>
      </c>
      <c r="W1405" s="103" t="s">
        <v>106</v>
      </c>
      <c r="X1405" s="103" t="s">
        <v>345</v>
      </c>
      <c r="Y1405" s="103" t="s">
        <v>2240</v>
      </c>
      <c r="AA1405" s="103" t="s">
        <v>2225</v>
      </c>
      <c r="AB1405" s="103" t="s">
        <v>64</v>
      </c>
      <c r="AE1405" s="103" t="s">
        <v>750</v>
      </c>
      <c r="AF1405" s="103" t="b">
        <v>1</v>
      </c>
    </row>
    <row r="1406" spans="1:32" hidden="1" x14ac:dyDescent="0.2">
      <c r="A1406" s="103" t="s">
        <v>3827</v>
      </c>
      <c r="B1406" s="103" t="s">
        <v>1404</v>
      </c>
      <c r="C1406" s="103" t="s">
        <v>3540</v>
      </c>
      <c r="D1406" s="103" t="s">
        <v>3558</v>
      </c>
      <c r="E1406" s="103" t="s">
        <v>2562</v>
      </c>
      <c r="F1406" s="103" t="s">
        <v>2151</v>
      </c>
      <c r="G1406" s="103">
        <v>150</v>
      </c>
      <c r="H1406" s="103" t="s">
        <v>2168</v>
      </c>
      <c r="I1406" s="103" t="s">
        <v>2153</v>
      </c>
      <c r="J1406" s="103">
        <v>0</v>
      </c>
      <c r="K1406" s="103">
        <v>0</v>
      </c>
      <c r="L1406" s="103">
        <v>0</v>
      </c>
      <c r="M1406" s="103">
        <v>150</v>
      </c>
      <c r="N1406" s="103" t="s">
        <v>2273</v>
      </c>
      <c r="O1406" s="103">
        <v>150</v>
      </c>
      <c r="P1406" s="103" t="s">
        <v>1617</v>
      </c>
      <c r="Q1406" s="103" t="s">
        <v>1393</v>
      </c>
      <c r="R1406" s="103" t="s">
        <v>2225</v>
      </c>
      <c r="S1406" s="103" t="s">
        <v>2238</v>
      </c>
      <c r="U1406" s="103">
        <v>72.45</v>
      </c>
      <c r="V1406" s="103" t="s">
        <v>2262</v>
      </c>
      <c r="W1406" s="103" t="s">
        <v>106</v>
      </c>
      <c r="X1406" s="103" t="s">
        <v>345</v>
      </c>
      <c r="Y1406" s="103" t="s">
        <v>2240</v>
      </c>
      <c r="AA1406" s="103" t="s">
        <v>2225</v>
      </c>
      <c r="AB1406" s="103" t="s">
        <v>64</v>
      </c>
      <c r="AE1406" s="103" t="s">
        <v>750</v>
      </c>
      <c r="AF1406" s="103" t="b">
        <v>1</v>
      </c>
    </row>
    <row r="1407" spans="1:32" hidden="1" x14ac:dyDescent="0.2">
      <c r="A1407" s="103" t="s">
        <v>3827</v>
      </c>
      <c r="B1407" s="103" t="s">
        <v>1404</v>
      </c>
      <c r="C1407" s="103" t="s">
        <v>3529</v>
      </c>
      <c r="D1407" s="103" t="s">
        <v>3559</v>
      </c>
      <c r="E1407" s="103" t="s">
        <v>2601</v>
      </c>
      <c r="G1407" s="103">
        <v>574</v>
      </c>
      <c r="H1407" s="103" t="s">
        <v>2168</v>
      </c>
      <c r="I1407" s="103" t="s">
        <v>2153</v>
      </c>
      <c r="M1407" s="103">
        <v>574</v>
      </c>
      <c r="N1407" s="103" t="s">
        <v>2273</v>
      </c>
      <c r="O1407" s="103">
        <v>574</v>
      </c>
      <c r="P1407" s="103" t="s">
        <v>1617</v>
      </c>
      <c r="Q1407" s="103" t="s">
        <v>1393</v>
      </c>
      <c r="R1407" s="103" t="s">
        <v>2225</v>
      </c>
      <c r="S1407" s="103" t="s">
        <v>2192</v>
      </c>
      <c r="U1407" s="103">
        <v>277.24200000000002</v>
      </c>
      <c r="V1407" s="103" t="s">
        <v>2262</v>
      </c>
      <c r="W1407" s="103" t="s">
        <v>106</v>
      </c>
      <c r="X1407" s="103" t="s">
        <v>345</v>
      </c>
      <c r="Y1407" s="103" t="s">
        <v>2240</v>
      </c>
      <c r="AA1407" s="103" t="s">
        <v>2225</v>
      </c>
      <c r="AB1407" s="103" t="s">
        <v>64</v>
      </c>
      <c r="AE1407" s="103" t="s">
        <v>750</v>
      </c>
      <c r="AF1407" s="103" t="b">
        <v>1</v>
      </c>
    </row>
    <row r="1408" spans="1:32" hidden="1" x14ac:dyDescent="0.2">
      <c r="A1408" s="103" t="s">
        <v>3827</v>
      </c>
      <c r="B1408" s="103" t="s">
        <v>1404</v>
      </c>
      <c r="C1408" s="103" t="s">
        <v>3540</v>
      </c>
      <c r="D1408" s="103" t="s">
        <v>3560</v>
      </c>
      <c r="E1408" s="103" t="s">
        <v>2562</v>
      </c>
      <c r="F1408" s="103" t="s">
        <v>2226</v>
      </c>
      <c r="G1408" s="103">
        <v>600</v>
      </c>
      <c r="H1408" s="103" t="s">
        <v>2168</v>
      </c>
      <c r="I1408" s="103" t="s">
        <v>2153</v>
      </c>
      <c r="J1408" s="103">
        <v>0</v>
      </c>
      <c r="L1408" s="103">
        <v>250</v>
      </c>
      <c r="M1408" s="103">
        <v>350</v>
      </c>
      <c r="N1408" s="103" t="s">
        <v>2260</v>
      </c>
      <c r="O1408" s="103">
        <v>600</v>
      </c>
      <c r="P1408" s="103" t="s">
        <v>1617</v>
      </c>
      <c r="Q1408" s="103" t="s">
        <v>1393</v>
      </c>
      <c r="R1408" s="103" t="s">
        <v>2225</v>
      </c>
      <c r="S1408" s="103" t="s">
        <v>2238</v>
      </c>
      <c r="U1408" s="103">
        <v>289.8</v>
      </c>
      <c r="V1408" s="103" t="s">
        <v>2262</v>
      </c>
      <c r="W1408" s="103" t="s">
        <v>106</v>
      </c>
      <c r="X1408" s="103" t="s">
        <v>345</v>
      </c>
      <c r="Y1408" s="103" t="s">
        <v>2240</v>
      </c>
      <c r="AA1408" s="103" t="s">
        <v>2225</v>
      </c>
      <c r="AB1408" s="103" t="s">
        <v>64</v>
      </c>
      <c r="AE1408" s="103" t="s">
        <v>750</v>
      </c>
      <c r="AF1408" s="103" t="b">
        <v>1</v>
      </c>
    </row>
    <row r="1409" spans="1:32" hidden="1" x14ac:dyDescent="0.2">
      <c r="A1409" s="103" t="s">
        <v>3827</v>
      </c>
      <c r="B1409" s="103" t="s">
        <v>1404</v>
      </c>
      <c r="C1409" s="103" t="s">
        <v>3561</v>
      </c>
      <c r="D1409" s="103" t="s">
        <v>3562</v>
      </c>
      <c r="E1409" s="103" t="s">
        <v>2244</v>
      </c>
      <c r="F1409" s="103" t="s">
        <v>2226</v>
      </c>
      <c r="G1409" s="103">
        <v>600</v>
      </c>
      <c r="H1409" s="103" t="s">
        <v>2168</v>
      </c>
      <c r="I1409" s="103" t="s">
        <v>2153</v>
      </c>
      <c r="M1409" s="103">
        <v>600</v>
      </c>
      <c r="N1409" s="103" t="s">
        <v>2273</v>
      </c>
      <c r="O1409" s="103">
        <v>600</v>
      </c>
      <c r="P1409" s="103" t="s">
        <v>1232</v>
      </c>
      <c r="Q1409" s="103" t="s">
        <v>1393</v>
      </c>
      <c r="R1409" s="103" t="s">
        <v>2225</v>
      </c>
      <c r="S1409" s="103" t="s">
        <v>2238</v>
      </c>
      <c r="U1409" s="103">
        <v>289.8</v>
      </c>
      <c r="V1409" s="103" t="s">
        <v>2262</v>
      </c>
      <c r="W1409" s="103" t="s">
        <v>106</v>
      </c>
      <c r="X1409" s="103" t="s">
        <v>345</v>
      </c>
      <c r="Y1409" s="103" t="s">
        <v>2240</v>
      </c>
      <c r="AA1409" s="103" t="s">
        <v>2225</v>
      </c>
      <c r="AB1409" s="103" t="s">
        <v>64</v>
      </c>
      <c r="AE1409" s="103" t="s">
        <v>750</v>
      </c>
      <c r="AF1409" s="103" t="b">
        <v>1</v>
      </c>
    </row>
    <row r="1410" spans="1:32" hidden="1" x14ac:dyDescent="0.2">
      <c r="A1410" s="103" t="s">
        <v>3827</v>
      </c>
      <c r="B1410" s="103" t="s">
        <v>1404</v>
      </c>
      <c r="C1410" s="103" t="s">
        <v>3561</v>
      </c>
      <c r="D1410" s="103" t="s">
        <v>3563</v>
      </c>
      <c r="E1410" s="103" t="s">
        <v>2244</v>
      </c>
      <c r="F1410" s="103" t="s">
        <v>2202</v>
      </c>
      <c r="G1410" s="103">
        <v>200</v>
      </c>
      <c r="H1410" s="103" t="s">
        <v>2168</v>
      </c>
      <c r="I1410" s="103" t="s">
        <v>2153</v>
      </c>
      <c r="M1410" s="103">
        <v>200</v>
      </c>
      <c r="N1410" s="103" t="s">
        <v>2273</v>
      </c>
      <c r="O1410" s="103">
        <v>200</v>
      </c>
      <c r="P1410" s="103" t="s">
        <v>1232</v>
      </c>
      <c r="Q1410" s="103" t="s">
        <v>1393</v>
      </c>
      <c r="R1410" s="103" t="s">
        <v>2225</v>
      </c>
      <c r="S1410" s="103" t="s">
        <v>2238</v>
      </c>
      <c r="U1410" s="103">
        <v>96.6</v>
      </c>
      <c r="V1410" s="103" t="s">
        <v>2262</v>
      </c>
      <c r="W1410" s="103" t="s">
        <v>106</v>
      </c>
      <c r="X1410" s="103" t="s">
        <v>345</v>
      </c>
      <c r="Y1410" s="103" t="s">
        <v>2240</v>
      </c>
      <c r="AA1410" s="103" t="s">
        <v>2225</v>
      </c>
      <c r="AB1410" s="103" t="s">
        <v>64</v>
      </c>
      <c r="AE1410" s="103" t="s">
        <v>750</v>
      </c>
      <c r="AF1410" s="103" t="b">
        <v>1</v>
      </c>
    </row>
    <row r="1411" spans="1:32" hidden="1" x14ac:dyDescent="0.2">
      <c r="A1411" s="103" t="s">
        <v>3827</v>
      </c>
      <c r="B1411" s="103" t="s">
        <v>1404</v>
      </c>
      <c r="C1411" s="103" t="s">
        <v>3561</v>
      </c>
      <c r="D1411" s="103" t="s">
        <v>3564</v>
      </c>
      <c r="E1411" s="103" t="s">
        <v>2150</v>
      </c>
      <c r="F1411" s="103" t="s">
        <v>2228</v>
      </c>
      <c r="G1411" s="103">
        <v>600</v>
      </c>
      <c r="H1411" s="103" t="s">
        <v>2168</v>
      </c>
      <c r="I1411" s="103" t="s">
        <v>2153</v>
      </c>
      <c r="M1411" s="103">
        <v>600</v>
      </c>
      <c r="N1411" s="103" t="s">
        <v>2402</v>
      </c>
      <c r="O1411" s="103">
        <v>600</v>
      </c>
      <c r="P1411" s="103" t="s">
        <v>1232</v>
      </c>
      <c r="Q1411" s="103" t="s">
        <v>1393</v>
      </c>
      <c r="R1411" s="103" t="s">
        <v>2156</v>
      </c>
      <c r="U1411" s="103">
        <v>307.8</v>
      </c>
      <c r="V1411" s="103" t="s">
        <v>2262</v>
      </c>
      <c r="W1411" s="103" t="s">
        <v>114</v>
      </c>
      <c r="X1411" s="103" t="s">
        <v>345</v>
      </c>
      <c r="Y1411" s="103" t="s">
        <v>2240</v>
      </c>
      <c r="AA1411" s="103" t="s">
        <v>2156</v>
      </c>
      <c r="AB1411" s="103" t="s">
        <v>64</v>
      </c>
      <c r="AE1411" s="103" t="s">
        <v>750</v>
      </c>
      <c r="AF1411" s="103" t="b">
        <v>1</v>
      </c>
    </row>
    <row r="1412" spans="1:32" hidden="1" x14ac:dyDescent="0.2">
      <c r="A1412" s="103" t="s">
        <v>3827</v>
      </c>
      <c r="B1412" s="103" t="s">
        <v>1404</v>
      </c>
      <c r="C1412" s="103" t="s">
        <v>3540</v>
      </c>
      <c r="D1412" s="103" t="s">
        <v>3565</v>
      </c>
      <c r="E1412" s="103" t="s">
        <v>2562</v>
      </c>
      <c r="F1412" s="103" t="s">
        <v>2151</v>
      </c>
      <c r="G1412" s="103">
        <v>150</v>
      </c>
      <c r="H1412" s="103" t="s">
        <v>2168</v>
      </c>
      <c r="I1412" s="103" t="s">
        <v>2153</v>
      </c>
      <c r="J1412" s="103">
        <v>0</v>
      </c>
      <c r="K1412" s="103">
        <v>0</v>
      </c>
      <c r="L1412" s="103">
        <v>0</v>
      </c>
      <c r="M1412" s="103">
        <v>150</v>
      </c>
      <c r="N1412" s="103" t="s">
        <v>2273</v>
      </c>
      <c r="O1412" s="103">
        <v>150</v>
      </c>
      <c r="P1412" s="103" t="s">
        <v>1617</v>
      </c>
      <c r="Q1412" s="103" t="s">
        <v>1393</v>
      </c>
      <c r="R1412" s="103" t="s">
        <v>2225</v>
      </c>
      <c r="S1412" s="103" t="s">
        <v>2238</v>
      </c>
      <c r="U1412" s="103">
        <v>72.45</v>
      </c>
      <c r="V1412" s="103" t="s">
        <v>2262</v>
      </c>
      <c r="W1412" s="103" t="s">
        <v>106</v>
      </c>
      <c r="X1412" s="103" t="s">
        <v>345</v>
      </c>
      <c r="Y1412" s="103" t="s">
        <v>2240</v>
      </c>
      <c r="AA1412" s="103" t="s">
        <v>2225</v>
      </c>
      <c r="AB1412" s="103" t="s">
        <v>64</v>
      </c>
      <c r="AE1412" s="103" t="s">
        <v>750</v>
      </c>
      <c r="AF1412" s="103" t="b">
        <v>1</v>
      </c>
    </row>
    <row r="1413" spans="1:32" hidden="1" x14ac:dyDescent="0.2">
      <c r="A1413" s="103" t="s">
        <v>3827</v>
      </c>
      <c r="B1413" s="103" t="s">
        <v>1404</v>
      </c>
      <c r="C1413" s="103" t="s">
        <v>3529</v>
      </c>
      <c r="D1413" s="103" t="s">
        <v>3566</v>
      </c>
      <c r="E1413" s="103" t="s">
        <v>2601</v>
      </c>
      <c r="G1413" s="103">
        <v>200</v>
      </c>
      <c r="H1413" s="103" t="s">
        <v>2168</v>
      </c>
      <c r="I1413" s="103" t="s">
        <v>2153</v>
      </c>
      <c r="M1413" s="103">
        <v>200</v>
      </c>
      <c r="N1413" s="103" t="s">
        <v>2402</v>
      </c>
      <c r="O1413" s="103">
        <v>200</v>
      </c>
      <c r="P1413" s="103" t="s">
        <v>1617</v>
      </c>
      <c r="Q1413" s="103" t="s">
        <v>1393</v>
      </c>
      <c r="R1413" s="103" t="s">
        <v>2225</v>
      </c>
      <c r="S1413" s="103" t="s">
        <v>2192</v>
      </c>
      <c r="T1413" s="103" t="s">
        <v>3543</v>
      </c>
      <c r="U1413" s="103">
        <v>96.6</v>
      </c>
      <c r="V1413" s="103" t="s">
        <v>2262</v>
      </c>
      <c r="W1413" s="103" t="s">
        <v>106</v>
      </c>
      <c r="X1413" s="103" t="s">
        <v>345</v>
      </c>
      <c r="Y1413" s="103" t="s">
        <v>2240</v>
      </c>
      <c r="AA1413" s="103" t="s">
        <v>2225</v>
      </c>
      <c r="AB1413" s="103" t="s">
        <v>64</v>
      </c>
      <c r="AE1413" s="103" t="s">
        <v>750</v>
      </c>
      <c r="AF1413" s="103" t="b">
        <v>1</v>
      </c>
    </row>
    <row r="1414" spans="1:32" hidden="1" x14ac:dyDescent="0.2">
      <c r="A1414" s="103" t="s">
        <v>3827</v>
      </c>
      <c r="B1414" s="103" t="s">
        <v>1404</v>
      </c>
      <c r="C1414" s="103" t="s">
        <v>3540</v>
      </c>
      <c r="D1414" s="103" t="s">
        <v>3567</v>
      </c>
      <c r="E1414" s="103" t="s">
        <v>2562</v>
      </c>
      <c r="F1414" s="103" t="s">
        <v>2151</v>
      </c>
      <c r="G1414" s="103">
        <v>150</v>
      </c>
      <c r="H1414" s="103" t="s">
        <v>2168</v>
      </c>
      <c r="I1414" s="103" t="s">
        <v>2153</v>
      </c>
      <c r="J1414" s="103">
        <v>0</v>
      </c>
      <c r="K1414" s="103">
        <v>0</v>
      </c>
      <c r="L1414" s="103">
        <v>0</v>
      </c>
      <c r="M1414" s="103">
        <v>150</v>
      </c>
      <c r="N1414" s="103" t="s">
        <v>2402</v>
      </c>
      <c r="O1414" s="103">
        <v>150</v>
      </c>
      <c r="P1414" s="103" t="s">
        <v>1617</v>
      </c>
      <c r="Q1414" s="103" t="s">
        <v>1393</v>
      </c>
      <c r="R1414" s="103" t="s">
        <v>2225</v>
      </c>
      <c r="S1414" s="103" t="s">
        <v>2238</v>
      </c>
      <c r="U1414" s="103">
        <v>72.45</v>
      </c>
      <c r="V1414" s="103" t="s">
        <v>2262</v>
      </c>
      <c r="W1414" s="103" t="s">
        <v>106</v>
      </c>
      <c r="X1414" s="103" t="s">
        <v>345</v>
      </c>
      <c r="Y1414" s="103" t="s">
        <v>2240</v>
      </c>
      <c r="AA1414" s="103" t="s">
        <v>2225</v>
      </c>
      <c r="AB1414" s="103" t="s">
        <v>64</v>
      </c>
      <c r="AE1414" s="103" t="s">
        <v>750</v>
      </c>
      <c r="AF1414" s="103" t="b">
        <v>1</v>
      </c>
    </row>
    <row r="1415" spans="1:32" hidden="1" x14ac:dyDescent="0.2">
      <c r="A1415" s="103" t="s">
        <v>3827</v>
      </c>
      <c r="B1415" s="103" t="s">
        <v>1404</v>
      </c>
      <c r="C1415" s="103" t="s">
        <v>3568</v>
      </c>
      <c r="D1415" s="103" t="s">
        <v>3569</v>
      </c>
      <c r="E1415" s="103" t="s">
        <v>2601</v>
      </c>
      <c r="F1415" s="103" t="s">
        <v>2228</v>
      </c>
      <c r="G1415" s="103">
        <v>800</v>
      </c>
      <c r="H1415" s="103" t="s">
        <v>2168</v>
      </c>
      <c r="I1415" s="103" t="s">
        <v>2153</v>
      </c>
      <c r="L1415" s="103">
        <v>400</v>
      </c>
      <c r="M1415" s="103">
        <v>400</v>
      </c>
      <c r="N1415" s="103" t="s">
        <v>2273</v>
      </c>
      <c r="O1415" s="103">
        <v>800</v>
      </c>
      <c r="P1415" s="103" t="s">
        <v>1679</v>
      </c>
      <c r="Q1415" s="103" t="s">
        <v>1393</v>
      </c>
      <c r="R1415" s="103" t="s">
        <v>2225</v>
      </c>
      <c r="S1415" s="103" t="s">
        <v>2192</v>
      </c>
      <c r="U1415" s="103">
        <v>386.4</v>
      </c>
      <c r="V1415" s="103" t="s">
        <v>2262</v>
      </c>
      <c r="W1415" s="103" t="s">
        <v>106</v>
      </c>
      <c r="X1415" s="103" t="s">
        <v>345</v>
      </c>
      <c r="Y1415" s="103" t="s">
        <v>2240</v>
      </c>
      <c r="AA1415" s="103" t="s">
        <v>2225</v>
      </c>
      <c r="AB1415" s="103" t="s">
        <v>64</v>
      </c>
      <c r="AE1415" s="103" t="s">
        <v>750</v>
      </c>
      <c r="AF1415" s="103" t="b">
        <v>1</v>
      </c>
    </row>
    <row r="1416" spans="1:32" hidden="1" x14ac:dyDescent="0.2">
      <c r="A1416" s="103" t="s">
        <v>3827</v>
      </c>
      <c r="B1416" s="103" t="s">
        <v>1404</v>
      </c>
      <c r="C1416" s="103" t="s">
        <v>3540</v>
      </c>
      <c r="D1416" s="103" t="s">
        <v>3570</v>
      </c>
      <c r="E1416" s="103" t="s">
        <v>2562</v>
      </c>
      <c r="F1416" s="103" t="s">
        <v>2151</v>
      </c>
      <c r="G1416" s="103">
        <v>150</v>
      </c>
      <c r="H1416" s="103" t="s">
        <v>2168</v>
      </c>
      <c r="I1416" s="103" t="s">
        <v>2153</v>
      </c>
      <c r="J1416" s="103">
        <v>0</v>
      </c>
      <c r="K1416" s="103">
        <v>0</v>
      </c>
      <c r="L1416" s="103">
        <v>0</v>
      </c>
      <c r="M1416" s="103">
        <v>150</v>
      </c>
      <c r="N1416" s="103" t="s">
        <v>2273</v>
      </c>
      <c r="O1416" s="103">
        <v>150</v>
      </c>
      <c r="P1416" s="103" t="s">
        <v>1617</v>
      </c>
      <c r="Q1416" s="103" t="s">
        <v>1393</v>
      </c>
      <c r="R1416" s="103" t="s">
        <v>2225</v>
      </c>
      <c r="S1416" s="103" t="s">
        <v>2238</v>
      </c>
      <c r="U1416" s="103">
        <v>72.45</v>
      </c>
      <c r="V1416" s="103" t="s">
        <v>2262</v>
      </c>
      <c r="W1416" s="103" t="s">
        <v>106</v>
      </c>
      <c r="X1416" s="103" t="s">
        <v>345</v>
      </c>
      <c r="Y1416" s="103" t="s">
        <v>2240</v>
      </c>
      <c r="AA1416" s="103" t="s">
        <v>2225</v>
      </c>
      <c r="AB1416" s="103" t="s">
        <v>64</v>
      </c>
      <c r="AE1416" s="103" t="s">
        <v>750</v>
      </c>
      <c r="AF1416" s="103" t="b">
        <v>1</v>
      </c>
    </row>
    <row r="1417" spans="1:32" hidden="1" x14ac:dyDescent="0.2">
      <c r="A1417" s="103" t="s">
        <v>3827</v>
      </c>
      <c r="B1417" s="103" t="s">
        <v>1404</v>
      </c>
      <c r="C1417" s="103" t="s">
        <v>3529</v>
      </c>
      <c r="D1417" s="103" t="s">
        <v>3571</v>
      </c>
      <c r="E1417" s="103" t="s">
        <v>2601</v>
      </c>
      <c r="G1417" s="103">
        <v>50</v>
      </c>
      <c r="H1417" s="103" t="s">
        <v>2168</v>
      </c>
      <c r="I1417" s="103" t="s">
        <v>2153</v>
      </c>
      <c r="M1417" s="103">
        <v>50</v>
      </c>
      <c r="N1417" s="103" t="s">
        <v>2273</v>
      </c>
      <c r="O1417" s="103">
        <v>50</v>
      </c>
      <c r="P1417" s="103" t="s">
        <v>1232</v>
      </c>
      <c r="Q1417" s="103" t="s">
        <v>1393</v>
      </c>
      <c r="R1417" s="103" t="s">
        <v>2225</v>
      </c>
      <c r="S1417" s="103" t="s">
        <v>2192</v>
      </c>
      <c r="U1417" s="103">
        <v>24.15</v>
      </c>
      <c r="V1417" s="103" t="s">
        <v>2262</v>
      </c>
      <c r="W1417" s="103" t="s">
        <v>106</v>
      </c>
      <c r="X1417" s="103" t="s">
        <v>345</v>
      </c>
      <c r="Y1417" s="103" t="s">
        <v>2240</v>
      </c>
      <c r="AA1417" s="103" t="s">
        <v>2225</v>
      </c>
      <c r="AB1417" s="103" t="s">
        <v>64</v>
      </c>
      <c r="AE1417" s="103" t="s">
        <v>750</v>
      </c>
      <c r="AF1417" s="103" t="b">
        <v>1</v>
      </c>
    </row>
    <row r="1418" spans="1:32" hidden="1" x14ac:dyDescent="0.2">
      <c r="A1418" s="103" t="s">
        <v>3827</v>
      </c>
      <c r="B1418" s="103" t="s">
        <v>1404</v>
      </c>
      <c r="C1418" s="103" t="s">
        <v>3529</v>
      </c>
      <c r="D1418" s="103" t="s">
        <v>3572</v>
      </c>
      <c r="E1418" s="103" t="s">
        <v>2603</v>
      </c>
      <c r="G1418" s="103">
        <v>150</v>
      </c>
      <c r="H1418" s="103" t="s">
        <v>2168</v>
      </c>
      <c r="I1418" s="103" t="s">
        <v>2153</v>
      </c>
      <c r="M1418" s="103">
        <v>150</v>
      </c>
      <c r="N1418" s="103" t="s">
        <v>2273</v>
      </c>
      <c r="O1418" s="103">
        <v>150</v>
      </c>
      <c r="P1418" s="103" t="s">
        <v>1232</v>
      </c>
      <c r="Q1418" s="103" t="s">
        <v>1393</v>
      </c>
      <c r="R1418" s="103" t="s">
        <v>121</v>
      </c>
      <c r="S1418" s="103" t="s">
        <v>2427</v>
      </c>
      <c r="U1418" s="103">
        <v>76.95</v>
      </c>
      <c r="V1418" s="103" t="s">
        <v>2262</v>
      </c>
      <c r="W1418" s="103" t="s">
        <v>121</v>
      </c>
      <c r="X1418" s="103" t="s">
        <v>345</v>
      </c>
      <c r="Y1418" s="103" t="s">
        <v>2240</v>
      </c>
      <c r="AA1418" s="103" t="s">
        <v>121</v>
      </c>
      <c r="AB1418" s="103" t="s">
        <v>64</v>
      </c>
      <c r="AE1418" s="103" t="s">
        <v>750</v>
      </c>
      <c r="AF1418" s="103" t="b">
        <v>1</v>
      </c>
    </row>
    <row r="1419" spans="1:32" hidden="1" x14ac:dyDescent="0.2">
      <c r="A1419" s="103" t="s">
        <v>3827</v>
      </c>
      <c r="B1419" s="103" t="s">
        <v>1404</v>
      </c>
      <c r="C1419" s="103" t="s">
        <v>3529</v>
      </c>
      <c r="D1419" s="103" t="s">
        <v>3573</v>
      </c>
      <c r="E1419" s="103" t="s">
        <v>2605</v>
      </c>
      <c r="F1419" s="103" t="s">
        <v>2202</v>
      </c>
      <c r="G1419" s="103">
        <v>200</v>
      </c>
      <c r="H1419" s="103" t="s">
        <v>2168</v>
      </c>
      <c r="I1419" s="103" t="s">
        <v>2153</v>
      </c>
      <c r="L1419" s="103">
        <v>100</v>
      </c>
      <c r="M1419" s="103">
        <v>100</v>
      </c>
      <c r="N1419" s="103" t="s">
        <v>2273</v>
      </c>
      <c r="O1419" s="103">
        <v>200</v>
      </c>
      <c r="P1419" s="103" t="s">
        <v>1679</v>
      </c>
      <c r="Q1419" s="103" t="s">
        <v>1393</v>
      </c>
      <c r="R1419" s="103" t="s">
        <v>2225</v>
      </c>
      <c r="S1419" s="103" t="s">
        <v>2251</v>
      </c>
      <c r="U1419" s="103">
        <v>96.6</v>
      </c>
      <c r="V1419" s="103" t="s">
        <v>2262</v>
      </c>
      <c r="W1419" s="103" t="s">
        <v>106</v>
      </c>
      <c r="X1419" s="103" t="s">
        <v>345</v>
      </c>
      <c r="Y1419" s="103" t="s">
        <v>2240</v>
      </c>
      <c r="AA1419" s="103" t="s">
        <v>2225</v>
      </c>
      <c r="AB1419" s="103" t="s">
        <v>64</v>
      </c>
      <c r="AE1419" s="103" t="s">
        <v>750</v>
      </c>
      <c r="AF1419" s="103" t="b">
        <v>1</v>
      </c>
    </row>
    <row r="1420" spans="1:32" hidden="1" x14ac:dyDescent="0.2">
      <c r="A1420" s="103" t="s">
        <v>3827</v>
      </c>
      <c r="B1420" s="103" t="s">
        <v>1404</v>
      </c>
      <c r="C1420" s="103" t="s">
        <v>3529</v>
      </c>
      <c r="D1420" s="103" t="s">
        <v>3574</v>
      </c>
      <c r="E1420" s="103" t="s">
        <v>2242</v>
      </c>
      <c r="G1420" s="103">
        <v>100</v>
      </c>
      <c r="H1420" s="103" t="s">
        <v>2152</v>
      </c>
      <c r="I1420" s="103" t="s">
        <v>2153</v>
      </c>
      <c r="J1420" s="103">
        <v>25</v>
      </c>
      <c r="K1420" s="103">
        <v>25</v>
      </c>
      <c r="L1420" s="103">
        <v>25</v>
      </c>
      <c r="M1420" s="103">
        <v>25</v>
      </c>
      <c r="N1420" s="103" t="s">
        <v>2273</v>
      </c>
      <c r="O1420" s="103">
        <v>100</v>
      </c>
      <c r="P1420" s="103" t="s">
        <v>1232</v>
      </c>
      <c r="Q1420" s="103" t="s">
        <v>1393</v>
      </c>
      <c r="R1420" s="103" t="s">
        <v>2225</v>
      </c>
      <c r="S1420" s="103" t="s">
        <v>2192</v>
      </c>
      <c r="U1420" s="103">
        <v>48.3</v>
      </c>
      <c r="V1420" s="103" t="s">
        <v>2262</v>
      </c>
      <c r="W1420" s="103" t="s">
        <v>106</v>
      </c>
      <c r="X1420" s="103" t="s">
        <v>345</v>
      </c>
      <c r="Y1420" s="103" t="s">
        <v>2240</v>
      </c>
      <c r="AA1420" s="103" t="s">
        <v>2225</v>
      </c>
      <c r="AB1420" s="103" t="s">
        <v>64</v>
      </c>
      <c r="AE1420" s="103" t="s">
        <v>750</v>
      </c>
      <c r="AF1420" s="103" t="b">
        <v>1</v>
      </c>
    </row>
    <row r="1421" spans="1:32" hidden="1" x14ac:dyDescent="0.2">
      <c r="A1421" s="103" t="s">
        <v>3827</v>
      </c>
      <c r="B1421" s="103" t="s">
        <v>1404</v>
      </c>
      <c r="C1421" s="103" t="s">
        <v>3529</v>
      </c>
      <c r="D1421" s="103" t="s">
        <v>3575</v>
      </c>
      <c r="E1421" s="103" t="s">
        <v>2196</v>
      </c>
      <c r="G1421" s="103">
        <v>750</v>
      </c>
      <c r="H1421" s="103" t="s">
        <v>2152</v>
      </c>
      <c r="I1421" s="103" t="s">
        <v>2153</v>
      </c>
      <c r="J1421" s="103">
        <v>187</v>
      </c>
      <c r="K1421" s="103">
        <v>188</v>
      </c>
      <c r="L1421" s="103">
        <v>187</v>
      </c>
      <c r="M1421" s="103">
        <v>188</v>
      </c>
      <c r="N1421" s="103" t="s">
        <v>2273</v>
      </c>
      <c r="O1421" s="103">
        <v>750</v>
      </c>
      <c r="P1421" s="103" t="s">
        <v>1232</v>
      </c>
      <c r="Q1421" s="103" t="s">
        <v>1393</v>
      </c>
      <c r="R1421" s="103" t="s">
        <v>121</v>
      </c>
      <c r="S1421" s="103" t="s">
        <v>2427</v>
      </c>
      <c r="U1421" s="103">
        <v>384.75</v>
      </c>
      <c r="V1421" s="103" t="s">
        <v>2262</v>
      </c>
      <c r="W1421" s="103" t="s">
        <v>121</v>
      </c>
      <c r="X1421" s="103" t="s">
        <v>345</v>
      </c>
      <c r="Y1421" s="103" t="s">
        <v>2240</v>
      </c>
      <c r="AA1421" s="103" t="s">
        <v>121</v>
      </c>
      <c r="AB1421" s="103" t="s">
        <v>64</v>
      </c>
      <c r="AE1421" s="103" t="s">
        <v>750</v>
      </c>
      <c r="AF1421" s="103" t="b">
        <v>1</v>
      </c>
    </row>
    <row r="1422" spans="1:32" hidden="1" x14ac:dyDescent="0.2">
      <c r="A1422" s="103" t="s">
        <v>3827</v>
      </c>
      <c r="B1422" s="103" t="s">
        <v>1404</v>
      </c>
      <c r="C1422" s="103" t="s">
        <v>3576</v>
      </c>
      <c r="D1422" s="103" t="s">
        <v>3577</v>
      </c>
      <c r="G1422" s="103">
        <v>48</v>
      </c>
      <c r="H1422" s="103" t="s">
        <v>2168</v>
      </c>
      <c r="I1422" s="103" t="s">
        <v>2153</v>
      </c>
      <c r="K1422" s="103">
        <v>48</v>
      </c>
      <c r="N1422" s="103" t="s">
        <v>2163</v>
      </c>
      <c r="O1422" s="103">
        <v>48</v>
      </c>
      <c r="P1422" s="103" t="s">
        <v>2086</v>
      </c>
      <c r="Q1422" s="103" t="s">
        <v>1393</v>
      </c>
      <c r="R1422" s="103">
        <v>0</v>
      </c>
      <c r="U1422" s="103">
        <v>0</v>
      </c>
      <c r="V1422" s="103" t="s">
        <v>2416</v>
      </c>
      <c r="W1422" s="103">
        <v>0</v>
      </c>
      <c r="X1422" s="103" t="s">
        <v>345</v>
      </c>
      <c r="Y1422" s="103" t="s">
        <v>2240</v>
      </c>
      <c r="AA1422" s="103">
        <v>0</v>
      </c>
      <c r="AB1422" s="103" t="s">
        <v>64</v>
      </c>
      <c r="AE1422" s="103" t="s">
        <v>750</v>
      </c>
      <c r="AF1422" s="103" t="b">
        <v>1</v>
      </c>
    </row>
    <row r="1423" spans="1:32" hidden="1" x14ac:dyDescent="0.2">
      <c r="A1423" s="103" t="s">
        <v>3827</v>
      </c>
      <c r="B1423" s="103" t="s">
        <v>1404</v>
      </c>
      <c r="C1423" s="103" t="s">
        <v>3538</v>
      </c>
      <c r="D1423" s="103" t="s">
        <v>3578</v>
      </c>
      <c r="G1423" s="103">
        <v>35</v>
      </c>
      <c r="H1423" s="103" t="s">
        <v>2168</v>
      </c>
      <c r="I1423" s="103" t="s">
        <v>2153</v>
      </c>
      <c r="L1423" s="103">
        <v>35</v>
      </c>
      <c r="N1423" s="103" t="s">
        <v>2163</v>
      </c>
      <c r="O1423" s="103">
        <v>35</v>
      </c>
      <c r="P1423" s="103" t="s">
        <v>2086</v>
      </c>
      <c r="Q1423" s="103" t="s">
        <v>1393</v>
      </c>
      <c r="R1423" s="103">
        <v>0</v>
      </c>
      <c r="U1423" s="103">
        <v>0</v>
      </c>
      <c r="V1423" s="103" t="s">
        <v>2416</v>
      </c>
      <c r="W1423" s="103">
        <v>0</v>
      </c>
      <c r="X1423" s="103" t="s">
        <v>345</v>
      </c>
      <c r="Y1423" s="103" t="s">
        <v>2240</v>
      </c>
      <c r="AA1423" s="103">
        <v>0</v>
      </c>
      <c r="AB1423" s="103" t="s">
        <v>64</v>
      </c>
      <c r="AE1423" s="103" t="s">
        <v>750</v>
      </c>
      <c r="AF1423" s="103" t="b">
        <v>1</v>
      </c>
    </row>
    <row r="1424" spans="1:32" hidden="1" x14ac:dyDescent="0.2">
      <c r="A1424" s="103" t="s">
        <v>3827</v>
      </c>
      <c r="B1424" s="103" t="s">
        <v>1404</v>
      </c>
      <c r="C1424" s="103" t="s">
        <v>3579</v>
      </c>
      <c r="D1424" s="103" t="s">
        <v>3580</v>
      </c>
      <c r="E1424" s="103" t="s">
        <v>3373</v>
      </c>
      <c r="F1424" s="103" t="s">
        <v>2162</v>
      </c>
      <c r="G1424" s="103">
        <v>25</v>
      </c>
      <c r="H1424" s="103" t="s">
        <v>2152</v>
      </c>
      <c r="I1424" s="103" t="s">
        <v>2153</v>
      </c>
      <c r="J1424" s="103">
        <v>25</v>
      </c>
      <c r="N1424" s="103" t="s">
        <v>2163</v>
      </c>
      <c r="O1424" s="103">
        <v>25</v>
      </c>
      <c r="P1424" s="103" t="s">
        <v>1679</v>
      </c>
      <c r="Q1424" s="103" t="s">
        <v>1393</v>
      </c>
      <c r="R1424" s="103" t="s">
        <v>121</v>
      </c>
      <c r="S1424" s="103" t="s">
        <v>2427</v>
      </c>
      <c r="U1424" s="103">
        <v>12.824999999999999</v>
      </c>
      <c r="V1424" s="103" t="s">
        <v>2158</v>
      </c>
      <c r="W1424" s="103" t="s">
        <v>121</v>
      </c>
      <c r="X1424" s="103" t="s">
        <v>345</v>
      </c>
      <c r="Y1424" s="103" t="s">
        <v>2240</v>
      </c>
      <c r="AA1424" s="103" t="s">
        <v>121</v>
      </c>
      <c r="AB1424" s="103" t="s">
        <v>64</v>
      </c>
      <c r="AE1424" s="103" t="s">
        <v>750</v>
      </c>
      <c r="AF1424" s="103" t="b">
        <v>1</v>
      </c>
    </row>
    <row r="1425" spans="1:32" hidden="1" x14ac:dyDescent="0.2">
      <c r="A1425" s="103" t="s">
        <v>3827</v>
      </c>
      <c r="B1425" s="103" t="s">
        <v>1404</v>
      </c>
      <c r="C1425" s="103" t="s">
        <v>3579</v>
      </c>
      <c r="D1425" s="103" t="s">
        <v>3581</v>
      </c>
      <c r="E1425" s="103" t="s">
        <v>3373</v>
      </c>
      <c r="F1425" s="103" t="s">
        <v>2162</v>
      </c>
      <c r="G1425" s="103">
        <v>25</v>
      </c>
      <c r="H1425" s="103" t="s">
        <v>2152</v>
      </c>
      <c r="I1425" s="103" t="s">
        <v>2153</v>
      </c>
      <c r="J1425" s="103">
        <v>25</v>
      </c>
      <c r="N1425" s="103" t="s">
        <v>2163</v>
      </c>
      <c r="O1425" s="103">
        <v>25</v>
      </c>
      <c r="P1425" s="103" t="s">
        <v>1679</v>
      </c>
      <c r="Q1425" s="103" t="s">
        <v>1393</v>
      </c>
      <c r="R1425" s="103" t="s">
        <v>121</v>
      </c>
      <c r="S1425" s="103" t="s">
        <v>2427</v>
      </c>
      <c r="U1425" s="103">
        <v>12.824999999999999</v>
      </c>
      <c r="V1425" s="103" t="s">
        <v>2158</v>
      </c>
      <c r="W1425" s="103" t="s">
        <v>121</v>
      </c>
      <c r="X1425" s="103" t="s">
        <v>345</v>
      </c>
      <c r="Y1425" s="103" t="s">
        <v>2240</v>
      </c>
      <c r="AA1425" s="103" t="s">
        <v>121</v>
      </c>
      <c r="AB1425" s="103" t="s">
        <v>64</v>
      </c>
      <c r="AE1425" s="103" t="s">
        <v>750</v>
      </c>
      <c r="AF1425" s="103" t="b">
        <v>1</v>
      </c>
    </row>
    <row r="1426" spans="1:32" hidden="1" x14ac:dyDescent="0.2">
      <c r="A1426" s="103" t="s">
        <v>3827</v>
      </c>
      <c r="B1426" s="103" t="s">
        <v>1404</v>
      </c>
      <c r="C1426" s="103" t="s">
        <v>3579</v>
      </c>
      <c r="D1426" s="103" t="s">
        <v>3582</v>
      </c>
      <c r="E1426" s="103" t="s">
        <v>3373</v>
      </c>
      <c r="F1426" s="103" t="s">
        <v>2162</v>
      </c>
      <c r="G1426" s="103">
        <v>25</v>
      </c>
      <c r="H1426" s="103" t="s">
        <v>2152</v>
      </c>
      <c r="I1426" s="103" t="s">
        <v>2153</v>
      </c>
      <c r="J1426" s="103">
        <v>25</v>
      </c>
      <c r="N1426" s="103" t="s">
        <v>2163</v>
      </c>
      <c r="O1426" s="103">
        <v>25</v>
      </c>
      <c r="P1426" s="103" t="s">
        <v>1679</v>
      </c>
      <c r="Q1426" s="103" t="s">
        <v>1393</v>
      </c>
      <c r="R1426" s="103" t="s">
        <v>121</v>
      </c>
      <c r="S1426" s="103" t="s">
        <v>2427</v>
      </c>
      <c r="U1426" s="103">
        <v>12.824999999999999</v>
      </c>
      <c r="V1426" s="103" t="s">
        <v>2158</v>
      </c>
      <c r="W1426" s="103" t="s">
        <v>121</v>
      </c>
      <c r="X1426" s="103" t="s">
        <v>345</v>
      </c>
      <c r="Y1426" s="103" t="s">
        <v>2240</v>
      </c>
      <c r="AA1426" s="103" t="s">
        <v>121</v>
      </c>
      <c r="AB1426" s="103" t="s">
        <v>64</v>
      </c>
      <c r="AE1426" s="103" t="s">
        <v>750</v>
      </c>
      <c r="AF1426" s="103" t="b">
        <v>1</v>
      </c>
    </row>
    <row r="1427" spans="1:32" hidden="1" x14ac:dyDescent="0.2">
      <c r="A1427" s="103" t="s">
        <v>3827</v>
      </c>
      <c r="B1427" s="103" t="s">
        <v>1404</v>
      </c>
      <c r="C1427" s="103" t="s">
        <v>3579</v>
      </c>
      <c r="D1427" s="103" t="s">
        <v>3583</v>
      </c>
      <c r="E1427" s="103" t="s">
        <v>3373</v>
      </c>
      <c r="F1427" s="103" t="s">
        <v>2162</v>
      </c>
      <c r="G1427" s="103">
        <v>25</v>
      </c>
      <c r="H1427" s="103" t="s">
        <v>2152</v>
      </c>
      <c r="I1427" s="103" t="s">
        <v>2153</v>
      </c>
      <c r="K1427" s="103">
        <v>25</v>
      </c>
      <c r="N1427" s="103" t="s">
        <v>2163</v>
      </c>
      <c r="O1427" s="103">
        <v>25</v>
      </c>
      <c r="P1427" s="103" t="s">
        <v>1679</v>
      </c>
      <c r="Q1427" s="103" t="s">
        <v>1393</v>
      </c>
      <c r="R1427" s="103" t="s">
        <v>121</v>
      </c>
      <c r="S1427" s="103" t="s">
        <v>2427</v>
      </c>
      <c r="U1427" s="103">
        <v>12.824999999999999</v>
      </c>
      <c r="V1427" s="103" t="s">
        <v>2158</v>
      </c>
      <c r="W1427" s="103" t="s">
        <v>121</v>
      </c>
      <c r="X1427" s="103" t="s">
        <v>345</v>
      </c>
      <c r="Y1427" s="103" t="s">
        <v>2240</v>
      </c>
      <c r="AA1427" s="103" t="s">
        <v>121</v>
      </c>
      <c r="AB1427" s="103" t="s">
        <v>64</v>
      </c>
      <c r="AE1427" s="103" t="s">
        <v>750</v>
      </c>
      <c r="AF1427" s="103" t="b">
        <v>1</v>
      </c>
    </row>
    <row r="1428" spans="1:32" hidden="1" x14ac:dyDescent="0.2">
      <c r="A1428" s="103" t="s">
        <v>3827</v>
      </c>
      <c r="B1428" s="103" t="s">
        <v>1404</v>
      </c>
      <c r="C1428" s="103" t="s">
        <v>3579</v>
      </c>
      <c r="D1428" s="103" t="s">
        <v>3584</v>
      </c>
      <c r="E1428" s="103" t="s">
        <v>3373</v>
      </c>
      <c r="F1428" s="103" t="s">
        <v>2162</v>
      </c>
      <c r="G1428" s="103">
        <v>25</v>
      </c>
      <c r="H1428" s="103" t="s">
        <v>2152</v>
      </c>
      <c r="I1428" s="103" t="s">
        <v>2153</v>
      </c>
      <c r="K1428" s="103">
        <v>25</v>
      </c>
      <c r="N1428" s="103" t="s">
        <v>2163</v>
      </c>
      <c r="O1428" s="103">
        <v>25</v>
      </c>
      <c r="P1428" s="103" t="s">
        <v>1679</v>
      </c>
      <c r="Q1428" s="103" t="s">
        <v>1393</v>
      </c>
      <c r="R1428" s="103" t="s">
        <v>121</v>
      </c>
      <c r="S1428" s="103" t="s">
        <v>2427</v>
      </c>
      <c r="U1428" s="103">
        <v>12.824999999999999</v>
      </c>
      <c r="V1428" s="103" t="s">
        <v>2158</v>
      </c>
      <c r="W1428" s="103" t="s">
        <v>121</v>
      </c>
      <c r="X1428" s="103" t="s">
        <v>345</v>
      </c>
      <c r="Y1428" s="103" t="s">
        <v>2240</v>
      </c>
      <c r="AA1428" s="103" t="s">
        <v>121</v>
      </c>
      <c r="AB1428" s="103" t="s">
        <v>64</v>
      </c>
      <c r="AE1428" s="103" t="s">
        <v>750</v>
      </c>
      <c r="AF1428" s="103" t="b">
        <v>1</v>
      </c>
    </row>
    <row r="1429" spans="1:32" hidden="1" x14ac:dyDescent="0.2">
      <c r="A1429" s="103" t="s">
        <v>3827</v>
      </c>
      <c r="B1429" s="103" t="s">
        <v>1404</v>
      </c>
      <c r="C1429" s="103" t="s">
        <v>3579</v>
      </c>
      <c r="D1429" s="103" t="s">
        <v>3585</v>
      </c>
      <c r="E1429" s="103" t="s">
        <v>3373</v>
      </c>
      <c r="F1429" s="103" t="s">
        <v>2162</v>
      </c>
      <c r="G1429" s="103">
        <v>25</v>
      </c>
      <c r="H1429" s="103" t="s">
        <v>2152</v>
      </c>
      <c r="I1429" s="103" t="s">
        <v>2153</v>
      </c>
      <c r="K1429" s="103">
        <v>25</v>
      </c>
      <c r="N1429" s="103" t="s">
        <v>2163</v>
      </c>
      <c r="O1429" s="103">
        <v>25</v>
      </c>
      <c r="P1429" s="103" t="s">
        <v>1679</v>
      </c>
      <c r="Q1429" s="103" t="s">
        <v>1393</v>
      </c>
      <c r="R1429" s="103" t="s">
        <v>121</v>
      </c>
      <c r="S1429" s="103" t="s">
        <v>2427</v>
      </c>
      <c r="U1429" s="103">
        <v>12.824999999999999</v>
      </c>
      <c r="V1429" s="103" t="s">
        <v>2158</v>
      </c>
      <c r="W1429" s="103" t="s">
        <v>121</v>
      </c>
      <c r="X1429" s="103" t="s">
        <v>345</v>
      </c>
      <c r="Y1429" s="103" t="s">
        <v>2240</v>
      </c>
      <c r="AA1429" s="103" t="s">
        <v>121</v>
      </c>
      <c r="AB1429" s="103" t="s">
        <v>64</v>
      </c>
      <c r="AE1429" s="103" t="s">
        <v>750</v>
      </c>
      <c r="AF1429" s="103" t="b">
        <v>1</v>
      </c>
    </row>
    <row r="1430" spans="1:32" hidden="1" x14ac:dyDescent="0.2">
      <c r="A1430" s="103" t="s">
        <v>3827</v>
      </c>
      <c r="B1430" s="103" t="s">
        <v>1404</v>
      </c>
      <c r="C1430" s="103" t="s">
        <v>3579</v>
      </c>
      <c r="D1430" s="103" t="s">
        <v>3586</v>
      </c>
      <c r="E1430" s="103" t="s">
        <v>3373</v>
      </c>
      <c r="F1430" s="103" t="s">
        <v>2162</v>
      </c>
      <c r="G1430" s="103">
        <v>25</v>
      </c>
      <c r="H1430" s="103" t="s">
        <v>2152</v>
      </c>
      <c r="I1430" s="103" t="s">
        <v>2153</v>
      </c>
      <c r="L1430" s="103">
        <v>25</v>
      </c>
      <c r="N1430" s="103" t="s">
        <v>2163</v>
      </c>
      <c r="O1430" s="103">
        <v>25</v>
      </c>
      <c r="P1430" s="103" t="s">
        <v>1679</v>
      </c>
      <c r="Q1430" s="103" t="s">
        <v>1393</v>
      </c>
      <c r="R1430" s="103" t="s">
        <v>121</v>
      </c>
      <c r="S1430" s="103" t="s">
        <v>2427</v>
      </c>
      <c r="U1430" s="103">
        <v>12.824999999999999</v>
      </c>
      <c r="V1430" s="103" t="s">
        <v>2158</v>
      </c>
      <c r="W1430" s="103" t="s">
        <v>121</v>
      </c>
      <c r="X1430" s="103" t="s">
        <v>345</v>
      </c>
      <c r="Y1430" s="103" t="s">
        <v>2240</v>
      </c>
      <c r="AA1430" s="103" t="s">
        <v>121</v>
      </c>
      <c r="AB1430" s="103" t="s">
        <v>64</v>
      </c>
      <c r="AE1430" s="103" t="s">
        <v>750</v>
      </c>
      <c r="AF1430" s="103" t="b">
        <v>1</v>
      </c>
    </row>
    <row r="1431" spans="1:32" hidden="1" x14ac:dyDescent="0.2">
      <c r="A1431" s="103" t="s">
        <v>3827</v>
      </c>
      <c r="B1431" s="103" t="s">
        <v>1404</v>
      </c>
      <c r="C1431" s="103" t="s">
        <v>3579</v>
      </c>
      <c r="D1431" s="103" t="s">
        <v>3587</v>
      </c>
      <c r="E1431" s="103" t="s">
        <v>3373</v>
      </c>
      <c r="F1431" s="103" t="s">
        <v>2162</v>
      </c>
      <c r="G1431" s="103">
        <v>25</v>
      </c>
      <c r="H1431" s="103" t="s">
        <v>2152</v>
      </c>
      <c r="I1431" s="103" t="s">
        <v>2153</v>
      </c>
      <c r="L1431" s="103">
        <v>25</v>
      </c>
      <c r="N1431" s="103" t="s">
        <v>2163</v>
      </c>
      <c r="O1431" s="103">
        <v>25</v>
      </c>
      <c r="P1431" s="103" t="s">
        <v>1679</v>
      </c>
      <c r="Q1431" s="103" t="s">
        <v>1393</v>
      </c>
      <c r="R1431" s="103" t="s">
        <v>121</v>
      </c>
      <c r="S1431" s="103" t="s">
        <v>2427</v>
      </c>
      <c r="U1431" s="103">
        <v>12.824999999999999</v>
      </c>
      <c r="V1431" s="103" t="s">
        <v>2158</v>
      </c>
      <c r="W1431" s="103" t="s">
        <v>121</v>
      </c>
      <c r="X1431" s="103" t="s">
        <v>345</v>
      </c>
      <c r="Y1431" s="103" t="s">
        <v>2240</v>
      </c>
      <c r="AA1431" s="103" t="s">
        <v>121</v>
      </c>
      <c r="AB1431" s="103" t="s">
        <v>64</v>
      </c>
      <c r="AE1431" s="103" t="s">
        <v>750</v>
      </c>
      <c r="AF1431" s="103" t="b">
        <v>1</v>
      </c>
    </row>
    <row r="1432" spans="1:32" hidden="1" x14ac:dyDescent="0.2">
      <c r="A1432" s="103" t="s">
        <v>3827</v>
      </c>
      <c r="B1432" s="103" t="s">
        <v>1404</v>
      </c>
      <c r="C1432" s="103" t="s">
        <v>3579</v>
      </c>
      <c r="D1432" s="103" t="s">
        <v>3588</v>
      </c>
      <c r="E1432" s="103" t="s">
        <v>3373</v>
      </c>
      <c r="F1432" s="103" t="s">
        <v>2162</v>
      </c>
      <c r="G1432" s="103">
        <v>25</v>
      </c>
      <c r="H1432" s="103" t="s">
        <v>2152</v>
      </c>
      <c r="I1432" s="103" t="s">
        <v>2153</v>
      </c>
      <c r="L1432" s="103">
        <v>25</v>
      </c>
      <c r="N1432" s="103" t="s">
        <v>2163</v>
      </c>
      <c r="O1432" s="103">
        <v>25</v>
      </c>
      <c r="P1432" s="103" t="s">
        <v>1679</v>
      </c>
      <c r="Q1432" s="103" t="s">
        <v>1393</v>
      </c>
      <c r="R1432" s="103" t="s">
        <v>121</v>
      </c>
      <c r="S1432" s="103" t="s">
        <v>2427</v>
      </c>
      <c r="U1432" s="103">
        <v>12.824999999999999</v>
      </c>
      <c r="V1432" s="103" t="s">
        <v>2158</v>
      </c>
      <c r="W1432" s="103" t="s">
        <v>121</v>
      </c>
      <c r="X1432" s="103" t="s">
        <v>345</v>
      </c>
      <c r="Y1432" s="103" t="s">
        <v>2240</v>
      </c>
      <c r="AA1432" s="103" t="s">
        <v>121</v>
      </c>
      <c r="AB1432" s="103" t="s">
        <v>64</v>
      </c>
      <c r="AE1432" s="103" t="s">
        <v>750</v>
      </c>
      <c r="AF1432" s="103" t="b">
        <v>1</v>
      </c>
    </row>
    <row r="1433" spans="1:32" hidden="1" x14ac:dyDescent="0.2">
      <c r="A1433" s="103" t="s">
        <v>3827</v>
      </c>
      <c r="B1433" s="103" t="s">
        <v>1404</v>
      </c>
      <c r="C1433" s="103" t="s">
        <v>3579</v>
      </c>
      <c r="D1433" s="103" t="s">
        <v>3589</v>
      </c>
      <c r="E1433" s="103" t="s">
        <v>3373</v>
      </c>
      <c r="F1433" s="103" t="s">
        <v>2162</v>
      </c>
      <c r="G1433" s="103">
        <v>25</v>
      </c>
      <c r="H1433" s="103" t="s">
        <v>2152</v>
      </c>
      <c r="I1433" s="103" t="s">
        <v>2153</v>
      </c>
      <c r="M1433" s="103">
        <v>25</v>
      </c>
      <c r="N1433" s="103" t="s">
        <v>2163</v>
      </c>
      <c r="O1433" s="103">
        <v>25</v>
      </c>
      <c r="P1433" s="103" t="s">
        <v>1679</v>
      </c>
      <c r="Q1433" s="103" t="s">
        <v>1393</v>
      </c>
      <c r="R1433" s="103" t="s">
        <v>121</v>
      </c>
      <c r="S1433" s="103" t="s">
        <v>2427</v>
      </c>
      <c r="U1433" s="103">
        <v>12.824999999999999</v>
      </c>
      <c r="V1433" s="103" t="s">
        <v>2158</v>
      </c>
      <c r="W1433" s="103" t="s">
        <v>121</v>
      </c>
      <c r="X1433" s="103" t="s">
        <v>345</v>
      </c>
      <c r="Y1433" s="103" t="s">
        <v>2240</v>
      </c>
      <c r="AA1433" s="103" t="s">
        <v>121</v>
      </c>
      <c r="AB1433" s="103" t="s">
        <v>64</v>
      </c>
      <c r="AE1433" s="103" t="s">
        <v>750</v>
      </c>
      <c r="AF1433" s="103" t="b">
        <v>1</v>
      </c>
    </row>
    <row r="1434" spans="1:32" hidden="1" x14ac:dyDescent="0.2">
      <c r="A1434" s="103" t="s">
        <v>3827</v>
      </c>
      <c r="B1434" s="103" t="s">
        <v>1404</v>
      </c>
      <c r="C1434" s="103" t="s">
        <v>3579</v>
      </c>
      <c r="D1434" s="103" t="s">
        <v>3590</v>
      </c>
      <c r="E1434" s="103" t="s">
        <v>3373</v>
      </c>
      <c r="F1434" s="103" t="s">
        <v>2162</v>
      </c>
      <c r="G1434" s="103">
        <v>25</v>
      </c>
      <c r="H1434" s="103" t="s">
        <v>2152</v>
      </c>
      <c r="I1434" s="103" t="s">
        <v>2153</v>
      </c>
      <c r="M1434" s="103">
        <v>25</v>
      </c>
      <c r="N1434" s="103" t="s">
        <v>2163</v>
      </c>
      <c r="O1434" s="103">
        <v>25</v>
      </c>
      <c r="P1434" s="103" t="s">
        <v>1679</v>
      </c>
      <c r="Q1434" s="103" t="s">
        <v>1393</v>
      </c>
      <c r="R1434" s="103" t="s">
        <v>121</v>
      </c>
      <c r="S1434" s="103" t="s">
        <v>2427</v>
      </c>
      <c r="U1434" s="103">
        <v>12.824999999999999</v>
      </c>
      <c r="V1434" s="103" t="s">
        <v>2158</v>
      </c>
      <c r="W1434" s="103" t="s">
        <v>121</v>
      </c>
      <c r="X1434" s="103" t="s">
        <v>345</v>
      </c>
      <c r="Y1434" s="103" t="s">
        <v>2240</v>
      </c>
      <c r="AA1434" s="103" t="s">
        <v>121</v>
      </c>
      <c r="AB1434" s="103" t="s">
        <v>64</v>
      </c>
      <c r="AE1434" s="103" t="s">
        <v>750</v>
      </c>
      <c r="AF1434" s="103" t="b">
        <v>1</v>
      </c>
    </row>
    <row r="1435" spans="1:32" hidden="1" x14ac:dyDescent="0.2">
      <c r="A1435" s="103" t="s">
        <v>3827</v>
      </c>
      <c r="B1435" s="103" t="s">
        <v>1404</v>
      </c>
      <c r="C1435" s="103" t="s">
        <v>3579</v>
      </c>
      <c r="D1435" s="103" t="s">
        <v>3591</v>
      </c>
      <c r="E1435" s="103" t="s">
        <v>3373</v>
      </c>
      <c r="F1435" s="103" t="s">
        <v>2162</v>
      </c>
      <c r="G1435" s="103">
        <v>25</v>
      </c>
      <c r="H1435" s="103" t="s">
        <v>2152</v>
      </c>
      <c r="I1435" s="103" t="s">
        <v>2153</v>
      </c>
      <c r="M1435" s="103">
        <v>25</v>
      </c>
      <c r="N1435" s="103" t="s">
        <v>2163</v>
      </c>
      <c r="O1435" s="103">
        <v>25</v>
      </c>
      <c r="P1435" s="103" t="s">
        <v>1679</v>
      </c>
      <c r="Q1435" s="103" t="s">
        <v>1393</v>
      </c>
      <c r="R1435" s="103" t="s">
        <v>121</v>
      </c>
      <c r="S1435" s="103" t="s">
        <v>2427</v>
      </c>
      <c r="U1435" s="103">
        <v>12.824999999999999</v>
      </c>
      <c r="V1435" s="103" t="s">
        <v>2158</v>
      </c>
      <c r="W1435" s="103" t="s">
        <v>121</v>
      </c>
      <c r="X1435" s="103" t="s">
        <v>345</v>
      </c>
      <c r="Y1435" s="103" t="s">
        <v>2240</v>
      </c>
      <c r="AA1435" s="103" t="s">
        <v>121</v>
      </c>
      <c r="AB1435" s="103" t="s">
        <v>64</v>
      </c>
      <c r="AE1435" s="103" t="s">
        <v>750</v>
      </c>
      <c r="AF1435" s="103" t="b">
        <v>1</v>
      </c>
    </row>
    <row r="1436" spans="1:32" hidden="1" x14ac:dyDescent="0.2">
      <c r="A1436" s="103" t="s">
        <v>3827</v>
      </c>
      <c r="B1436" s="103" t="s">
        <v>1404</v>
      </c>
      <c r="C1436" s="103" t="s">
        <v>3592</v>
      </c>
      <c r="D1436" s="103" t="s">
        <v>3593</v>
      </c>
      <c r="E1436" s="103" t="s">
        <v>2605</v>
      </c>
      <c r="F1436" s="103" t="s">
        <v>2151</v>
      </c>
      <c r="G1436" s="103">
        <v>100</v>
      </c>
      <c r="H1436" s="103" t="s">
        <v>2168</v>
      </c>
      <c r="I1436" s="103" t="s">
        <v>2153</v>
      </c>
      <c r="J1436" s="103">
        <v>100</v>
      </c>
      <c r="N1436" s="103" t="s">
        <v>2163</v>
      </c>
      <c r="O1436" s="103">
        <v>100</v>
      </c>
      <c r="P1436" s="103" t="s">
        <v>1679</v>
      </c>
      <c r="Q1436" s="103" t="s">
        <v>1393</v>
      </c>
      <c r="R1436" s="103" t="s">
        <v>2225</v>
      </c>
      <c r="S1436" s="103" t="s">
        <v>2251</v>
      </c>
      <c r="U1436" s="103">
        <v>48.3</v>
      </c>
      <c r="V1436" s="103" t="s">
        <v>2158</v>
      </c>
      <c r="W1436" s="103" t="s">
        <v>106</v>
      </c>
      <c r="X1436" s="103" t="s">
        <v>345</v>
      </c>
      <c r="Y1436" s="103" t="s">
        <v>2240</v>
      </c>
      <c r="AA1436" s="103" t="s">
        <v>2225</v>
      </c>
      <c r="AB1436" s="103" t="s">
        <v>64</v>
      </c>
      <c r="AE1436" s="103" t="s">
        <v>750</v>
      </c>
      <c r="AF1436" s="103" t="b">
        <v>1</v>
      </c>
    </row>
    <row r="1437" spans="1:32" hidden="1" x14ac:dyDescent="0.2">
      <c r="A1437" s="103" t="s">
        <v>3827</v>
      </c>
      <c r="B1437" s="103" t="s">
        <v>1404</v>
      </c>
      <c r="C1437" s="103" t="s">
        <v>3579</v>
      </c>
      <c r="D1437" s="103" t="s">
        <v>3594</v>
      </c>
      <c r="E1437" s="103" t="s">
        <v>3373</v>
      </c>
      <c r="F1437" s="103" t="s">
        <v>2162</v>
      </c>
      <c r="G1437" s="103">
        <v>50</v>
      </c>
      <c r="H1437" s="103" t="s">
        <v>2168</v>
      </c>
      <c r="I1437" s="103" t="s">
        <v>2153</v>
      </c>
      <c r="J1437" s="103">
        <v>25</v>
      </c>
      <c r="K1437" s="103">
        <v>25</v>
      </c>
      <c r="N1437" s="103" t="s">
        <v>2163</v>
      </c>
      <c r="O1437" s="103">
        <v>50</v>
      </c>
      <c r="P1437" s="103" t="s">
        <v>1679</v>
      </c>
      <c r="Q1437" s="103" t="s">
        <v>1393</v>
      </c>
      <c r="R1437" s="103" t="s">
        <v>121</v>
      </c>
      <c r="S1437" s="103" t="s">
        <v>2427</v>
      </c>
      <c r="U1437" s="103">
        <v>25.65</v>
      </c>
      <c r="V1437" s="103" t="s">
        <v>2158</v>
      </c>
      <c r="W1437" s="103" t="s">
        <v>121</v>
      </c>
      <c r="X1437" s="103" t="s">
        <v>345</v>
      </c>
      <c r="Y1437" s="103" t="s">
        <v>2240</v>
      </c>
      <c r="AA1437" s="103" t="s">
        <v>121</v>
      </c>
      <c r="AB1437" s="103" t="s">
        <v>64</v>
      </c>
      <c r="AE1437" s="103" t="s">
        <v>750</v>
      </c>
      <c r="AF1437" s="103" t="b">
        <v>1</v>
      </c>
    </row>
    <row r="1438" spans="1:32" hidden="1" x14ac:dyDescent="0.2">
      <c r="A1438" s="103" t="s">
        <v>3827</v>
      </c>
      <c r="B1438" s="103" t="s">
        <v>1404</v>
      </c>
      <c r="C1438" s="103" t="s">
        <v>3592</v>
      </c>
      <c r="D1438" s="103" t="s">
        <v>3595</v>
      </c>
      <c r="E1438" s="103" t="s">
        <v>2605</v>
      </c>
      <c r="F1438" s="103" t="s">
        <v>2202</v>
      </c>
      <c r="G1438" s="103">
        <v>200</v>
      </c>
      <c r="H1438" s="103" t="s">
        <v>2168</v>
      </c>
      <c r="I1438" s="103" t="s">
        <v>2153</v>
      </c>
      <c r="K1438" s="103">
        <v>200</v>
      </c>
      <c r="N1438" s="103" t="s">
        <v>2163</v>
      </c>
      <c r="O1438" s="103">
        <v>200</v>
      </c>
      <c r="P1438" s="103" t="s">
        <v>1679</v>
      </c>
      <c r="Q1438" s="103" t="s">
        <v>1393</v>
      </c>
      <c r="R1438" s="103" t="s">
        <v>2225</v>
      </c>
      <c r="S1438" s="103" t="s">
        <v>2251</v>
      </c>
      <c r="U1438" s="103">
        <v>96.6</v>
      </c>
      <c r="V1438" s="103" t="s">
        <v>2158</v>
      </c>
      <c r="W1438" s="103" t="s">
        <v>106</v>
      </c>
      <c r="X1438" s="103" t="s">
        <v>345</v>
      </c>
      <c r="Y1438" s="103" t="s">
        <v>2240</v>
      </c>
      <c r="AA1438" s="103" t="s">
        <v>2225</v>
      </c>
      <c r="AB1438" s="103" t="s">
        <v>64</v>
      </c>
      <c r="AE1438" s="103" t="s">
        <v>750</v>
      </c>
      <c r="AF1438" s="103" t="b">
        <v>1</v>
      </c>
    </row>
    <row r="1439" spans="1:32" hidden="1" x14ac:dyDescent="0.2">
      <c r="A1439" s="103" t="s">
        <v>3827</v>
      </c>
      <c r="B1439" s="103" t="s">
        <v>1404</v>
      </c>
      <c r="C1439" s="103" t="s">
        <v>3592</v>
      </c>
      <c r="D1439" s="103" t="s">
        <v>3596</v>
      </c>
      <c r="E1439" s="103" t="s">
        <v>2605</v>
      </c>
      <c r="F1439" s="103" t="s">
        <v>2175</v>
      </c>
      <c r="G1439" s="103">
        <v>25</v>
      </c>
      <c r="H1439" s="103" t="s">
        <v>2152</v>
      </c>
      <c r="I1439" s="103" t="s">
        <v>2153</v>
      </c>
      <c r="K1439" s="103">
        <v>25</v>
      </c>
      <c r="N1439" s="103" t="s">
        <v>2163</v>
      </c>
      <c r="O1439" s="103">
        <v>25</v>
      </c>
      <c r="P1439" s="103" t="s">
        <v>1679</v>
      </c>
      <c r="Q1439" s="103" t="s">
        <v>2155</v>
      </c>
      <c r="R1439" s="103" t="s">
        <v>2225</v>
      </c>
      <c r="S1439" s="103" t="s">
        <v>2157</v>
      </c>
      <c r="U1439" s="103">
        <v>12.074999999999999</v>
      </c>
      <c r="V1439" s="103" t="s">
        <v>2158</v>
      </c>
      <c r="W1439" s="103" t="s">
        <v>106</v>
      </c>
      <c r="X1439" s="103" t="s">
        <v>345</v>
      </c>
      <c r="Y1439" s="103" t="s">
        <v>2240</v>
      </c>
      <c r="AA1439" s="103" t="s">
        <v>2225</v>
      </c>
      <c r="AB1439" s="103" t="s">
        <v>64</v>
      </c>
      <c r="AE1439" s="103" t="s">
        <v>750</v>
      </c>
      <c r="AF1439" s="103" t="b">
        <v>1</v>
      </c>
    </row>
    <row r="1440" spans="1:32" hidden="1" x14ac:dyDescent="0.2">
      <c r="A1440" s="103" t="s">
        <v>3827</v>
      </c>
      <c r="B1440" s="103" t="s">
        <v>1404</v>
      </c>
      <c r="C1440" s="103" t="s">
        <v>3592</v>
      </c>
      <c r="D1440" s="103" t="s">
        <v>3597</v>
      </c>
      <c r="E1440" s="103" t="s">
        <v>2605</v>
      </c>
      <c r="F1440" s="103" t="s">
        <v>2202</v>
      </c>
      <c r="G1440" s="103">
        <v>200</v>
      </c>
      <c r="H1440" s="103" t="s">
        <v>2168</v>
      </c>
      <c r="I1440" s="103" t="s">
        <v>2153</v>
      </c>
      <c r="K1440" s="103">
        <v>200</v>
      </c>
      <c r="N1440" s="103" t="s">
        <v>2163</v>
      </c>
      <c r="O1440" s="103">
        <v>200</v>
      </c>
      <c r="P1440" s="103" t="s">
        <v>1679</v>
      </c>
      <c r="Q1440" s="103" t="s">
        <v>1393</v>
      </c>
      <c r="R1440" s="103" t="s">
        <v>2225</v>
      </c>
      <c r="S1440" s="103" t="s">
        <v>2251</v>
      </c>
      <c r="U1440" s="103">
        <v>96.6</v>
      </c>
      <c r="V1440" s="103" t="s">
        <v>2158</v>
      </c>
      <c r="W1440" s="103" t="s">
        <v>106</v>
      </c>
      <c r="X1440" s="103" t="s">
        <v>345</v>
      </c>
      <c r="Y1440" s="103" t="s">
        <v>2240</v>
      </c>
      <c r="AA1440" s="103" t="s">
        <v>2225</v>
      </c>
      <c r="AB1440" s="103" t="s">
        <v>64</v>
      </c>
      <c r="AE1440" s="103" t="s">
        <v>750</v>
      </c>
      <c r="AF1440" s="103" t="b">
        <v>1</v>
      </c>
    </row>
    <row r="1441" spans="1:32" hidden="1" x14ac:dyDescent="0.2">
      <c r="A1441" s="103" t="s">
        <v>3827</v>
      </c>
      <c r="B1441" s="103" t="s">
        <v>1404</v>
      </c>
      <c r="C1441" s="103" t="s">
        <v>3592</v>
      </c>
      <c r="D1441" s="103" t="s">
        <v>3598</v>
      </c>
      <c r="E1441" s="103" t="s">
        <v>2601</v>
      </c>
      <c r="F1441" s="103" t="s">
        <v>2202</v>
      </c>
      <c r="G1441" s="103">
        <v>240</v>
      </c>
      <c r="H1441" s="103" t="s">
        <v>2152</v>
      </c>
      <c r="I1441" s="103" t="s">
        <v>2153</v>
      </c>
      <c r="K1441" s="103">
        <v>70</v>
      </c>
      <c r="L1441" s="103">
        <v>170</v>
      </c>
      <c r="N1441" s="103" t="s">
        <v>2163</v>
      </c>
      <c r="O1441" s="103">
        <v>240</v>
      </c>
      <c r="P1441" s="103" t="s">
        <v>1679</v>
      </c>
      <c r="Q1441" s="103" t="s">
        <v>1393</v>
      </c>
      <c r="R1441" s="103" t="s">
        <v>2225</v>
      </c>
      <c r="S1441" s="103" t="s">
        <v>2192</v>
      </c>
      <c r="U1441" s="103">
        <v>115.92</v>
      </c>
      <c r="V1441" s="103" t="s">
        <v>2158</v>
      </c>
      <c r="W1441" s="103" t="s">
        <v>106</v>
      </c>
      <c r="X1441" s="103" t="s">
        <v>345</v>
      </c>
      <c r="Y1441" s="103" t="s">
        <v>2240</v>
      </c>
      <c r="AA1441" s="103" t="s">
        <v>2225</v>
      </c>
      <c r="AB1441" s="103" t="s">
        <v>64</v>
      </c>
      <c r="AE1441" s="103" t="s">
        <v>750</v>
      </c>
      <c r="AF1441" s="103" t="b">
        <v>1</v>
      </c>
    </row>
    <row r="1442" spans="1:32" hidden="1" x14ac:dyDescent="0.2">
      <c r="A1442" s="103" t="s">
        <v>3827</v>
      </c>
      <c r="B1442" s="103" t="s">
        <v>1404</v>
      </c>
      <c r="C1442" s="103" t="s">
        <v>3592</v>
      </c>
      <c r="D1442" s="103" t="s">
        <v>3599</v>
      </c>
      <c r="E1442" s="103" t="s">
        <v>2605</v>
      </c>
      <c r="F1442" s="103" t="s">
        <v>2151</v>
      </c>
      <c r="G1442" s="103">
        <v>100</v>
      </c>
      <c r="H1442" s="103" t="s">
        <v>2168</v>
      </c>
      <c r="I1442" s="103" t="s">
        <v>2153</v>
      </c>
      <c r="K1442" s="103">
        <v>100</v>
      </c>
      <c r="N1442" s="103" t="s">
        <v>2163</v>
      </c>
      <c r="O1442" s="103">
        <v>100</v>
      </c>
      <c r="P1442" s="103" t="s">
        <v>1679</v>
      </c>
      <c r="Q1442" s="103" t="s">
        <v>1393</v>
      </c>
      <c r="R1442" s="103" t="s">
        <v>2225</v>
      </c>
      <c r="S1442" s="103" t="s">
        <v>2251</v>
      </c>
      <c r="U1442" s="103">
        <v>48.3</v>
      </c>
      <c r="V1442" s="103" t="s">
        <v>2158</v>
      </c>
      <c r="W1442" s="103" t="s">
        <v>106</v>
      </c>
      <c r="X1442" s="103" t="s">
        <v>345</v>
      </c>
      <c r="Y1442" s="103" t="s">
        <v>2240</v>
      </c>
      <c r="AA1442" s="103" t="s">
        <v>2225</v>
      </c>
      <c r="AB1442" s="103" t="s">
        <v>64</v>
      </c>
      <c r="AE1442" s="103" t="s">
        <v>750</v>
      </c>
      <c r="AF1442" s="103" t="b">
        <v>1</v>
      </c>
    </row>
    <row r="1443" spans="1:32" hidden="1" x14ac:dyDescent="0.2">
      <c r="A1443" s="103" t="s">
        <v>3827</v>
      </c>
      <c r="B1443" s="103" t="s">
        <v>1404</v>
      </c>
      <c r="C1443" s="103" t="s">
        <v>3540</v>
      </c>
      <c r="D1443" s="103" t="s">
        <v>3600</v>
      </c>
      <c r="E1443" s="103" t="s">
        <v>2562</v>
      </c>
      <c r="F1443" s="103" t="s">
        <v>2151</v>
      </c>
      <c r="G1443" s="103">
        <v>150</v>
      </c>
      <c r="H1443" s="103" t="s">
        <v>2168</v>
      </c>
      <c r="I1443" s="103" t="s">
        <v>2153</v>
      </c>
      <c r="K1443" s="103">
        <v>150</v>
      </c>
      <c r="L1443" s="103">
        <v>0</v>
      </c>
      <c r="M1443" s="103">
        <v>0</v>
      </c>
      <c r="N1443" s="103" t="s">
        <v>2163</v>
      </c>
      <c r="O1443" s="103">
        <v>150</v>
      </c>
      <c r="P1443" s="103" t="s">
        <v>1617</v>
      </c>
      <c r="Q1443" s="103" t="s">
        <v>1393</v>
      </c>
      <c r="R1443" s="103" t="s">
        <v>2225</v>
      </c>
      <c r="S1443" s="103" t="s">
        <v>2238</v>
      </c>
      <c r="U1443" s="103">
        <v>72.45</v>
      </c>
      <c r="V1443" s="103" t="s">
        <v>2158</v>
      </c>
      <c r="W1443" s="103" t="s">
        <v>106</v>
      </c>
      <c r="X1443" s="103" t="s">
        <v>345</v>
      </c>
      <c r="Y1443" s="103" t="s">
        <v>2240</v>
      </c>
      <c r="AA1443" s="103" t="s">
        <v>2225</v>
      </c>
      <c r="AB1443" s="103" t="s">
        <v>64</v>
      </c>
      <c r="AE1443" s="103" t="s">
        <v>750</v>
      </c>
      <c r="AF1443" s="103" t="b">
        <v>1</v>
      </c>
    </row>
    <row r="1444" spans="1:32" hidden="1" x14ac:dyDescent="0.2">
      <c r="A1444" s="103" t="s">
        <v>3827</v>
      </c>
      <c r="B1444" s="103" t="s">
        <v>1404</v>
      </c>
      <c r="C1444" s="103" t="s">
        <v>3592</v>
      </c>
      <c r="D1444" s="103" t="s">
        <v>3601</v>
      </c>
      <c r="E1444" s="103" t="s">
        <v>2605</v>
      </c>
      <c r="F1444" s="103" t="s">
        <v>2162</v>
      </c>
      <c r="G1444" s="103">
        <v>50</v>
      </c>
      <c r="H1444" s="103" t="s">
        <v>2168</v>
      </c>
      <c r="I1444" s="103" t="s">
        <v>2153</v>
      </c>
      <c r="J1444" s="103">
        <v>50</v>
      </c>
      <c r="N1444" s="103" t="s">
        <v>2163</v>
      </c>
      <c r="O1444" s="103">
        <v>50</v>
      </c>
      <c r="P1444" s="103" t="s">
        <v>1679</v>
      </c>
      <c r="Q1444" s="103" t="s">
        <v>1393</v>
      </c>
      <c r="R1444" s="103" t="s">
        <v>2225</v>
      </c>
      <c r="S1444" s="103" t="s">
        <v>2251</v>
      </c>
      <c r="U1444" s="103">
        <v>24.15</v>
      </c>
      <c r="V1444" s="103" t="s">
        <v>2158</v>
      </c>
      <c r="W1444" s="103" t="s">
        <v>106</v>
      </c>
      <c r="X1444" s="103" t="s">
        <v>345</v>
      </c>
      <c r="Y1444" s="103" t="s">
        <v>2240</v>
      </c>
      <c r="AA1444" s="103" t="s">
        <v>2225</v>
      </c>
      <c r="AB1444" s="103" t="s">
        <v>64</v>
      </c>
      <c r="AE1444" s="103" t="s">
        <v>750</v>
      </c>
      <c r="AF1444" s="103" t="b">
        <v>1</v>
      </c>
    </row>
    <row r="1445" spans="1:32" hidden="1" x14ac:dyDescent="0.2">
      <c r="A1445" s="103" t="s">
        <v>3827</v>
      </c>
      <c r="B1445" s="103" t="s">
        <v>1404</v>
      </c>
      <c r="C1445" s="103" t="s">
        <v>3540</v>
      </c>
      <c r="D1445" s="103" t="s">
        <v>3602</v>
      </c>
      <c r="E1445" s="103" t="s">
        <v>2562</v>
      </c>
      <c r="F1445" s="103" t="s">
        <v>2228</v>
      </c>
      <c r="G1445" s="103">
        <v>640</v>
      </c>
      <c r="H1445" s="103" t="s">
        <v>2168</v>
      </c>
      <c r="I1445" s="103" t="s">
        <v>2153</v>
      </c>
      <c r="L1445" s="103">
        <v>240</v>
      </c>
      <c r="M1445" s="103">
        <v>400</v>
      </c>
      <c r="N1445" s="103" t="s">
        <v>2163</v>
      </c>
      <c r="O1445" s="103">
        <v>640</v>
      </c>
      <c r="P1445" s="103" t="s">
        <v>1617</v>
      </c>
      <c r="Q1445" s="103" t="s">
        <v>1393</v>
      </c>
      <c r="R1445" s="103" t="s">
        <v>2225</v>
      </c>
      <c r="S1445" s="103" t="s">
        <v>2238</v>
      </c>
      <c r="U1445" s="103">
        <v>309.12</v>
      </c>
      <c r="V1445" s="103" t="s">
        <v>2158</v>
      </c>
      <c r="W1445" s="103" t="s">
        <v>106</v>
      </c>
      <c r="X1445" s="103" t="s">
        <v>345</v>
      </c>
      <c r="Y1445" s="103" t="s">
        <v>2240</v>
      </c>
      <c r="AA1445" s="103" t="s">
        <v>2225</v>
      </c>
      <c r="AB1445" s="103" t="s">
        <v>64</v>
      </c>
      <c r="AE1445" s="103" t="s">
        <v>750</v>
      </c>
      <c r="AF1445" s="103" t="b">
        <v>1</v>
      </c>
    </row>
    <row r="1446" spans="1:32" hidden="1" x14ac:dyDescent="0.2">
      <c r="A1446" s="103" t="s">
        <v>3827</v>
      </c>
      <c r="B1446" s="103" t="s">
        <v>1404</v>
      </c>
      <c r="C1446" s="103" t="s">
        <v>3592</v>
      </c>
      <c r="D1446" s="103" t="s">
        <v>3603</v>
      </c>
      <c r="E1446" s="103" t="s">
        <v>2605</v>
      </c>
      <c r="F1446" s="103" t="s">
        <v>2151</v>
      </c>
      <c r="G1446" s="103">
        <v>100</v>
      </c>
      <c r="H1446" s="103" t="s">
        <v>2168</v>
      </c>
      <c r="I1446" s="103" t="s">
        <v>2153</v>
      </c>
      <c r="J1446" s="103">
        <v>100</v>
      </c>
      <c r="N1446" s="103" t="s">
        <v>2163</v>
      </c>
      <c r="O1446" s="103">
        <v>100</v>
      </c>
      <c r="P1446" s="103" t="s">
        <v>1679</v>
      </c>
      <c r="Q1446" s="103" t="s">
        <v>1393</v>
      </c>
      <c r="R1446" s="103" t="s">
        <v>2225</v>
      </c>
      <c r="S1446" s="103" t="s">
        <v>2251</v>
      </c>
      <c r="U1446" s="103">
        <v>48.3</v>
      </c>
      <c r="V1446" s="103" t="s">
        <v>2158</v>
      </c>
      <c r="W1446" s="103" t="s">
        <v>106</v>
      </c>
      <c r="X1446" s="103" t="s">
        <v>345</v>
      </c>
      <c r="Y1446" s="103" t="s">
        <v>2240</v>
      </c>
      <c r="AA1446" s="103" t="s">
        <v>2225</v>
      </c>
      <c r="AB1446" s="103" t="s">
        <v>64</v>
      </c>
      <c r="AE1446" s="103" t="s">
        <v>750</v>
      </c>
      <c r="AF1446" s="103" t="b">
        <v>1</v>
      </c>
    </row>
    <row r="1447" spans="1:32" hidden="1" x14ac:dyDescent="0.2">
      <c r="A1447" s="103" t="s">
        <v>3827</v>
      </c>
      <c r="B1447" s="103" t="s">
        <v>1404</v>
      </c>
      <c r="C1447" s="103" t="s">
        <v>3529</v>
      </c>
      <c r="D1447" s="103" t="s">
        <v>3604</v>
      </c>
      <c r="E1447" s="103" t="s">
        <v>2601</v>
      </c>
      <c r="G1447" s="103">
        <v>245</v>
      </c>
      <c r="H1447" s="103" t="s">
        <v>2168</v>
      </c>
      <c r="I1447" s="103" t="s">
        <v>2153</v>
      </c>
      <c r="L1447" s="103">
        <v>125</v>
      </c>
      <c r="M1447" s="103">
        <v>120</v>
      </c>
      <c r="N1447" s="103" t="s">
        <v>2163</v>
      </c>
      <c r="O1447" s="103">
        <v>245</v>
      </c>
      <c r="P1447" s="103" t="s">
        <v>1617</v>
      </c>
      <c r="Q1447" s="103" t="s">
        <v>1393</v>
      </c>
      <c r="R1447" s="103" t="s">
        <v>2225</v>
      </c>
      <c r="S1447" s="103" t="s">
        <v>2192</v>
      </c>
      <c r="U1447" s="103">
        <v>118.33499999999999</v>
      </c>
      <c r="V1447" s="103" t="s">
        <v>2158</v>
      </c>
      <c r="W1447" s="103" t="s">
        <v>106</v>
      </c>
      <c r="X1447" s="103" t="s">
        <v>345</v>
      </c>
      <c r="Y1447" s="103" t="s">
        <v>2240</v>
      </c>
      <c r="AA1447" s="103" t="s">
        <v>2225</v>
      </c>
      <c r="AB1447" s="103" t="s">
        <v>64</v>
      </c>
      <c r="AE1447" s="103" t="s">
        <v>750</v>
      </c>
      <c r="AF1447" s="103" t="b">
        <v>1</v>
      </c>
    </row>
    <row r="1448" spans="1:32" hidden="1" x14ac:dyDescent="0.2">
      <c r="A1448" s="103" t="s">
        <v>3827</v>
      </c>
      <c r="B1448" s="103" t="s">
        <v>1404</v>
      </c>
      <c r="C1448" s="103" t="s">
        <v>3540</v>
      </c>
      <c r="D1448" s="103" t="s">
        <v>3605</v>
      </c>
      <c r="E1448" s="103" t="s">
        <v>2562</v>
      </c>
      <c r="F1448" s="103" t="s">
        <v>2151</v>
      </c>
      <c r="G1448" s="103">
        <v>150</v>
      </c>
      <c r="H1448" s="103" t="s">
        <v>2168</v>
      </c>
      <c r="I1448" s="103" t="s">
        <v>2153</v>
      </c>
      <c r="J1448" s="103">
        <v>0</v>
      </c>
      <c r="K1448" s="103">
        <v>0</v>
      </c>
      <c r="M1448" s="103">
        <v>150</v>
      </c>
      <c r="N1448" s="103" t="s">
        <v>2154</v>
      </c>
      <c r="O1448" s="103">
        <v>150</v>
      </c>
      <c r="P1448" s="103" t="s">
        <v>1617</v>
      </c>
      <c r="Q1448" s="103" t="s">
        <v>1393</v>
      </c>
      <c r="R1448" s="103" t="s">
        <v>2225</v>
      </c>
      <c r="S1448" s="103" t="s">
        <v>2238</v>
      </c>
      <c r="U1448" s="103">
        <v>72.45</v>
      </c>
      <c r="V1448" s="103" t="s">
        <v>2158</v>
      </c>
      <c r="W1448" s="103" t="s">
        <v>106</v>
      </c>
      <c r="X1448" s="103" t="s">
        <v>345</v>
      </c>
      <c r="Y1448" s="103" t="s">
        <v>2240</v>
      </c>
      <c r="AA1448" s="103" t="s">
        <v>2225</v>
      </c>
      <c r="AB1448" s="103" t="s">
        <v>64</v>
      </c>
      <c r="AE1448" s="103" t="s">
        <v>750</v>
      </c>
      <c r="AF1448" s="103" t="b">
        <v>1</v>
      </c>
    </row>
    <row r="1449" spans="1:32" hidden="1" x14ac:dyDescent="0.2">
      <c r="A1449" s="103" t="s">
        <v>3827</v>
      </c>
      <c r="B1449" s="103" t="s">
        <v>1404</v>
      </c>
      <c r="C1449" s="103" t="s">
        <v>3540</v>
      </c>
      <c r="D1449" s="103" t="s">
        <v>3606</v>
      </c>
      <c r="E1449" s="103" t="s">
        <v>2562</v>
      </c>
      <c r="F1449" s="103" t="s">
        <v>2151</v>
      </c>
      <c r="G1449" s="103">
        <v>100</v>
      </c>
      <c r="H1449" s="103" t="s">
        <v>2168</v>
      </c>
      <c r="I1449" s="103" t="s">
        <v>2153</v>
      </c>
      <c r="M1449" s="103">
        <v>100</v>
      </c>
      <c r="N1449" s="103" t="s">
        <v>2163</v>
      </c>
      <c r="O1449" s="103">
        <v>100</v>
      </c>
      <c r="P1449" s="103" t="s">
        <v>1617</v>
      </c>
      <c r="Q1449" s="103" t="s">
        <v>1393</v>
      </c>
      <c r="R1449" s="103" t="s">
        <v>2225</v>
      </c>
      <c r="S1449" s="103" t="s">
        <v>2238</v>
      </c>
      <c r="U1449" s="103">
        <v>48.3</v>
      </c>
      <c r="V1449" s="103" t="s">
        <v>2158</v>
      </c>
      <c r="W1449" s="103" t="s">
        <v>106</v>
      </c>
      <c r="X1449" s="103" t="s">
        <v>345</v>
      </c>
      <c r="Y1449" s="103" t="s">
        <v>2240</v>
      </c>
      <c r="AA1449" s="103" t="s">
        <v>2225</v>
      </c>
      <c r="AB1449" s="103" t="s">
        <v>64</v>
      </c>
      <c r="AE1449" s="103" t="s">
        <v>750</v>
      </c>
      <c r="AF1449" s="103" t="b">
        <v>1</v>
      </c>
    </row>
    <row r="1450" spans="1:32" hidden="1" x14ac:dyDescent="0.2">
      <c r="A1450" s="103" t="s">
        <v>3827</v>
      </c>
      <c r="B1450" s="103" t="s">
        <v>1404</v>
      </c>
      <c r="C1450" s="103" t="s">
        <v>3529</v>
      </c>
      <c r="D1450" s="103" t="s">
        <v>3607</v>
      </c>
      <c r="E1450" s="103" t="s">
        <v>2601</v>
      </c>
      <c r="F1450" s="103" t="s">
        <v>2162</v>
      </c>
      <c r="G1450" s="103">
        <v>50</v>
      </c>
      <c r="H1450" s="103" t="s">
        <v>2168</v>
      </c>
      <c r="I1450" s="103" t="s">
        <v>2153</v>
      </c>
      <c r="J1450" s="103">
        <v>0</v>
      </c>
      <c r="K1450" s="103">
        <v>0</v>
      </c>
      <c r="L1450" s="103">
        <v>50</v>
      </c>
      <c r="M1450" s="103">
        <v>0</v>
      </c>
      <c r="N1450" s="103" t="s">
        <v>2163</v>
      </c>
      <c r="O1450" s="103">
        <v>50</v>
      </c>
      <c r="P1450" s="103" t="s">
        <v>1617</v>
      </c>
      <c r="Q1450" s="103" t="s">
        <v>1393</v>
      </c>
      <c r="R1450" s="103" t="s">
        <v>2225</v>
      </c>
      <c r="S1450" s="103" t="s">
        <v>2192</v>
      </c>
      <c r="U1450" s="103">
        <v>24.15</v>
      </c>
      <c r="V1450" s="103" t="s">
        <v>2158</v>
      </c>
      <c r="W1450" s="103" t="s">
        <v>106</v>
      </c>
      <c r="X1450" s="103" t="s">
        <v>345</v>
      </c>
      <c r="Y1450" s="103" t="s">
        <v>2240</v>
      </c>
      <c r="AA1450" s="103" t="s">
        <v>2225</v>
      </c>
      <c r="AB1450" s="103" t="s">
        <v>64</v>
      </c>
      <c r="AE1450" s="103" t="s">
        <v>750</v>
      </c>
      <c r="AF1450" s="103" t="b">
        <v>1</v>
      </c>
    </row>
    <row r="1451" spans="1:32" hidden="1" x14ac:dyDescent="0.2">
      <c r="A1451" s="103" t="s">
        <v>3827</v>
      </c>
      <c r="B1451" s="103" t="s">
        <v>1404</v>
      </c>
      <c r="C1451" s="103" t="s">
        <v>3529</v>
      </c>
      <c r="D1451" s="103" t="s">
        <v>3608</v>
      </c>
      <c r="E1451" s="103" t="s">
        <v>2603</v>
      </c>
      <c r="F1451" s="103" t="s">
        <v>2151</v>
      </c>
      <c r="G1451" s="103">
        <v>150</v>
      </c>
      <c r="H1451" s="103" t="s">
        <v>2168</v>
      </c>
      <c r="I1451" s="103" t="s">
        <v>2153</v>
      </c>
      <c r="L1451" s="103">
        <v>150</v>
      </c>
      <c r="N1451" s="103" t="s">
        <v>2163</v>
      </c>
      <c r="O1451" s="103">
        <v>150</v>
      </c>
      <c r="P1451" s="103" t="s">
        <v>1617</v>
      </c>
      <c r="Q1451" s="103" t="s">
        <v>1393</v>
      </c>
      <c r="R1451" s="103" t="s">
        <v>121</v>
      </c>
      <c r="S1451" s="103" t="s">
        <v>2427</v>
      </c>
      <c r="U1451" s="103">
        <v>76.95</v>
      </c>
      <c r="V1451" s="103" t="s">
        <v>2158</v>
      </c>
      <c r="W1451" s="103" t="s">
        <v>121</v>
      </c>
      <c r="X1451" s="103" t="s">
        <v>345</v>
      </c>
      <c r="Y1451" s="103" t="s">
        <v>2240</v>
      </c>
      <c r="AA1451" s="103" t="s">
        <v>121</v>
      </c>
      <c r="AB1451" s="103" t="s">
        <v>64</v>
      </c>
      <c r="AE1451" s="103" t="s">
        <v>750</v>
      </c>
      <c r="AF1451" s="103" t="b">
        <v>1</v>
      </c>
    </row>
    <row r="1452" spans="1:32" hidden="1" x14ac:dyDescent="0.2">
      <c r="A1452" s="103" t="s">
        <v>3827</v>
      </c>
      <c r="B1452" s="103" t="s">
        <v>1404</v>
      </c>
      <c r="C1452" s="103" t="s">
        <v>3529</v>
      </c>
      <c r="D1452" s="103" t="s">
        <v>3609</v>
      </c>
      <c r="E1452" s="103" t="s">
        <v>134</v>
      </c>
      <c r="F1452" s="103" t="s">
        <v>2202</v>
      </c>
      <c r="G1452" s="103">
        <v>300</v>
      </c>
      <c r="H1452" s="103" t="s">
        <v>2168</v>
      </c>
      <c r="I1452" s="103" t="s">
        <v>2153</v>
      </c>
      <c r="J1452" s="103">
        <v>100</v>
      </c>
      <c r="K1452" s="103">
        <v>150</v>
      </c>
      <c r="L1452" s="103">
        <v>50</v>
      </c>
      <c r="N1452" s="103" t="s">
        <v>2163</v>
      </c>
      <c r="O1452" s="103">
        <v>300</v>
      </c>
      <c r="P1452" s="103" t="s">
        <v>1617</v>
      </c>
      <c r="Q1452" s="103" t="s">
        <v>1393</v>
      </c>
      <c r="R1452" s="103" t="s">
        <v>1638</v>
      </c>
      <c r="U1452" s="103">
        <v>340.2</v>
      </c>
      <c r="V1452" s="103" t="s">
        <v>2158</v>
      </c>
      <c r="W1452" s="103" t="s">
        <v>134</v>
      </c>
      <c r="X1452" s="103" t="s">
        <v>345</v>
      </c>
      <c r="Y1452" s="103" t="s">
        <v>2240</v>
      </c>
      <c r="AA1452" s="103" t="s">
        <v>1638</v>
      </c>
      <c r="AB1452" s="103" t="s">
        <v>64</v>
      </c>
      <c r="AE1452" s="103" t="s">
        <v>750</v>
      </c>
      <c r="AF1452" s="103" t="b">
        <v>1</v>
      </c>
    </row>
    <row r="1453" spans="1:32" hidden="1" x14ac:dyDescent="0.2">
      <c r="A1453" s="103" t="s">
        <v>3827</v>
      </c>
      <c r="B1453" s="103" t="s">
        <v>1404</v>
      </c>
      <c r="C1453" s="103" t="s">
        <v>3529</v>
      </c>
      <c r="D1453" s="103" t="s">
        <v>3610</v>
      </c>
      <c r="E1453" s="103" t="s">
        <v>2601</v>
      </c>
      <c r="F1453" s="103" t="s">
        <v>2202</v>
      </c>
      <c r="G1453" s="103">
        <v>200</v>
      </c>
      <c r="H1453" s="103" t="s">
        <v>2168</v>
      </c>
      <c r="I1453" s="103" t="s">
        <v>2153</v>
      </c>
      <c r="J1453" s="103">
        <v>0</v>
      </c>
      <c r="K1453" s="103">
        <v>0</v>
      </c>
      <c r="L1453" s="103">
        <v>0</v>
      </c>
      <c r="M1453" s="103">
        <v>200</v>
      </c>
      <c r="N1453" s="103" t="s">
        <v>2154</v>
      </c>
      <c r="O1453" s="103">
        <v>200</v>
      </c>
      <c r="P1453" s="103" t="s">
        <v>1617</v>
      </c>
      <c r="Q1453" s="103" t="s">
        <v>1393</v>
      </c>
      <c r="R1453" s="103" t="s">
        <v>2225</v>
      </c>
      <c r="S1453" s="103" t="s">
        <v>2192</v>
      </c>
      <c r="U1453" s="103">
        <v>96.6</v>
      </c>
      <c r="V1453" s="103" t="s">
        <v>2158</v>
      </c>
      <c r="W1453" s="103" t="s">
        <v>106</v>
      </c>
      <c r="X1453" s="103" t="s">
        <v>345</v>
      </c>
      <c r="Y1453" s="103" t="s">
        <v>2240</v>
      </c>
      <c r="AA1453" s="103" t="s">
        <v>2225</v>
      </c>
      <c r="AB1453" s="103" t="s">
        <v>64</v>
      </c>
      <c r="AE1453" s="103" t="s">
        <v>750</v>
      </c>
      <c r="AF1453" s="103" t="b">
        <v>1</v>
      </c>
    </row>
    <row r="1454" spans="1:32" hidden="1" x14ac:dyDescent="0.2">
      <c r="A1454" s="103" t="s">
        <v>3827</v>
      </c>
      <c r="B1454" s="103" t="s">
        <v>1404</v>
      </c>
      <c r="C1454" s="103" t="s">
        <v>3540</v>
      </c>
      <c r="D1454" s="103" t="s">
        <v>3611</v>
      </c>
      <c r="E1454" s="103" t="s">
        <v>2562</v>
      </c>
      <c r="F1454" s="103" t="s">
        <v>2151</v>
      </c>
      <c r="G1454" s="103">
        <v>150</v>
      </c>
      <c r="H1454" s="103" t="s">
        <v>2152</v>
      </c>
      <c r="I1454" s="103" t="s">
        <v>2153</v>
      </c>
      <c r="L1454" s="103">
        <v>150</v>
      </c>
      <c r="N1454" s="103" t="s">
        <v>2163</v>
      </c>
      <c r="O1454" s="103">
        <v>150</v>
      </c>
      <c r="P1454" s="103" t="s">
        <v>1617</v>
      </c>
      <c r="Q1454" s="103" t="s">
        <v>1393</v>
      </c>
      <c r="R1454" s="103" t="s">
        <v>2225</v>
      </c>
      <c r="S1454" s="103" t="s">
        <v>2238</v>
      </c>
      <c r="U1454" s="103">
        <v>72.45</v>
      </c>
      <c r="V1454" s="103" t="s">
        <v>2158</v>
      </c>
      <c r="W1454" s="103" t="s">
        <v>106</v>
      </c>
      <c r="X1454" s="103" t="s">
        <v>345</v>
      </c>
      <c r="Y1454" s="103" t="s">
        <v>2240</v>
      </c>
      <c r="AA1454" s="103" t="s">
        <v>2225</v>
      </c>
      <c r="AB1454" s="103" t="s">
        <v>64</v>
      </c>
      <c r="AE1454" s="103" t="s">
        <v>750</v>
      </c>
      <c r="AF1454" s="103" t="b">
        <v>1</v>
      </c>
    </row>
    <row r="1455" spans="1:32" hidden="1" x14ac:dyDescent="0.2">
      <c r="A1455" s="103" t="s">
        <v>3827</v>
      </c>
      <c r="B1455" s="103" t="s">
        <v>1404</v>
      </c>
      <c r="C1455" s="103" t="s">
        <v>3540</v>
      </c>
      <c r="D1455" s="103" t="s">
        <v>3612</v>
      </c>
      <c r="E1455" s="103" t="s">
        <v>2562</v>
      </c>
      <c r="F1455" s="103" t="s">
        <v>2202</v>
      </c>
      <c r="G1455" s="103">
        <v>200</v>
      </c>
      <c r="H1455" s="103" t="s">
        <v>2168</v>
      </c>
      <c r="I1455" s="103" t="s">
        <v>2153</v>
      </c>
      <c r="K1455" s="103">
        <v>200</v>
      </c>
      <c r="N1455" s="103" t="s">
        <v>2163</v>
      </c>
      <c r="O1455" s="103">
        <v>200</v>
      </c>
      <c r="P1455" s="103" t="s">
        <v>1617</v>
      </c>
      <c r="Q1455" s="103" t="s">
        <v>1393</v>
      </c>
      <c r="R1455" s="103" t="s">
        <v>2225</v>
      </c>
      <c r="S1455" s="103" t="s">
        <v>2238</v>
      </c>
      <c r="U1455" s="103">
        <v>96.6</v>
      </c>
      <c r="V1455" s="103" t="s">
        <v>2158</v>
      </c>
      <c r="W1455" s="103" t="s">
        <v>106</v>
      </c>
      <c r="X1455" s="103" t="s">
        <v>345</v>
      </c>
      <c r="Y1455" s="103" t="s">
        <v>2240</v>
      </c>
      <c r="AA1455" s="103" t="s">
        <v>2225</v>
      </c>
      <c r="AB1455" s="103" t="s">
        <v>64</v>
      </c>
      <c r="AE1455" s="103" t="s">
        <v>750</v>
      </c>
      <c r="AF1455" s="103" t="b">
        <v>1</v>
      </c>
    </row>
    <row r="1456" spans="1:32" hidden="1" x14ac:dyDescent="0.2">
      <c r="A1456" s="103" t="s">
        <v>3827</v>
      </c>
      <c r="B1456" s="103" t="s">
        <v>1404</v>
      </c>
      <c r="C1456" s="103" t="s">
        <v>3540</v>
      </c>
      <c r="D1456" s="103" t="s">
        <v>3613</v>
      </c>
      <c r="E1456" s="103" t="s">
        <v>2562</v>
      </c>
      <c r="F1456" s="103" t="s">
        <v>2151</v>
      </c>
      <c r="G1456" s="103">
        <v>100</v>
      </c>
      <c r="H1456" s="103" t="s">
        <v>2168</v>
      </c>
      <c r="I1456" s="103" t="s">
        <v>2153</v>
      </c>
      <c r="J1456" s="103">
        <v>0</v>
      </c>
      <c r="K1456" s="103">
        <v>0</v>
      </c>
      <c r="L1456" s="103">
        <v>100</v>
      </c>
      <c r="M1456" s="103">
        <v>0</v>
      </c>
      <c r="N1456" s="103" t="s">
        <v>2163</v>
      </c>
      <c r="O1456" s="103">
        <v>100</v>
      </c>
      <c r="P1456" s="103" t="s">
        <v>1617</v>
      </c>
      <c r="Q1456" s="103" t="s">
        <v>1393</v>
      </c>
      <c r="R1456" s="103" t="s">
        <v>2225</v>
      </c>
      <c r="S1456" s="103" t="s">
        <v>2238</v>
      </c>
      <c r="U1456" s="103">
        <v>48.3</v>
      </c>
      <c r="V1456" s="103" t="s">
        <v>2158</v>
      </c>
      <c r="W1456" s="103" t="s">
        <v>106</v>
      </c>
      <c r="X1456" s="103" t="s">
        <v>345</v>
      </c>
      <c r="Y1456" s="103" t="s">
        <v>2240</v>
      </c>
      <c r="AA1456" s="103" t="s">
        <v>2225</v>
      </c>
      <c r="AB1456" s="103" t="s">
        <v>64</v>
      </c>
      <c r="AE1456" s="103" t="s">
        <v>750</v>
      </c>
      <c r="AF1456" s="103" t="b">
        <v>1</v>
      </c>
    </row>
    <row r="1457" spans="1:32" hidden="1" x14ac:dyDescent="0.2">
      <c r="A1457" s="103" t="s">
        <v>3827</v>
      </c>
      <c r="B1457" s="103" t="s">
        <v>1404</v>
      </c>
      <c r="C1457" s="103" t="s">
        <v>3614</v>
      </c>
      <c r="D1457" s="103" t="s">
        <v>3615</v>
      </c>
      <c r="E1457" s="103" t="s">
        <v>2242</v>
      </c>
      <c r="F1457" s="103" t="s">
        <v>2175</v>
      </c>
      <c r="G1457" s="103">
        <v>20</v>
      </c>
      <c r="H1457" s="103" t="s">
        <v>2168</v>
      </c>
      <c r="I1457" s="103" t="s">
        <v>2153</v>
      </c>
      <c r="J1457" s="103">
        <v>0</v>
      </c>
      <c r="K1457" s="103">
        <v>20</v>
      </c>
      <c r="L1457" s="103">
        <v>0</v>
      </c>
      <c r="M1457" s="103">
        <v>0</v>
      </c>
      <c r="N1457" s="103" t="s">
        <v>2163</v>
      </c>
      <c r="O1457" s="103">
        <v>20</v>
      </c>
      <c r="P1457" s="103" t="s">
        <v>1232</v>
      </c>
      <c r="Q1457" s="103" t="s">
        <v>1393</v>
      </c>
      <c r="R1457" s="103" t="s">
        <v>2225</v>
      </c>
      <c r="S1457" s="103" t="s">
        <v>2192</v>
      </c>
      <c r="U1457" s="103">
        <v>9.66</v>
      </c>
      <c r="V1457" s="103" t="s">
        <v>2158</v>
      </c>
      <c r="W1457" s="103" t="s">
        <v>106</v>
      </c>
      <c r="X1457" s="103" t="s">
        <v>345</v>
      </c>
      <c r="Y1457" s="103" t="s">
        <v>2240</v>
      </c>
      <c r="AA1457" s="103" t="s">
        <v>2225</v>
      </c>
      <c r="AB1457" s="103" t="s">
        <v>64</v>
      </c>
      <c r="AE1457" s="103" t="s">
        <v>750</v>
      </c>
      <c r="AF1457" s="103" t="b">
        <v>1</v>
      </c>
    </row>
    <row r="1458" spans="1:32" hidden="1" x14ac:dyDescent="0.2">
      <c r="A1458" s="103" t="s">
        <v>3827</v>
      </c>
      <c r="B1458" s="103" t="s">
        <v>1404</v>
      </c>
      <c r="C1458" s="103" t="s">
        <v>3529</v>
      </c>
      <c r="D1458" s="103" t="s">
        <v>3616</v>
      </c>
      <c r="E1458" s="103" t="s">
        <v>2601</v>
      </c>
      <c r="F1458" s="103" t="s">
        <v>2151</v>
      </c>
      <c r="G1458" s="103">
        <v>80</v>
      </c>
      <c r="H1458" s="103" t="s">
        <v>2168</v>
      </c>
      <c r="I1458" s="103" t="s">
        <v>2153</v>
      </c>
      <c r="J1458" s="103">
        <v>0</v>
      </c>
      <c r="K1458" s="103">
        <v>0</v>
      </c>
      <c r="M1458" s="103">
        <v>80</v>
      </c>
      <c r="N1458" s="103" t="s">
        <v>2154</v>
      </c>
      <c r="O1458" s="103">
        <v>80</v>
      </c>
      <c r="P1458" s="103" t="s">
        <v>1617</v>
      </c>
      <c r="Q1458" s="103" t="s">
        <v>1393</v>
      </c>
      <c r="R1458" s="103" t="s">
        <v>2225</v>
      </c>
      <c r="S1458" s="103" t="s">
        <v>2192</v>
      </c>
      <c r="U1458" s="103">
        <v>38.64</v>
      </c>
      <c r="V1458" s="103" t="s">
        <v>2158</v>
      </c>
      <c r="W1458" s="103" t="s">
        <v>106</v>
      </c>
      <c r="X1458" s="103" t="s">
        <v>345</v>
      </c>
      <c r="Y1458" s="103" t="s">
        <v>2240</v>
      </c>
      <c r="AA1458" s="103" t="s">
        <v>2225</v>
      </c>
      <c r="AB1458" s="103" t="s">
        <v>64</v>
      </c>
      <c r="AE1458" s="103" t="s">
        <v>750</v>
      </c>
      <c r="AF1458" s="103" t="b">
        <v>1</v>
      </c>
    </row>
    <row r="1459" spans="1:32" hidden="1" x14ac:dyDescent="0.2">
      <c r="A1459" s="103" t="s">
        <v>3827</v>
      </c>
      <c r="B1459" s="103" t="s">
        <v>1404</v>
      </c>
      <c r="C1459" s="103" t="s">
        <v>3529</v>
      </c>
      <c r="D1459" s="103" t="s">
        <v>3617</v>
      </c>
      <c r="E1459" s="103" t="s">
        <v>2603</v>
      </c>
      <c r="F1459" s="103" t="s">
        <v>2226</v>
      </c>
      <c r="G1459" s="103">
        <v>320</v>
      </c>
      <c r="H1459" s="103" t="s">
        <v>2168</v>
      </c>
      <c r="I1459" s="103" t="s">
        <v>2153</v>
      </c>
      <c r="L1459" s="103">
        <v>200</v>
      </c>
      <c r="M1459" s="103">
        <v>120</v>
      </c>
      <c r="N1459" s="103" t="s">
        <v>2163</v>
      </c>
      <c r="O1459" s="103">
        <v>320</v>
      </c>
      <c r="P1459" s="103" t="s">
        <v>1617</v>
      </c>
      <c r="Q1459" s="103" t="s">
        <v>1393</v>
      </c>
      <c r="R1459" s="103" t="s">
        <v>121</v>
      </c>
      <c r="S1459" s="103" t="s">
        <v>2427</v>
      </c>
      <c r="U1459" s="103">
        <v>164.16</v>
      </c>
      <c r="V1459" s="103" t="s">
        <v>2158</v>
      </c>
      <c r="W1459" s="103" t="s">
        <v>121</v>
      </c>
      <c r="X1459" s="103" t="s">
        <v>345</v>
      </c>
      <c r="Y1459" s="103" t="s">
        <v>2240</v>
      </c>
      <c r="AA1459" s="103" t="s">
        <v>121</v>
      </c>
      <c r="AB1459" s="103" t="s">
        <v>64</v>
      </c>
      <c r="AE1459" s="103" t="s">
        <v>750</v>
      </c>
      <c r="AF1459" s="103" t="b">
        <v>1</v>
      </c>
    </row>
    <row r="1460" spans="1:32" hidden="1" x14ac:dyDescent="0.2">
      <c r="A1460" s="103" t="s">
        <v>3827</v>
      </c>
      <c r="B1460" s="103" t="s">
        <v>1404</v>
      </c>
      <c r="C1460" s="103" t="s">
        <v>3529</v>
      </c>
      <c r="D1460" s="103" t="s">
        <v>3618</v>
      </c>
      <c r="E1460" s="103" t="s">
        <v>2601</v>
      </c>
      <c r="F1460" s="103" t="s">
        <v>2226</v>
      </c>
      <c r="G1460" s="103">
        <v>450</v>
      </c>
      <c r="H1460" s="103" t="s">
        <v>2168</v>
      </c>
      <c r="I1460" s="103" t="s">
        <v>2153</v>
      </c>
      <c r="J1460" s="103">
        <v>0</v>
      </c>
      <c r="L1460" s="103">
        <v>220</v>
      </c>
      <c r="M1460" s="103">
        <v>230</v>
      </c>
      <c r="N1460" s="103" t="s">
        <v>2154</v>
      </c>
      <c r="O1460" s="103">
        <v>450</v>
      </c>
      <c r="P1460" s="103" t="s">
        <v>1617</v>
      </c>
      <c r="Q1460" s="103" t="s">
        <v>1393</v>
      </c>
      <c r="R1460" s="103" t="s">
        <v>2225</v>
      </c>
      <c r="S1460" s="103" t="s">
        <v>2192</v>
      </c>
      <c r="U1460" s="103">
        <v>217.35</v>
      </c>
      <c r="V1460" s="103" t="s">
        <v>2158</v>
      </c>
      <c r="W1460" s="103" t="s">
        <v>106</v>
      </c>
      <c r="X1460" s="103" t="s">
        <v>345</v>
      </c>
      <c r="Y1460" s="103" t="s">
        <v>2240</v>
      </c>
      <c r="AA1460" s="103" t="s">
        <v>2225</v>
      </c>
      <c r="AB1460" s="103" t="s">
        <v>64</v>
      </c>
      <c r="AE1460" s="103" t="s">
        <v>750</v>
      </c>
      <c r="AF1460" s="103" t="b">
        <v>1</v>
      </c>
    </row>
    <row r="1461" spans="1:32" hidden="1" x14ac:dyDescent="0.2">
      <c r="A1461" s="103" t="s">
        <v>3827</v>
      </c>
      <c r="B1461" s="103" t="s">
        <v>1404</v>
      </c>
      <c r="C1461" s="103" t="s">
        <v>3619</v>
      </c>
      <c r="D1461" s="103" t="s">
        <v>3620</v>
      </c>
      <c r="E1461" s="103" t="s">
        <v>2605</v>
      </c>
      <c r="F1461" s="103" t="s">
        <v>2232</v>
      </c>
      <c r="G1461" s="103">
        <v>250</v>
      </c>
      <c r="H1461" s="103" t="s">
        <v>2152</v>
      </c>
      <c r="I1461" s="103" t="s">
        <v>2153</v>
      </c>
      <c r="M1461" s="103">
        <v>250</v>
      </c>
      <c r="N1461" s="103" t="s">
        <v>2163</v>
      </c>
      <c r="O1461" s="103">
        <v>250</v>
      </c>
      <c r="P1461" s="103" t="s">
        <v>1679</v>
      </c>
      <c r="Q1461" s="103" t="s">
        <v>1393</v>
      </c>
      <c r="R1461" s="103" t="s">
        <v>2225</v>
      </c>
      <c r="S1461" s="103" t="s">
        <v>2251</v>
      </c>
      <c r="U1461" s="103">
        <v>120.75</v>
      </c>
      <c r="V1461" s="103" t="s">
        <v>2158</v>
      </c>
      <c r="W1461" s="103" t="s">
        <v>106</v>
      </c>
      <c r="X1461" s="103" t="s">
        <v>345</v>
      </c>
      <c r="Y1461" s="103" t="s">
        <v>2240</v>
      </c>
      <c r="AA1461" s="103" t="s">
        <v>2225</v>
      </c>
      <c r="AB1461" s="103" t="s">
        <v>64</v>
      </c>
      <c r="AE1461" s="103" t="s">
        <v>750</v>
      </c>
      <c r="AF1461" s="103" t="b">
        <v>1</v>
      </c>
    </row>
    <row r="1462" spans="1:32" hidden="1" x14ac:dyDescent="0.2">
      <c r="A1462" s="103" t="s">
        <v>3827</v>
      </c>
      <c r="B1462" s="103" t="s">
        <v>1404</v>
      </c>
      <c r="C1462" s="103" t="s">
        <v>3529</v>
      </c>
      <c r="D1462" s="103" t="s">
        <v>3621</v>
      </c>
      <c r="E1462" s="103" t="s">
        <v>2601</v>
      </c>
      <c r="F1462" s="103" t="s">
        <v>2162</v>
      </c>
      <c r="G1462" s="103">
        <v>50</v>
      </c>
      <c r="H1462" s="103" t="s">
        <v>2168</v>
      </c>
      <c r="I1462" s="103" t="s">
        <v>2153</v>
      </c>
      <c r="J1462" s="103">
        <v>0</v>
      </c>
      <c r="K1462" s="103">
        <v>0</v>
      </c>
      <c r="L1462" s="103">
        <v>0</v>
      </c>
      <c r="M1462" s="103">
        <v>50</v>
      </c>
      <c r="N1462" s="103" t="s">
        <v>2163</v>
      </c>
      <c r="O1462" s="103">
        <v>50</v>
      </c>
      <c r="P1462" s="103" t="s">
        <v>1617</v>
      </c>
      <c r="Q1462" s="103" t="s">
        <v>1393</v>
      </c>
      <c r="R1462" s="103" t="s">
        <v>2225</v>
      </c>
      <c r="S1462" s="103" t="s">
        <v>2192</v>
      </c>
      <c r="U1462" s="103">
        <v>24.15</v>
      </c>
      <c r="V1462" s="103" t="s">
        <v>2158</v>
      </c>
      <c r="W1462" s="103" t="s">
        <v>106</v>
      </c>
      <c r="X1462" s="103" t="s">
        <v>345</v>
      </c>
      <c r="Y1462" s="103" t="s">
        <v>2240</v>
      </c>
      <c r="AA1462" s="103" t="s">
        <v>2225</v>
      </c>
      <c r="AB1462" s="103" t="s">
        <v>64</v>
      </c>
      <c r="AE1462" s="103" t="s">
        <v>750</v>
      </c>
      <c r="AF1462" s="103" t="b">
        <v>1</v>
      </c>
    </row>
    <row r="1463" spans="1:32" hidden="1" x14ac:dyDescent="0.2">
      <c r="A1463" s="103" t="s">
        <v>3827</v>
      </c>
      <c r="B1463" s="103" t="s">
        <v>1404</v>
      </c>
      <c r="C1463" s="103" t="s">
        <v>3529</v>
      </c>
      <c r="D1463" s="103" t="s">
        <v>3622</v>
      </c>
      <c r="E1463" s="103" t="s">
        <v>2603</v>
      </c>
      <c r="F1463" s="103" t="s">
        <v>2202</v>
      </c>
      <c r="G1463" s="103">
        <v>150</v>
      </c>
      <c r="H1463" s="103" t="s">
        <v>2168</v>
      </c>
      <c r="I1463" s="103" t="s">
        <v>2153</v>
      </c>
      <c r="M1463" s="103">
        <v>150</v>
      </c>
      <c r="N1463" s="103" t="s">
        <v>2163</v>
      </c>
      <c r="O1463" s="103">
        <v>150</v>
      </c>
      <c r="P1463" s="103" t="s">
        <v>1617</v>
      </c>
      <c r="Q1463" s="103" t="s">
        <v>1393</v>
      </c>
      <c r="R1463" s="103" t="s">
        <v>121</v>
      </c>
      <c r="S1463" s="103" t="s">
        <v>2427</v>
      </c>
      <c r="U1463" s="103">
        <v>76.95</v>
      </c>
      <c r="V1463" s="103" t="s">
        <v>2158</v>
      </c>
      <c r="W1463" s="103" t="s">
        <v>121</v>
      </c>
      <c r="X1463" s="103" t="s">
        <v>345</v>
      </c>
      <c r="Y1463" s="103" t="s">
        <v>2240</v>
      </c>
      <c r="AA1463" s="103" t="s">
        <v>121</v>
      </c>
      <c r="AB1463" s="103" t="s">
        <v>64</v>
      </c>
      <c r="AE1463" s="103" t="s">
        <v>750</v>
      </c>
      <c r="AF1463" s="103" t="b">
        <v>1</v>
      </c>
    </row>
    <row r="1464" spans="1:32" hidden="1" x14ac:dyDescent="0.2">
      <c r="A1464" s="103" t="s">
        <v>3827</v>
      </c>
      <c r="B1464" s="103" t="s">
        <v>1404</v>
      </c>
      <c r="C1464" s="103" t="s">
        <v>3561</v>
      </c>
      <c r="D1464" s="103" t="s">
        <v>3623</v>
      </c>
      <c r="E1464" s="103" t="s">
        <v>2244</v>
      </c>
      <c r="F1464" s="103" t="s">
        <v>2202</v>
      </c>
      <c r="G1464" s="103">
        <v>220</v>
      </c>
      <c r="H1464" s="103" t="s">
        <v>2168</v>
      </c>
      <c r="I1464" s="103" t="s">
        <v>2153</v>
      </c>
      <c r="J1464" s="103">
        <v>170</v>
      </c>
      <c r="K1464" s="103">
        <v>50</v>
      </c>
      <c r="L1464" s="103">
        <v>0</v>
      </c>
      <c r="M1464" s="103">
        <v>0</v>
      </c>
      <c r="N1464" s="103" t="s">
        <v>2163</v>
      </c>
      <c r="O1464" s="103">
        <v>220</v>
      </c>
      <c r="P1464" s="103" t="s">
        <v>1232</v>
      </c>
      <c r="Q1464" s="103" t="s">
        <v>1393</v>
      </c>
      <c r="R1464" s="103" t="s">
        <v>2225</v>
      </c>
      <c r="S1464" s="103" t="s">
        <v>2238</v>
      </c>
      <c r="U1464" s="103">
        <v>106.26</v>
      </c>
      <c r="V1464" s="103" t="s">
        <v>2158</v>
      </c>
      <c r="W1464" s="103" t="s">
        <v>106</v>
      </c>
      <c r="X1464" s="103" t="s">
        <v>345</v>
      </c>
      <c r="Y1464" s="103" t="s">
        <v>2240</v>
      </c>
      <c r="AA1464" s="103" t="s">
        <v>2225</v>
      </c>
      <c r="AB1464" s="103" t="s">
        <v>64</v>
      </c>
      <c r="AE1464" s="103" t="s">
        <v>750</v>
      </c>
      <c r="AF1464" s="103" t="b">
        <v>1</v>
      </c>
    </row>
    <row r="1465" spans="1:32" hidden="1" x14ac:dyDescent="0.2">
      <c r="A1465" s="103" t="s">
        <v>3827</v>
      </c>
      <c r="B1465" s="103" t="s">
        <v>1404</v>
      </c>
      <c r="C1465" s="103" t="s">
        <v>3624</v>
      </c>
      <c r="D1465" s="103" t="s">
        <v>3625</v>
      </c>
      <c r="E1465" s="103" t="s">
        <v>2605</v>
      </c>
      <c r="F1465" s="103" t="s">
        <v>2151</v>
      </c>
      <c r="G1465" s="103">
        <v>100</v>
      </c>
      <c r="H1465" s="103" t="s">
        <v>2168</v>
      </c>
      <c r="I1465" s="103" t="s">
        <v>2153</v>
      </c>
      <c r="M1465" s="103">
        <v>100</v>
      </c>
      <c r="N1465" s="103" t="s">
        <v>2163</v>
      </c>
      <c r="O1465" s="103">
        <v>100</v>
      </c>
      <c r="P1465" s="103" t="s">
        <v>1679</v>
      </c>
      <c r="Q1465" s="103" t="s">
        <v>1393</v>
      </c>
      <c r="R1465" s="103" t="s">
        <v>2225</v>
      </c>
      <c r="S1465" s="103" t="s">
        <v>2251</v>
      </c>
      <c r="U1465" s="103">
        <v>48.3</v>
      </c>
      <c r="V1465" s="103" t="s">
        <v>2158</v>
      </c>
      <c r="W1465" s="103" t="s">
        <v>106</v>
      </c>
      <c r="X1465" s="103" t="s">
        <v>345</v>
      </c>
      <c r="Y1465" s="103" t="s">
        <v>2240</v>
      </c>
      <c r="AA1465" s="103" t="s">
        <v>2225</v>
      </c>
      <c r="AB1465" s="103" t="s">
        <v>64</v>
      </c>
      <c r="AE1465" s="103" t="s">
        <v>750</v>
      </c>
      <c r="AF1465" s="103" t="b">
        <v>1</v>
      </c>
    </row>
    <row r="1466" spans="1:32" hidden="1" x14ac:dyDescent="0.2">
      <c r="A1466" s="103" t="s">
        <v>3827</v>
      </c>
      <c r="B1466" s="103" t="s">
        <v>1404</v>
      </c>
      <c r="C1466" s="103" t="s">
        <v>3561</v>
      </c>
      <c r="D1466" s="103" t="s">
        <v>3626</v>
      </c>
      <c r="E1466" s="103" t="s">
        <v>2244</v>
      </c>
      <c r="F1466" s="103" t="s">
        <v>2226</v>
      </c>
      <c r="G1466" s="103">
        <v>420</v>
      </c>
      <c r="H1466" s="103" t="s">
        <v>2168</v>
      </c>
      <c r="I1466" s="103" t="s">
        <v>2153</v>
      </c>
      <c r="J1466" s="103">
        <v>0</v>
      </c>
      <c r="K1466" s="103">
        <v>0</v>
      </c>
      <c r="L1466" s="103">
        <v>290</v>
      </c>
      <c r="M1466" s="103">
        <v>130</v>
      </c>
      <c r="N1466" s="103" t="s">
        <v>2163</v>
      </c>
      <c r="O1466" s="103">
        <v>420</v>
      </c>
      <c r="P1466" s="103" t="s">
        <v>1232</v>
      </c>
      <c r="Q1466" s="103" t="s">
        <v>1393</v>
      </c>
      <c r="R1466" s="103" t="s">
        <v>2225</v>
      </c>
      <c r="S1466" s="103" t="s">
        <v>2238</v>
      </c>
      <c r="U1466" s="103">
        <v>202.86</v>
      </c>
      <c r="V1466" s="103" t="s">
        <v>2158</v>
      </c>
      <c r="W1466" s="103" t="s">
        <v>106</v>
      </c>
      <c r="X1466" s="103" t="s">
        <v>345</v>
      </c>
      <c r="Y1466" s="103" t="s">
        <v>2240</v>
      </c>
      <c r="AA1466" s="103" t="s">
        <v>2225</v>
      </c>
      <c r="AB1466" s="103" t="s">
        <v>64</v>
      </c>
      <c r="AE1466" s="103" t="s">
        <v>750</v>
      </c>
      <c r="AF1466" s="103" t="b">
        <v>1</v>
      </c>
    </row>
    <row r="1467" spans="1:32" hidden="1" x14ac:dyDescent="0.2">
      <c r="A1467" s="103" t="s">
        <v>3827</v>
      </c>
      <c r="B1467" s="103" t="s">
        <v>1404</v>
      </c>
      <c r="C1467" s="103" t="s">
        <v>3529</v>
      </c>
      <c r="D1467" s="103" t="s">
        <v>3627</v>
      </c>
      <c r="E1467" s="103" t="s">
        <v>2601</v>
      </c>
      <c r="G1467" s="103">
        <v>138</v>
      </c>
      <c r="H1467" s="103" t="s">
        <v>2168</v>
      </c>
      <c r="I1467" s="103" t="s">
        <v>2153</v>
      </c>
      <c r="K1467" s="103">
        <v>70</v>
      </c>
      <c r="L1467" s="103">
        <v>68</v>
      </c>
      <c r="N1467" s="103" t="s">
        <v>2163</v>
      </c>
      <c r="O1467" s="103">
        <v>138</v>
      </c>
      <c r="P1467" s="103" t="s">
        <v>1232</v>
      </c>
      <c r="Q1467" s="103" t="s">
        <v>1393</v>
      </c>
      <c r="R1467" s="103" t="s">
        <v>2225</v>
      </c>
      <c r="S1467" s="103" t="s">
        <v>2192</v>
      </c>
      <c r="U1467" s="103">
        <v>66.653999999999996</v>
      </c>
      <c r="V1467" s="103" t="s">
        <v>2158</v>
      </c>
      <c r="W1467" s="103" t="s">
        <v>106</v>
      </c>
      <c r="X1467" s="103" t="s">
        <v>345</v>
      </c>
      <c r="Y1467" s="103" t="s">
        <v>2240</v>
      </c>
      <c r="AA1467" s="103" t="s">
        <v>2225</v>
      </c>
      <c r="AB1467" s="103" t="s">
        <v>64</v>
      </c>
      <c r="AE1467" s="103" t="s">
        <v>750</v>
      </c>
      <c r="AF1467" s="103" t="b">
        <v>1</v>
      </c>
    </row>
    <row r="1468" spans="1:32" hidden="1" x14ac:dyDescent="0.2">
      <c r="A1468" s="103" t="s">
        <v>3827</v>
      </c>
      <c r="B1468" s="103" t="s">
        <v>1404</v>
      </c>
      <c r="C1468" s="103" t="s">
        <v>3592</v>
      </c>
      <c r="D1468" s="103" t="s">
        <v>3628</v>
      </c>
      <c r="E1468" s="103" t="s">
        <v>2605</v>
      </c>
      <c r="F1468" s="103" t="s">
        <v>2151</v>
      </c>
      <c r="G1468" s="103">
        <v>100</v>
      </c>
      <c r="H1468" s="103" t="s">
        <v>2168</v>
      </c>
      <c r="I1468" s="103" t="s">
        <v>2153</v>
      </c>
      <c r="M1468" s="103">
        <v>100</v>
      </c>
      <c r="N1468" s="103" t="s">
        <v>2163</v>
      </c>
      <c r="O1468" s="103">
        <v>100</v>
      </c>
      <c r="P1468" s="103" t="s">
        <v>1679</v>
      </c>
      <c r="Q1468" s="103" t="s">
        <v>1393</v>
      </c>
      <c r="R1468" s="103" t="s">
        <v>2225</v>
      </c>
      <c r="S1468" s="103" t="s">
        <v>2251</v>
      </c>
      <c r="U1468" s="103">
        <v>48.3</v>
      </c>
      <c r="V1468" s="103" t="s">
        <v>2158</v>
      </c>
      <c r="W1468" s="103" t="s">
        <v>106</v>
      </c>
      <c r="X1468" s="103" t="s">
        <v>345</v>
      </c>
      <c r="Y1468" s="103" t="s">
        <v>2240</v>
      </c>
      <c r="AA1468" s="103" t="s">
        <v>2225</v>
      </c>
      <c r="AB1468" s="103" t="s">
        <v>64</v>
      </c>
      <c r="AE1468" s="103" t="s">
        <v>750</v>
      </c>
      <c r="AF1468" s="103" t="b">
        <v>1</v>
      </c>
    </row>
    <row r="1469" spans="1:32" hidden="1" x14ac:dyDescent="0.2">
      <c r="A1469" s="103" t="s">
        <v>3827</v>
      </c>
      <c r="B1469" s="103" t="s">
        <v>1404</v>
      </c>
      <c r="C1469" s="103" t="s">
        <v>3540</v>
      </c>
      <c r="D1469" s="103" t="s">
        <v>3629</v>
      </c>
      <c r="E1469" s="103" t="s">
        <v>2562</v>
      </c>
      <c r="F1469" s="103" t="s">
        <v>2151</v>
      </c>
      <c r="G1469" s="103">
        <v>150</v>
      </c>
      <c r="H1469" s="103" t="s">
        <v>2168</v>
      </c>
      <c r="I1469" s="103" t="s">
        <v>2153</v>
      </c>
      <c r="J1469" s="103">
        <v>0</v>
      </c>
      <c r="K1469" s="103">
        <v>0</v>
      </c>
      <c r="M1469" s="103">
        <v>150</v>
      </c>
      <c r="N1469" s="103" t="s">
        <v>2163</v>
      </c>
      <c r="O1469" s="103">
        <v>150</v>
      </c>
      <c r="P1469" s="103" t="s">
        <v>1617</v>
      </c>
      <c r="Q1469" s="103" t="s">
        <v>1393</v>
      </c>
      <c r="R1469" s="103" t="s">
        <v>2225</v>
      </c>
      <c r="S1469" s="103" t="s">
        <v>2238</v>
      </c>
      <c r="U1469" s="103">
        <v>72.45</v>
      </c>
      <c r="V1469" s="103" t="s">
        <v>2158</v>
      </c>
      <c r="W1469" s="103" t="s">
        <v>106</v>
      </c>
      <c r="X1469" s="103" t="s">
        <v>345</v>
      </c>
      <c r="Y1469" s="103" t="s">
        <v>2240</v>
      </c>
      <c r="AA1469" s="103" t="s">
        <v>2225</v>
      </c>
      <c r="AB1469" s="103" t="s">
        <v>64</v>
      </c>
      <c r="AE1469" s="103" t="s">
        <v>750</v>
      </c>
      <c r="AF1469" s="103" t="b">
        <v>1</v>
      </c>
    </row>
    <row r="1470" spans="1:32" hidden="1" x14ac:dyDescent="0.2">
      <c r="A1470" s="103" t="s">
        <v>3827</v>
      </c>
      <c r="B1470" s="103" t="s">
        <v>1404</v>
      </c>
      <c r="C1470" s="103" t="s">
        <v>3529</v>
      </c>
      <c r="D1470" s="103" t="s">
        <v>3630</v>
      </c>
      <c r="E1470" s="103" t="s">
        <v>2601</v>
      </c>
      <c r="G1470" s="103">
        <v>80</v>
      </c>
      <c r="H1470" s="103" t="s">
        <v>2168</v>
      </c>
      <c r="I1470" s="103" t="s">
        <v>2153</v>
      </c>
      <c r="J1470" s="103">
        <v>80</v>
      </c>
      <c r="N1470" s="103" t="s">
        <v>2163</v>
      </c>
      <c r="O1470" s="103">
        <v>80</v>
      </c>
      <c r="P1470" s="103" t="s">
        <v>1232</v>
      </c>
      <c r="Q1470" s="103" t="s">
        <v>1393</v>
      </c>
      <c r="R1470" s="103" t="s">
        <v>2225</v>
      </c>
      <c r="S1470" s="103" t="s">
        <v>2192</v>
      </c>
      <c r="U1470" s="103">
        <v>38.64</v>
      </c>
      <c r="V1470" s="103" t="s">
        <v>2158</v>
      </c>
      <c r="W1470" s="103" t="s">
        <v>106</v>
      </c>
      <c r="X1470" s="103" t="s">
        <v>345</v>
      </c>
      <c r="Y1470" s="103" t="s">
        <v>2240</v>
      </c>
      <c r="AA1470" s="103" t="s">
        <v>2225</v>
      </c>
      <c r="AB1470" s="103" t="s">
        <v>64</v>
      </c>
      <c r="AE1470" s="103" t="s">
        <v>750</v>
      </c>
      <c r="AF1470" s="103" t="b">
        <v>1</v>
      </c>
    </row>
    <row r="1471" spans="1:32" hidden="1" x14ac:dyDescent="0.2">
      <c r="A1471" s="103" t="s">
        <v>3827</v>
      </c>
      <c r="B1471" s="103" t="s">
        <v>1404</v>
      </c>
      <c r="C1471" s="103" t="s">
        <v>3561</v>
      </c>
      <c r="D1471" s="103" t="s">
        <v>3631</v>
      </c>
      <c r="E1471" s="103" t="s">
        <v>2244</v>
      </c>
      <c r="F1471" s="103" t="s">
        <v>2202</v>
      </c>
      <c r="G1471" s="103">
        <v>290</v>
      </c>
      <c r="H1471" s="103" t="s">
        <v>2168</v>
      </c>
      <c r="I1471" s="103" t="s">
        <v>2153</v>
      </c>
      <c r="J1471" s="103">
        <v>0</v>
      </c>
      <c r="K1471" s="103">
        <v>290</v>
      </c>
      <c r="L1471" s="103">
        <v>0</v>
      </c>
      <c r="M1471" s="103">
        <v>0</v>
      </c>
      <c r="N1471" s="103" t="s">
        <v>2163</v>
      </c>
      <c r="O1471" s="103">
        <v>290</v>
      </c>
      <c r="P1471" s="103" t="s">
        <v>1232</v>
      </c>
      <c r="Q1471" s="103" t="s">
        <v>1393</v>
      </c>
      <c r="R1471" s="103" t="s">
        <v>2225</v>
      </c>
      <c r="S1471" s="103" t="s">
        <v>2238</v>
      </c>
      <c r="U1471" s="103">
        <v>140.07</v>
      </c>
      <c r="V1471" s="103" t="s">
        <v>2158</v>
      </c>
      <c r="W1471" s="103" t="s">
        <v>106</v>
      </c>
      <c r="X1471" s="103" t="s">
        <v>345</v>
      </c>
      <c r="Y1471" s="103" t="s">
        <v>2240</v>
      </c>
      <c r="AA1471" s="103" t="s">
        <v>2225</v>
      </c>
      <c r="AB1471" s="103" t="s">
        <v>64</v>
      </c>
      <c r="AE1471" s="103" t="s">
        <v>750</v>
      </c>
      <c r="AF1471" s="103" t="b">
        <v>1</v>
      </c>
    </row>
    <row r="1472" spans="1:32" hidden="1" x14ac:dyDescent="0.2">
      <c r="A1472" s="103" t="s">
        <v>884</v>
      </c>
      <c r="B1472" s="103" t="s">
        <v>883</v>
      </c>
      <c r="C1472" s="103" t="s">
        <v>3632</v>
      </c>
      <c r="D1472" s="103" t="s">
        <v>3633</v>
      </c>
      <c r="E1472" s="103" t="s">
        <v>2311</v>
      </c>
      <c r="F1472" s="103" t="s">
        <v>2162</v>
      </c>
      <c r="G1472" s="103">
        <v>50</v>
      </c>
      <c r="H1472" s="103" t="s">
        <v>2168</v>
      </c>
      <c r="I1472" s="103" t="s">
        <v>2153</v>
      </c>
      <c r="J1472" s="103">
        <v>50</v>
      </c>
      <c r="N1472" s="103" t="s">
        <v>2402</v>
      </c>
      <c r="O1472" s="103">
        <v>50</v>
      </c>
      <c r="P1472" s="103" t="s">
        <v>820</v>
      </c>
      <c r="Q1472" s="103" t="s">
        <v>2155</v>
      </c>
      <c r="R1472" s="103" t="s">
        <v>2220</v>
      </c>
      <c r="U1472" s="103">
        <v>25.65</v>
      </c>
      <c r="V1472" s="103" t="s">
        <v>2262</v>
      </c>
      <c r="W1472" s="103" t="s">
        <v>108</v>
      </c>
      <c r="X1472" s="103">
        <v>0</v>
      </c>
      <c r="Y1472" s="103" t="s">
        <v>1685</v>
      </c>
      <c r="AA1472" s="103" t="s">
        <v>2220</v>
      </c>
      <c r="AB1472" s="103" t="s">
        <v>71</v>
      </c>
      <c r="AE1472" s="103" t="s">
        <v>810</v>
      </c>
      <c r="AF1472" s="103" t="b">
        <v>1</v>
      </c>
    </row>
    <row r="1473" spans="1:32" hidden="1" x14ac:dyDescent="0.2">
      <c r="A1473" s="103" t="s">
        <v>1415</v>
      </c>
      <c r="B1473" s="103" t="s">
        <v>1414</v>
      </c>
      <c r="C1473" s="103" t="s">
        <v>3634</v>
      </c>
      <c r="E1473" s="103" t="s">
        <v>2740</v>
      </c>
      <c r="G1473" s="103">
        <v>430</v>
      </c>
      <c r="H1473" s="103" t="s">
        <v>2152</v>
      </c>
      <c r="I1473" s="103" t="s">
        <v>2153</v>
      </c>
      <c r="J1473" s="103">
        <v>430</v>
      </c>
      <c r="N1473" s="103" t="s">
        <v>2163</v>
      </c>
      <c r="O1473" s="103">
        <v>430</v>
      </c>
      <c r="P1473" s="103" t="s">
        <v>783</v>
      </c>
      <c r="Q1473" s="103" t="s">
        <v>2155</v>
      </c>
      <c r="R1473" s="103" t="s">
        <v>121</v>
      </c>
      <c r="S1473" s="103" t="s">
        <v>2422</v>
      </c>
      <c r="U1473" s="103">
        <v>220.59</v>
      </c>
      <c r="V1473" s="103" t="s">
        <v>2158</v>
      </c>
      <c r="W1473" s="103" t="s">
        <v>121</v>
      </c>
      <c r="X1473" s="103" t="s">
        <v>345</v>
      </c>
      <c r="Y1473" s="103" t="s">
        <v>2240</v>
      </c>
      <c r="AA1473" s="103" t="s">
        <v>121</v>
      </c>
      <c r="AB1473" s="103" t="s">
        <v>71</v>
      </c>
      <c r="AE1473" s="103" t="s">
        <v>810</v>
      </c>
      <c r="AF1473" s="103" t="b">
        <v>1</v>
      </c>
    </row>
    <row r="1474" spans="1:32" hidden="1" x14ac:dyDescent="0.2">
      <c r="A1474" s="103" t="s">
        <v>1415</v>
      </c>
      <c r="B1474" s="103" t="s">
        <v>1414</v>
      </c>
      <c r="C1474" s="103" t="s">
        <v>3635</v>
      </c>
      <c r="D1474" s="103" t="s">
        <v>3636</v>
      </c>
      <c r="E1474" s="103" t="s">
        <v>2808</v>
      </c>
      <c r="G1474" s="103">
        <v>105</v>
      </c>
      <c r="H1474" s="103" t="s">
        <v>2168</v>
      </c>
      <c r="I1474" s="103" t="s">
        <v>2153</v>
      </c>
      <c r="J1474" s="103">
        <v>25</v>
      </c>
      <c r="K1474" s="103">
        <v>25</v>
      </c>
      <c r="L1474" s="103">
        <v>25</v>
      </c>
      <c r="M1474" s="103">
        <v>30</v>
      </c>
      <c r="N1474" s="103" t="s">
        <v>2163</v>
      </c>
      <c r="O1474" s="103">
        <v>105</v>
      </c>
      <c r="P1474" s="103" t="s">
        <v>783</v>
      </c>
      <c r="Q1474" s="103" t="s">
        <v>2155</v>
      </c>
      <c r="R1474" s="103" t="s">
        <v>2220</v>
      </c>
      <c r="S1474" s="103" t="s">
        <v>2422</v>
      </c>
      <c r="U1474" s="103">
        <v>53.865000000000002</v>
      </c>
      <c r="V1474" s="103" t="s">
        <v>2158</v>
      </c>
      <c r="W1474" s="103" t="s">
        <v>110</v>
      </c>
      <c r="X1474" s="103" t="s">
        <v>345</v>
      </c>
      <c r="Y1474" s="103" t="s">
        <v>2240</v>
      </c>
      <c r="AA1474" s="103" t="s">
        <v>2220</v>
      </c>
      <c r="AB1474" s="103" t="s">
        <v>71</v>
      </c>
      <c r="AE1474" s="103" t="s">
        <v>810</v>
      </c>
      <c r="AF1474" s="103" t="b">
        <v>1</v>
      </c>
    </row>
    <row r="1475" spans="1:32" hidden="1" x14ac:dyDescent="0.2">
      <c r="A1475" s="103" t="s">
        <v>1415</v>
      </c>
      <c r="B1475" s="103" t="s">
        <v>1414</v>
      </c>
      <c r="C1475" s="103" t="s">
        <v>3637</v>
      </c>
      <c r="E1475" s="103" t="s">
        <v>126</v>
      </c>
      <c r="G1475" s="103">
        <v>150</v>
      </c>
      <c r="H1475" s="103" t="s">
        <v>2152</v>
      </c>
      <c r="I1475" s="103" t="s">
        <v>2153</v>
      </c>
      <c r="J1475" s="103">
        <v>37.5</v>
      </c>
      <c r="K1475" s="103">
        <v>37.5</v>
      </c>
      <c r="L1475" s="103">
        <v>37.5</v>
      </c>
      <c r="M1475" s="103">
        <v>37.5</v>
      </c>
      <c r="N1475" s="103" t="s">
        <v>2163</v>
      </c>
      <c r="O1475" s="103">
        <v>150</v>
      </c>
      <c r="P1475" s="103" t="s">
        <v>1706</v>
      </c>
      <c r="R1475" s="103" t="s">
        <v>2729</v>
      </c>
      <c r="U1475" s="103">
        <v>73.05</v>
      </c>
      <c r="V1475" s="103" t="s">
        <v>2158</v>
      </c>
      <c r="W1475" s="103" t="s">
        <v>126</v>
      </c>
      <c r="X1475" s="103" t="s">
        <v>345</v>
      </c>
      <c r="Y1475" s="103" t="s">
        <v>2240</v>
      </c>
      <c r="AA1475" s="103" t="s">
        <v>2729</v>
      </c>
      <c r="AB1475" s="103" t="s">
        <v>71</v>
      </c>
      <c r="AE1475" s="103" t="s">
        <v>810</v>
      </c>
      <c r="AF1475" s="103" t="b">
        <v>1</v>
      </c>
    </row>
    <row r="1476" spans="1:32" hidden="1" x14ac:dyDescent="0.2">
      <c r="A1476" s="103" t="s">
        <v>884</v>
      </c>
      <c r="B1476" s="103" t="s">
        <v>883</v>
      </c>
      <c r="C1476" s="103" t="s">
        <v>3638</v>
      </c>
      <c r="D1476" s="103" t="s">
        <v>3639</v>
      </c>
      <c r="E1476" s="103" t="s">
        <v>2311</v>
      </c>
      <c r="F1476" s="103" t="s">
        <v>2162</v>
      </c>
      <c r="G1476" s="103">
        <v>50</v>
      </c>
      <c r="H1476" s="103" t="s">
        <v>2168</v>
      </c>
      <c r="I1476" s="103" t="s">
        <v>2153</v>
      </c>
      <c r="J1476" s="103">
        <v>50</v>
      </c>
      <c r="N1476" s="103" t="s">
        <v>2273</v>
      </c>
      <c r="O1476" s="103">
        <v>50</v>
      </c>
      <c r="P1476" s="103" t="s">
        <v>820</v>
      </c>
      <c r="Q1476" s="103" t="s">
        <v>2155</v>
      </c>
      <c r="R1476" s="103" t="s">
        <v>2220</v>
      </c>
      <c r="U1476" s="103">
        <v>25.65</v>
      </c>
      <c r="V1476" s="103" t="s">
        <v>2262</v>
      </c>
      <c r="W1476" s="103" t="s">
        <v>108</v>
      </c>
      <c r="X1476" s="103">
        <v>0</v>
      </c>
      <c r="Y1476" s="103" t="s">
        <v>1685</v>
      </c>
      <c r="AA1476" s="103" t="s">
        <v>2220</v>
      </c>
      <c r="AB1476" s="103" t="s">
        <v>71</v>
      </c>
      <c r="AE1476" s="103" t="s">
        <v>810</v>
      </c>
      <c r="AF1476" s="103" t="b">
        <v>1</v>
      </c>
    </row>
    <row r="1477" spans="1:32" hidden="1" x14ac:dyDescent="0.2">
      <c r="A1477" s="103" t="s">
        <v>884</v>
      </c>
      <c r="B1477" s="103" t="s">
        <v>883</v>
      </c>
      <c r="C1477" s="103" t="s">
        <v>3640</v>
      </c>
      <c r="D1477" s="103" t="s">
        <v>3641</v>
      </c>
      <c r="E1477" s="103" t="s">
        <v>2311</v>
      </c>
      <c r="F1477" s="103" t="s">
        <v>2162</v>
      </c>
      <c r="G1477" s="103">
        <v>50</v>
      </c>
      <c r="H1477" s="103" t="s">
        <v>2168</v>
      </c>
      <c r="I1477" s="103" t="s">
        <v>2153</v>
      </c>
      <c r="L1477" s="103">
        <v>50</v>
      </c>
      <c r="N1477" s="103" t="s">
        <v>2402</v>
      </c>
      <c r="O1477" s="103">
        <v>50</v>
      </c>
      <c r="P1477" s="103" t="s">
        <v>820</v>
      </c>
      <c r="Q1477" s="103" t="s">
        <v>2155</v>
      </c>
      <c r="R1477" s="103" t="s">
        <v>2220</v>
      </c>
      <c r="U1477" s="103">
        <v>25.65</v>
      </c>
      <c r="V1477" s="103" t="s">
        <v>2262</v>
      </c>
      <c r="W1477" s="103" t="s">
        <v>108</v>
      </c>
      <c r="X1477" s="103">
        <v>0</v>
      </c>
      <c r="Y1477" s="103" t="s">
        <v>1685</v>
      </c>
      <c r="AA1477" s="103" t="s">
        <v>2220</v>
      </c>
      <c r="AB1477" s="103" t="s">
        <v>71</v>
      </c>
      <c r="AE1477" s="103" t="s">
        <v>810</v>
      </c>
      <c r="AF1477" s="103" t="b">
        <v>1</v>
      </c>
    </row>
    <row r="1478" spans="1:32" hidden="1" x14ac:dyDescent="0.2">
      <c r="A1478" s="103" t="s">
        <v>884</v>
      </c>
      <c r="B1478" s="103" t="s">
        <v>883</v>
      </c>
      <c r="C1478" s="103" t="s">
        <v>3642</v>
      </c>
      <c r="D1478" s="103" t="s">
        <v>3643</v>
      </c>
      <c r="E1478" s="103" t="s">
        <v>2311</v>
      </c>
      <c r="F1478" s="103" t="s">
        <v>2162</v>
      </c>
      <c r="G1478" s="103">
        <v>50</v>
      </c>
      <c r="H1478" s="103" t="s">
        <v>2168</v>
      </c>
      <c r="I1478" s="103" t="s">
        <v>2153</v>
      </c>
      <c r="L1478" s="103">
        <v>50</v>
      </c>
      <c r="N1478" s="103" t="s">
        <v>2402</v>
      </c>
      <c r="O1478" s="103">
        <v>50</v>
      </c>
      <c r="P1478" s="103" t="s">
        <v>820</v>
      </c>
      <c r="Q1478" s="103" t="s">
        <v>2155</v>
      </c>
      <c r="R1478" s="103" t="s">
        <v>2220</v>
      </c>
      <c r="U1478" s="103">
        <v>25.65</v>
      </c>
      <c r="V1478" s="103" t="s">
        <v>2262</v>
      </c>
      <c r="W1478" s="103" t="s">
        <v>108</v>
      </c>
      <c r="X1478" s="103">
        <v>0</v>
      </c>
      <c r="Y1478" s="103" t="s">
        <v>1685</v>
      </c>
      <c r="AA1478" s="103" t="s">
        <v>2220</v>
      </c>
      <c r="AB1478" s="103" t="s">
        <v>71</v>
      </c>
      <c r="AE1478" s="103" t="s">
        <v>810</v>
      </c>
      <c r="AF1478" s="103" t="b">
        <v>1</v>
      </c>
    </row>
    <row r="1479" spans="1:32" hidden="1" x14ac:dyDescent="0.2">
      <c r="A1479" s="103" t="s">
        <v>884</v>
      </c>
      <c r="B1479" s="103" t="s">
        <v>883</v>
      </c>
      <c r="C1479" s="103" t="s">
        <v>3644</v>
      </c>
      <c r="D1479" s="103" t="s">
        <v>3645</v>
      </c>
      <c r="E1479" s="103" t="s">
        <v>2311</v>
      </c>
      <c r="F1479" s="103" t="s">
        <v>2162</v>
      </c>
      <c r="G1479" s="103">
        <v>50</v>
      </c>
      <c r="H1479" s="103" t="s">
        <v>2168</v>
      </c>
      <c r="I1479" s="103" t="s">
        <v>2153</v>
      </c>
      <c r="J1479" s="103">
        <v>50</v>
      </c>
      <c r="N1479" s="103" t="s">
        <v>2402</v>
      </c>
      <c r="O1479" s="103">
        <v>50</v>
      </c>
      <c r="P1479" s="103" t="s">
        <v>820</v>
      </c>
      <c r="Q1479" s="103" t="s">
        <v>2155</v>
      </c>
      <c r="R1479" s="103" t="s">
        <v>2220</v>
      </c>
      <c r="U1479" s="103">
        <v>25.65</v>
      </c>
      <c r="V1479" s="103" t="s">
        <v>2262</v>
      </c>
      <c r="W1479" s="103" t="s">
        <v>108</v>
      </c>
      <c r="X1479" s="103">
        <v>0</v>
      </c>
      <c r="Y1479" s="103" t="s">
        <v>1685</v>
      </c>
      <c r="AA1479" s="103" t="s">
        <v>2220</v>
      </c>
      <c r="AB1479" s="103" t="s">
        <v>71</v>
      </c>
      <c r="AE1479" s="103" t="s">
        <v>810</v>
      </c>
      <c r="AF1479" s="103" t="b">
        <v>1</v>
      </c>
    </row>
    <row r="1480" spans="1:32" hidden="1" x14ac:dyDescent="0.2">
      <c r="A1480" s="103" t="s">
        <v>884</v>
      </c>
      <c r="B1480" s="103" t="s">
        <v>883</v>
      </c>
      <c r="C1480" s="103" t="s">
        <v>3646</v>
      </c>
      <c r="D1480" s="103" t="s">
        <v>3647</v>
      </c>
      <c r="E1480" s="103" t="s">
        <v>2311</v>
      </c>
      <c r="F1480" s="103" t="s">
        <v>2162</v>
      </c>
      <c r="G1480" s="103">
        <v>50</v>
      </c>
      <c r="H1480" s="103" t="s">
        <v>2168</v>
      </c>
      <c r="I1480" s="103" t="s">
        <v>2153</v>
      </c>
      <c r="J1480" s="103">
        <v>50</v>
      </c>
      <c r="N1480" s="103" t="s">
        <v>2273</v>
      </c>
      <c r="O1480" s="103">
        <v>50</v>
      </c>
      <c r="P1480" s="103" t="s">
        <v>820</v>
      </c>
      <c r="Q1480" s="103" t="s">
        <v>2155</v>
      </c>
      <c r="R1480" s="103" t="s">
        <v>2220</v>
      </c>
      <c r="U1480" s="103">
        <v>25.65</v>
      </c>
      <c r="V1480" s="103" t="s">
        <v>2262</v>
      </c>
      <c r="W1480" s="103" t="s">
        <v>108</v>
      </c>
      <c r="X1480" s="103">
        <v>0</v>
      </c>
      <c r="Y1480" s="103" t="s">
        <v>1685</v>
      </c>
      <c r="AA1480" s="103" t="s">
        <v>2220</v>
      </c>
      <c r="AB1480" s="103" t="s">
        <v>71</v>
      </c>
      <c r="AE1480" s="103" t="s">
        <v>810</v>
      </c>
      <c r="AF1480" s="103" t="b">
        <v>1</v>
      </c>
    </row>
    <row r="1481" spans="1:32" hidden="1" x14ac:dyDescent="0.2">
      <c r="A1481" s="103" t="s">
        <v>884</v>
      </c>
      <c r="B1481" s="103" t="s">
        <v>883</v>
      </c>
      <c r="C1481" s="103" t="s">
        <v>3648</v>
      </c>
      <c r="D1481" s="103" t="s">
        <v>3649</v>
      </c>
      <c r="E1481" s="103" t="s">
        <v>2311</v>
      </c>
      <c r="F1481" s="103" t="s">
        <v>2162</v>
      </c>
      <c r="G1481" s="103">
        <v>50</v>
      </c>
      <c r="H1481" s="103" t="s">
        <v>2168</v>
      </c>
      <c r="I1481" s="103" t="s">
        <v>2153</v>
      </c>
      <c r="J1481" s="103">
        <v>50</v>
      </c>
      <c r="N1481" s="103" t="s">
        <v>2260</v>
      </c>
      <c r="O1481" s="103">
        <v>50</v>
      </c>
      <c r="P1481" s="103" t="s">
        <v>820</v>
      </c>
      <c r="Q1481" s="103" t="s">
        <v>2155</v>
      </c>
      <c r="R1481" s="103" t="s">
        <v>2220</v>
      </c>
      <c r="U1481" s="103">
        <v>25.65</v>
      </c>
      <c r="V1481" s="103" t="s">
        <v>2262</v>
      </c>
      <c r="W1481" s="103" t="s">
        <v>108</v>
      </c>
      <c r="X1481" s="103">
        <v>0</v>
      </c>
      <c r="Y1481" s="103" t="s">
        <v>1685</v>
      </c>
      <c r="AA1481" s="103" t="s">
        <v>2220</v>
      </c>
      <c r="AB1481" s="103" t="s">
        <v>71</v>
      </c>
      <c r="AE1481" s="103" t="s">
        <v>810</v>
      </c>
      <c r="AF1481" s="103" t="b">
        <v>1</v>
      </c>
    </row>
    <row r="1482" spans="1:32" hidden="1" x14ac:dyDescent="0.2">
      <c r="A1482" s="103" t="s">
        <v>884</v>
      </c>
      <c r="B1482" s="103" t="s">
        <v>883</v>
      </c>
      <c r="C1482" s="103" t="s">
        <v>3650</v>
      </c>
      <c r="D1482" s="103" t="s">
        <v>3651</v>
      </c>
      <c r="E1482" s="103" t="s">
        <v>2311</v>
      </c>
      <c r="F1482" s="103" t="s">
        <v>2162</v>
      </c>
      <c r="G1482" s="103">
        <v>50</v>
      </c>
      <c r="H1482" s="103" t="s">
        <v>2168</v>
      </c>
      <c r="I1482" s="103" t="s">
        <v>2153</v>
      </c>
      <c r="K1482" s="103">
        <v>50</v>
      </c>
      <c r="N1482" s="103" t="s">
        <v>2260</v>
      </c>
      <c r="O1482" s="103">
        <v>50</v>
      </c>
      <c r="P1482" s="103" t="s">
        <v>820</v>
      </c>
      <c r="Q1482" s="103" t="s">
        <v>2155</v>
      </c>
      <c r="R1482" s="103" t="s">
        <v>2220</v>
      </c>
      <c r="U1482" s="103">
        <v>25.65</v>
      </c>
      <c r="V1482" s="103" t="s">
        <v>2262</v>
      </c>
      <c r="W1482" s="103" t="s">
        <v>108</v>
      </c>
      <c r="X1482" s="103">
        <v>0</v>
      </c>
      <c r="Y1482" s="103" t="s">
        <v>1685</v>
      </c>
      <c r="AA1482" s="103" t="s">
        <v>2220</v>
      </c>
      <c r="AB1482" s="103" t="s">
        <v>71</v>
      </c>
      <c r="AE1482" s="103" t="s">
        <v>810</v>
      </c>
      <c r="AF1482" s="103" t="b">
        <v>1</v>
      </c>
    </row>
    <row r="1483" spans="1:32" hidden="1" x14ac:dyDescent="0.2">
      <c r="A1483" s="103" t="s">
        <v>1415</v>
      </c>
      <c r="B1483" s="103" t="s">
        <v>1414</v>
      </c>
      <c r="C1483" s="103" t="s">
        <v>3652</v>
      </c>
      <c r="E1483" s="103" t="s">
        <v>126</v>
      </c>
      <c r="G1483" s="103">
        <v>250</v>
      </c>
      <c r="H1483" s="103" t="s">
        <v>2152</v>
      </c>
      <c r="I1483" s="103" t="s">
        <v>2153</v>
      </c>
      <c r="J1483" s="103">
        <v>62.5</v>
      </c>
      <c r="K1483" s="103">
        <v>62.5</v>
      </c>
      <c r="L1483" s="103">
        <v>62.5</v>
      </c>
      <c r="M1483" s="103">
        <v>62.5</v>
      </c>
      <c r="N1483" s="103" t="s">
        <v>2163</v>
      </c>
      <c r="O1483" s="103">
        <v>250</v>
      </c>
      <c r="P1483" s="103" t="s">
        <v>1706</v>
      </c>
      <c r="R1483" s="103" t="s">
        <v>2729</v>
      </c>
      <c r="U1483" s="103">
        <v>121.75</v>
      </c>
      <c r="V1483" s="103" t="s">
        <v>2158</v>
      </c>
      <c r="W1483" s="103" t="s">
        <v>126</v>
      </c>
      <c r="X1483" s="103" t="s">
        <v>345</v>
      </c>
      <c r="Y1483" s="103" t="s">
        <v>2240</v>
      </c>
      <c r="AA1483" s="103" t="s">
        <v>2729</v>
      </c>
      <c r="AB1483" s="103" t="s">
        <v>71</v>
      </c>
      <c r="AE1483" s="103" t="s">
        <v>810</v>
      </c>
      <c r="AF1483" s="103" t="b">
        <v>1</v>
      </c>
    </row>
    <row r="1484" spans="1:32" hidden="1" x14ac:dyDescent="0.2">
      <c r="A1484" s="103" t="s">
        <v>1415</v>
      </c>
      <c r="B1484" s="103" t="s">
        <v>1414</v>
      </c>
      <c r="C1484" s="103" t="s">
        <v>3653</v>
      </c>
      <c r="E1484" s="103" t="s">
        <v>126</v>
      </c>
      <c r="H1484" s="103" t="s">
        <v>2152</v>
      </c>
      <c r="I1484" s="103" t="s">
        <v>2153</v>
      </c>
      <c r="N1484" s="103" t="s">
        <v>2163</v>
      </c>
      <c r="O1484" s="103">
        <v>0</v>
      </c>
      <c r="P1484" s="103" t="s">
        <v>1706</v>
      </c>
      <c r="R1484" s="103" t="s">
        <v>2729</v>
      </c>
      <c r="U1484" s="103">
        <v>0</v>
      </c>
      <c r="V1484" s="103" t="s">
        <v>2158</v>
      </c>
      <c r="W1484" s="103" t="s">
        <v>126</v>
      </c>
      <c r="X1484" s="103" t="s">
        <v>345</v>
      </c>
      <c r="Y1484" s="103" t="s">
        <v>2240</v>
      </c>
      <c r="AA1484" s="103" t="s">
        <v>2729</v>
      </c>
      <c r="AB1484" s="103" t="s">
        <v>71</v>
      </c>
      <c r="AE1484" s="103" t="s">
        <v>810</v>
      </c>
      <c r="AF1484" s="103" t="b">
        <v>1</v>
      </c>
    </row>
    <row r="1485" spans="1:32" hidden="1" x14ac:dyDescent="0.2">
      <c r="A1485" s="103" t="s">
        <v>1415</v>
      </c>
      <c r="B1485" s="103" t="s">
        <v>1414</v>
      </c>
      <c r="C1485" s="103" t="s">
        <v>3654</v>
      </c>
      <c r="E1485" s="103" t="s">
        <v>126</v>
      </c>
      <c r="G1485" s="103">
        <v>175</v>
      </c>
      <c r="H1485" s="103" t="s">
        <v>2152</v>
      </c>
      <c r="I1485" s="103" t="s">
        <v>2153</v>
      </c>
      <c r="J1485" s="103">
        <v>43.75</v>
      </c>
      <c r="K1485" s="103">
        <v>43.75</v>
      </c>
      <c r="L1485" s="103">
        <v>43.75</v>
      </c>
      <c r="M1485" s="103">
        <v>43.75</v>
      </c>
      <c r="N1485" s="103" t="s">
        <v>2163</v>
      </c>
      <c r="O1485" s="103">
        <v>175</v>
      </c>
      <c r="P1485" s="103" t="s">
        <v>1706</v>
      </c>
      <c r="R1485" s="103" t="s">
        <v>2729</v>
      </c>
      <c r="U1485" s="103">
        <v>85.224999999999994</v>
      </c>
      <c r="V1485" s="103" t="s">
        <v>2158</v>
      </c>
      <c r="W1485" s="103" t="s">
        <v>126</v>
      </c>
      <c r="X1485" s="103" t="s">
        <v>345</v>
      </c>
      <c r="Y1485" s="103" t="s">
        <v>2240</v>
      </c>
      <c r="AA1485" s="103" t="s">
        <v>2729</v>
      </c>
      <c r="AB1485" s="103" t="s">
        <v>71</v>
      </c>
      <c r="AE1485" s="103" t="s">
        <v>810</v>
      </c>
      <c r="AF1485" s="103" t="b">
        <v>1</v>
      </c>
    </row>
    <row r="1486" spans="1:32" hidden="1" x14ac:dyDescent="0.2">
      <c r="A1486" s="103" t="s">
        <v>1415</v>
      </c>
      <c r="B1486" s="103" t="s">
        <v>1414</v>
      </c>
      <c r="C1486" s="103" t="s">
        <v>3655</v>
      </c>
      <c r="E1486" s="103" t="s">
        <v>126</v>
      </c>
      <c r="G1486" s="103">
        <v>0</v>
      </c>
      <c r="H1486" s="103" t="s">
        <v>2168</v>
      </c>
      <c r="I1486" s="103" t="s">
        <v>2153</v>
      </c>
      <c r="N1486" s="103" t="s">
        <v>2163</v>
      </c>
      <c r="O1486" s="103">
        <v>0</v>
      </c>
      <c r="P1486" s="103" t="s">
        <v>1706</v>
      </c>
      <c r="R1486" s="103" t="s">
        <v>2729</v>
      </c>
      <c r="U1486" s="103">
        <v>0</v>
      </c>
      <c r="V1486" s="103" t="s">
        <v>2158</v>
      </c>
      <c r="W1486" s="103" t="s">
        <v>126</v>
      </c>
      <c r="X1486" s="103" t="s">
        <v>345</v>
      </c>
      <c r="Y1486" s="103" t="s">
        <v>2240</v>
      </c>
      <c r="AA1486" s="103" t="s">
        <v>2729</v>
      </c>
      <c r="AB1486" s="103" t="s">
        <v>71</v>
      </c>
      <c r="AE1486" s="103" t="s">
        <v>810</v>
      </c>
      <c r="AF1486" s="103" t="b">
        <v>1</v>
      </c>
    </row>
    <row r="1487" spans="1:32" hidden="1" x14ac:dyDescent="0.2">
      <c r="A1487" s="103" t="s">
        <v>1415</v>
      </c>
      <c r="B1487" s="103" t="s">
        <v>1414</v>
      </c>
      <c r="C1487" s="103" t="s">
        <v>3656</v>
      </c>
      <c r="E1487" s="103" t="s">
        <v>126</v>
      </c>
      <c r="F1487" s="103" t="s">
        <v>2202</v>
      </c>
      <c r="G1487" s="103">
        <v>200</v>
      </c>
      <c r="H1487" s="103" t="s">
        <v>2168</v>
      </c>
      <c r="I1487" s="103" t="s">
        <v>2153</v>
      </c>
      <c r="J1487" s="103">
        <v>50</v>
      </c>
      <c r="K1487" s="103">
        <v>50</v>
      </c>
      <c r="L1487" s="103">
        <v>50</v>
      </c>
      <c r="M1487" s="103">
        <v>50</v>
      </c>
      <c r="N1487" s="103" t="s">
        <v>2163</v>
      </c>
      <c r="O1487" s="103">
        <v>200</v>
      </c>
      <c r="P1487" s="103" t="s">
        <v>1706</v>
      </c>
      <c r="R1487" s="103" t="s">
        <v>2729</v>
      </c>
      <c r="U1487" s="103">
        <v>97.4</v>
      </c>
      <c r="V1487" s="103" t="s">
        <v>2158</v>
      </c>
      <c r="W1487" s="103" t="s">
        <v>126</v>
      </c>
      <c r="X1487" s="103" t="s">
        <v>345</v>
      </c>
      <c r="Y1487" s="103" t="s">
        <v>2240</v>
      </c>
      <c r="AA1487" s="103" t="s">
        <v>2729</v>
      </c>
      <c r="AB1487" s="103" t="s">
        <v>71</v>
      </c>
      <c r="AE1487" s="103" t="s">
        <v>810</v>
      </c>
      <c r="AF1487" s="103" t="b">
        <v>1</v>
      </c>
    </row>
    <row r="1488" spans="1:32" hidden="1" x14ac:dyDescent="0.2">
      <c r="A1488" s="103" t="s">
        <v>1415</v>
      </c>
      <c r="B1488" s="103" t="s">
        <v>1414</v>
      </c>
      <c r="C1488" s="103" t="s">
        <v>3657</v>
      </c>
      <c r="E1488" s="103" t="s">
        <v>126</v>
      </c>
      <c r="H1488" s="103" t="s">
        <v>2152</v>
      </c>
      <c r="I1488" s="103" t="s">
        <v>2153</v>
      </c>
      <c r="N1488" s="103" t="s">
        <v>2163</v>
      </c>
      <c r="O1488" s="103">
        <v>0</v>
      </c>
      <c r="P1488" s="103" t="s">
        <v>1706</v>
      </c>
      <c r="R1488" s="103" t="s">
        <v>2729</v>
      </c>
      <c r="U1488" s="103">
        <v>0</v>
      </c>
      <c r="V1488" s="103" t="s">
        <v>2158</v>
      </c>
      <c r="W1488" s="103" t="s">
        <v>126</v>
      </c>
      <c r="X1488" s="103" t="s">
        <v>345</v>
      </c>
      <c r="Y1488" s="103" t="s">
        <v>2240</v>
      </c>
      <c r="AA1488" s="103" t="s">
        <v>2729</v>
      </c>
      <c r="AB1488" s="103" t="s">
        <v>71</v>
      </c>
      <c r="AE1488" s="103" t="s">
        <v>810</v>
      </c>
      <c r="AF1488" s="103" t="b">
        <v>1</v>
      </c>
    </row>
    <row r="1489" spans="1:32" hidden="1" x14ac:dyDescent="0.2">
      <c r="A1489" s="103" t="s">
        <v>884</v>
      </c>
      <c r="B1489" s="103" t="s">
        <v>883</v>
      </c>
      <c r="C1489" s="103" t="s">
        <v>3658</v>
      </c>
      <c r="D1489" s="103" t="s">
        <v>3659</v>
      </c>
      <c r="E1489" s="103" t="s">
        <v>2311</v>
      </c>
      <c r="F1489" s="103" t="s">
        <v>2162</v>
      </c>
      <c r="G1489" s="103">
        <v>50</v>
      </c>
      <c r="H1489" s="103" t="s">
        <v>2168</v>
      </c>
      <c r="I1489" s="103" t="s">
        <v>2153</v>
      </c>
      <c r="K1489" s="103">
        <v>50</v>
      </c>
      <c r="N1489" s="103" t="s">
        <v>2260</v>
      </c>
      <c r="O1489" s="103">
        <v>50</v>
      </c>
      <c r="P1489" s="103" t="s">
        <v>820</v>
      </c>
      <c r="Q1489" s="103" t="s">
        <v>2155</v>
      </c>
      <c r="R1489" s="103" t="s">
        <v>2220</v>
      </c>
      <c r="U1489" s="103">
        <v>25.65</v>
      </c>
      <c r="V1489" s="103" t="s">
        <v>2262</v>
      </c>
      <c r="W1489" s="103" t="s">
        <v>108</v>
      </c>
      <c r="X1489" s="103">
        <v>0</v>
      </c>
      <c r="Y1489" s="103" t="s">
        <v>1685</v>
      </c>
      <c r="AA1489" s="103" t="s">
        <v>2220</v>
      </c>
      <c r="AB1489" s="103" t="s">
        <v>71</v>
      </c>
      <c r="AE1489" s="103" t="s">
        <v>810</v>
      </c>
      <c r="AF1489" s="103" t="b">
        <v>1</v>
      </c>
    </row>
    <row r="1490" spans="1:32" hidden="1" x14ac:dyDescent="0.2">
      <c r="A1490" s="103" t="s">
        <v>884</v>
      </c>
      <c r="B1490" s="103" t="s">
        <v>883</v>
      </c>
      <c r="C1490" s="103" t="s">
        <v>3660</v>
      </c>
      <c r="E1490" s="103" t="s">
        <v>2311</v>
      </c>
      <c r="F1490" s="103" t="s">
        <v>2162</v>
      </c>
      <c r="G1490" s="103">
        <v>50</v>
      </c>
      <c r="H1490" s="103" t="s">
        <v>2168</v>
      </c>
      <c r="I1490" s="103" t="s">
        <v>2153</v>
      </c>
      <c r="L1490" s="103">
        <v>25</v>
      </c>
      <c r="M1490" s="103">
        <v>25</v>
      </c>
      <c r="N1490" s="103" t="s">
        <v>2260</v>
      </c>
      <c r="O1490" s="103">
        <v>50</v>
      </c>
      <c r="P1490" s="103" t="s">
        <v>820</v>
      </c>
      <c r="Q1490" s="103" t="s">
        <v>2155</v>
      </c>
      <c r="R1490" s="103" t="s">
        <v>2220</v>
      </c>
      <c r="U1490" s="103">
        <v>25.65</v>
      </c>
      <c r="V1490" s="103" t="s">
        <v>2262</v>
      </c>
      <c r="W1490" s="103" t="s">
        <v>108</v>
      </c>
      <c r="X1490" s="103">
        <v>0</v>
      </c>
      <c r="Y1490" s="103" t="s">
        <v>1685</v>
      </c>
      <c r="AA1490" s="103" t="s">
        <v>2220</v>
      </c>
      <c r="AB1490" s="103" t="s">
        <v>71</v>
      </c>
      <c r="AE1490" s="103" t="s">
        <v>810</v>
      </c>
      <c r="AF1490" s="103" t="b">
        <v>1</v>
      </c>
    </row>
    <row r="1491" spans="1:32" hidden="1" x14ac:dyDescent="0.2">
      <c r="A1491" s="103" t="s">
        <v>884</v>
      </c>
      <c r="B1491" s="103" t="s">
        <v>883</v>
      </c>
      <c r="C1491" s="103" t="s">
        <v>3661</v>
      </c>
      <c r="D1491" s="103" t="s">
        <v>3662</v>
      </c>
      <c r="E1491" s="103" t="s">
        <v>2311</v>
      </c>
      <c r="F1491" s="103" t="s">
        <v>2162</v>
      </c>
      <c r="G1491" s="103">
        <v>50</v>
      </c>
      <c r="H1491" s="103" t="s">
        <v>2168</v>
      </c>
      <c r="I1491" s="103" t="s">
        <v>2153</v>
      </c>
      <c r="M1491" s="103">
        <v>50</v>
      </c>
      <c r="N1491" s="103" t="s">
        <v>2402</v>
      </c>
      <c r="O1491" s="103">
        <v>50</v>
      </c>
      <c r="P1491" s="103" t="s">
        <v>820</v>
      </c>
      <c r="Q1491" s="103" t="s">
        <v>2155</v>
      </c>
      <c r="R1491" s="103" t="s">
        <v>2220</v>
      </c>
      <c r="U1491" s="103">
        <v>25.65</v>
      </c>
      <c r="V1491" s="103" t="s">
        <v>2262</v>
      </c>
      <c r="W1491" s="103" t="s">
        <v>108</v>
      </c>
      <c r="X1491" s="103">
        <v>0</v>
      </c>
      <c r="Y1491" s="103" t="s">
        <v>1685</v>
      </c>
      <c r="AA1491" s="103" t="s">
        <v>2220</v>
      </c>
      <c r="AB1491" s="103" t="s">
        <v>71</v>
      </c>
      <c r="AE1491" s="103" t="s">
        <v>810</v>
      </c>
      <c r="AF1491" s="103" t="b">
        <v>1</v>
      </c>
    </row>
    <row r="1492" spans="1:32" hidden="1" x14ac:dyDescent="0.2">
      <c r="A1492" s="103" t="s">
        <v>884</v>
      </c>
      <c r="B1492" s="103" t="s">
        <v>883</v>
      </c>
      <c r="C1492" s="103" t="s">
        <v>3663</v>
      </c>
      <c r="E1492" s="103" t="s">
        <v>2311</v>
      </c>
      <c r="F1492" s="103" t="s">
        <v>2175</v>
      </c>
      <c r="G1492" s="103">
        <v>20</v>
      </c>
      <c r="H1492" s="103" t="s">
        <v>2168</v>
      </c>
      <c r="I1492" s="103" t="s">
        <v>2153</v>
      </c>
      <c r="J1492" s="103">
        <v>10</v>
      </c>
      <c r="K1492" s="103">
        <v>10</v>
      </c>
      <c r="N1492" s="103" t="s">
        <v>2402</v>
      </c>
      <c r="O1492" s="103">
        <v>20</v>
      </c>
      <c r="P1492" s="103" t="s">
        <v>820</v>
      </c>
      <c r="Q1492" s="103" t="s">
        <v>2155</v>
      </c>
      <c r="R1492" s="103" t="s">
        <v>2220</v>
      </c>
      <c r="T1492" s="103" t="s">
        <v>3471</v>
      </c>
      <c r="U1492" s="103">
        <v>10.26</v>
      </c>
      <c r="V1492" s="103" t="s">
        <v>2262</v>
      </c>
      <c r="W1492" s="103" t="s">
        <v>108</v>
      </c>
      <c r="X1492" s="103">
        <v>0</v>
      </c>
      <c r="Y1492" s="103" t="s">
        <v>1685</v>
      </c>
      <c r="AA1492" s="103" t="s">
        <v>2220</v>
      </c>
      <c r="AB1492" s="103" t="s">
        <v>71</v>
      </c>
      <c r="AE1492" s="103" t="s">
        <v>810</v>
      </c>
      <c r="AF1492" s="103" t="b">
        <v>1</v>
      </c>
    </row>
    <row r="1493" spans="1:32" hidden="1" x14ac:dyDescent="0.2">
      <c r="A1493" s="103" t="s">
        <v>1419</v>
      </c>
      <c r="B1493" s="103" t="s">
        <v>1418</v>
      </c>
      <c r="C1493" s="103" t="s">
        <v>2348</v>
      </c>
      <c r="D1493" s="103" t="s">
        <v>3664</v>
      </c>
      <c r="E1493" s="103" t="s">
        <v>2196</v>
      </c>
      <c r="F1493" s="103" t="s">
        <v>2226</v>
      </c>
      <c r="G1493" s="103">
        <v>450</v>
      </c>
      <c r="H1493" s="103" t="s">
        <v>2152</v>
      </c>
      <c r="I1493" s="103" t="s">
        <v>2153</v>
      </c>
      <c r="J1493" s="103">
        <v>200</v>
      </c>
      <c r="K1493" s="103">
        <v>200</v>
      </c>
      <c r="L1493" s="103">
        <v>25</v>
      </c>
      <c r="M1493" s="103">
        <v>25</v>
      </c>
      <c r="N1493" s="103" t="s">
        <v>2163</v>
      </c>
      <c r="O1493" s="103">
        <v>450</v>
      </c>
      <c r="P1493" s="103" t="s">
        <v>820</v>
      </c>
      <c r="Q1493" s="103" t="s">
        <v>1393</v>
      </c>
      <c r="R1493" s="103" t="s">
        <v>121</v>
      </c>
      <c r="S1493" s="103" t="s">
        <v>2427</v>
      </c>
      <c r="T1493" s="103" t="s">
        <v>3665</v>
      </c>
      <c r="U1493" s="103">
        <v>230.85</v>
      </c>
      <c r="V1493" s="103" t="s">
        <v>2158</v>
      </c>
      <c r="W1493" s="103" t="s">
        <v>121</v>
      </c>
      <c r="X1493" s="103" t="s">
        <v>345</v>
      </c>
      <c r="Y1493" s="103" t="s">
        <v>2240</v>
      </c>
      <c r="AA1493" s="103" t="s">
        <v>121</v>
      </c>
      <c r="AB1493" s="103" t="s">
        <v>74</v>
      </c>
      <c r="AE1493" s="103" t="s">
        <v>1671</v>
      </c>
      <c r="AF1493" s="103" t="b">
        <v>1</v>
      </c>
    </row>
    <row r="1494" spans="1:32" hidden="1" x14ac:dyDescent="0.2">
      <c r="A1494" s="103" t="s">
        <v>1419</v>
      </c>
      <c r="B1494" s="103" t="s">
        <v>1418</v>
      </c>
      <c r="C1494" s="103" t="s">
        <v>3666</v>
      </c>
      <c r="D1494" s="103" t="s">
        <v>3667</v>
      </c>
      <c r="E1494" s="103" t="s">
        <v>3668</v>
      </c>
      <c r="F1494" s="103" t="s">
        <v>2226</v>
      </c>
      <c r="G1494" s="103">
        <v>400</v>
      </c>
      <c r="H1494" s="103" t="s">
        <v>2168</v>
      </c>
      <c r="I1494" s="103" t="s">
        <v>2153</v>
      </c>
      <c r="J1494" s="103">
        <v>200</v>
      </c>
      <c r="K1494" s="103">
        <v>100</v>
      </c>
      <c r="L1494" s="103">
        <v>100</v>
      </c>
      <c r="N1494" s="103" t="s">
        <v>2163</v>
      </c>
      <c r="O1494" s="103">
        <v>400</v>
      </c>
      <c r="P1494" s="103" t="s">
        <v>3669</v>
      </c>
      <c r="Q1494" s="103" t="s">
        <v>2155</v>
      </c>
      <c r="R1494" s="103" t="s">
        <v>121</v>
      </c>
      <c r="S1494" s="103" t="s">
        <v>2427</v>
      </c>
      <c r="U1494" s="103">
        <v>205.2</v>
      </c>
      <c r="V1494" s="103" t="s">
        <v>2158</v>
      </c>
      <c r="W1494" s="103" t="s">
        <v>121</v>
      </c>
      <c r="X1494" s="103" t="s">
        <v>345</v>
      </c>
      <c r="Y1494" s="103" t="s">
        <v>2240</v>
      </c>
      <c r="AA1494" s="103" t="s">
        <v>121</v>
      </c>
      <c r="AB1494" s="103" t="s">
        <v>74</v>
      </c>
      <c r="AE1494" s="103" t="s">
        <v>1671</v>
      </c>
      <c r="AF1494" s="103" t="b">
        <v>1</v>
      </c>
    </row>
    <row r="1495" spans="1:32" hidden="1" x14ac:dyDescent="0.2">
      <c r="A1495" s="103" t="s">
        <v>1419</v>
      </c>
      <c r="B1495" s="103" t="s">
        <v>1418</v>
      </c>
      <c r="C1495" s="103" t="s">
        <v>3670</v>
      </c>
      <c r="D1495" s="103" t="s">
        <v>3671</v>
      </c>
      <c r="E1495" s="103" t="s">
        <v>2196</v>
      </c>
      <c r="F1495" s="103" t="s">
        <v>2226</v>
      </c>
      <c r="G1495" s="103">
        <v>400</v>
      </c>
      <c r="H1495" s="103" t="s">
        <v>2168</v>
      </c>
      <c r="I1495" s="103" t="s">
        <v>2153</v>
      </c>
      <c r="L1495" s="103">
        <v>200</v>
      </c>
      <c r="M1495" s="103">
        <v>200</v>
      </c>
      <c r="N1495" s="103" t="s">
        <v>2163</v>
      </c>
      <c r="O1495" s="103">
        <v>400</v>
      </c>
      <c r="P1495" s="103" t="s">
        <v>820</v>
      </c>
      <c r="Q1495" s="103" t="s">
        <v>2155</v>
      </c>
      <c r="R1495" s="103" t="s">
        <v>121</v>
      </c>
      <c r="S1495" s="103" t="s">
        <v>2427</v>
      </c>
      <c r="T1495" s="103" t="s">
        <v>3665</v>
      </c>
      <c r="U1495" s="103">
        <v>205.2</v>
      </c>
      <c r="V1495" s="103" t="s">
        <v>2158</v>
      </c>
      <c r="W1495" s="103" t="s">
        <v>121</v>
      </c>
      <c r="X1495" s="103" t="s">
        <v>345</v>
      </c>
      <c r="Y1495" s="103" t="s">
        <v>2240</v>
      </c>
      <c r="AA1495" s="103" t="s">
        <v>121</v>
      </c>
      <c r="AB1495" s="103" t="s">
        <v>74</v>
      </c>
      <c r="AE1495" s="103" t="s">
        <v>1671</v>
      </c>
      <c r="AF1495" s="103" t="b">
        <v>1</v>
      </c>
    </row>
    <row r="1496" spans="1:32" hidden="1" x14ac:dyDescent="0.2">
      <c r="A1496" s="103" t="s">
        <v>1419</v>
      </c>
      <c r="B1496" s="103" t="s">
        <v>1418</v>
      </c>
      <c r="C1496" s="103" t="s">
        <v>3672</v>
      </c>
      <c r="D1496" s="103" t="s">
        <v>3673</v>
      </c>
      <c r="E1496" s="103" t="s">
        <v>2196</v>
      </c>
      <c r="F1496" s="103" t="s">
        <v>2226</v>
      </c>
      <c r="G1496" s="103">
        <v>400</v>
      </c>
      <c r="H1496" s="103" t="s">
        <v>2168</v>
      </c>
      <c r="I1496" s="103" t="s">
        <v>2153</v>
      </c>
      <c r="L1496" s="103">
        <v>200</v>
      </c>
      <c r="M1496" s="103">
        <v>200</v>
      </c>
      <c r="N1496" s="103" t="s">
        <v>2163</v>
      </c>
      <c r="O1496" s="103">
        <v>400</v>
      </c>
      <c r="P1496" s="103" t="s">
        <v>820</v>
      </c>
      <c r="Q1496" s="103" t="s">
        <v>2155</v>
      </c>
      <c r="R1496" s="103" t="s">
        <v>121</v>
      </c>
      <c r="S1496" s="103" t="s">
        <v>2427</v>
      </c>
      <c r="T1496" s="103" t="s">
        <v>3665</v>
      </c>
      <c r="U1496" s="103">
        <v>205.2</v>
      </c>
      <c r="V1496" s="103" t="s">
        <v>2158</v>
      </c>
      <c r="W1496" s="103" t="s">
        <v>121</v>
      </c>
      <c r="X1496" s="103" t="s">
        <v>345</v>
      </c>
      <c r="Y1496" s="103" t="s">
        <v>2240</v>
      </c>
      <c r="AA1496" s="103" t="s">
        <v>121</v>
      </c>
      <c r="AB1496" s="103" t="s">
        <v>74</v>
      </c>
      <c r="AE1496" s="103" t="s">
        <v>1671</v>
      </c>
      <c r="AF1496" s="103" t="b">
        <v>1</v>
      </c>
    </row>
    <row r="1497" spans="1:32" hidden="1" x14ac:dyDescent="0.2">
      <c r="A1497" s="103" t="s">
        <v>854</v>
      </c>
      <c r="B1497" s="103" t="s">
        <v>853</v>
      </c>
      <c r="C1497" s="103" t="s">
        <v>2954</v>
      </c>
      <c r="D1497" s="103" t="s">
        <v>2932</v>
      </c>
      <c r="E1497" s="103" t="s">
        <v>2242</v>
      </c>
      <c r="F1497" s="103" t="s">
        <v>2162</v>
      </c>
      <c r="G1497" s="103">
        <v>100</v>
      </c>
      <c r="H1497" s="103" t="s">
        <v>2152</v>
      </c>
      <c r="I1497" s="103" t="s">
        <v>2153</v>
      </c>
      <c r="J1497" s="103">
        <v>50</v>
      </c>
      <c r="K1497" s="103">
        <v>50</v>
      </c>
      <c r="N1497" s="103" t="s">
        <v>2402</v>
      </c>
      <c r="O1497" s="103">
        <v>100</v>
      </c>
      <c r="P1497" s="103" t="s">
        <v>1609</v>
      </c>
      <c r="Q1497" s="103" t="s">
        <v>2236</v>
      </c>
      <c r="R1497" s="103" t="s">
        <v>2225</v>
      </c>
      <c r="S1497" s="103" t="s">
        <v>2422</v>
      </c>
      <c r="U1497" s="103">
        <v>48.3</v>
      </c>
      <c r="V1497" s="103" t="s">
        <v>2262</v>
      </c>
      <c r="W1497" s="103" t="s">
        <v>106</v>
      </c>
      <c r="X1497" s="103" t="s">
        <v>1597</v>
      </c>
      <c r="Y1497" s="103" t="s">
        <v>1685</v>
      </c>
      <c r="AA1497" s="103" t="s">
        <v>2225</v>
      </c>
      <c r="AB1497" s="103" t="s">
        <v>71</v>
      </c>
      <c r="AE1497" s="103" t="s">
        <v>810</v>
      </c>
      <c r="AF1497" s="103" t="b">
        <v>1</v>
      </c>
    </row>
    <row r="1498" spans="1:32" hidden="1" x14ac:dyDescent="0.2">
      <c r="A1498" s="103" t="s">
        <v>1419</v>
      </c>
      <c r="B1498" s="103" t="s">
        <v>1418</v>
      </c>
      <c r="C1498" s="103" t="s">
        <v>3676</v>
      </c>
      <c r="E1498" s="103" t="s">
        <v>126</v>
      </c>
      <c r="F1498" s="103" t="s">
        <v>2162</v>
      </c>
      <c r="G1498" s="103">
        <v>50</v>
      </c>
      <c r="H1498" s="103" t="s">
        <v>2168</v>
      </c>
      <c r="I1498" s="103" t="s">
        <v>2153</v>
      </c>
      <c r="J1498" s="103">
        <v>12.5</v>
      </c>
      <c r="K1498" s="103">
        <v>12.5</v>
      </c>
      <c r="L1498" s="103">
        <v>12.5</v>
      </c>
      <c r="M1498" s="103">
        <v>12.5</v>
      </c>
      <c r="N1498" s="103" t="s">
        <v>2163</v>
      </c>
      <c r="O1498" s="103">
        <v>50</v>
      </c>
      <c r="P1498" s="103" t="s">
        <v>1706</v>
      </c>
      <c r="Q1498" s="103" t="s">
        <v>2155</v>
      </c>
      <c r="R1498" s="103" t="s">
        <v>2729</v>
      </c>
      <c r="U1498" s="103">
        <v>24.35</v>
      </c>
      <c r="V1498" s="103" t="s">
        <v>2158</v>
      </c>
      <c r="W1498" s="103" t="s">
        <v>126</v>
      </c>
      <c r="X1498" s="103" t="s">
        <v>345</v>
      </c>
      <c r="Y1498" s="103" t="s">
        <v>2240</v>
      </c>
      <c r="AA1498" s="103" t="s">
        <v>2729</v>
      </c>
      <c r="AB1498" s="103" t="s">
        <v>74</v>
      </c>
      <c r="AE1498" s="103" t="s">
        <v>1671</v>
      </c>
      <c r="AF1498" s="103" t="b">
        <v>1</v>
      </c>
    </row>
    <row r="1499" spans="1:32" hidden="1" x14ac:dyDescent="0.2">
      <c r="A1499" s="103" t="s">
        <v>884</v>
      </c>
      <c r="B1499" s="103" t="s">
        <v>883</v>
      </c>
      <c r="C1499" s="103" t="s">
        <v>3677</v>
      </c>
      <c r="E1499" s="103" t="s">
        <v>2311</v>
      </c>
      <c r="F1499" s="103" t="s">
        <v>2175</v>
      </c>
      <c r="G1499" s="103">
        <v>20</v>
      </c>
      <c r="H1499" s="103" t="s">
        <v>2168</v>
      </c>
      <c r="I1499" s="103" t="s">
        <v>2153</v>
      </c>
      <c r="J1499" s="103">
        <v>5</v>
      </c>
      <c r="K1499" s="103">
        <v>5</v>
      </c>
      <c r="L1499" s="103">
        <v>5</v>
      </c>
      <c r="M1499" s="103">
        <v>5</v>
      </c>
      <c r="N1499" s="103" t="s">
        <v>2273</v>
      </c>
      <c r="O1499" s="103">
        <v>20</v>
      </c>
      <c r="P1499" s="103" t="s">
        <v>820</v>
      </c>
      <c r="Q1499" s="103" t="s">
        <v>2155</v>
      </c>
      <c r="R1499" s="103" t="s">
        <v>2220</v>
      </c>
      <c r="U1499" s="103">
        <v>10.26</v>
      </c>
      <c r="V1499" s="103" t="s">
        <v>2262</v>
      </c>
      <c r="W1499" s="103" t="s">
        <v>108</v>
      </c>
      <c r="X1499" s="103">
        <v>0</v>
      </c>
      <c r="Y1499" s="103" t="s">
        <v>1685</v>
      </c>
      <c r="AA1499" s="103" t="s">
        <v>2220</v>
      </c>
      <c r="AB1499" s="103" t="s">
        <v>71</v>
      </c>
      <c r="AE1499" s="103" t="s">
        <v>810</v>
      </c>
      <c r="AF1499" s="103" t="b">
        <v>1</v>
      </c>
    </row>
    <row r="1500" spans="1:32" hidden="1" x14ac:dyDescent="0.2">
      <c r="A1500" s="103" t="s">
        <v>1421</v>
      </c>
      <c r="B1500" s="103" t="s">
        <v>1420</v>
      </c>
      <c r="C1500" s="103" t="s">
        <v>3678</v>
      </c>
      <c r="D1500" s="103" t="s">
        <v>2552</v>
      </c>
      <c r="E1500" s="103" t="s">
        <v>3679</v>
      </c>
      <c r="F1500" s="103" t="s">
        <v>2202</v>
      </c>
      <c r="G1500" s="103">
        <v>50</v>
      </c>
      <c r="H1500" s="103" t="s">
        <v>2152</v>
      </c>
      <c r="I1500" s="103" t="s">
        <v>2153</v>
      </c>
      <c r="J1500" s="103">
        <v>12.5</v>
      </c>
      <c r="K1500" s="103">
        <v>12.5</v>
      </c>
      <c r="L1500" s="103">
        <v>12.5</v>
      </c>
      <c r="M1500" s="103">
        <v>12.5</v>
      </c>
      <c r="N1500" s="103" t="s">
        <v>2154</v>
      </c>
      <c r="O1500" s="103">
        <v>50</v>
      </c>
      <c r="P1500" s="103" t="s">
        <v>1672</v>
      </c>
      <c r="Q1500" s="103" t="s">
        <v>1393</v>
      </c>
      <c r="R1500" s="103" t="s">
        <v>2156</v>
      </c>
      <c r="S1500" s="103" t="s">
        <v>2396</v>
      </c>
      <c r="U1500" s="103">
        <v>25.65</v>
      </c>
      <c r="V1500" s="103" t="s">
        <v>2158</v>
      </c>
      <c r="W1500" s="103" t="s">
        <v>114</v>
      </c>
      <c r="X1500" s="103" t="s">
        <v>345</v>
      </c>
      <c r="Y1500" s="103" t="s">
        <v>2240</v>
      </c>
      <c r="AA1500" s="103" t="s">
        <v>2156</v>
      </c>
      <c r="AB1500" s="103" t="s">
        <v>68</v>
      </c>
      <c r="AC1500" s="103" t="s">
        <v>2159</v>
      </c>
      <c r="AD1500" s="103" t="s">
        <v>2388</v>
      </c>
      <c r="AE1500" s="103" t="s">
        <v>766</v>
      </c>
      <c r="AF1500" s="103" t="b">
        <v>1</v>
      </c>
    </row>
    <row r="1501" spans="1:32" hidden="1" x14ac:dyDescent="0.2">
      <c r="A1501" s="103" t="s">
        <v>1421</v>
      </c>
      <c r="B1501" s="103" t="s">
        <v>1420</v>
      </c>
      <c r="C1501" s="103" t="s">
        <v>3680</v>
      </c>
      <c r="D1501" s="103" t="s">
        <v>2552</v>
      </c>
      <c r="E1501" s="103" t="s">
        <v>2171</v>
      </c>
      <c r="G1501" s="103">
        <v>75</v>
      </c>
      <c r="H1501" s="103" t="s">
        <v>2152</v>
      </c>
      <c r="I1501" s="103" t="s">
        <v>2153</v>
      </c>
      <c r="J1501" s="103">
        <v>18.75</v>
      </c>
      <c r="K1501" s="103">
        <v>18.75</v>
      </c>
      <c r="L1501" s="103">
        <v>18.75</v>
      </c>
      <c r="M1501" s="103">
        <v>18.75</v>
      </c>
      <c r="N1501" s="103" t="s">
        <v>2154</v>
      </c>
      <c r="O1501" s="103">
        <v>75</v>
      </c>
      <c r="P1501" s="103" t="s">
        <v>1672</v>
      </c>
      <c r="Q1501" s="103" t="s">
        <v>1393</v>
      </c>
      <c r="R1501" s="103" t="s">
        <v>2156</v>
      </c>
      <c r="S1501" s="103" t="s">
        <v>2396</v>
      </c>
      <c r="U1501" s="103">
        <v>38.475000000000001</v>
      </c>
      <c r="V1501" s="103" t="s">
        <v>2158</v>
      </c>
      <c r="W1501" s="103" t="s">
        <v>114</v>
      </c>
      <c r="X1501" s="103" t="s">
        <v>345</v>
      </c>
      <c r="Y1501" s="103" t="s">
        <v>2240</v>
      </c>
      <c r="AA1501" s="103" t="s">
        <v>2156</v>
      </c>
      <c r="AB1501" s="103" t="s">
        <v>68</v>
      </c>
      <c r="AC1501" s="103" t="s">
        <v>2159</v>
      </c>
      <c r="AD1501" s="103" t="s">
        <v>2388</v>
      </c>
      <c r="AE1501" s="103" t="s">
        <v>766</v>
      </c>
      <c r="AF1501" s="103" t="b">
        <v>1</v>
      </c>
    </row>
    <row r="1502" spans="1:32" hidden="1" x14ac:dyDescent="0.2">
      <c r="A1502" s="103" t="s">
        <v>1421</v>
      </c>
      <c r="B1502" s="103" t="s">
        <v>1420</v>
      </c>
      <c r="C1502" s="103" t="s">
        <v>3681</v>
      </c>
      <c r="D1502" s="103" t="s">
        <v>2552</v>
      </c>
      <c r="E1502" s="103" t="s">
        <v>2167</v>
      </c>
      <c r="G1502" s="103">
        <v>75</v>
      </c>
      <c r="H1502" s="103" t="s">
        <v>2152</v>
      </c>
      <c r="I1502" s="103" t="s">
        <v>2153</v>
      </c>
      <c r="J1502" s="103">
        <v>18.75</v>
      </c>
      <c r="K1502" s="103">
        <v>18.75</v>
      </c>
      <c r="L1502" s="103">
        <v>18.75</v>
      </c>
      <c r="M1502" s="103">
        <v>18.75</v>
      </c>
      <c r="N1502" s="103" t="s">
        <v>2154</v>
      </c>
      <c r="O1502" s="103">
        <v>75</v>
      </c>
      <c r="P1502" s="103" t="s">
        <v>1672</v>
      </c>
      <c r="Q1502" s="103" t="s">
        <v>1393</v>
      </c>
      <c r="R1502" s="103" t="s">
        <v>2156</v>
      </c>
      <c r="S1502" s="103" t="s">
        <v>2396</v>
      </c>
      <c r="U1502" s="103">
        <v>38.475000000000001</v>
      </c>
      <c r="V1502" s="103" t="s">
        <v>2158</v>
      </c>
      <c r="W1502" s="103" t="s">
        <v>114</v>
      </c>
      <c r="X1502" s="103" t="s">
        <v>345</v>
      </c>
      <c r="Y1502" s="103" t="s">
        <v>2240</v>
      </c>
      <c r="AA1502" s="103" t="s">
        <v>2156</v>
      </c>
      <c r="AB1502" s="103" t="s">
        <v>68</v>
      </c>
      <c r="AC1502" s="103" t="s">
        <v>2159</v>
      </c>
      <c r="AD1502" s="103" t="s">
        <v>2388</v>
      </c>
      <c r="AE1502" s="103" t="s">
        <v>766</v>
      </c>
      <c r="AF1502" s="103" t="b">
        <v>1</v>
      </c>
    </row>
    <row r="1503" spans="1:32" hidden="1" x14ac:dyDescent="0.2">
      <c r="A1503" s="103" t="s">
        <v>1421</v>
      </c>
      <c r="B1503" s="103" t="s">
        <v>1420</v>
      </c>
      <c r="D1503" s="103" t="s">
        <v>2552</v>
      </c>
      <c r="E1503" s="103" t="s">
        <v>2195</v>
      </c>
      <c r="F1503" s="103" t="s">
        <v>2202</v>
      </c>
      <c r="G1503" s="103">
        <v>200</v>
      </c>
      <c r="H1503" s="103" t="s">
        <v>2152</v>
      </c>
      <c r="I1503" s="103" t="s">
        <v>2153</v>
      </c>
      <c r="J1503" s="103">
        <v>50</v>
      </c>
      <c r="K1503" s="103">
        <v>50</v>
      </c>
      <c r="L1503" s="103">
        <v>50</v>
      </c>
      <c r="M1503" s="103">
        <v>50</v>
      </c>
      <c r="N1503" s="103" t="s">
        <v>2154</v>
      </c>
      <c r="O1503" s="103">
        <v>200</v>
      </c>
      <c r="P1503" s="103" t="s">
        <v>1672</v>
      </c>
      <c r="Q1503" s="103" t="s">
        <v>1393</v>
      </c>
      <c r="R1503" s="103" t="s">
        <v>2156</v>
      </c>
      <c r="S1503" s="103" t="s">
        <v>2396</v>
      </c>
      <c r="U1503" s="103">
        <v>102.6</v>
      </c>
      <c r="V1503" s="103" t="s">
        <v>2158</v>
      </c>
      <c r="W1503" s="103" t="s">
        <v>114</v>
      </c>
      <c r="X1503" s="103" t="s">
        <v>345</v>
      </c>
      <c r="Y1503" s="103" t="s">
        <v>2240</v>
      </c>
      <c r="AA1503" s="103" t="s">
        <v>2156</v>
      </c>
      <c r="AB1503" s="103" t="s">
        <v>68</v>
      </c>
      <c r="AC1503" s="103" t="s">
        <v>2159</v>
      </c>
      <c r="AD1503" s="103" t="s">
        <v>2388</v>
      </c>
      <c r="AE1503" s="103" t="s">
        <v>766</v>
      </c>
      <c r="AF1503" s="103" t="b">
        <v>1</v>
      </c>
    </row>
    <row r="1504" spans="1:32" hidden="1" x14ac:dyDescent="0.2">
      <c r="A1504" s="103" t="s">
        <v>1421</v>
      </c>
      <c r="B1504" s="103" t="s">
        <v>1420</v>
      </c>
      <c r="D1504" s="103" t="s">
        <v>2552</v>
      </c>
      <c r="E1504" s="103" t="s">
        <v>2174</v>
      </c>
      <c r="F1504" s="103" t="s">
        <v>2151</v>
      </c>
      <c r="G1504" s="103">
        <v>100</v>
      </c>
      <c r="H1504" s="103" t="s">
        <v>2152</v>
      </c>
      <c r="I1504" s="103" t="s">
        <v>2153</v>
      </c>
      <c r="J1504" s="103">
        <v>25</v>
      </c>
      <c r="K1504" s="103">
        <v>25</v>
      </c>
      <c r="L1504" s="103">
        <v>25</v>
      </c>
      <c r="M1504" s="103">
        <v>25</v>
      </c>
      <c r="N1504" s="103" t="s">
        <v>2154</v>
      </c>
      <c r="O1504" s="103">
        <v>100</v>
      </c>
      <c r="P1504" s="103" t="s">
        <v>1672</v>
      </c>
      <c r="Q1504" s="103" t="s">
        <v>1393</v>
      </c>
      <c r="R1504" s="103" t="s">
        <v>2156</v>
      </c>
      <c r="S1504" s="103" t="s">
        <v>2396</v>
      </c>
      <c r="U1504" s="103">
        <v>51.3</v>
      </c>
      <c r="V1504" s="103" t="s">
        <v>2158</v>
      </c>
      <c r="W1504" s="103" t="s">
        <v>114</v>
      </c>
      <c r="X1504" s="103" t="s">
        <v>345</v>
      </c>
      <c r="Y1504" s="103" t="s">
        <v>2240</v>
      </c>
      <c r="AA1504" s="103" t="s">
        <v>2156</v>
      </c>
      <c r="AB1504" s="103" t="s">
        <v>68</v>
      </c>
      <c r="AC1504" s="103" t="s">
        <v>2159</v>
      </c>
      <c r="AD1504" s="103" t="s">
        <v>2388</v>
      </c>
      <c r="AE1504" s="103" t="s">
        <v>766</v>
      </c>
      <c r="AF1504" s="103" t="b">
        <v>1</v>
      </c>
    </row>
    <row r="1505" spans="1:32" hidden="1" x14ac:dyDescent="0.2">
      <c r="A1505" s="103" t="s">
        <v>1421</v>
      </c>
      <c r="B1505" s="103" t="s">
        <v>1420</v>
      </c>
      <c r="D1505" s="103" t="s">
        <v>2552</v>
      </c>
      <c r="E1505" s="103" t="s">
        <v>2208</v>
      </c>
      <c r="F1505" s="103" t="s">
        <v>2151</v>
      </c>
      <c r="G1505" s="103">
        <v>100</v>
      </c>
      <c r="H1505" s="103" t="s">
        <v>2152</v>
      </c>
      <c r="I1505" s="103" t="s">
        <v>2153</v>
      </c>
      <c r="J1505" s="103">
        <v>25</v>
      </c>
      <c r="K1505" s="103">
        <v>25</v>
      </c>
      <c r="L1505" s="103">
        <v>25</v>
      </c>
      <c r="M1505" s="103">
        <v>25</v>
      </c>
      <c r="N1505" s="103" t="s">
        <v>2154</v>
      </c>
      <c r="O1505" s="103">
        <v>100</v>
      </c>
      <c r="P1505" s="103" t="s">
        <v>1672</v>
      </c>
      <c r="Q1505" s="103" t="s">
        <v>1393</v>
      </c>
      <c r="R1505" s="103" t="s">
        <v>2156</v>
      </c>
      <c r="S1505" s="103" t="s">
        <v>2396</v>
      </c>
      <c r="U1505" s="103">
        <v>51.3</v>
      </c>
      <c r="V1505" s="103" t="s">
        <v>2158</v>
      </c>
      <c r="W1505" s="103" t="s">
        <v>114</v>
      </c>
      <c r="X1505" s="103" t="s">
        <v>345</v>
      </c>
      <c r="Y1505" s="103" t="s">
        <v>2240</v>
      </c>
      <c r="AA1505" s="103" t="s">
        <v>2156</v>
      </c>
      <c r="AB1505" s="103" t="s">
        <v>68</v>
      </c>
      <c r="AC1505" s="103" t="s">
        <v>2159</v>
      </c>
      <c r="AD1505" s="103" t="s">
        <v>2388</v>
      </c>
      <c r="AE1505" s="103" t="s">
        <v>766</v>
      </c>
      <c r="AF1505" s="103" t="b">
        <v>1</v>
      </c>
    </row>
    <row r="1506" spans="1:32" hidden="1" x14ac:dyDescent="0.2">
      <c r="A1506" s="103" t="s">
        <v>1421</v>
      </c>
      <c r="B1506" s="103" t="s">
        <v>1420</v>
      </c>
      <c r="D1506" s="103" t="s">
        <v>2552</v>
      </c>
      <c r="E1506" s="103" t="s">
        <v>2414</v>
      </c>
      <c r="F1506" s="103" t="s">
        <v>2151</v>
      </c>
      <c r="G1506" s="103">
        <v>75</v>
      </c>
      <c r="H1506" s="103" t="s">
        <v>2152</v>
      </c>
      <c r="I1506" s="103" t="s">
        <v>2153</v>
      </c>
      <c r="J1506" s="103">
        <v>15</v>
      </c>
      <c r="K1506" s="103">
        <v>15</v>
      </c>
      <c r="L1506" s="103">
        <v>20</v>
      </c>
      <c r="M1506" s="103">
        <v>25</v>
      </c>
      <c r="N1506" s="103" t="s">
        <v>2154</v>
      </c>
      <c r="O1506" s="103">
        <v>75</v>
      </c>
      <c r="P1506" s="103" t="s">
        <v>1672</v>
      </c>
      <c r="Q1506" s="103" t="s">
        <v>1393</v>
      </c>
      <c r="R1506" s="103" t="s">
        <v>2156</v>
      </c>
      <c r="S1506" s="103" t="s">
        <v>2396</v>
      </c>
      <c r="U1506" s="103">
        <v>38.475000000000001</v>
      </c>
      <c r="V1506" s="103" t="s">
        <v>2158</v>
      </c>
      <c r="W1506" s="103" t="s">
        <v>122</v>
      </c>
      <c r="X1506" s="103" t="s">
        <v>345</v>
      </c>
      <c r="Y1506" s="103" t="s">
        <v>2240</v>
      </c>
      <c r="AA1506" s="103" t="s">
        <v>2156</v>
      </c>
      <c r="AB1506" s="103" t="s">
        <v>68</v>
      </c>
      <c r="AC1506" s="103" t="s">
        <v>2159</v>
      </c>
      <c r="AD1506" s="103" t="s">
        <v>2388</v>
      </c>
      <c r="AE1506" s="103" t="s">
        <v>766</v>
      </c>
      <c r="AF1506" s="103" t="b">
        <v>1</v>
      </c>
    </row>
    <row r="1507" spans="1:32" hidden="1" x14ac:dyDescent="0.2">
      <c r="A1507" s="103" t="s">
        <v>1424</v>
      </c>
      <c r="B1507" s="103" t="s">
        <v>1423</v>
      </c>
      <c r="C1507" s="103" t="s">
        <v>3682</v>
      </c>
      <c r="E1507" s="103" t="s">
        <v>2740</v>
      </c>
      <c r="G1507" s="103">
        <v>295</v>
      </c>
      <c r="H1507" s="103" t="s">
        <v>2152</v>
      </c>
      <c r="I1507" s="103" t="s">
        <v>2153</v>
      </c>
      <c r="J1507" s="103">
        <v>70</v>
      </c>
      <c r="K1507" s="103">
        <v>225</v>
      </c>
      <c r="N1507" s="103" t="s">
        <v>2163</v>
      </c>
      <c r="O1507" s="103">
        <v>295</v>
      </c>
      <c r="P1507" s="103" t="s">
        <v>783</v>
      </c>
      <c r="Q1507" s="103" t="s">
        <v>2155</v>
      </c>
      <c r="R1507" s="103" t="s">
        <v>121</v>
      </c>
      <c r="S1507" s="103" t="s">
        <v>2427</v>
      </c>
      <c r="U1507" s="103">
        <v>151.33500000000001</v>
      </c>
      <c r="V1507" s="103" t="s">
        <v>2158</v>
      </c>
      <c r="W1507" s="103" t="s">
        <v>121</v>
      </c>
      <c r="X1507" s="103" t="s">
        <v>345</v>
      </c>
      <c r="Y1507" s="103" t="s">
        <v>2240</v>
      </c>
      <c r="AA1507" s="103" t="s">
        <v>121</v>
      </c>
      <c r="AB1507" s="103" t="s">
        <v>71</v>
      </c>
      <c r="AC1507" s="103" t="s">
        <v>2159</v>
      </c>
      <c r="AD1507" s="103" t="s">
        <v>2388</v>
      </c>
      <c r="AE1507" s="103" t="s">
        <v>810</v>
      </c>
      <c r="AF1507" s="103" t="b">
        <v>1</v>
      </c>
    </row>
    <row r="1508" spans="1:32" hidden="1" x14ac:dyDescent="0.2">
      <c r="A1508" s="103" t="s">
        <v>1426</v>
      </c>
      <c r="B1508" s="103" t="s">
        <v>1425</v>
      </c>
      <c r="D1508" s="103" t="s">
        <v>2552</v>
      </c>
      <c r="E1508" s="103" t="s">
        <v>2195</v>
      </c>
      <c r="F1508" s="103" t="s">
        <v>2226</v>
      </c>
      <c r="G1508" s="103">
        <v>397</v>
      </c>
      <c r="H1508" s="103" t="s">
        <v>2152</v>
      </c>
      <c r="I1508" s="103" t="s">
        <v>2153</v>
      </c>
      <c r="J1508" s="103">
        <v>130</v>
      </c>
      <c r="K1508" s="103">
        <v>130</v>
      </c>
      <c r="L1508" s="103">
        <v>130</v>
      </c>
      <c r="M1508" s="103">
        <v>7</v>
      </c>
      <c r="N1508" s="103" t="s">
        <v>2163</v>
      </c>
      <c r="O1508" s="103">
        <v>397</v>
      </c>
      <c r="P1508" s="103" t="s">
        <v>1672</v>
      </c>
      <c r="Q1508" s="103" t="s">
        <v>1393</v>
      </c>
      <c r="R1508" s="103" t="s">
        <v>2156</v>
      </c>
      <c r="S1508" s="103" t="s">
        <v>2251</v>
      </c>
      <c r="U1508" s="103">
        <v>203.661</v>
      </c>
      <c r="V1508" s="103" t="s">
        <v>2158</v>
      </c>
      <c r="W1508" s="103" t="s">
        <v>114</v>
      </c>
      <c r="X1508" s="103" t="s">
        <v>345</v>
      </c>
      <c r="Y1508" s="103" t="s">
        <v>2240</v>
      </c>
      <c r="AA1508" s="103" t="s">
        <v>2156</v>
      </c>
      <c r="AB1508" s="103" t="s">
        <v>68</v>
      </c>
      <c r="AC1508" s="103" t="s">
        <v>2159</v>
      </c>
      <c r="AD1508" s="103" t="s">
        <v>2388</v>
      </c>
      <c r="AE1508" s="103" t="s">
        <v>766</v>
      </c>
      <c r="AF1508" s="103" t="b">
        <v>1</v>
      </c>
    </row>
    <row r="1509" spans="1:32" hidden="1" x14ac:dyDescent="0.2">
      <c r="A1509" s="103" t="s">
        <v>1426</v>
      </c>
      <c r="B1509" s="103" t="s">
        <v>1425</v>
      </c>
      <c r="D1509" s="103" t="s">
        <v>2552</v>
      </c>
      <c r="E1509" s="103" t="s">
        <v>3500</v>
      </c>
      <c r="F1509" s="103" t="s">
        <v>2202</v>
      </c>
      <c r="G1509" s="103">
        <v>256</v>
      </c>
      <c r="H1509" s="103" t="s">
        <v>2152</v>
      </c>
      <c r="I1509" s="103" t="s">
        <v>2153</v>
      </c>
      <c r="J1509" s="103">
        <v>90</v>
      </c>
      <c r="K1509" s="103">
        <v>90</v>
      </c>
      <c r="L1509" s="103">
        <v>60</v>
      </c>
      <c r="M1509" s="103">
        <v>16</v>
      </c>
      <c r="N1509" s="103" t="s">
        <v>2163</v>
      </c>
      <c r="O1509" s="103">
        <v>256</v>
      </c>
      <c r="P1509" s="103" t="s">
        <v>1672</v>
      </c>
      <c r="Q1509" s="103" t="s">
        <v>1393</v>
      </c>
      <c r="R1509" s="103" t="s">
        <v>2156</v>
      </c>
      <c r="S1509" s="103" t="s">
        <v>2251</v>
      </c>
      <c r="U1509" s="103">
        <v>131.328</v>
      </c>
      <c r="V1509" s="103" t="s">
        <v>2158</v>
      </c>
      <c r="W1509" s="103" t="s">
        <v>122</v>
      </c>
      <c r="X1509" s="103" t="s">
        <v>345</v>
      </c>
      <c r="Y1509" s="103" t="s">
        <v>2240</v>
      </c>
      <c r="AA1509" s="103" t="s">
        <v>2156</v>
      </c>
      <c r="AB1509" s="103" t="s">
        <v>68</v>
      </c>
      <c r="AC1509" s="103" t="s">
        <v>2159</v>
      </c>
      <c r="AD1509" s="103" t="s">
        <v>2388</v>
      </c>
      <c r="AE1509" s="103" t="s">
        <v>766</v>
      </c>
      <c r="AF1509" s="103" t="b">
        <v>1</v>
      </c>
    </row>
    <row r="1510" spans="1:32" hidden="1" x14ac:dyDescent="0.2">
      <c r="A1510" s="103" t="s">
        <v>1428</v>
      </c>
      <c r="B1510" s="103" t="s">
        <v>1427</v>
      </c>
      <c r="C1510" s="103" t="s">
        <v>3683</v>
      </c>
      <c r="E1510" s="103" t="s">
        <v>3500</v>
      </c>
      <c r="F1510" s="103" t="s">
        <v>2226</v>
      </c>
      <c r="G1510" s="103">
        <v>640</v>
      </c>
      <c r="H1510" s="103" t="s">
        <v>2152</v>
      </c>
      <c r="I1510" s="103" t="s">
        <v>2153</v>
      </c>
      <c r="K1510" s="103">
        <v>150</v>
      </c>
      <c r="L1510" s="103">
        <v>350</v>
      </c>
      <c r="M1510" s="103">
        <v>140</v>
      </c>
      <c r="N1510" s="103" t="s">
        <v>2154</v>
      </c>
      <c r="O1510" s="103">
        <v>640</v>
      </c>
      <c r="P1510" s="103" t="s">
        <v>1672</v>
      </c>
      <c r="Q1510" s="103" t="s">
        <v>1393</v>
      </c>
      <c r="R1510" s="103" t="s">
        <v>2156</v>
      </c>
      <c r="S1510" s="103" t="s">
        <v>2188</v>
      </c>
      <c r="U1510" s="103">
        <v>328.32</v>
      </c>
      <c r="V1510" s="103" t="s">
        <v>2158</v>
      </c>
      <c r="W1510" s="103" t="s">
        <v>122</v>
      </c>
      <c r="X1510" s="103" t="s">
        <v>345</v>
      </c>
      <c r="Y1510" s="103" t="s">
        <v>2240</v>
      </c>
      <c r="AA1510" s="103" t="s">
        <v>2156</v>
      </c>
      <c r="AB1510" s="103" t="s">
        <v>68</v>
      </c>
      <c r="AC1510" s="103" t="s">
        <v>2159</v>
      </c>
      <c r="AD1510" s="103" t="s">
        <v>2388</v>
      </c>
      <c r="AE1510" s="103" t="s">
        <v>1641</v>
      </c>
      <c r="AF1510" s="103" t="b">
        <v>1</v>
      </c>
    </row>
    <row r="1511" spans="1:32" hidden="1" x14ac:dyDescent="0.2">
      <c r="A1511" s="103" t="s">
        <v>1430</v>
      </c>
      <c r="B1511" s="103" t="s">
        <v>1429</v>
      </c>
      <c r="D1511" s="103" t="s">
        <v>2552</v>
      </c>
      <c r="E1511" s="103" t="s">
        <v>3684</v>
      </c>
      <c r="F1511" s="103" t="s">
        <v>2228</v>
      </c>
      <c r="G1511" s="103">
        <v>950</v>
      </c>
      <c r="H1511" s="103" t="s">
        <v>2152</v>
      </c>
      <c r="I1511" s="103" t="s">
        <v>2153</v>
      </c>
      <c r="J1511" s="103">
        <v>320</v>
      </c>
      <c r="K1511" s="103">
        <v>320</v>
      </c>
      <c r="L1511" s="103">
        <v>310</v>
      </c>
      <c r="N1511" s="103" t="s">
        <v>2163</v>
      </c>
      <c r="O1511" s="103">
        <v>950</v>
      </c>
      <c r="P1511" s="103" t="s">
        <v>1672</v>
      </c>
      <c r="Q1511" s="103" t="s">
        <v>1393</v>
      </c>
      <c r="R1511" s="103" t="s">
        <v>121</v>
      </c>
      <c r="S1511" s="103" t="s">
        <v>2192</v>
      </c>
      <c r="U1511" s="103">
        <v>487.35</v>
      </c>
      <c r="V1511" s="103" t="s">
        <v>2158</v>
      </c>
      <c r="W1511" s="103" t="s">
        <v>121</v>
      </c>
      <c r="X1511" s="103" t="s">
        <v>345</v>
      </c>
      <c r="Y1511" s="103" t="s">
        <v>2240</v>
      </c>
      <c r="AA1511" s="103" t="s">
        <v>121</v>
      </c>
      <c r="AB1511" s="103" t="s">
        <v>68</v>
      </c>
      <c r="AC1511" s="103" t="s">
        <v>2197</v>
      </c>
      <c r="AD1511" s="103" t="s">
        <v>2397</v>
      </c>
      <c r="AE1511" s="103" t="s">
        <v>1671</v>
      </c>
      <c r="AF1511" s="103" t="b">
        <v>1</v>
      </c>
    </row>
    <row r="1512" spans="1:32" hidden="1" x14ac:dyDescent="0.2">
      <c r="A1512" s="103" t="s">
        <v>1432</v>
      </c>
      <c r="B1512" s="103" t="s">
        <v>1431</v>
      </c>
      <c r="C1512" s="103" t="s">
        <v>3685</v>
      </c>
      <c r="D1512" s="103" t="s">
        <v>3686</v>
      </c>
      <c r="E1512" s="103" t="s">
        <v>2195</v>
      </c>
      <c r="F1512" s="103" t="s">
        <v>2151</v>
      </c>
      <c r="G1512" s="103">
        <v>140</v>
      </c>
      <c r="H1512" s="103" t="s">
        <v>2152</v>
      </c>
      <c r="I1512" s="103" t="s">
        <v>2153</v>
      </c>
      <c r="J1512" s="103">
        <v>50</v>
      </c>
      <c r="K1512" s="103">
        <v>50</v>
      </c>
      <c r="L1512" s="103">
        <v>40</v>
      </c>
      <c r="N1512" s="103" t="s">
        <v>2163</v>
      </c>
      <c r="O1512" s="103">
        <v>140</v>
      </c>
      <c r="P1512" s="103" t="s">
        <v>1672</v>
      </c>
      <c r="Q1512" s="103" t="s">
        <v>1393</v>
      </c>
      <c r="R1512" s="103" t="s">
        <v>2156</v>
      </c>
      <c r="S1512" s="103" t="s">
        <v>2209</v>
      </c>
      <c r="U1512" s="103">
        <v>71.819999999999993</v>
      </c>
      <c r="V1512" s="103" t="s">
        <v>2158</v>
      </c>
      <c r="W1512" s="103" t="s">
        <v>114</v>
      </c>
      <c r="X1512" s="103" t="s">
        <v>345</v>
      </c>
      <c r="Y1512" s="103" t="s">
        <v>2240</v>
      </c>
      <c r="AA1512" s="103" t="s">
        <v>2156</v>
      </c>
      <c r="AB1512" s="103" t="s">
        <v>68</v>
      </c>
      <c r="AC1512" s="103" t="s">
        <v>2159</v>
      </c>
      <c r="AD1512" s="103" t="s">
        <v>2203</v>
      </c>
      <c r="AE1512" s="103" t="s">
        <v>766</v>
      </c>
      <c r="AF1512" s="103" t="b">
        <v>1</v>
      </c>
    </row>
    <row r="1513" spans="1:32" hidden="1" x14ac:dyDescent="0.2">
      <c r="A1513" s="103" t="s">
        <v>1432</v>
      </c>
      <c r="B1513" s="103" t="s">
        <v>1431</v>
      </c>
      <c r="C1513" s="103" t="s">
        <v>3685</v>
      </c>
      <c r="D1513" s="103" t="s">
        <v>3687</v>
      </c>
      <c r="E1513" s="103" t="s">
        <v>2195</v>
      </c>
      <c r="F1513" s="103" t="s">
        <v>2202</v>
      </c>
      <c r="G1513" s="103">
        <v>280</v>
      </c>
      <c r="H1513" s="103" t="s">
        <v>2152</v>
      </c>
      <c r="I1513" s="103" t="s">
        <v>2153</v>
      </c>
      <c r="J1513" s="103">
        <v>90</v>
      </c>
      <c r="K1513" s="103">
        <v>100</v>
      </c>
      <c r="L1513" s="103">
        <v>90</v>
      </c>
      <c r="N1513" s="103" t="s">
        <v>2163</v>
      </c>
      <c r="O1513" s="103">
        <v>280</v>
      </c>
      <c r="P1513" s="103" t="s">
        <v>1672</v>
      </c>
      <c r="Q1513" s="103" t="s">
        <v>1393</v>
      </c>
      <c r="R1513" s="103" t="s">
        <v>2156</v>
      </c>
      <c r="S1513" s="103" t="s">
        <v>2209</v>
      </c>
      <c r="U1513" s="103">
        <v>143.63999999999999</v>
      </c>
      <c r="V1513" s="103" t="s">
        <v>2158</v>
      </c>
      <c r="W1513" s="103" t="s">
        <v>114</v>
      </c>
      <c r="X1513" s="103" t="s">
        <v>345</v>
      </c>
      <c r="Y1513" s="103" t="s">
        <v>2240</v>
      </c>
      <c r="AA1513" s="103" t="s">
        <v>2156</v>
      </c>
      <c r="AB1513" s="103" t="s">
        <v>68</v>
      </c>
      <c r="AC1513" s="103" t="s">
        <v>2159</v>
      </c>
      <c r="AD1513" s="103" t="s">
        <v>2203</v>
      </c>
      <c r="AE1513" s="103" t="s">
        <v>766</v>
      </c>
      <c r="AF1513" s="103" t="b">
        <v>1</v>
      </c>
    </row>
    <row r="1514" spans="1:32" hidden="1" x14ac:dyDescent="0.2">
      <c r="A1514" s="103" t="s">
        <v>1432</v>
      </c>
      <c r="B1514" s="103" t="s">
        <v>1431</v>
      </c>
      <c r="C1514" s="103" t="s">
        <v>3685</v>
      </c>
      <c r="D1514" s="103" t="s">
        <v>2552</v>
      </c>
      <c r="E1514" s="103" t="s">
        <v>2213</v>
      </c>
      <c r="F1514" s="103" t="s">
        <v>2202</v>
      </c>
      <c r="G1514" s="103">
        <v>220</v>
      </c>
      <c r="H1514" s="103" t="s">
        <v>2152</v>
      </c>
      <c r="I1514" s="103" t="s">
        <v>2153</v>
      </c>
      <c r="J1514" s="103">
        <v>80</v>
      </c>
      <c r="K1514" s="103">
        <v>80</v>
      </c>
      <c r="L1514" s="103">
        <v>60</v>
      </c>
      <c r="N1514" s="103" t="s">
        <v>2163</v>
      </c>
      <c r="O1514" s="103">
        <v>220</v>
      </c>
      <c r="P1514" s="103" t="s">
        <v>1672</v>
      </c>
      <c r="Q1514" s="103" t="s">
        <v>1393</v>
      </c>
      <c r="R1514" s="103" t="s">
        <v>2156</v>
      </c>
      <c r="S1514" s="103" t="s">
        <v>2209</v>
      </c>
      <c r="U1514" s="103">
        <v>112.86</v>
      </c>
      <c r="V1514" s="103" t="s">
        <v>2158</v>
      </c>
      <c r="W1514" s="103" t="s">
        <v>114</v>
      </c>
      <c r="X1514" s="103" t="s">
        <v>345</v>
      </c>
      <c r="Y1514" s="103" t="s">
        <v>2240</v>
      </c>
      <c r="AA1514" s="103" t="s">
        <v>2156</v>
      </c>
      <c r="AB1514" s="103" t="s">
        <v>68</v>
      </c>
      <c r="AC1514" s="103" t="s">
        <v>2159</v>
      </c>
      <c r="AD1514" s="103" t="s">
        <v>2203</v>
      </c>
      <c r="AE1514" s="103" t="s">
        <v>766</v>
      </c>
      <c r="AF1514" s="103" t="b">
        <v>1</v>
      </c>
    </row>
    <row r="1515" spans="1:32" hidden="1" x14ac:dyDescent="0.2">
      <c r="A1515" s="103" t="s">
        <v>1432</v>
      </c>
      <c r="B1515" s="103" t="s">
        <v>1431</v>
      </c>
      <c r="C1515" s="103" t="s">
        <v>3685</v>
      </c>
      <c r="D1515" s="103" t="s">
        <v>2552</v>
      </c>
      <c r="E1515" s="103" t="s">
        <v>2386</v>
      </c>
      <c r="F1515" s="103" t="s">
        <v>2202</v>
      </c>
      <c r="G1515" s="103">
        <v>200</v>
      </c>
      <c r="H1515" s="103" t="s">
        <v>2152</v>
      </c>
      <c r="I1515" s="103" t="s">
        <v>2153</v>
      </c>
      <c r="J1515" s="103">
        <v>70</v>
      </c>
      <c r="K1515" s="103">
        <v>70</v>
      </c>
      <c r="L1515" s="103">
        <v>60</v>
      </c>
      <c r="N1515" s="103" t="s">
        <v>2163</v>
      </c>
      <c r="O1515" s="103">
        <v>200</v>
      </c>
      <c r="P1515" s="103" t="s">
        <v>1672</v>
      </c>
      <c r="Q1515" s="103" t="s">
        <v>1393</v>
      </c>
      <c r="R1515" s="103" t="s">
        <v>2156</v>
      </c>
      <c r="S1515" s="103" t="s">
        <v>2209</v>
      </c>
      <c r="U1515" s="103">
        <v>102.6</v>
      </c>
      <c r="V1515" s="103" t="s">
        <v>2158</v>
      </c>
      <c r="W1515" s="103" t="s">
        <v>114</v>
      </c>
      <c r="X1515" s="103" t="s">
        <v>345</v>
      </c>
      <c r="Y1515" s="103" t="s">
        <v>2240</v>
      </c>
      <c r="AA1515" s="103" t="s">
        <v>2156</v>
      </c>
      <c r="AB1515" s="103" t="s">
        <v>68</v>
      </c>
      <c r="AC1515" s="103" t="s">
        <v>2159</v>
      </c>
      <c r="AD1515" s="103" t="s">
        <v>2203</v>
      </c>
      <c r="AE1515" s="103" t="s">
        <v>766</v>
      </c>
      <c r="AF1515" s="103" t="b">
        <v>1</v>
      </c>
    </row>
    <row r="1516" spans="1:32" hidden="1" x14ac:dyDescent="0.2">
      <c r="A1516" s="103" t="s">
        <v>1436</v>
      </c>
      <c r="B1516" s="103" t="s">
        <v>1435</v>
      </c>
      <c r="C1516" s="103" t="s">
        <v>3311</v>
      </c>
      <c r="D1516" s="103" t="s">
        <v>3312</v>
      </c>
      <c r="E1516" s="103" t="s">
        <v>2201</v>
      </c>
      <c r="F1516" s="103" t="s">
        <v>2232</v>
      </c>
      <c r="G1516" s="103">
        <v>576</v>
      </c>
      <c r="H1516" s="103" t="s">
        <v>2152</v>
      </c>
      <c r="I1516" s="103" t="s">
        <v>2153</v>
      </c>
      <c r="J1516" s="103">
        <v>144</v>
      </c>
      <c r="K1516" s="103">
        <v>144</v>
      </c>
      <c r="L1516" s="103">
        <v>144</v>
      </c>
      <c r="M1516" s="103">
        <v>144</v>
      </c>
      <c r="N1516" s="103" t="s">
        <v>2163</v>
      </c>
      <c r="O1516" s="103">
        <v>576</v>
      </c>
      <c r="P1516" s="103" t="s">
        <v>771</v>
      </c>
      <c r="Q1516" s="103" t="s">
        <v>2155</v>
      </c>
      <c r="R1516" s="103" t="s">
        <v>2164</v>
      </c>
      <c r="S1516" s="103" t="s">
        <v>2251</v>
      </c>
      <c r="U1516" s="103">
        <v>345.6</v>
      </c>
      <c r="V1516" s="103" t="s">
        <v>2158</v>
      </c>
      <c r="W1516" s="103" t="s">
        <v>132</v>
      </c>
      <c r="X1516" s="103" t="s">
        <v>345</v>
      </c>
      <c r="Y1516" s="103" t="s">
        <v>2240</v>
      </c>
      <c r="AA1516" s="103" t="s">
        <v>2164</v>
      </c>
      <c r="AB1516" s="103" t="s">
        <v>68</v>
      </c>
      <c r="AC1516" s="103" t="s">
        <v>2193</v>
      </c>
      <c r="AD1516" s="103" t="s">
        <v>2203</v>
      </c>
      <c r="AE1516" s="103" t="s">
        <v>766</v>
      </c>
      <c r="AF1516" s="103" t="b">
        <v>1</v>
      </c>
    </row>
    <row r="1517" spans="1:32" hidden="1" x14ac:dyDescent="0.2">
      <c r="A1517" s="103" t="s">
        <v>1436</v>
      </c>
      <c r="B1517" s="103" t="s">
        <v>1435</v>
      </c>
      <c r="C1517" s="103" t="s">
        <v>3688</v>
      </c>
      <c r="D1517" s="103" t="s">
        <v>2552</v>
      </c>
      <c r="E1517" s="103" t="s">
        <v>2195</v>
      </c>
      <c r="F1517" s="103" t="s">
        <v>2228</v>
      </c>
      <c r="G1517" s="103">
        <v>630</v>
      </c>
      <c r="H1517" s="103" t="s">
        <v>2152</v>
      </c>
      <c r="I1517" s="103" t="s">
        <v>2153</v>
      </c>
      <c r="J1517" s="103">
        <v>150</v>
      </c>
      <c r="K1517" s="103">
        <v>150</v>
      </c>
      <c r="L1517" s="103">
        <v>150</v>
      </c>
      <c r="M1517" s="103">
        <v>180</v>
      </c>
      <c r="N1517" s="103" t="s">
        <v>2163</v>
      </c>
      <c r="O1517" s="103">
        <v>630</v>
      </c>
      <c r="P1517" s="103" t="s">
        <v>1672</v>
      </c>
      <c r="Q1517" s="103" t="s">
        <v>1393</v>
      </c>
      <c r="R1517" s="103" t="s">
        <v>2156</v>
      </c>
      <c r="S1517" s="103" t="s">
        <v>2192</v>
      </c>
      <c r="U1517" s="103">
        <v>323.19</v>
      </c>
      <c r="V1517" s="103" t="s">
        <v>2158</v>
      </c>
      <c r="W1517" s="103" t="s">
        <v>114</v>
      </c>
      <c r="X1517" s="103" t="s">
        <v>345</v>
      </c>
      <c r="Y1517" s="103" t="s">
        <v>2240</v>
      </c>
      <c r="AA1517" s="103" t="s">
        <v>2156</v>
      </c>
      <c r="AB1517" s="103" t="s">
        <v>68</v>
      </c>
      <c r="AC1517" s="103" t="s">
        <v>2159</v>
      </c>
      <c r="AD1517" s="103" t="s">
        <v>2465</v>
      </c>
      <c r="AE1517" s="103" t="s">
        <v>766</v>
      </c>
      <c r="AF1517" s="103" t="b">
        <v>1</v>
      </c>
    </row>
    <row r="1518" spans="1:32" hidden="1" x14ac:dyDescent="0.2">
      <c r="A1518" s="103" t="s">
        <v>1436</v>
      </c>
      <c r="B1518" s="103" t="s">
        <v>1435</v>
      </c>
      <c r="C1518" s="103" t="s">
        <v>3689</v>
      </c>
      <c r="D1518" s="103" t="s">
        <v>2552</v>
      </c>
      <c r="E1518" s="103" t="s">
        <v>3679</v>
      </c>
      <c r="F1518" s="103" t="s">
        <v>2228</v>
      </c>
      <c r="G1518" s="103">
        <v>760</v>
      </c>
      <c r="H1518" s="103" t="s">
        <v>2152</v>
      </c>
      <c r="I1518" s="103" t="s">
        <v>2153</v>
      </c>
      <c r="J1518" s="103">
        <v>220</v>
      </c>
      <c r="K1518" s="103">
        <v>220</v>
      </c>
      <c r="L1518" s="103">
        <v>220</v>
      </c>
      <c r="M1518" s="103">
        <v>100</v>
      </c>
      <c r="N1518" s="103" t="s">
        <v>2163</v>
      </c>
      <c r="O1518" s="103">
        <v>760</v>
      </c>
      <c r="P1518" s="103" t="s">
        <v>1672</v>
      </c>
      <c r="Q1518" s="103" t="s">
        <v>1393</v>
      </c>
      <c r="R1518" s="103" t="s">
        <v>2156</v>
      </c>
      <c r="S1518" s="103" t="s">
        <v>2192</v>
      </c>
      <c r="U1518" s="103">
        <v>389.88</v>
      </c>
      <c r="V1518" s="103" t="s">
        <v>2158</v>
      </c>
      <c r="W1518" s="103" t="s">
        <v>114</v>
      </c>
      <c r="X1518" s="103" t="s">
        <v>345</v>
      </c>
      <c r="Y1518" s="103" t="s">
        <v>2240</v>
      </c>
      <c r="AA1518" s="103" t="s">
        <v>2156</v>
      </c>
      <c r="AB1518" s="103" t="s">
        <v>68</v>
      </c>
      <c r="AC1518" s="103" t="s">
        <v>2159</v>
      </c>
      <c r="AD1518" s="103" t="s">
        <v>2465</v>
      </c>
      <c r="AE1518" s="103" t="s">
        <v>766</v>
      </c>
      <c r="AF1518" s="103" t="b">
        <v>1</v>
      </c>
    </row>
    <row r="1519" spans="1:32" hidden="1" x14ac:dyDescent="0.2">
      <c r="A1519" s="103" t="s">
        <v>1436</v>
      </c>
      <c r="B1519" s="103" t="s">
        <v>1435</v>
      </c>
      <c r="C1519" s="103" t="s">
        <v>3689</v>
      </c>
      <c r="D1519" s="103" t="s">
        <v>2552</v>
      </c>
      <c r="E1519" s="103" t="s">
        <v>3500</v>
      </c>
      <c r="F1519" s="103" t="s">
        <v>2151</v>
      </c>
      <c r="G1519" s="103">
        <v>100</v>
      </c>
      <c r="H1519" s="103" t="s">
        <v>2152</v>
      </c>
      <c r="I1519" s="103" t="s">
        <v>2153</v>
      </c>
      <c r="J1519" s="103">
        <v>100</v>
      </c>
      <c r="N1519" s="103" t="s">
        <v>2154</v>
      </c>
      <c r="O1519" s="103">
        <v>100</v>
      </c>
      <c r="P1519" s="103" t="s">
        <v>1672</v>
      </c>
      <c r="Q1519" s="103" t="s">
        <v>1393</v>
      </c>
      <c r="R1519" s="103" t="s">
        <v>2156</v>
      </c>
      <c r="S1519" s="103" t="s">
        <v>2192</v>
      </c>
      <c r="U1519" s="103">
        <v>51.3</v>
      </c>
      <c r="V1519" s="103" t="s">
        <v>2158</v>
      </c>
      <c r="W1519" s="103" t="s">
        <v>122</v>
      </c>
      <c r="X1519" s="103" t="s">
        <v>345</v>
      </c>
      <c r="Y1519" s="103" t="s">
        <v>2240</v>
      </c>
      <c r="AA1519" s="103" t="s">
        <v>2156</v>
      </c>
      <c r="AB1519" s="103" t="s">
        <v>68</v>
      </c>
      <c r="AC1519" s="103" t="s">
        <v>2159</v>
      </c>
      <c r="AD1519" s="103" t="s">
        <v>2465</v>
      </c>
      <c r="AE1519" s="103" t="s">
        <v>766</v>
      </c>
      <c r="AF1519" s="103" t="b">
        <v>1</v>
      </c>
    </row>
    <row r="1520" spans="1:32" hidden="1" x14ac:dyDescent="0.2">
      <c r="A1520" s="103" t="s">
        <v>1438</v>
      </c>
      <c r="B1520" s="103" t="s">
        <v>1437</v>
      </c>
      <c r="C1520" s="103" t="s">
        <v>3690</v>
      </c>
      <c r="E1520" s="103" t="s">
        <v>2195</v>
      </c>
      <c r="F1520" s="103" t="s">
        <v>2202</v>
      </c>
      <c r="G1520" s="103">
        <v>240</v>
      </c>
      <c r="H1520" s="103" t="s">
        <v>2152</v>
      </c>
      <c r="I1520" s="103" t="s">
        <v>2153</v>
      </c>
      <c r="J1520" s="103">
        <v>60</v>
      </c>
      <c r="K1520" s="103">
        <v>60</v>
      </c>
      <c r="L1520" s="103">
        <v>60</v>
      </c>
      <c r="M1520" s="103">
        <v>60</v>
      </c>
      <c r="N1520" s="103" t="s">
        <v>2154</v>
      </c>
      <c r="O1520" s="103">
        <v>240</v>
      </c>
      <c r="P1520" s="103" t="s">
        <v>1672</v>
      </c>
      <c r="Q1520" s="103" t="s">
        <v>1393</v>
      </c>
      <c r="R1520" s="103" t="s">
        <v>2156</v>
      </c>
      <c r="S1520" s="103" t="s">
        <v>2396</v>
      </c>
      <c r="U1520" s="103">
        <v>123.12</v>
      </c>
      <c r="V1520" s="103" t="s">
        <v>2158</v>
      </c>
      <c r="W1520" s="103" t="s">
        <v>114</v>
      </c>
      <c r="X1520" s="103" t="s">
        <v>345</v>
      </c>
      <c r="Y1520" s="103" t="s">
        <v>2240</v>
      </c>
      <c r="AA1520" s="103" t="s">
        <v>2156</v>
      </c>
      <c r="AB1520" s="103" t="s">
        <v>68</v>
      </c>
      <c r="AC1520" s="103" t="s">
        <v>2159</v>
      </c>
      <c r="AD1520" s="103" t="s">
        <v>2388</v>
      </c>
      <c r="AE1520" s="103" t="s">
        <v>766</v>
      </c>
      <c r="AF1520" s="103" t="b">
        <v>1</v>
      </c>
    </row>
    <row r="1521" spans="1:32" hidden="1" x14ac:dyDescent="0.2">
      <c r="A1521" s="103" t="s">
        <v>1440</v>
      </c>
      <c r="B1521" s="103" t="s">
        <v>1439</v>
      </c>
      <c r="C1521" s="103" t="s">
        <v>3691</v>
      </c>
      <c r="D1521" s="103" t="s">
        <v>2552</v>
      </c>
      <c r="E1521" s="103" t="s">
        <v>2174</v>
      </c>
      <c r="F1521" s="103" t="s">
        <v>2228</v>
      </c>
      <c r="G1521" s="103">
        <v>900</v>
      </c>
      <c r="H1521" s="103" t="s">
        <v>2152</v>
      </c>
      <c r="I1521" s="103" t="s">
        <v>2153</v>
      </c>
      <c r="J1521" s="103">
        <v>225</v>
      </c>
      <c r="K1521" s="103">
        <v>225</v>
      </c>
      <c r="L1521" s="103">
        <v>225</v>
      </c>
      <c r="M1521" s="103">
        <v>225</v>
      </c>
      <c r="N1521" s="103" t="s">
        <v>2163</v>
      </c>
      <c r="O1521" s="103">
        <v>900</v>
      </c>
      <c r="P1521" s="103" t="s">
        <v>1672</v>
      </c>
      <c r="Q1521" s="103" t="s">
        <v>1393</v>
      </c>
      <c r="R1521" s="103" t="s">
        <v>2156</v>
      </c>
      <c r="S1521" s="103" t="s">
        <v>2188</v>
      </c>
      <c r="U1521" s="103">
        <v>461.7</v>
      </c>
      <c r="V1521" s="103" t="s">
        <v>2158</v>
      </c>
      <c r="W1521" s="103" t="s">
        <v>114</v>
      </c>
      <c r="X1521" s="103" t="s">
        <v>345</v>
      </c>
      <c r="Y1521" s="103" t="s">
        <v>2240</v>
      </c>
      <c r="AA1521" s="103" t="s">
        <v>2156</v>
      </c>
      <c r="AB1521" s="103" t="s">
        <v>68</v>
      </c>
      <c r="AC1521" s="103" t="s">
        <v>2159</v>
      </c>
      <c r="AD1521" s="103" t="s">
        <v>2397</v>
      </c>
      <c r="AE1521" s="103" t="s">
        <v>766</v>
      </c>
      <c r="AF1521" s="103" t="b">
        <v>1</v>
      </c>
    </row>
    <row r="1522" spans="1:32" hidden="1" x14ac:dyDescent="0.2">
      <c r="A1522" s="103" t="s">
        <v>1442</v>
      </c>
      <c r="B1522" s="103" t="s">
        <v>1441</v>
      </c>
      <c r="C1522" s="103" t="s">
        <v>3692</v>
      </c>
      <c r="D1522" s="103" t="s">
        <v>2552</v>
      </c>
      <c r="E1522" s="103" t="s">
        <v>2414</v>
      </c>
      <c r="F1522" s="103" t="s">
        <v>2232</v>
      </c>
      <c r="G1522" s="103">
        <v>300</v>
      </c>
      <c r="H1522" s="103" t="s">
        <v>2152</v>
      </c>
      <c r="I1522" s="103" t="s">
        <v>2153</v>
      </c>
      <c r="J1522" s="103">
        <v>100</v>
      </c>
      <c r="K1522" s="103">
        <v>200</v>
      </c>
      <c r="N1522" s="103" t="s">
        <v>2163</v>
      </c>
      <c r="O1522" s="103">
        <v>300</v>
      </c>
      <c r="P1522" s="103" t="s">
        <v>1672</v>
      </c>
      <c r="Q1522" s="103" t="s">
        <v>1393</v>
      </c>
      <c r="R1522" s="103" t="s">
        <v>2156</v>
      </c>
      <c r="S1522" s="103" t="s">
        <v>2188</v>
      </c>
      <c r="U1522" s="103">
        <v>153.9</v>
      </c>
      <c r="V1522" s="103" t="s">
        <v>2158</v>
      </c>
      <c r="W1522" s="103" t="s">
        <v>122</v>
      </c>
      <c r="X1522" s="103" t="s">
        <v>345</v>
      </c>
      <c r="Y1522" s="103" t="s">
        <v>2240</v>
      </c>
      <c r="AA1522" s="103" t="s">
        <v>2156</v>
      </c>
      <c r="AB1522" s="103" t="s">
        <v>68</v>
      </c>
      <c r="AC1522" s="103" t="s">
        <v>122</v>
      </c>
      <c r="AD1522" s="103" t="s">
        <v>2397</v>
      </c>
      <c r="AE1522" s="103" t="s">
        <v>1641</v>
      </c>
      <c r="AF1522" s="103" t="b">
        <v>1</v>
      </c>
    </row>
    <row r="1523" spans="1:32" hidden="1" x14ac:dyDescent="0.2">
      <c r="A1523" s="103" t="s">
        <v>1444</v>
      </c>
      <c r="B1523" s="103" t="s">
        <v>1443</v>
      </c>
      <c r="C1523" s="103" t="s">
        <v>3693</v>
      </c>
      <c r="D1523" s="103" t="s">
        <v>2552</v>
      </c>
      <c r="E1523" s="103" t="s">
        <v>2187</v>
      </c>
      <c r="F1523" s="103" t="s">
        <v>2226</v>
      </c>
      <c r="G1523" s="103">
        <v>600</v>
      </c>
      <c r="H1523" s="103" t="s">
        <v>2152</v>
      </c>
      <c r="I1523" s="103" t="s">
        <v>2153</v>
      </c>
      <c r="J1523" s="103">
        <v>200</v>
      </c>
      <c r="K1523" s="103">
        <v>200</v>
      </c>
      <c r="L1523" s="103">
        <v>200</v>
      </c>
      <c r="N1523" s="103" t="s">
        <v>2163</v>
      </c>
      <c r="O1523" s="103">
        <v>600</v>
      </c>
      <c r="P1523" s="103" t="s">
        <v>1672</v>
      </c>
      <c r="Q1523" s="103" t="s">
        <v>1393</v>
      </c>
      <c r="R1523" s="103" t="s">
        <v>121</v>
      </c>
      <c r="S1523" s="103" t="s">
        <v>2188</v>
      </c>
      <c r="U1523" s="103">
        <v>307.8</v>
      </c>
      <c r="V1523" s="103" t="s">
        <v>2158</v>
      </c>
      <c r="W1523" s="103" t="s">
        <v>121</v>
      </c>
      <c r="X1523" s="103" t="s">
        <v>345</v>
      </c>
      <c r="Y1523" s="103" t="s">
        <v>2240</v>
      </c>
      <c r="AA1523" s="103" t="s">
        <v>121</v>
      </c>
      <c r="AB1523" s="103" t="s">
        <v>68</v>
      </c>
      <c r="AC1523" s="103" t="s">
        <v>3694</v>
      </c>
      <c r="AD1523" s="103" t="s">
        <v>2397</v>
      </c>
      <c r="AE1523" s="103" t="s">
        <v>1671</v>
      </c>
      <c r="AF1523" s="103" t="b">
        <v>1</v>
      </c>
    </row>
    <row r="1524" spans="1:32" hidden="1" x14ac:dyDescent="0.2">
      <c r="A1524" s="103" t="s">
        <v>1446</v>
      </c>
      <c r="B1524" s="103" t="s">
        <v>1445</v>
      </c>
      <c r="D1524" s="103" t="s">
        <v>3695</v>
      </c>
      <c r="E1524" s="103" t="s">
        <v>2603</v>
      </c>
      <c r="F1524" s="103" t="s">
        <v>2202</v>
      </c>
      <c r="G1524" s="103">
        <v>270</v>
      </c>
      <c r="H1524" s="103" t="s">
        <v>2168</v>
      </c>
      <c r="I1524" s="103" t="s">
        <v>2153</v>
      </c>
      <c r="J1524" s="103">
        <v>120</v>
      </c>
      <c r="K1524" s="103">
        <v>75</v>
      </c>
      <c r="L1524" s="103">
        <v>75</v>
      </c>
      <c r="N1524" s="103" t="s">
        <v>2154</v>
      </c>
      <c r="O1524" s="103">
        <v>270</v>
      </c>
      <c r="P1524" s="103" t="s">
        <v>1622</v>
      </c>
      <c r="Q1524" s="103" t="s">
        <v>1393</v>
      </c>
      <c r="R1524" s="103" t="s">
        <v>121</v>
      </c>
      <c r="U1524" s="103">
        <v>138.51</v>
      </c>
      <c r="V1524" s="103" t="s">
        <v>2158</v>
      </c>
      <c r="W1524" s="103" t="s">
        <v>121</v>
      </c>
      <c r="X1524" s="103" t="s">
        <v>345</v>
      </c>
      <c r="Y1524" s="103" t="s">
        <v>2240</v>
      </c>
      <c r="AA1524" s="103" t="s">
        <v>121</v>
      </c>
      <c r="AB1524" s="103" t="s">
        <v>74</v>
      </c>
      <c r="AE1524" s="103" t="s">
        <v>1241</v>
      </c>
      <c r="AF1524" s="103" t="b">
        <v>1</v>
      </c>
    </row>
    <row r="1525" spans="1:32" hidden="1" x14ac:dyDescent="0.2">
      <c r="A1525" s="103" t="s">
        <v>1450</v>
      </c>
      <c r="B1525" s="103" t="s">
        <v>1449</v>
      </c>
      <c r="C1525" s="103" t="s">
        <v>2830</v>
      </c>
      <c r="E1525" s="103" t="s">
        <v>2447</v>
      </c>
      <c r="G1525" s="103">
        <v>800</v>
      </c>
      <c r="H1525" s="103" t="s">
        <v>2152</v>
      </c>
      <c r="I1525" s="103" t="s">
        <v>2153</v>
      </c>
      <c r="J1525" s="103">
        <v>250</v>
      </c>
      <c r="K1525" s="103">
        <v>300</v>
      </c>
      <c r="L1525" s="103">
        <v>180</v>
      </c>
      <c r="M1525" s="103">
        <v>70</v>
      </c>
      <c r="N1525" s="103" t="s">
        <v>2163</v>
      </c>
      <c r="O1525" s="103">
        <v>800</v>
      </c>
      <c r="P1525" s="103" t="s">
        <v>1651</v>
      </c>
      <c r="R1525" s="103" t="s">
        <v>121</v>
      </c>
      <c r="S1525" s="103" t="s">
        <v>2476</v>
      </c>
      <c r="U1525" s="103">
        <v>410.4</v>
      </c>
      <c r="V1525" s="103" t="s">
        <v>2158</v>
      </c>
      <c r="W1525" s="103" t="s">
        <v>121</v>
      </c>
      <c r="X1525" s="103" t="s">
        <v>345</v>
      </c>
      <c r="Y1525" s="103" t="s">
        <v>2240</v>
      </c>
      <c r="AA1525" s="103" t="s">
        <v>121</v>
      </c>
      <c r="AB1525" s="103" t="s">
        <v>74</v>
      </c>
      <c r="AE1525" s="103" t="s">
        <v>1241</v>
      </c>
      <c r="AF1525" s="103" t="b">
        <v>1</v>
      </c>
    </row>
    <row r="1526" spans="1:32" hidden="1" x14ac:dyDescent="0.2">
      <c r="A1526" s="103" t="s">
        <v>1450</v>
      </c>
      <c r="B1526" s="103" t="s">
        <v>1449</v>
      </c>
      <c r="C1526" s="103" t="s">
        <v>2830</v>
      </c>
      <c r="E1526" s="103" t="s">
        <v>2472</v>
      </c>
      <c r="F1526" s="103" t="s">
        <v>2151</v>
      </c>
      <c r="G1526" s="103">
        <v>125</v>
      </c>
      <c r="H1526" s="103" t="s">
        <v>2152</v>
      </c>
      <c r="I1526" s="103" t="s">
        <v>2153</v>
      </c>
      <c r="J1526" s="103">
        <v>60</v>
      </c>
      <c r="K1526" s="103">
        <v>65</v>
      </c>
      <c r="N1526" s="103" t="s">
        <v>2163</v>
      </c>
      <c r="O1526" s="103">
        <v>125</v>
      </c>
      <c r="P1526" s="103" t="s">
        <v>1651</v>
      </c>
      <c r="R1526" s="103" t="s">
        <v>121</v>
      </c>
      <c r="S1526" s="103" t="s">
        <v>2476</v>
      </c>
      <c r="U1526" s="103">
        <v>64.125</v>
      </c>
      <c r="V1526" s="103" t="s">
        <v>2158</v>
      </c>
      <c r="W1526" s="103" t="s">
        <v>121</v>
      </c>
      <c r="X1526" s="103" t="s">
        <v>345</v>
      </c>
      <c r="Y1526" s="103" t="s">
        <v>2240</v>
      </c>
      <c r="AA1526" s="103" t="s">
        <v>121</v>
      </c>
      <c r="AB1526" s="103" t="s">
        <v>74</v>
      </c>
      <c r="AE1526" s="103" t="s">
        <v>1241</v>
      </c>
      <c r="AF1526" s="103" t="b">
        <v>1</v>
      </c>
    </row>
    <row r="1527" spans="1:32" hidden="1" x14ac:dyDescent="0.2">
      <c r="A1527" s="103" t="s">
        <v>1450</v>
      </c>
      <c r="B1527" s="103" t="s">
        <v>1449</v>
      </c>
      <c r="C1527" s="103" t="s">
        <v>2830</v>
      </c>
      <c r="E1527" s="103" t="s">
        <v>2477</v>
      </c>
      <c r="F1527" s="103" t="s">
        <v>2151</v>
      </c>
      <c r="G1527" s="103">
        <v>115</v>
      </c>
      <c r="H1527" s="103" t="s">
        <v>2152</v>
      </c>
      <c r="I1527" s="103" t="s">
        <v>2153</v>
      </c>
      <c r="J1527" s="103">
        <v>45</v>
      </c>
      <c r="K1527" s="103">
        <v>35</v>
      </c>
      <c r="L1527" s="103">
        <v>20</v>
      </c>
      <c r="M1527" s="103">
        <v>15</v>
      </c>
      <c r="N1527" s="103" t="s">
        <v>2163</v>
      </c>
      <c r="O1527" s="103">
        <v>115</v>
      </c>
      <c r="P1527" s="103" t="s">
        <v>1651</v>
      </c>
      <c r="R1527" s="103" t="s">
        <v>121</v>
      </c>
      <c r="S1527" s="103" t="s">
        <v>2476</v>
      </c>
      <c r="T1527" s="103" t="s">
        <v>3696</v>
      </c>
      <c r="U1527" s="103">
        <v>58.994999999999997</v>
      </c>
      <c r="V1527" s="103" t="s">
        <v>2158</v>
      </c>
      <c r="W1527" s="103" t="s">
        <v>121</v>
      </c>
      <c r="X1527" s="103" t="s">
        <v>345</v>
      </c>
      <c r="Y1527" s="103" t="s">
        <v>2240</v>
      </c>
      <c r="AA1527" s="103" t="s">
        <v>121</v>
      </c>
      <c r="AB1527" s="103" t="s">
        <v>74</v>
      </c>
      <c r="AE1527" s="103" t="s">
        <v>1241</v>
      </c>
      <c r="AF1527" s="103" t="b">
        <v>1</v>
      </c>
    </row>
    <row r="1528" spans="1:32" hidden="1" x14ac:dyDescent="0.2">
      <c r="A1528" s="103" t="s">
        <v>1450</v>
      </c>
      <c r="B1528" s="103" t="s">
        <v>1449</v>
      </c>
      <c r="C1528" s="103" t="s">
        <v>2830</v>
      </c>
      <c r="E1528" s="103" t="s">
        <v>2681</v>
      </c>
      <c r="F1528" s="103" t="s">
        <v>2151</v>
      </c>
      <c r="G1528" s="103">
        <v>100</v>
      </c>
      <c r="H1528" s="103" t="s">
        <v>2152</v>
      </c>
      <c r="I1528" s="103" t="s">
        <v>2153</v>
      </c>
      <c r="J1528" s="103">
        <v>30</v>
      </c>
      <c r="K1528" s="103">
        <v>40</v>
      </c>
      <c r="L1528" s="103">
        <v>15</v>
      </c>
      <c r="M1528" s="103">
        <v>15</v>
      </c>
      <c r="N1528" s="103" t="s">
        <v>2163</v>
      </c>
      <c r="O1528" s="103">
        <v>100</v>
      </c>
      <c r="P1528" s="103" t="s">
        <v>1651</v>
      </c>
      <c r="R1528" s="103" t="s">
        <v>121</v>
      </c>
      <c r="S1528" s="103" t="s">
        <v>2476</v>
      </c>
      <c r="U1528" s="103">
        <v>51.3</v>
      </c>
      <c r="V1528" s="103" t="s">
        <v>2158</v>
      </c>
      <c r="W1528" s="103" t="s">
        <v>121</v>
      </c>
      <c r="X1528" s="103" t="s">
        <v>345</v>
      </c>
      <c r="Y1528" s="103" t="s">
        <v>2240</v>
      </c>
      <c r="AA1528" s="103" t="s">
        <v>121</v>
      </c>
      <c r="AB1528" s="103" t="s">
        <v>74</v>
      </c>
      <c r="AE1528" s="103" t="s">
        <v>1241</v>
      </c>
      <c r="AF1528" s="103" t="b">
        <v>1</v>
      </c>
    </row>
    <row r="1529" spans="1:32" hidden="1" x14ac:dyDescent="0.2">
      <c r="A1529" s="103" t="s">
        <v>1450</v>
      </c>
      <c r="B1529" s="103" t="s">
        <v>1449</v>
      </c>
      <c r="C1529" s="103" t="s">
        <v>2830</v>
      </c>
      <c r="E1529" s="103" t="s">
        <v>2575</v>
      </c>
      <c r="F1529" s="103" t="s">
        <v>2202</v>
      </c>
      <c r="G1529" s="103">
        <v>200</v>
      </c>
      <c r="H1529" s="103" t="s">
        <v>2152</v>
      </c>
      <c r="I1529" s="103" t="s">
        <v>2153</v>
      </c>
      <c r="J1529" s="103">
        <v>30</v>
      </c>
      <c r="K1529" s="103">
        <v>30</v>
      </c>
      <c r="L1529" s="103">
        <v>80</v>
      </c>
      <c r="M1529" s="103">
        <v>60</v>
      </c>
      <c r="N1529" s="103" t="s">
        <v>2163</v>
      </c>
      <c r="O1529" s="103">
        <v>200</v>
      </c>
      <c r="P1529" s="103" t="s">
        <v>1651</v>
      </c>
      <c r="R1529" s="103" t="s">
        <v>121</v>
      </c>
      <c r="S1529" s="103" t="s">
        <v>2476</v>
      </c>
      <c r="T1529" s="103" t="s">
        <v>3697</v>
      </c>
      <c r="U1529" s="103">
        <v>102.6</v>
      </c>
      <c r="V1529" s="103" t="s">
        <v>2158</v>
      </c>
      <c r="W1529" s="103" t="s">
        <v>121</v>
      </c>
      <c r="X1529" s="103" t="s">
        <v>345</v>
      </c>
      <c r="Y1529" s="103" t="s">
        <v>2240</v>
      </c>
      <c r="AA1529" s="103" t="s">
        <v>121</v>
      </c>
      <c r="AB1529" s="103" t="s">
        <v>74</v>
      </c>
      <c r="AE1529" s="103" t="s">
        <v>1241</v>
      </c>
      <c r="AF1529" s="103" t="b">
        <v>1</v>
      </c>
    </row>
    <row r="1530" spans="1:32" hidden="1" x14ac:dyDescent="0.2">
      <c r="A1530" s="103" t="s">
        <v>884</v>
      </c>
      <c r="B1530" s="103" t="s">
        <v>883</v>
      </c>
      <c r="C1530" s="103" t="s">
        <v>3698</v>
      </c>
      <c r="D1530" s="103" t="s">
        <v>3699</v>
      </c>
      <c r="E1530" s="103" t="s">
        <v>2311</v>
      </c>
      <c r="F1530" s="103" t="s">
        <v>2175</v>
      </c>
      <c r="G1530" s="103">
        <v>20</v>
      </c>
      <c r="H1530" s="103" t="s">
        <v>2168</v>
      </c>
      <c r="I1530" s="103" t="s">
        <v>2153</v>
      </c>
      <c r="J1530" s="103">
        <v>10</v>
      </c>
      <c r="K1530" s="103">
        <v>10</v>
      </c>
      <c r="N1530" s="103" t="s">
        <v>2260</v>
      </c>
      <c r="O1530" s="103">
        <v>20</v>
      </c>
      <c r="P1530" s="103" t="s">
        <v>820</v>
      </c>
      <c r="Q1530" s="103" t="s">
        <v>2155</v>
      </c>
      <c r="R1530" s="103" t="s">
        <v>2220</v>
      </c>
      <c r="T1530" s="103" t="s">
        <v>3256</v>
      </c>
      <c r="U1530" s="103">
        <v>10.26</v>
      </c>
      <c r="V1530" s="103" t="s">
        <v>2262</v>
      </c>
      <c r="W1530" s="103" t="s">
        <v>108</v>
      </c>
      <c r="X1530" s="103">
        <v>0</v>
      </c>
      <c r="Y1530" s="103" t="s">
        <v>1685</v>
      </c>
      <c r="AA1530" s="103" t="s">
        <v>2220</v>
      </c>
      <c r="AB1530" s="103" t="s">
        <v>71</v>
      </c>
      <c r="AE1530" s="103" t="s">
        <v>810</v>
      </c>
      <c r="AF1530" s="103" t="b">
        <v>1</v>
      </c>
    </row>
    <row r="1531" spans="1:32" hidden="1" x14ac:dyDescent="0.2">
      <c r="A1531" s="103" t="s">
        <v>884</v>
      </c>
      <c r="B1531" s="103" t="s">
        <v>883</v>
      </c>
      <c r="C1531" s="103" t="s">
        <v>3698</v>
      </c>
      <c r="D1531" s="103" t="s">
        <v>3700</v>
      </c>
      <c r="E1531" s="103" t="s">
        <v>2311</v>
      </c>
      <c r="F1531" s="103" t="s">
        <v>2175</v>
      </c>
      <c r="G1531" s="103">
        <v>20</v>
      </c>
      <c r="H1531" s="103" t="s">
        <v>2168</v>
      </c>
      <c r="I1531" s="103">
        <v>-10</v>
      </c>
      <c r="L1531" s="103">
        <v>10</v>
      </c>
      <c r="M1531" s="103">
        <v>20</v>
      </c>
      <c r="N1531" s="103" t="s">
        <v>2260</v>
      </c>
      <c r="O1531" s="103">
        <v>30</v>
      </c>
      <c r="P1531" s="103" t="s">
        <v>820</v>
      </c>
      <c r="Q1531" s="103" t="s">
        <v>2155</v>
      </c>
      <c r="R1531" s="103" t="s">
        <v>2220</v>
      </c>
      <c r="U1531" s="103">
        <v>10.26</v>
      </c>
      <c r="V1531" s="103" t="s">
        <v>3701</v>
      </c>
      <c r="W1531" s="103" t="s">
        <v>108</v>
      </c>
      <c r="X1531" s="103">
        <v>0</v>
      </c>
      <c r="Y1531" s="103" t="s">
        <v>1685</v>
      </c>
      <c r="AA1531" s="103" t="s">
        <v>2220</v>
      </c>
      <c r="AB1531" s="103" t="s">
        <v>71</v>
      </c>
      <c r="AE1531" s="103" t="s">
        <v>810</v>
      </c>
      <c r="AF1531" s="103" t="b">
        <v>1</v>
      </c>
    </row>
    <row r="1532" spans="1:32" hidden="1" x14ac:dyDescent="0.2">
      <c r="A1532" s="103" t="s">
        <v>3829</v>
      </c>
      <c r="B1532" s="103" t="s">
        <v>1455</v>
      </c>
      <c r="C1532" s="103" t="s">
        <v>3702</v>
      </c>
      <c r="E1532" s="103" t="s">
        <v>133</v>
      </c>
      <c r="G1532" s="103">
        <v>70</v>
      </c>
      <c r="H1532" s="103" t="s">
        <v>2152</v>
      </c>
      <c r="I1532" s="103" t="s">
        <v>2153</v>
      </c>
      <c r="J1532" s="103">
        <v>70</v>
      </c>
      <c r="N1532" s="103" t="s">
        <v>2163</v>
      </c>
      <c r="O1532" s="103">
        <v>70</v>
      </c>
      <c r="P1532" s="103" t="s">
        <v>880</v>
      </c>
      <c r="Q1532" s="103" t="s">
        <v>1393</v>
      </c>
      <c r="R1532" s="103" t="s">
        <v>2164</v>
      </c>
      <c r="S1532" s="103" t="s">
        <v>2238</v>
      </c>
      <c r="U1532" s="103">
        <v>45.85</v>
      </c>
      <c r="V1532" s="103" t="s">
        <v>2158</v>
      </c>
      <c r="W1532" s="103" t="s">
        <v>133</v>
      </c>
      <c r="X1532" s="103" t="s">
        <v>345</v>
      </c>
      <c r="Y1532" s="103" t="s">
        <v>2240</v>
      </c>
      <c r="AA1532" s="103" t="s">
        <v>2164</v>
      </c>
      <c r="AB1532" s="103" t="s">
        <v>71</v>
      </c>
      <c r="AE1532" s="103" t="s">
        <v>810</v>
      </c>
      <c r="AF1532" s="103" t="b">
        <v>1</v>
      </c>
    </row>
    <row r="1533" spans="1:32" hidden="1" x14ac:dyDescent="0.2">
      <c r="A1533" s="103" t="s">
        <v>2095</v>
      </c>
      <c r="B1533" s="103" t="s">
        <v>1458</v>
      </c>
      <c r="D1533" s="103" t="s">
        <v>3703</v>
      </c>
      <c r="E1533" s="103" t="s">
        <v>2447</v>
      </c>
      <c r="F1533" s="103" t="s">
        <v>2232</v>
      </c>
      <c r="G1533" s="103">
        <v>60</v>
      </c>
      <c r="H1533" s="103" t="s">
        <v>2152</v>
      </c>
      <c r="I1533" s="103" t="s">
        <v>2153</v>
      </c>
      <c r="J1533" s="103">
        <v>60</v>
      </c>
      <c r="N1533" s="103" t="s">
        <v>2163</v>
      </c>
      <c r="O1533" s="103">
        <v>60</v>
      </c>
      <c r="P1533" s="103" t="s">
        <v>1622</v>
      </c>
      <c r="Q1533" s="103" t="s">
        <v>1393</v>
      </c>
      <c r="R1533" s="103" t="s">
        <v>121</v>
      </c>
      <c r="S1533" s="103" t="s">
        <v>2238</v>
      </c>
      <c r="U1533" s="103">
        <v>30.78</v>
      </c>
      <c r="V1533" s="103" t="s">
        <v>2158</v>
      </c>
      <c r="W1533" s="103" t="s">
        <v>121</v>
      </c>
      <c r="X1533" s="103" t="s">
        <v>345</v>
      </c>
      <c r="Y1533" s="103" t="s">
        <v>2240</v>
      </c>
      <c r="AA1533" s="103" t="s">
        <v>121</v>
      </c>
      <c r="AB1533" s="103" t="s">
        <v>71</v>
      </c>
      <c r="AE1533" s="103" t="s">
        <v>810</v>
      </c>
      <c r="AF1533" s="103" t="b">
        <v>1</v>
      </c>
    </row>
    <row r="1534" spans="1:32" hidden="1" x14ac:dyDescent="0.2">
      <c r="A1534" s="103" t="s">
        <v>1462</v>
      </c>
      <c r="B1534" s="103" t="s">
        <v>1461</v>
      </c>
      <c r="D1534" s="103" t="s">
        <v>3704</v>
      </c>
      <c r="E1534" s="103" t="s">
        <v>134</v>
      </c>
      <c r="F1534" s="103" t="s">
        <v>2202</v>
      </c>
      <c r="G1534" s="103">
        <v>200</v>
      </c>
      <c r="H1534" s="103" t="s">
        <v>2168</v>
      </c>
      <c r="I1534" s="103" t="s">
        <v>2153</v>
      </c>
      <c r="K1534" s="103">
        <v>100</v>
      </c>
      <c r="L1534" s="103">
        <v>100</v>
      </c>
      <c r="N1534" s="103" t="s">
        <v>2163</v>
      </c>
      <c r="O1534" s="103">
        <v>200</v>
      </c>
      <c r="P1534" s="103" t="s">
        <v>1622</v>
      </c>
      <c r="Q1534" s="103" t="s">
        <v>1393</v>
      </c>
      <c r="R1534" s="103" t="s">
        <v>2156</v>
      </c>
      <c r="S1534" s="103" t="s">
        <v>2192</v>
      </c>
      <c r="U1534" s="103">
        <v>226.8</v>
      </c>
      <c r="V1534" s="103" t="s">
        <v>2158</v>
      </c>
      <c r="W1534" s="103" t="s">
        <v>134</v>
      </c>
      <c r="X1534" s="103" t="s">
        <v>345</v>
      </c>
      <c r="Y1534" s="103" t="s">
        <v>2240</v>
      </c>
      <c r="AA1534" s="103" t="s">
        <v>2156</v>
      </c>
      <c r="AB1534" s="103" t="s">
        <v>68</v>
      </c>
      <c r="AC1534" s="103" t="s">
        <v>122</v>
      </c>
      <c r="AD1534" s="103" t="s">
        <v>2397</v>
      </c>
      <c r="AE1534" s="103" t="s">
        <v>750</v>
      </c>
      <c r="AF1534" s="103" t="b">
        <v>1</v>
      </c>
    </row>
    <row r="1535" spans="1:32" hidden="1" x14ac:dyDescent="0.2">
      <c r="A1535" s="103" t="s">
        <v>1472</v>
      </c>
      <c r="B1535" s="103" t="s">
        <v>1471</v>
      </c>
      <c r="C1535" s="103" t="s">
        <v>1472</v>
      </c>
      <c r="D1535" s="103" t="s">
        <v>3705</v>
      </c>
      <c r="E1535" s="103" t="s">
        <v>2601</v>
      </c>
      <c r="F1535" s="103" t="s">
        <v>2151</v>
      </c>
      <c r="G1535" s="103">
        <v>100</v>
      </c>
      <c r="H1535" s="103" t="s">
        <v>2168</v>
      </c>
      <c r="I1535" s="103" t="s">
        <v>2153</v>
      </c>
      <c r="J1535" s="103">
        <v>100</v>
      </c>
      <c r="N1535" s="103" t="s">
        <v>2163</v>
      </c>
      <c r="O1535" s="103">
        <v>100</v>
      </c>
      <c r="P1535" s="103" t="s">
        <v>1679</v>
      </c>
      <c r="Q1535" s="103" t="s">
        <v>2155</v>
      </c>
      <c r="R1535" s="103" t="s">
        <v>2225</v>
      </c>
      <c r="S1535" s="103" t="s">
        <v>2251</v>
      </c>
      <c r="U1535" s="103">
        <v>48.3</v>
      </c>
      <c r="V1535" s="103" t="s">
        <v>2158</v>
      </c>
      <c r="W1535" s="103" t="s">
        <v>106</v>
      </c>
      <c r="X1535" s="103" t="s">
        <v>345</v>
      </c>
      <c r="Y1535" s="103" t="s">
        <v>2240</v>
      </c>
      <c r="AA1535" s="103" t="s">
        <v>2225</v>
      </c>
      <c r="AB1535" s="103" t="s">
        <v>64</v>
      </c>
      <c r="AE1535" s="103" t="s">
        <v>1473</v>
      </c>
      <c r="AF1535" s="103" t="b">
        <v>1</v>
      </c>
    </row>
    <row r="1536" spans="1:32" hidden="1" x14ac:dyDescent="0.2">
      <c r="A1536" s="103" t="s">
        <v>1472</v>
      </c>
      <c r="B1536" s="103" t="s">
        <v>1471</v>
      </c>
      <c r="C1536" s="103" t="s">
        <v>2623</v>
      </c>
      <c r="D1536" s="103" t="s">
        <v>3706</v>
      </c>
      <c r="E1536" s="103" t="s">
        <v>2605</v>
      </c>
      <c r="F1536" s="103" t="s">
        <v>2162</v>
      </c>
      <c r="G1536" s="103">
        <v>50</v>
      </c>
      <c r="H1536" s="103" t="s">
        <v>2168</v>
      </c>
      <c r="I1536" s="103" t="s">
        <v>2153</v>
      </c>
      <c r="K1536" s="103">
        <v>50</v>
      </c>
      <c r="N1536" s="103" t="s">
        <v>2163</v>
      </c>
      <c r="O1536" s="103">
        <v>50</v>
      </c>
      <c r="P1536" s="103" t="s">
        <v>1679</v>
      </c>
      <c r="Q1536" s="103" t="s">
        <v>1393</v>
      </c>
      <c r="R1536" s="103" t="s">
        <v>2225</v>
      </c>
      <c r="S1536" s="103" t="s">
        <v>2251</v>
      </c>
      <c r="U1536" s="103">
        <v>24.15</v>
      </c>
      <c r="V1536" s="103" t="s">
        <v>2158</v>
      </c>
      <c r="W1536" s="103" t="s">
        <v>106</v>
      </c>
      <c r="X1536" s="103" t="s">
        <v>345</v>
      </c>
      <c r="Y1536" s="103" t="s">
        <v>2240</v>
      </c>
      <c r="AA1536" s="103" t="s">
        <v>2225</v>
      </c>
      <c r="AB1536" s="103" t="s">
        <v>64</v>
      </c>
      <c r="AE1536" s="103" t="s">
        <v>1473</v>
      </c>
      <c r="AF1536" s="103" t="b">
        <v>1</v>
      </c>
    </row>
    <row r="1537" spans="1:32" hidden="1" x14ac:dyDescent="0.2">
      <c r="A1537" s="103" t="s">
        <v>1472</v>
      </c>
      <c r="B1537" s="103" t="s">
        <v>1471</v>
      </c>
      <c r="C1537" s="103" t="s">
        <v>1472</v>
      </c>
      <c r="D1537" s="103" t="s">
        <v>3707</v>
      </c>
      <c r="E1537" s="103" t="s">
        <v>2601</v>
      </c>
      <c r="F1537" s="103" t="s">
        <v>2202</v>
      </c>
      <c r="G1537" s="103">
        <v>170</v>
      </c>
      <c r="H1537" s="103" t="s">
        <v>2152</v>
      </c>
      <c r="I1537" s="103" t="s">
        <v>2153</v>
      </c>
      <c r="K1537" s="103">
        <v>170</v>
      </c>
      <c r="N1537" s="103" t="s">
        <v>2163</v>
      </c>
      <c r="O1537" s="103">
        <v>170</v>
      </c>
      <c r="P1537" s="103" t="s">
        <v>1679</v>
      </c>
      <c r="Q1537" s="103" t="s">
        <v>1393</v>
      </c>
      <c r="R1537" s="103" t="s">
        <v>2225</v>
      </c>
      <c r="S1537" s="103" t="s">
        <v>2251</v>
      </c>
      <c r="U1537" s="103">
        <v>82.11</v>
      </c>
      <c r="V1537" s="103" t="s">
        <v>2158</v>
      </c>
      <c r="W1537" s="103" t="s">
        <v>106</v>
      </c>
      <c r="X1537" s="103" t="s">
        <v>345</v>
      </c>
      <c r="Y1537" s="103" t="s">
        <v>2240</v>
      </c>
      <c r="AA1537" s="103" t="s">
        <v>2225</v>
      </c>
      <c r="AB1537" s="103" t="s">
        <v>64</v>
      </c>
      <c r="AE1537" s="103" t="s">
        <v>1473</v>
      </c>
      <c r="AF1537" s="103" t="b">
        <v>1</v>
      </c>
    </row>
    <row r="1538" spans="1:32" hidden="1" x14ac:dyDescent="0.2">
      <c r="A1538" s="103" t="s">
        <v>1472</v>
      </c>
      <c r="B1538" s="103" t="s">
        <v>1471</v>
      </c>
      <c r="C1538" s="103" t="s">
        <v>3708</v>
      </c>
      <c r="E1538" s="103" t="s">
        <v>2195</v>
      </c>
      <c r="F1538" s="103" t="s">
        <v>2162</v>
      </c>
      <c r="G1538" s="103">
        <v>50</v>
      </c>
      <c r="H1538" s="103" t="s">
        <v>2168</v>
      </c>
      <c r="I1538" s="103" t="s">
        <v>2153</v>
      </c>
      <c r="J1538" s="103">
        <v>30</v>
      </c>
      <c r="K1538" s="103">
        <v>20</v>
      </c>
      <c r="N1538" s="103" t="s">
        <v>2163</v>
      </c>
      <c r="O1538" s="103">
        <v>50</v>
      </c>
      <c r="P1538" s="103" t="s">
        <v>771</v>
      </c>
      <c r="Q1538" s="103" t="s">
        <v>1393</v>
      </c>
      <c r="R1538" s="103" t="s">
        <v>2156</v>
      </c>
      <c r="S1538" s="103" t="s">
        <v>2157</v>
      </c>
      <c r="U1538" s="103">
        <v>25.65</v>
      </c>
      <c r="V1538" s="103" t="s">
        <v>2158</v>
      </c>
      <c r="W1538" s="103" t="s">
        <v>114</v>
      </c>
      <c r="X1538" s="103" t="s">
        <v>345</v>
      </c>
      <c r="Y1538" s="103" t="s">
        <v>2240</v>
      </c>
      <c r="AA1538" s="103" t="s">
        <v>2156</v>
      </c>
      <c r="AB1538" s="103" t="s">
        <v>64</v>
      </c>
      <c r="AC1538" s="103" t="s">
        <v>2159</v>
      </c>
      <c r="AD1538" s="103" t="s">
        <v>2203</v>
      </c>
      <c r="AE1538" s="103" t="s">
        <v>1473</v>
      </c>
      <c r="AF1538" s="103" t="b">
        <v>1</v>
      </c>
    </row>
    <row r="1539" spans="1:32" hidden="1" x14ac:dyDescent="0.2">
      <c r="A1539" s="103" t="s">
        <v>1472</v>
      </c>
      <c r="B1539" s="103" t="s">
        <v>1471</v>
      </c>
      <c r="C1539" s="103" t="s">
        <v>3709</v>
      </c>
      <c r="E1539" s="103" t="s">
        <v>2150</v>
      </c>
      <c r="F1539" s="103" t="s">
        <v>2162</v>
      </c>
      <c r="G1539" s="103">
        <v>50</v>
      </c>
      <c r="H1539" s="103" t="s">
        <v>2168</v>
      </c>
      <c r="I1539" s="103" t="s">
        <v>2153</v>
      </c>
      <c r="J1539" s="103">
        <v>30</v>
      </c>
      <c r="K1539" s="103">
        <v>20</v>
      </c>
      <c r="N1539" s="103" t="s">
        <v>2163</v>
      </c>
      <c r="O1539" s="103">
        <v>50</v>
      </c>
      <c r="P1539" s="103" t="s">
        <v>771</v>
      </c>
      <c r="Q1539" s="103" t="s">
        <v>1393</v>
      </c>
      <c r="R1539" s="103" t="s">
        <v>2156</v>
      </c>
      <c r="S1539" s="103" t="s">
        <v>2157</v>
      </c>
      <c r="U1539" s="103">
        <v>25.65</v>
      </c>
      <c r="V1539" s="103" t="s">
        <v>2158</v>
      </c>
      <c r="W1539" s="103" t="s">
        <v>114</v>
      </c>
      <c r="X1539" s="103" t="s">
        <v>345</v>
      </c>
      <c r="Y1539" s="103" t="s">
        <v>2240</v>
      </c>
      <c r="AA1539" s="103" t="s">
        <v>2156</v>
      </c>
      <c r="AB1539" s="103" t="s">
        <v>64</v>
      </c>
      <c r="AC1539" s="103" t="s">
        <v>2159</v>
      </c>
      <c r="AD1539" s="103" t="s">
        <v>2203</v>
      </c>
      <c r="AE1539" s="103" t="s">
        <v>1473</v>
      </c>
      <c r="AF1539" s="103" t="b">
        <v>1</v>
      </c>
    </row>
    <row r="1540" spans="1:32" hidden="1" x14ac:dyDescent="0.2">
      <c r="A1540" s="103" t="s">
        <v>2100</v>
      </c>
      <c r="B1540" s="103" t="s">
        <v>2099</v>
      </c>
      <c r="C1540" s="103" t="s">
        <v>3710</v>
      </c>
      <c r="E1540" s="103" t="s">
        <v>2759</v>
      </c>
      <c r="G1540" s="103">
        <v>1536</v>
      </c>
      <c r="H1540" s="103" t="s">
        <v>2152</v>
      </c>
      <c r="I1540" s="103" t="s">
        <v>2153</v>
      </c>
      <c r="J1540" s="103">
        <v>384</v>
      </c>
      <c r="K1540" s="103">
        <v>384</v>
      </c>
      <c r="L1540" s="103">
        <v>384</v>
      </c>
      <c r="M1540" s="103">
        <v>384</v>
      </c>
      <c r="N1540" s="103" t="s">
        <v>2163</v>
      </c>
      <c r="O1540" s="103">
        <v>1536</v>
      </c>
      <c r="P1540" s="103" t="s">
        <v>2739</v>
      </c>
      <c r="Q1540" s="103" t="s">
        <v>1393</v>
      </c>
      <c r="R1540" s="103" t="s">
        <v>121</v>
      </c>
      <c r="S1540" s="103" t="s">
        <v>2427</v>
      </c>
      <c r="U1540" s="103">
        <v>787.96799999999996</v>
      </c>
      <c r="V1540" s="103" t="s">
        <v>2239</v>
      </c>
      <c r="W1540" s="103" t="s">
        <v>121</v>
      </c>
      <c r="X1540" s="103" t="s">
        <v>1945</v>
      </c>
      <c r="Y1540" s="103" t="s">
        <v>1685</v>
      </c>
      <c r="AA1540" s="103" t="s">
        <v>121</v>
      </c>
      <c r="AB1540" s="103" t="s">
        <v>95</v>
      </c>
      <c r="AE1540" s="103">
        <v>0</v>
      </c>
      <c r="AF1540" s="103" t="b">
        <v>1</v>
      </c>
    </row>
    <row r="1541" spans="1:32" hidden="1" x14ac:dyDescent="0.2">
      <c r="A1541" s="103" t="s">
        <v>2100</v>
      </c>
      <c r="B1541" s="103" t="s">
        <v>2099</v>
      </c>
      <c r="C1541" s="103" t="s">
        <v>3710</v>
      </c>
      <c r="E1541" s="103" t="s">
        <v>2738</v>
      </c>
      <c r="G1541" s="103">
        <v>978</v>
      </c>
      <c r="H1541" s="103" t="s">
        <v>2152</v>
      </c>
      <c r="I1541" s="103" t="s">
        <v>2153</v>
      </c>
      <c r="J1541" s="103">
        <v>244</v>
      </c>
      <c r="K1541" s="103">
        <v>244</v>
      </c>
      <c r="L1541" s="103">
        <v>244</v>
      </c>
      <c r="M1541" s="103">
        <v>246</v>
      </c>
      <c r="N1541" s="103" t="s">
        <v>2163</v>
      </c>
      <c r="O1541" s="103">
        <v>978</v>
      </c>
      <c r="P1541" s="103" t="s">
        <v>2739</v>
      </c>
      <c r="Q1541" s="103" t="s">
        <v>1393</v>
      </c>
      <c r="R1541" s="103" t="s">
        <v>121</v>
      </c>
      <c r="S1541" s="103" t="s">
        <v>2427</v>
      </c>
      <c r="U1541" s="103">
        <v>501.714</v>
      </c>
      <c r="V1541" s="103" t="s">
        <v>2239</v>
      </c>
      <c r="W1541" s="103" t="s">
        <v>121</v>
      </c>
      <c r="X1541" s="103" t="s">
        <v>1945</v>
      </c>
      <c r="Y1541" s="103" t="s">
        <v>1685</v>
      </c>
      <c r="AA1541" s="103" t="s">
        <v>121</v>
      </c>
      <c r="AB1541" s="103" t="s">
        <v>95</v>
      </c>
      <c r="AE1541" s="103">
        <v>0</v>
      </c>
      <c r="AF1541" s="103" t="b">
        <v>1</v>
      </c>
    </row>
    <row r="1542" spans="1:32" hidden="1" x14ac:dyDescent="0.2">
      <c r="A1542" s="103" t="s">
        <v>2100</v>
      </c>
      <c r="B1542" s="103" t="s">
        <v>2099</v>
      </c>
      <c r="C1542" s="103" t="s">
        <v>3710</v>
      </c>
      <c r="D1542" s="103" t="s">
        <v>3710</v>
      </c>
      <c r="E1542" s="103" t="s">
        <v>2740</v>
      </c>
      <c r="G1542" s="103">
        <v>295</v>
      </c>
      <c r="H1542" s="103" t="s">
        <v>2152</v>
      </c>
      <c r="I1542" s="103" t="s">
        <v>2153</v>
      </c>
      <c r="J1542" s="103">
        <v>73</v>
      </c>
      <c r="K1542" s="103">
        <v>73</v>
      </c>
      <c r="L1542" s="103">
        <v>73</v>
      </c>
      <c r="M1542" s="103">
        <v>76</v>
      </c>
      <c r="N1542" s="103" t="s">
        <v>2273</v>
      </c>
      <c r="O1542" s="103">
        <v>295</v>
      </c>
      <c r="P1542" s="103" t="s">
        <v>2739</v>
      </c>
      <c r="Q1542" s="103" t="s">
        <v>1393</v>
      </c>
      <c r="R1542" s="103" t="s">
        <v>121</v>
      </c>
      <c r="S1542" s="103" t="s">
        <v>2427</v>
      </c>
      <c r="T1542" s="103" t="s">
        <v>2741</v>
      </c>
      <c r="U1542" s="103">
        <v>151.33500000000001</v>
      </c>
      <c r="V1542" s="103" t="s">
        <v>2239</v>
      </c>
      <c r="W1542" s="103" t="s">
        <v>121</v>
      </c>
      <c r="X1542" s="103" t="s">
        <v>1945</v>
      </c>
      <c r="Y1542" s="103" t="s">
        <v>1685</v>
      </c>
      <c r="AA1542" s="103" t="s">
        <v>121</v>
      </c>
      <c r="AB1542" s="103" t="s">
        <v>95</v>
      </c>
      <c r="AE1542" s="103">
        <v>0</v>
      </c>
      <c r="AF1542" s="103" t="b">
        <v>1</v>
      </c>
    </row>
    <row r="1543" spans="1:32" hidden="1" x14ac:dyDescent="0.2">
      <c r="A1543" s="103" t="s">
        <v>2100</v>
      </c>
      <c r="B1543" s="103" t="s">
        <v>2099</v>
      </c>
      <c r="C1543" s="103" t="s">
        <v>3711</v>
      </c>
      <c r="E1543" s="103" t="s">
        <v>2738</v>
      </c>
      <c r="G1543" s="103">
        <v>1410</v>
      </c>
      <c r="H1543" s="103" t="s">
        <v>2152</v>
      </c>
      <c r="I1543" s="103" t="s">
        <v>2153</v>
      </c>
      <c r="J1543" s="103">
        <v>352</v>
      </c>
      <c r="K1543" s="103">
        <v>352</v>
      </c>
      <c r="L1543" s="103">
        <v>352</v>
      </c>
      <c r="M1543" s="103">
        <v>354</v>
      </c>
      <c r="N1543" s="103" t="s">
        <v>2163</v>
      </c>
      <c r="O1543" s="103">
        <v>1410</v>
      </c>
      <c r="P1543" s="103" t="s">
        <v>2739</v>
      </c>
      <c r="Q1543" s="103" t="s">
        <v>1393</v>
      </c>
      <c r="R1543" s="103" t="s">
        <v>1638</v>
      </c>
      <c r="U1543" s="103">
        <v>723.33</v>
      </c>
      <c r="V1543" s="103" t="s">
        <v>2239</v>
      </c>
      <c r="W1543" s="103" t="s">
        <v>121</v>
      </c>
      <c r="X1543" s="103" t="s">
        <v>1945</v>
      </c>
      <c r="Y1543" s="103" t="s">
        <v>1685</v>
      </c>
      <c r="AA1543" s="103" t="s">
        <v>1638</v>
      </c>
      <c r="AB1543" s="103" t="s">
        <v>95</v>
      </c>
      <c r="AE1543" s="103">
        <v>0</v>
      </c>
      <c r="AF1543" s="103" t="b">
        <v>1</v>
      </c>
    </row>
    <row r="1544" spans="1:32" hidden="1" x14ac:dyDescent="0.2">
      <c r="A1544" s="103" t="s">
        <v>2102</v>
      </c>
      <c r="B1544" s="103" t="s">
        <v>2101</v>
      </c>
      <c r="C1544" s="103" t="s">
        <v>3711</v>
      </c>
      <c r="E1544" s="103" t="s">
        <v>2759</v>
      </c>
      <c r="G1544" s="103">
        <v>643</v>
      </c>
      <c r="H1544" s="103" t="s">
        <v>2152</v>
      </c>
      <c r="I1544" s="103" t="s">
        <v>2153</v>
      </c>
      <c r="J1544" s="103">
        <v>160</v>
      </c>
      <c r="K1544" s="103">
        <v>160</v>
      </c>
      <c r="L1544" s="103">
        <v>160</v>
      </c>
      <c r="M1544" s="103">
        <v>163</v>
      </c>
      <c r="N1544" s="103" t="s">
        <v>2163</v>
      </c>
      <c r="O1544" s="103">
        <v>643</v>
      </c>
      <c r="P1544" s="103" t="s">
        <v>2739</v>
      </c>
      <c r="Q1544" s="103" t="s">
        <v>1393</v>
      </c>
      <c r="R1544" s="103" t="s">
        <v>121</v>
      </c>
      <c r="S1544" s="103" t="s">
        <v>2427</v>
      </c>
      <c r="U1544" s="103">
        <v>329.85899999999998</v>
      </c>
      <c r="V1544" s="103" t="s">
        <v>2239</v>
      </c>
      <c r="W1544" s="103" t="s">
        <v>121</v>
      </c>
      <c r="X1544" s="103" t="s">
        <v>1945</v>
      </c>
      <c r="Y1544" s="103" t="s">
        <v>1685</v>
      </c>
      <c r="AA1544" s="103" t="s">
        <v>121</v>
      </c>
      <c r="AB1544" s="103" t="s">
        <v>95</v>
      </c>
      <c r="AE1544" s="103">
        <v>0</v>
      </c>
      <c r="AF1544" s="103" t="b">
        <v>1</v>
      </c>
    </row>
    <row r="1545" spans="1:32" hidden="1" x14ac:dyDescent="0.2">
      <c r="A1545" s="103" t="s">
        <v>2102</v>
      </c>
      <c r="B1545" s="103" t="s">
        <v>2101</v>
      </c>
      <c r="C1545" s="103" t="s">
        <v>3711</v>
      </c>
      <c r="E1545" s="103" t="s">
        <v>2738</v>
      </c>
      <c r="G1545" s="103">
        <v>404</v>
      </c>
      <c r="H1545" s="103" t="s">
        <v>2152</v>
      </c>
      <c r="I1545" s="103" t="s">
        <v>2153</v>
      </c>
      <c r="J1545" s="103">
        <v>101</v>
      </c>
      <c r="K1545" s="103">
        <v>101</v>
      </c>
      <c r="L1545" s="103">
        <v>101</v>
      </c>
      <c r="M1545" s="103">
        <v>101</v>
      </c>
      <c r="N1545" s="103" t="s">
        <v>2163</v>
      </c>
      <c r="O1545" s="103">
        <v>404</v>
      </c>
      <c r="P1545" s="103" t="s">
        <v>2739</v>
      </c>
      <c r="Q1545" s="103" t="s">
        <v>1393</v>
      </c>
      <c r="R1545" s="103" t="s">
        <v>121</v>
      </c>
      <c r="S1545" s="103" t="s">
        <v>2427</v>
      </c>
      <c r="U1545" s="103">
        <v>207.25200000000001</v>
      </c>
      <c r="V1545" s="103" t="s">
        <v>2239</v>
      </c>
      <c r="W1545" s="103" t="s">
        <v>121</v>
      </c>
      <c r="X1545" s="103" t="s">
        <v>1945</v>
      </c>
      <c r="Y1545" s="103" t="s">
        <v>1685</v>
      </c>
      <c r="AA1545" s="103" t="s">
        <v>121</v>
      </c>
      <c r="AB1545" s="103" t="s">
        <v>95</v>
      </c>
      <c r="AE1545" s="103">
        <v>0</v>
      </c>
      <c r="AF1545" s="103" t="b">
        <v>1</v>
      </c>
    </row>
    <row r="1546" spans="1:32" hidden="1" x14ac:dyDescent="0.2">
      <c r="A1546" s="103" t="s">
        <v>2102</v>
      </c>
      <c r="B1546" s="103" t="s">
        <v>2101</v>
      </c>
      <c r="D1546" s="103" t="s">
        <v>3711</v>
      </c>
      <c r="E1546" s="103" t="s">
        <v>2740</v>
      </c>
      <c r="G1546" s="103">
        <v>370</v>
      </c>
      <c r="H1546" s="103" t="s">
        <v>2152</v>
      </c>
      <c r="I1546" s="103" t="s">
        <v>2153</v>
      </c>
      <c r="J1546" s="103">
        <v>92</v>
      </c>
      <c r="K1546" s="103">
        <v>92</v>
      </c>
      <c r="L1546" s="103">
        <v>92</v>
      </c>
      <c r="M1546" s="103">
        <v>94</v>
      </c>
      <c r="N1546" s="103" t="s">
        <v>2273</v>
      </c>
      <c r="O1546" s="103">
        <v>370</v>
      </c>
      <c r="P1546" s="103" t="s">
        <v>2739</v>
      </c>
      <c r="Q1546" s="103" t="s">
        <v>1393</v>
      </c>
      <c r="R1546" s="103" t="s">
        <v>121</v>
      </c>
      <c r="S1546" s="103" t="s">
        <v>2427</v>
      </c>
      <c r="T1546" s="103" t="s">
        <v>2741</v>
      </c>
      <c r="U1546" s="103">
        <v>189.81</v>
      </c>
      <c r="V1546" s="103" t="s">
        <v>2239</v>
      </c>
      <c r="W1546" s="103" t="s">
        <v>121</v>
      </c>
      <c r="X1546" s="103" t="s">
        <v>1945</v>
      </c>
      <c r="Y1546" s="103" t="s">
        <v>1685</v>
      </c>
      <c r="AA1546" s="103" t="s">
        <v>121</v>
      </c>
      <c r="AB1546" s="103" t="s">
        <v>95</v>
      </c>
      <c r="AE1546" s="103">
        <v>0</v>
      </c>
      <c r="AF1546" s="103" t="b">
        <v>1</v>
      </c>
    </row>
    <row r="1547" spans="1:32" hidden="1" x14ac:dyDescent="0.2">
      <c r="A1547" s="103" t="s">
        <v>2102</v>
      </c>
      <c r="B1547" s="103" t="s">
        <v>2101</v>
      </c>
      <c r="C1547" s="103" t="s">
        <v>3711</v>
      </c>
      <c r="E1547" s="103" t="s">
        <v>2738</v>
      </c>
      <c r="G1547" s="103">
        <v>470</v>
      </c>
      <c r="H1547" s="103" t="s">
        <v>2152</v>
      </c>
      <c r="I1547" s="103" t="s">
        <v>2153</v>
      </c>
      <c r="J1547" s="103">
        <v>117</v>
      </c>
      <c r="K1547" s="103">
        <v>117</v>
      </c>
      <c r="L1547" s="103">
        <v>117</v>
      </c>
      <c r="M1547" s="103">
        <v>119</v>
      </c>
      <c r="N1547" s="103" t="s">
        <v>2163</v>
      </c>
      <c r="O1547" s="103">
        <v>470</v>
      </c>
      <c r="P1547" s="103" t="s">
        <v>2739</v>
      </c>
      <c r="Q1547" s="103" t="s">
        <v>1393</v>
      </c>
      <c r="R1547" s="103" t="s">
        <v>1638</v>
      </c>
      <c r="U1547" s="103">
        <v>241.11</v>
      </c>
      <c r="V1547" s="103" t="s">
        <v>2239</v>
      </c>
      <c r="W1547" s="103" t="s">
        <v>121</v>
      </c>
      <c r="X1547" s="103" t="s">
        <v>1945</v>
      </c>
      <c r="Y1547" s="103" t="s">
        <v>1685</v>
      </c>
      <c r="AA1547" s="103" t="s">
        <v>1638</v>
      </c>
      <c r="AB1547" s="103" t="s">
        <v>95</v>
      </c>
      <c r="AE1547" s="103">
        <v>0</v>
      </c>
      <c r="AF1547" s="103" t="b">
        <v>1</v>
      </c>
    </row>
    <row r="1548" spans="1:32" hidden="1" x14ac:dyDescent="0.2">
      <c r="A1548" s="103" t="s">
        <v>2102</v>
      </c>
      <c r="B1548" s="103" t="s">
        <v>2101</v>
      </c>
      <c r="D1548" s="103" t="s">
        <v>3712</v>
      </c>
      <c r="E1548" s="103" t="s">
        <v>2605</v>
      </c>
      <c r="G1548" s="103">
        <v>142</v>
      </c>
      <c r="H1548" s="103" t="s">
        <v>2152</v>
      </c>
      <c r="I1548" s="103" t="s">
        <v>2153</v>
      </c>
      <c r="J1548" s="103">
        <v>35</v>
      </c>
      <c r="K1548" s="103">
        <v>35</v>
      </c>
      <c r="L1548" s="103">
        <v>35</v>
      </c>
      <c r="M1548" s="103">
        <v>37</v>
      </c>
      <c r="N1548" s="103" t="s">
        <v>2163</v>
      </c>
      <c r="O1548" s="103">
        <v>142</v>
      </c>
      <c r="P1548" s="103" t="s">
        <v>2739</v>
      </c>
      <c r="Q1548" s="103" t="s">
        <v>1393</v>
      </c>
      <c r="R1548" s="103" t="s">
        <v>2225</v>
      </c>
      <c r="S1548" s="103" t="s">
        <v>2251</v>
      </c>
      <c r="U1548" s="103">
        <v>68.585999999999999</v>
      </c>
      <c r="V1548" s="103" t="s">
        <v>2239</v>
      </c>
      <c r="W1548" s="103" t="s">
        <v>106</v>
      </c>
      <c r="X1548" s="103" t="s">
        <v>1945</v>
      </c>
      <c r="Y1548" s="103" t="s">
        <v>1685</v>
      </c>
      <c r="AA1548" s="103" t="s">
        <v>2225</v>
      </c>
      <c r="AB1548" s="103" t="s">
        <v>95</v>
      </c>
      <c r="AE1548" s="103">
        <v>0</v>
      </c>
      <c r="AF1548" s="103" t="b">
        <v>1</v>
      </c>
    </row>
    <row r="1549" spans="1:32" hidden="1" x14ac:dyDescent="0.2">
      <c r="A1549" s="103" t="s">
        <v>2104</v>
      </c>
      <c r="B1549" s="103" t="s">
        <v>2103</v>
      </c>
      <c r="E1549" s="103" t="s">
        <v>2759</v>
      </c>
      <c r="G1549" s="103">
        <v>385</v>
      </c>
      <c r="H1549" s="103" t="s">
        <v>2152</v>
      </c>
      <c r="I1549" s="103" t="s">
        <v>2153</v>
      </c>
      <c r="J1549" s="103">
        <v>96</v>
      </c>
      <c r="K1549" s="103">
        <v>96</v>
      </c>
      <c r="L1549" s="103">
        <v>96</v>
      </c>
      <c r="M1549" s="103">
        <v>97</v>
      </c>
      <c r="N1549" s="103" t="s">
        <v>2163</v>
      </c>
      <c r="O1549" s="103">
        <v>385</v>
      </c>
      <c r="P1549" s="103" t="s">
        <v>2739</v>
      </c>
      <c r="Q1549" s="103" t="s">
        <v>2387</v>
      </c>
      <c r="R1549" s="103" t="s">
        <v>121</v>
      </c>
      <c r="S1549" s="103" t="s">
        <v>2427</v>
      </c>
      <c r="U1549" s="103">
        <v>197.505</v>
      </c>
      <c r="V1549" s="103" t="s">
        <v>2239</v>
      </c>
      <c r="W1549" s="103" t="s">
        <v>121</v>
      </c>
      <c r="X1549" s="103" t="s">
        <v>1945</v>
      </c>
      <c r="Y1549" s="103" t="s">
        <v>1685</v>
      </c>
      <c r="AA1549" s="103" t="s">
        <v>121</v>
      </c>
      <c r="AB1549" s="103" t="s">
        <v>95</v>
      </c>
      <c r="AE1549" s="103" t="s">
        <v>810</v>
      </c>
      <c r="AF1549" s="103" t="b">
        <v>1</v>
      </c>
    </row>
    <row r="1550" spans="1:32" hidden="1" x14ac:dyDescent="0.2">
      <c r="A1550" s="103" t="s">
        <v>2104</v>
      </c>
      <c r="B1550" s="103" t="s">
        <v>2103</v>
      </c>
      <c r="E1550" s="103" t="s">
        <v>2738</v>
      </c>
      <c r="G1550" s="103">
        <v>385</v>
      </c>
      <c r="H1550" s="103" t="s">
        <v>2152</v>
      </c>
      <c r="I1550" s="103" t="s">
        <v>2153</v>
      </c>
      <c r="J1550" s="103">
        <v>96</v>
      </c>
      <c r="K1550" s="103">
        <v>96</v>
      </c>
      <c r="L1550" s="103">
        <v>96</v>
      </c>
      <c r="M1550" s="103">
        <v>97</v>
      </c>
      <c r="N1550" s="103" t="s">
        <v>2163</v>
      </c>
      <c r="O1550" s="103">
        <v>385</v>
      </c>
      <c r="P1550" s="103" t="s">
        <v>2739</v>
      </c>
      <c r="Q1550" s="103" t="s">
        <v>2387</v>
      </c>
      <c r="R1550" s="103" t="s">
        <v>121</v>
      </c>
      <c r="S1550" s="103" t="s">
        <v>2427</v>
      </c>
      <c r="U1550" s="103">
        <v>197.505</v>
      </c>
      <c r="V1550" s="103" t="s">
        <v>2239</v>
      </c>
      <c r="W1550" s="103" t="s">
        <v>121</v>
      </c>
      <c r="X1550" s="103" t="s">
        <v>1945</v>
      </c>
      <c r="Y1550" s="103" t="s">
        <v>1685</v>
      </c>
      <c r="AA1550" s="103" t="s">
        <v>121</v>
      </c>
      <c r="AB1550" s="103" t="s">
        <v>95</v>
      </c>
      <c r="AE1550" s="103" t="s">
        <v>810</v>
      </c>
      <c r="AF1550" s="103" t="b">
        <v>1</v>
      </c>
    </row>
    <row r="1551" spans="1:32" hidden="1" x14ac:dyDescent="0.2">
      <c r="A1551" s="103" t="s">
        <v>2106</v>
      </c>
      <c r="B1551" s="103" t="s">
        <v>2105</v>
      </c>
      <c r="E1551" s="103" t="s">
        <v>2759</v>
      </c>
      <c r="G1551" s="103">
        <v>220</v>
      </c>
      <c r="H1551" s="103" t="s">
        <v>2152</v>
      </c>
      <c r="I1551" s="103" t="s">
        <v>2153</v>
      </c>
      <c r="J1551" s="103">
        <v>55</v>
      </c>
      <c r="K1551" s="103">
        <v>55</v>
      </c>
      <c r="L1551" s="103">
        <v>55</v>
      </c>
      <c r="M1551" s="103">
        <v>55</v>
      </c>
      <c r="N1551" s="103" t="s">
        <v>2154</v>
      </c>
      <c r="O1551" s="103">
        <v>220</v>
      </c>
      <c r="P1551" s="103" t="s">
        <v>2739</v>
      </c>
      <c r="Q1551" s="103" t="s">
        <v>2155</v>
      </c>
      <c r="R1551" s="103" t="s">
        <v>121</v>
      </c>
      <c r="S1551" s="103" t="s">
        <v>2427</v>
      </c>
      <c r="U1551" s="103">
        <v>112.86</v>
      </c>
      <c r="V1551" s="103" t="s">
        <v>2239</v>
      </c>
      <c r="W1551" s="103" t="s">
        <v>121</v>
      </c>
      <c r="X1551" s="103" t="s">
        <v>1945</v>
      </c>
      <c r="Y1551" s="103" t="s">
        <v>1685</v>
      </c>
      <c r="AA1551" s="103" t="s">
        <v>121</v>
      </c>
      <c r="AB1551" s="103" t="s">
        <v>95</v>
      </c>
      <c r="AE1551" s="103">
        <v>0</v>
      </c>
      <c r="AF1551" s="103" t="b">
        <v>1</v>
      </c>
    </row>
    <row r="1552" spans="1:32" hidden="1" x14ac:dyDescent="0.2">
      <c r="A1552" s="103" t="s">
        <v>2106</v>
      </c>
      <c r="B1552" s="103" t="s">
        <v>2105</v>
      </c>
      <c r="E1552" s="103" t="s">
        <v>2738</v>
      </c>
      <c r="G1552" s="103">
        <v>220</v>
      </c>
      <c r="H1552" s="103" t="s">
        <v>2152</v>
      </c>
      <c r="I1552" s="103" t="s">
        <v>2153</v>
      </c>
      <c r="J1552" s="103">
        <v>55</v>
      </c>
      <c r="K1552" s="103">
        <v>55</v>
      </c>
      <c r="L1552" s="103">
        <v>55</v>
      </c>
      <c r="M1552" s="103">
        <v>55</v>
      </c>
      <c r="N1552" s="103" t="s">
        <v>2154</v>
      </c>
      <c r="O1552" s="103">
        <v>220</v>
      </c>
      <c r="P1552" s="103" t="s">
        <v>2739</v>
      </c>
      <c r="Q1552" s="103" t="s">
        <v>2155</v>
      </c>
      <c r="R1552" s="103" t="s">
        <v>121</v>
      </c>
      <c r="S1552" s="103" t="s">
        <v>2427</v>
      </c>
      <c r="U1552" s="103">
        <v>112.86</v>
      </c>
      <c r="V1552" s="103" t="s">
        <v>2239</v>
      </c>
      <c r="W1552" s="103" t="s">
        <v>121</v>
      </c>
      <c r="X1552" s="103" t="s">
        <v>1945</v>
      </c>
      <c r="Y1552" s="103" t="s">
        <v>1685</v>
      </c>
      <c r="AA1552" s="103" t="s">
        <v>121</v>
      </c>
      <c r="AB1552" s="103" t="s">
        <v>95</v>
      </c>
      <c r="AE1552" s="103">
        <v>0</v>
      </c>
      <c r="AF1552" s="103" t="b">
        <v>1</v>
      </c>
    </row>
    <row r="1553" spans="1:32" hidden="1" x14ac:dyDescent="0.2">
      <c r="A1553" s="103" t="s">
        <v>2110</v>
      </c>
      <c r="B1553" s="103" t="s">
        <v>2109</v>
      </c>
      <c r="C1553" s="103" t="s">
        <v>3713</v>
      </c>
      <c r="E1553" s="103" t="s">
        <v>2759</v>
      </c>
      <c r="F1553" s="103" t="s">
        <v>2151</v>
      </c>
      <c r="G1553" s="103">
        <v>0</v>
      </c>
      <c r="H1553" s="103" t="s">
        <v>2168</v>
      </c>
      <c r="I1553" s="103" t="s">
        <v>2153</v>
      </c>
      <c r="N1553" s="103" t="s">
        <v>2163</v>
      </c>
      <c r="O1553" s="103">
        <v>0</v>
      </c>
      <c r="P1553" s="103" t="s">
        <v>771</v>
      </c>
      <c r="Q1553" s="103" t="s">
        <v>2155</v>
      </c>
      <c r="R1553" s="103" t="s">
        <v>121</v>
      </c>
      <c r="S1553" s="103" t="s">
        <v>2188</v>
      </c>
      <c r="U1553" s="103">
        <v>0</v>
      </c>
      <c r="V1553" s="103" t="s">
        <v>2158</v>
      </c>
      <c r="W1553" s="103" t="s">
        <v>121</v>
      </c>
      <c r="X1553" s="103">
        <v>0</v>
      </c>
      <c r="Y1553" s="103" t="s">
        <v>1685</v>
      </c>
      <c r="AA1553" s="103" t="s">
        <v>121</v>
      </c>
      <c r="AB1553" s="103" t="s">
        <v>95</v>
      </c>
      <c r="AC1553" s="103" t="s">
        <v>2159</v>
      </c>
      <c r="AD1553" s="103" t="s">
        <v>2203</v>
      </c>
      <c r="AE1553" s="103">
        <v>0</v>
      </c>
      <c r="AF1553" s="103" t="b">
        <v>1</v>
      </c>
    </row>
    <row r="1554" spans="1:32" hidden="1" x14ac:dyDescent="0.2">
      <c r="A1554" s="103" t="s">
        <v>1091</v>
      </c>
      <c r="B1554" s="103" t="s">
        <v>2111</v>
      </c>
      <c r="C1554" s="103" t="s">
        <v>3714</v>
      </c>
      <c r="E1554" s="103" t="s">
        <v>2759</v>
      </c>
      <c r="F1554" s="103" t="s">
        <v>2151</v>
      </c>
      <c r="G1554" s="103">
        <v>0</v>
      </c>
      <c r="H1554" s="103" t="s">
        <v>2168</v>
      </c>
      <c r="I1554" s="103" t="s">
        <v>2153</v>
      </c>
      <c r="N1554" s="103" t="s">
        <v>2163</v>
      </c>
      <c r="O1554" s="103">
        <v>0</v>
      </c>
      <c r="P1554" s="103" t="s">
        <v>771</v>
      </c>
      <c r="Q1554" s="103" t="s">
        <v>2155</v>
      </c>
      <c r="R1554" s="103" t="s">
        <v>121</v>
      </c>
      <c r="S1554" s="103" t="s">
        <v>2188</v>
      </c>
      <c r="U1554" s="103">
        <v>0</v>
      </c>
      <c r="V1554" s="103" t="s">
        <v>2158</v>
      </c>
      <c r="W1554" s="103" t="s">
        <v>121</v>
      </c>
      <c r="X1554" s="103">
        <v>0</v>
      </c>
      <c r="Y1554" s="103" t="s">
        <v>1685</v>
      </c>
      <c r="AA1554" s="103" t="s">
        <v>121</v>
      </c>
      <c r="AB1554" s="103" t="s">
        <v>95</v>
      </c>
      <c r="AC1554" s="103" t="s">
        <v>2159</v>
      </c>
      <c r="AD1554" s="103" t="s">
        <v>2203</v>
      </c>
      <c r="AE1554" s="103">
        <v>0</v>
      </c>
      <c r="AF1554" s="103" t="b">
        <v>1</v>
      </c>
    </row>
    <row r="1555" spans="1:32" hidden="1" x14ac:dyDescent="0.2">
      <c r="A1555" s="103" t="s">
        <v>1091</v>
      </c>
      <c r="B1555" s="103" t="s">
        <v>2111</v>
      </c>
      <c r="C1555" s="103" t="s">
        <v>3715</v>
      </c>
      <c r="E1555" s="103" t="s">
        <v>2759</v>
      </c>
      <c r="F1555" s="103" t="s">
        <v>2151</v>
      </c>
      <c r="G1555" s="103">
        <v>0</v>
      </c>
      <c r="H1555" s="103" t="s">
        <v>2168</v>
      </c>
      <c r="I1555" s="103" t="s">
        <v>2153</v>
      </c>
      <c r="N1555" s="103" t="s">
        <v>2163</v>
      </c>
      <c r="O1555" s="103">
        <v>0</v>
      </c>
      <c r="P1555" s="103" t="s">
        <v>771</v>
      </c>
      <c r="Q1555" s="103" t="s">
        <v>2155</v>
      </c>
      <c r="R1555" s="103" t="s">
        <v>121</v>
      </c>
      <c r="S1555" s="103" t="s">
        <v>2188</v>
      </c>
      <c r="U1555" s="103">
        <v>0</v>
      </c>
      <c r="V1555" s="103" t="s">
        <v>2158</v>
      </c>
      <c r="W1555" s="103" t="s">
        <v>121</v>
      </c>
      <c r="X1555" s="103">
        <v>0</v>
      </c>
      <c r="Y1555" s="103" t="s">
        <v>1685</v>
      </c>
      <c r="AA1555" s="103" t="s">
        <v>121</v>
      </c>
      <c r="AB1555" s="103" t="s">
        <v>95</v>
      </c>
      <c r="AC1555" s="103" t="s">
        <v>2159</v>
      </c>
      <c r="AD1555" s="103" t="s">
        <v>2203</v>
      </c>
      <c r="AE1555" s="103">
        <v>0</v>
      </c>
      <c r="AF1555" s="103" t="b">
        <v>1</v>
      </c>
    </row>
    <row r="1556" spans="1:32" hidden="1" x14ac:dyDescent="0.2">
      <c r="A1556" s="103" t="s">
        <v>763</v>
      </c>
      <c r="B1556" s="103" t="s">
        <v>2112</v>
      </c>
      <c r="C1556" s="103" t="s">
        <v>3716</v>
      </c>
      <c r="E1556" s="103" t="s">
        <v>2759</v>
      </c>
      <c r="F1556" s="103" t="s">
        <v>2151</v>
      </c>
      <c r="G1556" s="103">
        <v>0</v>
      </c>
      <c r="H1556" s="103" t="s">
        <v>2168</v>
      </c>
      <c r="I1556" s="103" t="s">
        <v>2153</v>
      </c>
      <c r="N1556" s="103" t="s">
        <v>2163</v>
      </c>
      <c r="O1556" s="103">
        <v>0</v>
      </c>
      <c r="P1556" s="103" t="s">
        <v>771</v>
      </c>
      <c r="Q1556" s="103" t="s">
        <v>2155</v>
      </c>
      <c r="R1556" s="103" t="s">
        <v>121</v>
      </c>
      <c r="S1556" s="103" t="s">
        <v>2188</v>
      </c>
      <c r="U1556" s="103">
        <v>0</v>
      </c>
      <c r="V1556" s="103" t="s">
        <v>2158</v>
      </c>
      <c r="W1556" s="103" t="s">
        <v>121</v>
      </c>
      <c r="X1556" s="103">
        <v>0</v>
      </c>
      <c r="Y1556" s="103" t="s">
        <v>1685</v>
      </c>
      <c r="AA1556" s="103" t="s">
        <v>121</v>
      </c>
      <c r="AB1556" s="103" t="s">
        <v>95</v>
      </c>
      <c r="AC1556" s="103" t="s">
        <v>2159</v>
      </c>
      <c r="AD1556" s="103" t="s">
        <v>2203</v>
      </c>
      <c r="AE1556" s="103">
        <v>0</v>
      </c>
      <c r="AF1556" s="103" t="b">
        <v>1</v>
      </c>
    </row>
    <row r="1557" spans="1:32" hidden="1" x14ac:dyDescent="0.2">
      <c r="A1557" s="103" t="s">
        <v>2114</v>
      </c>
      <c r="B1557" s="103" t="s">
        <v>2113</v>
      </c>
      <c r="C1557" s="103" t="s">
        <v>3717</v>
      </c>
      <c r="G1557" s="103">
        <v>0</v>
      </c>
      <c r="H1557" s="103" t="s">
        <v>2152</v>
      </c>
      <c r="I1557" s="103" t="s">
        <v>2153</v>
      </c>
      <c r="N1557" s="103" t="s">
        <v>2163</v>
      </c>
      <c r="O1557" s="103">
        <v>0</v>
      </c>
      <c r="P1557" s="103" t="s">
        <v>1246</v>
      </c>
      <c r="R1557" s="103">
        <v>0</v>
      </c>
      <c r="S1557" s="103" t="s">
        <v>2192</v>
      </c>
      <c r="T1557" s="103" t="s">
        <v>3718</v>
      </c>
      <c r="U1557" s="103">
        <v>0</v>
      </c>
      <c r="V1557" s="103" t="s">
        <v>2416</v>
      </c>
      <c r="W1557" s="103">
        <v>0</v>
      </c>
      <c r="X1557" s="103">
        <v>0</v>
      </c>
      <c r="Y1557" s="103" t="s">
        <v>1685</v>
      </c>
      <c r="AA1557" s="103">
        <v>0</v>
      </c>
      <c r="AB1557" s="103" t="s">
        <v>95</v>
      </c>
      <c r="AE1557" s="103">
        <v>0</v>
      </c>
      <c r="AF1557" s="103" t="b">
        <v>1</v>
      </c>
    </row>
    <row r="1558" spans="1:32" hidden="1" x14ac:dyDescent="0.2">
      <c r="A1558" s="103" t="s">
        <v>2116</v>
      </c>
      <c r="B1558" s="103" t="s">
        <v>2115</v>
      </c>
      <c r="C1558" s="103" t="s">
        <v>3719</v>
      </c>
      <c r="G1558" s="103">
        <v>0</v>
      </c>
      <c r="H1558" s="103" t="s">
        <v>2152</v>
      </c>
      <c r="I1558" s="103" t="s">
        <v>2153</v>
      </c>
      <c r="N1558" s="103" t="s">
        <v>2163</v>
      </c>
      <c r="O1558" s="103">
        <v>0</v>
      </c>
      <c r="P1558" s="103" t="s">
        <v>1246</v>
      </c>
      <c r="R1558" s="103">
        <v>0</v>
      </c>
      <c r="S1558" s="103" t="s">
        <v>2192</v>
      </c>
      <c r="T1558" s="103" t="s">
        <v>3720</v>
      </c>
      <c r="U1558" s="103">
        <v>0</v>
      </c>
      <c r="V1558" s="103" t="s">
        <v>2416</v>
      </c>
      <c r="W1558" s="103">
        <v>0</v>
      </c>
      <c r="X1558" s="103">
        <v>0</v>
      </c>
      <c r="Y1558" s="103" t="s">
        <v>1685</v>
      </c>
      <c r="AA1558" s="103">
        <v>0</v>
      </c>
      <c r="AB1558" s="103" t="s">
        <v>95</v>
      </c>
      <c r="AE1558" s="103">
        <v>0</v>
      </c>
      <c r="AF1558" s="103" t="b">
        <v>1</v>
      </c>
    </row>
    <row r="1559" spans="1:32" hidden="1" x14ac:dyDescent="0.2">
      <c r="A1559" s="103" t="s">
        <v>749</v>
      </c>
      <c r="B1559" s="103" t="s">
        <v>748</v>
      </c>
      <c r="C1559" s="103" t="s">
        <v>2834</v>
      </c>
      <c r="E1559" s="103" t="s">
        <v>128</v>
      </c>
      <c r="F1559" s="103" t="s">
        <v>2151</v>
      </c>
      <c r="G1559" s="103">
        <v>100</v>
      </c>
      <c r="H1559" s="103" t="s">
        <v>2168</v>
      </c>
      <c r="I1559" s="103" t="s">
        <v>2153</v>
      </c>
      <c r="J1559" s="103">
        <v>25</v>
      </c>
      <c r="K1559" s="103">
        <v>25</v>
      </c>
      <c r="L1559" s="103">
        <v>25</v>
      </c>
      <c r="M1559" s="103">
        <v>25</v>
      </c>
      <c r="N1559" s="103" t="s">
        <v>2163</v>
      </c>
      <c r="O1559" s="103">
        <v>100</v>
      </c>
      <c r="R1559" s="103" t="s">
        <v>2729</v>
      </c>
      <c r="U1559" s="103">
        <v>48.7</v>
      </c>
      <c r="V1559" s="103" t="s">
        <v>2158</v>
      </c>
      <c r="W1559" s="103" t="s">
        <v>128</v>
      </c>
      <c r="X1559" s="103" t="s">
        <v>1597</v>
      </c>
      <c r="Y1559" s="103" t="s">
        <v>1685</v>
      </c>
      <c r="AA1559" s="103" t="s">
        <v>2729</v>
      </c>
      <c r="AB1559" s="103" t="s">
        <v>64</v>
      </c>
      <c r="AE1559" s="103" t="s">
        <v>750</v>
      </c>
      <c r="AF1559" s="103" t="b">
        <v>1</v>
      </c>
    </row>
    <row r="1560" spans="1:32" hidden="1" x14ac:dyDescent="0.2">
      <c r="A1560" s="103" t="s">
        <v>1446</v>
      </c>
      <c r="B1560" s="103" t="s">
        <v>1445</v>
      </c>
      <c r="E1560" s="103" t="s">
        <v>127</v>
      </c>
      <c r="G1560" s="103">
        <v>24</v>
      </c>
      <c r="H1560" s="103" t="s">
        <v>2152</v>
      </c>
      <c r="I1560" s="103" t="s">
        <v>2153</v>
      </c>
      <c r="J1560" s="103">
        <v>6</v>
      </c>
      <c r="K1560" s="103">
        <v>6</v>
      </c>
      <c r="L1560" s="103">
        <v>6</v>
      </c>
      <c r="M1560" s="103">
        <v>6</v>
      </c>
      <c r="N1560" s="103" t="s">
        <v>2163</v>
      </c>
      <c r="O1560" s="103">
        <v>24</v>
      </c>
      <c r="P1560" s="103" t="s">
        <v>1706</v>
      </c>
      <c r="R1560" s="103" t="s">
        <v>2729</v>
      </c>
      <c r="U1560" s="103">
        <v>14.4</v>
      </c>
      <c r="V1560" s="103" t="s">
        <v>2158</v>
      </c>
      <c r="W1560" s="103" t="s">
        <v>127</v>
      </c>
      <c r="X1560" s="103" t="s">
        <v>345</v>
      </c>
      <c r="Y1560" s="103" t="s">
        <v>2240</v>
      </c>
      <c r="AA1560" s="103" t="s">
        <v>2729</v>
      </c>
      <c r="AB1560" s="103" t="s">
        <v>74</v>
      </c>
      <c r="AE1560" s="103" t="s">
        <v>1241</v>
      </c>
      <c r="AF1560" s="103" t="b">
        <v>1</v>
      </c>
    </row>
    <row r="1561" spans="1:32" hidden="1" x14ac:dyDescent="0.2">
      <c r="A1561" s="103" t="s">
        <v>1446</v>
      </c>
      <c r="B1561" s="103" t="s">
        <v>1445</v>
      </c>
      <c r="E1561" s="103" t="s">
        <v>128</v>
      </c>
      <c r="G1561" s="103">
        <v>40</v>
      </c>
      <c r="H1561" s="103" t="s">
        <v>2152</v>
      </c>
      <c r="I1561" s="103" t="s">
        <v>2153</v>
      </c>
      <c r="J1561" s="103">
        <v>10</v>
      </c>
      <c r="K1561" s="103">
        <v>10</v>
      </c>
      <c r="L1561" s="103">
        <v>10</v>
      </c>
      <c r="M1561" s="103">
        <v>10</v>
      </c>
      <c r="N1561" s="103" t="s">
        <v>2163</v>
      </c>
      <c r="O1561" s="103">
        <v>40</v>
      </c>
      <c r="P1561" s="103" t="s">
        <v>1706</v>
      </c>
      <c r="R1561" s="103" t="s">
        <v>2729</v>
      </c>
      <c r="U1561" s="103">
        <v>19.48</v>
      </c>
      <c r="V1561" s="103" t="s">
        <v>2158</v>
      </c>
      <c r="W1561" s="103" t="s">
        <v>128</v>
      </c>
      <c r="X1561" s="103" t="s">
        <v>345</v>
      </c>
      <c r="Y1561" s="103" t="s">
        <v>2240</v>
      </c>
      <c r="AA1561" s="103" t="s">
        <v>2729</v>
      </c>
      <c r="AB1561" s="103" t="s">
        <v>74</v>
      </c>
      <c r="AE1561" s="103" t="s">
        <v>1241</v>
      </c>
      <c r="AF1561" s="103" t="b">
        <v>1</v>
      </c>
    </row>
    <row r="1562" spans="1:32" hidden="1" x14ac:dyDescent="0.2">
      <c r="A1562" s="103" t="s">
        <v>1446</v>
      </c>
      <c r="B1562" s="103" t="s">
        <v>1445</v>
      </c>
      <c r="E1562" s="103" t="s">
        <v>129</v>
      </c>
      <c r="G1562" s="103">
        <v>30</v>
      </c>
      <c r="H1562" s="103" t="s">
        <v>2152</v>
      </c>
      <c r="I1562" s="103" t="s">
        <v>2153</v>
      </c>
      <c r="J1562" s="103">
        <v>8</v>
      </c>
      <c r="K1562" s="103">
        <v>7</v>
      </c>
      <c r="L1562" s="103">
        <v>8</v>
      </c>
      <c r="M1562" s="103">
        <v>7</v>
      </c>
      <c r="N1562" s="103" t="s">
        <v>2163</v>
      </c>
      <c r="O1562" s="103">
        <v>30</v>
      </c>
      <c r="P1562" s="103" t="s">
        <v>1706</v>
      </c>
      <c r="R1562" s="103" t="s">
        <v>2729</v>
      </c>
      <c r="U1562" s="103">
        <v>15.39</v>
      </c>
      <c r="V1562" s="103" t="s">
        <v>2158</v>
      </c>
      <c r="W1562" s="103" t="s">
        <v>129</v>
      </c>
      <c r="X1562" s="103" t="s">
        <v>345</v>
      </c>
      <c r="Y1562" s="103" t="s">
        <v>2240</v>
      </c>
      <c r="AA1562" s="103" t="s">
        <v>2729</v>
      </c>
      <c r="AB1562" s="103" t="s">
        <v>74</v>
      </c>
      <c r="AE1562" s="103" t="s">
        <v>1241</v>
      </c>
      <c r="AF1562" s="103" t="b">
        <v>1</v>
      </c>
    </row>
    <row r="1563" spans="1:32" x14ac:dyDescent="0.2">
      <c r="A1563" s="103" t="s">
        <v>605</v>
      </c>
      <c r="B1563" s="103" t="s">
        <v>3863</v>
      </c>
      <c r="E1563" s="103" t="s">
        <v>130</v>
      </c>
      <c r="G1563" s="103">
        <v>61</v>
      </c>
      <c r="H1563" s="103" t="s">
        <v>2152</v>
      </c>
      <c r="I1563" s="103" t="s">
        <v>2153</v>
      </c>
      <c r="J1563" s="103">
        <v>15</v>
      </c>
      <c r="K1563" s="103">
        <v>15</v>
      </c>
      <c r="L1563" s="103">
        <v>15</v>
      </c>
      <c r="M1563" s="103">
        <v>16</v>
      </c>
      <c r="N1563" s="103" t="s">
        <v>2163</v>
      </c>
      <c r="O1563" s="103">
        <v>61</v>
      </c>
      <c r="P1563" s="103" t="s">
        <v>1686</v>
      </c>
      <c r="R1563" s="103" t="s">
        <v>3721</v>
      </c>
      <c r="U1563" s="103">
        <v>36.6</v>
      </c>
      <c r="V1563" s="103" t="s">
        <v>2158</v>
      </c>
      <c r="W1563" s="103" t="s">
        <v>130</v>
      </c>
      <c r="X1563" s="103" t="s">
        <v>1736</v>
      </c>
      <c r="Y1563" s="103" t="s">
        <v>3848</v>
      </c>
      <c r="AA1563" s="103" t="s">
        <v>3721</v>
      </c>
      <c r="AB1563" s="103" t="s">
        <v>95</v>
      </c>
      <c r="AE1563" s="103">
        <v>0</v>
      </c>
      <c r="AF1563" s="103" t="b">
        <v>1</v>
      </c>
    </row>
    <row r="1564" spans="1:32" x14ac:dyDescent="0.2">
      <c r="A1564" s="103" t="s">
        <v>605</v>
      </c>
      <c r="B1564" s="103" t="s">
        <v>3863</v>
      </c>
      <c r="E1564" s="103" t="s">
        <v>131</v>
      </c>
      <c r="G1564" s="103">
        <v>18</v>
      </c>
      <c r="H1564" s="103" t="s">
        <v>2152</v>
      </c>
      <c r="I1564" s="103" t="s">
        <v>2153</v>
      </c>
      <c r="J1564" s="103">
        <v>4</v>
      </c>
      <c r="K1564" s="103">
        <v>5</v>
      </c>
      <c r="L1564" s="103">
        <v>4</v>
      </c>
      <c r="M1564" s="103">
        <v>5</v>
      </c>
      <c r="N1564" s="103" t="s">
        <v>2163</v>
      </c>
      <c r="O1564" s="103">
        <v>18</v>
      </c>
      <c r="P1564" s="103" t="s">
        <v>1686</v>
      </c>
      <c r="R1564" s="103" t="s">
        <v>3721</v>
      </c>
      <c r="U1564" s="103">
        <v>18</v>
      </c>
      <c r="V1564" s="103" t="s">
        <v>2158</v>
      </c>
      <c r="W1564" s="103" t="s">
        <v>131</v>
      </c>
      <c r="X1564" s="103" t="s">
        <v>1736</v>
      </c>
      <c r="Y1564" s="103" t="s">
        <v>3848</v>
      </c>
      <c r="AA1564" s="103" t="s">
        <v>3721</v>
      </c>
      <c r="AB1564" s="103" t="s">
        <v>95</v>
      </c>
      <c r="AE1564" s="103">
        <v>0</v>
      </c>
      <c r="AF1564" s="103" t="b">
        <v>1</v>
      </c>
    </row>
    <row r="1565" spans="1:32" hidden="1" x14ac:dyDescent="0.2">
      <c r="A1565" s="103" t="s">
        <v>3833</v>
      </c>
      <c r="B1565" s="103" t="s">
        <v>3832</v>
      </c>
      <c r="E1565" s="103" t="s">
        <v>2605</v>
      </c>
      <c r="G1565" s="103">
        <v>10</v>
      </c>
      <c r="H1565" s="103" t="s">
        <v>2152</v>
      </c>
      <c r="I1565" s="103" t="s">
        <v>2153</v>
      </c>
      <c r="J1565" s="103">
        <v>2</v>
      </c>
      <c r="K1565" s="103">
        <v>3</v>
      </c>
      <c r="L1565" s="103">
        <v>2</v>
      </c>
      <c r="M1565" s="103">
        <v>3</v>
      </c>
      <c r="N1565" s="103" t="s">
        <v>2163</v>
      </c>
      <c r="O1565" s="103">
        <v>10</v>
      </c>
      <c r="P1565" s="103" t="s">
        <v>758</v>
      </c>
      <c r="Q1565" s="103" t="s">
        <v>2155</v>
      </c>
      <c r="R1565" s="103" t="s">
        <v>2225</v>
      </c>
      <c r="U1565" s="103">
        <v>4.83</v>
      </c>
      <c r="V1565" s="103" t="s">
        <v>2158</v>
      </c>
      <c r="W1565" s="103" t="s">
        <v>106</v>
      </c>
      <c r="X1565" s="103" t="s">
        <v>1597</v>
      </c>
      <c r="Y1565" s="103" t="s">
        <v>1685</v>
      </c>
      <c r="AA1565" s="103" t="s">
        <v>2225</v>
      </c>
      <c r="AB1565" s="103" t="s">
        <v>64</v>
      </c>
      <c r="AE1565" s="103" t="s">
        <v>750</v>
      </c>
      <c r="AF1565" s="103" t="b">
        <v>1</v>
      </c>
    </row>
    <row r="1566" spans="1:32" hidden="1" x14ac:dyDescent="0.2">
      <c r="A1566" s="103" t="s">
        <v>3833</v>
      </c>
      <c r="B1566" s="103" t="s">
        <v>3832</v>
      </c>
      <c r="E1566" s="103" t="s">
        <v>2495</v>
      </c>
      <c r="G1566" s="103">
        <v>110</v>
      </c>
      <c r="H1566" s="103" t="s">
        <v>2152</v>
      </c>
      <c r="I1566" s="103" t="s">
        <v>2153</v>
      </c>
      <c r="J1566" s="103">
        <v>30</v>
      </c>
      <c r="K1566" s="103">
        <v>30</v>
      </c>
      <c r="L1566" s="103">
        <v>30</v>
      </c>
      <c r="M1566" s="103">
        <v>20</v>
      </c>
      <c r="N1566" s="103" t="s">
        <v>2163</v>
      </c>
      <c r="O1566" s="103">
        <v>110</v>
      </c>
      <c r="P1566" s="103" t="s">
        <v>758</v>
      </c>
      <c r="Q1566" s="103" t="s">
        <v>2155</v>
      </c>
      <c r="R1566" s="103" t="s">
        <v>2225</v>
      </c>
      <c r="U1566" s="103">
        <v>56.43</v>
      </c>
      <c r="V1566" s="103" t="s">
        <v>2158</v>
      </c>
      <c r="W1566" s="103" t="s">
        <v>117</v>
      </c>
      <c r="X1566" s="103" t="s">
        <v>1597</v>
      </c>
      <c r="Y1566" s="103" t="s">
        <v>1685</v>
      </c>
      <c r="AA1566" s="103" t="s">
        <v>2225</v>
      </c>
      <c r="AB1566" s="103" t="s">
        <v>64</v>
      </c>
      <c r="AE1566" s="103" t="s">
        <v>750</v>
      </c>
      <c r="AF1566" s="103" t="b">
        <v>1</v>
      </c>
    </row>
  </sheetData>
  <autoFilter ref="A1:AF1566" xr:uid="{D25CC7CD-8812-4288-9553-CE9092C3EE2A}">
    <filterColumn colId="21">
      <filters>
        <filter val="Yes!"/>
      </filters>
    </filterColumn>
    <filterColumn colId="22">
      <filters>
        <filter val="BELCCSWL"/>
        <filter val="CHECCSSPS"/>
      </filters>
    </filterColumn>
  </autoFilter>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989BA-B11C-473A-BB81-3FF62FFF72D9}">
  <sheetPr>
    <tabColor rgb="FFFFC000"/>
  </sheetPr>
  <dimension ref="A1:H49"/>
  <sheetViews>
    <sheetView topLeftCell="A25" workbookViewId="0">
      <selection sqref="A1:G49"/>
    </sheetView>
  </sheetViews>
  <sheetFormatPr baseColWidth="10" defaultColWidth="11" defaultRowHeight="14.25" x14ac:dyDescent="0.2"/>
  <cols>
    <col min="1" max="1" customWidth="true" style="103" width="24.875" collapsed="false"/>
    <col min="2" max="2" customWidth="true" style="103" width="35.75" collapsed="false"/>
    <col min="3" max="7" style="103" width="11.0" collapsed="false"/>
  </cols>
  <sheetData>
    <row r="1" spans="1:8" x14ac:dyDescent="0.2">
      <c r="A1" s="119" t="s">
        <v>3857</v>
      </c>
      <c r="B1" s="119" t="s">
        <v>3858</v>
      </c>
      <c r="C1" s="119" t="s">
        <v>39</v>
      </c>
      <c r="D1" s="119" t="s">
        <v>3859</v>
      </c>
      <c r="E1" s="119" t="s">
        <v>3860</v>
      </c>
      <c r="F1" s="119" t="s">
        <v>2132</v>
      </c>
      <c r="G1" s="119" t="s">
        <v>1591</v>
      </c>
      <c r="H1" s="119" t="s">
        <v>3722</v>
      </c>
    </row>
    <row r="2" spans="1:8" ht="15" x14ac:dyDescent="0.25">
      <c r="A2" s="103" t="s">
        <v>1612</v>
      </c>
      <c r="B2" s="103" t="s">
        <v>330</v>
      </c>
      <c r="C2" s="103" t="s">
        <v>3723</v>
      </c>
      <c r="D2" s="103">
        <v>30</v>
      </c>
      <c r="F2" s="103" t="s">
        <v>774</v>
      </c>
      <c r="H2" s="120">
        <f t="shared" ref="H2:H49" si="0">D2+E2</f>
        <v>30</v>
      </c>
    </row>
    <row r="3" spans="1:8" ht="15" x14ac:dyDescent="0.25">
      <c r="A3" s="103" t="s">
        <v>1612</v>
      </c>
      <c r="B3" s="103" t="s">
        <v>330</v>
      </c>
      <c r="C3" s="103" t="s">
        <v>3724</v>
      </c>
      <c r="D3" s="103">
        <v>61</v>
      </c>
      <c r="F3" s="103" t="s">
        <v>1639</v>
      </c>
      <c r="G3" s="103" t="s">
        <v>3725</v>
      </c>
      <c r="H3" s="120">
        <f t="shared" si="0"/>
        <v>61</v>
      </c>
    </row>
    <row r="4" spans="1:8" ht="15" x14ac:dyDescent="0.25">
      <c r="A4" s="103" t="s">
        <v>1612</v>
      </c>
      <c r="B4" s="103" t="s">
        <v>330</v>
      </c>
      <c r="C4" s="103" t="s">
        <v>3726</v>
      </c>
      <c r="D4" s="103">
        <v>40</v>
      </c>
      <c r="F4" s="103" t="s">
        <v>1639</v>
      </c>
      <c r="G4" s="103" t="s">
        <v>3727</v>
      </c>
      <c r="H4" s="120">
        <f t="shared" si="0"/>
        <v>40</v>
      </c>
    </row>
    <row r="5" spans="1:8" ht="15" x14ac:dyDescent="0.25">
      <c r="A5" s="103" t="s">
        <v>1612</v>
      </c>
      <c r="B5" s="103" t="s">
        <v>330</v>
      </c>
      <c r="C5" s="103" t="s">
        <v>3728</v>
      </c>
      <c r="D5" s="103">
        <v>100</v>
      </c>
      <c r="F5" s="103" t="s">
        <v>1567</v>
      </c>
      <c r="H5" s="120">
        <f t="shared" si="0"/>
        <v>100</v>
      </c>
    </row>
    <row r="6" spans="1:8" ht="15" x14ac:dyDescent="0.25">
      <c r="A6" s="103" t="s">
        <v>1612</v>
      </c>
      <c r="B6" s="103" t="s">
        <v>330</v>
      </c>
      <c r="C6" s="103" t="s">
        <v>3729</v>
      </c>
      <c r="E6" s="103">
        <v>10</v>
      </c>
      <c r="F6" s="103" t="s">
        <v>3730</v>
      </c>
      <c r="H6" s="120">
        <f t="shared" si="0"/>
        <v>10</v>
      </c>
    </row>
    <row r="7" spans="1:8" ht="15" x14ac:dyDescent="0.25">
      <c r="A7" s="103" t="s">
        <v>3862</v>
      </c>
      <c r="B7" s="103" t="s">
        <v>365</v>
      </c>
      <c r="C7" s="103" t="s">
        <v>3731</v>
      </c>
      <c r="D7" s="103">
        <v>80</v>
      </c>
      <c r="E7" s="103">
        <v>0</v>
      </c>
      <c r="F7" s="103" t="s">
        <v>771</v>
      </c>
      <c r="H7" s="120">
        <f t="shared" si="0"/>
        <v>80</v>
      </c>
    </row>
    <row r="8" spans="1:8" ht="15" x14ac:dyDescent="0.25">
      <c r="A8" s="103" t="s">
        <v>3862</v>
      </c>
      <c r="B8" s="103" t="s">
        <v>365</v>
      </c>
      <c r="C8" s="103" t="s">
        <v>3732</v>
      </c>
      <c r="D8" s="103">
        <v>10</v>
      </c>
      <c r="E8" s="103">
        <v>0</v>
      </c>
      <c r="F8" s="103" t="s">
        <v>771</v>
      </c>
      <c r="H8" s="120">
        <f t="shared" si="0"/>
        <v>10</v>
      </c>
    </row>
    <row r="9" spans="1:8" ht="15" x14ac:dyDescent="0.25">
      <c r="A9" s="103" t="s">
        <v>3862</v>
      </c>
      <c r="B9" s="103" t="s">
        <v>365</v>
      </c>
      <c r="C9" s="103" t="s">
        <v>3733</v>
      </c>
      <c r="D9" s="103">
        <v>10</v>
      </c>
      <c r="F9" s="103" t="s">
        <v>771</v>
      </c>
      <c r="H9" s="120">
        <f t="shared" si="0"/>
        <v>10</v>
      </c>
    </row>
    <row r="10" spans="1:8" ht="15" x14ac:dyDescent="0.25">
      <c r="A10" s="103" t="s">
        <v>3862</v>
      </c>
      <c r="B10" s="103" t="s">
        <v>365</v>
      </c>
      <c r="C10" s="103" t="s">
        <v>3734</v>
      </c>
      <c r="D10" s="103">
        <v>230</v>
      </c>
      <c r="F10" s="103" t="s">
        <v>771</v>
      </c>
      <c r="G10" s="103" t="s">
        <v>3735</v>
      </c>
      <c r="H10" s="120">
        <f t="shared" si="0"/>
        <v>230</v>
      </c>
    </row>
    <row r="11" spans="1:8" ht="15" x14ac:dyDescent="0.25">
      <c r="A11" s="103" t="s">
        <v>1630</v>
      </c>
      <c r="B11" s="103" t="s">
        <v>366</v>
      </c>
      <c r="C11" s="103" t="s">
        <v>3736</v>
      </c>
      <c r="D11" s="103">
        <v>100</v>
      </c>
      <c r="F11" s="103" t="s">
        <v>771</v>
      </c>
      <c r="H11" s="120">
        <f t="shared" si="0"/>
        <v>100</v>
      </c>
    </row>
    <row r="12" spans="1:8" ht="15" x14ac:dyDescent="0.25">
      <c r="A12" s="103" t="s">
        <v>1630</v>
      </c>
      <c r="B12" s="103" t="s">
        <v>366</v>
      </c>
      <c r="C12" s="103" t="s">
        <v>3729</v>
      </c>
      <c r="D12" s="103">
        <v>20</v>
      </c>
      <c r="F12" s="103" t="s">
        <v>771</v>
      </c>
      <c r="G12" s="103" t="s">
        <v>3737</v>
      </c>
      <c r="H12" s="120">
        <f t="shared" si="0"/>
        <v>20</v>
      </c>
    </row>
    <row r="13" spans="1:8" ht="15" x14ac:dyDescent="0.25">
      <c r="A13" s="103" t="s">
        <v>3812</v>
      </c>
      <c r="B13" s="103" t="s">
        <v>3813</v>
      </c>
      <c r="C13" s="103" t="s">
        <v>3738</v>
      </c>
      <c r="E13" s="103">
        <v>40</v>
      </c>
      <c r="F13" s="103" t="s">
        <v>1232</v>
      </c>
      <c r="H13" s="120">
        <f t="shared" si="0"/>
        <v>40</v>
      </c>
    </row>
    <row r="14" spans="1:8" ht="15" x14ac:dyDescent="0.25">
      <c r="A14" s="103" t="s">
        <v>1664</v>
      </c>
      <c r="B14" s="103" t="s">
        <v>507</v>
      </c>
      <c r="C14" s="103" t="s">
        <v>3739</v>
      </c>
      <c r="D14" s="103">
        <v>30</v>
      </c>
      <c r="F14" s="103" t="s">
        <v>1679</v>
      </c>
      <c r="H14" s="120">
        <f t="shared" si="0"/>
        <v>30</v>
      </c>
    </row>
    <row r="15" spans="1:8" ht="15" x14ac:dyDescent="0.25">
      <c r="A15" s="103" t="s">
        <v>1696</v>
      </c>
      <c r="B15" s="103" t="s">
        <v>630</v>
      </c>
      <c r="E15" s="103">
        <v>50</v>
      </c>
      <c r="F15" s="103" t="s">
        <v>1697</v>
      </c>
      <c r="H15" s="120">
        <f t="shared" si="0"/>
        <v>50</v>
      </c>
    </row>
    <row r="16" spans="1:8" ht="15" x14ac:dyDescent="0.25">
      <c r="A16" s="103" t="s">
        <v>1704</v>
      </c>
      <c r="B16" s="103" t="s">
        <v>659</v>
      </c>
      <c r="C16" s="103" t="s">
        <v>3740</v>
      </c>
      <c r="E16" s="103">
        <v>200</v>
      </c>
      <c r="F16" s="103" t="s">
        <v>3730</v>
      </c>
      <c r="H16" s="120">
        <f t="shared" si="0"/>
        <v>200</v>
      </c>
    </row>
    <row r="17" spans="1:8" ht="15" x14ac:dyDescent="0.25">
      <c r="A17" s="103" t="s">
        <v>1704</v>
      </c>
      <c r="B17" s="103" t="s">
        <v>659</v>
      </c>
      <c r="C17" s="103" t="s">
        <v>3741</v>
      </c>
      <c r="D17" s="103">
        <v>400</v>
      </c>
      <c r="F17" s="103" t="s">
        <v>3730</v>
      </c>
      <c r="H17" s="120">
        <f t="shared" si="0"/>
        <v>400</v>
      </c>
    </row>
    <row r="18" spans="1:8" ht="15" x14ac:dyDescent="0.25">
      <c r="A18" s="103" t="s">
        <v>397</v>
      </c>
      <c r="B18" s="103" t="s">
        <v>398</v>
      </c>
      <c r="C18" s="103" t="s">
        <v>3742</v>
      </c>
      <c r="E18" s="103">
        <v>100</v>
      </c>
      <c r="F18" s="103" t="s">
        <v>774</v>
      </c>
      <c r="G18" s="103" t="s">
        <v>3743</v>
      </c>
      <c r="H18" s="120">
        <f t="shared" si="0"/>
        <v>100</v>
      </c>
    </row>
    <row r="19" spans="1:8" ht="15" x14ac:dyDescent="0.25">
      <c r="A19" s="103" t="s">
        <v>418</v>
      </c>
      <c r="B19" s="103" t="s">
        <v>419</v>
      </c>
      <c r="C19" s="103" t="s">
        <v>3744</v>
      </c>
      <c r="D19" s="103">
        <v>50</v>
      </c>
      <c r="F19" s="103" t="s">
        <v>1059</v>
      </c>
      <c r="H19" s="120">
        <f t="shared" si="0"/>
        <v>50</v>
      </c>
    </row>
    <row r="20" spans="1:8" ht="15" x14ac:dyDescent="0.25">
      <c r="A20" s="103" t="s">
        <v>447</v>
      </c>
      <c r="B20" s="103" t="s">
        <v>448</v>
      </c>
      <c r="C20" s="103" t="s">
        <v>3745</v>
      </c>
      <c r="E20" s="103">
        <v>30</v>
      </c>
      <c r="F20" s="103" t="s">
        <v>774</v>
      </c>
      <c r="G20" s="103" t="s">
        <v>3743</v>
      </c>
      <c r="H20" s="120">
        <f t="shared" si="0"/>
        <v>30</v>
      </c>
    </row>
    <row r="21" spans="1:8" ht="15" x14ac:dyDescent="0.25">
      <c r="A21" s="103" t="s">
        <v>620</v>
      </c>
      <c r="B21" s="103" t="s">
        <v>621</v>
      </c>
      <c r="C21" s="103" t="s">
        <v>3746</v>
      </c>
      <c r="E21" s="103">
        <v>75</v>
      </c>
      <c r="F21" s="103" t="s">
        <v>1232</v>
      </c>
      <c r="H21" s="120">
        <f t="shared" si="0"/>
        <v>75</v>
      </c>
    </row>
    <row r="22" spans="1:8" ht="15" x14ac:dyDescent="0.25">
      <c r="A22" s="103" t="s">
        <v>657</v>
      </c>
      <c r="B22" s="103" t="s">
        <v>658</v>
      </c>
      <c r="C22" s="103" t="s">
        <v>3747</v>
      </c>
      <c r="D22" s="103">
        <v>50</v>
      </c>
      <c r="F22" s="103" t="s">
        <v>1059</v>
      </c>
      <c r="H22" s="120">
        <f t="shared" si="0"/>
        <v>50</v>
      </c>
    </row>
    <row r="23" spans="1:8" ht="15" x14ac:dyDescent="0.25">
      <c r="A23" s="103" t="s">
        <v>692</v>
      </c>
      <c r="B23" s="103" t="s">
        <v>693</v>
      </c>
      <c r="C23" s="103" t="s">
        <v>3748</v>
      </c>
      <c r="D23" s="103">
        <v>25</v>
      </c>
      <c r="F23" s="103" t="s">
        <v>1679</v>
      </c>
      <c r="H23" s="120">
        <f t="shared" si="0"/>
        <v>25</v>
      </c>
    </row>
    <row r="24" spans="1:8" ht="15" x14ac:dyDescent="0.25">
      <c r="A24" s="103" t="s">
        <v>382</v>
      </c>
      <c r="B24" s="103" t="s">
        <v>383</v>
      </c>
      <c r="C24" s="103" t="s">
        <v>3749</v>
      </c>
      <c r="D24" s="103">
        <v>300</v>
      </c>
      <c r="F24" s="103" t="s">
        <v>1059</v>
      </c>
      <c r="H24" s="120">
        <f t="shared" si="0"/>
        <v>300</v>
      </c>
    </row>
    <row r="25" spans="1:8" ht="15" x14ac:dyDescent="0.25">
      <c r="A25" s="103" t="s">
        <v>1752</v>
      </c>
      <c r="B25" s="103" t="s">
        <v>1548</v>
      </c>
      <c r="C25" s="103" t="s">
        <v>3750</v>
      </c>
      <c r="E25" s="103">
        <v>242</v>
      </c>
      <c r="F25" s="103" t="s">
        <v>1617</v>
      </c>
      <c r="H25" s="120">
        <f t="shared" si="0"/>
        <v>242</v>
      </c>
    </row>
    <row r="26" spans="1:8" ht="15" x14ac:dyDescent="0.25">
      <c r="A26" s="103" t="s">
        <v>1753</v>
      </c>
      <c r="B26" s="103" t="s">
        <v>1549</v>
      </c>
      <c r="C26" s="103" t="s">
        <v>3751</v>
      </c>
      <c r="E26" s="103">
        <v>55</v>
      </c>
      <c r="F26" s="103" t="s">
        <v>3752</v>
      </c>
      <c r="G26" s="103" t="s">
        <v>3753</v>
      </c>
      <c r="H26" s="120">
        <f t="shared" si="0"/>
        <v>55</v>
      </c>
    </row>
    <row r="27" spans="1:8" ht="15" x14ac:dyDescent="0.25">
      <c r="A27" s="103" t="s">
        <v>1753</v>
      </c>
      <c r="B27" s="103" t="s">
        <v>1549</v>
      </c>
      <c r="C27" s="103" t="s">
        <v>3754</v>
      </c>
      <c r="E27" s="103">
        <v>100</v>
      </c>
      <c r="F27" s="103" t="s">
        <v>3752</v>
      </c>
      <c r="G27" s="103" t="s">
        <v>3755</v>
      </c>
      <c r="H27" s="120">
        <f t="shared" si="0"/>
        <v>100</v>
      </c>
    </row>
    <row r="28" spans="1:8" ht="15" x14ac:dyDescent="0.25">
      <c r="A28" s="103" t="s">
        <v>1753</v>
      </c>
      <c r="B28" s="103" t="s">
        <v>1549</v>
      </c>
      <c r="C28" s="103" t="s">
        <v>3756</v>
      </c>
      <c r="E28" s="103">
        <v>21</v>
      </c>
      <c r="F28" s="103" t="s">
        <v>774</v>
      </c>
      <c r="H28" s="120">
        <f t="shared" si="0"/>
        <v>21</v>
      </c>
    </row>
    <row r="29" spans="1:8" ht="15" x14ac:dyDescent="0.25">
      <c r="A29" s="103" t="s">
        <v>1753</v>
      </c>
      <c r="B29" s="103" t="s">
        <v>1549</v>
      </c>
      <c r="C29" s="103" t="s">
        <v>3757</v>
      </c>
      <c r="E29" s="103">
        <v>125</v>
      </c>
      <c r="F29" s="103" t="s">
        <v>1617</v>
      </c>
      <c r="H29" s="120">
        <f t="shared" si="0"/>
        <v>125</v>
      </c>
    </row>
    <row r="30" spans="1:8" ht="15" x14ac:dyDescent="0.25">
      <c r="A30" s="103" t="s">
        <v>1757</v>
      </c>
      <c r="B30" s="103" t="s">
        <v>1553</v>
      </c>
      <c r="C30" s="103" t="s">
        <v>3758</v>
      </c>
      <c r="E30" s="103">
        <v>170</v>
      </c>
      <c r="F30" s="103" t="s">
        <v>758</v>
      </c>
      <c r="H30" s="120">
        <f t="shared" si="0"/>
        <v>170</v>
      </c>
    </row>
    <row r="31" spans="1:8" ht="15" x14ac:dyDescent="0.25">
      <c r="A31" s="103" t="s">
        <v>1757</v>
      </c>
      <c r="B31" s="103" t="s">
        <v>1553</v>
      </c>
      <c r="C31" s="103" t="s">
        <v>3759</v>
      </c>
      <c r="E31" s="103">
        <v>283</v>
      </c>
      <c r="F31" s="103" t="s">
        <v>1679</v>
      </c>
      <c r="H31" s="120">
        <f t="shared" si="0"/>
        <v>283</v>
      </c>
    </row>
    <row r="32" spans="1:8" ht="15" x14ac:dyDescent="0.25">
      <c r="A32" s="103" t="s">
        <v>1757</v>
      </c>
      <c r="B32" s="103" t="s">
        <v>1553</v>
      </c>
      <c r="C32" s="103" t="s">
        <v>3760</v>
      </c>
      <c r="E32" s="103">
        <v>359</v>
      </c>
      <c r="F32" s="103" t="s">
        <v>1617</v>
      </c>
      <c r="H32" s="120">
        <f t="shared" si="0"/>
        <v>359</v>
      </c>
    </row>
    <row r="33" spans="1:8" ht="15" x14ac:dyDescent="0.25">
      <c r="A33" s="103" t="s">
        <v>1757</v>
      </c>
      <c r="B33" s="103" t="s">
        <v>1553</v>
      </c>
      <c r="C33" s="103" t="s">
        <v>3761</v>
      </c>
      <c r="E33" s="103">
        <v>565</v>
      </c>
      <c r="F33" s="103" t="s">
        <v>1232</v>
      </c>
      <c r="H33" s="120">
        <f t="shared" si="0"/>
        <v>565</v>
      </c>
    </row>
    <row r="34" spans="1:8" ht="15" x14ac:dyDescent="0.25">
      <c r="A34" s="103" t="s">
        <v>1757</v>
      </c>
      <c r="B34" s="103" t="s">
        <v>1553</v>
      </c>
      <c r="C34" s="103" t="s">
        <v>3762</v>
      </c>
      <c r="E34" s="103">
        <v>443</v>
      </c>
      <c r="F34" s="103" t="s">
        <v>758</v>
      </c>
      <c r="H34" s="120">
        <f t="shared" si="0"/>
        <v>443</v>
      </c>
    </row>
    <row r="35" spans="1:8" ht="15" x14ac:dyDescent="0.25">
      <c r="A35" s="103" t="s">
        <v>1757</v>
      </c>
      <c r="B35" s="103" t="s">
        <v>1553</v>
      </c>
      <c r="C35" s="103" t="s">
        <v>3763</v>
      </c>
      <c r="E35" s="103">
        <v>140</v>
      </c>
      <c r="F35" s="103" t="s">
        <v>1679</v>
      </c>
      <c r="H35" s="120">
        <f t="shared" si="0"/>
        <v>140</v>
      </c>
    </row>
    <row r="36" spans="1:8" ht="15" x14ac:dyDescent="0.25">
      <c r="A36" s="103" t="s">
        <v>1757</v>
      </c>
      <c r="B36" s="103" t="s">
        <v>1553</v>
      </c>
      <c r="C36" s="103" t="s">
        <v>3764</v>
      </c>
      <c r="E36" s="103">
        <v>78</v>
      </c>
      <c r="F36" s="103" t="s">
        <v>1679</v>
      </c>
      <c r="H36" s="120">
        <f t="shared" si="0"/>
        <v>78</v>
      </c>
    </row>
    <row r="37" spans="1:8" ht="15" x14ac:dyDescent="0.25">
      <c r="A37" s="103" t="s">
        <v>1757</v>
      </c>
      <c r="B37" s="103" t="s">
        <v>1553</v>
      </c>
      <c r="C37" s="103" t="s">
        <v>3765</v>
      </c>
      <c r="E37" s="103">
        <v>116</v>
      </c>
      <c r="F37" s="103" t="s">
        <v>1679</v>
      </c>
      <c r="H37" s="120">
        <f t="shared" si="0"/>
        <v>116</v>
      </c>
    </row>
    <row r="38" spans="1:8" ht="15" x14ac:dyDescent="0.25">
      <c r="A38" s="103" t="s">
        <v>1783</v>
      </c>
      <c r="B38" s="103" t="s">
        <v>1580</v>
      </c>
      <c r="C38" s="103" t="s">
        <v>2456</v>
      </c>
      <c r="D38" s="103">
        <v>250</v>
      </c>
      <c r="F38" s="103" t="s">
        <v>1649</v>
      </c>
      <c r="G38" s="103" t="s">
        <v>3766</v>
      </c>
      <c r="H38" s="120">
        <f t="shared" si="0"/>
        <v>250</v>
      </c>
    </row>
    <row r="39" spans="1:8" ht="15" x14ac:dyDescent="0.25">
      <c r="A39" s="103" t="s">
        <v>748</v>
      </c>
      <c r="B39" s="103" t="s">
        <v>749</v>
      </c>
      <c r="C39" s="103" t="s">
        <v>3767</v>
      </c>
      <c r="E39" s="103">
        <v>50</v>
      </c>
      <c r="F39" s="103" t="s">
        <v>1679</v>
      </c>
      <c r="H39" s="120">
        <f t="shared" si="0"/>
        <v>50</v>
      </c>
    </row>
    <row r="40" spans="1:8" ht="15" x14ac:dyDescent="0.25">
      <c r="A40" s="103" t="s">
        <v>871</v>
      </c>
      <c r="B40" s="103" t="s">
        <v>872</v>
      </c>
      <c r="C40" s="103" t="s">
        <v>3768</v>
      </c>
      <c r="D40" s="103">
        <v>50</v>
      </c>
      <c r="F40" s="103" t="s">
        <v>873</v>
      </c>
      <c r="H40" s="120">
        <f t="shared" si="0"/>
        <v>50</v>
      </c>
    </row>
    <row r="41" spans="1:8" ht="15" x14ac:dyDescent="0.25">
      <c r="A41" s="103" t="s">
        <v>1031</v>
      </c>
      <c r="B41" s="103" t="s">
        <v>1032</v>
      </c>
      <c r="C41" s="103" t="s">
        <v>3769</v>
      </c>
      <c r="D41" s="103">
        <v>180</v>
      </c>
      <c r="F41" s="103" t="s">
        <v>3770</v>
      </c>
      <c r="H41" s="120">
        <f t="shared" si="0"/>
        <v>180</v>
      </c>
    </row>
    <row r="42" spans="1:8" ht="15" x14ac:dyDescent="0.25">
      <c r="A42" s="103" t="s">
        <v>1031</v>
      </c>
      <c r="B42" s="103" t="s">
        <v>1032</v>
      </c>
      <c r="C42" s="103" t="s">
        <v>3771</v>
      </c>
      <c r="E42" s="103">
        <v>150</v>
      </c>
      <c r="F42" s="103" t="s">
        <v>3770</v>
      </c>
      <c r="H42" s="120">
        <f t="shared" si="0"/>
        <v>150</v>
      </c>
    </row>
    <row r="43" spans="1:8" ht="15" x14ac:dyDescent="0.25">
      <c r="A43" s="103" t="s">
        <v>1031</v>
      </c>
      <c r="B43" s="103" t="s">
        <v>1032</v>
      </c>
      <c r="C43" s="103" t="s">
        <v>3772</v>
      </c>
      <c r="D43" s="103">
        <v>110</v>
      </c>
      <c r="F43" s="103" t="s">
        <v>3770</v>
      </c>
      <c r="H43" s="120">
        <f t="shared" si="0"/>
        <v>110</v>
      </c>
    </row>
    <row r="44" spans="1:8" ht="15" x14ac:dyDescent="0.25">
      <c r="A44" s="103" t="s">
        <v>1031</v>
      </c>
      <c r="B44" s="103" t="s">
        <v>1032</v>
      </c>
      <c r="C44" s="103" t="s">
        <v>3773</v>
      </c>
      <c r="D44" s="103">
        <v>30</v>
      </c>
      <c r="F44" s="103" t="s">
        <v>873</v>
      </c>
      <c r="G44" s="103" t="s">
        <v>3774</v>
      </c>
      <c r="H44" s="120">
        <f t="shared" si="0"/>
        <v>30</v>
      </c>
    </row>
    <row r="45" spans="1:8" ht="15" x14ac:dyDescent="0.25">
      <c r="A45" s="103" t="s">
        <v>1145</v>
      </c>
      <c r="B45" s="103" t="s">
        <v>1146</v>
      </c>
      <c r="C45" s="103" t="s">
        <v>3775</v>
      </c>
      <c r="D45" s="103">
        <v>720</v>
      </c>
      <c r="F45" s="103" t="s">
        <v>1679</v>
      </c>
      <c r="H45" s="120">
        <f t="shared" si="0"/>
        <v>720</v>
      </c>
    </row>
    <row r="46" spans="1:8" ht="15" x14ac:dyDescent="0.25">
      <c r="A46" s="103" t="s">
        <v>1200</v>
      </c>
      <c r="B46" s="103" t="s">
        <v>1201</v>
      </c>
      <c r="C46" s="103" t="s">
        <v>3776</v>
      </c>
      <c r="E46" s="103">
        <v>25</v>
      </c>
      <c r="F46" s="103" t="s">
        <v>1617</v>
      </c>
      <c r="H46" s="120">
        <f t="shared" si="0"/>
        <v>25</v>
      </c>
    </row>
    <row r="47" spans="1:8" ht="15" x14ac:dyDescent="0.25">
      <c r="A47" s="103" t="s">
        <v>1404</v>
      </c>
      <c r="B47" s="103" t="s">
        <v>3827</v>
      </c>
      <c r="C47" s="103" t="s">
        <v>3777</v>
      </c>
      <c r="E47" s="103">
        <v>25</v>
      </c>
      <c r="F47" s="103" t="s">
        <v>1617</v>
      </c>
      <c r="H47" s="120">
        <f t="shared" si="0"/>
        <v>25</v>
      </c>
    </row>
    <row r="48" spans="1:8" ht="15" x14ac:dyDescent="0.25">
      <c r="A48" s="103" t="s">
        <v>1410</v>
      </c>
      <c r="B48" s="103" t="s">
        <v>2087</v>
      </c>
      <c r="C48" s="103" t="s">
        <v>3778</v>
      </c>
      <c r="D48" s="103">
        <v>120</v>
      </c>
      <c r="F48" s="103" t="s">
        <v>1622</v>
      </c>
      <c r="G48" s="103" t="s">
        <v>3779</v>
      </c>
      <c r="H48" s="120">
        <f t="shared" si="0"/>
        <v>120</v>
      </c>
    </row>
    <row r="49" spans="1:8" ht="15" x14ac:dyDescent="0.25">
      <c r="A49" s="103" t="s">
        <v>1471</v>
      </c>
      <c r="B49" s="103" t="s">
        <v>1472</v>
      </c>
      <c r="C49" s="103" t="s">
        <v>3780</v>
      </c>
      <c r="E49" s="103">
        <v>50</v>
      </c>
      <c r="F49" s="103" t="s">
        <v>1679</v>
      </c>
      <c r="H49" s="120">
        <f t="shared" si="0"/>
        <v>50</v>
      </c>
    </row>
  </sheetData>
  <autoFilter ref="A1:H48" xr:uid="{CB32B8FA-3A84-4F9A-A331-88664B1EBD8F}"/>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2EC67-10AA-44E0-BEAA-7C1C594963BB}">
  <dimension ref="A1:AG15"/>
  <sheetViews>
    <sheetView workbookViewId="0">
      <selection activeCell="AF12" sqref="AF12"/>
    </sheetView>
  </sheetViews>
  <sheetFormatPr baseColWidth="10" defaultColWidth="11" defaultRowHeight="14.25" x14ac:dyDescent="0.2"/>
  <cols>
    <col min="1" max="1" customWidth="true" width="5.375" collapsed="false"/>
    <col min="2" max="2" customWidth="true" width="6.5" collapsed="false"/>
    <col min="3" max="33" style="104" width="11.0" collapsed="false"/>
  </cols>
  <sheetData>
    <row r="1" spans="1:33" ht="15" x14ac:dyDescent="0.25">
      <c r="C1" s="121" t="s">
        <v>108</v>
      </c>
      <c r="D1" s="121" t="s">
        <v>110</v>
      </c>
      <c r="E1" s="121" t="s">
        <v>116</v>
      </c>
      <c r="F1" s="121" t="s">
        <v>115</v>
      </c>
      <c r="G1" s="121" t="s">
        <v>123</v>
      </c>
      <c r="H1" s="121" t="s">
        <v>136</v>
      </c>
      <c r="I1" s="121" t="s">
        <v>126</v>
      </c>
      <c r="J1" s="121" t="s">
        <v>127</v>
      </c>
      <c r="K1" s="121" t="s">
        <v>128</v>
      </c>
      <c r="L1" s="121" t="s">
        <v>129</v>
      </c>
      <c r="M1" s="122" t="s">
        <v>117</v>
      </c>
      <c r="N1" s="122" t="s">
        <v>118</v>
      </c>
      <c r="O1" s="122" t="s">
        <v>119</v>
      </c>
      <c r="P1" s="122" t="s">
        <v>113</v>
      </c>
      <c r="Q1" s="122" t="s">
        <v>106</v>
      </c>
      <c r="R1" s="122" t="s">
        <v>107</v>
      </c>
      <c r="S1" s="122" t="s">
        <v>105</v>
      </c>
      <c r="T1" s="122" t="s">
        <v>109</v>
      </c>
      <c r="U1" s="122" t="s">
        <v>111</v>
      </c>
      <c r="V1" s="123" t="s">
        <v>104</v>
      </c>
      <c r="W1" s="123" t="s">
        <v>120</v>
      </c>
      <c r="X1" s="123" t="s">
        <v>114</v>
      </c>
      <c r="Y1" s="123" t="s">
        <v>112</v>
      </c>
      <c r="Z1" s="123" t="s">
        <v>122</v>
      </c>
      <c r="AA1" s="124" t="s">
        <v>121</v>
      </c>
      <c r="AB1" s="125" t="s">
        <v>133</v>
      </c>
      <c r="AC1" s="125" t="s">
        <v>134</v>
      </c>
      <c r="AD1" s="125" t="s">
        <v>125</v>
      </c>
      <c r="AE1" s="125" t="s">
        <v>124</v>
      </c>
      <c r="AF1" s="125" t="s">
        <v>3781</v>
      </c>
      <c r="AG1" s="125" t="s">
        <v>132</v>
      </c>
    </row>
    <row r="2" spans="1:33" x14ac:dyDescent="0.2">
      <c r="A2" t="s">
        <v>3782</v>
      </c>
      <c r="B2" t="s">
        <v>3783</v>
      </c>
      <c r="C2" s="104">
        <f>'New Projects'!W5</f>
        <v>0</v>
      </c>
      <c r="D2" s="104">
        <f>'New Projects'!Z5</f>
        <v>0</v>
      </c>
      <c r="E2" s="104">
        <f>'New Projects'!AI5</f>
        <v>0</v>
      </c>
      <c r="F2" s="104">
        <f>'New Projects'!AH5</f>
        <v>0</v>
      </c>
      <c r="G2" s="104">
        <f>'New Projects'!AP5</f>
        <v>0</v>
      </c>
      <c r="H2" s="104">
        <f>'New Projects'!EQ5</f>
        <v>0</v>
      </c>
      <c r="I2" s="104">
        <f>'New Projects'!BW5</f>
        <v>0</v>
      </c>
      <c r="J2" s="104">
        <f>'New Projects'!BY5</f>
        <v>0</v>
      </c>
      <c r="K2" s="104">
        <f>'New Projects'!BZ5</f>
        <v>0</v>
      </c>
      <c r="L2" s="104">
        <f>'New Projects'!CB5</f>
        <v>0</v>
      </c>
      <c r="M2" s="104">
        <f>'New Projects'!AJ5</f>
        <v>0</v>
      </c>
      <c r="N2" s="104">
        <f>'New Projects'!AK5</f>
        <v>0</v>
      </c>
      <c r="O2" s="104">
        <f>'New Projects'!AL5</f>
        <v>0</v>
      </c>
      <c r="P2" s="104">
        <f>'New Projects'!AF5</f>
        <v>0</v>
      </c>
      <c r="Q2" s="104">
        <f>'New Projects'!T5</f>
        <v>0</v>
      </c>
      <c r="R2" s="104">
        <f>'New Projects'!U5</f>
        <v>0</v>
      </c>
      <c r="S2" s="104">
        <f>'New Projects'!S5</f>
        <v>0</v>
      </c>
      <c r="T2" s="104">
        <f>'New Projects'!Y5</f>
        <v>0</v>
      </c>
      <c r="U2" s="104">
        <f>'New Projects'!AA5</f>
        <v>0</v>
      </c>
      <c r="V2" s="104">
        <f>'New Projects'!R5</f>
        <v>0</v>
      </c>
      <c r="W2" s="104">
        <f>'New Projects'!AM5</f>
        <v>0</v>
      </c>
      <c r="X2" s="104">
        <f>'New Projects'!AG5</f>
        <v>0</v>
      </c>
      <c r="Y2" s="104">
        <f>'New Projects'!AD5</f>
        <v>0</v>
      </c>
      <c r="Z2" s="104">
        <f>'New Projects'!AO5</f>
        <v>0</v>
      </c>
      <c r="AA2" s="104">
        <f>'New Projects'!AN5</f>
        <v>0</v>
      </c>
      <c r="AB2" s="104">
        <f>'New Projects'!DM5</f>
        <v>0</v>
      </c>
      <c r="AC2" s="104">
        <f>'New Projects'!DQ5</f>
        <v>0</v>
      </c>
      <c r="AD2" s="104">
        <f>'New Projects'!AX5</f>
        <v>0</v>
      </c>
      <c r="AE2" s="104">
        <f>'New Projects'!AS5</f>
        <v>0</v>
      </c>
      <c r="AF2" s="104">
        <f>'New Projects'!CL5+'New Projects'!CP5</f>
        <v>0</v>
      </c>
      <c r="AG2" s="104">
        <f>'New Projects'!DH5</f>
        <v>0</v>
      </c>
    </row>
    <row r="3" spans="1:33" x14ac:dyDescent="0.2">
      <c r="B3" t="s">
        <v>3784</v>
      </c>
      <c r="C3" s="104">
        <f>'Ongoing Projects'!V5</f>
        <v>0</v>
      </c>
      <c r="D3" s="104">
        <f>'Ongoing Projects'!Y5</f>
        <v>0</v>
      </c>
      <c r="E3" s="104">
        <f>'Ongoing Projects'!AH5</f>
        <v>0</v>
      </c>
      <c r="F3" s="104">
        <f>'Ongoing Projects'!AG5</f>
        <v>0</v>
      </c>
      <c r="G3" s="104">
        <f>'Ongoing Projects'!AO5</f>
        <v>0</v>
      </c>
      <c r="H3" s="104">
        <f>'Ongoing Projects'!EP5</f>
        <v>0</v>
      </c>
      <c r="I3" s="104">
        <f>'Ongoing Projects'!BT5</f>
        <v>0</v>
      </c>
      <c r="J3" s="104">
        <f>'Ongoing Projects'!BX5</f>
        <v>0</v>
      </c>
      <c r="K3" s="104">
        <f>'Ongoing Projects'!BY5</f>
        <v>0</v>
      </c>
      <c r="L3" s="104">
        <f>'Ongoing Projects'!CA5</f>
        <v>0</v>
      </c>
      <c r="M3" s="104">
        <f>'Ongoing Projects'!AI5</f>
        <v>0</v>
      </c>
      <c r="N3" s="104">
        <f>'Ongoing Projects'!AJ5</f>
        <v>0</v>
      </c>
      <c r="O3" s="104">
        <f>'Ongoing Projects'!AK5</f>
        <v>0</v>
      </c>
      <c r="P3" s="104">
        <f>'Ongoing Projects'!AE5</f>
        <v>0</v>
      </c>
      <c r="Q3" s="104">
        <f>'Ongoing Projects'!S5</f>
        <v>0</v>
      </c>
      <c r="R3" s="104">
        <f>'Ongoing Projects'!T5</f>
        <v>0</v>
      </c>
      <c r="S3" s="104">
        <f>'Ongoing Projects'!R5</f>
        <v>0</v>
      </c>
      <c r="T3" s="104">
        <f>'Ongoing Projects'!X5</f>
        <v>0</v>
      </c>
      <c r="U3" s="104">
        <f>'Ongoing Projects'!Z5</f>
        <v>0</v>
      </c>
      <c r="V3" s="104">
        <f>'Ongoing Projects'!Q5</f>
        <v>0</v>
      </c>
      <c r="W3" s="104">
        <f>'Ongoing Projects'!AL5</f>
        <v>0</v>
      </c>
      <c r="X3" s="104">
        <f>'Ongoing Projects'!AF5</f>
        <v>0</v>
      </c>
      <c r="Y3" s="104">
        <f>'Ongoing Projects'!AC5</f>
        <v>0</v>
      </c>
      <c r="Z3" s="104">
        <f>'Ongoing Projects'!AN5</f>
        <v>0</v>
      </c>
      <c r="AA3" s="104">
        <f>'Ongoing Projects'!AM5</f>
        <v>0</v>
      </c>
      <c r="AB3" s="104">
        <f>'Ongoing Projects'!DL5</f>
        <v>0</v>
      </c>
      <c r="AC3" s="104">
        <f>'Ongoing Projects'!DP5</f>
        <v>0</v>
      </c>
      <c r="AD3" s="104">
        <f>'Ongoing Projects'!AW5</f>
        <v>0</v>
      </c>
      <c r="AE3" s="104">
        <f>'Ongoing Projects'!AR5</f>
        <v>0</v>
      </c>
      <c r="AF3" s="104">
        <f>'Ongoing Projects'!CK5+'Ongoing Projects'!CO5</f>
        <v>0</v>
      </c>
      <c r="AG3" s="104">
        <f>'Ongoing Projects'!DG5</f>
        <v>0</v>
      </c>
    </row>
    <row r="4" spans="1:33" x14ac:dyDescent="0.2">
      <c r="B4" t="s">
        <v>1685</v>
      </c>
      <c r="C4" s="104">
        <f>'Non-Projects (RUN-BAU)'!K5</f>
        <v>0</v>
      </c>
      <c r="D4" s="104">
        <f>'Non-Projects (RUN-BAU)'!N5</f>
        <v>0</v>
      </c>
      <c r="E4" s="104">
        <f>'Non-Projects (RUN-BAU)'!W5</f>
        <v>0</v>
      </c>
      <c r="F4" s="104">
        <f>'Non-Projects (RUN-BAU)'!V5</f>
        <v>0</v>
      </c>
      <c r="G4" s="104">
        <f>'Non-Projects (RUN-BAU)'!AD5</f>
        <v>0</v>
      </c>
      <c r="H4" s="104">
        <f>'Non-Projects (RUN-BAU)'!DZ5</f>
        <v>0</v>
      </c>
      <c r="I4" s="104">
        <f>'Non-Projects (RUN-BAU)'!BE5</f>
        <v>0</v>
      </c>
      <c r="J4" s="126"/>
      <c r="K4" s="126"/>
      <c r="L4" s="126"/>
      <c r="M4" s="104">
        <f>'Non-Projects (RUN-BAU)'!X5</f>
        <v>0</v>
      </c>
      <c r="N4" s="104">
        <f>'Non-Projects (RUN-BAU)'!Y5</f>
        <v>0</v>
      </c>
      <c r="O4" s="104">
        <f>'Non-Projects (RUN-BAU)'!Z5</f>
        <v>0</v>
      </c>
      <c r="P4" s="104">
        <f>'Non-Projects (RUN-BAU)'!T5</f>
        <v>0</v>
      </c>
      <c r="Q4" s="104">
        <f>'Non-Projects (RUN-BAU)'!H5</f>
        <v>0</v>
      </c>
      <c r="R4" s="104">
        <f>'Non-Projects (RUN-BAU)'!I5</f>
        <v>0</v>
      </c>
      <c r="S4" s="104">
        <f>'Non-Projects (RUN-BAU)'!G5</f>
        <v>0</v>
      </c>
      <c r="T4" s="104">
        <f>'Non-Projects (RUN-BAU)'!M5</f>
        <v>0</v>
      </c>
      <c r="U4" s="104">
        <f>'Non-Projects (RUN-BAU)'!O5</f>
        <v>0</v>
      </c>
      <c r="V4" s="104">
        <f>'Non-Projects (RUN-BAU)'!F5</f>
        <v>0</v>
      </c>
      <c r="W4" s="104">
        <f>'Non-Projects (RUN-BAU)'!AA5</f>
        <v>0</v>
      </c>
      <c r="X4" s="104">
        <f>'Non-Projects (RUN-BAU)'!U5</f>
        <v>0</v>
      </c>
      <c r="Y4" s="104">
        <f>'Non-Projects (RUN-BAU)'!R5</f>
        <v>0</v>
      </c>
      <c r="Z4" s="104">
        <f>'Non-Projects (RUN-BAU)'!AC5</f>
        <v>0</v>
      </c>
      <c r="AA4" s="104">
        <f>'Non-Projects (RUN-BAU)'!AB5</f>
        <v>0</v>
      </c>
      <c r="AB4" s="104">
        <f>'Non-Projects (RUN-BAU)'!CV5</f>
        <v>0</v>
      </c>
      <c r="AC4" s="104">
        <f>'Non-Projects (RUN-BAU)'!DA5</f>
        <v>0</v>
      </c>
      <c r="AD4" s="104">
        <f>'Non-Projects (RUN-BAU)'!AL5</f>
        <v>0</v>
      </c>
      <c r="AE4" s="104">
        <f>'Non-Projects (RUN-BAU)'!AG5</f>
        <v>0</v>
      </c>
      <c r="AF4" s="104">
        <f>'Non-Projects (RUN-BAU)'!BV5+'Non-Projects (RUN-BAU)'!BZ5</f>
        <v>0</v>
      </c>
      <c r="AG4" s="104">
        <f>'Non-Projects (RUN-BAU)'!CR5</f>
        <v>0</v>
      </c>
    </row>
    <row r="6" spans="1:33" x14ac:dyDescent="0.2">
      <c r="B6" t="s">
        <v>3785</v>
      </c>
      <c r="C6" s="104">
        <f t="shared" ref="C6:X6" si="0">SUM(C2:C4)</f>
        <v>0</v>
      </c>
      <c r="D6" s="104">
        <f t="shared" si="0"/>
        <v>0</v>
      </c>
      <c r="E6" s="104">
        <f t="shared" si="0"/>
        <v>0</v>
      </c>
      <c r="F6" s="104">
        <f t="shared" si="0"/>
        <v>0</v>
      </c>
      <c r="G6" s="104">
        <f>SUM(G2:G4)</f>
        <v>0</v>
      </c>
      <c r="H6" s="104">
        <f t="shared" si="0"/>
        <v>0</v>
      </c>
      <c r="I6" s="104">
        <f>SUM(I2:I4)</f>
        <v>0</v>
      </c>
      <c r="J6" s="104">
        <f t="shared" ref="J6:L6" si="1">SUM(J2:J4)</f>
        <v>0</v>
      </c>
      <c r="K6" s="104">
        <f t="shared" si="1"/>
        <v>0</v>
      </c>
      <c r="L6" s="104">
        <f t="shared" si="1"/>
        <v>0</v>
      </c>
      <c r="M6" s="104">
        <f t="shared" si="0"/>
        <v>0</v>
      </c>
      <c r="N6" s="104">
        <f t="shared" si="0"/>
        <v>0</v>
      </c>
      <c r="O6" s="104">
        <f t="shared" si="0"/>
        <v>0</v>
      </c>
      <c r="P6" s="104">
        <f t="shared" si="0"/>
        <v>0</v>
      </c>
      <c r="Q6" s="104">
        <f t="shared" si="0"/>
        <v>0</v>
      </c>
      <c r="R6" s="104">
        <f t="shared" si="0"/>
        <v>0</v>
      </c>
      <c r="S6" s="104">
        <f t="shared" si="0"/>
        <v>0</v>
      </c>
      <c r="T6" s="104">
        <f t="shared" si="0"/>
        <v>0</v>
      </c>
      <c r="U6" s="104">
        <f t="shared" si="0"/>
        <v>0</v>
      </c>
      <c r="V6" s="104">
        <f t="shared" si="0"/>
        <v>0</v>
      </c>
      <c r="W6" s="104">
        <f t="shared" si="0"/>
        <v>0</v>
      </c>
      <c r="X6" s="104">
        <f t="shared" si="0"/>
        <v>0</v>
      </c>
      <c r="Y6" s="104">
        <f t="shared" ref="Y6:AG6" si="2">SUM(Y2:Y4)</f>
        <v>0</v>
      </c>
      <c r="Z6" s="104">
        <f>SUM(Z2:Z4)</f>
        <v>0</v>
      </c>
      <c r="AA6" s="104">
        <f t="shared" si="2"/>
        <v>0</v>
      </c>
      <c r="AB6" s="104">
        <f t="shared" si="2"/>
        <v>0</v>
      </c>
      <c r="AC6" s="104">
        <f t="shared" si="2"/>
        <v>0</v>
      </c>
      <c r="AD6" s="104">
        <f t="shared" si="2"/>
        <v>0</v>
      </c>
      <c r="AE6" s="104">
        <f t="shared" si="2"/>
        <v>0</v>
      </c>
      <c r="AF6" s="104">
        <f t="shared" si="2"/>
        <v>0</v>
      </c>
      <c r="AG6" s="104">
        <f t="shared" si="2"/>
        <v>0</v>
      </c>
    </row>
    <row r="9" spans="1:33" x14ac:dyDescent="0.2">
      <c r="A9" t="s">
        <v>3786</v>
      </c>
      <c r="B9" t="s">
        <v>3783</v>
      </c>
      <c r="C9" s="104">
        <f>'New Projects'!W4</f>
        <v>0</v>
      </c>
      <c r="D9" s="104">
        <f>'New Projects'!Z4</f>
        <v>0</v>
      </c>
      <c r="E9" s="104">
        <f>'New Projects'!AI4</f>
        <v>0</v>
      </c>
      <c r="F9" s="104">
        <f>'New Projects'!AH4</f>
        <v>0</v>
      </c>
      <c r="G9" s="104">
        <f>'New Projects'!AP4</f>
        <v>0</v>
      </c>
      <c r="H9" s="104">
        <f>'New Projects'!EQ4</f>
        <v>0</v>
      </c>
      <c r="I9" s="104">
        <f>'New Projects'!BW4</f>
        <v>0</v>
      </c>
      <c r="J9" s="104">
        <f>'New Projects'!BY4</f>
        <v>0</v>
      </c>
      <c r="M9" s="104">
        <f>'New Projects'!AJ4</f>
        <v>0</v>
      </c>
      <c r="N9" s="104">
        <f>'New Projects'!AK4</f>
        <v>0</v>
      </c>
      <c r="O9" s="104">
        <f>'New Projects'!AL4</f>
        <v>0</v>
      </c>
      <c r="P9" s="104">
        <f>'New Projects'!AF4</f>
        <v>0</v>
      </c>
      <c r="Q9" s="104">
        <f>'New Projects'!T4</f>
        <v>0</v>
      </c>
      <c r="R9" s="104">
        <f>'New Projects'!U4</f>
        <v>0</v>
      </c>
      <c r="S9" s="104">
        <f>'New Projects'!S4</f>
        <v>0</v>
      </c>
      <c r="T9" s="104">
        <f>'New Projects'!Y4</f>
        <v>0</v>
      </c>
      <c r="U9" s="104">
        <f>'New Projects'!AA4</f>
        <v>0</v>
      </c>
      <c r="V9" s="104">
        <f>'New Projects'!R4</f>
        <v>0</v>
      </c>
      <c r="W9" s="104">
        <f>'New Projects'!AM4</f>
        <v>0</v>
      </c>
      <c r="X9" s="104">
        <f>'New Projects'!AG4</f>
        <v>0</v>
      </c>
      <c r="Y9" s="104">
        <f>'New Projects'!AD4</f>
        <v>0</v>
      </c>
      <c r="Z9" s="104">
        <f>'New Projects'!AO4</f>
        <v>0</v>
      </c>
      <c r="AA9" s="104">
        <f>'New Projects'!AN4</f>
        <v>0</v>
      </c>
      <c r="AB9" s="104">
        <f>'New Projects'!DM4</f>
        <v>0</v>
      </c>
      <c r="AC9" s="104">
        <f>'New Projects'!DQ4</f>
        <v>0</v>
      </c>
      <c r="AD9" s="104">
        <f>'New Projects'!AX4</f>
        <v>0</v>
      </c>
      <c r="AE9" s="104">
        <f>'New Projects'!AS4</f>
        <v>0</v>
      </c>
      <c r="AF9" s="104">
        <f>'New Projects'!CL4+'New Projects'!CP4</f>
        <v>0</v>
      </c>
      <c r="AG9" s="104">
        <f>'New Projects'!DH4</f>
        <v>0</v>
      </c>
    </row>
    <row r="10" spans="1:33" x14ac:dyDescent="0.2">
      <c r="B10" t="s">
        <v>3784</v>
      </c>
      <c r="C10" s="104">
        <f>'Ongoing Projects'!V4</f>
        <v>0</v>
      </c>
      <c r="D10" s="104">
        <f>'Ongoing Projects'!Y4</f>
        <v>0</v>
      </c>
      <c r="E10" s="104">
        <f>'Ongoing Projects'!AH4</f>
        <v>0</v>
      </c>
      <c r="F10" s="104">
        <f>'Ongoing Projects'!AG4</f>
        <v>0</v>
      </c>
      <c r="G10" s="104">
        <f>'Ongoing Projects'!AO4</f>
        <v>0</v>
      </c>
      <c r="H10" s="104">
        <f>'Ongoing Projects'!EP4</f>
        <v>0</v>
      </c>
      <c r="I10" s="104">
        <f>'Ongoing Projects'!BT4</f>
        <v>0</v>
      </c>
      <c r="J10" s="104">
        <f>'Ongoing Projects'!BX4</f>
        <v>0</v>
      </c>
      <c r="K10" s="104">
        <f>'Ongoing Projects'!BY4</f>
        <v>0</v>
      </c>
      <c r="L10" s="104">
        <f>'Ongoing Projects'!CA4</f>
        <v>0</v>
      </c>
      <c r="M10" s="104">
        <f>'Ongoing Projects'!AI4</f>
        <v>0</v>
      </c>
      <c r="N10" s="104">
        <f>'Ongoing Projects'!AJ4</f>
        <v>0</v>
      </c>
      <c r="O10" s="104">
        <f>'Ongoing Projects'!AK4</f>
        <v>0</v>
      </c>
      <c r="P10" s="104">
        <f>'Ongoing Projects'!AE4</f>
        <v>0</v>
      </c>
      <c r="Q10" s="104">
        <f>'Ongoing Projects'!S4</f>
        <v>0</v>
      </c>
      <c r="R10" s="104">
        <f>'Ongoing Projects'!T4</f>
        <v>0</v>
      </c>
      <c r="S10" s="104">
        <f>'Ongoing Projects'!R4</f>
        <v>0</v>
      </c>
      <c r="T10" s="104">
        <f>'Ongoing Projects'!X4</f>
        <v>0</v>
      </c>
      <c r="U10" s="104">
        <f>'Ongoing Projects'!Z4</f>
        <v>0</v>
      </c>
      <c r="V10" s="104">
        <f>'Ongoing Projects'!Q4</f>
        <v>0</v>
      </c>
      <c r="W10" s="104">
        <f>'Ongoing Projects'!AL4</f>
        <v>0</v>
      </c>
      <c r="X10" s="104">
        <f>'Ongoing Projects'!AF4</f>
        <v>0</v>
      </c>
      <c r="Y10" s="104">
        <f>'Ongoing Projects'!AC4</f>
        <v>0</v>
      </c>
      <c r="Z10" s="104">
        <f>'Ongoing Projects'!AN4</f>
        <v>0</v>
      </c>
      <c r="AA10" s="104">
        <f>'Ongoing Projects'!AM4</f>
        <v>0</v>
      </c>
      <c r="AB10" s="104">
        <f>'Ongoing Projects'!DL4</f>
        <v>0</v>
      </c>
      <c r="AC10" s="104">
        <f>'Ongoing Projects'!DP4</f>
        <v>0</v>
      </c>
      <c r="AD10" s="104">
        <f>'Ongoing Projects'!AW4</f>
        <v>0</v>
      </c>
      <c r="AE10" s="104">
        <f>'Ongoing Projects'!AR4</f>
        <v>0</v>
      </c>
      <c r="AF10" s="104">
        <f>'Ongoing Projects'!CK4+'Ongoing Projects'!CO4</f>
        <v>0</v>
      </c>
      <c r="AG10" s="104">
        <f>'Ongoing Projects'!DG4</f>
        <v>0</v>
      </c>
    </row>
    <row r="11" spans="1:33" x14ac:dyDescent="0.2">
      <c r="B11" t="s">
        <v>1685</v>
      </c>
      <c r="C11" s="104">
        <f>'Non-Projects (RUN-BAU)'!K4</f>
        <v>0</v>
      </c>
      <c r="D11" s="104">
        <f>'Non-Projects (RUN-BAU)'!N4</f>
        <v>0</v>
      </c>
      <c r="E11" s="104">
        <f>'Non-Projects (RUN-BAU)'!W4</f>
        <v>0</v>
      </c>
      <c r="F11" s="104">
        <f>'Non-Projects (RUN-BAU)'!V4</f>
        <v>0</v>
      </c>
      <c r="G11" s="104">
        <f>'Non-Projects (RUN-BAU)'!AD4</f>
        <v>0</v>
      </c>
      <c r="H11" s="104">
        <f>'Non-Projects (RUN-BAU)'!DZ4</f>
        <v>0</v>
      </c>
      <c r="I11" s="104">
        <f>'Non-Projects (RUN-BAU)'!BE4</f>
        <v>0</v>
      </c>
      <c r="J11" s="126"/>
      <c r="K11" s="126"/>
      <c r="L11" s="126"/>
      <c r="M11" s="104">
        <f>'Non-Projects (RUN-BAU)'!X4</f>
        <v>0</v>
      </c>
      <c r="N11" s="104">
        <f>'Non-Projects (RUN-BAU)'!Y4</f>
        <v>0</v>
      </c>
      <c r="O11" s="104">
        <f>'Non-Projects (RUN-BAU)'!Z4</f>
        <v>0</v>
      </c>
      <c r="P11" s="104">
        <f>'Non-Projects (RUN-BAU)'!T4</f>
        <v>0</v>
      </c>
      <c r="Q11" s="104">
        <f>'Non-Projects (RUN-BAU)'!H4</f>
        <v>0</v>
      </c>
      <c r="R11" s="104">
        <f>'Non-Projects (RUN-BAU)'!I4</f>
        <v>0</v>
      </c>
      <c r="S11" s="104">
        <f>'Non-Projects (RUN-BAU)'!G4</f>
        <v>0</v>
      </c>
      <c r="T11" s="104">
        <f>'Non-Projects (RUN-BAU)'!M4</f>
        <v>0</v>
      </c>
      <c r="U11" s="104">
        <f>'Non-Projects (RUN-BAU)'!O4</f>
        <v>0</v>
      </c>
      <c r="V11" s="104">
        <f>'Non-Projects (RUN-BAU)'!F4</f>
        <v>0</v>
      </c>
      <c r="W11" s="104">
        <f>'Non-Projects (RUN-BAU)'!AA4</f>
        <v>0</v>
      </c>
      <c r="X11" s="104">
        <f>'Non-Projects (RUN-BAU)'!U4</f>
        <v>0</v>
      </c>
      <c r="Y11" s="104">
        <f>'Non-Projects (RUN-BAU)'!R4</f>
        <v>0</v>
      </c>
      <c r="Z11" s="104">
        <f>'Non-Projects (RUN-BAU)'!AC4</f>
        <v>0</v>
      </c>
      <c r="AA11" s="104">
        <f>'Non-Projects (RUN-BAU)'!AB4</f>
        <v>0</v>
      </c>
      <c r="AB11" s="104">
        <f>'Non-Projects (RUN-BAU)'!CV4</f>
        <v>0</v>
      </c>
      <c r="AC11" s="104">
        <f>'Non-Projects (RUN-BAU)'!DA4</f>
        <v>0</v>
      </c>
      <c r="AD11" s="104">
        <f>'Non-Projects (RUN-BAU)'!AL4</f>
        <v>0</v>
      </c>
      <c r="AE11" s="104">
        <f>'Non-Projects (RUN-BAU)'!AG4</f>
        <v>0</v>
      </c>
      <c r="AF11" s="104">
        <f>'Non-Projects (RUN-BAU)'!BV4+'Non-Projects (RUN-BAU)'!BZ4</f>
        <v>0</v>
      </c>
      <c r="AG11" s="104">
        <f>'Non-Projects (RUN-BAU)'!CR4</f>
        <v>0</v>
      </c>
    </row>
    <row r="12" spans="1:33" ht="15" thickBot="1" x14ac:dyDescent="0.25"/>
    <row r="13" spans="1:33" ht="15" thickBot="1" x14ac:dyDescent="0.25">
      <c r="B13" t="s">
        <v>3785</v>
      </c>
      <c r="C13" s="116">
        <f t="shared" ref="C13:X13" si="3">SUM(C9:C11)</f>
        <v>0</v>
      </c>
      <c r="D13" s="116">
        <f t="shared" si="3"/>
        <v>0</v>
      </c>
      <c r="E13" s="116">
        <f t="shared" si="3"/>
        <v>0</v>
      </c>
      <c r="F13" s="116">
        <f t="shared" si="3"/>
        <v>0</v>
      </c>
      <c r="G13" s="116">
        <f>SUM(G9:G11)</f>
        <v>0</v>
      </c>
      <c r="H13" s="129">
        <f t="shared" si="3"/>
        <v>0</v>
      </c>
      <c r="I13" s="130">
        <f t="shared" si="3"/>
        <v>0</v>
      </c>
      <c r="J13" s="130">
        <f t="shared" si="3"/>
        <v>0</v>
      </c>
      <c r="K13" s="130">
        <f t="shared" si="3"/>
        <v>0</v>
      </c>
      <c r="L13" s="131">
        <f t="shared" si="3"/>
        <v>0</v>
      </c>
      <c r="M13" s="116">
        <f t="shared" si="3"/>
        <v>0</v>
      </c>
      <c r="N13" s="116">
        <f t="shared" si="3"/>
        <v>0</v>
      </c>
      <c r="O13" s="116">
        <f t="shared" si="3"/>
        <v>0</v>
      </c>
      <c r="P13" s="116">
        <f t="shared" si="3"/>
        <v>0</v>
      </c>
      <c r="Q13" s="116">
        <f t="shared" si="3"/>
        <v>0</v>
      </c>
      <c r="R13" s="116">
        <f t="shared" si="3"/>
        <v>0</v>
      </c>
      <c r="S13" s="116">
        <f t="shared" si="3"/>
        <v>0</v>
      </c>
      <c r="T13" s="116">
        <f t="shared" si="3"/>
        <v>0</v>
      </c>
      <c r="U13" s="116">
        <f t="shared" si="3"/>
        <v>0</v>
      </c>
      <c r="V13" s="116">
        <f t="shared" si="3"/>
        <v>0</v>
      </c>
      <c r="W13" s="116">
        <f t="shared" si="3"/>
        <v>0</v>
      </c>
      <c r="X13" s="116">
        <f t="shared" si="3"/>
        <v>0</v>
      </c>
      <c r="Y13" s="116">
        <f t="shared" ref="Y13:AG13" si="4">SUM(Y9:Y11)</f>
        <v>0</v>
      </c>
      <c r="Z13" s="116">
        <f>SUM(Z9:Z11)</f>
        <v>0</v>
      </c>
      <c r="AA13" s="116">
        <f t="shared" si="4"/>
        <v>0</v>
      </c>
      <c r="AB13" s="116">
        <f t="shared" si="4"/>
        <v>0</v>
      </c>
      <c r="AC13" s="116">
        <f t="shared" si="4"/>
        <v>0</v>
      </c>
      <c r="AD13" s="116">
        <f t="shared" si="4"/>
        <v>0</v>
      </c>
      <c r="AE13" s="116">
        <f t="shared" si="4"/>
        <v>0</v>
      </c>
      <c r="AF13" s="116">
        <f t="shared" si="4"/>
        <v>0</v>
      </c>
      <c r="AG13" s="116">
        <f t="shared" si="4"/>
        <v>0</v>
      </c>
    </row>
    <row r="15" spans="1:33" x14ac:dyDescent="0.2">
      <c r="L15" s="116">
        <f>SUM(H13:L13)</f>
        <v>0</v>
      </c>
      <c r="AG15" s="116">
        <f>SUM(13:13)</f>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A5380-8F32-47CF-837C-9614E5F8FA7A}">
  <sheetPr>
    <tabColor rgb="FFFFC000"/>
  </sheetPr>
  <dimension ref="A1:I50"/>
  <sheetViews>
    <sheetView workbookViewId="0">
      <selection activeCell="C30" sqref="C30"/>
    </sheetView>
  </sheetViews>
  <sheetFormatPr baseColWidth="10" defaultColWidth="11" defaultRowHeight="14.25" x14ac:dyDescent="0.2"/>
  <cols>
    <col min="1" max="1" bestFit="true" customWidth="true" width="20.5" collapsed="false"/>
    <col min="2" max="2" bestFit="true" customWidth="true" width="23.125" collapsed="false"/>
    <col min="3" max="3" bestFit="true" customWidth="true" width="26.0" collapsed="false"/>
  </cols>
  <sheetData>
    <row r="1" spans="1:9" x14ac:dyDescent="0.2">
      <c r="E1" t="s">
        <v>3787</v>
      </c>
    </row>
    <row r="2" spans="1:9" x14ac:dyDescent="0.2">
      <c r="A2" s="106" t="s">
        <v>2138</v>
      </c>
      <c r="B2" t="s">
        <v>119</v>
      </c>
    </row>
    <row r="3" spans="1:9" x14ac:dyDescent="0.2">
      <c r="A3" s="106" t="s">
        <v>2137</v>
      </c>
      <c r="B3" t="s">
        <v>2158</v>
      </c>
    </row>
    <row r="4" spans="1:9" ht="15" x14ac:dyDescent="0.25">
      <c r="E4" s="108" t="s">
        <v>3783</v>
      </c>
      <c r="F4" s="108" t="s">
        <v>3788</v>
      </c>
      <c r="G4" s="108" t="s">
        <v>1685</v>
      </c>
      <c r="I4" s="108" t="s">
        <v>3789</v>
      </c>
    </row>
    <row r="5" spans="1:9" x14ac:dyDescent="0.2">
      <c r="A5" s="106" t="s">
        <v>3790</v>
      </c>
      <c r="B5" t="s">
        <v>3791</v>
      </c>
      <c r="C5" t="s">
        <v>3792</v>
      </c>
    </row>
    <row r="6" spans="1:9" x14ac:dyDescent="0.2">
      <c r="A6" s="107" t="s">
        <v>3793</v>
      </c>
      <c r="B6">
        <v>51.3</v>
      </c>
      <c r="C6">
        <v>100</v>
      </c>
      <c r="E6" s="102">
        <f>_xlfn.XLOOKUP(A6,'New Projects'!C:C,'New Projects'!AL:AL,0,0)</f>
        <v>0</v>
      </c>
      <c r="F6" s="102">
        <f>_xlfn.XLOOKUP(A6,'Ongoing Projects'!B:B,'Ongoing Projects'!AI:AI,0,0)</f>
        <v>0</v>
      </c>
      <c r="G6" s="102">
        <f>_xlfn.XLOOKUP(A6,'Non-Projects (RUN-BAU)'!B:B,'Non-Projects (RUN-BAU)'!Z:Z,0,0)</f>
        <v>0</v>
      </c>
      <c r="I6" s="102" t="str">
        <f>IF(C6=SUM(E6:G6),"","!!!")</f>
        <v>!!!</v>
      </c>
    </row>
    <row r="7" spans="1:9" x14ac:dyDescent="0.2">
      <c r="A7" s="107" t="s">
        <v>1655</v>
      </c>
      <c r="B7">
        <v>333.45</v>
      </c>
      <c r="C7">
        <v>650</v>
      </c>
      <c r="E7" s="102">
        <f>_xlfn.XLOOKUP(A7,'New Projects'!C:C,'New Projects'!AL:AL,0,0)</f>
        <v>0</v>
      </c>
      <c r="F7" s="102">
        <f>_xlfn.XLOOKUP(A7,'Ongoing Projects'!B:B,'Ongoing Projects'!AI:AI,0,0)</f>
        <v>0</v>
      </c>
      <c r="G7" s="102">
        <f>_xlfn.XLOOKUP(A7,'Non-Projects (RUN-BAU)'!B:B,'Non-Projects (RUN-BAU)'!Z:Z,0,0)</f>
        <v>0</v>
      </c>
      <c r="I7" s="102" t="str">
        <f t="shared" ref="I7:I22" si="0">IF(C7=SUM(E7:G7),"","!!!")</f>
        <v>!!!</v>
      </c>
    </row>
    <row r="8" spans="1:9" x14ac:dyDescent="0.2">
      <c r="A8" s="107" t="s">
        <v>3794</v>
      </c>
      <c r="B8">
        <v>25.65</v>
      </c>
      <c r="C8">
        <v>50</v>
      </c>
      <c r="E8" s="102">
        <f>_xlfn.XLOOKUP(A8,'New Projects'!C:C,'New Projects'!AL:AL,0,0)</f>
        <v>0</v>
      </c>
      <c r="F8" s="102">
        <f>_xlfn.XLOOKUP(A8,'Ongoing Projects'!B:B,'Ongoing Projects'!AI:AI,0,0)</f>
        <v>0</v>
      </c>
      <c r="G8" s="102">
        <f>_xlfn.XLOOKUP(A8,'Non-Projects (RUN-BAU)'!B:B,'Non-Projects (RUN-BAU)'!Z:Z,0,0)</f>
        <v>0</v>
      </c>
      <c r="I8" s="102" t="str">
        <f t="shared" si="0"/>
        <v>!!!</v>
      </c>
    </row>
    <row r="9" spans="1:9" x14ac:dyDescent="0.2">
      <c r="A9" s="107" t="s">
        <v>3795</v>
      </c>
      <c r="B9">
        <v>51.3</v>
      </c>
      <c r="C9">
        <v>100</v>
      </c>
      <c r="E9" s="102">
        <f>_xlfn.XLOOKUP(A9,'New Projects'!C:C,'New Projects'!AL:AL,0,0)</f>
        <v>0</v>
      </c>
      <c r="F9" s="102">
        <f>_xlfn.XLOOKUP(A9,'Ongoing Projects'!B:B,'Ongoing Projects'!AI:AI,0,0)</f>
        <v>0</v>
      </c>
      <c r="G9" s="102">
        <f>_xlfn.XLOOKUP(A9,'Non-Projects (RUN-BAU)'!B:B,'Non-Projects (RUN-BAU)'!Z:Z,0,0)</f>
        <v>0</v>
      </c>
      <c r="I9" s="102" t="str">
        <f t="shared" si="0"/>
        <v>!!!</v>
      </c>
    </row>
    <row r="10" spans="1:9" x14ac:dyDescent="0.2">
      <c r="A10" s="107" t="s">
        <v>3796</v>
      </c>
      <c r="B10">
        <v>76.95</v>
      </c>
      <c r="C10">
        <v>150</v>
      </c>
      <c r="E10" s="102">
        <f>_xlfn.XLOOKUP(A10,'New Projects'!C:C,'New Projects'!AL:AL,0,0)</f>
        <v>0</v>
      </c>
      <c r="F10" s="102">
        <f>_xlfn.XLOOKUP(A10,'Ongoing Projects'!B:B,'Ongoing Projects'!AI:AI,0,0)</f>
        <v>0</v>
      </c>
      <c r="G10" s="102">
        <f>_xlfn.XLOOKUP(A10,'Non-Projects (RUN-BAU)'!B:B,'Non-Projects (RUN-BAU)'!Z:Z,0,0)</f>
        <v>0</v>
      </c>
      <c r="I10" s="102" t="str">
        <f t="shared" si="0"/>
        <v>!!!</v>
      </c>
    </row>
    <row r="11" spans="1:9" x14ac:dyDescent="0.2">
      <c r="A11" s="107" t="s">
        <v>3797</v>
      </c>
      <c r="B11">
        <v>51.3</v>
      </c>
      <c r="C11">
        <v>100</v>
      </c>
      <c r="E11" s="102">
        <f>_xlfn.XLOOKUP(A11,'New Projects'!C:C,'New Projects'!AL:AL,0,0)</f>
        <v>0</v>
      </c>
      <c r="F11" s="102">
        <f>_xlfn.XLOOKUP(A11,'Ongoing Projects'!B:B,'Ongoing Projects'!AI:AI,0,0)</f>
        <v>0</v>
      </c>
      <c r="G11" s="102">
        <f>_xlfn.XLOOKUP(A11,'Non-Projects (RUN-BAU)'!B:B,'Non-Projects (RUN-BAU)'!Z:Z,0,0)</f>
        <v>0</v>
      </c>
      <c r="I11" s="102" t="str">
        <f t="shared" si="0"/>
        <v>!!!</v>
      </c>
    </row>
    <row r="12" spans="1:9" x14ac:dyDescent="0.2">
      <c r="A12" s="107" t="s">
        <v>3798</v>
      </c>
      <c r="B12">
        <v>64.125</v>
      </c>
      <c r="C12">
        <v>125</v>
      </c>
      <c r="E12" s="102">
        <f>_xlfn.XLOOKUP(A12,'New Projects'!C:C,'New Projects'!AL:AL,0,0)</f>
        <v>0</v>
      </c>
      <c r="F12" s="102">
        <f>_xlfn.XLOOKUP(A12,'Ongoing Projects'!B:B,'Ongoing Projects'!AI:AI,0,0)</f>
        <v>0</v>
      </c>
      <c r="G12" s="102">
        <f>_xlfn.XLOOKUP(A12,'Non-Projects (RUN-BAU)'!B:B,'Non-Projects (RUN-BAU)'!Z:Z,0,0)</f>
        <v>0</v>
      </c>
      <c r="I12" s="102" t="str">
        <f t="shared" si="0"/>
        <v>!!!</v>
      </c>
    </row>
    <row r="13" spans="1:9" x14ac:dyDescent="0.2">
      <c r="A13" s="107" t="s">
        <v>3799</v>
      </c>
      <c r="B13">
        <v>64.125</v>
      </c>
      <c r="C13">
        <v>125</v>
      </c>
      <c r="E13" s="102">
        <f>_xlfn.XLOOKUP(A13,'New Projects'!C:C,'New Projects'!AL:AL,0,0)</f>
        <v>0</v>
      </c>
      <c r="F13" s="102">
        <f>_xlfn.XLOOKUP(A13,'Ongoing Projects'!B:B,'Ongoing Projects'!AI:AI,0,0)</f>
        <v>0</v>
      </c>
      <c r="G13" s="102">
        <f>_xlfn.XLOOKUP(A13,'Non-Projects (RUN-BAU)'!B:B,'Non-Projects (RUN-BAU)'!Z:Z,0,0)</f>
        <v>0</v>
      </c>
      <c r="I13" s="102" t="str">
        <f t="shared" si="0"/>
        <v>!!!</v>
      </c>
    </row>
    <row r="14" spans="1:9" x14ac:dyDescent="0.2">
      <c r="A14" s="107" t="s">
        <v>3800</v>
      </c>
      <c r="B14">
        <v>25.65</v>
      </c>
      <c r="C14">
        <v>50</v>
      </c>
      <c r="E14" s="102">
        <f>_xlfn.XLOOKUP(A14,'New Projects'!C:C,'New Projects'!AL:AL,0,0)</f>
        <v>0</v>
      </c>
      <c r="F14" s="102">
        <f>_xlfn.XLOOKUP(A14,'Ongoing Projects'!B:B,'Ongoing Projects'!AI:AI,0,0)</f>
        <v>0</v>
      </c>
      <c r="G14" s="102">
        <f>_xlfn.XLOOKUP(A14,'Non-Projects (RUN-BAU)'!B:B,'Non-Projects (RUN-BAU)'!Z:Z,0,0)</f>
        <v>0</v>
      </c>
      <c r="I14" s="102" t="str">
        <f t="shared" si="0"/>
        <v>!!!</v>
      </c>
    </row>
    <row r="15" spans="1:9" x14ac:dyDescent="0.2">
      <c r="A15" s="107" t="s">
        <v>3801</v>
      </c>
      <c r="B15">
        <v>25.65</v>
      </c>
      <c r="C15">
        <v>50</v>
      </c>
      <c r="E15" s="102">
        <f>_xlfn.XLOOKUP(A15,'New Projects'!C:C,'New Projects'!AL:AL,0,0)</f>
        <v>0</v>
      </c>
      <c r="F15" s="102">
        <f>_xlfn.XLOOKUP(A15,'Ongoing Projects'!B:B,'Ongoing Projects'!AI:AI,0,0)</f>
        <v>0</v>
      </c>
      <c r="G15" s="102">
        <f>_xlfn.XLOOKUP(A15,'Non-Projects (RUN-BAU)'!B:B,'Non-Projects (RUN-BAU)'!Z:Z,0,0)</f>
        <v>0</v>
      </c>
      <c r="I15" s="102" t="str">
        <f t="shared" si="0"/>
        <v>!!!</v>
      </c>
    </row>
    <row r="16" spans="1:9" x14ac:dyDescent="0.2">
      <c r="A16" s="107" t="s">
        <v>3802</v>
      </c>
      <c r="B16">
        <v>179.55</v>
      </c>
      <c r="C16">
        <v>350</v>
      </c>
      <c r="E16" s="102">
        <f>_xlfn.XLOOKUP(A16,'New Projects'!C:C,'New Projects'!AL:AL,0,0)</f>
        <v>0</v>
      </c>
      <c r="F16" s="102">
        <f>_xlfn.XLOOKUP(A16,'Ongoing Projects'!B:B,'Ongoing Projects'!AI:AI,0,0)</f>
        <v>0</v>
      </c>
      <c r="G16" s="102">
        <f>_xlfn.XLOOKUP(A16,'Non-Projects (RUN-BAU)'!B:B,'Non-Projects (RUN-BAU)'!Z:Z,0,0)</f>
        <v>0</v>
      </c>
      <c r="I16" s="102" t="str">
        <f t="shared" si="0"/>
        <v>!!!</v>
      </c>
    </row>
    <row r="17" spans="1:9" x14ac:dyDescent="0.2">
      <c r="A17" s="107" t="s">
        <v>3803</v>
      </c>
      <c r="B17">
        <v>35.909999999999997</v>
      </c>
      <c r="C17">
        <v>70</v>
      </c>
      <c r="E17" s="102">
        <f>_xlfn.XLOOKUP(A17,'New Projects'!C:C,'New Projects'!AL:AL,0,0)</f>
        <v>0</v>
      </c>
      <c r="F17" s="102">
        <f>_xlfn.XLOOKUP(A17,'Ongoing Projects'!B:B,'Ongoing Projects'!AI:AI,0,0)</f>
        <v>0</v>
      </c>
      <c r="G17" s="102">
        <f>_xlfn.XLOOKUP(A17,'Non-Projects (RUN-BAU)'!B:B,'Non-Projects (RUN-BAU)'!Z:Z,0,0)</f>
        <v>0</v>
      </c>
      <c r="I17" s="102" t="str">
        <f t="shared" si="0"/>
        <v>!!!</v>
      </c>
    </row>
    <row r="18" spans="1:9" x14ac:dyDescent="0.2">
      <c r="A18" s="107" t="s">
        <v>1665</v>
      </c>
      <c r="B18">
        <v>12.824999999999999</v>
      </c>
      <c r="C18">
        <v>25</v>
      </c>
      <c r="E18" s="102">
        <f>_xlfn.XLOOKUP(A18,'New Projects'!C:C,'New Projects'!AL:AL,0,0)</f>
        <v>0</v>
      </c>
      <c r="F18" s="102">
        <f>_xlfn.XLOOKUP(A18,'Ongoing Projects'!B:B,'Ongoing Projects'!AI:AI,0,0)</f>
        <v>0</v>
      </c>
      <c r="G18" s="102">
        <f>_xlfn.XLOOKUP(A18,'Non-Projects (RUN-BAU)'!B:B,'Non-Projects (RUN-BAU)'!Z:Z,0,0)</f>
        <v>0</v>
      </c>
      <c r="I18" s="102" t="str">
        <f t="shared" si="0"/>
        <v>!!!</v>
      </c>
    </row>
    <row r="19" spans="1:9" x14ac:dyDescent="0.2">
      <c r="A19" s="107" t="s">
        <v>1688</v>
      </c>
      <c r="B19">
        <v>205.2</v>
      </c>
      <c r="C19">
        <v>400</v>
      </c>
      <c r="E19" s="102">
        <f>_xlfn.XLOOKUP(A19,'New Projects'!C:C,'New Projects'!AL:AL,0,0)</f>
        <v>0</v>
      </c>
      <c r="F19" s="102">
        <f>_xlfn.XLOOKUP(A19,'Ongoing Projects'!B:B,'Ongoing Projects'!AI:AI,0,0)</f>
        <v>0</v>
      </c>
      <c r="G19" s="102">
        <f>_xlfn.XLOOKUP(A19,'Non-Projects (RUN-BAU)'!B:B,'Non-Projects (RUN-BAU)'!Z:Z,0,0)</f>
        <v>0</v>
      </c>
      <c r="I19" s="102" t="str">
        <f>IF(C19=SUM(E19:G19),"","!!!")</f>
        <v>!!!</v>
      </c>
    </row>
    <row r="20" spans="1:9" x14ac:dyDescent="0.2">
      <c r="A20" s="107" t="s">
        <v>3804</v>
      </c>
      <c r="B20">
        <v>51.3</v>
      </c>
      <c r="C20">
        <v>100</v>
      </c>
      <c r="E20" s="102">
        <f>_xlfn.XLOOKUP(A20,'New Projects'!C:C,'New Projects'!AL:AL,0,0)</f>
        <v>0</v>
      </c>
      <c r="F20" s="102">
        <f>_xlfn.XLOOKUP(A20,'Ongoing Projects'!B:B,'Ongoing Projects'!AI:AI,0,0)</f>
        <v>0</v>
      </c>
      <c r="G20" s="102">
        <f>_xlfn.XLOOKUP(A20,'Non-Projects (RUN-BAU)'!B:B,'Non-Projects (RUN-BAU)'!Z:Z,0,0)</f>
        <v>0</v>
      </c>
      <c r="I20" s="102" t="str">
        <f t="shared" si="0"/>
        <v>!!!</v>
      </c>
    </row>
    <row r="21" spans="1:9" x14ac:dyDescent="0.2">
      <c r="A21" s="107" t="s">
        <v>3805</v>
      </c>
      <c r="B21">
        <v>153.9</v>
      </c>
      <c r="C21">
        <v>300</v>
      </c>
      <c r="E21" s="102">
        <f>_xlfn.XLOOKUP(A21,'New Projects'!C:C,'New Projects'!AL:AL,0,0)</f>
        <v>0</v>
      </c>
      <c r="F21" s="102">
        <f>_xlfn.XLOOKUP(A21,'Ongoing Projects'!B:B,'Ongoing Projects'!AI:AI,0,0)</f>
        <v>0</v>
      </c>
      <c r="G21" s="102">
        <f>_xlfn.XLOOKUP(A21,'Non-Projects (RUN-BAU)'!B:B,'Non-Projects (RUN-BAU)'!Z:Z,0,0)</f>
        <v>0</v>
      </c>
      <c r="I21" s="102" t="str">
        <f t="shared" si="0"/>
        <v>!!!</v>
      </c>
    </row>
    <row r="22" spans="1:9" x14ac:dyDescent="0.2">
      <c r="A22" s="107" t="s">
        <v>3806</v>
      </c>
      <c r="B22">
        <v>102.6</v>
      </c>
      <c r="C22">
        <v>200</v>
      </c>
      <c r="E22" s="102">
        <f>_xlfn.XLOOKUP(A22,'New Projects'!C:C,'New Projects'!AL:AL,0,0)</f>
        <v>0</v>
      </c>
      <c r="F22" s="102">
        <f>_xlfn.XLOOKUP(A22,'Ongoing Projects'!B:B,'Ongoing Projects'!AI:AI,0,0)</f>
        <v>0</v>
      </c>
      <c r="G22" s="102">
        <f>_xlfn.XLOOKUP(A22,'Non-Projects (RUN-BAU)'!B:B,'Non-Projects (RUN-BAU)'!Z:Z,0,0)</f>
        <v>0</v>
      </c>
      <c r="I22" s="102" t="str">
        <f t="shared" si="0"/>
        <v>!!!</v>
      </c>
    </row>
    <row r="23" spans="1:9" x14ac:dyDescent="0.2">
      <c r="A23" s="107" t="s">
        <v>1788</v>
      </c>
      <c r="B23">
        <v>153.9</v>
      </c>
      <c r="C23">
        <v>300</v>
      </c>
    </row>
    <row r="24" spans="1:9" x14ac:dyDescent="0.2">
      <c r="A24" s="107" t="s">
        <v>2107</v>
      </c>
      <c r="B24">
        <v>0</v>
      </c>
      <c r="C24">
        <v>0</v>
      </c>
    </row>
    <row r="25" spans="1:9" x14ac:dyDescent="0.2">
      <c r="A25" s="107" t="s">
        <v>3807</v>
      </c>
      <c r="B25">
        <v>1664.6849999999999</v>
      </c>
      <c r="C25">
        <v>3245</v>
      </c>
    </row>
    <row r="36" spans="5:9" x14ac:dyDescent="0.2">
      <c r="E36" s="102" t="str">
        <f>_xlfn.XLOOKUP(A36,'New Projects'!C:C,'New Projects'!AN:AN,0,0)</f>
        <v>OCH</v>
      </c>
      <c r="F36" s="102" t="str">
        <f>_xlfn.XLOOKUP(A36,'Ongoing Projects'!B:B,'Ongoing Projects'!AM:AM,0,0)</f>
        <v>OCH</v>
      </c>
      <c r="G36" s="102" t="str">
        <f>_xlfn.XLOOKUP(A36,'Non-Projects (RUN-BAU)'!B:B,'Non-Projects (RUN-BAU)'!AB:AB,0,0)</f>
        <v>OCH</v>
      </c>
      <c r="I36" s="102" t="str">
        <f t="shared" ref="I36:I50" si="1">IF(C36=SUM(E36:G36),"","!!!")</f>
        <v/>
      </c>
    </row>
    <row r="37" spans="5:9" x14ac:dyDescent="0.2">
      <c r="E37" s="102" t="str">
        <f>_xlfn.XLOOKUP(A37,'New Projects'!C:C,'New Projects'!AN:AN,0,0)</f>
        <v>OCH</v>
      </c>
      <c r="F37" s="102" t="str">
        <f>_xlfn.XLOOKUP(A37,'Ongoing Projects'!B:B,'Ongoing Projects'!AM:AM,0,0)</f>
        <v>OCH</v>
      </c>
      <c r="G37" s="102" t="str">
        <f>_xlfn.XLOOKUP(A37,'Non-Projects (RUN-BAU)'!B:B,'Non-Projects (RUN-BAU)'!AB:AB,0,0)</f>
        <v>OCH</v>
      </c>
      <c r="I37" s="102" t="str">
        <f t="shared" si="1"/>
        <v/>
      </c>
    </row>
    <row r="38" spans="5:9" x14ac:dyDescent="0.2">
      <c r="E38" s="102" t="str">
        <f>_xlfn.XLOOKUP(A38,'New Projects'!C:C,'New Projects'!AN:AN,0,0)</f>
        <v>OCH</v>
      </c>
      <c r="F38" s="102" t="str">
        <f>_xlfn.XLOOKUP(A38,'Ongoing Projects'!B:B,'Ongoing Projects'!AM:AM,0,0)</f>
        <v>OCH</v>
      </c>
      <c r="G38" s="102" t="str">
        <f>_xlfn.XLOOKUP(A38,'Non-Projects (RUN-BAU)'!B:B,'Non-Projects (RUN-BAU)'!AB:AB,0,0)</f>
        <v>OCH</v>
      </c>
      <c r="I38" s="102" t="str">
        <f t="shared" si="1"/>
        <v/>
      </c>
    </row>
    <row r="39" spans="5:9" x14ac:dyDescent="0.2">
      <c r="E39" s="102" t="str">
        <f>_xlfn.XLOOKUP(A39,'New Projects'!C:C,'New Projects'!AN:AN,0,0)</f>
        <v>OCH</v>
      </c>
      <c r="F39" s="102" t="str">
        <f>_xlfn.XLOOKUP(A39,'Ongoing Projects'!B:B,'Ongoing Projects'!AM:AM,0,0)</f>
        <v>OCH</v>
      </c>
      <c r="G39" s="102" t="str">
        <f>_xlfn.XLOOKUP(A39,'Non-Projects (RUN-BAU)'!B:B,'Non-Projects (RUN-BAU)'!AB:AB,0,0)</f>
        <v>OCH</v>
      </c>
      <c r="I39" s="102" t="str">
        <f t="shared" si="1"/>
        <v/>
      </c>
    </row>
    <row r="40" spans="5:9" x14ac:dyDescent="0.2">
      <c r="E40" s="102" t="str">
        <f>_xlfn.XLOOKUP(A40,'New Projects'!C:C,'New Projects'!AN:AN,0,0)</f>
        <v>OCH</v>
      </c>
      <c r="F40" s="102" t="str">
        <f>_xlfn.XLOOKUP(A40,'Ongoing Projects'!B:B,'Ongoing Projects'!AM:AM,0,0)</f>
        <v>OCH</v>
      </c>
      <c r="G40" s="102" t="str">
        <f>_xlfn.XLOOKUP(A40,'Non-Projects (RUN-BAU)'!B:B,'Non-Projects (RUN-BAU)'!AB:AB,0,0)</f>
        <v>OCH</v>
      </c>
      <c r="I40" s="102" t="str">
        <f t="shared" si="1"/>
        <v/>
      </c>
    </row>
    <row r="41" spans="5:9" x14ac:dyDescent="0.2">
      <c r="E41" s="102" t="str">
        <f>_xlfn.XLOOKUP(A41,'New Projects'!C:C,'New Projects'!AN:AN,0,0)</f>
        <v>OCH</v>
      </c>
      <c r="F41" s="102" t="str">
        <f>_xlfn.XLOOKUP(A41,'Ongoing Projects'!B:B,'Ongoing Projects'!AM:AM,0,0)</f>
        <v>OCH</v>
      </c>
      <c r="G41" s="102" t="str">
        <f>_xlfn.XLOOKUP(A41,'Non-Projects (RUN-BAU)'!B:B,'Non-Projects (RUN-BAU)'!AB:AB,0,0)</f>
        <v>OCH</v>
      </c>
      <c r="I41" s="102" t="str">
        <f t="shared" si="1"/>
        <v/>
      </c>
    </row>
    <row r="42" spans="5:9" x14ac:dyDescent="0.2">
      <c r="E42" s="102" t="str">
        <f>_xlfn.XLOOKUP(A42,'New Projects'!C:C,'New Projects'!AN:AN,0,0)</f>
        <v>OCH</v>
      </c>
      <c r="F42" s="102" t="str">
        <f>_xlfn.XLOOKUP(A42,'Ongoing Projects'!B:B,'Ongoing Projects'!AM:AM,0,0)</f>
        <v>OCH</v>
      </c>
      <c r="G42" s="102" t="str">
        <f>_xlfn.XLOOKUP(A42,'Non-Projects (RUN-BAU)'!B:B,'Non-Projects (RUN-BAU)'!AB:AB,0,0)</f>
        <v>OCH</v>
      </c>
      <c r="I42" s="102" t="str">
        <f t="shared" si="1"/>
        <v/>
      </c>
    </row>
    <row r="43" spans="5:9" x14ac:dyDescent="0.2">
      <c r="E43" s="102" t="str">
        <f>_xlfn.XLOOKUP(A43,'New Projects'!C:C,'New Projects'!AN:AN,0,0)</f>
        <v>OCH</v>
      </c>
      <c r="F43" s="102" t="str">
        <f>_xlfn.XLOOKUP(A43,'Ongoing Projects'!B:B,'Ongoing Projects'!AM:AM,0,0)</f>
        <v>OCH</v>
      </c>
      <c r="G43" s="102" t="str">
        <f>_xlfn.XLOOKUP(A43,'Non-Projects (RUN-BAU)'!B:B,'Non-Projects (RUN-BAU)'!AB:AB,0,0)</f>
        <v>OCH</v>
      </c>
      <c r="I43" s="102" t="str">
        <f t="shared" si="1"/>
        <v/>
      </c>
    </row>
    <row r="44" spans="5:9" x14ac:dyDescent="0.2">
      <c r="E44" s="102" t="str">
        <f>_xlfn.XLOOKUP(A44,'New Projects'!C:C,'New Projects'!AN:AN,0,0)</f>
        <v>OCH</v>
      </c>
      <c r="F44" s="102" t="str">
        <f>_xlfn.XLOOKUP(A44,'Ongoing Projects'!B:B,'Ongoing Projects'!AM:AM,0,0)</f>
        <v>OCH</v>
      </c>
      <c r="G44" s="102" t="str">
        <f>_xlfn.XLOOKUP(A44,'Non-Projects (RUN-BAU)'!B:B,'Non-Projects (RUN-BAU)'!AB:AB,0,0)</f>
        <v>OCH</v>
      </c>
      <c r="I44" s="102" t="str">
        <f t="shared" si="1"/>
        <v/>
      </c>
    </row>
    <row r="45" spans="5:9" x14ac:dyDescent="0.2">
      <c r="E45" s="102" t="str">
        <f>_xlfn.XLOOKUP(A45,'New Projects'!C:C,'New Projects'!AN:AN,0,0)</f>
        <v>OCH</v>
      </c>
      <c r="F45" s="102" t="str">
        <f>_xlfn.XLOOKUP(A45,'Ongoing Projects'!B:B,'Ongoing Projects'!AM:AM,0,0)</f>
        <v>OCH</v>
      </c>
      <c r="G45" s="102" t="str">
        <f>_xlfn.XLOOKUP(A45,'Non-Projects (RUN-BAU)'!B:B,'Non-Projects (RUN-BAU)'!AB:AB,0,0)</f>
        <v>OCH</v>
      </c>
      <c r="I45" s="102" t="str">
        <f t="shared" si="1"/>
        <v/>
      </c>
    </row>
    <row r="46" spans="5:9" x14ac:dyDescent="0.2">
      <c r="E46" s="102" t="str">
        <f>_xlfn.XLOOKUP(A46,'New Projects'!C:C,'New Projects'!AN:AN,0,0)</f>
        <v>OCH</v>
      </c>
      <c r="F46" s="102" t="str">
        <f>_xlfn.XLOOKUP(A46,'Ongoing Projects'!B:B,'Ongoing Projects'!AM:AM,0,0)</f>
        <v>OCH</v>
      </c>
      <c r="G46" s="102" t="str">
        <f>_xlfn.XLOOKUP(A46,'Non-Projects (RUN-BAU)'!B:B,'Non-Projects (RUN-BAU)'!AB:AB,0,0)</f>
        <v>OCH</v>
      </c>
      <c r="I46" s="102" t="str">
        <f t="shared" si="1"/>
        <v/>
      </c>
    </row>
    <row r="47" spans="5:9" x14ac:dyDescent="0.2">
      <c r="E47" s="102" t="str">
        <f>_xlfn.XLOOKUP(A47,'New Projects'!C:C,'New Projects'!AN:AN,0,0)</f>
        <v>OCH</v>
      </c>
      <c r="F47" s="102" t="str">
        <f>_xlfn.XLOOKUP(A47,'Ongoing Projects'!B:B,'Ongoing Projects'!AM:AM,0,0)</f>
        <v>OCH</v>
      </c>
      <c r="G47" s="102" t="str">
        <f>_xlfn.XLOOKUP(A47,'Non-Projects (RUN-BAU)'!B:B,'Non-Projects (RUN-BAU)'!AB:AB,0,0)</f>
        <v>OCH</v>
      </c>
      <c r="I47" s="102" t="str">
        <f t="shared" si="1"/>
        <v/>
      </c>
    </row>
    <row r="48" spans="5:9" x14ac:dyDescent="0.2">
      <c r="E48" s="102" t="str">
        <f>_xlfn.XLOOKUP(A48,'New Projects'!C:C,'New Projects'!AN:AN,0,0)</f>
        <v>OCH</v>
      </c>
      <c r="F48" s="102" t="str">
        <f>_xlfn.XLOOKUP(A48,'Ongoing Projects'!B:B,'Ongoing Projects'!AM:AM,0,0)</f>
        <v>OCH</v>
      </c>
      <c r="G48" s="102" t="str">
        <f>_xlfn.XLOOKUP(A48,'Non-Projects (RUN-BAU)'!B:B,'Non-Projects (RUN-BAU)'!AB:AB,0,0)</f>
        <v>OCH</v>
      </c>
      <c r="I48" s="102" t="str">
        <f t="shared" si="1"/>
        <v/>
      </c>
    </row>
    <row r="49" spans="5:9" x14ac:dyDescent="0.2">
      <c r="E49" s="102" t="str">
        <f>_xlfn.XLOOKUP(A49,'New Projects'!C:C,'New Projects'!AN:AN,0,0)</f>
        <v>OCH</v>
      </c>
      <c r="F49" s="102" t="str">
        <f>_xlfn.XLOOKUP(A49,'Ongoing Projects'!B:B,'Ongoing Projects'!AM:AM,0,0)</f>
        <v>OCH</v>
      </c>
      <c r="G49" s="102" t="str">
        <f>_xlfn.XLOOKUP(A49,'Non-Projects (RUN-BAU)'!B:B,'Non-Projects (RUN-BAU)'!AB:AB,0,0)</f>
        <v>OCH</v>
      </c>
      <c r="I49" s="102" t="str">
        <f t="shared" si="1"/>
        <v/>
      </c>
    </row>
    <row r="50" spans="5:9" x14ac:dyDescent="0.2">
      <c r="E50" s="102" t="str">
        <f>_xlfn.XLOOKUP(A50,'New Projects'!C:C,'New Projects'!AN:AN,0,0)</f>
        <v>OCH</v>
      </c>
      <c r="F50" s="102" t="str">
        <f>_xlfn.XLOOKUP(A50,'Ongoing Projects'!B:B,'Ongoing Projects'!AM:AM,0,0)</f>
        <v>OCH</v>
      </c>
      <c r="G50" s="102" t="str">
        <f>_xlfn.XLOOKUP(A50,'Non-Projects (RUN-BAU)'!B:B,'Non-Projects (RUN-BAU)'!AB:AB,0,0)</f>
        <v>OCH</v>
      </c>
      <c r="I50" s="102" t="str">
        <f t="shared" si="1"/>
        <v/>
      </c>
    </row>
  </sheetData>
  <pageMargins left="0.7" right="0.7" top="0.75" bottom="0.75" header="0.3" footer="0.3"/>
  <pageSetup orientation="portrait" r:id="rId2"/>
</worksheet>
</file>

<file path=customXml/_rels/item1.xml.rels><?xml version="1.0" encoding="UTF-8" standalone="yes"?><Relationships xmlns="http://schemas.openxmlformats.org/package/2006/relationships"><Relationship Id="rId1" Target="itemProps1.xml" Type="http://schemas.openxmlformats.org/officeDocument/2006/relationships/customXmlProps"/></Relationships>
</file>

<file path=customXml/_rels/item2.xml.rels><?xml version="1.0" encoding="UTF-8" standalone="yes"?><Relationships xmlns="http://schemas.openxmlformats.org/package/2006/relationships"><Relationship Id="rId1" Target="itemProps2.xml" Type="http://schemas.openxmlformats.org/officeDocument/2006/relationships/customXmlProps"/></Relationships>
</file>

<file path=customXml/_rels/item3.xml.rels><?xml version="1.0" encoding="UTF-8" standalone="yes"?><Relationships xmlns="http://schemas.openxmlformats.org/package/2006/relationships"><Relationship Id="rId1" Target="itemProps3.xml" Type="http://schemas.openxmlformats.org/officeDocument/2006/relationships/customXmlProps"/></Relationships>
</file>

<file path=customXml/_rels/item4.xml.rels><?xml version="1.0" encoding="UTF-8" standalone="yes"?><Relationships xmlns="http://schemas.openxmlformats.org/package/2006/relationships"><Relationship Id="rId1" Target="itemProps4.xml" Type="http://schemas.openxmlformats.org/officeDocument/2006/relationships/customXmlProps"/></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adf514cb-4434-4c3e-be24-17f296c4003a">YH5DUYYN7YXQ-2108189488-323</_dlc_DocId>
    <_dlc_DocIdUrl xmlns="adf514cb-4434-4c3e-be24-17f296c4003a">
      <Url>https://worldline365.sharepoint.com/sites/MS-SPMig-HEH610/_layouts/15/DocIdRedir.aspx?ID=YH5DUYYN7YXQ-2108189488-323</Url>
      <Description>YH5DUYYN7YXQ-2108189488-323</Description>
    </_dlc_DocIdUrl>
    <LockedVersions xmlns="e50dae8b-71cf-4070-bd7c-915884bb292c" xsi:nil="true"/>
    <AdvancedVersioningLimit xmlns="e50dae8b-71cf-4070-bd7c-915884bb292c" xsi:nil="true"/>
    <Document_x0020_Type xmlns="e50dae8b-71cf-4070-bd7c-915884bb292c">Budget 2022</Document_x0020_Type>
    <Year xmlns="e50dae8b-71cf-4070-bd7c-915884bb292c">2021</Year>
    <Month xmlns="e50dae8b-71cf-4070-bd7c-915884bb292c">08</Month>
    <Archived xmlns="e50dae8b-71cf-4070-bd7c-915884bb292c">false</Archived>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C79397C8FDF9C42BA0AF58458E3CD2C" ma:contentTypeVersion="25" ma:contentTypeDescription="Create a new document." ma:contentTypeScope="" ma:versionID="f2e77bc35c18113d364aebee88610b83">
  <xsd:schema xmlns:xsd="http://www.w3.org/2001/XMLSchema" xmlns:xs="http://www.w3.org/2001/XMLSchema" xmlns:p="http://schemas.microsoft.com/office/2006/metadata/properties" xmlns:ns2="adf514cb-4434-4c3e-be24-17f296c4003a" xmlns:ns3="e50dae8b-71cf-4070-bd7c-915884bb292c" xmlns:ns4="3fee1b4b-f147-4721-bc97-a78b418603ca" xmlns:ns5="cdfea484-c141-4cf5-a454-ec9a70188873" targetNamespace="http://schemas.microsoft.com/office/2006/metadata/properties" ma:root="true" ma:fieldsID="a1bab8de8761a9f8f89de089d04f6983" ns2:_="" ns3:_="" ns4:_="" ns5:_="">
    <xsd:import namespace="adf514cb-4434-4c3e-be24-17f296c4003a"/>
    <xsd:import namespace="e50dae8b-71cf-4070-bd7c-915884bb292c"/>
    <xsd:import namespace="3fee1b4b-f147-4721-bc97-a78b418603ca"/>
    <xsd:import namespace="cdfea484-c141-4cf5-a454-ec9a70188873"/>
    <xsd:element name="properties">
      <xsd:complexType>
        <xsd:sequence>
          <xsd:element name="documentManagement">
            <xsd:complexType>
              <xsd:all>
                <xsd:element ref="ns2:_dlc_DocId" minOccurs="0"/>
                <xsd:element ref="ns2:_dlc_DocIdUrl" minOccurs="0"/>
                <xsd:element ref="ns2:_dlc_DocIdPersistId" minOccurs="0"/>
                <xsd:element ref="ns3:Year"/>
                <xsd:element ref="ns3:Month"/>
                <xsd:element ref="ns3:AdvancedVersioningLimit" minOccurs="0"/>
                <xsd:element ref="ns3:LockedVersions" minOccurs="0"/>
                <xsd:element ref="ns3:Document_x0020_Type"/>
                <xsd:element ref="ns3:Archived" minOccurs="0"/>
                <xsd:element ref="ns4:MediaServiceMetadata" minOccurs="0"/>
                <xsd:element ref="ns4:MediaServiceFastMetadata" minOccurs="0"/>
                <xsd:element ref="ns5:SharedWithUsers" minOccurs="0"/>
                <xsd:element ref="ns5: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f514cb-4434-4c3e-be24-17f296c4003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e50dae8b-71cf-4070-bd7c-915884bb292c" elementFormDefault="qualified">
    <xsd:import namespace="http://schemas.microsoft.com/office/2006/documentManagement/types"/>
    <xsd:import namespace="http://schemas.microsoft.com/office/infopath/2007/PartnerControls"/>
    <xsd:element name="Year" ma:index="11" ma:displayName="Year" ma:default="2020" ma:format="RadioButtons" ma:internalName="Year">
      <xsd:simpleType>
        <xsd:restriction base="dms:Choice">
          <xsd:enumeration value="2020"/>
          <xsd:enumeration value="2021"/>
          <xsd:enumeration value="2022"/>
        </xsd:restriction>
      </xsd:simpleType>
    </xsd:element>
    <xsd:element name="Month" ma:index="12" ma:displayName="Month" ma:default="01" ma:format="RadioButtons" ma:internalName="Month" ma:readOnly="false">
      <xsd:simpleType>
        <xsd:restriction base="dms:Choice">
          <xsd:enumeration value="01"/>
          <xsd:enumeration value="02"/>
          <xsd:enumeration value="03"/>
          <xsd:enumeration value="04"/>
          <xsd:enumeration value="05"/>
          <xsd:enumeration value="06"/>
          <xsd:enumeration value="07"/>
          <xsd:enumeration value="08"/>
          <xsd:enumeration value="09"/>
          <xsd:enumeration value="10"/>
          <xsd:enumeration value="11"/>
          <xsd:enumeration value="12"/>
        </xsd:restriction>
      </xsd:simpleType>
    </xsd:element>
    <xsd:element name="AdvancedVersioningLimit" ma:index="13" nillable="true" ma:displayName="AdvancedVersioningLimit" ma:hidden="true" ma:internalName="AdvancedVersioningLimit">
      <xsd:simpleType>
        <xsd:restriction base="dms:Text"/>
      </xsd:simpleType>
    </xsd:element>
    <xsd:element name="LockedVersions" ma:index="14" nillable="true" ma:displayName="LockedVersions" ma:hidden="true" ma:internalName="LockedVersions">
      <xsd:simpleType>
        <xsd:restriction base="dms:Text"/>
      </xsd:simpleType>
    </xsd:element>
    <xsd:element name="Document_x0020_Type" ma:index="15" ma:displayName="Document Type" ma:default="IC Preparation" ma:format="RadioButtons" ma:internalName="Document_x0020_Type">
      <xsd:simpleType>
        <xsd:restriction base="dms:Choice">
          <xsd:enumeration value="Budget 2020"/>
          <xsd:enumeration value="Budget 2021"/>
          <xsd:enumeration value="Budget 2022"/>
          <xsd:enumeration value="IC Preparation"/>
          <xsd:enumeration value="IC Monthly Report"/>
        </xsd:restriction>
      </xsd:simpleType>
    </xsd:element>
    <xsd:element name="Archived" ma:index="16" nillable="true" ma:displayName="Archived" ma:default="0" ma:internalName="Archived">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3fee1b4b-f147-4721-bc97-a78b418603ca" elementFormDefault="qualified">
    <xsd:import namespace="http://schemas.microsoft.com/office/2006/documentManagement/types"/>
    <xsd:import namespace="http://schemas.microsoft.com/office/infopath/2007/PartnerControls"/>
    <xsd:element name="MediaServiceMetadata" ma:index="17" nillable="true" ma:displayName="MediaServiceMetadata" ma:hidden="true" ma:internalName="MediaServiceMetadata" ma:readOnly="true">
      <xsd:simpleType>
        <xsd:restriction base="dms:Note"/>
      </xsd:simpleType>
    </xsd:element>
    <xsd:element name="MediaServiceFastMetadata" ma:index="18"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dfea484-c141-4cf5-a454-ec9a70188873"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103DD5B-FA04-4E4F-BEF2-B76B1BBB0FA8}">
  <ds:schemaRefs>
    <ds:schemaRef ds:uri="http://schemas.microsoft.com/office/2006/metadata/properties"/>
    <ds:schemaRef ds:uri="http://schemas.microsoft.com/office/infopath/2007/PartnerControls"/>
    <ds:schemaRef ds:uri="adf514cb-4434-4c3e-be24-17f296c4003a"/>
    <ds:schemaRef ds:uri="e50dae8b-71cf-4070-bd7c-915884bb292c"/>
  </ds:schemaRefs>
</ds:datastoreItem>
</file>

<file path=customXml/itemProps2.xml><?xml version="1.0" encoding="utf-8"?>
<ds:datastoreItem xmlns:ds="http://schemas.openxmlformats.org/officeDocument/2006/customXml" ds:itemID="{9536D466-D08C-4BC7-9ECF-493A219467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f514cb-4434-4c3e-be24-17f296c4003a"/>
    <ds:schemaRef ds:uri="e50dae8b-71cf-4070-bd7c-915884bb292c"/>
    <ds:schemaRef ds:uri="3fee1b4b-f147-4721-bc97-a78b418603ca"/>
    <ds:schemaRef ds:uri="cdfea484-c141-4cf5-a454-ec9a7018887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4CE99C7-D4BA-4C80-A771-342B0DB31A41}">
  <ds:schemaRefs>
    <ds:schemaRef ds:uri="http://schemas.microsoft.com/DataMashup"/>
  </ds:schemaRefs>
</ds:datastoreItem>
</file>

<file path=customXml/itemProps4.xml><?xml version="1.0" encoding="utf-8"?>
<ds:datastoreItem xmlns:ds="http://schemas.openxmlformats.org/officeDocument/2006/customXml" ds:itemID="{37CDE83B-2DEC-40B6-8AA7-8EB4E4E15D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13</vt:i4>
      </vt:variant>
      <vt:variant>
        <vt:lpstr>Plages nommées</vt:lpstr>
      </vt:variant>
      <vt:variant>
        <vt:i4>1</vt:i4>
      </vt:variant>
    </vt:vector>
  </HeadingPairs>
  <TitlesOfParts>
    <vt:vector size="14" baseType="lpstr">
      <vt:lpstr>GLOSSARY</vt:lpstr>
      <vt:lpstr>New Projects</vt:lpstr>
      <vt:lpstr>Ongoing Projects</vt:lpstr>
      <vt:lpstr>Non-Projects (RUN-BAU)</vt:lpstr>
      <vt:lpstr>Capacity</vt:lpstr>
      <vt:lpstr>Consolidated</vt:lpstr>
      <vt:lpstr>LOV</vt:lpstr>
      <vt:lpstr>Cost Rates</vt:lpstr>
      <vt:lpstr>XLIPRB</vt:lpstr>
      <vt:lpstr>XLDEMAND</vt:lpstr>
      <vt:lpstr>XLEURO</vt:lpstr>
      <vt:lpstr>Check by Platform</vt:lpstr>
      <vt:lpstr>Check by IPRB</vt:lpstr>
      <vt:lpstr>vGBD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2015-06-05T18:17:20Z</dcterms:created>
  <dc:creator>Guido Hendrickx</dc:creator>
  <cp:keywords>MS PMO;Budget</cp:keywords>
  <cp:lastModifiedBy>Olivier CHOQUET</cp:lastModifiedBy>
  <dcterms:modified xsi:type="dcterms:W3CDTF">2021-12-21T13:55:41Z</dcterms:modified>
  <dc:subject>Budget input</dc:subject>
  <dc:title>MS Budget - GBD Template</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9416b17e-7d8f-4500-bdd9-5afff5f86dc7</vt:lpwstr>
  </property>
  <property fmtid="{D5CDD505-2E9C-101B-9397-08002B2CF9AE}" pid="3" name="Workbook type">
    <vt:lpwstr>Custom</vt:lpwstr>
  </property>
  <property fmtid="{D5CDD505-2E9C-101B-9397-08002B2CF9AE}" pid="4" name="Workbook version">
    <vt:lpwstr>Custom</vt:lpwstr>
  </property>
  <property fmtid="{D5CDD505-2E9C-101B-9397-08002B2CF9AE}" pid="5" name="ContentTypeId">
    <vt:lpwstr>0x0101002C79397C8FDF9C42BA0AF58458E3CD2C</vt:lpwstr>
  </property>
  <property fmtid="{D5CDD505-2E9C-101B-9397-08002B2CF9AE}" pid="6" name="_dlc_DocIdItemGuid">
    <vt:lpwstr>982943d7-4176-4569-b089-b8615e0ce22a</vt:lpwstr>
  </property>
  <property fmtid="{D5CDD505-2E9C-101B-9397-08002B2CF9AE}" pid="7" name="Order">
    <vt:r8>14000</vt:r8>
  </property>
  <property fmtid="{D5CDD505-2E9C-101B-9397-08002B2CF9AE}" pid="8" name="xd_ProgID">
    <vt:lpwstr/>
  </property>
  <property fmtid="{D5CDD505-2E9C-101B-9397-08002B2CF9AE}" pid="9" name="_CopySource">
    <vt:lpwstr>https://sp2013.myatos.net/communities/cm1/PMO-MS-WL/Private PMO Team/MS Budget - GBD Template.xlsx</vt:lpwstr>
  </property>
  <property fmtid="{D5CDD505-2E9C-101B-9397-08002B2CF9AE}" pid="10" name="TemplateUrl">
    <vt:lpwstr/>
  </property>
  <property fmtid="{D5CDD505-2E9C-101B-9397-08002B2CF9AE}" pid="11" name="GUID">
    <vt:lpwstr>9dea1501-67a8-4509-82e7-622b78d28fe1</vt:lpwstr>
  </property>
</Properties>
</file>